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12" sheetId="1" r:id="rId5"/>
    <sheet state="visible" name="0912" sheetId="2" r:id="rId6"/>
    <sheet state="visible" name="1012" sheetId="3" r:id="rId7"/>
    <sheet state="visible" name="1112" sheetId="4" r:id="rId8"/>
    <sheet state="visible" name="1212" sheetId="5" r:id="rId9"/>
    <sheet state="visible" name="1512" sheetId="6" r:id="rId10"/>
    <sheet state="visible" name="1612" sheetId="7" r:id="rId11"/>
    <sheet state="visible" name="1712" sheetId="8" r:id="rId12"/>
    <sheet state="visible" name="1812" sheetId="9" r:id="rId13"/>
    <sheet state="visible" name="1912" sheetId="10" r:id="rId14"/>
    <sheet state="visible" name="2212" sheetId="11" r:id="rId15"/>
    <sheet state="visible" name="2312" sheetId="12" r:id="rId16"/>
    <sheet state="visible" name="2612" sheetId="13" r:id="rId17"/>
    <sheet state="visible" name="2912" sheetId="14" r:id="rId18"/>
    <sheet state="visible" name="3012" sheetId="15" r:id="rId19"/>
    <sheet state="visible" name="0201" sheetId="16" r:id="rId20"/>
    <sheet state="visible" name="0501" sheetId="17" r:id="rId21"/>
    <sheet state="visible" name="0601" sheetId="18" r:id="rId22"/>
    <sheet state="visible" name="0701" sheetId="19" r:id="rId23"/>
    <sheet state="visible" name="0801" sheetId="20" r:id="rId24"/>
    <sheet state="visible" name="0901" sheetId="21" r:id="rId25"/>
    <sheet state="visible" name="1201" sheetId="22" r:id="rId26"/>
    <sheet state="visible" name="1301" sheetId="23" r:id="rId27"/>
    <sheet state="visible" name="1401" sheetId="24" r:id="rId28"/>
    <sheet state="visible" name="1501" sheetId="25" r:id="rId29"/>
    <sheet state="visible" name="1601" sheetId="26" r:id="rId30"/>
    <sheet state="visible" name="1901" sheetId="27" r:id="rId31"/>
    <sheet state="visible" name="2001" sheetId="28" r:id="rId32"/>
    <sheet state="visible" name="2101" sheetId="29" r:id="rId33"/>
    <sheet state="visible" name="2201" sheetId="30" r:id="rId34"/>
    <sheet state="visible" name="2301" sheetId="31" r:id="rId35"/>
    <sheet state="visible" name="2601" sheetId="32" r:id="rId36"/>
    <sheet state="visible" name="2701" sheetId="33" r:id="rId37"/>
    <sheet state="visible" name="2801" sheetId="34" r:id="rId38"/>
    <sheet state="visible" name="2901" sheetId="35" r:id="rId39"/>
    <sheet state="visible" name="3001" sheetId="36" r:id="rId40"/>
    <sheet state="visible" name="0202" sheetId="37" r:id="rId41"/>
    <sheet state="visible" name="0302" sheetId="38" r:id="rId42"/>
    <sheet state="visible" name="0402" sheetId="39" r:id="rId43"/>
    <sheet state="visible" name="0502" sheetId="40" r:id="rId44"/>
    <sheet state="visible" name="0602" sheetId="41" r:id="rId45"/>
    <sheet state="visible" name="0702" sheetId="42" r:id="rId46"/>
    <sheet state="visible" name="0802" sheetId="43" r:id="rId47"/>
    <sheet state="visible" name="0902" sheetId="44" r:id="rId48"/>
    <sheet state="visible" name="1002" sheetId="45" r:id="rId49"/>
    <sheet state="visible" name="1102" sheetId="46" r:id="rId50"/>
    <sheet state="visible" name="1202" sheetId="47" r:id="rId51"/>
    <sheet state="visible" name="1302" sheetId="48" r:id="rId52"/>
    <sheet state="visible" name="1402" sheetId="49" r:id="rId53"/>
    <sheet state="visible" name="BASE" sheetId="50" r:id="rId54"/>
    <sheet state="visible" name="PAINEL" sheetId="51" r:id="rId55"/>
    <sheet state="visible" name="RESUMO DIÁRIO" sheetId="52" r:id="rId56"/>
    <sheet state="visible" name="HISTORICO DIARIO" sheetId="53" r:id="rId57"/>
  </sheets>
  <definedNames>
    <definedName hidden="1" localSheetId="49" name="_xlnm._FilterDatabase">BASE!$A$1:$Z$8649</definedName>
  </definedNames>
  <calcPr/>
</workbook>
</file>

<file path=xl/sharedStrings.xml><?xml version="1.0" encoding="utf-8"?>
<sst xmlns="http://schemas.openxmlformats.org/spreadsheetml/2006/main" count="10842" uniqueCount="6349">
  <si>
    <t>LH</t>
  </si>
  <si>
    <t>DESTINO</t>
  </si>
  <si>
    <t>FANOUT</t>
  </si>
  <si>
    <t>DOCA</t>
  </si>
  <si>
    <t>CPT</t>
  </si>
  <si>
    <t>TOTAL DE CARROS EM CURSO PARA O T1</t>
  </si>
  <si>
    <t>LT0PC901TO8Z1</t>
  </si>
  <si>
    <t>GUARATINGUETÁ</t>
  </si>
  <si>
    <t>LSP-33</t>
  </si>
  <si>
    <t>HUB</t>
  </si>
  <si>
    <t>LT0PC901TOAZ1</t>
  </si>
  <si>
    <t xml:space="preserve">LIMEIRA </t>
  </si>
  <si>
    <t>LSP-24</t>
  </si>
  <si>
    <t>SOCS</t>
  </si>
  <si>
    <t>LT0PC901TO8L1</t>
  </si>
  <si>
    <t>REGISTRO</t>
  </si>
  <si>
    <t>LSP-40</t>
  </si>
  <si>
    <t>LT0PC901TPG11</t>
  </si>
  <si>
    <t>SÃO BERNARDO DO CAMPO</t>
  </si>
  <si>
    <t>LSP-79</t>
  </si>
  <si>
    <t>NÃO DOCADO</t>
  </si>
  <si>
    <t>LT0PC901TOBH1</t>
  </si>
  <si>
    <t>VÁRZEA PAULISTA</t>
  </si>
  <si>
    <t>LSP-61</t>
  </si>
  <si>
    <t>MOTIVO:</t>
  </si>
  <si>
    <t>NÃO CHEGOU</t>
  </si>
  <si>
    <t>LT0PC901TTRB1</t>
  </si>
  <si>
    <t>ATIBAIA</t>
  </si>
  <si>
    <t>LSP-87</t>
  </si>
  <si>
    <t>ITAPEVI LSP-41</t>
  </si>
  <si>
    <t>LT0PC901TQJ72</t>
  </si>
  <si>
    <t>EMBU DAS ARTES</t>
  </si>
  <si>
    <t>LSP-36</t>
  </si>
  <si>
    <t>LT0PC901TN9V1</t>
  </si>
  <si>
    <t>TAUBATÉ</t>
  </si>
  <si>
    <t>LSP-08</t>
  </si>
  <si>
    <t>LT0PC801TVNO1</t>
  </si>
  <si>
    <t>BA SIMOES FILHO</t>
  </si>
  <si>
    <t>SOC-BA2</t>
  </si>
  <si>
    <t>LT0PC801TVNQ2</t>
  </si>
  <si>
    <t>LT0PC801TVY72</t>
  </si>
  <si>
    <t>GOIÂNIA 02</t>
  </si>
  <si>
    <t>SOC-GO2</t>
  </si>
  <si>
    <t>LT0PC801TNYQ1</t>
  </si>
  <si>
    <t>MG BETIM</t>
  </si>
  <si>
    <t>SOC-MG2</t>
  </si>
  <si>
    <t>LT0PC801TNYS2</t>
  </si>
  <si>
    <t>LT0PC901TV8V1</t>
  </si>
  <si>
    <t>BARUERI</t>
  </si>
  <si>
    <t>LSP-81</t>
  </si>
  <si>
    <t>LT0PC901TWTU1</t>
  </si>
  <si>
    <t>JUNDIAI</t>
  </si>
  <si>
    <t>LSP-100</t>
  </si>
  <si>
    <t>LT0PC901TPP11</t>
  </si>
  <si>
    <t>PIRACICABA</t>
  </si>
  <si>
    <t>LSP-62</t>
  </si>
  <si>
    <t>LT0PC901TQIX2</t>
  </si>
  <si>
    <t>SANTOS PRAIA GRANDE 02</t>
  </si>
  <si>
    <t>LSP-63</t>
  </si>
  <si>
    <t>LT0PC901TQIV1</t>
  </si>
  <si>
    <t>LT0PC901TQGW1</t>
  </si>
  <si>
    <t>JURUBATUBA</t>
  </si>
  <si>
    <t>LSP-16</t>
  </si>
  <si>
    <t>LT0PC901TQGY2</t>
  </si>
  <si>
    <t>LT0PC901TP3Z1</t>
  </si>
  <si>
    <t>SANTANA</t>
  </si>
  <si>
    <t>SOC-SP2</t>
  </si>
  <si>
    <t>LT0PC901TQHX1</t>
  </si>
  <si>
    <t>GUARUJA</t>
  </si>
  <si>
    <t>LSP-06</t>
  </si>
  <si>
    <t>LT0PC901TN9N1</t>
  </si>
  <si>
    <t>ITAPEVI</t>
  </si>
  <si>
    <t>LSP-41</t>
  </si>
  <si>
    <t>-</t>
  </si>
  <si>
    <t>LT0PC901TQHR1</t>
  </si>
  <si>
    <t>ZIMBA</t>
  </si>
  <si>
    <t>LSP-74</t>
  </si>
  <si>
    <t>LT0PC901TNS21</t>
  </si>
  <si>
    <t>SÃO JOSÉ DOS CAMPOS</t>
  </si>
  <si>
    <t>LSP-04</t>
  </si>
  <si>
    <t>LT0PC901TNRC1</t>
  </si>
  <si>
    <t>MOOCA</t>
  </si>
  <si>
    <t>LSP-13</t>
  </si>
  <si>
    <t>LT0PC801TRQU2</t>
  </si>
  <si>
    <t>RJ DUQUE DE CAXIAS</t>
  </si>
  <si>
    <t>SOC-RJ2</t>
  </si>
  <si>
    <t>LT1PC901U2E01</t>
  </si>
  <si>
    <t>LT1PC901U2DT1</t>
  </si>
  <si>
    <t>CRAVINHOS</t>
  </si>
  <si>
    <t>SOC-SP5</t>
  </si>
  <si>
    <t>LT1PC901U2E31</t>
  </si>
  <si>
    <t>LT1PC901U2DU1</t>
  </si>
  <si>
    <t>LT0PCA01TQHD1</t>
  </si>
  <si>
    <t>OSASCO</t>
  </si>
  <si>
    <t>LSP-60</t>
  </si>
  <si>
    <t>LT0PCA01TO901</t>
  </si>
  <si>
    <t>LT0PCA01TOB01</t>
  </si>
  <si>
    <t>LIMEIRA</t>
  </si>
  <si>
    <t>LT0PCA01TO8M1</t>
  </si>
  <si>
    <t>LT0PCA01TPG21</t>
  </si>
  <si>
    <t>3 HUBS 8 SOC'S</t>
  </si>
  <si>
    <t>LT0PCA01TOBG1</t>
  </si>
  <si>
    <t xml:space="preserve">VÁRZEA PAULISTA </t>
  </si>
  <si>
    <t>Os hubs não foram localizados pelo pátio e os intersocs são 
de CPT's estendidos que ficam selecionados para Telescópica</t>
  </si>
  <si>
    <t>LT0PCA01TTRC1</t>
  </si>
  <si>
    <t>LSP-60 LSP-100 LRS-03 
SP5 SP2 MG2
MG2 BA2 GO2
GO2 BA2</t>
  </si>
  <si>
    <t>LT0PCA01TO9F1</t>
  </si>
  <si>
    <t>LT0PC901TVNS1</t>
  </si>
  <si>
    <t>LT0PC901TVY61</t>
  </si>
  <si>
    <t>GO GOIÂNIA 02</t>
  </si>
  <si>
    <t>LT0PC901TVY82</t>
  </si>
  <si>
    <t>LT0PC901TNYT2</t>
  </si>
  <si>
    <t>LT0PC901TN8K2</t>
  </si>
  <si>
    <t>LT1PC901U2EQ1</t>
  </si>
  <si>
    <t>LT0PCA01TV8U1</t>
  </si>
  <si>
    <t>LT0PCA01TPP21</t>
  </si>
  <si>
    <t>LT0PCA01TQGZ2</t>
  </si>
  <si>
    <t>LT0PCA01TQJ31</t>
  </si>
  <si>
    <t>PRAIA GRANDE 02</t>
  </si>
  <si>
    <t>LT0PCA01TP401</t>
  </si>
  <si>
    <t>LT0PCA01TNRS1</t>
  </si>
  <si>
    <t>MAUÁ</t>
  </si>
  <si>
    <t>LSP-64</t>
  </si>
  <si>
    <t>LT0PCA01TQHY1</t>
  </si>
  <si>
    <t>GUARUJÁ</t>
  </si>
  <si>
    <t>LT0PCA01TQHS1</t>
  </si>
  <si>
    <t>LT0PCA01TO5A1</t>
  </si>
  <si>
    <t>LT1PCA01U39U1</t>
  </si>
  <si>
    <t>LT0PCB01TO911</t>
  </si>
  <si>
    <t>GUARATINGUETA</t>
  </si>
  <si>
    <t>LT0PCB01TOB11</t>
  </si>
  <si>
    <t>NO SHOW</t>
  </si>
  <si>
    <t>LT0PCB01TO8N1</t>
  </si>
  <si>
    <t>LT0PCB01TPG31</t>
  </si>
  <si>
    <t>LT0PCB01TOBI1</t>
  </si>
  <si>
    <t>MOTIVO: HUBS não foram docados 
por não terem chegado a tempo do nosso turno
SOC's não foram docados por falta de pacotes em piso e 
a maioria de CPT estendido que são direcionados para a telescópica</t>
  </si>
  <si>
    <t>LT1PCB01U4061</t>
  </si>
  <si>
    <t>GRAVATAI</t>
  </si>
  <si>
    <t>SOC-RS2</t>
  </si>
  <si>
    <t>DESTINO: HUB'S: LSP-87, LSP-36, LSP-63, LES-09
SOC'S: SP5, GO2, BA2, MG2, RJ2</t>
  </si>
  <si>
    <t>LT0PCB01TTRD1</t>
  </si>
  <si>
    <t>LT0PCB01TN9W1</t>
  </si>
  <si>
    <t>LT0PCB01TQJA1</t>
  </si>
  <si>
    <t>LT0PCA01TVNT1</t>
  </si>
  <si>
    <t>LT0PCA01TVNX3</t>
  </si>
  <si>
    <t>LT0PC901TVYB3</t>
  </si>
  <si>
    <t>GO-GOIÂNIA</t>
  </si>
  <si>
    <t>LT0PCA01TRRE2</t>
  </si>
  <si>
    <t>LT0PCA01TNZ31</t>
  </si>
  <si>
    <t>MG-BETIM</t>
  </si>
  <si>
    <t>LT0PCA01TNZ52</t>
  </si>
  <si>
    <t>LT0PCB01TV8W1</t>
  </si>
  <si>
    <t>LT0PCB01TWTW1</t>
  </si>
  <si>
    <t>LT0PCB01TQGU1</t>
  </si>
  <si>
    <t>LT0PCB01TPP31</t>
  </si>
  <si>
    <t>LT0PCB01TQIC1</t>
  </si>
  <si>
    <t xml:space="preserve">PRAIA GRANDE </t>
  </si>
  <si>
    <t>LSP-09</t>
  </si>
  <si>
    <t>LT0PCB01TNS31</t>
  </si>
  <si>
    <t>SÃO JOSÉ CAMPOS</t>
  </si>
  <si>
    <t>LT0PCB01TP411</t>
  </si>
  <si>
    <t>LT0PCB01TQHZ1</t>
  </si>
  <si>
    <t>LT0PCB01TQIY2</t>
  </si>
  <si>
    <t>LT0PCB01TQHT1</t>
  </si>
  <si>
    <t>ITAQUA ZIMBA</t>
  </si>
  <si>
    <t>LT0PCA01TO1U2</t>
  </si>
  <si>
    <t>SOC -SP5</t>
  </si>
  <si>
    <t>NÃO DOCOU</t>
  </si>
  <si>
    <t>LT0PCA01TO1S1</t>
  </si>
  <si>
    <t>LT0PCA01TVY91</t>
  </si>
  <si>
    <t>GOIÂNIA</t>
  </si>
  <si>
    <t>LT0PCA01TVYA2</t>
  </si>
  <si>
    <t>LT0PCA01TVYC3</t>
  </si>
  <si>
    <t>LT0PCA01TRRG3</t>
  </si>
  <si>
    <t>LT0PCA01TRRI4</t>
  </si>
  <si>
    <t>LT0PCA01TN8P1</t>
  </si>
  <si>
    <t>LT0PCA01TNZ73</t>
  </si>
  <si>
    <t>LT0PCA01TRRK5</t>
  </si>
  <si>
    <t>LT0PCA01TRRC1</t>
  </si>
  <si>
    <t>LT1PCB01U4081</t>
  </si>
  <si>
    <t>LT1PCB01U3ZT1</t>
  </si>
  <si>
    <t>LT1PCB01U4021</t>
  </si>
  <si>
    <t>LT1PCB01U4091</t>
  </si>
  <si>
    <t>LT1PCB01U4TW1</t>
  </si>
  <si>
    <t>VIANA</t>
  </si>
  <si>
    <t>LES-09</t>
  </si>
  <si>
    <t>LT0PCC01TO8O1</t>
  </si>
  <si>
    <t>LT0PCC01TO921</t>
  </si>
  <si>
    <t>LT0PCC01TOB21</t>
  </si>
  <si>
    <t>LT0PCC01TOBJ1</t>
  </si>
  <si>
    <t>LT0PCC01TPG41</t>
  </si>
  <si>
    <t>MOTIVO: EMBU DAS ARTES LSP-36 (ATRASO NA ETA VAI CHEGAR 06H)
ITAPEVI LSP-41 (AGUARDANDO DESCARGA NO HUB) 
RJ2 (NÃO DOCADO) BA2 (FALTA DE PACOTES NO PISO) 
SP5 (FALTA DE PACOTES NO PISO) SP2 (NÃO CHEGOU)</t>
  </si>
  <si>
    <t>LT1PCC01U4GX1</t>
  </si>
  <si>
    <t>RJ2</t>
  </si>
  <si>
    <t>DESTINO: LSP-36, LSP-41, RJ2, BA2, SP5, SP2</t>
  </si>
  <si>
    <t>LT0PCC01TTRE1</t>
  </si>
  <si>
    <t>LT0PCC01TN9X1</t>
  </si>
  <si>
    <t>LT0PCC01TQJB1</t>
  </si>
  <si>
    <t>LT0PCB01TVO23</t>
  </si>
  <si>
    <t>BA2</t>
  </si>
  <si>
    <t>LT0PCB01TRR03</t>
  </si>
  <si>
    <t>LT0PCB01TVNY1</t>
  </si>
  <si>
    <t>LT0PCB01TNZ41</t>
  </si>
  <si>
    <t>MG2</t>
  </si>
  <si>
    <t>LT0PCB01TNZ83</t>
  </si>
  <si>
    <t>LT0PCB01TNZA4</t>
  </si>
  <si>
    <t>LT0PCB01TO1K2</t>
  </si>
  <si>
    <t>SP5</t>
  </si>
  <si>
    <t>LT0PCC01TPP41</t>
  </si>
  <si>
    <t>LT0PCC01TV8X1</t>
  </si>
  <si>
    <t>LT0PCC01TP421</t>
  </si>
  <si>
    <t>SP2</t>
  </si>
  <si>
    <t>LT0PCC01TQH01</t>
  </si>
  <si>
    <t>LT0PCC01TQH22</t>
  </si>
  <si>
    <t>LT0PCC01TQHU1</t>
  </si>
  <si>
    <t>LT0PCC01TQI01</t>
  </si>
  <si>
    <t>LT0PCC01TO5C1</t>
  </si>
  <si>
    <t>LT0PCC01TVXL3</t>
  </si>
  <si>
    <t>GO2</t>
  </si>
  <si>
    <t>LT0PCC01TVN73</t>
  </si>
  <si>
    <t>LT0PCC01TNRI1</t>
  </si>
  <si>
    <t>LT0PCB01TO1Z2</t>
  </si>
  <si>
    <t>LT0PCC01TVIP1</t>
  </si>
  <si>
    <t>PE JABOATÃO</t>
  </si>
  <si>
    <t>PE2</t>
  </si>
  <si>
    <t>LT0PCD01TTRF1</t>
  </si>
  <si>
    <t>LT0PCD01TQJC1</t>
  </si>
  <si>
    <t>LT0PCD01TO9G1</t>
  </si>
  <si>
    <t>TAUBATE</t>
  </si>
  <si>
    <t>LT0PCC01TVNZ1</t>
  </si>
  <si>
    <t>LT0PCC01TVYH2</t>
  </si>
  <si>
    <t>GOIANIA 02</t>
  </si>
  <si>
    <t>LT1PCC01U52M1</t>
  </si>
  <si>
    <t>ITAQUA-ZIMBA LSP-74</t>
  </si>
  <si>
    <t>LT0PCC01TN8F1</t>
  </si>
  <si>
    <t>LT0PCD01TV8Y1</t>
  </si>
  <si>
    <t>LT0PCD01TQJ41</t>
  </si>
  <si>
    <t>LT0PCD01TQI11</t>
  </si>
  <si>
    <t>LT0PCD01TNS41</t>
  </si>
  <si>
    <t>LT0PCD01TQIK1</t>
  </si>
  <si>
    <t>LT0PCD01TO5D1</t>
  </si>
  <si>
    <t>LT0PCD01TPP51</t>
  </si>
  <si>
    <t>LT0PCD01TWTY1</t>
  </si>
  <si>
    <t>LT0PCD01TNRV1</t>
  </si>
  <si>
    <t>LT0PCD01TQGL1</t>
  </si>
  <si>
    <t>JARDIM ADRIANA</t>
  </si>
  <si>
    <t>LSP-12</t>
  </si>
  <si>
    <t>LT0PCD01TQIT1</t>
  </si>
  <si>
    <t>GUARULHOS</t>
  </si>
  <si>
    <t>LSP-77</t>
  </si>
  <si>
    <t>LT0PCD01TTJS1</t>
  </si>
  <si>
    <t>EMBU DAS ARTES 02</t>
  </si>
  <si>
    <t>LSP-96</t>
  </si>
  <si>
    <t>LT0PCG01UBY81</t>
  </si>
  <si>
    <t>LT0PCG01UBYJ1</t>
  </si>
  <si>
    <t>LT0PCG01UBZK1</t>
  </si>
  <si>
    <t>LT0PCG01UBZT1</t>
  </si>
  <si>
    <t>LT0PCG01UCJ71</t>
  </si>
  <si>
    <t>MOTIVO: não havia chegado no pátio em tempo hábil</t>
  </si>
  <si>
    <t>LT0PCG01UCX01</t>
  </si>
  <si>
    <t>SOC GUARULHOS</t>
  </si>
  <si>
    <t>SP6</t>
  </si>
  <si>
    <t>DESTINO: LSP-36, LSP-62, LSP-63, LSP-16, 
LSP-74, MG2, LSP-100, LSP-09, LSP-13, LSP-19</t>
  </si>
  <si>
    <t>LT0PCG01UHUF1</t>
  </si>
  <si>
    <t>PE JABOATÃO DOS GUARARAPES</t>
  </si>
  <si>
    <t>LT0PCG01UBUU1</t>
  </si>
  <si>
    <t>SOC LOUVEIRA</t>
  </si>
  <si>
    <t>SP7</t>
  </si>
  <si>
    <t>LT0PCG01U88B1</t>
  </si>
  <si>
    <t>LT0PCG01UD5H1</t>
  </si>
  <si>
    <t>LT0PCG01UG6N1</t>
  </si>
  <si>
    <t>LT0PCF01UBUE1</t>
  </si>
  <si>
    <t>LT0PCG01UD422</t>
  </si>
  <si>
    <t>LT0PCG01UK391</t>
  </si>
  <si>
    <t>LT0PCG01U8851</t>
  </si>
  <si>
    <t>LT0PCG01UD591</t>
  </si>
  <si>
    <t>LT0PCG01UD4L1</t>
  </si>
  <si>
    <t>LT0PCG01UD4S2</t>
  </si>
  <si>
    <t>SANTOS PRAIA GRANDE</t>
  </si>
  <si>
    <t>LT0PCG01UBS52</t>
  </si>
  <si>
    <t>LT0PCH01UBYK1</t>
  </si>
  <si>
    <t>LT0PCH01UBZL1</t>
  </si>
  <si>
    <t>LT0PCH01UBY91</t>
  </si>
  <si>
    <t>LT0PCH01UCJ81</t>
  </si>
  <si>
    <t>LT0PCH01UBZU1</t>
  </si>
  <si>
    <t>VARZEA PAULISTA</t>
  </si>
  <si>
    <t>MOTIVO: não havia chegado no pátio em tempo hábil
SOCS DE CPT LONGO NÃO CHAMADOS PELA TELESCÓPICA</t>
  </si>
  <si>
    <t>LT0PCH01UBTC1</t>
  </si>
  <si>
    <t>CURITIBA</t>
  </si>
  <si>
    <t>PR1</t>
  </si>
  <si>
    <t>DESTINO: RJ2, LSP-100, LSP-62, LSP-16, 
LSP-63, LSP-06, LSP-74</t>
  </si>
  <si>
    <t>LT0PCH01UI9P1</t>
  </si>
  <si>
    <t>RS2</t>
  </si>
  <si>
    <t>LT0PCH01UBUV1</t>
  </si>
  <si>
    <t>LOUVEIRA</t>
  </si>
  <si>
    <t>LT0PCH01UD5J1</t>
  </si>
  <si>
    <t>LT0PCH01UBYU1</t>
  </si>
  <si>
    <t>LT0PCG01UHZ01</t>
  </si>
  <si>
    <t>LT0PCG01UBUI2</t>
  </si>
  <si>
    <t>LT0PCG01UBSY2</t>
  </si>
  <si>
    <t>LT0PCG01UBT03</t>
  </si>
  <si>
    <t>LT0PCG01UEB72</t>
  </si>
  <si>
    <t>LT0PCG01UEB93</t>
  </si>
  <si>
    <t>LT0PCG01U8OF1</t>
  </si>
  <si>
    <t>LT0PCH01UJ011</t>
  </si>
  <si>
    <t>LT0PCH01UCMX1</t>
  </si>
  <si>
    <t>LT0PCH01UK3A1</t>
  </si>
  <si>
    <t>LT0PCH01UD401</t>
  </si>
  <si>
    <t>LT0PCH01UD412</t>
  </si>
  <si>
    <t>LT0PCH01UD5E1</t>
  </si>
  <si>
    <t>LT0PCH01U8HF1</t>
  </si>
  <si>
    <t>LT0PCG01UHYS1</t>
  </si>
  <si>
    <t>LT0PCH01UD4M1</t>
  </si>
  <si>
    <t>LT0PCH01UD4H1</t>
  </si>
  <si>
    <t>LT1PCH01UOU61</t>
  </si>
  <si>
    <t>LT0PCH01UBWE1</t>
  </si>
  <si>
    <t>LT0PCH01UD501</t>
  </si>
  <si>
    <t>LT1PCI01UQJI1</t>
  </si>
  <si>
    <t>SC ITAJAI</t>
  </si>
  <si>
    <t>SC1</t>
  </si>
  <si>
    <t>LT0PCI01UBYL1</t>
  </si>
  <si>
    <t>LT0PCI01UBYA1</t>
  </si>
  <si>
    <t>LT0PCI01UCJ91</t>
  </si>
  <si>
    <t>LT0PCI01UBZV1</t>
  </si>
  <si>
    <t>LT0PCI01UHUH1</t>
  </si>
  <si>
    <t>LT0PCI01UBTD1</t>
  </si>
  <si>
    <t>PR CURITIBA</t>
  </si>
  <si>
    <t>DESTINO: RJ2, BA2, GO2, SP5, MG2.
LSP-13, LSP-87</t>
  </si>
  <si>
    <t>LT1PCI01UQAU1</t>
  </si>
  <si>
    <t>LT0PCI01UG6P1</t>
  </si>
  <si>
    <t>LT0PCI01U88C1</t>
  </si>
  <si>
    <t>LT0PCI01UD5K1</t>
  </si>
  <si>
    <t>LT0PCI01UBUW1</t>
  </si>
  <si>
    <t>LT0PCH01UHZ11</t>
  </si>
  <si>
    <t>LT1PCH01UPNJ1</t>
  </si>
  <si>
    <t>LT1PCH01UQJC1</t>
  </si>
  <si>
    <t>LT1PCH01UQJP1</t>
  </si>
  <si>
    <t>LT0PCH01UHYZ2</t>
  </si>
  <si>
    <t>LT0PCH01UI7B1</t>
  </si>
  <si>
    <t>LT0PCH01UBUH2</t>
  </si>
  <si>
    <t>LT0PCH01UBSZ1</t>
  </si>
  <si>
    <t>LT0PCH01UBT12</t>
  </si>
  <si>
    <t>LT0PCH01UBT23</t>
  </si>
  <si>
    <t>LT0PCH01UBT34</t>
  </si>
  <si>
    <t>LT0PCH01UEB81</t>
  </si>
  <si>
    <t>LT0PCH01UEBD4</t>
  </si>
  <si>
    <t>LT0PCI01UHKS1</t>
  </si>
  <si>
    <t>LT0PCI01UJ021</t>
  </si>
  <si>
    <t>LT0PCI01UD3X1</t>
  </si>
  <si>
    <t>LT0PCI01UCMY1</t>
  </si>
  <si>
    <t>LT0PCI01UD5A1</t>
  </si>
  <si>
    <t>LT0PCI01UD5C2</t>
  </si>
  <si>
    <t>LT0PCH01UI7D2</t>
  </si>
  <si>
    <t>LT0PCI01UD4N1</t>
  </si>
  <si>
    <t>LT0PCI01UD4I1</t>
  </si>
  <si>
    <t>LT0PCI01UD4Z2</t>
  </si>
  <si>
    <t>LT0PCI01U8H41</t>
  </si>
  <si>
    <t>LT0PCI01U8H62</t>
  </si>
  <si>
    <t>LT0PCI01UBWF1</t>
  </si>
  <si>
    <t>LT1PCH01UPNK1</t>
  </si>
  <si>
    <t>LT1PCH01UQAV1</t>
  </si>
  <si>
    <t>LT0PCH01UI7F3</t>
  </si>
  <si>
    <t>LT0PCJ01UBYM1</t>
  </si>
  <si>
    <t>LT0PCJ01UBZN1</t>
  </si>
  <si>
    <t>LT0PCJ01UBYB1</t>
  </si>
  <si>
    <t>LT0PCJ01UCJA1</t>
  </si>
  <si>
    <t>LT0PCJ01UBZW1</t>
  </si>
  <si>
    <t>LT0PCJ01UHUI1</t>
  </si>
  <si>
    <t>LT0PCJ01UBTE1</t>
  </si>
  <si>
    <t>DESTINO: RJ2, BA2, GO2, SP5, MG2.
LSP-63, LSP-79, LSP-60 (APROVEITAMENTO DE SPR)</t>
  </si>
  <si>
    <t>LT0PCJ01U87H1</t>
  </si>
  <si>
    <t>NÃO SE APRESENTOU</t>
  </si>
  <si>
    <t>LT0PCJ01UG6Q1</t>
  </si>
  <si>
    <t>LT0PCJ01U88D1</t>
  </si>
  <si>
    <t>LT0PCJ01UD5L1</t>
  </si>
  <si>
    <t>LT0PCI01UHYI1</t>
  </si>
  <si>
    <t>LT0PCI01UHZ21</t>
  </si>
  <si>
    <t>LT1PCI01UR661</t>
  </si>
  <si>
    <t>LT1PCI01UR6A1</t>
  </si>
  <si>
    <t>GO GOIANIA 02</t>
  </si>
  <si>
    <t>NÃO DOCOU/CPT ESTENDIDO</t>
  </si>
  <si>
    <t>LT1PCI01UR5V1</t>
  </si>
  <si>
    <t>LT0PCI01UI761</t>
  </si>
  <si>
    <t>LT0PCI01UI782</t>
  </si>
  <si>
    <t>LT0PCI01UBUJ1</t>
  </si>
  <si>
    <t>SP CRAVINHOS</t>
  </si>
  <si>
    <t>LT0PCJ01UHKU1</t>
  </si>
  <si>
    <t>LT0PCJ01UJ031</t>
  </si>
  <si>
    <t>LT0PCJ01UCMZ1</t>
  </si>
  <si>
    <t>LT0PCJ01UD5D1</t>
  </si>
  <si>
    <t>LT0PCJ01UD5F2</t>
  </si>
  <si>
    <t>24 (NÃO CHEGOU)</t>
  </si>
  <si>
    <t>LT0PCJ01UD431</t>
  </si>
  <si>
    <t>LT0PCJ01UD452</t>
  </si>
  <si>
    <t>LT0PCJ01U8HH1</t>
  </si>
  <si>
    <t xml:space="preserve">LT1PCI01UR6A1 </t>
  </si>
  <si>
    <t>LT0PCJ01UD4O1</t>
  </si>
  <si>
    <t>LT0PCJ01UD4J1</t>
  </si>
  <si>
    <t>LT0PCJ01UD4U1</t>
  </si>
  <si>
    <t>PRAIA GRANDE</t>
  </si>
  <si>
    <t>LT0PCJ01UD511</t>
  </si>
  <si>
    <t>LT0PCJ01UBWG1</t>
  </si>
  <si>
    <t>LT0PCJ01U8H81</t>
  </si>
  <si>
    <t>LT1PCI01UR671</t>
  </si>
  <si>
    <t>LT1PCI01UR6B1</t>
  </si>
  <si>
    <t>LT1PCI01UR621</t>
  </si>
  <si>
    <t>LT1PCI01UR5W1</t>
  </si>
  <si>
    <t>LT1PCI01UR601</t>
  </si>
  <si>
    <t>LT1PCJ01URZD1</t>
  </si>
  <si>
    <t>LT0PCJ01UD491</t>
  </si>
  <si>
    <t>OSASCO 02</t>
  </si>
  <si>
    <t>LT0PCK01U88E1</t>
  </si>
  <si>
    <t>LT0PCK01UD5M1</t>
  </si>
  <si>
    <t>LT0PCJ01UI771</t>
  </si>
  <si>
    <t>LT0PCJ01UBUK1</t>
  </si>
  <si>
    <t>LT0PCK01UHKV1</t>
  </si>
  <si>
    <t>LT0PCK01UJ041</t>
  </si>
  <si>
    <t>MOTIVO: HUB'S não havia chegado no pátio em tempo hábil
SOCS DE CPT LONGO NÃO CHAMADOS PELA TELESCÓPICA</t>
  </si>
  <si>
    <t>LT0PCK01UD3Y1</t>
  </si>
  <si>
    <t>DESTINO: GO2, LSP-06, LSP-13, BA2</t>
  </si>
  <si>
    <t>LT0PCK01UCN01</t>
  </si>
  <si>
    <t>LT0PCK01UD4P1</t>
  </si>
  <si>
    <t>33 (NÃO CHEGOU)</t>
  </si>
  <si>
    <t>LT0PCK01UD4K1</t>
  </si>
  <si>
    <t>LT0PCK01UBWH1</t>
  </si>
  <si>
    <t>LT0PCK01UD4V1</t>
  </si>
  <si>
    <t>LT0PCK01UD521</t>
  </si>
  <si>
    <t>LT0PCK01U8H91</t>
  </si>
  <si>
    <t>14 (NÃO CHEGOU)</t>
  </si>
  <si>
    <t>LT0PCK01UGWT1</t>
  </si>
  <si>
    <t>ITAJAI</t>
  </si>
  <si>
    <t>LT1PCJ01V15L1</t>
  </si>
  <si>
    <t>LT0PCN01UVPP1</t>
  </si>
  <si>
    <t>LT0PCN01UVQG1</t>
  </si>
  <si>
    <t>LT0PCN01UVPI1</t>
  </si>
  <si>
    <t>LT0PCN01UVQN1</t>
  </si>
  <si>
    <t>LT0PCN01UVM81</t>
  </si>
  <si>
    <t>LT0PCN01UY6N1</t>
  </si>
  <si>
    <t>DESTINO: GO2, LSP-08, LSP-63, BA2, LSP-04, 
LSP-09,LSP-41, LSP-16</t>
  </si>
  <si>
    <t>LT0PCN01UWF41</t>
  </si>
  <si>
    <t>LT0PCN01UVPX1</t>
  </si>
  <si>
    <t>LT0PCM01UZJ11</t>
  </si>
  <si>
    <t>LT0PCM01UZJ32</t>
  </si>
  <si>
    <t>LT0PCM01UZKB1</t>
  </si>
  <si>
    <t>LT0PCM01UYNN1</t>
  </si>
  <si>
    <t>LT0PCM01UVMX1</t>
  </si>
  <si>
    <t>LT0PCM01UTBR1</t>
  </si>
  <si>
    <t>LT0PCM01UX3F1</t>
  </si>
  <si>
    <t>LT0PCN01UU001</t>
  </si>
  <si>
    <t>LT0PCN01V0141</t>
  </si>
  <si>
    <t>LT0PCN01UW4R1</t>
  </si>
  <si>
    <t>LT0PCN01UWF11</t>
  </si>
  <si>
    <t>LT0PCN01UWE91</t>
  </si>
  <si>
    <t>16 (NÃO CHEGOU)</t>
  </si>
  <si>
    <t>LT0PCN01UWEN1</t>
  </si>
  <si>
    <t>LT0PCN01UTC91</t>
  </si>
  <si>
    <t>LT0PCN01UWEK1</t>
  </si>
  <si>
    <t>LT0PCN01UWEQ1</t>
  </si>
  <si>
    <t>LT0PCN01UWET1</t>
  </si>
  <si>
    <t>17 (NÃO SE APRESENTOU)</t>
  </si>
  <si>
    <t>LT0PCN01V0911</t>
  </si>
  <si>
    <t>SUZANO</t>
  </si>
  <si>
    <t>LSP-97</t>
  </si>
  <si>
    <t>LT0PCN01UTHC1</t>
  </si>
  <si>
    <t>LT0PCN01UVQA2</t>
  </si>
  <si>
    <t>SOROCABA</t>
  </si>
  <si>
    <t>LSP-10</t>
  </si>
  <si>
    <t>LT1PCM01V6B31</t>
  </si>
  <si>
    <t>LT0PCN01UVA61</t>
  </si>
  <si>
    <t>LT1PCN01VNN81</t>
  </si>
  <si>
    <t>LT1PCN01V6B41</t>
  </si>
  <si>
    <t>LT0PCO01UVPJ1</t>
  </si>
  <si>
    <t>LT0PCO01UVQH1</t>
  </si>
  <si>
    <t>LT0PCO01UW2E1</t>
  </si>
  <si>
    <t>LT0PCO01UY6O1</t>
  </si>
  <si>
    <t>LT0PCO01UWF51</t>
  </si>
  <si>
    <t>LT0PCO01V0151</t>
  </si>
  <si>
    <t>DESTINO: LSP-09, PR1, LSP-97</t>
  </si>
  <si>
    <t>LT0PCO01UW4T1</t>
  </si>
  <si>
    <t>LT0PCO01UWF21</t>
  </si>
  <si>
    <t>LT0PCO01UWEB1</t>
  </si>
  <si>
    <t>LT0PCO01UZ3T1</t>
  </si>
  <si>
    <t>LT0PCO01UWEL1</t>
  </si>
  <si>
    <t>LT0PCO01UWEO1</t>
  </si>
  <si>
    <t>LT0PCO01UWER1</t>
  </si>
  <si>
    <t>LT0PCO01V0921</t>
  </si>
  <si>
    <t>SUZANO BARUEL</t>
  </si>
  <si>
    <t>LT0PCN01UZIM1</t>
  </si>
  <si>
    <t>LT1PCN01VNPB1</t>
  </si>
  <si>
    <t>LT1PCN01VNQ01</t>
  </si>
  <si>
    <t>JABOATÃO DOS GUARARAPES</t>
  </si>
  <si>
    <t>LT0PCN01UYNM2</t>
  </si>
  <si>
    <t>LT0PCN01UYNL1</t>
  </si>
  <si>
    <t>LT0PCO01UVM71</t>
  </si>
  <si>
    <t>LT0PCN01UTLW1</t>
  </si>
  <si>
    <t>LT1PCN01VOL51</t>
  </si>
  <si>
    <t>SIMOES FILHO</t>
  </si>
  <si>
    <t>LT0PCO01UVZ61</t>
  </si>
  <si>
    <t>SP SANTANA</t>
  </si>
  <si>
    <t>LT1PCQ01VTXP1</t>
  </si>
  <si>
    <t>LT1PCR01VTOM1</t>
  </si>
  <si>
    <t>LT1PCR01VTP71</t>
  </si>
  <si>
    <t>LT1PCR01VTOV1</t>
  </si>
  <si>
    <t>LT0PCR01UVQ91</t>
  </si>
  <si>
    <t>LT1PCR01VV3A1</t>
  </si>
  <si>
    <t>LT0PCR01UVM91</t>
  </si>
  <si>
    <t>DESTINO: LSP-79, LSP-61, LSP-08, MG2, PE2, GO2, LSP-16, 
LSP-62, LSP-63, SP2, LSP-09, LSP-13</t>
  </si>
  <si>
    <t>LT0PCR01UY6P1</t>
  </si>
  <si>
    <t>MOTIVO: LSP-79 e 61 estavam aguardando descarga no HUB.
LSP-08 motorista foi embora
MG2 não chegou no horário assim como os demais fanouts
PE2 e GO2 não foram chamados para docar devido volumetria das telescópicas</t>
  </si>
  <si>
    <t>LT0PCR01UWF61</t>
  </si>
  <si>
    <t>LT0PCQ01UZC71</t>
  </si>
  <si>
    <t>LT0PCQ01UZC92</t>
  </si>
  <si>
    <t>LT0PCQ01UZA82</t>
  </si>
  <si>
    <t>LT0PCQ01UTM02</t>
  </si>
  <si>
    <t>LT0PCQ01UYNO1</t>
  </si>
  <si>
    <t>LT0PCQ01UZKE1</t>
  </si>
  <si>
    <t>RS GRAVATAI 02</t>
  </si>
  <si>
    <t>LT0PCQ01UZKG2</t>
  </si>
  <si>
    <t>LT0PCQ01UZJ01</t>
  </si>
  <si>
    <t>LT0PCR01V0161</t>
  </si>
  <si>
    <t>LT0PCQ01UTLY1</t>
  </si>
  <si>
    <t>LT0PCR01UZ3U1</t>
  </si>
  <si>
    <t>LT0PCR01UWEP1</t>
  </si>
  <si>
    <t>LT0PCR01UWEM1</t>
  </si>
  <si>
    <t>LT0PCR01UWEU1</t>
  </si>
  <si>
    <t>LT0PCR01UTHD2</t>
  </si>
  <si>
    <t>LT0PCR01V0931</t>
  </si>
  <si>
    <t>LT0PCR01UVOA1</t>
  </si>
  <si>
    <t>LT0PCR01UW2F1</t>
  </si>
  <si>
    <t>LT0PCR01UVQP1</t>
  </si>
  <si>
    <t>LT0PCR01UVPY1</t>
  </si>
  <si>
    <t>MOTORISTA FOI EMBORA</t>
  </si>
  <si>
    <t>LT0PCQ01UVM32</t>
  </si>
  <si>
    <t>NÃO CHEGOU NO HORÁRIO</t>
  </si>
  <si>
    <t>LT0PCQ01UZAA3</t>
  </si>
  <si>
    <t>LT0PCQ01UZJ22</t>
  </si>
  <si>
    <t>LT0PCR01UWE81</t>
  </si>
  <si>
    <t>LT0PCR01UWEA2</t>
  </si>
  <si>
    <t>LT0PCR01UW4U1</t>
  </si>
  <si>
    <t>LT0PCR01UWF31</t>
  </si>
  <si>
    <t>LT0PCR01UVZ71</t>
  </si>
  <si>
    <t>LT0PCR01UWES1</t>
  </si>
  <si>
    <t>LT0PCR01UTHE3</t>
  </si>
  <si>
    <t>LT0PCR01UTHB1</t>
  </si>
  <si>
    <t>LT1PCT01VX0L1</t>
  </si>
  <si>
    <t>LT0PCU01V8351</t>
  </si>
  <si>
    <t>LT0PCU01V83Y1</t>
  </si>
  <si>
    <t>LT0PCU01V82Y1</t>
  </si>
  <si>
    <t>LT0PCU01V9HT2</t>
  </si>
  <si>
    <t>LT0PCU01V8G21</t>
  </si>
  <si>
    <t>LT0PCU01V8451</t>
  </si>
  <si>
    <t>LT1PCU01VX0F1</t>
  </si>
  <si>
    <t>LT0PCU01V7ZF1</t>
  </si>
  <si>
    <t>DESTINO:</t>
  </si>
  <si>
    <t>LT0PCU01VAMC1</t>
  </si>
  <si>
    <t xml:space="preserve">MOTIVO: </t>
  </si>
  <si>
    <t>LT0PCU01V8SW1</t>
  </si>
  <si>
    <t>LT0PCU01VQ3D1</t>
  </si>
  <si>
    <t>LT0PCT01VBZF1</t>
  </si>
  <si>
    <t>87/86</t>
  </si>
  <si>
    <t>LT0PCT01VB421</t>
  </si>
  <si>
    <t>LT0PCT01V8051</t>
  </si>
  <si>
    <t>LT0PCT01VC0Q1</t>
  </si>
  <si>
    <t>RS GRAVATAI</t>
  </si>
  <si>
    <t>LT0PCU01VBJQ1</t>
  </si>
  <si>
    <t>LT0PCU01VCH91</t>
  </si>
  <si>
    <t>LT0PCU01V8I11</t>
  </si>
  <si>
    <t>LT0PCU01V8ST1</t>
  </si>
  <si>
    <t>LT0PCU01V8S11</t>
  </si>
  <si>
    <t>LT0PCU01V8SF1</t>
  </si>
  <si>
    <t>LT0PCU01V81L1</t>
  </si>
  <si>
    <t>LT0PCU01V8SC1</t>
  </si>
  <si>
    <t>LT0PCU01V8SI1</t>
  </si>
  <si>
    <t>LT0PCU01V8SL1</t>
  </si>
  <si>
    <t>LT0PCU01VCQQ1</t>
  </si>
  <si>
    <t>LT0PCU01VQCZ1</t>
  </si>
  <si>
    <t>LT0PCV01V8SX1</t>
  </si>
  <si>
    <t>LT0PCV01VAMD1</t>
  </si>
  <si>
    <t>LT0PCV01V8I31</t>
  </si>
  <si>
    <t>LT0PCV01VBJR1</t>
  </si>
  <si>
    <t>LT0PCV01VCHA1</t>
  </si>
  <si>
    <t>LT0PCV01V8SD1</t>
  </si>
  <si>
    <t>LT0PCV01V8SJ1</t>
  </si>
  <si>
    <t>LT0PCV01V81N1</t>
  </si>
  <si>
    <t>LT0PCV01V8SG1</t>
  </si>
  <si>
    <t>DESTINO: LSP-64, LSP-74</t>
  </si>
  <si>
    <t>LT0PCV01VAHA1</t>
  </si>
  <si>
    <t>MOTIVO: NÃO CHEGARAM NO PRAZO DA ETA</t>
  </si>
  <si>
    <t>LT0PCV01V8MY1</t>
  </si>
  <si>
    <t>PARQUE NOVO MUNDO</t>
  </si>
  <si>
    <t>LSP-89</t>
  </si>
  <si>
    <t>EXPEDIDO</t>
  </si>
  <si>
    <t>LT0PCV01V8S41</t>
  </si>
  <si>
    <t>CARANDIRU</t>
  </si>
  <si>
    <t>LSP-18</t>
  </si>
  <si>
    <t>LT0PCU01VQKI1</t>
  </si>
  <si>
    <t>LT0PCU01VB432</t>
  </si>
  <si>
    <t>LT0PCU01VBZD3</t>
  </si>
  <si>
    <t>LT0Q1301V8SY1</t>
  </si>
  <si>
    <t>LT0Q1301VQ3G1</t>
  </si>
  <si>
    <t>LT0Q1301VAME1</t>
  </si>
  <si>
    <t>LT0Q1201V7ZB2</t>
  </si>
  <si>
    <t>LT0Q1201VB441</t>
  </si>
  <si>
    <t>LT0Q1201VBQD2</t>
  </si>
  <si>
    <t xml:space="preserve">PE JABOATÃO </t>
  </si>
  <si>
    <t>LT0Q1201VBQF3</t>
  </si>
  <si>
    <t>LT0Q1201VBSD1</t>
  </si>
  <si>
    <t>LT0Q1201VBSF2</t>
  </si>
  <si>
    <t>DESTINO: LSP-62, LSP-16, LSP-81, LSP-74, LSP-97
PE2, BA2, GO2, PR1</t>
  </si>
  <si>
    <t>LT0Q1201VBSH3</t>
  </si>
  <si>
    <t>MOTIVO: HUBS NÃO CHEGARAM NO PRAZO DA ETA
SOC's EXCETO PR1 QUE NÃO CHEGOU NO ETA, 
NÃO DOCARAM POR FALTA DE PISO</t>
  </si>
  <si>
    <t>LT0Q1201VBZG1</t>
  </si>
  <si>
    <t>LT0Q1201VBZI2</t>
  </si>
  <si>
    <t>LT0Q1201VC0R2</t>
  </si>
  <si>
    <t>LT0Q1201VQKM1</t>
  </si>
  <si>
    <t>LT0Q1201V9I21</t>
  </si>
  <si>
    <t>LT0Q1301V8I41</t>
  </si>
  <si>
    <t>LT0Q1301V8S01</t>
  </si>
  <si>
    <t>LT0Q1301V8S22</t>
  </si>
  <si>
    <t>LT0Q1301V8SV1</t>
  </si>
  <si>
    <t>LT0Q1301VCHB1</t>
  </si>
  <si>
    <t>LT0Q1301VBJU1</t>
  </si>
  <si>
    <t>LT0Q1301VQDL1</t>
  </si>
  <si>
    <t>LT0Q1301V81O1</t>
  </si>
  <si>
    <t>LT0Q1301V8SE1</t>
  </si>
  <si>
    <t>LT0Q1301V8SH1</t>
  </si>
  <si>
    <t>LT0Q1301V8SK1</t>
  </si>
  <si>
    <t>LT0Q1301VCQS1</t>
  </si>
  <si>
    <t>LT0Q1301V8SM1</t>
  </si>
  <si>
    <t>LT0Q1301VQD22</t>
  </si>
  <si>
    <t>LT0Q1301V7ZG1</t>
  </si>
  <si>
    <t>LT0Q1301V8CT1</t>
  </si>
  <si>
    <t>LT0Q1301V8SB1</t>
  </si>
  <si>
    <t>VILA GUILHERME</t>
  </si>
  <si>
    <t>LSP-68</t>
  </si>
  <si>
    <t>LT0Q1301VAHB1</t>
  </si>
  <si>
    <t>LT0Q1301V8RW1</t>
  </si>
  <si>
    <t>LT0Q1201VBSB2</t>
  </si>
  <si>
    <t>LT0Q1201VBQ51</t>
  </si>
  <si>
    <t>LT0Q1201VBQ82</t>
  </si>
  <si>
    <t>LT1Q1201VYEU1</t>
  </si>
  <si>
    <t>LT1Q1501W2LH1</t>
  </si>
  <si>
    <t>LT1Q1601W2IK1</t>
  </si>
  <si>
    <t>LT0Q1601VFLD1</t>
  </si>
  <si>
    <t>LT0Q1601VFFI1</t>
  </si>
  <si>
    <t>LT0Q1601VFM21</t>
  </si>
  <si>
    <t>LT0Q1601VFKK1</t>
  </si>
  <si>
    <t>LT0Q1601VGO41</t>
  </si>
  <si>
    <t>LT0Q1601VFKV1</t>
  </si>
  <si>
    <t>LT0Q1601VFZT1</t>
  </si>
  <si>
    <t>LT0Q1601VRF81</t>
  </si>
  <si>
    <t>DESTINO: LSP-62, LSP-74, SC1, BA2</t>
  </si>
  <si>
    <t>LT0Q1601VMD51</t>
  </si>
  <si>
    <t>MOTIVO: HUBS NÃO CHEGARAM NO PRAZO DA ETA
SOC's NÃO DOCARAM POR FALTA DE PISO</t>
  </si>
  <si>
    <t>LT0Q1501VK9I1</t>
  </si>
  <si>
    <t>LT0Q1501VLAB1</t>
  </si>
  <si>
    <t>BA SIMOES FILHOS</t>
  </si>
  <si>
    <t>LT0Q1501VHRQ1</t>
  </si>
  <si>
    <t>LT0Q1501VL6T1</t>
  </si>
  <si>
    <t>LT0Q1501VLMD1</t>
  </si>
  <si>
    <t>LT0Q1601VGNI1</t>
  </si>
  <si>
    <t>LT0Q1601VI9H1</t>
  </si>
  <si>
    <t>SANTO ANDRÉ</t>
  </si>
  <si>
    <t>LSP-93</t>
  </si>
  <si>
    <t>LT1Q1601W2IQ1</t>
  </si>
  <si>
    <t>LT0Q1601VGGM1</t>
  </si>
  <si>
    <t>LT0Q1501VQYI1</t>
  </si>
  <si>
    <t>LT0Q1601VFG21</t>
  </si>
  <si>
    <t>LT0Q1601VK941</t>
  </si>
  <si>
    <t>LT0Q1601VL9R1</t>
  </si>
  <si>
    <t>LT0Q1601VRQN1</t>
  </si>
  <si>
    <t>LT0Q1601VLJS1</t>
  </si>
  <si>
    <t>GO GOIANIA</t>
  </si>
  <si>
    <t>LT0Q1601VG7M1</t>
  </si>
  <si>
    <t>PREVISÃO DE CHEGADA 06:30</t>
  </si>
  <si>
    <t>LT0Q1601VGN81</t>
  </si>
  <si>
    <t>LT1Q1601W3BX1</t>
  </si>
  <si>
    <t>LT0Q1701VFLT1</t>
  </si>
  <si>
    <t>LT0Q1701VFKA1</t>
  </si>
  <si>
    <t>LT0Q1701VFM31</t>
  </si>
  <si>
    <t>LT0Q1701VFFJ1</t>
  </si>
  <si>
    <t>LT0Q1701VJKB1</t>
  </si>
  <si>
    <t>LT0Q1701VGO51</t>
  </si>
  <si>
    <t>LT0Q1701VFKW1</t>
  </si>
  <si>
    <t>LT1Q1601W3C41</t>
  </si>
  <si>
    <t>DESTINO: LSP-62, LSP-81, LSP-16, LSP-06, LSP-97
PE2, MG2</t>
  </si>
  <si>
    <t>LT1Q1601W3ED1</t>
  </si>
  <si>
    <t>LT1Q1601W3EE1</t>
  </si>
  <si>
    <t>LT1Q1601W3EB1</t>
  </si>
  <si>
    <t>LT0Q1601VK9J1</t>
  </si>
  <si>
    <t>LT0Q1601VLAD1</t>
  </si>
  <si>
    <t>LT0Q1601VLKE1</t>
  </si>
  <si>
    <t>LT0Q1601VL6Y2</t>
  </si>
  <si>
    <t>LT0Q1601VFGG1</t>
  </si>
  <si>
    <t>LT0Q1701VKX81</t>
  </si>
  <si>
    <t>LT0Q1701VMD61</t>
  </si>
  <si>
    <t>LT0Q1701VG7N1</t>
  </si>
  <si>
    <t>CHEGA POR VOLTA DE 06:30</t>
  </si>
  <si>
    <t>LT0Q1701VGMW1</t>
  </si>
  <si>
    <t>LT0Q1701VGO11</t>
  </si>
  <si>
    <t>LT0Q1701VGMR1</t>
  </si>
  <si>
    <t>LT0Q1701VGNE1</t>
  </si>
  <si>
    <t>LT0Q1701VGN91</t>
  </si>
  <si>
    <t>LT0Q1701VGNJ1</t>
  </si>
  <si>
    <t>LT0Q1701VGNO1</t>
  </si>
  <si>
    <t>LT0Q1701VMSI1</t>
  </si>
  <si>
    <t>LT0Q1701VGGJ1</t>
  </si>
  <si>
    <t>LT1Q1701W3C11</t>
  </si>
  <si>
    <t>LT1Q1701W44O1</t>
  </si>
  <si>
    <t>LT0Q1801VFKL1</t>
  </si>
  <si>
    <t>LT0Q1801VFLU1</t>
  </si>
  <si>
    <t>LT0Q1801VFKB1</t>
  </si>
  <si>
    <t>LT0Q1801VR701</t>
  </si>
  <si>
    <t>LT0Q1801VFM41</t>
  </si>
  <si>
    <t>LT0Q1801VFFK1</t>
  </si>
  <si>
    <t>LT0Q1801VJKC1</t>
  </si>
  <si>
    <t>LT0Q1801VGO61</t>
  </si>
  <si>
    <t>DESTINO: LSP-09, LSP-04, RJ2</t>
  </si>
  <si>
    <t>LT0Q1801VFKX1</t>
  </si>
  <si>
    <t>LT0Q1701VK9K1</t>
  </si>
  <si>
    <t>LT0Q1701VLKH2</t>
  </si>
  <si>
    <t>LT0Q1701VL6X1</t>
  </si>
  <si>
    <t>LT0Q1701VL6Z2</t>
  </si>
  <si>
    <t>LT0Q1701VFF91</t>
  </si>
  <si>
    <t>LT0Q1801VKX91</t>
  </si>
  <si>
    <t>LT0Q1801VMD71</t>
  </si>
  <si>
    <t>LT0Q1801VG7O1</t>
  </si>
  <si>
    <t>LT0Q1801VGO21</t>
  </si>
  <si>
    <t>LT0Q1801VGMS1</t>
  </si>
  <si>
    <t>LT0Q1801VRFC1</t>
  </si>
  <si>
    <t>LT0Q1701VLAG2</t>
  </si>
  <si>
    <t>LT0Q1801VGNF1</t>
  </si>
  <si>
    <t>LT0Q1801VQZR1</t>
  </si>
  <si>
    <t>LT0Q1801VGNA1</t>
  </si>
  <si>
    <t>LT0Q1801VGNK1</t>
  </si>
  <si>
    <t>LT0Q1801VGNP1</t>
  </si>
  <si>
    <t>LT0Q1801VREW2</t>
  </si>
  <si>
    <t>LT0Q1701VFGJ2</t>
  </si>
  <si>
    <t>LT0Q1701VLMH2</t>
  </si>
  <si>
    <t>LT0Q1801VHRE1</t>
  </si>
  <si>
    <t>LT0Q1801VK961</t>
  </si>
  <si>
    <t>LT0Q1801VGGI1</t>
  </si>
  <si>
    <t>SP GUARULHOS</t>
  </si>
  <si>
    <t>LT1Q1801W4W81</t>
  </si>
  <si>
    <t>LT0Q1901VFKN1</t>
  </si>
  <si>
    <t>LT0Q1901VFKC1</t>
  </si>
  <si>
    <t>LT0Q1901VFM51</t>
  </si>
  <si>
    <t>LT0Q1901VG4Q1</t>
  </si>
  <si>
    <t>LT0Q1901VJKD1</t>
  </si>
  <si>
    <t>LT0Q1901VGO71</t>
  </si>
  <si>
    <t>LT0Q1901VFKY1</t>
  </si>
  <si>
    <t>LT0Q1801VLK02</t>
  </si>
  <si>
    <t>GOIANIA</t>
  </si>
  <si>
    <t>DESTINO: LSP-09, LSP-04, LSP-16, LSP-63, SC1, 
PE2, BA2, RJ2, PR1</t>
  </si>
  <si>
    <t>LT0Q1801VK9L1</t>
  </si>
  <si>
    <t>LT0Q1801VLAJ2</t>
  </si>
  <si>
    <t>LT0Q1801VLKK2</t>
  </si>
  <si>
    <t>LT0Q1801VL701</t>
  </si>
  <si>
    <t>LT0Q1801VLMI1</t>
  </si>
  <si>
    <t>LT0Q1801VLMK2</t>
  </si>
  <si>
    <t>LT0Q1801VRR01</t>
  </si>
  <si>
    <t>LT0Q1801VLKI1</t>
  </si>
  <si>
    <t>G02</t>
  </si>
  <si>
    <t>LT0Q1901VKXA1</t>
  </si>
  <si>
    <t>LT0Q1901VMD81</t>
  </si>
  <si>
    <t>LT0Q1901VGMO1</t>
  </si>
  <si>
    <t>LT1Q1801W4DJ1</t>
  </si>
  <si>
    <t>LT0Q1901VG7P1</t>
  </si>
  <si>
    <t>LT0Q1901VGNY1</t>
  </si>
  <si>
    <t>LT0Q1901VGO02</t>
  </si>
  <si>
    <t>LT0Q1901VGNG1</t>
  </si>
  <si>
    <t>LT0Q1901VQZS1</t>
  </si>
  <si>
    <t>LT0Q1901VGNB1</t>
  </si>
  <si>
    <t>LT0Q1901VGNL1</t>
  </si>
  <si>
    <t>LT0Q1901VGNQ1</t>
  </si>
  <si>
    <t>LT0Q1901VREX1</t>
  </si>
  <si>
    <t>LT0Q1901VRF12</t>
  </si>
  <si>
    <t>LT0Q1901VMSK1</t>
  </si>
  <si>
    <t>LT0Q1901VFZW1</t>
  </si>
  <si>
    <t>LT0Q1901VFFL1</t>
  </si>
  <si>
    <t>LT0Q1901VLKA2</t>
  </si>
  <si>
    <t>LT1Q1901W6UC1</t>
  </si>
  <si>
    <t>LT1Q1A01W64N1</t>
  </si>
  <si>
    <t>LT1Q1A01W6BO1</t>
  </si>
  <si>
    <t>LT0Q1A01VFKZ1</t>
  </si>
  <si>
    <t>LT0Q1901VLKD1</t>
  </si>
  <si>
    <t>LT0Q1901VL711</t>
  </si>
  <si>
    <t>LT0Q1901VLMJ1</t>
  </si>
  <si>
    <t>LT0Q1901VLML2</t>
  </si>
  <si>
    <t>DESTINO: LSP-62, LSP-41, LSP-97, BA2, MG2</t>
  </si>
  <si>
    <t>LT0Q1901VRR21</t>
  </si>
  <si>
    <t>LT0Q1A01VMD91</t>
  </si>
  <si>
    <t>LT0Q1A01VGMP1</t>
  </si>
  <si>
    <t>LT0Q1A01VG7Q1</t>
  </si>
  <si>
    <t>LT0Q1A01VGMU1</t>
  </si>
  <si>
    <t>LT0Q1A01VRFG1</t>
  </si>
  <si>
    <t>LT0Q1A01VGNH1</t>
  </si>
  <si>
    <t>LT0Q1A01VQZV1</t>
  </si>
  <si>
    <t>LT0Q1A01VGNC1</t>
  </si>
  <si>
    <t>LT0Q1A01VGNM1</t>
  </si>
  <si>
    <t>LT0Q1A01VMSL1</t>
  </si>
  <si>
    <t>LT0Q1A01VRFO1</t>
  </si>
  <si>
    <t>LT0Q1A01VGN21</t>
  </si>
  <si>
    <t>LT0Q1901VLA92</t>
  </si>
  <si>
    <t>LT1Q1901W6U51</t>
  </si>
  <si>
    <t>LT0Q1901VLA71</t>
  </si>
  <si>
    <t>LT1Q1DO1WNDV1</t>
  </si>
  <si>
    <t>SOC-PR1</t>
  </si>
  <si>
    <t>LT0Q1D01W9B71</t>
  </si>
  <si>
    <t>LT0Q1D01W99S1</t>
  </si>
  <si>
    <t>DOCADO</t>
  </si>
  <si>
    <t>LT1Q1C01WNFN1</t>
  </si>
  <si>
    <t>SOC-PE2</t>
  </si>
  <si>
    <t>LT1Q1D01WNFN1</t>
  </si>
  <si>
    <t>LT0Q1D01WIC51</t>
  </si>
  <si>
    <t>DRIVER DUPLICADO</t>
  </si>
  <si>
    <t>LT0Q1D01WD5Z1</t>
  </si>
  <si>
    <t>LT0Q1D01W9AE1</t>
  </si>
  <si>
    <t>DESTINO: LSP-100, LSP-62, LSP-16, LSP-04</t>
  </si>
  <si>
    <t>LT0Q1C01WF8B1</t>
  </si>
  <si>
    <t>LT1Q1C01WDUK1</t>
  </si>
  <si>
    <t>SOC-SC1</t>
  </si>
  <si>
    <t>LT0Q1D01WF8G1</t>
  </si>
  <si>
    <t>LT0Q1D01WEUE1</t>
  </si>
  <si>
    <t>LT1Q1D01WOHA1</t>
  </si>
  <si>
    <t>LT0Q1C01W9521</t>
  </si>
  <si>
    <t>LT0Q1D01WF6B1</t>
  </si>
  <si>
    <t>LT0Q1D01WEUG2</t>
  </si>
  <si>
    <t>LT0Q1D01WEHA1</t>
  </si>
  <si>
    <t>LT0Q1D01WFXM1</t>
  </si>
  <si>
    <t>LT0Q1D01WACF1</t>
  </si>
  <si>
    <t>LT0Q1D01WACG2</t>
  </si>
  <si>
    <t>LT0Q1D01W9X11</t>
  </si>
  <si>
    <t>LT0Q1D01WADR1</t>
  </si>
  <si>
    <t>LT0Q1D01WAD51</t>
  </si>
  <si>
    <t>LT0Q1D01WIBW1</t>
  </si>
  <si>
    <t>LT0Q1D01WADA1</t>
  </si>
  <si>
    <t>LT0Q1D01WGB51</t>
  </si>
  <si>
    <t>LT0Q1D01W9CG1</t>
  </si>
  <si>
    <t>LSP-20</t>
  </si>
  <si>
    <t>LT1Q1C01WNFO1</t>
  </si>
  <si>
    <t>LT1Q1C01WNE21</t>
  </si>
  <si>
    <t>LT0Q1D01W94H1</t>
  </si>
  <si>
    <t>LT1Q1D01WNQ41</t>
  </si>
  <si>
    <t>LT0Q1D01WACA1</t>
  </si>
  <si>
    <t>LAPA</t>
  </si>
  <si>
    <t>LSP-15</t>
  </si>
  <si>
    <t>LT1Q1D01WNY71</t>
  </si>
  <si>
    <t>SP LOUVEIRA</t>
  </si>
  <si>
    <t>SOC-SP7</t>
  </si>
  <si>
    <t>LT0Q1D01WIKE1</t>
  </si>
  <si>
    <t>LT0Q1D01W92S1</t>
  </si>
  <si>
    <t>LT1Q1E01WO9G1</t>
  </si>
  <si>
    <t>LT1Q1D01WOHH1</t>
  </si>
  <si>
    <t>LT0Q1E01W9B81</t>
  </si>
  <si>
    <t>LT0Q1E01W93W1</t>
  </si>
  <si>
    <t>LT0Q1E01W9TB1</t>
  </si>
  <si>
    <t>LT0Q1E01WIC61</t>
  </si>
  <si>
    <t>LT0Q1E01WD601</t>
  </si>
  <si>
    <t>LT0Q1E01WADX1</t>
  </si>
  <si>
    <t>LT0Q1E01W9AD1</t>
  </si>
  <si>
    <t>LT0Q1D01WEQY2</t>
  </si>
  <si>
    <t>LT0Q1E01WEHB1</t>
  </si>
  <si>
    <t>LT0Q1E01WFXN1</t>
  </si>
  <si>
    <t>LT0Q1E01W9X21</t>
  </si>
  <si>
    <t>LT0Q1E01WADS1</t>
  </si>
  <si>
    <t>LT0Q1E01WACL1</t>
  </si>
  <si>
    <t>LT0Q1E01WACH1</t>
  </si>
  <si>
    <t>LT0Q1E01WAD61</t>
  </si>
  <si>
    <t>LT0Q1E01WAD11</t>
  </si>
  <si>
    <t>LT0Q1E01WADB1</t>
  </si>
  <si>
    <t>LT0Q1E01W9CH1</t>
  </si>
  <si>
    <t>LT0Q1E01W97X1</t>
  </si>
  <si>
    <t>LT0Q1E01WADK2</t>
  </si>
  <si>
    <t>LT0Q1E01WIKG1</t>
  </si>
  <si>
    <t>LT1Q1D01WNQD1</t>
  </si>
  <si>
    <t>LT1Q1D01WNQ91</t>
  </si>
  <si>
    <t>LT0Q1E01WDU11</t>
  </si>
  <si>
    <t>LT0Q1E01W94K2</t>
  </si>
  <si>
    <t>LT0Q1E01WF5U1</t>
  </si>
  <si>
    <t>LT0Q1E01W94I1</t>
  </si>
  <si>
    <t>LT0Q1E01WEQT3</t>
  </si>
  <si>
    <t>PE JABOTÃO DOS GUARARAPES</t>
  </si>
  <si>
    <t>LT1Q1F01WOKP1</t>
  </si>
  <si>
    <t>LT1Q1E01WOMM1</t>
  </si>
  <si>
    <t>LT1Q1F01WOKJ1</t>
  </si>
  <si>
    <t>LT0Q1F01W9A41</t>
  </si>
  <si>
    <t>LT0Q1F01W99U1</t>
  </si>
  <si>
    <t>LT0Q1F01W93X1</t>
  </si>
  <si>
    <t>LT1Q1F01WOL21</t>
  </si>
  <si>
    <t>LT1Q1F01WOL31</t>
  </si>
  <si>
    <t>LT1Q1F01WP5N1</t>
  </si>
  <si>
    <t>LT0Q1F01W95L1</t>
  </si>
  <si>
    <t>DESTINO: PE2, MG2, RJ2, LSP-62, LSP-04, PR1, BA2</t>
  </si>
  <si>
    <t>LT0Q1F01WADY1</t>
  </si>
  <si>
    <t>LT0Q1F01W9AF1</t>
  </si>
  <si>
    <t>LT0Q1E01WEUI1</t>
  </si>
  <si>
    <t>LT0Q1E01WF6C1</t>
  </si>
  <si>
    <t>LT0Q1E01WEQV1</t>
  </si>
  <si>
    <t>LT0Q1E01WIRW1</t>
  </si>
  <si>
    <t>LT0Q1E01W9561</t>
  </si>
  <si>
    <t>LT1Q1F01WPOJ1</t>
  </si>
  <si>
    <t>LT0Q1F01WEHC1</t>
  </si>
  <si>
    <t>LT0Q1F01WFXO1</t>
  </si>
  <si>
    <t>LT0Q1F01W9X31</t>
  </si>
  <si>
    <t>LT0Q1F01WADT1</t>
  </si>
  <si>
    <t>LT0Q1F01WACI1</t>
  </si>
  <si>
    <t>LT0Q1F01WAD71</t>
  </si>
  <si>
    <t>LT0Q1F01WIBY1</t>
  </si>
  <si>
    <t>LT0Q1F01WAD21</t>
  </si>
  <si>
    <t>LT0Q1F01WADC1</t>
  </si>
  <si>
    <t>LT0Q1F01WADG1</t>
  </si>
  <si>
    <t>LT0Q1F01W9CI1</t>
  </si>
  <si>
    <t>LT0Q1E01W93J2</t>
  </si>
  <si>
    <t>LT1Q1F01WOKT1</t>
  </si>
  <si>
    <t>LT0Q1F01WF7X2</t>
  </si>
  <si>
    <t>LT0Q1F01WETY2</t>
  </si>
  <si>
    <t>LT0Q1F01WIRG2</t>
  </si>
  <si>
    <t>LT1Q1G01WQ0F1</t>
  </si>
  <si>
    <t>LT1Q1G01WPT31</t>
  </si>
  <si>
    <t>LT0Q1F01WEU82</t>
  </si>
  <si>
    <t>LT0Q1F01WIBA1</t>
  </si>
  <si>
    <t>LT0Q1F01WIBD1</t>
  </si>
  <si>
    <t>LT0Q1G01W93Y1</t>
  </si>
  <si>
    <t>LT1Q1G01WQ0D1</t>
  </si>
  <si>
    <t>LT0Q1G01W9BA1</t>
  </si>
  <si>
    <t>LT0Q1G01W9TD1</t>
  </si>
  <si>
    <t>LT1Q1G01WQ0G1</t>
  </si>
  <si>
    <t>LT1Q1G01WQ081</t>
  </si>
  <si>
    <t>LT1Q1G01WP931</t>
  </si>
  <si>
    <t>DESTINO: LSP-20, MG2, RJ2, LSP-81, LSP-16, PR1, BA2</t>
  </si>
  <si>
    <t>LT1Q1G01WQ0W1</t>
  </si>
  <si>
    <t>LT1Q1G01WP8G1</t>
  </si>
  <si>
    <t>LT0Q1G01WD621</t>
  </si>
  <si>
    <t>LT0Q1G01W9AG1</t>
  </si>
  <si>
    <t>LT0Q1F01WEUH1</t>
  </si>
  <si>
    <t>LT0Q1F01WEQZ1</t>
  </si>
  <si>
    <t>LT0Q1F01WER12</t>
  </si>
  <si>
    <t>LT0Q1F01W93L1</t>
  </si>
  <si>
    <t>LT0Q1G01WEHD1</t>
  </si>
  <si>
    <t>LT0Q1G01WFXP1</t>
  </si>
  <si>
    <t>LT0Q1G01W9X41</t>
  </si>
  <si>
    <t>LT0Q1G01WADU1</t>
  </si>
  <si>
    <t>LT0Q1G01WACJ1</t>
  </si>
  <si>
    <t>LT0Q1G01W97Y1</t>
  </si>
  <si>
    <t>LT0Q1G01WAD31</t>
  </si>
  <si>
    <t>LT0Q1G01WADD1</t>
  </si>
  <si>
    <t>LT0Q1G01WADH1</t>
  </si>
  <si>
    <t>LT0Q1G01W9CJ1</t>
  </si>
  <si>
    <t>LT0Q1G01WGB81</t>
  </si>
  <si>
    <t>LT0Q1F01W9362</t>
  </si>
  <si>
    <t>LT1Q1G01WPSY1</t>
  </si>
  <si>
    <t>LT0Q1G01W94P2</t>
  </si>
  <si>
    <t>LT0Q1G01WETN1</t>
  </si>
  <si>
    <t>LT0Q1G01WF7Y2</t>
  </si>
  <si>
    <t>LT0Q1G01WF5Q1</t>
  </si>
  <si>
    <t>LT0Q1G01WIRH1</t>
  </si>
  <si>
    <t>LT0Q1G01WIRJ2</t>
  </si>
  <si>
    <t>LT0Q1G01WEU71</t>
  </si>
  <si>
    <t>LT1Q1G01WQ601</t>
  </si>
  <si>
    <t>LT1Q1G01WQ641</t>
  </si>
  <si>
    <t>LT1Q1H01X69K1</t>
  </si>
  <si>
    <t>LT1Q1H01WQUH1</t>
  </si>
  <si>
    <t>SOC-SP6</t>
  </si>
  <si>
    <t>LT0Q1H01W9AH1</t>
  </si>
  <si>
    <t>LT0Q1G01WEUB1</t>
  </si>
  <si>
    <t>LT0Q1G01WIRS2</t>
  </si>
  <si>
    <t>LT0Q1G01WDUP1</t>
  </si>
  <si>
    <t>LT0Q1G01WF6G1</t>
  </si>
  <si>
    <t>LT0Q1G01WER22</t>
  </si>
  <si>
    <t>PE JABOATAO DOS GUARARAPES</t>
  </si>
  <si>
    <t>DESTINO: LSP-04, MG2, RJ2, LSP-06, GO2, SC1, BA2</t>
  </si>
  <si>
    <t>LT0Q1H01WEHE1</t>
  </si>
  <si>
    <t>LT0Q1H01W9X51</t>
  </si>
  <si>
    <t>LT0Q1H01WADV1</t>
  </si>
  <si>
    <t>LT0Q1H01W9CK1</t>
  </si>
  <si>
    <t>LT0Q1H01WACK1</t>
  </si>
  <si>
    <t>LT0Q1H01WAD81</t>
  </si>
  <si>
    <t>LT0Q1H01WIBZ1</t>
  </si>
  <si>
    <t>LT0Q1H01WAD41</t>
  </si>
  <si>
    <t>LT0Q1H01WADE1</t>
  </si>
  <si>
    <t>LT0Q1H01WADI1</t>
  </si>
  <si>
    <t>LT1Q1G01WQUK1</t>
  </si>
  <si>
    <t>LT1Q1G01WQUN1</t>
  </si>
  <si>
    <t>LT1Q1H01WQ671</t>
  </si>
  <si>
    <t>LT0Q1H01WAC31</t>
  </si>
  <si>
    <t>ARTUR ALVIM</t>
  </si>
  <si>
    <t>LSP-07</t>
  </si>
  <si>
    <t>LT0Q1H01WF5O3</t>
  </si>
  <si>
    <t>LT0Q1H01W92R2</t>
  </si>
  <si>
    <t>LT1Q1K01X7J71</t>
  </si>
  <si>
    <t>LT0Q1K01WTGS1</t>
  </si>
  <si>
    <t>LT0Q1K01X2N81</t>
  </si>
  <si>
    <t>LT0Q1K01WWTG1</t>
  </si>
  <si>
    <t>LT0Q1K01WTG31</t>
  </si>
  <si>
    <t>LT0Q1J01WYFZ1</t>
  </si>
  <si>
    <t>LT0Q1J01WYG12</t>
  </si>
  <si>
    <t>LT0Q1J01WYCH1</t>
  </si>
  <si>
    <t>LT0Q1J01WYSX1</t>
  </si>
  <si>
    <t>LT0Q1J01WYSZ2</t>
  </si>
  <si>
    <t>DESTINO: RS2, LSP-13</t>
  </si>
  <si>
    <t>LT1Q1J01X7PE1</t>
  </si>
  <si>
    <t>LT1Q1K01X7PB1</t>
  </si>
  <si>
    <t>LT0Q1K01WY3U1</t>
  </si>
  <si>
    <t>LT0Q1K01WZHB1</t>
  </si>
  <si>
    <t>LT0Q1K01WU4F1</t>
  </si>
  <si>
    <t>LT0Q1K01WUI61</t>
  </si>
  <si>
    <t>LT0Q1K01WUHY1</t>
  </si>
  <si>
    <t>LT0Q1K01WUI01</t>
  </si>
  <si>
    <t>LT0Q1K01WUI31</t>
  </si>
  <si>
    <t>LT0Q1K01X2V11</t>
  </si>
  <si>
    <t>LT0Q1K01X2MQ1</t>
  </si>
  <si>
    <t>LT1Q1J01X8141</t>
  </si>
  <si>
    <t>LT0Q1K01WUHG1</t>
  </si>
  <si>
    <t>LT0Q1K01WUI41</t>
  </si>
  <si>
    <t>LT0Q1K01WUHQ1</t>
  </si>
  <si>
    <t>LT0Q1K01WUHM1</t>
  </si>
  <si>
    <t>LT0Q1K01WUI81</t>
  </si>
  <si>
    <t>LT1Q1K01X7UO1</t>
  </si>
  <si>
    <t>LT1Q1K01X82G1</t>
  </si>
  <si>
    <t>LT1Q1K01X7SB1</t>
  </si>
  <si>
    <t>LT0Q1L01WWTH1</t>
  </si>
  <si>
    <t>LT0Q1L01WTG41</t>
  </si>
  <si>
    <t>LT0Q1K01WYR92</t>
  </si>
  <si>
    <t>LT0Q1K01X2ZM2</t>
  </si>
  <si>
    <t>LT0Q1K01WTAR2</t>
  </si>
  <si>
    <t>LT0Q1K01WYG22</t>
  </si>
  <si>
    <t>LT0Q1L01WTWZ1</t>
  </si>
  <si>
    <t>LT0Q1L01WY3V1</t>
  </si>
  <si>
    <t>LT0Q1L01WZHC1</t>
  </si>
  <si>
    <t>DESTINO: RJ2, LSP-81, LSP-13, LSP-20, LSP-41, BA2, PE2</t>
  </si>
  <si>
    <t>LT0Q1L01WU4H1</t>
  </si>
  <si>
    <t>LT0Q1L01WUI71</t>
  </si>
  <si>
    <t>LT0Q1L01WUHZ1</t>
  </si>
  <si>
    <t>LT0Q1L01WUI11</t>
  </si>
  <si>
    <t>LT0Q1L01WUI21</t>
  </si>
  <si>
    <t>LT0Q1L01X2V21</t>
  </si>
  <si>
    <t>LT0Q1L01WTHY1</t>
  </si>
  <si>
    <t>LT0Q1L01X2MR1</t>
  </si>
  <si>
    <t>LT1Q1K01X7SK1</t>
  </si>
  <si>
    <t>LT0Q1L01WUHH1</t>
  </si>
  <si>
    <t>LT0Q1L01WUHR1</t>
  </si>
  <si>
    <t>LT0Q1L01WUHL1</t>
  </si>
  <si>
    <t>LT0Q1L01WU1D1</t>
  </si>
  <si>
    <t>LT0Q1K01WYG01</t>
  </si>
  <si>
    <t>LT1Q1K01X7SD1</t>
  </si>
  <si>
    <t>LT0Q1L01WWMM1</t>
  </si>
  <si>
    <t>LT0Q1K01X2LT1</t>
  </si>
  <si>
    <t>LT1Q1K01X7ST1</t>
  </si>
  <si>
    <t>LT0Q1L01WYFF1</t>
  </si>
  <si>
    <t>LT1Q1K01X7SS1</t>
  </si>
  <si>
    <t>LT0Q1L01WUHN1</t>
  </si>
  <si>
    <t>LT0Q1L01WUHV1</t>
  </si>
  <si>
    <t xml:space="preserve">VILA GUILHERME </t>
  </si>
  <si>
    <t>LT0Q1K01X2ZG2</t>
  </si>
  <si>
    <t>LT0Q1K01WYT01</t>
  </si>
  <si>
    <t>LT0Q1K01WXHL2</t>
  </si>
  <si>
    <t>LT0Q1K01WYQT2</t>
  </si>
  <si>
    <t>LT0Q1K01WYCU3</t>
  </si>
  <si>
    <t>LT0Q1K01WYCR2</t>
  </si>
  <si>
    <t>LT0Q1L01WZWO1</t>
  </si>
  <si>
    <t>PR LONDRINA</t>
  </si>
  <si>
    <t>LPR-20</t>
  </si>
  <si>
    <t>LT0Q1L01WT7I1</t>
  </si>
  <si>
    <t>LT0Q1L01WYSM2</t>
  </si>
  <si>
    <t>LT0Q1M01WWTI1</t>
  </si>
  <si>
    <t>LT0Q1M01WTG51</t>
  </si>
  <si>
    <t>LT0Q1L01WYCK1</t>
  </si>
  <si>
    <t>LT0Q1L01WYR81</t>
  </si>
  <si>
    <t>LT0Q1L01WXHM2</t>
  </si>
  <si>
    <t>LT0Q1L01WYRC3</t>
  </si>
  <si>
    <t>LT0Q1L01WYG31</t>
  </si>
  <si>
    <t>LT0Q1M01WY3W1</t>
  </si>
  <si>
    <t>LT0Q1M01WZHD1</t>
  </si>
  <si>
    <t>LT0Q1M01WU4I1</t>
  </si>
  <si>
    <t>DESTINO: GO2, LSP-06, LSP-89</t>
  </si>
  <si>
    <t>LT0Q1M01WUDU1</t>
  </si>
  <si>
    <t>LT0Q1M01WTF91</t>
  </si>
  <si>
    <t>LT0Q1M01WTGB1</t>
  </si>
  <si>
    <t>LT0Q1M01WTH21</t>
  </si>
  <si>
    <t>LT0Q1M01X2M71</t>
  </si>
  <si>
    <t>LT0Q1M01WTHZ1</t>
  </si>
  <si>
    <t>LT0Q1M01X2MS1</t>
  </si>
  <si>
    <t>LT0Q1M01WTDZ1</t>
  </si>
  <si>
    <t>LT0Q1M01WTCM1</t>
  </si>
  <si>
    <t>LT0Q1M01WTC91</t>
  </si>
  <si>
    <t>LT0Q1M01WTEH1</t>
  </si>
  <si>
    <t>LT0Q1M01WTEL1</t>
  </si>
  <si>
    <t>LT0Q1M01WTBZ1</t>
  </si>
  <si>
    <t>LT1Q1M01X99S1</t>
  </si>
  <si>
    <t>LT0Q1M01X2M31</t>
  </si>
  <si>
    <t>LT0Q1M01WUBF1</t>
  </si>
  <si>
    <t>PQ NOVO MUNDO</t>
  </si>
  <si>
    <t>LT0Q1M01WU1E1</t>
  </si>
  <si>
    <t>LT0Q1M01WY0V1</t>
  </si>
  <si>
    <t>LT0Q1M01WWMN1</t>
  </si>
  <si>
    <t>LT0Q1M01WTD61</t>
  </si>
  <si>
    <t>LT0Q1L01WTAQ1</t>
  </si>
  <si>
    <t>LT0Q1L01WTAU3</t>
  </si>
  <si>
    <t>LT0Q1M01WYQF1</t>
  </si>
  <si>
    <t>LT0Q1M01WT7H3</t>
  </si>
  <si>
    <t>LT0Q1M01WYFG1</t>
  </si>
  <si>
    <t>LT0Q1M01WV631</t>
  </si>
  <si>
    <t>LT0Q1N01WTG61</t>
  </si>
  <si>
    <t>LT0Q1N01WWTJ1</t>
  </si>
  <si>
    <t>LT0Q1M01WYR01</t>
  </si>
  <si>
    <t>LT0Q1N01WU4J1</t>
  </si>
  <si>
    <t>LT0Q1N01WUDV1</t>
  </si>
  <si>
    <t>LT0Q1N01WY3X1</t>
  </si>
  <si>
    <t>LT0Q1N01WTFA1</t>
  </si>
  <si>
    <t>LT0Q1N01X2MT1</t>
  </si>
  <si>
    <t>LT0Q1N01WTGC1</t>
  </si>
  <si>
    <t>LT0Q1N01WTH31</t>
  </si>
  <si>
    <t>LT0Q1N01WTI01</t>
  </si>
  <si>
    <t>DESTINO: LSP-62, LSP-13, BA2, GO2, SC1, RJ2, MG2</t>
  </si>
  <si>
    <t>LT0Q1N01X2M81</t>
  </si>
  <si>
    <t>LT0Q1N01WTEI1</t>
  </si>
  <si>
    <t>LT0Q1N01X2ML1</t>
  </si>
  <si>
    <t>LT0Q1N01WTCN1</t>
  </si>
  <si>
    <t>LT0Q1N01WTE01</t>
  </si>
  <si>
    <t>LT0Q1N01WTC01</t>
  </si>
  <si>
    <t>LT0Q1N01WTDK1</t>
  </si>
  <si>
    <t>LT0Q1N01WUBG1</t>
  </si>
  <si>
    <t>LT0Q1N01WU1F1</t>
  </si>
  <si>
    <t>LT1Q1N01X96X1</t>
  </si>
  <si>
    <t>LT0Q1N01WT981</t>
  </si>
  <si>
    <t>LT0Q1N01WWMO1</t>
  </si>
  <si>
    <t>LT1Q1N01X99X1</t>
  </si>
  <si>
    <t>LT0Q1M01WYG41</t>
  </si>
  <si>
    <t>LT0Q1M01WYT62</t>
  </si>
  <si>
    <t>LT0Q1M01WXHP2</t>
  </si>
  <si>
    <t>LT0Q1M01WYCT2</t>
  </si>
  <si>
    <t>LT0Q1N01WYQI2</t>
  </si>
  <si>
    <t>LT0Q1N01WYQG1</t>
  </si>
  <si>
    <t>LT0Q1N01WXH41</t>
  </si>
  <si>
    <t>LT0Q1N01WTA01</t>
  </si>
  <si>
    <t>LT0Q1N01WT7L2</t>
  </si>
  <si>
    <t>LT0Q1N01X2ZA2</t>
  </si>
  <si>
    <t>LT0Q1N01WTA43</t>
  </si>
  <si>
    <t>LT0Q1M01WT8U4</t>
  </si>
  <si>
    <t>LT0Q1O01WXZ81</t>
  </si>
  <si>
    <t>LT0Q1O01WTFW1</t>
  </si>
  <si>
    <t>LT0Q1O01WTGW1</t>
  </si>
  <si>
    <t>LT0Q1O01WTFN1</t>
  </si>
  <si>
    <t>LT1Q1O01X9YU1</t>
  </si>
  <si>
    <t>LT1Q1O01XPQE1</t>
  </si>
  <si>
    <t>LT0Q1O01WWTK1</t>
  </si>
  <si>
    <t>LT0Q1O01WTG71</t>
  </si>
  <si>
    <t>LT0Q1N01WXHO1</t>
  </si>
  <si>
    <t>LT0Q1N01WYT51</t>
  </si>
  <si>
    <t>LT0Q1O01WY3Y1</t>
  </si>
  <si>
    <t>DESTINO: LSP-100, LSP-06, LSP-13, LSP-20</t>
  </si>
  <si>
    <t>LT0Q1O01WZHE1</t>
  </si>
  <si>
    <t>LT0Q1O01WU4K1</t>
  </si>
  <si>
    <t>LT0Q1O01WUDW1</t>
  </si>
  <si>
    <t>LT0Q1O01WTFB1</t>
  </si>
  <si>
    <t>LT0Q1O01WTDS1</t>
  </si>
  <si>
    <t>LT0Q1O01WTGD1</t>
  </si>
  <si>
    <t>LT0Q1O01WTH41</t>
  </si>
  <si>
    <t>LT0Q1O01X2M91</t>
  </si>
  <si>
    <t>LT0Q1O01WTI11</t>
  </si>
  <si>
    <t>LT0Q1O01WTC11</t>
  </si>
  <si>
    <t>LT0Q1O01WTDL1</t>
  </si>
  <si>
    <t>LT0Q1O01WTE11</t>
  </si>
  <si>
    <t>LT0Q1O01WTEJ1</t>
  </si>
  <si>
    <t>LT0Q1O01WTCO1</t>
  </si>
  <si>
    <t>LT0Q1O01WU491</t>
  </si>
  <si>
    <t>LT0Q1O01X2MM1</t>
  </si>
  <si>
    <t>LT0Q1O01WU1G1</t>
  </si>
  <si>
    <t>LT0Q1O01WUBH1</t>
  </si>
  <si>
    <t>LT0Q1O01WWMP1</t>
  </si>
  <si>
    <t>LT0Q1O01WZT71</t>
  </si>
  <si>
    <t>LT1Q1O01X96Y1</t>
  </si>
  <si>
    <t>LT0Q1N01WT7U3</t>
  </si>
  <si>
    <t>LT0Q1N01WYT72</t>
  </si>
  <si>
    <t>LT0Q1N01WYG71</t>
  </si>
  <si>
    <t>LT0Q1N01WTAZ2</t>
  </si>
  <si>
    <t>LT0Q1N01WYG92</t>
  </si>
  <si>
    <t>LT1Q1O01XPLP1</t>
  </si>
  <si>
    <t>LT0Q1O01X2LN1</t>
  </si>
  <si>
    <t>LT0Q1O01WT9Q1</t>
  </si>
  <si>
    <t>LT0Q1O01X2ZB2</t>
  </si>
  <si>
    <t>LT0Q1O01WYSI1</t>
  </si>
  <si>
    <t>LT0Q1O01WYC51</t>
  </si>
  <si>
    <t>LT0Q1R01XGUL1</t>
  </si>
  <si>
    <t>LT0Q1R01XM6M1</t>
  </si>
  <si>
    <t>LT0Q1R01XDGQ1</t>
  </si>
  <si>
    <t>LT0Q1R01XI3G1</t>
  </si>
  <si>
    <t>LT0Q1R01XJHV1</t>
  </si>
  <si>
    <t>LT0Q1R01XE4B1</t>
  </si>
  <si>
    <t>LT0Q1R01XEKV1</t>
  </si>
  <si>
    <t>LT0Q1Q01XISU1</t>
  </si>
  <si>
    <t>LT0Q1R01XDEL1</t>
  </si>
  <si>
    <t>LT0Q1R01XEKL1</t>
  </si>
  <si>
    <t>LT0Q1R01XME21</t>
  </si>
  <si>
    <t>LT0Q1R01XM6X1</t>
  </si>
  <si>
    <t>DESTINO: LSP-04, LSP-13, LSP-20, SP5, GO2</t>
  </si>
  <si>
    <t>LT0Q1R01XEKB1</t>
  </si>
  <si>
    <t>LT0Q1R01XEL01</t>
  </si>
  <si>
    <t>LT0Q1R01XEJG1</t>
  </si>
  <si>
    <t>LT0Q1R01XEK51</t>
  </si>
  <si>
    <t>LT0Q1R01XME71</t>
  </si>
  <si>
    <t>LT0Q1R01XGNR1</t>
  </si>
  <si>
    <t>LT0Q1Q01XIQO1</t>
  </si>
  <si>
    <t>LT1Q1R01XR8E1</t>
  </si>
  <si>
    <t>LT1Q1R01XR801</t>
  </si>
  <si>
    <t>LT0Q1Q01XDCG1</t>
  </si>
  <si>
    <t>LT0Q1Q01XIF91</t>
  </si>
  <si>
    <t>LT1Q1R01XRCN1</t>
  </si>
  <si>
    <t>LT1Q1R01XRBG1</t>
  </si>
  <si>
    <t>LT0Q1R01XIEV1</t>
  </si>
  <si>
    <t>LT0Q1R01XIQ53</t>
  </si>
  <si>
    <t>LT0Q1R01XIQ32</t>
  </si>
  <si>
    <t>LT0Q1R01XM5C1</t>
  </si>
  <si>
    <t>LT0Q1R01XISC2</t>
  </si>
  <si>
    <t>LT0Q1R01XIBH1</t>
  </si>
  <si>
    <t>LT0Q1S01XDG51</t>
  </si>
  <si>
    <t>AGUARDANDO CHEGADA ÁS 06H</t>
  </si>
  <si>
    <t>LT0Q1S01XGUM1</t>
  </si>
  <si>
    <t>LT0Q1S01XDGR1</t>
  </si>
  <si>
    <t>LT0Q1S01XM6N1</t>
  </si>
  <si>
    <t>LT0Q1R01XHI01</t>
  </si>
  <si>
    <t>LT0Q1R01XHI22</t>
  </si>
  <si>
    <t>LT0Q1R01XIR24</t>
  </si>
  <si>
    <t>LT0Q1S01XE4C1</t>
  </si>
  <si>
    <t>LT0Q1S01XEKW1</t>
  </si>
  <si>
    <t>LT0Q1S01XI3H1</t>
  </si>
  <si>
    <t>LT0Q1S01XJHW1</t>
  </si>
  <si>
    <t>LT1Q1S01XS3E1</t>
  </si>
  <si>
    <t>DESTINO: LSP-13</t>
  </si>
  <si>
    <t>LT0Q1S01XDEM1</t>
  </si>
  <si>
    <t>LT0Q1S01XEKH1</t>
  </si>
  <si>
    <t>LT0Q1S01XDIM1</t>
  </si>
  <si>
    <t>LT0Q1S01XEKM1</t>
  </si>
  <si>
    <t>LT0Q1S01XME31</t>
  </si>
  <si>
    <t>LT0Q1S01XEKD1</t>
  </si>
  <si>
    <t>LT0Q1R01XF9O3</t>
  </si>
  <si>
    <t>LT0Q1S01XEJH1</t>
  </si>
  <si>
    <t>LT0Q1S01XEJW1</t>
  </si>
  <si>
    <t>LT0Q1S01XEJ71</t>
  </si>
  <si>
    <t>LT1Q1S01XRPZ1</t>
  </si>
  <si>
    <t>LT0Q1S01XEJC1</t>
  </si>
  <si>
    <t>LT0Q1S01XEK61</t>
  </si>
  <si>
    <t>LT0Q1S01XME81</t>
  </si>
  <si>
    <t>LT0Q1S01XEBC1</t>
  </si>
  <si>
    <t>LT0Q1S01XGNS1</t>
  </si>
  <si>
    <t>LT0Q1S01XH081</t>
  </si>
  <si>
    <t>LT0Q1R01XDCS2</t>
  </si>
  <si>
    <t>LT0Q1R01XIR03</t>
  </si>
  <si>
    <t>LT0Q1R01XISW1</t>
  </si>
  <si>
    <t>LT0Q1R01XIT03</t>
  </si>
  <si>
    <t>LT0Q1R01XDAR3</t>
  </si>
  <si>
    <t>LT0Q1S01XIBM2</t>
  </si>
  <si>
    <t>LT0Q1R01XF9K1</t>
  </si>
  <si>
    <t>LT0Q1S01XHHS1</t>
  </si>
  <si>
    <t>LT0Q1S01XHI32</t>
  </si>
  <si>
    <t>LT0Q1S01XIR13</t>
  </si>
  <si>
    <t>LT0Q1S01XF9U3</t>
  </si>
  <si>
    <t>LT0Q1T01XMAM1</t>
  </si>
  <si>
    <t>LT0Q1T01XDG61</t>
  </si>
  <si>
    <t>LT0Q1T01XDGH1</t>
  </si>
  <si>
    <t>LT0Q1T01XDHI1</t>
  </si>
  <si>
    <t>LT1Q1T01XSQ11</t>
  </si>
  <si>
    <t>LT0Q1T01XGUN1</t>
  </si>
  <si>
    <t>LT0Q1T01XDGS1</t>
  </si>
  <si>
    <t>LT0Q1S01XIFD1</t>
  </si>
  <si>
    <t>DESTINO: LSP-81, LSP-09, LSP-79</t>
  </si>
  <si>
    <t>LT0Q1S01XISX1</t>
  </si>
  <si>
    <t>LT0Q1S01XDAQ2</t>
  </si>
  <si>
    <t>LT0Q1T01XE4D1</t>
  </si>
  <si>
    <t>LT0Q1T01XEKX1</t>
  </si>
  <si>
    <t>LT0Q1T01XI3I1</t>
  </si>
  <si>
    <t>LT0Q1T01XJHX1</t>
  </si>
  <si>
    <t>LT0Q1T01XDEN1</t>
  </si>
  <si>
    <t>LT0Q1T01XEKA1</t>
  </si>
  <si>
    <t>LT0Q1T01XEKC2</t>
  </si>
  <si>
    <t>LT0Q1T01XEKI1</t>
  </si>
  <si>
    <t>LT0Q1T01XEKN1</t>
  </si>
  <si>
    <t>LT0Q1T01XME41</t>
  </si>
  <si>
    <t>LT0Q1T01XDIN1</t>
  </si>
  <si>
    <t>LT0Q1T01XEJ91</t>
  </si>
  <si>
    <t>LT0Q1T01XEL21</t>
  </si>
  <si>
    <t>LT0Q1T01XEJI1</t>
  </si>
  <si>
    <t>LT0Q1T01XDCZ1</t>
  </si>
  <si>
    <t>LT0Q1T01XEJX1</t>
  </si>
  <si>
    <t>LT0Q1T01XDBA1</t>
  </si>
  <si>
    <t>LT0Q1T01XEK71</t>
  </si>
  <si>
    <t>LT0Q1T01XEK21</t>
  </si>
  <si>
    <t>LT0Q1T01XEBD1</t>
  </si>
  <si>
    <t>LT0Q1T01XME91</t>
  </si>
  <si>
    <t>LT0Q1T01XE0X1</t>
  </si>
  <si>
    <t>LT0Q1T01XI0G2</t>
  </si>
  <si>
    <t>LT0Q1T01XGNT1</t>
  </si>
  <si>
    <t>LT0Q1S01XF9S2</t>
  </si>
  <si>
    <t>LT0Q1S01XDAO1</t>
  </si>
  <si>
    <t>LT0Q1S01XDCH1</t>
  </si>
  <si>
    <t>LT0Q1T01XIBI3</t>
  </si>
  <si>
    <t>LT0Q1T01XIBF1</t>
  </si>
  <si>
    <t>LT0Q1T01XIES1</t>
  </si>
  <si>
    <t>LT1Q1T01XSJ21</t>
  </si>
  <si>
    <t>LT1Q1U01XSIT1</t>
  </si>
  <si>
    <t>LT1Q1U01XSWQ1</t>
  </si>
  <si>
    <t>LT0Q1T01XHHX2</t>
  </si>
  <si>
    <t>LT0Q1T01XHHV1</t>
  </si>
  <si>
    <t>LT0Q1U01XHYJ1</t>
  </si>
  <si>
    <t>TROCA DE VEICULO</t>
  </si>
  <si>
    <t>LT0Q1U01XDGI1</t>
  </si>
  <si>
    <t>LT0Q1U01XDHJ1</t>
  </si>
  <si>
    <t>LT0Q1U01XDG71</t>
  </si>
  <si>
    <t>LT1Q1U01XSWR1</t>
  </si>
  <si>
    <t>LT0Q1U01XGUO1</t>
  </si>
  <si>
    <t>DESTINO: RS2, PE2, MG2, LSP-81, LSP-20, RJ2, GO2, BA2, SP5, SP7</t>
  </si>
  <si>
    <t>LT0Q1U01XDH51</t>
  </si>
  <si>
    <t>LT0Q1U01XM6J1</t>
  </si>
  <si>
    <t>LT0Q1T01XIR62</t>
  </si>
  <si>
    <t>LT0Q1T01XMJ52</t>
  </si>
  <si>
    <t>LT0Q1T01XDCJ1</t>
  </si>
  <si>
    <t>LT0Q1T01XDB35</t>
  </si>
  <si>
    <t>LT1Q1U01XSIQ1</t>
  </si>
  <si>
    <t>LT0Q1U01XI3J1</t>
  </si>
  <si>
    <t>LT0Q1U01XJHY1</t>
  </si>
  <si>
    <t>LT0Q1U01XE4E1</t>
  </si>
  <si>
    <t>LT0Q1U01XEKY1</t>
  </si>
  <si>
    <t>LT0Q1U01XDEO1</t>
  </si>
  <si>
    <t>LT0Q1U01XEKJ1</t>
  </si>
  <si>
    <t>LT0Q1U01XEKO1</t>
  </si>
  <si>
    <t>LT0Q1U01XME51</t>
  </si>
  <si>
    <t>LT0Q1U01XM6Y1</t>
  </si>
  <si>
    <t>LT0Q1U01XEL31</t>
  </si>
  <si>
    <t>LT0Q1U01XEK31</t>
  </si>
  <si>
    <t>LT0Q1U01XEJJ1</t>
  </si>
  <si>
    <t>LT0Q1U01XEJ81</t>
  </si>
  <si>
    <t>LT0Q1U01XEKT1</t>
  </si>
  <si>
    <t>LT0Q1U01XEK81</t>
  </si>
  <si>
    <t>LT1Q1U01XRQ11</t>
  </si>
  <si>
    <t>LT0Q1U01XEJY1</t>
  </si>
  <si>
    <t>LT0Q1U01XE0Y1</t>
  </si>
  <si>
    <t>LT0Q1U01XGNU1</t>
  </si>
  <si>
    <t>LT0Q1U01XJTQ1</t>
  </si>
  <si>
    <t>LT0Q1U01XMEA1</t>
  </si>
  <si>
    <t>LT0Q1U01XH0A1</t>
  </si>
  <si>
    <t>LT0Q1T01XIT11</t>
  </si>
  <si>
    <t>LT0Q1T01XF9N3</t>
  </si>
  <si>
    <t>LT0Q1T01XIR41</t>
  </si>
  <si>
    <t>LT0Q1T01XIC41</t>
  </si>
  <si>
    <t>LT0Q1T01XDAZ3</t>
  </si>
  <si>
    <t>LT0Q1T01XDB14</t>
  </si>
  <si>
    <t>LT1Q1U01XTB11</t>
  </si>
  <si>
    <t>LT0Q1T01XDC82</t>
  </si>
  <si>
    <t>LT0Q1U01XM5N1</t>
  </si>
  <si>
    <t>LT0Q1U01XIET1</t>
  </si>
  <si>
    <t>LT0Q1V01XDGJ1</t>
  </si>
  <si>
    <t>LT0Q1V01XDHK1</t>
  </si>
  <si>
    <t>LT0Q1V01XDG81</t>
  </si>
  <si>
    <t>LT0Q1V01XMAN1</t>
  </si>
  <si>
    <t>LT0Q1V01XGUP1</t>
  </si>
  <si>
    <t>LT0Q1V01XDGT1</t>
  </si>
  <si>
    <t>LT0Q1U01XIFJ2</t>
  </si>
  <si>
    <t>LT0Q1V01XI3K1</t>
  </si>
  <si>
    <t>LT0Q1V01XE4F1</t>
  </si>
  <si>
    <t>LT0Q1V01XEKZ1</t>
  </si>
  <si>
    <t>LT0Q1V01XDEP1</t>
  </si>
  <si>
    <t>DESTINO: LSP-89 descarregando, PE2</t>
  </si>
  <si>
    <t>LT0Q1V01XEKK1</t>
  </si>
  <si>
    <t>LT0Q1V01XEKP1</t>
  </si>
  <si>
    <t>LT0Q1V01XME61</t>
  </si>
  <si>
    <t>LT0Q1V01XEKF1</t>
  </si>
  <si>
    <t>LT0Q1V01XM6Z1</t>
  </si>
  <si>
    <t>LT0Q1V01XEJA1</t>
  </si>
  <si>
    <t>LT0Q1V01XEJZ1</t>
  </si>
  <si>
    <t>LT0Q1V01XEL41</t>
  </si>
  <si>
    <t>LT0Q1V01XEKU1</t>
  </si>
  <si>
    <t>LT0Q1V01XMCW1</t>
  </si>
  <si>
    <t>LT0Q1V01XEK91</t>
  </si>
  <si>
    <t>LT0Q1V01XEJK1</t>
  </si>
  <si>
    <t>LT0Q1V01XEK41</t>
  </si>
  <si>
    <t>LT0Q1V01XEBF1</t>
  </si>
  <si>
    <t>LT0Q1V01XGNV1</t>
  </si>
  <si>
    <t>LT0Q1V01XMEB1</t>
  </si>
  <si>
    <t>LT0Q1U01XIC93</t>
  </si>
  <si>
    <t>LT0Q1U01XIQU2</t>
  </si>
  <si>
    <t>LT0Q1U01XDAG1</t>
  </si>
  <si>
    <t>LT0Q1U01XDCM1</t>
  </si>
  <si>
    <t>LT0Q1V01XIEU1</t>
  </si>
  <si>
    <t>LT0Q1V01XIBO1</t>
  </si>
  <si>
    <t>LT0Q1V01XMIV1</t>
  </si>
  <si>
    <t>LT0Q1V01XF8J1</t>
  </si>
  <si>
    <t>LT0Q2301XWI51</t>
  </si>
  <si>
    <t>LT0Q2301XZM61</t>
  </si>
  <si>
    <t>LT0Q2301XW0I1</t>
  </si>
  <si>
    <t>LT0Q2301Y5A81</t>
  </si>
  <si>
    <t>LT0Q2201Y0BE1</t>
  </si>
  <si>
    <t>LT0Q2301Y0Z31</t>
  </si>
  <si>
    <t>LT0Q2301XVW21</t>
  </si>
  <si>
    <t>LT0Q2301Y2GY1</t>
  </si>
  <si>
    <t>LT0Q2301XWQI1</t>
  </si>
  <si>
    <t>LT0Q2301XX7A1</t>
  </si>
  <si>
    <t>LT0Q2301XX701</t>
  </si>
  <si>
    <t>DESTINO: RJ2</t>
  </si>
  <si>
    <t>LT0Q2301XX6P1</t>
  </si>
  <si>
    <t>LT0Q2301XX6U1</t>
  </si>
  <si>
    <t>LT0Q2301XW2R2</t>
  </si>
  <si>
    <t>LT0Q2301Y59L1</t>
  </si>
  <si>
    <t>LT0Q2301Y5JE1</t>
  </si>
  <si>
    <t>LT0Q2301XX5G1</t>
  </si>
  <si>
    <t>LT0Q2301XX5V1</t>
  </si>
  <si>
    <t>LT0Q2301XX761</t>
  </si>
  <si>
    <t>LT0Q2301XX6F1</t>
  </si>
  <si>
    <t>LT0Q2301XX6K1</t>
  </si>
  <si>
    <t>LT0Q2301Y5F01</t>
  </si>
  <si>
    <t>LT0Q2301XZF31</t>
  </si>
  <si>
    <t>LT0Q2301Y2TZ1</t>
  </si>
  <si>
    <t>LT0Q2301XYE71</t>
  </si>
  <si>
    <t>LT0Q2201XVT82</t>
  </si>
  <si>
    <t>LT0Q2201Y1842</t>
  </si>
  <si>
    <t>LT0Q2201Y1BJ2</t>
  </si>
  <si>
    <t>LT0Q2201XXXF2</t>
  </si>
  <si>
    <t>LT0Q2301Y1ND1</t>
  </si>
  <si>
    <t>LT0Q2301Y1PR1</t>
  </si>
  <si>
    <t>LT0Q2301Y5OQ2</t>
  </si>
  <si>
    <t>LT0Q2301Y1NF2</t>
  </si>
  <si>
    <t>LT0Q2301Y5OO1</t>
  </si>
  <si>
    <t>LT0Q2401XW071</t>
  </si>
  <si>
    <t>LT0Q2401XVZU1</t>
  </si>
  <si>
    <t>LT0Q2401XVW31</t>
  </si>
  <si>
    <t>LT0Q2401XZM71</t>
  </si>
  <si>
    <t>LT0Q2401Y5A31</t>
  </si>
  <si>
    <t>LT0Q2401Y5A71</t>
  </si>
  <si>
    <t>LT0Q2301XVVU1</t>
  </si>
  <si>
    <t>TELESCÓPICA</t>
  </si>
  <si>
    <t>LT0Q2301XVTJ2</t>
  </si>
  <si>
    <t>LADO PRINCIPAL</t>
  </si>
  <si>
    <t>LT0Q2301XVTL3</t>
  </si>
  <si>
    <t>LT0Q2301Y0BF1</t>
  </si>
  <si>
    <t>DESTINO: LSP-93</t>
  </si>
  <si>
    <t>LT1Q2401YBHS1</t>
  </si>
  <si>
    <t>LT0Q2401Y0Z41</t>
  </si>
  <si>
    <t>LT0Q2401XWQK1</t>
  </si>
  <si>
    <t>LT0Q2401XX7B1</t>
  </si>
  <si>
    <t>LT0Q2401XX6Q1</t>
  </si>
  <si>
    <t>LT0Q2401XX6V1</t>
  </si>
  <si>
    <t>LT0Q2401XX721</t>
  </si>
  <si>
    <t>LT0Q2401XW2Q1</t>
  </si>
  <si>
    <t>LT0Q2401Y5JG1</t>
  </si>
  <si>
    <t>LT0Q2401XX5H1</t>
  </si>
  <si>
    <t>LT0Q2401XX5R1</t>
  </si>
  <si>
    <t>LT0Q2401XX5W1</t>
  </si>
  <si>
    <t>LT0Q2401XWN51</t>
  </si>
  <si>
    <t>LT0Q2401Y2U01</t>
  </si>
  <si>
    <t>LT0Q2401XZF41</t>
  </si>
  <si>
    <t>LT0Q2401XYE81</t>
  </si>
  <si>
    <t>LT1Q2301YAZ71</t>
  </si>
  <si>
    <t>LT0Q2301Y1BR2</t>
  </si>
  <si>
    <t>LT0Q2301Y1882</t>
  </si>
  <si>
    <t>LT0Q2301Y18A3</t>
  </si>
  <si>
    <t>LT0Q2301Y1OD4</t>
  </si>
  <si>
    <t>LT0Q2301Y5P61</t>
  </si>
  <si>
    <t>LT0Q2301Y5P72</t>
  </si>
  <si>
    <t>LT1Q2301YB2W1</t>
  </si>
  <si>
    <t>LT0Q2401Y1B11</t>
  </si>
  <si>
    <t>LT0Q2501XVZW1</t>
  </si>
  <si>
    <t>LT0Q2501XW081</t>
  </si>
  <si>
    <t>LT0Q2501XW0J1</t>
  </si>
  <si>
    <t>LT0Q2501Y5A91</t>
  </si>
  <si>
    <t>LT0Q2401Y5P81</t>
  </si>
  <si>
    <t>LT0Q2501XWQL1</t>
  </si>
  <si>
    <t>LT0Q2501XX7C1</t>
  </si>
  <si>
    <t>LT0Q2501Y0Z51</t>
  </si>
  <si>
    <t>LT0Q2501Y2H01</t>
  </si>
  <si>
    <t>LT0Q2501XX6R1</t>
  </si>
  <si>
    <t>DESTINO: PR1</t>
  </si>
  <si>
    <t>LT0Q2501XX6W1</t>
  </si>
  <si>
    <t>LT0Q2501XX712</t>
  </si>
  <si>
    <t>LT0Q2501Y5JF2</t>
  </si>
  <si>
    <t>LT0Q2501XW2T1</t>
  </si>
  <si>
    <t>LT0Q2501Y59N1</t>
  </si>
  <si>
    <t>LT0Q2501XX5I1</t>
  </si>
  <si>
    <t>LT0Q2501XX5S1</t>
  </si>
  <si>
    <t>LT0Q2501XX771</t>
  </si>
  <si>
    <t>LT0Q2501XX6M1</t>
  </si>
  <si>
    <t>LT0Q2501XVU61</t>
  </si>
  <si>
    <t>LT0Q2501XX7H1</t>
  </si>
  <si>
    <t>LT0Q2501XX6H1</t>
  </si>
  <si>
    <t>LT0Q2501Y5F11</t>
  </si>
  <si>
    <t>LT0Q2501XWX21</t>
  </si>
  <si>
    <t>LT0Q2501XZF51</t>
  </si>
  <si>
    <t>LT0Q2501Y2U11</t>
  </si>
  <si>
    <t>LT0Q2501XX621</t>
  </si>
  <si>
    <t>LT0Q2501XX6C1</t>
  </si>
  <si>
    <t>LT0Q2401XVTK1</t>
  </si>
  <si>
    <t>LT0Q2401XVTM2</t>
  </si>
  <si>
    <t>LT0Q2401XXXM3</t>
  </si>
  <si>
    <t>LT0Q2401Y1871</t>
  </si>
  <si>
    <t>LT0Q2401Y1BW3</t>
  </si>
  <si>
    <t>LT0Q2401Y5PA2</t>
  </si>
  <si>
    <t>LT0Q2401XVV81</t>
  </si>
  <si>
    <t>LT0Q2401Y0BI1</t>
  </si>
  <si>
    <t>LT0Q2401Y18B3</t>
  </si>
  <si>
    <t>LT0Q2501Y1NH1</t>
  </si>
  <si>
    <t>LT0Q2601XW091</t>
  </si>
  <si>
    <t>LT1Q2601YCZQ1</t>
  </si>
  <si>
    <t>LT1Q2601YDHD1</t>
  </si>
  <si>
    <t>LT0Q2601XW102</t>
  </si>
  <si>
    <t>LT0Q2601XW0K1</t>
  </si>
  <si>
    <t>LT0Q2601XZMA1</t>
  </si>
  <si>
    <t>LT1Q2601YDHS1</t>
  </si>
  <si>
    <t>LT0Q2501Y0BK2</t>
  </si>
  <si>
    <t>LT0Q2501XVVR1</t>
  </si>
  <si>
    <t>LT0Q2501Y5P91</t>
  </si>
  <si>
    <t>LT0Q2501Y5PD3</t>
  </si>
  <si>
    <t>DESTINO: LSP-09</t>
  </si>
  <si>
    <t>LT0Q2601Y0Z61</t>
  </si>
  <si>
    <t>LT0Q2501Y18C1</t>
  </si>
  <si>
    <t>LT0Q2601XWQM1</t>
  </si>
  <si>
    <t>LT0Q2601XX7D1</t>
  </si>
  <si>
    <t>LT0Q2601Y2H11</t>
  </si>
  <si>
    <t>LT0Q2601XX6S1</t>
  </si>
  <si>
    <t>LT0Q2601XX6X1</t>
  </si>
  <si>
    <t>LT0Q2601XW2U1</t>
  </si>
  <si>
    <t>LT0Q2601Y5JH1</t>
  </si>
  <si>
    <t>LT0Q2601Y59O1</t>
  </si>
  <si>
    <t>LT0Q2601XX781</t>
  </si>
  <si>
    <t>LT0Q2601XX5Y1</t>
  </si>
  <si>
    <t>LT0Q2601XX6N1</t>
  </si>
  <si>
    <t>LT0Q2601XX5T1</t>
  </si>
  <si>
    <t>LT0Q2601XX5J1</t>
  </si>
  <si>
    <t>LT0Q2601XX6I1</t>
  </si>
  <si>
    <t>LT0Q2601XX7I1</t>
  </si>
  <si>
    <t>LT0Q2601Y5F21</t>
  </si>
  <si>
    <t>LT0Q2601XZF61</t>
  </si>
  <si>
    <t>LT0Q2501Y1BN2</t>
  </si>
  <si>
    <t>LT0Q2501Y1OH2</t>
  </si>
  <si>
    <t>LT0Q2501XVTA1</t>
  </si>
  <si>
    <t>LT0Q2601XVUD1</t>
  </si>
  <si>
    <t>LT0Q2501Y1QO3</t>
  </si>
  <si>
    <t>LT0Q2501XVSX3</t>
  </si>
  <si>
    <t>LT0Q2601Y1NI1</t>
  </si>
  <si>
    <t>LT0Q2701XVZY1</t>
  </si>
  <si>
    <t>LT1Q2701YSK01</t>
  </si>
  <si>
    <t>LT0Q2701XZM91</t>
  </si>
  <si>
    <t>LT0Q2701Y5ER1</t>
  </si>
  <si>
    <t>LT0Q2701XW0Z1</t>
  </si>
  <si>
    <t>LT0Q2701Y5A41</t>
  </si>
  <si>
    <t>LT0Q2701Y0Z71</t>
  </si>
  <si>
    <t>LT0Q2701Y2H21</t>
  </si>
  <si>
    <t>LT0Q2701XWQN1</t>
  </si>
  <si>
    <t>LT0Q2701XX7E1</t>
  </si>
  <si>
    <t>LT0Q2701XVY11</t>
  </si>
  <si>
    <t xml:space="preserve">DESTINO: </t>
  </si>
  <si>
    <t>LT0Q2701XX6Y1</t>
  </si>
  <si>
    <t>LT0Q2701XW2N1</t>
  </si>
  <si>
    <t>LT0Q2701Y5JI1</t>
  </si>
  <si>
    <t>LT0Q2701XX6O1</t>
  </si>
  <si>
    <t>LT0Q2701XX5Z1</t>
  </si>
  <si>
    <t>LT0Q2701XX5K1</t>
  </si>
  <si>
    <t>LT0Q2701XX791</t>
  </si>
  <si>
    <t>LT0Q2701XWX41</t>
  </si>
  <si>
    <t>LT0Q2701XZF71</t>
  </si>
  <si>
    <t>LT0Q2701Y2U31</t>
  </si>
  <si>
    <t>LT0Q2701XYEB1</t>
  </si>
  <si>
    <t>LT0Q2601Y1QF2</t>
  </si>
  <si>
    <t>LT0Q2A01YFDI1</t>
  </si>
  <si>
    <t>LT0Q2A01YIZA1</t>
  </si>
  <si>
    <t>LT0Q2A01YPP91</t>
  </si>
  <si>
    <t>LT0Q2A01YK121</t>
  </si>
  <si>
    <t>LT0Q2A01YM291</t>
  </si>
  <si>
    <t>LT0Q2A01YF9C1</t>
  </si>
  <si>
    <t>LT0Q2A01YIZL1</t>
  </si>
  <si>
    <t>LT0Q2A01YN661</t>
  </si>
  <si>
    <t>LT0Q2901YKMG1</t>
  </si>
  <si>
    <t>LT0Q2A01YPQ41</t>
  </si>
  <si>
    <t>LT0Q2A01YK1C1</t>
  </si>
  <si>
    <t>LT0Q2A01YGJI1</t>
  </si>
  <si>
    <t>LT0Q2A01YFHP1</t>
  </si>
  <si>
    <t>LT0Q2A01YK0S1</t>
  </si>
  <si>
    <t>LT0Q2A01YF8Q1</t>
  </si>
  <si>
    <t>LT0Q2A01YF9M1</t>
  </si>
  <si>
    <t>LT0Q2A01YK0X1</t>
  </si>
  <si>
    <t>LT0Q2A01YJZO1</t>
  </si>
  <si>
    <t>LT0Q2A01YJZT1</t>
  </si>
  <si>
    <t>LT0Q2A01YK031</t>
  </si>
  <si>
    <t>LT0Q2A01YK0D1</t>
  </si>
  <si>
    <t>LT0Q2A01YK0I1</t>
  </si>
  <si>
    <t>LM Hub_SP_VilaGuilherme</t>
  </si>
  <si>
    <t>HUB-LSP-68</t>
  </si>
  <si>
    <t>LT0Q2A01YK1H1</t>
  </si>
  <si>
    <t>HUB-LSP-36</t>
  </si>
  <si>
    <t>LT0Q2A01YJRI1</t>
  </si>
  <si>
    <t>LT0Q2A01YLW81</t>
  </si>
  <si>
    <t>LT0Q2A01YOSA1</t>
  </si>
  <si>
    <t>LT0Q2A01YIUG1</t>
  </si>
  <si>
    <t>LT0Q2B01YIZB1</t>
  </si>
  <si>
    <t>LT0Q2B01YIVS1</t>
  </si>
  <si>
    <t>LT0Q2B01YPPA1</t>
  </si>
  <si>
    <t>LT1Q2B01YTRA1</t>
  </si>
  <si>
    <t>LT0Q2B01YK131</t>
  </si>
  <si>
    <t>LT0Q2B01YIZM1</t>
  </si>
  <si>
    <t>LT0Q2B01YJ021</t>
  </si>
  <si>
    <t>LT0Q2B01YK1D1</t>
  </si>
  <si>
    <t>LT0Q2B01YN671</t>
  </si>
  <si>
    <t>LT0Q2B01YPQ51</t>
  </si>
  <si>
    <t>LT0Q2B01YGJJ1</t>
  </si>
  <si>
    <t>LT0Q2B01YF8R1</t>
  </si>
  <si>
    <t>LT0Q2B01YK0Y1</t>
  </si>
  <si>
    <t>LT0Q2B01YF9N1</t>
  </si>
  <si>
    <t>LT1Q2B01YUOG1</t>
  </si>
  <si>
    <t>LT0Q2B01YK181</t>
  </si>
  <si>
    <t>LT0Q2B01YK0O1</t>
  </si>
  <si>
    <t>LT1Q2B01YUOH1</t>
  </si>
  <si>
    <t>LT0Q2B01YJZU1</t>
  </si>
  <si>
    <t>LT0Q2B01YK0E1</t>
  </si>
  <si>
    <t>LT0Q2B01YJE81</t>
  </si>
  <si>
    <t>LT0Q2B01YFHQ1</t>
  </si>
  <si>
    <t>LT1Q2B01YV081</t>
  </si>
  <si>
    <t>LT0Q2A01YNDL3</t>
  </si>
  <si>
    <t>LT1Q2A01YUCI1</t>
  </si>
  <si>
    <t>LT0Q2A01YMNE2</t>
  </si>
  <si>
    <t>LT0Q2A01YNSM1</t>
  </si>
  <si>
    <t>LT0Q2A01YNQV1</t>
  </si>
  <si>
    <t>LT0Q2A01YITS1</t>
  </si>
  <si>
    <t>LT1Q2A01YTQI1</t>
  </si>
  <si>
    <t>LT1Q2A01YUCE1</t>
  </si>
  <si>
    <t>LT0Q2B01YMMV1</t>
  </si>
  <si>
    <t>LT0Q2C01YIZC1</t>
  </si>
  <si>
    <t>LT0Q2C01YPPB1</t>
  </si>
  <si>
    <t>LT0Q2C01YK141</t>
  </si>
  <si>
    <t>LT0Q2C01YIUE1</t>
  </si>
  <si>
    <t>LT0Q2C01YM2B1</t>
  </si>
  <si>
    <t>LT0Q2C01YIZN1</t>
  </si>
  <si>
    <t>LT0Q2C01YJ031</t>
  </si>
  <si>
    <t>LT0Q2C01YOGS1</t>
  </si>
  <si>
    <t>LT0Q2C01YN681</t>
  </si>
  <si>
    <t>LT0Q2C01YK1E1</t>
  </si>
  <si>
    <t>LT0Q2C01YK0U1</t>
  </si>
  <si>
    <t>LT0Q2C01YF8S1</t>
  </si>
  <si>
    <t>LT0Q2C01YF9O1</t>
  </si>
  <si>
    <t>LT1Q2B01YV5T1</t>
  </si>
  <si>
    <t>LT0Q2B01YKMU3</t>
  </si>
  <si>
    <t>LT1Q2C01YVPP1</t>
  </si>
  <si>
    <t>LT0Q2C01YK0Z1</t>
  </si>
  <si>
    <t>LT0Q2C01YFHR1</t>
  </si>
  <si>
    <t>LT0Q2B01YNSN1</t>
  </si>
  <si>
    <t>LT0Q2B01YF841</t>
  </si>
  <si>
    <t>LT0Q2B01YITV1</t>
  </si>
  <si>
    <t>LT0Q2B01YIU14</t>
  </si>
  <si>
    <t>LT0Q2B01YNGF1</t>
  </si>
  <si>
    <t>LT0Q2C01YNQ82</t>
  </si>
  <si>
    <t>LT0Q2C01YND31</t>
  </si>
  <si>
    <t>LT0Q2C01YIUY1</t>
  </si>
  <si>
    <t>LT0Q2D01YIZD1</t>
  </si>
  <si>
    <t>LT0Q2D01YK151</t>
  </si>
  <si>
    <t>LT0Q2D01YPPC1</t>
  </si>
  <si>
    <t>LT0Q2D01YIZO1</t>
  </si>
  <si>
    <t>LT0Q2D01YM2C1</t>
  </si>
  <si>
    <t>LT0Q2D01YJ041</t>
  </si>
  <si>
    <t>LT0Q2D01YOGT1</t>
  </si>
  <si>
    <t>LT0Q2D01YK1F1</t>
  </si>
  <si>
    <t>LT0Q2D01YN691</t>
  </si>
  <si>
    <t>LT0Q2D01YPQ71</t>
  </si>
  <si>
    <t>LT0Q2D01YF8T1</t>
  </si>
  <si>
    <t>LT0Q2D01YK101</t>
  </si>
  <si>
    <t>LT0Q2D01YF9P1</t>
  </si>
  <si>
    <t>LT0Q2D01YFHS1</t>
  </si>
  <si>
    <t>LT0Q2D01YK0G1</t>
  </si>
  <si>
    <t>LT0Q2D01YK011</t>
  </si>
  <si>
    <t>LT0Q2D01YK0Q1</t>
  </si>
  <si>
    <t>LT0Q2D01YK1K1</t>
  </si>
  <si>
    <t>LT0Q2D01YJRL1</t>
  </si>
  <si>
    <t>LT0Q2D01YJIG1</t>
  </si>
  <si>
    <t>LT0Q2D01YFHX1</t>
  </si>
  <si>
    <t>LT0Q2D01YLWB1</t>
  </si>
  <si>
    <t>LT0Q2C01YIU63</t>
  </si>
  <si>
    <t>LT0Q2C01YIU84</t>
  </si>
  <si>
    <t>LT1Q2C01YVUW1</t>
  </si>
  <si>
    <t>LT1Q2C01YVV01</t>
  </si>
  <si>
    <t>LT1Q2C01YVC81</t>
  </si>
  <si>
    <t>LT0Q2C01YITP5</t>
  </si>
  <si>
    <t>LT0Q2C01YNSR1</t>
  </si>
  <si>
    <t>LT0Q2D01YNQ71</t>
  </si>
  <si>
    <t>LT0Q2D01YMMX1</t>
  </si>
  <si>
    <t>LT0Q2E01YIZE1</t>
  </si>
  <si>
    <t>LT0Q2E01YPPD1</t>
  </si>
  <si>
    <t>LT0Q2E01YK161</t>
  </si>
  <si>
    <t>LT0Q2E01YM2D1</t>
  </si>
  <si>
    <t>LT0Q2E01YIZP1</t>
  </si>
  <si>
    <t>LT0Q2E01YJ051</t>
  </si>
  <si>
    <t>LT0Q2D01YKML1</t>
  </si>
  <si>
    <t>LT0Q2E01YN6A1</t>
  </si>
  <si>
    <t>LT0Q2E01YOGU1</t>
  </si>
  <si>
    <t>LT0Q2E01YPQ81</t>
  </si>
  <si>
    <t>LT0Q2E01YK1G1</t>
  </si>
  <si>
    <t>LT0Q2E01YK0W1</t>
  </si>
  <si>
    <t>LT0Q2E01YF8U1</t>
  </si>
  <si>
    <t>LT0Q2E01YJ1T1</t>
  </si>
  <si>
    <t>LT0Q2E01YK111</t>
  </si>
  <si>
    <t>LT0Q2E01YFHT1</t>
  </si>
  <si>
    <t>LT0Q2E01YJZS1</t>
  </si>
  <si>
    <t>LT0Q2E01YK0H1</t>
  </si>
  <si>
    <t>LT0Q2E01YK021</t>
  </si>
  <si>
    <t>LT0Q2E01YK0M1</t>
  </si>
  <si>
    <t>LT0Q2E01YK1B1</t>
  </si>
  <si>
    <t>LT0Q2E01YK1L1</t>
  </si>
  <si>
    <t>LT1Q2D01YWRG1</t>
  </si>
  <si>
    <t>LT0Q2D01YF7W1</t>
  </si>
  <si>
    <t>LT1Q2D01YWRU1</t>
  </si>
  <si>
    <t>LT1Q2D01YWRB1</t>
  </si>
  <si>
    <t>LT0Q2D01YMNA1</t>
  </si>
  <si>
    <t>LT0Q2D01YNDP2</t>
  </si>
  <si>
    <t>LT1Q2D01YVV11</t>
  </si>
  <si>
    <t>LT0Q2D01YITM1</t>
  </si>
  <si>
    <t>LT0Q2D01YFMW1</t>
  </si>
  <si>
    <t>LT0Q2E01YJZX1</t>
  </si>
  <si>
    <t>SLA</t>
  </si>
  <si>
    <t>Não excluir essa linha</t>
  </si>
  <si>
    <t>LT1PB801RNSS1</t>
  </si>
  <si>
    <t>LT1PB801RNSP1</t>
  </si>
  <si>
    <t>LT1PB901RKVN1</t>
  </si>
  <si>
    <t>LT0PB801QNON1</t>
  </si>
  <si>
    <t>LT1PB801RKVV1</t>
  </si>
  <si>
    <t>LT1PB901RNSX1</t>
  </si>
  <si>
    <t>LT1PB901RKVO1</t>
  </si>
  <si>
    <t>LT1PB901RKWG1</t>
  </si>
  <si>
    <t>LT1PB901RO471</t>
  </si>
  <si>
    <t>LT1PB901RKVP1</t>
  </si>
  <si>
    <t>LT1PB901RO2Y1</t>
  </si>
  <si>
    <t>LT1PB901RKWH1</t>
  </si>
  <si>
    <t>LT1PB901RNSU1</t>
  </si>
  <si>
    <t>LT1PB901RO331</t>
  </si>
  <si>
    <t>LT1PB901RKXA1</t>
  </si>
  <si>
    <t>LT1PB901RO481</t>
  </si>
  <si>
    <t>LT1PB901RKX61</t>
  </si>
  <si>
    <t>LT1PB901RKWI1</t>
  </si>
  <si>
    <t>LT0PB801QU2O1</t>
  </si>
  <si>
    <t>LT0PBA01RC121</t>
  </si>
  <si>
    <t>LT0PBA01R8EJ1</t>
  </si>
  <si>
    <t>LT0PBA01R8B61</t>
  </si>
  <si>
    <t>LT0PBA01R8CJ1</t>
  </si>
  <si>
    <t>LT0PBA01R8BB1</t>
  </si>
  <si>
    <t>LT0PBA01R8DI1</t>
  </si>
  <si>
    <t>LT0PBA01R8AV1</t>
  </si>
  <si>
    <t>LT0PBA01RJ2O1</t>
  </si>
  <si>
    <t>LT0PBA01R8BZ1</t>
  </si>
  <si>
    <t>LT0PBA01R8CC1</t>
  </si>
  <si>
    <t>LT0PBA01RBQ51</t>
  </si>
  <si>
    <t>LT1PBA01ROL01</t>
  </si>
  <si>
    <t>LT0PBA01RGLW1</t>
  </si>
  <si>
    <t>LT0PBA01RF9R1</t>
  </si>
  <si>
    <t>LT0PBA01R8B11</t>
  </si>
  <si>
    <t>LT0PBA01R9GD1</t>
  </si>
  <si>
    <t>LT0PBA01R9761</t>
  </si>
  <si>
    <t>LT0PBA01R8CH1</t>
  </si>
  <si>
    <t>LT0PBA01RGMJ1</t>
  </si>
  <si>
    <t>LT0PBA01R8BI2</t>
  </si>
  <si>
    <t>LT0PBA01R8BG1</t>
  </si>
  <si>
    <t>LT1PBA01RP431</t>
  </si>
  <si>
    <t>LT0PBA01R8F21</t>
  </si>
  <si>
    <t>LT0PBA01R8G42</t>
  </si>
  <si>
    <t>LT0PBA01R8WK1</t>
  </si>
  <si>
    <t>LT1PBB01RP491</t>
  </si>
  <si>
    <t>LT0PBA01R8FF2</t>
  </si>
  <si>
    <t>LT0PBA01R8GC2</t>
  </si>
  <si>
    <t>LT0PBA01RDCT1</t>
  </si>
  <si>
    <t>LT0PBA01RD3Z2</t>
  </si>
  <si>
    <t>LT0PBA01R8FD1</t>
  </si>
  <si>
    <t>LT0PBB01RFOM1</t>
  </si>
  <si>
    <t>LT0PBB01RFXW1</t>
  </si>
  <si>
    <t>LT0PBB01R8841</t>
  </si>
  <si>
    <t>LT0PBB01RG2N1</t>
  </si>
  <si>
    <t>LT1PBB01ROL71</t>
  </si>
  <si>
    <t>LT1PBB01ROL51</t>
  </si>
  <si>
    <t>LT1PBB01RP2L1</t>
  </si>
  <si>
    <t>LT0PBB01R89Z1</t>
  </si>
  <si>
    <t>LT0PBB01R88T1</t>
  </si>
  <si>
    <t>LT0PBB01RB2M1</t>
  </si>
  <si>
    <t>LT0PBB01RB2P2</t>
  </si>
  <si>
    <t>LT0PBB01RIWJ1</t>
  </si>
  <si>
    <t>LT0PBB01RIWM3</t>
  </si>
  <si>
    <t>LT0PBB01RIWL2</t>
  </si>
  <si>
    <t>LT0PBB01R8CU1</t>
  </si>
  <si>
    <t>LT0PBB01R8CV2</t>
  </si>
  <si>
    <t>LT0PBB01R8CX3</t>
  </si>
  <si>
    <t>LT0PBB01RFJW1</t>
  </si>
  <si>
    <t>LT1PBB01RP2R1</t>
  </si>
  <si>
    <t>LT0PBB01RE7P1</t>
  </si>
  <si>
    <t>LT0PBB01RF9A1</t>
  </si>
  <si>
    <t>LT0PBB01R8CP2</t>
  </si>
  <si>
    <t>LT0PBB01R8CO1</t>
  </si>
  <si>
    <t>LT0PBB01R8FO1</t>
  </si>
  <si>
    <t>LT0PBB01R8W81</t>
  </si>
  <si>
    <t>LT0PBB01RFOS1</t>
  </si>
  <si>
    <t>LT0PBB01RFY11</t>
  </si>
  <si>
    <t>LT1PBB01RP2W1</t>
  </si>
  <si>
    <t>LT0PBB01RFK21</t>
  </si>
  <si>
    <t>LT0PBB01RG2S1</t>
  </si>
  <si>
    <t>LT1PBB01ROL61</t>
  </si>
  <si>
    <t>LT1PBB01RP2Y1</t>
  </si>
  <si>
    <t>LT0PBB01R8D11</t>
  </si>
  <si>
    <t>LT0PBB01R8DO1</t>
  </si>
  <si>
    <t>LT0PBB01RK061</t>
  </si>
  <si>
    <t>LT0PBB01R8EO1</t>
  </si>
  <si>
    <t>LT0PBB01R8GP1</t>
  </si>
  <si>
    <t>LT0PBB01R8FY1</t>
  </si>
  <si>
    <t>LT0PBB01R9P41</t>
  </si>
  <si>
    <t>LT0PBB01R88V2</t>
  </si>
  <si>
    <t>LT0PBB01RB2R1</t>
  </si>
  <si>
    <t>LT0PBB01RB2T2</t>
  </si>
  <si>
    <t>LT0PBB01R8881</t>
  </si>
  <si>
    <t>LT0PBB01R8A51</t>
  </si>
  <si>
    <t>LT0PBB01RDK41</t>
  </si>
  <si>
    <t>LT0PBB01R8DZ1</t>
  </si>
  <si>
    <t>LT0PBB01R8F81</t>
  </si>
  <si>
    <t>LT0PBA01R8DJ2</t>
  </si>
  <si>
    <t>LT0PBB01R8CK1</t>
  </si>
  <si>
    <t>LT0PBB01R8BC1</t>
  </si>
  <si>
    <t>LT0PBB01RIXY1</t>
  </si>
  <si>
    <t>LT0PBB01R8DK1</t>
  </si>
  <si>
    <t>LT1PBB01RPD21</t>
  </si>
  <si>
    <t>LT0PBB01R9711</t>
  </si>
  <si>
    <t>LT0PBB01R8C01</t>
  </si>
  <si>
    <t>LT0PBB01RBQ61</t>
  </si>
  <si>
    <t>LT0PBB01R9771</t>
  </si>
  <si>
    <t>LT0PBB01R9GE1</t>
  </si>
  <si>
    <t>LT0PBB01R8BH1</t>
  </si>
  <si>
    <t>LT0PBB01RF9S1</t>
  </si>
  <si>
    <t>LT0PBB01R8F31</t>
  </si>
  <si>
    <t>LT0PBB01R8G51</t>
  </si>
  <si>
    <t>LT0PBB01R8GL1</t>
  </si>
  <si>
    <t>LT0PBB01R8FE1</t>
  </si>
  <si>
    <t>LT0PBB01RIWV1</t>
  </si>
  <si>
    <t>LT1PBC01RPD41</t>
  </si>
  <si>
    <t>LT0PBC01RDK31</t>
  </si>
  <si>
    <t>LT0PBC01RG2T1</t>
  </si>
  <si>
    <t>LT0PBC01RFOT1</t>
  </si>
  <si>
    <t>LT0PBC01RFON1</t>
  </si>
  <si>
    <t>LT0PBC01RFXX1</t>
  </si>
  <si>
    <t>LT0PBC01RFY21</t>
  </si>
  <si>
    <t>LT0PBB01R87M1</t>
  </si>
  <si>
    <t>LT0PBB01R87W1</t>
  </si>
  <si>
    <t>LT0PBB01R87U1</t>
  </si>
  <si>
    <t>LT0PBC01R8731</t>
  </si>
  <si>
    <t>LT1PBB01RP041</t>
  </si>
  <si>
    <t>LT0PBC01RFJX1</t>
  </si>
  <si>
    <t>LT1PBC01RPDD1</t>
  </si>
  <si>
    <t>LT0PBB01RB401</t>
  </si>
  <si>
    <t>LT1PBB01RPDF1</t>
  </si>
  <si>
    <t>LT0PBC01RG2O1</t>
  </si>
  <si>
    <t>LT0PBC01R8W91</t>
  </si>
  <si>
    <t>LT0PBC01RFK31</t>
  </si>
  <si>
    <t>LT0PBB01RGMK1</t>
  </si>
  <si>
    <t>LT0PBC01RF9B1</t>
  </si>
  <si>
    <t>LT0PBB01RGLX1</t>
  </si>
  <si>
    <t>LT0PBB01R8GB1</t>
  </si>
  <si>
    <t>LT0PBB01R8AX1</t>
  </si>
  <si>
    <t>LT0PBB01RDCU1</t>
  </si>
  <si>
    <t>LT0PBC01R8GQ1</t>
  </si>
  <si>
    <t>LT0PBC01R8E01</t>
  </si>
  <si>
    <t>LT0PBC01R8CQ1</t>
  </si>
  <si>
    <t>LT0PBC01R8D21</t>
  </si>
  <si>
    <t>LT0PBB01R8CD1</t>
  </si>
  <si>
    <t>LT0PBB01RC131</t>
  </si>
  <si>
    <t>LT0PBC01R8FZ1</t>
  </si>
  <si>
    <t>LT0PBC01R9P51</t>
  </si>
  <si>
    <t>LT0PBC01R8DP1</t>
  </si>
  <si>
    <t>LT0PBB01R8EK1</t>
  </si>
  <si>
    <t>LT0PBC01R8FP1</t>
  </si>
  <si>
    <t>LT0PBB01R8B71</t>
  </si>
  <si>
    <t>LT0PBC01R8EP1</t>
  </si>
  <si>
    <t>LT0PBC01RK071</t>
  </si>
  <si>
    <t>LT0PBC01R8CW1</t>
  </si>
  <si>
    <t>LT0PBC01R8F91</t>
  </si>
  <si>
    <t>LT0PBB01RIXI1</t>
  </si>
  <si>
    <t>LT1PBC01RPUT1</t>
  </si>
  <si>
    <t>LT0PBC01R8752</t>
  </si>
  <si>
    <t>LT0PBC01RIWK1</t>
  </si>
  <si>
    <t>LT0PBB01R87Y2</t>
  </si>
  <si>
    <t>LT0PBB01R88K1</t>
  </si>
  <si>
    <t>LT1PBB01ROZS1</t>
  </si>
  <si>
    <t>LT0PBB01RB411</t>
  </si>
  <si>
    <t>LT0PBC01RB2N1</t>
  </si>
  <si>
    <t>LT1PBC01RPD91</t>
  </si>
  <si>
    <t>LT0PBC01RB2O2</t>
  </si>
  <si>
    <t>LT0PBC01RB2S1</t>
  </si>
  <si>
    <t>LT0PBC01RB2V2</t>
  </si>
  <si>
    <t>LT1PBB01RPDH1</t>
  </si>
  <si>
    <t>LT0PBB01RE7V1</t>
  </si>
  <si>
    <t>LT0PBC01RE7U1</t>
  </si>
  <si>
    <t>LT0PBC01RE7Q1</t>
  </si>
  <si>
    <t>LT0PBB01R89V1</t>
  </si>
  <si>
    <t>LT0PBC01R88Z2</t>
  </si>
  <si>
    <t>LT0PBC01R88W1</t>
  </si>
  <si>
    <t>LT0PBC01R89A2</t>
  </si>
  <si>
    <t>LT0PBC01R8981</t>
  </si>
  <si>
    <t>LT1PBC01RPUR1</t>
  </si>
  <si>
    <t>LT0PBC01R8A61</t>
  </si>
  <si>
    <t>LT0PBC01R8A01</t>
  </si>
  <si>
    <t>LT0PBB01RJ1T1</t>
  </si>
  <si>
    <t>LT0PBC01R8891</t>
  </si>
  <si>
    <t>LT1PBC01RPDC1</t>
  </si>
  <si>
    <t>LT0PBC01RC141</t>
  </si>
  <si>
    <t>LT0PBC01R8EL1</t>
  </si>
  <si>
    <t>LT0PBC01R8B81</t>
  </si>
  <si>
    <t>LT0PBC01R8CL1</t>
  </si>
  <si>
    <t>LT0PBC01RIXZ1</t>
  </si>
  <si>
    <t>LT0PBC01R8DL1</t>
  </si>
  <si>
    <t>LT0PBC01R8C11</t>
  </si>
  <si>
    <t>LT0PBC01R8CE1</t>
  </si>
  <si>
    <t>LT0PBC01RBQ71</t>
  </si>
  <si>
    <t>LT0PBC01R8AY1</t>
  </si>
  <si>
    <t>LT0PBC01R9721</t>
  </si>
  <si>
    <t>LT0PBC01RGLY1</t>
  </si>
  <si>
    <t>LT0PBC01RF9T1</t>
  </si>
  <si>
    <t>LT0PBC01RIWW1</t>
  </si>
  <si>
    <t>LT0PBC01R9GF1</t>
  </si>
  <si>
    <t>LT0PBC01R9781</t>
  </si>
  <si>
    <t>LT0PBC01RIXJ1</t>
  </si>
  <si>
    <t>LT0PBC01RGML1</t>
  </si>
  <si>
    <t>LT0PBC01R8BJ1</t>
  </si>
  <si>
    <t>LT0PBC01R8AT1</t>
  </si>
  <si>
    <t>LT1PBD01RQOE1</t>
  </si>
  <si>
    <t>LT0PBC01R8F51</t>
  </si>
  <si>
    <t>LT0PBC01R8G71</t>
  </si>
  <si>
    <t>LT0PBC01R8BD1</t>
  </si>
  <si>
    <t>LT0PBC01RDCV1</t>
  </si>
  <si>
    <t>LT0PBC01R8GD1</t>
  </si>
  <si>
    <t>LT0PBC01R8FG1</t>
  </si>
  <si>
    <t>LT0PBC01R8GN1</t>
  </si>
  <si>
    <t>LT0PBC01RFPK1</t>
  </si>
  <si>
    <t>LT0PBC01R89Y1</t>
  </si>
  <si>
    <t>LT0PBC01R8A32</t>
  </si>
  <si>
    <t>LT1PBD01RQ5W1</t>
  </si>
  <si>
    <t>LT1PBD01RQ5U1</t>
  </si>
  <si>
    <t>LT0PBC01RJ1P1</t>
  </si>
  <si>
    <t>LT0PBC01R8WO1</t>
  </si>
  <si>
    <t>LT0PBC01RJDU1</t>
  </si>
  <si>
    <t>LT0PBC01RFYM1</t>
  </si>
  <si>
    <t>LT0PBC01RFKJ1</t>
  </si>
  <si>
    <t>LT0PBC01R88S1</t>
  </si>
  <si>
    <t>LT0PBD01R8CY1</t>
  </si>
  <si>
    <t>LT0PBC01R87X1</t>
  </si>
  <si>
    <t>LT0PBD01RF9C1</t>
  </si>
  <si>
    <t>LT0PBD01R8FQ1</t>
  </si>
  <si>
    <t>LT0PBD01R8CR1</t>
  </si>
  <si>
    <t>LT1PBC01RPN11</t>
  </si>
  <si>
    <t>LT1PBC01RPMU1</t>
  </si>
  <si>
    <t>LT1PBD01RQO71</t>
  </si>
  <si>
    <t>LT1PBC01RPMX1</t>
  </si>
  <si>
    <t>LT1PBC01RQ5R1</t>
  </si>
  <si>
    <t>LT1PBC01RPMT1</t>
  </si>
  <si>
    <t>LT0PBC01RB3Q1</t>
  </si>
  <si>
    <t>LT0PBC01RB3U3</t>
  </si>
  <si>
    <t>LT0PBD01RG2U1</t>
  </si>
  <si>
    <t>LT0PBD01R8D31</t>
  </si>
  <si>
    <t>LT0PBD01R8DQ1</t>
  </si>
  <si>
    <t>LT0PBD01RF3J1</t>
  </si>
  <si>
    <t>LT0PBD01R8EQ1</t>
  </si>
  <si>
    <t>LT0PBD01R8GR1</t>
  </si>
  <si>
    <t>LT0PBD01R8G01</t>
  </si>
  <si>
    <t>LT0PBD01R9P61</t>
  </si>
  <si>
    <t>LT1PBD01RQ601</t>
  </si>
  <si>
    <t>LT1PBD01RQ5L1</t>
  </si>
  <si>
    <t>LT0PBD01RB2U1</t>
  </si>
  <si>
    <t>LT0PBD01R88A1</t>
  </si>
  <si>
    <t>LT0PBC01RG3A1</t>
  </si>
  <si>
    <t>LT1PBD01RQO61</t>
  </si>
  <si>
    <t>LT0PBD01RDK51</t>
  </si>
  <si>
    <t>LT0PBD01R8E11</t>
  </si>
  <si>
    <t>LT0PBD01R8FA1</t>
  </si>
  <si>
    <t>LT0PBD01RFOO1</t>
  </si>
  <si>
    <t>LT0PBD01RFJY1</t>
  </si>
  <si>
    <t>LT0PBD01R8851</t>
  </si>
  <si>
    <t>LT0PBD01RE7R1</t>
  </si>
  <si>
    <t>LT0PBD01R88Y2</t>
  </si>
  <si>
    <t>LT0PBD01R88X1</t>
  </si>
  <si>
    <t>LT0PBD01R8A11</t>
  </si>
  <si>
    <t>LT0PBD01R8713</t>
  </si>
  <si>
    <t>LT0PBD01R86X1</t>
  </si>
  <si>
    <t>LT1PBC01RPMY1</t>
  </si>
  <si>
    <t>LT0PBD01RB2J1</t>
  </si>
  <si>
    <t>LT0PBD01RFXY1</t>
  </si>
  <si>
    <t>LT0PBD01RG2P1</t>
  </si>
  <si>
    <t>LT0PBD01RJ5T1</t>
  </si>
  <si>
    <t>LT1PBD01RQ5Z1</t>
  </si>
  <si>
    <t>LT1PBD01RQ5V1</t>
  </si>
  <si>
    <t>LT0PBD01R8WA1</t>
  </si>
  <si>
    <t>LT0PBD01RBQ11</t>
  </si>
  <si>
    <t>LT0PBD01RFY61</t>
  </si>
  <si>
    <t>LT0PBD01RJ7I1</t>
  </si>
  <si>
    <t>LT0PBD01R8941</t>
  </si>
  <si>
    <t>LT0PBD01RB2X2</t>
  </si>
  <si>
    <t>LT0PBD01RFK81</t>
  </si>
  <si>
    <t>LT1PBD01RQJU1</t>
  </si>
  <si>
    <t>LT0PBD01RC151</t>
  </si>
  <si>
    <t>LT0PBD01R8EM1</t>
  </si>
  <si>
    <t>LT0PBD01R8B91</t>
  </si>
  <si>
    <t>LT0PBD01R8CM1</t>
  </si>
  <si>
    <t>LT0PBD01R8BE1</t>
  </si>
  <si>
    <t>LT0PBD01RIY01</t>
  </si>
  <si>
    <t>LT0PBD01R8DM1</t>
  </si>
  <si>
    <t>LT0PBD01R8C21</t>
  </si>
  <si>
    <t>LT0PBD01R8CF1</t>
  </si>
  <si>
    <t>LT0PBD01RBQ81</t>
  </si>
  <si>
    <t>LT1PBD01RQKB1</t>
  </si>
  <si>
    <t>LT1PBD01RQJ91</t>
  </si>
  <si>
    <t>LT1PBD01RQKF1</t>
  </si>
  <si>
    <t>LT1PBD01RQK71</t>
  </si>
  <si>
    <t>LT1PBD01RQIO1</t>
  </si>
  <si>
    <t>LT0PBD01R8AZ1</t>
  </si>
  <si>
    <t>LT0PBD01R9731</t>
  </si>
  <si>
    <t>LT0PBD01RGLZ1</t>
  </si>
  <si>
    <t>LT0PBD01RF9U1</t>
  </si>
  <si>
    <t>LT0PBD01RIWX1</t>
  </si>
  <si>
    <t>LT0PBD01R9GG1</t>
  </si>
  <si>
    <t>LT0PBD01R9791</t>
  </si>
  <si>
    <t>LT0PBD01RIXK1</t>
  </si>
  <si>
    <t>LT0PBD01RGMM1</t>
  </si>
  <si>
    <t>LT0PBD01R8BK1</t>
  </si>
  <si>
    <t>LT1PBD01RQKC1</t>
  </si>
  <si>
    <t>LT1PBD01RS4W1</t>
  </si>
  <si>
    <t>LT1PBD01RQJA1</t>
  </si>
  <si>
    <t>LT1PBD01RS4Q1</t>
  </si>
  <si>
    <t>LT0PBD01R8F61</t>
  </si>
  <si>
    <t>LT0PBD01R8G61</t>
  </si>
  <si>
    <t>LT1PBE01RSFD1</t>
  </si>
  <si>
    <t>LT0PBD01RDCW1</t>
  </si>
  <si>
    <t>LT0PBD01R8GE1</t>
  </si>
  <si>
    <t>LT0PBD01RIY31</t>
  </si>
  <si>
    <t>LT0PBD01R8FH1</t>
  </si>
  <si>
    <t>LT0PBE01R8861</t>
  </si>
  <si>
    <t>LT1PBD01RS4R1</t>
  </si>
  <si>
    <t>LT0PBE01RG2Q1</t>
  </si>
  <si>
    <t>LT0PBD01RGYS1</t>
  </si>
  <si>
    <t>LT0PBD01RK5P1</t>
  </si>
  <si>
    <t>LT1PBE01RS4X1</t>
  </si>
  <si>
    <t>LT1PBE01RS5A1</t>
  </si>
  <si>
    <t>LT1PBE01RSJ51</t>
  </si>
  <si>
    <t>LT1PBD01RS521</t>
  </si>
  <si>
    <t>LT0PBE01R8CZ1</t>
  </si>
  <si>
    <t>LT1PBE01S26W1</t>
  </si>
  <si>
    <t>LT0PBE01RF9D1</t>
  </si>
  <si>
    <t>LT0PBE01R8FR1</t>
  </si>
  <si>
    <t>LT0PBE01R8CS1</t>
  </si>
  <si>
    <t>LT0PBD01R8WP1</t>
  </si>
  <si>
    <t>LT0PBD01RJ1Q1</t>
  </si>
  <si>
    <t>LT0PBD01RIWQ1</t>
  </si>
  <si>
    <t>LT1PBE01RSJ61</t>
  </si>
  <si>
    <t>LT1PBE01RS511</t>
  </si>
  <si>
    <t>LT1PBD01RS4S1</t>
  </si>
  <si>
    <t>LT1PBE01RS4U1</t>
  </si>
  <si>
    <t>LT0PBE01RG2V1</t>
  </si>
  <si>
    <t>LT1PBE01RS4P1</t>
  </si>
  <si>
    <t>LT0PBD01R8WU1</t>
  </si>
  <si>
    <t>LT0PBE01R8DR1</t>
  </si>
  <si>
    <t>LT0PBE01RF3K1</t>
  </si>
  <si>
    <t>LT0PBE01RGY42</t>
  </si>
  <si>
    <t>LT0PBE01R8ER1</t>
  </si>
  <si>
    <t>LT0PBE01R8GS1</t>
  </si>
  <si>
    <t>LT0PBE01R8G11</t>
  </si>
  <si>
    <t>LT0PBE01R9P71</t>
  </si>
  <si>
    <t>LT1PBE01RS4Z1</t>
  </si>
  <si>
    <t>LT1PBE01RS541</t>
  </si>
  <si>
    <t>LT1PBE01RS4N1</t>
  </si>
  <si>
    <t>LT0PBD01R88M1</t>
  </si>
  <si>
    <t>LT0PBE01R88B1</t>
  </si>
  <si>
    <t>LT0PBE01RDK61</t>
  </si>
  <si>
    <t>LT0PBE01R8E21</t>
  </si>
  <si>
    <t>LT0PBE01R8FB1</t>
  </si>
  <si>
    <t>LT0PBD01R89W1</t>
  </si>
  <si>
    <t>LT0PBD01R8AO1</t>
  </si>
  <si>
    <t>LT0PBD01RB421</t>
  </si>
  <si>
    <t>LT0PBD01R8801</t>
  </si>
  <si>
    <t>LT0PBD01R8822</t>
  </si>
  <si>
    <t>LT1PBE01RSL81</t>
  </si>
  <si>
    <t>LT0PBE01RFOP1</t>
  </si>
  <si>
    <t>LT0PBE01RFXZ1</t>
  </si>
  <si>
    <t>LT0PBE01RB2K1</t>
  </si>
  <si>
    <t>LT0PBE01RE7S1</t>
  </si>
  <si>
    <t>LT0PBE01R8901</t>
  </si>
  <si>
    <t>LT0PBE01R8922</t>
  </si>
  <si>
    <t>LT0PBE01R8A21</t>
  </si>
  <si>
    <t>LT0PBE01R8W51</t>
  </si>
  <si>
    <t>LT0PBE01R86Y1</t>
  </si>
  <si>
    <t>LT0PBE01R8702</t>
  </si>
  <si>
    <t>LT0PBE01R8723</t>
  </si>
  <si>
    <t>LT0PBE01RFK01</t>
  </si>
  <si>
    <t>LT0PBE01R8WB1</t>
  </si>
  <si>
    <t>LT0PBE01R8951</t>
  </si>
  <si>
    <t>LT0PBE01RB2W1</t>
  </si>
  <si>
    <t>LT0PBE01RB2Y2</t>
  </si>
  <si>
    <t>LT0PBE01RFOV1</t>
  </si>
  <si>
    <t>LT0PBE01R8A81</t>
  </si>
  <si>
    <t>LT0PBE01R8DB1</t>
  </si>
  <si>
    <t>LT0PBE01R8FX1</t>
  </si>
  <si>
    <t>LT0PBE01R8WE1</t>
  </si>
  <si>
    <t>LT0PBE01R8CA1</t>
  </si>
  <si>
    <t>LT0PBE01RIXF1</t>
  </si>
  <si>
    <t>LT0PBE01RC161</t>
  </si>
  <si>
    <t>LT0PBE01R8EN1</t>
  </si>
  <si>
    <t>LT0PBE01R8BA1</t>
  </si>
  <si>
    <t>LT0PBE01R8CN1</t>
  </si>
  <si>
    <t>LT0PBE01RIY11</t>
  </si>
  <si>
    <t>LT0PBE01R8DN1</t>
  </si>
  <si>
    <t>LT0PBE01R8C31</t>
  </si>
  <si>
    <t>LT0PBE01R8CG1</t>
  </si>
  <si>
    <t>LT0PBE01RBQ91</t>
  </si>
  <si>
    <t>LT0PBE01R8B01</t>
  </si>
  <si>
    <t>LT0PBE01R9741</t>
  </si>
  <si>
    <t>LT0PBE01RF9V1</t>
  </si>
  <si>
    <t>LT0PBE01RIWY1</t>
  </si>
  <si>
    <t>LT0PBE01R9GH1</t>
  </si>
  <si>
    <t>LT0PBE01R97A1</t>
  </si>
  <si>
    <t>LT0PBE01RIXL1</t>
  </si>
  <si>
    <t>LT0PBE01RGMN1</t>
  </si>
  <si>
    <t>LT0PBE01R8BL1</t>
  </si>
  <si>
    <t>LT1PBE01S5271</t>
  </si>
  <si>
    <t>LT1PBE01RS531</t>
  </si>
  <si>
    <t>LT0PBE01R8F71</t>
  </si>
  <si>
    <t>LT0PBE01R8G81</t>
  </si>
  <si>
    <t>LT0PBE01RDCX1</t>
  </si>
  <si>
    <t>LT0PBE01R8GF1</t>
  </si>
  <si>
    <t>LT0PBE01R8FI1</t>
  </si>
  <si>
    <t>LT0PBE01R8GO1</t>
  </si>
  <si>
    <t>LT0PBF01R8871</t>
  </si>
  <si>
    <t>LT1PBF01S5K21</t>
  </si>
  <si>
    <t>LT0PBF01RG2R1</t>
  </si>
  <si>
    <t>LT1PBF01S52H1</t>
  </si>
  <si>
    <t>LT1PBE01S52D1</t>
  </si>
  <si>
    <t>LT0PBE01RFPI1</t>
  </si>
  <si>
    <t>LT1PBF01S5K31</t>
  </si>
  <si>
    <t>LT1PBF01S7WY1</t>
  </si>
  <si>
    <t>LT0PBF01R8D01</t>
  </si>
  <si>
    <t>LT0PBF01RF9E1</t>
  </si>
  <si>
    <t>LT0PBF01R8FS1</t>
  </si>
  <si>
    <t>LT0PBF01R8CT1</t>
  </si>
  <si>
    <t>LT1PBF01S5241</t>
  </si>
  <si>
    <t>LT1PBF01S51Z1</t>
  </si>
  <si>
    <t>LT0PBF01RG2W1</t>
  </si>
  <si>
    <t>LT1PBF01S52E1</t>
  </si>
  <si>
    <t>LT0PBF01R8D51</t>
  </si>
  <si>
    <t>LT0PBF01R8DS1</t>
  </si>
  <si>
    <t>LT0PBF01RF3L1</t>
  </si>
  <si>
    <t>LT0PBF01R8ES1</t>
  </si>
  <si>
    <t>LT0PBF01R8GT1</t>
  </si>
  <si>
    <t>LT0PBF01R8G21</t>
  </si>
  <si>
    <t>LT0PBF01R9P81</t>
  </si>
  <si>
    <t>LT0PBF01R88C1</t>
  </si>
  <si>
    <t>LT1PBF01S5K41</t>
  </si>
  <si>
    <t>LT0PBF01R8E31</t>
  </si>
  <si>
    <t>LT0PBF01R8FC1</t>
  </si>
  <si>
    <t>LT0PBF01RDCS1</t>
  </si>
  <si>
    <t>LT0PBE01R87L1</t>
  </si>
  <si>
    <t>LT0PBE01R87V1</t>
  </si>
  <si>
    <t>LT0PBE01RB431</t>
  </si>
  <si>
    <t>LT0PBF01RFOQ1</t>
  </si>
  <si>
    <t>LT0PBF01RFY01</t>
  </si>
  <si>
    <t>LT0PBF01RB2L1</t>
  </si>
  <si>
    <t>LT0PBF01RE7T1</t>
  </si>
  <si>
    <t>LT0PBF01R8932</t>
  </si>
  <si>
    <t>LT0PBF01R8A41</t>
  </si>
  <si>
    <t>LT0PBF01R8741</t>
  </si>
  <si>
    <t>LT0PBF01R8762</t>
  </si>
  <si>
    <t>LT0PBF01RFK11</t>
  </si>
  <si>
    <t>LT0PBF01R8WC1</t>
  </si>
  <si>
    <t>LT0PBF01R8961</t>
  </si>
  <si>
    <t>LT0PBF01RB2Z1</t>
  </si>
  <si>
    <t>LT0PBF01RB312</t>
  </si>
  <si>
    <t>LT0PBF01RFOW1</t>
  </si>
  <si>
    <t>LT0PBF01R8A91</t>
  </si>
  <si>
    <t>LT1PBE01RSF81</t>
  </si>
  <si>
    <t>LT1PBE01RSFC1</t>
  </si>
  <si>
    <t>LT1PBE01RSFB1</t>
  </si>
  <si>
    <t>LT0PBF01RDKC1</t>
  </si>
  <si>
    <t>LT0PBF01RFPC1</t>
  </si>
  <si>
    <t>LT0PBG01RFOR1</t>
  </si>
  <si>
    <t>LT0PBG01RFOX1</t>
  </si>
  <si>
    <t>LT0PBG01RFJZ1</t>
  </si>
  <si>
    <t>LT0PBF01RF9Q1</t>
  </si>
  <si>
    <t>LT0PBF01RD3X1</t>
  </si>
  <si>
    <t>LT0PBF01R8DH1</t>
  </si>
  <si>
    <t>LT0PBF01RIWZ1</t>
  </si>
  <si>
    <t>LT0PBF01RBQ41</t>
  </si>
  <si>
    <t>LT0PBF01R8BF1</t>
  </si>
  <si>
    <t>LT0PBF01RF3R1</t>
  </si>
  <si>
    <t>LT1PBF01S8T41</t>
  </si>
  <si>
    <t>LT1PBG01S8AW1</t>
  </si>
  <si>
    <t>LT1PBG01S8O91</t>
  </si>
  <si>
    <t>LT1PBG01S8TB1</t>
  </si>
  <si>
    <t>LT1PBG01S5KI1</t>
  </si>
  <si>
    <t>LT1PBG01S5KJ1</t>
  </si>
  <si>
    <t>LT1PBG01S5JM1</t>
  </si>
  <si>
    <t>LT1PBG01S8NW1</t>
  </si>
  <si>
    <t>LT1PBG01S5JN1</t>
  </si>
  <si>
    <t>LT1PBG01S8AU1</t>
  </si>
  <si>
    <t>LT0PBG01R86W1</t>
  </si>
  <si>
    <t>LT0PBG01R8771</t>
  </si>
  <si>
    <t>LT0PBG01RFK51</t>
  </si>
  <si>
    <t>LT0PBG01R88D1</t>
  </si>
  <si>
    <t>LT1PBG01S8AO1</t>
  </si>
  <si>
    <t>LT1PBG01S8NX1</t>
  </si>
  <si>
    <t>LT1PBG01S8SJ1</t>
  </si>
  <si>
    <t>LT0PBG01RB2Q1</t>
  </si>
  <si>
    <t>LT0PBG01RJDS1</t>
  </si>
  <si>
    <t>LT1PBF01S8AX1</t>
  </si>
  <si>
    <t>LT1PBG01S8LV1</t>
  </si>
  <si>
    <t>LT1PBG01S8AY1</t>
  </si>
  <si>
    <t>LT1PBG01S8AZ1</t>
  </si>
  <si>
    <t>LT1PBG01S8B01</t>
  </si>
  <si>
    <t>LT1PBF01S5A21</t>
  </si>
  <si>
    <t>LT1PBF01S5JY1</t>
  </si>
  <si>
    <t>LT1PBG01S8NY1</t>
  </si>
  <si>
    <t>LT0PBF01R89U1</t>
  </si>
  <si>
    <t>LT0PBF01R8AQ1</t>
  </si>
  <si>
    <t>LT0PBF01R8AL1</t>
  </si>
  <si>
    <t>LT0PBF01R8WV1</t>
  </si>
  <si>
    <t>LT0PBG01R8W71</t>
  </si>
  <si>
    <t>LT1PBG01S5JT1</t>
  </si>
  <si>
    <t>LT1PBG01S5JZ1</t>
  </si>
  <si>
    <t>LT1PBG01S8JG1</t>
  </si>
  <si>
    <t>LT1PBG01S5K01</t>
  </si>
  <si>
    <t>LT1PBG01S8K91</t>
  </si>
  <si>
    <t>LT1PBG01S8KA1</t>
  </si>
  <si>
    <t>LT1PBG01S5KL1</t>
  </si>
  <si>
    <t>LT1PBG01S5KM1</t>
  </si>
  <si>
    <t>LT1PBG01S5KN1</t>
  </si>
  <si>
    <t>LT1PBG01S5K51</t>
  </si>
  <si>
    <t>LT1PBG01S8JY1</t>
  </si>
  <si>
    <t>LT1PBG01S8JZ1</t>
  </si>
  <si>
    <t>LT1PBG01S5KT1</t>
  </si>
  <si>
    <t>LT1PBG01S5JV1</t>
  </si>
  <si>
    <t>LT1PBG01S8JE1</t>
  </si>
  <si>
    <t>LT1PBG01S8JF1</t>
  </si>
  <si>
    <t>LT1PBG01S9011</t>
  </si>
  <si>
    <t>LT1PBG01S8JW1</t>
  </si>
  <si>
    <t>LT1PBG01S5K81</t>
  </si>
  <si>
    <t>LT1PBG01S8KF1</t>
  </si>
  <si>
    <t>LT1PBG01S8KH1</t>
  </si>
  <si>
    <t>LT1PBG01S8KI1</t>
  </si>
  <si>
    <t>LT1PBG01S8KJ1</t>
  </si>
  <si>
    <t>LT1PBG01S8KK1</t>
  </si>
  <si>
    <t>LT1PBG01S9021</t>
  </si>
  <si>
    <t>LT0PBG01RGYI1</t>
  </si>
  <si>
    <t>LT1PBG01S9031</t>
  </si>
  <si>
    <t>LT1PBG01S5K61</t>
  </si>
  <si>
    <t>LT1PBG01S8KB1</t>
  </si>
  <si>
    <t>LT0PBG01RGYO1</t>
  </si>
  <si>
    <t>LT1PBG01S8JB1</t>
  </si>
  <si>
    <t>LT1PBG01S8JC1</t>
  </si>
  <si>
    <t>LT1PBG01S9041</t>
  </si>
  <si>
    <t>LT1PBG01S8K71</t>
  </si>
  <si>
    <t>LT1PBG01S8K81</t>
  </si>
  <si>
    <t>LT1PBG01S5K11</t>
  </si>
  <si>
    <t>LT1PBG01S8JH1</t>
  </si>
  <si>
    <t>LT1PBG01S8TC1</t>
  </si>
  <si>
    <t>LT1PBG01S5KO1</t>
  </si>
  <si>
    <t>LT1PBG01S92D1</t>
  </si>
  <si>
    <t>LT1PBG01S8JX1</t>
  </si>
  <si>
    <t>LT1PBG01S8KC1</t>
  </si>
  <si>
    <t>LT1PBG01S8KD1</t>
  </si>
  <si>
    <t>LT0PBG01R8811</t>
  </si>
  <si>
    <t>LT0PBG01R8832</t>
  </si>
  <si>
    <t>LT1PBG01S8JD1</t>
  </si>
  <si>
    <t>LT1PBG01S8AJ1</t>
  </si>
  <si>
    <t>LT1PBG01S9001</t>
  </si>
  <si>
    <t>LT1PBG01S95R1</t>
  </si>
  <si>
    <t>LT1PBG01S8ZZ1</t>
  </si>
  <si>
    <t>LT1PBG01S95Q1</t>
  </si>
  <si>
    <t>LT1PBH01S9M11</t>
  </si>
  <si>
    <t>LT0PBH01RV121</t>
  </si>
  <si>
    <t>LT0PBH01RUYJ1</t>
  </si>
  <si>
    <t>LT0PBH01RV181</t>
  </si>
  <si>
    <t>LT0PBH01RV2A1</t>
  </si>
  <si>
    <t>LT0PBH01RUZB1</t>
  </si>
  <si>
    <t>LT0PBH01RUYE1</t>
  </si>
  <si>
    <t>LT0PBH01RV061</t>
  </si>
  <si>
    <t>LT0PBH01S1HL1</t>
  </si>
  <si>
    <t>LT0PBH01RUXZ1</t>
  </si>
  <si>
    <t>LT0PBH01S0E31</t>
  </si>
  <si>
    <t>LT0PBH01RUZ21</t>
  </si>
  <si>
    <t>LT0PBH01RV1P1</t>
  </si>
  <si>
    <t>LT0PBH01RUZ91</t>
  </si>
  <si>
    <t>LT0PBH01RXOG1</t>
  </si>
  <si>
    <t>LT0PBH01S1I51</t>
  </si>
  <si>
    <t>LT0PBH01RUY41</t>
  </si>
  <si>
    <t>LT0PBH01RVUT1</t>
  </si>
  <si>
    <t>LT0PBH01S3YG1</t>
  </si>
  <si>
    <t>LT0PBH01RUYM1</t>
  </si>
  <si>
    <t>LT0PBH01RUZA1</t>
  </si>
  <si>
    <t>LT0PBH01RV2M1</t>
  </si>
  <si>
    <t>LT0PBH01RV2R1</t>
  </si>
  <si>
    <t>LT0PBH01RYX21</t>
  </si>
  <si>
    <t>LT0PBH01RV321</t>
  </si>
  <si>
    <t>LT0PBH01RV1Z1</t>
  </si>
  <si>
    <t>LT0PBH01RV212</t>
  </si>
  <si>
    <t>LT0PBH01S1RK1</t>
  </si>
  <si>
    <t>LT1PBI01SA4W1</t>
  </si>
  <si>
    <t>LT0PBH01S0QV1</t>
  </si>
  <si>
    <t>LT0PBH01RUVK1</t>
  </si>
  <si>
    <t>LT0PBH01RX7T1</t>
  </si>
  <si>
    <t>LT1PBI01S9EX1</t>
  </si>
  <si>
    <t>LT1PBI01S9EV1</t>
  </si>
  <si>
    <t>LT0PBI01RZMO1</t>
  </si>
  <si>
    <t>LT0PBI01S0XA1</t>
  </si>
  <si>
    <t>LT0PBI01S0MB1</t>
  </si>
  <si>
    <t>LT0PBI01RX6S1</t>
  </si>
  <si>
    <t>LT0PBI01RX6U2</t>
  </si>
  <si>
    <t>LT0PBI01RUWE1</t>
  </si>
  <si>
    <t>LT0PBI01RUUS1</t>
  </si>
  <si>
    <t>LT0PBI01RUUU2</t>
  </si>
  <si>
    <t>LT0PBI01RUUX3</t>
  </si>
  <si>
    <t>LT0PBI01RVFD1</t>
  </si>
  <si>
    <t>LT0PBI01RUZM1</t>
  </si>
  <si>
    <t>LT1PBI01S9F21</t>
  </si>
  <si>
    <t>LT0PBI01S0DN1</t>
  </si>
  <si>
    <t>LT0PBI01RUZH1</t>
  </si>
  <si>
    <t>LT0PBI01RV2B1</t>
  </si>
  <si>
    <t>LT0PBI01S10W1</t>
  </si>
  <si>
    <t>LT0PBI01S10X2</t>
  </si>
  <si>
    <t>LT0PBI01RUXF1</t>
  </si>
  <si>
    <t>LT0PBI01RUVQ1</t>
  </si>
  <si>
    <t>LT0PBI01RUVS2</t>
  </si>
  <si>
    <t>LT0PBI01S0Q21</t>
  </si>
  <si>
    <t>LT0PBI01S0Q42</t>
  </si>
  <si>
    <t>LT0PBI01RUZR1</t>
  </si>
  <si>
    <t>LT0PBI01RV0C1</t>
  </si>
  <si>
    <t>LT0PBI01S09Y1</t>
  </si>
  <si>
    <t>LT0PBI01S0XE1</t>
  </si>
  <si>
    <t>LT1PBI01S9F01</t>
  </si>
  <si>
    <t>LT1PBI01S9EW1</t>
  </si>
  <si>
    <t>LT1PBI01S9F51</t>
  </si>
  <si>
    <t>LT1PBI01S9ET1</t>
  </si>
  <si>
    <t>LT1PBI01S9EQ1</t>
  </si>
  <si>
    <t>LT0PBI01RV371</t>
  </si>
  <si>
    <t>LT0PBI01RV2I1</t>
  </si>
  <si>
    <t>LT0PBI01RW2Y1</t>
  </si>
  <si>
    <t>LT0PBI01S3TA1</t>
  </si>
  <si>
    <t>LT1PBI01S9F81</t>
  </si>
  <si>
    <t>LT0PBI01S0MG1</t>
  </si>
  <si>
    <t>LT0PBI01RUWI1</t>
  </si>
  <si>
    <t>LT0PBI01RZ2E1</t>
  </si>
  <si>
    <t>LT0PBI01RV0N1</t>
  </si>
  <si>
    <t>LT0PBI01RV1K1</t>
  </si>
  <si>
    <t>LT0PBI01RV1U1</t>
  </si>
  <si>
    <t>LT1PBI01S9F61</t>
  </si>
  <si>
    <t>LT0PBI01RYWX1</t>
  </si>
  <si>
    <t>LT0PBI01RW471</t>
  </si>
  <si>
    <t>LT0PBI01RV0X1</t>
  </si>
  <si>
    <t>LT0PBI01S0DY1</t>
  </si>
  <si>
    <t>LT0PBI01RW2S1</t>
  </si>
  <si>
    <t>LT0PBI01RVNM1</t>
  </si>
  <si>
    <t>LT0PBI01RW421</t>
  </si>
  <si>
    <t>LT0PBI01RX6W1</t>
  </si>
  <si>
    <t>LT0PBH01RVNG1</t>
  </si>
  <si>
    <t>LT1PBI01S9TK1</t>
  </si>
  <si>
    <t>LT1PBI01S9TJ1</t>
  </si>
  <si>
    <t>LT0PBI01RUYK1</t>
  </si>
  <si>
    <t>LT0PBI01RXXS1</t>
  </si>
  <si>
    <t>LT0PBI01RV191</t>
  </si>
  <si>
    <t>LT0PBI01RUZC1</t>
  </si>
  <si>
    <t>LT0PBI01S3TG1</t>
  </si>
  <si>
    <t>LT0PBI01RUYF1</t>
  </si>
  <si>
    <t>LT0PBI01RV071</t>
  </si>
  <si>
    <t>LT0PBI01RX7N1</t>
  </si>
  <si>
    <t>LT0PBI01S1HM1</t>
  </si>
  <si>
    <t>LT0PBI01RUY01</t>
  </si>
  <si>
    <t>LT0PBI01S0E41</t>
  </si>
  <si>
    <t>LT0PBI01RVNH1</t>
  </si>
  <si>
    <t>LT0PBI01RV1Q1</t>
  </si>
  <si>
    <t>LT0PBI01RXOH1</t>
  </si>
  <si>
    <t>LT1PBI01SAKB1</t>
  </si>
  <si>
    <t>LT1PBI01SAF31</t>
  </si>
  <si>
    <t>LT1PBI01SAFC1</t>
  </si>
  <si>
    <t>LT1PBI01SAFF1</t>
  </si>
  <si>
    <t>LT0PBI01S3SV1</t>
  </si>
  <si>
    <t>LT0PBI01S3T01</t>
  </si>
  <si>
    <t>LT1PBI01S9TH1</t>
  </si>
  <si>
    <t>LT0PBI01S1I61</t>
  </si>
  <si>
    <t>LT0PBI01RUY51</t>
  </si>
  <si>
    <t>LT0PBI01RVUU1</t>
  </si>
  <si>
    <t>LT0PBI01RUYN1</t>
  </si>
  <si>
    <t>LT0PBI01RVNS1</t>
  </si>
  <si>
    <t>LT0PBI01S3T41</t>
  </si>
  <si>
    <t>LT1PBI01SB0M1</t>
  </si>
  <si>
    <t>LT1PBI01SB0L1</t>
  </si>
  <si>
    <t>LT1PBI01SB0N1</t>
  </si>
  <si>
    <t>LT0PBI01RV2N1</t>
  </si>
  <si>
    <t>LT0PBI01RWEU1</t>
  </si>
  <si>
    <t>LT0PBI01RV2S1</t>
  </si>
  <si>
    <t>LT0PBI01RYX31</t>
  </si>
  <si>
    <t>LT0PBI01RV331</t>
  </si>
  <si>
    <t>LT0PBI01RV201</t>
  </si>
  <si>
    <t>LT0PBI01RUVM1</t>
  </si>
  <si>
    <t>LT0PBI01RUXB1</t>
  </si>
  <si>
    <t>LT1PBJ01SAF41</t>
  </si>
  <si>
    <t>LT1PBJ01SAFD1</t>
  </si>
  <si>
    <t>LT0PBJ01RZMP1</t>
  </si>
  <si>
    <t>LT1PBJ01SAEY1</t>
  </si>
  <si>
    <t>LT0PBJ01S0XB1</t>
  </si>
  <si>
    <t>LT0PBJ01S0MA1</t>
  </si>
  <si>
    <t>LT0PBJ01RVFB1</t>
  </si>
  <si>
    <t>LT0PBJ01RX6T1</t>
  </si>
  <si>
    <t>LT0PBJ01RX6V2</t>
  </si>
  <si>
    <t>LT0PBJ01RUWF1</t>
  </si>
  <si>
    <t>LT0PBJ01RUWH2</t>
  </si>
  <si>
    <t>LT0PBJ01RUUT1</t>
  </si>
  <si>
    <t>LT0PBJ01RUUV2</t>
  </si>
  <si>
    <t>LT0PBJ01RUUW3</t>
  </si>
  <si>
    <t>LT0PBJ01RUZN1</t>
  </si>
  <si>
    <t>LT1PBJ01SAEV1</t>
  </si>
  <si>
    <t>LT0PBJ01S0DO1</t>
  </si>
  <si>
    <t>LT0PBJ01RUZI1</t>
  </si>
  <si>
    <t>LT0PBJ01RV2C1</t>
  </si>
  <si>
    <t>LT0PBJ01RUXG1</t>
  </si>
  <si>
    <t>LT0PBJ01RUVR1</t>
  </si>
  <si>
    <t>LT0PBJ01S10Y1</t>
  </si>
  <si>
    <t>LT0PBJ01S0Q31</t>
  </si>
  <si>
    <t>LT0PBJ01S0Q52</t>
  </si>
  <si>
    <t>LT0PBJ01RUZS1</t>
  </si>
  <si>
    <t>LT0PBJ01RV0D1</t>
  </si>
  <si>
    <t>LT0PBJ01S09Z1</t>
  </si>
  <si>
    <t>LT1PBJ01SAFB1</t>
  </si>
  <si>
    <t>LT1PBJ01SAFG1</t>
  </si>
  <si>
    <t>LT1PBJ01SAEZ1</t>
  </si>
  <si>
    <t>LT0PBJ01S20L1</t>
  </si>
  <si>
    <t>LT0PBJ01RV381</t>
  </si>
  <si>
    <t>LT0PBJ01RV2H1</t>
  </si>
  <si>
    <t>LT0PBJ01RW2Z1</t>
  </si>
  <si>
    <t>LT0PBJ01RV1E1</t>
  </si>
  <si>
    <t>LT1PBJ01SAFI1</t>
  </si>
  <si>
    <t>LT1PBJ01SAF51</t>
  </si>
  <si>
    <t>LT0PBI01RX7X1</t>
  </si>
  <si>
    <t>LT0PBI01RX7Z2</t>
  </si>
  <si>
    <t>LT0PBJ01S0MH1</t>
  </si>
  <si>
    <t>LT0PBJ01RX6X1</t>
  </si>
  <si>
    <t>LT0PBJ01RVFE1</t>
  </si>
  <si>
    <t>LT0PBJ01RZ2F1</t>
  </si>
  <si>
    <t>LT0PBJ01RV0O1</t>
  </si>
  <si>
    <t>LT0PBJ01RV1L1</t>
  </si>
  <si>
    <t>LT0PBJ01RV1V1</t>
  </si>
  <si>
    <t>LT1PBJ01SAFE1</t>
  </si>
  <si>
    <t>LT1PBJ01SB1L1</t>
  </si>
  <si>
    <t>LT0PBJ01RYWY1</t>
  </si>
  <si>
    <t>LT0PBJ01RW481</t>
  </si>
  <si>
    <t>LT0PBJ01RV0Y1</t>
  </si>
  <si>
    <t>LT0PBJ01S0DZ1</t>
  </si>
  <si>
    <t>LT0PBJ01RW2T1</t>
  </si>
  <si>
    <t>LT0PBJ01RVNN1</t>
  </si>
  <si>
    <t>LT0PBJ01RW431</t>
  </si>
  <si>
    <t>LT0PBJ01S4281</t>
  </si>
  <si>
    <t>LT0PBJ01RUVT2</t>
  </si>
  <si>
    <t>LT0PBJ01RUWJ1</t>
  </si>
  <si>
    <t>LT1PBJ01SAF81</t>
  </si>
  <si>
    <t>LT1PBJ01SBBN1</t>
  </si>
  <si>
    <t>LT0PBJ01RXXT1</t>
  </si>
  <si>
    <t>LT0PBJ01RV1A1</t>
  </si>
  <si>
    <t>LT0PBJ01RUZD1</t>
  </si>
  <si>
    <t>LT0PBJ01S3SQ1</t>
  </si>
  <si>
    <t>LT0PBJ01S3TH1</t>
  </si>
  <si>
    <t>LT0PBJ01RUYG1</t>
  </si>
  <si>
    <t>LT0PBJ01RV081</t>
  </si>
  <si>
    <t>LT0PBJ01S1HN1</t>
  </si>
  <si>
    <t>LT0PBJ01RUY11</t>
  </si>
  <si>
    <t>LT0PBJ01S0E51</t>
  </si>
  <si>
    <t>LT0PBJ01RVNI1</t>
  </si>
  <si>
    <t>LT0PBJ01RV1R1</t>
  </si>
  <si>
    <t>LT0PBJ01RXOI1</t>
  </si>
  <si>
    <t>LT1PBJ01SBBT1</t>
  </si>
  <si>
    <t>LT1PBJ01SBBR1</t>
  </si>
  <si>
    <t>LT0PBJ01S3SW1</t>
  </si>
  <si>
    <t>LT0PBJ01S3SZ1</t>
  </si>
  <si>
    <t>LT0PBJ01S1I71</t>
  </si>
  <si>
    <t>LT0PBJ01RUY61</t>
  </si>
  <si>
    <t>LT0PBJ01RVUV1</t>
  </si>
  <si>
    <t>LT0PBJ01RUYO1</t>
  </si>
  <si>
    <t>LT0PBJ01RVNT1</t>
  </si>
  <si>
    <t>LT0PBJ01S3T51</t>
  </si>
  <si>
    <t>LT1PBK01SBBQ1</t>
  </si>
  <si>
    <t>LT0PBJ01RVG41</t>
  </si>
  <si>
    <t>LT0PBJ01RV2O1</t>
  </si>
  <si>
    <t>LT1PBJ01SAUF1</t>
  </si>
  <si>
    <t>LT0PBJ01RV2T1</t>
  </si>
  <si>
    <t>LT0PBJ01RYX41</t>
  </si>
  <si>
    <t>LT0PBJ01RV341</t>
  </si>
  <si>
    <t>LT0PBJ01RV221</t>
  </si>
  <si>
    <t>LT0PBJ01RUVN1</t>
  </si>
  <si>
    <t>LT0PBJ01RUXD1</t>
  </si>
  <si>
    <t>LT0PBK01S0XC1</t>
  </si>
  <si>
    <t>LT0PBK01S0MC1</t>
  </si>
  <si>
    <t>LT0PBK01RX6O1</t>
  </si>
  <si>
    <t>LT0PBK01RUWB1</t>
  </si>
  <si>
    <t>LT0PBK01RUZO1</t>
  </si>
  <si>
    <t>LT0PBK01RUUO1</t>
  </si>
  <si>
    <t>LT0PBJ01S11B2</t>
  </si>
  <si>
    <t>LT1PBK01SBBG1</t>
  </si>
  <si>
    <t>LT0PBK01S0DP1</t>
  </si>
  <si>
    <t>LT0PBK01RUZJ1</t>
  </si>
  <si>
    <t>LT0PBK01RV2D1</t>
  </si>
  <si>
    <t>LT0PBK01RUVO1</t>
  </si>
  <si>
    <t>LT0PBK01RUXH1</t>
  </si>
  <si>
    <t>LT0PBK01S10Z1</t>
  </si>
  <si>
    <t>LT0PBK01S0Q61</t>
  </si>
  <si>
    <t>LT0PBK01S0Q82</t>
  </si>
  <si>
    <t>LT0PBK01RUZT1</t>
  </si>
  <si>
    <t>LT0PBK01RV0E1</t>
  </si>
  <si>
    <t>LT0PBK01S0A01</t>
  </si>
  <si>
    <t>LT0PBK01S0XG1</t>
  </si>
  <si>
    <t>LT1PBK01SBTZ1</t>
  </si>
  <si>
    <t>LT1PBK01SBBS1</t>
  </si>
  <si>
    <t>LT0PBK01RZMQ1</t>
  </si>
  <si>
    <t>LT1PBK01SBU41</t>
  </si>
  <si>
    <t>LT0PBK01RUUQ2</t>
  </si>
  <si>
    <t>LT0PBK01RV391</t>
  </si>
  <si>
    <t>LT0PBK01RV2J1</t>
  </si>
  <si>
    <t>LT0PBK01RW301</t>
  </si>
  <si>
    <t>LT0PBK01RV1F1</t>
  </si>
  <si>
    <t>LT0PBJ01RX7U1</t>
  </si>
  <si>
    <t>LT0PBK01S0MI1</t>
  </si>
  <si>
    <t>LT0PBK01RX6Y1</t>
  </si>
  <si>
    <t>LT0PBK01RVFF1</t>
  </si>
  <si>
    <t>LT0PBK01RZ2G1</t>
  </si>
  <si>
    <t>LT0PBK01RV0P1</t>
  </si>
  <si>
    <t>LT0PBK01RV1M1</t>
  </si>
  <si>
    <t>LT0PBK01RV1W1</t>
  </si>
  <si>
    <t>LT1PBK01SBU31</t>
  </si>
  <si>
    <t>LT0PBK01RYWZ1</t>
  </si>
  <si>
    <t>LT0PBK01RW491</t>
  </si>
  <si>
    <t>LT0PBK01RV0Z1</t>
  </si>
  <si>
    <t>LT0PBK01S0E01</t>
  </si>
  <si>
    <t>LT0PBK01RW2U1</t>
  </si>
  <si>
    <t>LT0PBK01RVNO1</t>
  </si>
  <si>
    <t>LT0PBK01RW441</t>
  </si>
  <si>
    <t>LT0PBK01RUWK1</t>
  </si>
  <si>
    <t>LT1PBK01SBU51</t>
  </si>
  <si>
    <t>LT0PBK01RZN81</t>
  </si>
  <si>
    <t>LT0PBK01RVWQ1</t>
  </si>
  <si>
    <t>LT0PBK01RX7I2</t>
  </si>
  <si>
    <t>LT0PBK01RZ2L1</t>
  </si>
  <si>
    <t>LT0PBK01RV0V1</t>
  </si>
  <si>
    <t>LT0PBK01RUYV1</t>
  </si>
  <si>
    <t>LT0PBK01RYQ21</t>
  </si>
  <si>
    <t>LT0PBK01S3TN1</t>
  </si>
  <si>
    <t>LT0PBK01RUZ61</t>
  </si>
  <si>
    <t>LT0PBK01RVK91</t>
  </si>
  <si>
    <t>LT0PBK01RXXU1</t>
  </si>
  <si>
    <t>LT0PBK01RV1B1</t>
  </si>
  <si>
    <t>LT0PBK01RUZE1</t>
  </si>
  <si>
    <t>LT0PBK01S3SR1</t>
  </si>
  <si>
    <t>LT0PBK01S3TI1</t>
  </si>
  <si>
    <t>LT0PBK01RUYH1</t>
  </si>
  <si>
    <t>LT0PBK01RV091</t>
  </si>
  <si>
    <t>LT0PBK01S1HO1</t>
  </si>
  <si>
    <t>LT0PBK01RUY21</t>
  </si>
  <si>
    <t>LT0PBK01S0E71</t>
  </si>
  <si>
    <t>LT0PBK01RVNJ1</t>
  </si>
  <si>
    <t>LT0PBK01RV1S1</t>
  </si>
  <si>
    <t>LT0PBK01RXOJ1</t>
  </si>
  <si>
    <t>LT0PBK01S3SX1</t>
  </si>
  <si>
    <t>LT0PBK01S3T31</t>
  </si>
  <si>
    <t>LT0PBK01S1I81</t>
  </si>
  <si>
    <t>LT0PBK01RUY71</t>
  </si>
  <si>
    <t>LT0PBK01RVUW1</t>
  </si>
  <si>
    <t>LT0PBK01RUYP1</t>
  </si>
  <si>
    <t>LT0PBK01RVNU1</t>
  </si>
  <si>
    <t>LT0PBK01S3T61</t>
  </si>
  <si>
    <t>LT0PBK01RV2P1</t>
  </si>
  <si>
    <t>LT0PBK01RV2U1</t>
  </si>
  <si>
    <t>LT0PBK01RYX51</t>
  </si>
  <si>
    <t>LT0PBK01RV351</t>
  </si>
  <si>
    <t>LT0PBK01RV231</t>
  </si>
  <si>
    <t>LT1PBK01SCBR1</t>
  </si>
  <si>
    <t>LT0PBK01RX7V1</t>
  </si>
  <si>
    <t>LT0PBL01RZMR1</t>
  </si>
  <si>
    <t>LT0PBL01S0XD1</t>
  </si>
  <si>
    <t>LT0PBL01S0MD1</t>
  </si>
  <si>
    <t>LT0PBL01RX6Q1</t>
  </si>
  <si>
    <t>LT0PBL01S3S31</t>
  </si>
  <si>
    <t>LT1PBL01SMVM1</t>
  </si>
  <si>
    <t>LT0PBL01RUZP1</t>
  </si>
  <si>
    <t>LT0PBL01RUUN1</t>
  </si>
  <si>
    <t>LT0PBL01RUWD1</t>
  </si>
  <si>
    <t>LT1PBL01SCBT1</t>
  </si>
  <si>
    <t>LT0PBL01RVFG1</t>
  </si>
  <si>
    <t>LT1PBL01SDJ41</t>
  </si>
  <si>
    <t>LT0PBL01S0DQ1</t>
  </si>
  <si>
    <t>LT0PBL01RUZK1</t>
  </si>
  <si>
    <t>LT0PBL01RV2E1</t>
  </si>
  <si>
    <t>LT0PBL01RUVP1</t>
  </si>
  <si>
    <t>LT0PBL01RUXI1</t>
  </si>
  <si>
    <t>LT0PBL01S0Q71</t>
  </si>
  <si>
    <t>LT0PBL01RUZU1</t>
  </si>
  <si>
    <t>LT0PBL01RV0F1</t>
  </si>
  <si>
    <t>LT0PBL01S0A11</t>
  </si>
  <si>
    <t>LT0PBL01S0Q92</t>
  </si>
  <si>
    <t>LT0PBL01S0XH1</t>
  </si>
  <si>
    <t>LT0PBK01RUXE1</t>
  </si>
  <si>
    <t>LT1PBL01SDLE1</t>
  </si>
  <si>
    <t>LT0PBL01S1101</t>
  </si>
  <si>
    <t>LT1PBL01SDNE1</t>
  </si>
  <si>
    <t>LT0PBL01RV3A1</t>
  </si>
  <si>
    <t>LT0PBL01RV2K1</t>
  </si>
  <si>
    <t>LT0PBL01RW311</t>
  </si>
  <si>
    <t>LT0PBL01RV1G1</t>
  </si>
  <si>
    <t>LT0PBL01RX6Z1</t>
  </si>
  <si>
    <t>LT0PBK01RUX42</t>
  </si>
  <si>
    <t>LT0PBL01RUWL1</t>
  </si>
  <si>
    <t>LT0PBL01RZ2H1</t>
  </si>
  <si>
    <t>LT0PBL01RV0Q1</t>
  </si>
  <si>
    <t>LT0PBL01RV1N1</t>
  </si>
  <si>
    <t>LT0PBL01RV1X1</t>
  </si>
  <si>
    <t>LT1PBL01SDNJ1</t>
  </si>
  <si>
    <t>LT0PBL01RYX01</t>
  </si>
  <si>
    <t>LT0PBL01RW4A1</t>
  </si>
  <si>
    <t>LT0PBL01RV101</t>
  </si>
  <si>
    <t>LT0PBL01S0E11</t>
  </si>
  <si>
    <t>LT0PBL01RW2V1</t>
  </si>
  <si>
    <t>LT0PBL01RVNP1</t>
  </si>
  <si>
    <t>LT0PBL01RW451</t>
  </si>
  <si>
    <t>LT0PBL01RXXV1</t>
  </si>
  <si>
    <t>LT0PBL01RV1C1</t>
  </si>
  <si>
    <t>LT0PBL01S3SN1</t>
  </si>
  <si>
    <t>LT0PBL01RUZF1</t>
  </si>
  <si>
    <t>LT0PBL01S3SS1</t>
  </si>
  <si>
    <t>LT0PBL01S3TJ1</t>
  </si>
  <si>
    <t>LT0PBL01RV0A1</t>
  </si>
  <si>
    <t>LT0PBL01RUY31</t>
  </si>
  <si>
    <t>LT0PBL01S0E61</t>
  </si>
  <si>
    <t>LT0PBL01RVNK1</t>
  </si>
  <si>
    <t>LT0PBL01RV1T1</t>
  </si>
  <si>
    <t>LT0PBL01RXOK1</t>
  </si>
  <si>
    <t>LT1PBL01SCKS1</t>
  </si>
  <si>
    <t>LT0PBL01S3SY1</t>
  </si>
  <si>
    <t>LT0PBL01S3T11</t>
  </si>
  <si>
    <t>LT0PBL01S1IA1</t>
  </si>
  <si>
    <t>LT0PBL01RUY81</t>
  </si>
  <si>
    <t>LT0PBL01RVUX1</t>
  </si>
  <si>
    <t>LT0PBL01RUYQ1</t>
  </si>
  <si>
    <t>LT0PBL01RVNV1</t>
  </si>
  <si>
    <t>LT0PBL01S3T71</t>
  </si>
  <si>
    <t>LT0PBL01RV2Q1</t>
  </si>
  <si>
    <t>LT1PBL01SCKT1</t>
  </si>
  <si>
    <t>LT1PBM01SSK21</t>
  </si>
  <si>
    <t>LT0PBL01RV2V1</t>
  </si>
  <si>
    <t>LT0PBL01RYX61</t>
  </si>
  <si>
    <t>LT0PBL01RV361</t>
  </si>
  <si>
    <t>LT0PBL01RV241</t>
  </si>
  <si>
    <t>LT0PBL01RX7W1</t>
  </si>
  <si>
    <t>LT0PBM01RX6R1</t>
  </si>
  <si>
    <t>LT0PBM01RUUR2</t>
  </si>
  <si>
    <t>LT0PBM01RVFH1</t>
  </si>
  <si>
    <t>LT0PBM01RUZQ1</t>
  </si>
  <si>
    <t>LT1PBL01SCKR1</t>
  </si>
  <si>
    <t>LT1PBM01SQ0H1</t>
  </si>
  <si>
    <t>LT0PBM01RUUP1</t>
  </si>
  <si>
    <t>LT0PBM01S0ME1</t>
  </si>
  <si>
    <t>LT0PBM01RZMS1</t>
  </si>
  <si>
    <t>LT0PBM01S0DR1</t>
  </si>
  <si>
    <t>LT0PBM01RUZL1</t>
  </si>
  <si>
    <t>LT0PBM01RV2F1</t>
  </si>
  <si>
    <t>LT0PBM01RUXJ1</t>
  </si>
  <si>
    <t>LT0PBM01RUVU1</t>
  </si>
  <si>
    <t>LT0PBM01RUZV1</t>
  </si>
  <si>
    <t>LT0PBM01RV0G1</t>
  </si>
  <si>
    <t>LT0PBM01S0A21</t>
  </si>
  <si>
    <t>LT0PBM01S0XI1</t>
  </si>
  <si>
    <t>LT0PBM01RUVW2</t>
  </si>
  <si>
    <t>LT1PBM01SPNB1</t>
  </si>
  <si>
    <t>LT1PBM01SQ0B1</t>
  </si>
  <si>
    <t>LT0PBM01RZMT1</t>
  </si>
  <si>
    <t>LT1PBL01SCJU1</t>
  </si>
  <si>
    <t>LT1PBM01SPNA1</t>
  </si>
  <si>
    <t>LT0PBM01RV3B1</t>
  </si>
  <si>
    <t>LT0PBM01RV2L1</t>
  </si>
  <si>
    <t>LT0PBM01RW321</t>
  </si>
  <si>
    <t>LT0PBM01RV1H1</t>
  </si>
  <si>
    <t>LT0PBM01RX701</t>
  </si>
  <si>
    <t>LT0PBM01RUWM1</t>
  </si>
  <si>
    <t>LT0PBM01S1111</t>
  </si>
  <si>
    <t>LT0PBM01RV0R1</t>
  </si>
  <si>
    <t>LT0PBM01RV1O1</t>
  </si>
  <si>
    <t>LT0PBM01RV1Y1</t>
  </si>
  <si>
    <t>LT1PBM01SQ0I1</t>
  </si>
  <si>
    <t>LT1PBM01SQ0F1</t>
  </si>
  <si>
    <t>LT1PBM01SQ0G1</t>
  </si>
  <si>
    <t>LT1PBM01SQ0C1</t>
  </si>
  <si>
    <t>LT0PBM01S0QC2</t>
  </si>
  <si>
    <t>LT0PBM01RYX11</t>
  </si>
  <si>
    <t>LT0PBM01RW4B1</t>
  </si>
  <si>
    <t>LT0PBM01RV111</t>
  </si>
  <si>
    <t>LT0PBM01S0E21</t>
  </si>
  <si>
    <t>LT0PBM01RW2W1</t>
  </si>
  <si>
    <t>LT0PBM01RVNQ1</t>
  </si>
  <si>
    <t>LT0PBM01RW461</t>
  </si>
  <si>
    <t>LT1PBM01SRJA1</t>
  </si>
  <si>
    <t>LT0PBM01RW3M1</t>
  </si>
  <si>
    <t>LT0PBM01RUZ11</t>
  </si>
  <si>
    <t>LT0PBM01RV311</t>
  </si>
  <si>
    <t>LT0PBM01RW3R1</t>
  </si>
  <si>
    <t>LT0PBM01RW3W1</t>
  </si>
  <si>
    <t>LT0PBM01S4271</t>
  </si>
  <si>
    <t>LT0PBM01RW3H1</t>
  </si>
  <si>
    <t>LT0PBM01S0XP2</t>
  </si>
  <si>
    <t>LT0PBM01RXXW1</t>
  </si>
  <si>
    <t>LT0PBM01RUZ71</t>
  </si>
  <si>
    <t>LT0PBM01RV171</t>
  </si>
  <si>
    <t>LT0PBM01RV1D1</t>
  </si>
  <si>
    <t>LT0PBM01RUZG1</t>
  </si>
  <si>
    <t>LT0PBM01S3TK1</t>
  </si>
  <si>
    <t>LT0PBM01RUYI1</t>
  </si>
  <si>
    <t>LT0PBM01RV0B1</t>
  </si>
  <si>
    <t>LT0PBM01RVNL1</t>
  </si>
  <si>
    <t>LT1PBM01STDF1</t>
  </si>
  <si>
    <t>LT0PBM01S0E81</t>
  </si>
  <si>
    <t>LT0PBM01S3T21</t>
  </si>
  <si>
    <t>LT0PBM01RUY91</t>
  </si>
  <si>
    <t>LT0PBM01RVNW1</t>
  </si>
  <si>
    <t>LT0PBM01S3ST1</t>
  </si>
  <si>
    <t>LT0PBM01S3T81</t>
  </si>
  <si>
    <t>LT0PBM01RZN41</t>
  </si>
  <si>
    <t>LT0PBM01RV2W1</t>
  </si>
  <si>
    <t>LT0PBN01S0Q01</t>
  </si>
  <si>
    <t>LT0PBM01RUX92</t>
  </si>
  <si>
    <t>LT0PBN01S3S41</t>
  </si>
  <si>
    <t>LT0PBN01S0MF1</t>
  </si>
  <si>
    <t>LT1PBM01STB21</t>
  </si>
  <si>
    <t>LT1PBM01STB31</t>
  </si>
  <si>
    <t>LT0PBN01S0Q11</t>
  </si>
  <si>
    <t>LT0PBN01RX721</t>
  </si>
  <si>
    <t>LT1PBN01STEI1</t>
  </si>
  <si>
    <t>LT1PBN01STG81</t>
  </si>
  <si>
    <t>LT0PBN01RX711</t>
  </si>
  <si>
    <t>LT1PBN01SSY91</t>
  </si>
  <si>
    <t>LT1PBN01SSYA1</t>
  </si>
  <si>
    <t>LT0PBN01RUUY1</t>
  </si>
  <si>
    <t>LT1PBN01SSY71</t>
  </si>
  <si>
    <t>LT1PBN01SSY81</t>
  </si>
  <si>
    <t>LT1PBN01ST0B1</t>
  </si>
  <si>
    <t>LT0PBO01SLLU1</t>
  </si>
  <si>
    <t>LT1PBO01STUI1</t>
  </si>
  <si>
    <t>LT0PBO01SFNS1</t>
  </si>
  <si>
    <t>LT0PBO01SM1I1</t>
  </si>
  <si>
    <t>LT0PBO01SFQ01</t>
  </si>
  <si>
    <t>LT0PBO01SFO51</t>
  </si>
  <si>
    <t>LT0PBO01SFP01</t>
  </si>
  <si>
    <t>LT0PBO01SM0Z1</t>
  </si>
  <si>
    <t>LT0PBO01SFML1</t>
  </si>
  <si>
    <t>LT0PBO01SKYL1</t>
  </si>
  <si>
    <t>LT0PBO01SFNR1</t>
  </si>
  <si>
    <t>LT0PBO01SFQH1</t>
  </si>
  <si>
    <t>LT0PBO01SFNY1</t>
  </si>
  <si>
    <t>LT0PBO01SJO11</t>
  </si>
  <si>
    <t>LT0PBO01SFMR1</t>
  </si>
  <si>
    <t>LT0PBO01SGBJ1</t>
  </si>
  <si>
    <t>LT0PBO01SFO41</t>
  </si>
  <si>
    <t>LT1PBO01STUG1</t>
  </si>
  <si>
    <t>LT0PBO01SFS01</t>
  </si>
  <si>
    <t>LT0PBO01SFRJ1</t>
  </si>
  <si>
    <t>LT0PBO01SFRP1</t>
  </si>
  <si>
    <t>LT0PBO01SJJT1</t>
  </si>
  <si>
    <t>LT0PBO01SFQR1</t>
  </si>
  <si>
    <t>LT0PBP01SL6K1</t>
  </si>
  <si>
    <t>LT0PBP01SFKN1</t>
  </si>
  <si>
    <t>LT0PBP01SKY51</t>
  </si>
  <si>
    <t>LT1PBP01STUR1</t>
  </si>
  <si>
    <t>LT0PBP01SK9G1</t>
  </si>
  <si>
    <t>LT1PBP01STUH1</t>
  </si>
  <si>
    <t>LT0PBP01SFOK1</t>
  </si>
  <si>
    <t>LT0PBO01SLAA1</t>
  </si>
  <si>
    <t>LT1PBP01SUNI1</t>
  </si>
  <si>
    <t>LT1PBP01SUNJ1</t>
  </si>
  <si>
    <t>LT1PBP01STUN1</t>
  </si>
  <si>
    <t>LT0PBP01SLLF1</t>
  </si>
  <si>
    <t>LT1PBP01STUU1</t>
  </si>
  <si>
    <t>LT1PBP01STUJ1</t>
  </si>
  <si>
    <t>LT0PBP01SFOF1</t>
  </si>
  <si>
    <t>LT0PBP01SLIM1</t>
  </si>
  <si>
    <t>LT0PBP01SFOA1</t>
  </si>
  <si>
    <t>LT0PBP01SFR21</t>
  </si>
  <si>
    <t>LT0PBO01SL9W2</t>
  </si>
  <si>
    <t>LT0PBP01SG3T1</t>
  </si>
  <si>
    <t>LT0PBP01SFOL1</t>
  </si>
  <si>
    <t>LT0PBP01SFP61</t>
  </si>
  <si>
    <t>LT0PBP01SKUA1</t>
  </si>
  <si>
    <t>LT1PBP01STUS1</t>
  </si>
  <si>
    <t>LT1PBP01STUW1</t>
  </si>
  <si>
    <t>LT0PBO01SOC31</t>
  </si>
  <si>
    <t>LT1PBO01STUP1</t>
  </si>
  <si>
    <t>LT1PBP01STUQ1</t>
  </si>
  <si>
    <t>LT1PBP01STUX1</t>
  </si>
  <si>
    <t>LT0PBO01SHRV1</t>
  </si>
  <si>
    <t>LT1PBO01STUL1</t>
  </si>
  <si>
    <t>LT1PBO01STUT1</t>
  </si>
  <si>
    <t>LT1PBP01STUV1</t>
  </si>
  <si>
    <t>LT1PBP01STUK1</t>
  </si>
  <si>
    <t>LT0PBO01SFMG1</t>
  </si>
  <si>
    <t>LT0PBP01SFSF1</t>
  </si>
  <si>
    <t>LT0PBP01SFRE1</t>
  </si>
  <si>
    <t>LT0PBP01SGQW1</t>
  </si>
  <si>
    <t>LT0PBP01SFQ61</t>
  </si>
  <si>
    <t>LT0PBP01SLIN2</t>
  </si>
  <si>
    <t>LT0PBP01SJPF1</t>
  </si>
  <si>
    <t>LT0PBP01SFPG1</t>
  </si>
  <si>
    <t>LT0PBP01SFQC1</t>
  </si>
  <si>
    <t>LT0PBP01SFQM1</t>
  </si>
  <si>
    <t>LT0PBP01SJJO1</t>
  </si>
  <si>
    <t>LT0PBP01SGS01</t>
  </si>
  <si>
    <t>LT0PBP01SFPR1</t>
  </si>
  <si>
    <t>LT0PBO01SHSK3</t>
  </si>
  <si>
    <t>LT0PBO01SFKA1</t>
  </si>
  <si>
    <t>LT0PBO01SFKC2</t>
  </si>
  <si>
    <t>LT0PBO01SFLQ1</t>
  </si>
  <si>
    <t>LT0PBP01SFRV1</t>
  </si>
  <si>
    <t>LT0PBP01SGQP1</t>
  </si>
  <si>
    <t>LT0PBP01SGBD1</t>
  </si>
  <si>
    <t>LT0PBP01SGRV1</t>
  </si>
  <si>
    <t>LT0PBP01SKYG1</t>
  </si>
  <si>
    <t>LT0PBP01SGRB1</t>
  </si>
  <si>
    <t>LT0PBP01SFNN1</t>
  </si>
  <si>
    <t>LT0PBP01SGRG1</t>
  </si>
  <si>
    <t>LT0PBP01SGRL1</t>
  </si>
  <si>
    <t>LT0PBP01SOLG1</t>
  </si>
  <si>
    <t>LT0PBP01SGR61</t>
  </si>
  <si>
    <t>LT0PBO01SHSG1</t>
  </si>
  <si>
    <t>LT0PBO01SHSI2</t>
  </si>
  <si>
    <t>LT0PBP01SM1J1</t>
  </si>
  <si>
    <t>LT0PBP01SFN71</t>
  </si>
  <si>
    <t>LT0PBP01SFQ11</t>
  </si>
  <si>
    <t>LT0PBP01SFO61</t>
  </si>
  <si>
    <t>LT0PBP01SIHZ1</t>
  </si>
  <si>
    <t>LT0PBP01SODE1</t>
  </si>
  <si>
    <t>LT0PBP01SFN21</t>
  </si>
  <si>
    <t>LT0PBP01SFP11</t>
  </si>
  <si>
    <t>LT0PBP01SM101</t>
  </si>
  <si>
    <t>LT0PBP01SFMM1</t>
  </si>
  <si>
    <t>LT0PBP01SKYM1</t>
  </si>
  <si>
    <t>LT0PBP01SFQI1</t>
  </si>
  <si>
    <t>LT0PBP01SFNZ1</t>
  </si>
  <si>
    <t>LT0PBP01SJO21</t>
  </si>
  <si>
    <t>LT1PBP01SUDV1</t>
  </si>
  <si>
    <t>LT1PBP01SV2T1</t>
  </si>
  <si>
    <t>LT0PBP01SGB81</t>
  </si>
  <si>
    <t>LT0PBP01SOCT1</t>
  </si>
  <si>
    <t>LT0PBP01SI911</t>
  </si>
  <si>
    <t>LT1PBP01SUDY1</t>
  </si>
  <si>
    <t>LT0PBP01SFMQ1</t>
  </si>
  <si>
    <t>LT0PBP01SFNA1</t>
  </si>
  <si>
    <t>LT0PBP01SOK41</t>
  </si>
  <si>
    <t>LT0PBP01SOI61</t>
  </si>
  <si>
    <t>LT0PBP01SOCX1</t>
  </si>
  <si>
    <t>LT0PBP01SFS11</t>
  </si>
  <si>
    <t>LT0PBP01SFRK1</t>
  </si>
  <si>
    <t>LT0PBP01SFRQ1</t>
  </si>
  <si>
    <t>LT0PBP01SFQS1</t>
  </si>
  <si>
    <t>LT1PBQ01SV2Q1</t>
  </si>
  <si>
    <t>LT1PBQ01SV2G1</t>
  </si>
  <si>
    <t>LT1PBQ01SV2H1</t>
  </si>
  <si>
    <t>LT0PBQ01SL6M1</t>
  </si>
  <si>
    <t>LT0PBQ01SFKO1</t>
  </si>
  <si>
    <t>LT1PBQ01SV2A1</t>
  </si>
  <si>
    <t>LT0PBQ01SKY61</t>
  </si>
  <si>
    <t>LT1PBP01SVAI1</t>
  </si>
  <si>
    <t>LT1PBP01SVHO1</t>
  </si>
  <si>
    <t>LT1PBQ01SV2R1</t>
  </si>
  <si>
    <t>LT1PBQ01SV2N1</t>
  </si>
  <si>
    <t>LT1PBQ01SV2K1</t>
  </si>
  <si>
    <t>LT0PBQ01SK9H1</t>
  </si>
  <si>
    <t>LT1PBQ01SV261</t>
  </si>
  <si>
    <t>LT0PBQ01SLIP1</t>
  </si>
  <si>
    <t>LT0PBQ01SLIR2</t>
  </si>
  <si>
    <t>LT1PBQ01SV2I1</t>
  </si>
  <si>
    <t>LT1PBQ01SV2J1</t>
  </si>
  <si>
    <t>LT1PBQ01SV2F1</t>
  </si>
  <si>
    <t>LT1PBQ01SV2U1</t>
  </si>
  <si>
    <t>LT1PBQ01SV2B1</t>
  </si>
  <si>
    <t>LT1PBQ01SV271</t>
  </si>
  <si>
    <t>LT1PBQ01SVC91</t>
  </si>
  <si>
    <t>LT0PBQ01SFOG1</t>
  </si>
  <si>
    <t>LT0PBQ01SFR41</t>
  </si>
  <si>
    <t>LT0PBQ01SFOB1</t>
  </si>
  <si>
    <t>LT0PBQ01SG3U1</t>
  </si>
  <si>
    <t>LT0PBQ01SFOM1</t>
  </si>
  <si>
    <t>LT0PBQ01SFP71</t>
  </si>
  <si>
    <t>LT0PBQ01SKUB1</t>
  </si>
  <si>
    <t>LT1PBQ01SV2S1</t>
  </si>
  <si>
    <t>LT1PBQ01SVC61</t>
  </si>
  <si>
    <t>LT1PBQ01SV321</t>
  </si>
  <si>
    <t>LT1PBQ01SV2O1</t>
  </si>
  <si>
    <t>LT1PBQ01SV2L1</t>
  </si>
  <si>
    <t>LT1PBP01STUM1</t>
  </si>
  <si>
    <t>LT0PBQ01SLLG1</t>
  </si>
  <si>
    <t>LT1PBQ01SV2V1</t>
  </si>
  <si>
    <t>LT1PBP01SV2W1</t>
  </si>
  <si>
    <t>LT1PBQ01SV2X1</t>
  </si>
  <si>
    <t>LT1PBQ01SV2C1</t>
  </si>
  <si>
    <t>LT1PBQ01SV2D1</t>
  </si>
  <si>
    <t>LT1PBQ01SV281</t>
  </si>
  <si>
    <t>LT1PBQ01SVLE1</t>
  </si>
  <si>
    <t>LT0PBQ01SFSH1</t>
  </si>
  <si>
    <t>LT0PBQ01SFRF1</t>
  </si>
  <si>
    <t>LT0PBQ01SGQX1</t>
  </si>
  <si>
    <t>LT0PBQ01SFQ71</t>
  </si>
  <si>
    <t>LT0PBP01SHRX1</t>
  </si>
  <si>
    <t>LT0PBP01SHT04</t>
  </si>
  <si>
    <t>LT0PBQ01SJPG1</t>
  </si>
  <si>
    <t>LT0PBQ01SFPI1</t>
  </si>
  <si>
    <t>LT0PBQ01SFQD1</t>
  </si>
  <si>
    <t>LT0PBQ01SFQN1</t>
  </si>
  <si>
    <t>LT1PBQ01SVC71</t>
  </si>
  <si>
    <t>LT1PBQ01SVCZ1</t>
  </si>
  <si>
    <t>LT1PBQ01SVC81</t>
  </si>
  <si>
    <t>LT1PBQ01SVCB1</t>
  </si>
  <si>
    <t>LT1PBQ01SVCA1</t>
  </si>
  <si>
    <t>LT0PBQ01SJJP1</t>
  </si>
  <si>
    <t>LT0PBQ01SGS11</t>
  </si>
  <si>
    <t>LT0PBQ01SFPS1</t>
  </si>
  <si>
    <t>LT0PBP01SLAF1</t>
  </si>
  <si>
    <t>LT0PBP01SFLS1</t>
  </si>
  <si>
    <t>LT0PBP01SFKE1</t>
  </si>
  <si>
    <t>LT0PBP01SFKG2</t>
  </si>
  <si>
    <t>LT0PBP01SHSU1</t>
  </si>
  <si>
    <t>LT0PBP01SHSW2</t>
  </si>
  <si>
    <t>LT1PBQ01SV2Y1</t>
  </si>
  <si>
    <t>LT0PBQ01SKYH1</t>
  </si>
  <si>
    <t>LT0PBQ01SFRW1</t>
  </si>
  <si>
    <t>LT0PBQ01SGQQ1</t>
  </si>
  <si>
    <t>LT0PBQ01SGBE1</t>
  </si>
  <si>
    <t>LT0PBQ01SGRW1</t>
  </si>
  <si>
    <t>LT0PBQ01SGRC1</t>
  </si>
  <si>
    <t>LT0PBQ01SFNM1</t>
  </si>
  <si>
    <t>LT0PBQ01SGRH1</t>
  </si>
  <si>
    <t>LT0PBQ01SGRM1</t>
  </si>
  <si>
    <t>LT0PBQ01SOLH1</t>
  </si>
  <si>
    <t>LT0PBQ01SGR71</t>
  </si>
  <si>
    <t>LT1PBQ01SV2E1</t>
  </si>
  <si>
    <t>LT0PBQ01SLA02</t>
  </si>
  <si>
    <t>LT0PBQ01SFL71</t>
  </si>
  <si>
    <t>LT0PBQ01SK9T1</t>
  </si>
  <si>
    <t>LT0PBQ01SFLI1</t>
  </si>
  <si>
    <t>LT0PBQ01SFNU1</t>
  </si>
  <si>
    <t>LT0PBQ01SOD51</t>
  </si>
  <si>
    <t>LT0PBQ01SM1K1</t>
  </si>
  <si>
    <t>LT0PBQ01SFQ21</t>
  </si>
  <si>
    <t>LT0PBQ01SFO71</t>
  </si>
  <si>
    <t>LT0PBQ01SOCP1</t>
  </si>
  <si>
    <t>LT0PBQ01SII11</t>
  </si>
  <si>
    <t>LT0PBQ01SODF1</t>
  </si>
  <si>
    <t>LT0PBQ01SFN31</t>
  </si>
  <si>
    <t>LT0PBQ01SFP21</t>
  </si>
  <si>
    <t>LT0PBQ01SM111</t>
  </si>
  <si>
    <t>LT0PBQ01SFMN1</t>
  </si>
  <si>
    <t>LT0PBQ01SKYN1</t>
  </si>
  <si>
    <t>LT0PBQ01SFQJ1</t>
  </si>
  <si>
    <t>LT0PBQ01SFO01</t>
  </si>
  <si>
    <t>LT0PBQ01SJO31</t>
  </si>
  <si>
    <t>LT0PBQ01SOCU1</t>
  </si>
  <si>
    <t>LT0PBQ01SI901</t>
  </si>
  <si>
    <t>LT0PBQ01SFMS1</t>
  </si>
  <si>
    <t>LT0PBQ01SFNB1</t>
  </si>
  <si>
    <t>LT0PBQ01SOK51</t>
  </si>
  <si>
    <t>LT0PBQ01SOI71</t>
  </si>
  <si>
    <t>LT0PBQ01SOCY1</t>
  </si>
  <si>
    <t>LT0PBQ01SFS21</t>
  </si>
  <si>
    <t>LT1PBQ01SVQW1</t>
  </si>
  <si>
    <t>LT0PBQ01SFRL1</t>
  </si>
  <si>
    <t>LT0PBQ01SFRR1</t>
  </si>
  <si>
    <t>LT0PBQ01SJJV1</t>
  </si>
  <si>
    <t>LT0PBQ01SFQT1</t>
  </si>
  <si>
    <t>LT0PBR01SFKP1</t>
  </si>
  <si>
    <t>LT0PBR01SLLH1</t>
  </si>
  <si>
    <t>LT0PBR01SKY71</t>
  </si>
  <si>
    <t>LT0PBQ01SFMI1</t>
  </si>
  <si>
    <t>LT1PBR01SVQS1</t>
  </si>
  <si>
    <t>LT1PBR01SVQZ1</t>
  </si>
  <si>
    <t>LT1PBR01SVQU1</t>
  </si>
  <si>
    <t>LT0PBR01SK9I1</t>
  </si>
  <si>
    <t>LT0PBR01SLIK1</t>
  </si>
  <si>
    <t>LT1PBQ01SVQR1</t>
  </si>
  <si>
    <t>LT1PBR01SW4Y1</t>
  </si>
  <si>
    <t>LT1PBR01SW5F1</t>
  </si>
  <si>
    <t>LT1PBR01SVQN1</t>
  </si>
  <si>
    <t>LT1PBR01SVQO1</t>
  </si>
  <si>
    <t>LT0PBR01SL6O1</t>
  </si>
  <si>
    <t>LT0PBR01SFOH1</t>
  </si>
  <si>
    <t>LT0PBR01SFR51</t>
  </si>
  <si>
    <t>LT0PBR01SFOC1</t>
  </si>
  <si>
    <t>LT0PBR01SG3V1</t>
  </si>
  <si>
    <t>LT0PBR01SFON1</t>
  </si>
  <si>
    <t>LT0PBR01SFP81</t>
  </si>
  <si>
    <t>LT0PBR01SKUC1</t>
  </si>
  <si>
    <t>LT1PBR01SVQT1</t>
  </si>
  <si>
    <t>LT1PBR01SVR01</t>
  </si>
  <si>
    <t>LT1PBR01SW5H1</t>
  </si>
  <si>
    <t>LT1PBR01SW501</t>
  </si>
  <si>
    <t>LT1PBR01SVQQ1</t>
  </si>
  <si>
    <t>LT1PBR01SVQP1</t>
  </si>
  <si>
    <t>LT1PBR01SVQV1</t>
  </si>
  <si>
    <t>LT1PBR01SVQX1</t>
  </si>
  <si>
    <t>LT1PBR01SVQK1</t>
  </si>
  <si>
    <t>LT0PBR01SFSG1</t>
  </si>
  <si>
    <t>LT0PBR01SFRG1</t>
  </si>
  <si>
    <t>LT0PBR01SGQY1</t>
  </si>
  <si>
    <t>LT0PBR01SFQ81</t>
  </si>
  <si>
    <t>LT1PBR01SVQH1</t>
  </si>
  <si>
    <t>LT0PBR01SJPH1</t>
  </si>
  <si>
    <t>LT0PBR01SFPJ1</t>
  </si>
  <si>
    <t>LT0PBR01SFQE1</t>
  </si>
  <si>
    <t>LT0PBR01SFQO1</t>
  </si>
  <si>
    <t>LT1PBR01SW5G1</t>
  </si>
  <si>
    <t>LT1PBR01SW4Z1</t>
  </si>
  <si>
    <t>LT1PBR01SVQI1</t>
  </si>
  <si>
    <t>LT1PBR01SVQJ1</t>
  </si>
  <si>
    <t>LT0PBR01SJJQ1</t>
  </si>
  <si>
    <t>LT0PBR01SGS21</t>
  </si>
  <si>
    <t>LT0PBR01SFPT1</t>
  </si>
  <si>
    <t>LT0PBQ01SFKH1</t>
  </si>
  <si>
    <t>LT0PBQ01SHSJ1</t>
  </si>
  <si>
    <t>LT0PBQ01SHSL2</t>
  </si>
  <si>
    <t>LT0PBQ01SHSN3</t>
  </si>
  <si>
    <t>LT0PBQ01SLAH1</t>
  </si>
  <si>
    <t>LT0PBQ01SOC62</t>
  </si>
  <si>
    <t>LT0PBQ01SFLT1</t>
  </si>
  <si>
    <t>LT0PBQ01SFLV2</t>
  </si>
  <si>
    <t>LT1PBR01SVQL1</t>
  </si>
  <si>
    <t>LT1PBR01SVQM1</t>
  </si>
  <si>
    <t>LT0PBR01SKYI1</t>
  </si>
  <si>
    <t>LT0PBR01SFRX1</t>
  </si>
  <si>
    <t>LT0PBR01SGQR1</t>
  </si>
  <si>
    <t>LT0PBR01SGBG1</t>
  </si>
  <si>
    <t>LT0PBR01SGRX1</t>
  </si>
  <si>
    <t>LT0PBR01SGRD1</t>
  </si>
  <si>
    <t>LT0PBR01SFNO1</t>
  </si>
  <si>
    <t>LT0PBR01SGRI1</t>
  </si>
  <si>
    <t>LT0PBR01SGRN1</t>
  </si>
  <si>
    <t>LT0PBR01SOLI1</t>
  </si>
  <si>
    <t>LT0PBR01SGR81</t>
  </si>
  <si>
    <t>LT0PBQ01SFKJ2</t>
  </si>
  <si>
    <t>LT0PBR01SM1L1</t>
  </si>
  <si>
    <t>LT0PBR01SFO81</t>
  </si>
  <si>
    <t>LT0PBR01SFQ31</t>
  </si>
  <si>
    <t>LT0PBR01SOCQ1</t>
  </si>
  <si>
    <t>LT0PBR01SII21</t>
  </si>
  <si>
    <t>LT0PBR01SODG1</t>
  </si>
  <si>
    <t>LT0PBR01SOCK1</t>
  </si>
  <si>
    <t>LT0PBR01SFP31</t>
  </si>
  <si>
    <t>LT0PBR01SM121</t>
  </si>
  <si>
    <t>LT0PBR01SFMO1</t>
  </si>
  <si>
    <t>LT0PBR01SKYO1</t>
  </si>
  <si>
    <t>LT0PBR01SFQK1</t>
  </si>
  <si>
    <t>LT0PBR01SFO11</t>
  </si>
  <si>
    <t>LT0PBR01SJO41</t>
  </si>
  <si>
    <t>LT1PBR01SXNL1</t>
  </si>
  <si>
    <t>LT0PBR01SGBA1</t>
  </si>
  <si>
    <t>LT0PBR01SOCV1</t>
  </si>
  <si>
    <t>LT0PBR01SI921</t>
  </si>
  <si>
    <t>LT0PBR01SFMT1</t>
  </si>
  <si>
    <t>LT0PBR01SFNC1</t>
  </si>
  <si>
    <t>LT0PBR01SOK61</t>
  </si>
  <si>
    <t>LT0PBR01SOI81</t>
  </si>
  <si>
    <t>LT0PBR01SOCZ1</t>
  </si>
  <si>
    <t>LT0PBR01SFS31</t>
  </si>
  <si>
    <t>LT1PBR01SXNG1</t>
  </si>
  <si>
    <t>LT0PBR01SFRM1</t>
  </si>
  <si>
    <t>LT0PBR01SFRS1</t>
  </si>
  <si>
    <t>LT0PBR01SJJW1</t>
  </si>
  <si>
    <t>LT0PBR01SFQU1</t>
  </si>
  <si>
    <t>LT0PBS01SL6P1</t>
  </si>
  <si>
    <t>LT0PBS01SFKQ1</t>
  </si>
  <si>
    <t>LT0PBS01SLLI1</t>
  </si>
  <si>
    <t>LT0PBS01SKY81</t>
  </si>
  <si>
    <t>LT0PBR01SFMJ1</t>
  </si>
  <si>
    <t>LT1PBS01SXNM1</t>
  </si>
  <si>
    <t>LT1PBS01SXNH1</t>
  </si>
  <si>
    <t>LT0PBS01SK9J1</t>
  </si>
  <si>
    <t>LT0PBS01SLIL1</t>
  </si>
  <si>
    <t>LT1PBS01SXNN1</t>
  </si>
  <si>
    <t>LT1PBS01SXZ21</t>
  </si>
  <si>
    <t>LT1PBS01SXNJ1</t>
  </si>
  <si>
    <t>LT1PBS01SXNK1</t>
  </si>
  <si>
    <t>LT0PBS01SFOI1</t>
  </si>
  <si>
    <t>LT0PBS01SFR61</t>
  </si>
  <si>
    <t>LT0PBS01SFOD1</t>
  </si>
  <si>
    <t>LT0PBS01SG3W1</t>
  </si>
  <si>
    <t>LT0PBS01SFOO1</t>
  </si>
  <si>
    <t>LT0PBS01SFP91</t>
  </si>
  <si>
    <t>LT0PBS01SKUD1</t>
  </si>
  <si>
    <t>LT1PBS01SXZ01</t>
  </si>
  <si>
    <t>LT1PBS01SXNU1</t>
  </si>
  <si>
    <t>LT0PBS01SFSI1</t>
  </si>
  <si>
    <t>LT0PBS01SFRH1</t>
  </si>
  <si>
    <t>LT0PBS01SGQZ1</t>
  </si>
  <si>
    <t>LT0PBS01SFQ91</t>
  </si>
  <si>
    <t>LT1PBS01SXNF1</t>
  </si>
  <si>
    <t>LT0PBS01SJPI1</t>
  </si>
  <si>
    <t>LT0PBS01SFPK1</t>
  </si>
  <si>
    <t>LT0PBS01SFQF1</t>
  </si>
  <si>
    <t>LT0PBS01SFQP1</t>
  </si>
  <si>
    <t>LT1PBS01SXZ11</t>
  </si>
  <si>
    <t>LT1PBS01SXZ31</t>
  </si>
  <si>
    <t>LT1PBS01SXZ41</t>
  </si>
  <si>
    <t>LT0PBS01SJJR1</t>
  </si>
  <si>
    <t>LT0PBS01SGS31</t>
  </si>
  <si>
    <t>LT0PBS01SFPU1</t>
  </si>
  <si>
    <t>LT0PBR01SFKI1</t>
  </si>
  <si>
    <t>LT0PBR01SFKK2</t>
  </si>
  <si>
    <t>LT0PBR01SHSM1</t>
  </si>
  <si>
    <t>LT0PBR01SHSO2</t>
  </si>
  <si>
    <t>LT0PBR01SHSQ3</t>
  </si>
  <si>
    <t>LT0PBR01SLAJ1</t>
  </si>
  <si>
    <t>LT0PBR01SFLW1</t>
  </si>
  <si>
    <t>LT0PBR01SFLY2</t>
  </si>
  <si>
    <t>LT0PBS01SKYK1</t>
  </si>
  <si>
    <t>LT0PBS01SFRY1</t>
  </si>
  <si>
    <t>LT0PBS01SGQS1</t>
  </si>
  <si>
    <t>LT0PBS01SGBF1</t>
  </si>
  <si>
    <t>LT0PBS01SGRY1</t>
  </si>
  <si>
    <t>LT0PBS01SGRE1</t>
  </si>
  <si>
    <t>LT0PBS01SFNP1</t>
  </si>
  <si>
    <t>LT0PBS01SGR91</t>
  </si>
  <si>
    <t>LT0PBS01SGRJ1</t>
  </si>
  <si>
    <t>LT0PBS01SGRO1</t>
  </si>
  <si>
    <t>LT0PBS01SOLJ1</t>
  </si>
  <si>
    <t>LT1PBS01SXNI1</t>
  </si>
  <si>
    <t>LT0PBS01SM1M1</t>
  </si>
  <si>
    <t>LT0PBS01SFO91</t>
  </si>
  <si>
    <t>LT0PBS01SFQ41</t>
  </si>
  <si>
    <t>LT0PBS01SOCR1</t>
  </si>
  <si>
    <t>LT0PBS01SII31</t>
  </si>
  <si>
    <t>LT0PBS01SODH1</t>
  </si>
  <si>
    <t>LT0PBS01SFN41</t>
  </si>
  <si>
    <t>LT0PBS01SFP41</t>
  </si>
  <si>
    <t>LT0PBS01SFMP1</t>
  </si>
  <si>
    <t>LT0PBS01SKYP1</t>
  </si>
  <si>
    <t>LT0PBS01SFQL1</t>
  </si>
  <si>
    <t>LT0PBS01SFO21</t>
  </si>
  <si>
    <t>LT0PBS01SJO51</t>
  </si>
  <si>
    <t>LT0PBS01SGBB1</t>
  </si>
  <si>
    <t>LT0PBS01SOCW1</t>
  </si>
  <si>
    <t>LT0PBS01SI931</t>
  </si>
  <si>
    <t>LT0PBS01SFMU1</t>
  </si>
  <si>
    <t>LT0PBS01SFND1</t>
  </si>
  <si>
    <t>LT0PBS01SOK71</t>
  </si>
  <si>
    <t>LT0PBS01SOI91</t>
  </si>
  <si>
    <t>LT0PBS01SOD01</t>
  </si>
  <si>
    <t>LT0PBS01SFS41</t>
  </si>
  <si>
    <t>LT0PBS01SFRN1</t>
  </si>
  <si>
    <t>LT0PBS01SFRT1</t>
  </si>
  <si>
    <t>LT0PBS01SJJX1</t>
  </si>
  <si>
    <t>LT0PBS01SFQV1</t>
  </si>
  <si>
    <t>LT0PBT01SKY91</t>
  </si>
  <si>
    <t>LT0PBS01SFMD1</t>
  </si>
  <si>
    <t>LT0PBT01SK9K1</t>
  </si>
  <si>
    <t>LT1PBT01TEI21</t>
  </si>
  <si>
    <t>LT0PBT01SFKR1</t>
  </si>
  <si>
    <t>LT0PBT01SLLJ1</t>
  </si>
  <si>
    <t>LT0PBT01SFOJ1</t>
  </si>
  <si>
    <t>LT0PBT01SFR71</t>
  </si>
  <si>
    <t>LT0PBT01SFOE1</t>
  </si>
  <si>
    <t>LT1PBT01T8PQ1</t>
  </si>
  <si>
    <t>LT1PBT01T8PR1</t>
  </si>
  <si>
    <t>LT1PBT01T8PW1</t>
  </si>
  <si>
    <t>LT1PBT01T8PX1</t>
  </si>
  <si>
    <t>LT0PBT01SFOP1</t>
  </si>
  <si>
    <t>LT0PBT01SFPA1</t>
  </si>
  <si>
    <t>LT0PBT01SKUE1</t>
  </si>
  <si>
    <t>LT1PBT01TC181</t>
  </si>
  <si>
    <t>LT1PBT01TBYY1</t>
  </si>
  <si>
    <t>LT0PBT01SFQA1</t>
  </si>
  <si>
    <t>LT0PBT01SFRI1</t>
  </si>
  <si>
    <t>LT0PBT01SFSJ1</t>
  </si>
  <si>
    <t>LT0PBT01SGR01</t>
  </si>
  <si>
    <t>LT1PBT01TC1A1</t>
  </si>
  <si>
    <t>LT1PBT01TBYX1</t>
  </si>
  <si>
    <t>LT1PBT01TBYZ1</t>
  </si>
  <si>
    <t>LT0PBT01SFKS1</t>
  </si>
  <si>
    <t>LT0PBT01SFPL1</t>
  </si>
  <si>
    <t>LT0PBT01SFQG1</t>
  </si>
  <si>
    <t>LT0PBT01SFQQ1</t>
  </si>
  <si>
    <t>LT0PBT01SGS41</t>
  </si>
  <si>
    <t>LT0PBT01SFPV1</t>
  </si>
  <si>
    <t>LT0PBT01SJJS1</t>
  </si>
  <si>
    <t>LT0PBS01SFKM2</t>
  </si>
  <si>
    <t>LT0PBS01SFKL1</t>
  </si>
  <si>
    <t>LT0PBS01SLAK1</t>
  </si>
  <si>
    <t>LT0PBS01SFLZ2</t>
  </si>
  <si>
    <t>LT0PBS01SFLX1</t>
  </si>
  <si>
    <t>LT1PBS01T8PZ1</t>
  </si>
  <si>
    <t>LT1PBT01T8PT1</t>
  </si>
  <si>
    <t>LT1PBT01T8PS1</t>
  </si>
  <si>
    <t>LT1PBT01T8PO1</t>
  </si>
  <si>
    <t>LT1PBT01T8PP1</t>
  </si>
  <si>
    <t>LT0PBT01SG3X1</t>
  </si>
  <si>
    <t>LT1PBT01T8Q01</t>
  </si>
  <si>
    <t>LT0PBT01SKYJ1</t>
  </si>
  <si>
    <t>LT0PBT01SFRZ1</t>
  </si>
  <si>
    <t>LT0PBT01SGQT1</t>
  </si>
  <si>
    <t>LT0PBT01SGRZ1</t>
  </si>
  <si>
    <t>LT0PBT01SGBH1</t>
  </si>
  <si>
    <t>LT0PBT01SGRF1</t>
  </si>
  <si>
    <t>LT0PBT01SFNQ1</t>
  </si>
  <si>
    <t>LT0PBT01SGRA1</t>
  </si>
  <si>
    <t>LT0PBT01SGRK1</t>
  </si>
  <si>
    <t>LT0PBT01SGRP1</t>
  </si>
  <si>
    <t>LT0PBT01SOLK1</t>
  </si>
  <si>
    <t>LT0PBT01SLIO1</t>
  </si>
  <si>
    <t>LT0PBS01SHSR2</t>
  </si>
  <si>
    <t>LT0PBS01SHSP1</t>
  </si>
  <si>
    <t>LT0PBS01SHS93</t>
  </si>
  <si>
    <t>LT0PBS01SHS72</t>
  </si>
  <si>
    <t>LT0PBS01SHS51</t>
  </si>
  <si>
    <t>LT0PBS01SLA61</t>
  </si>
  <si>
    <t>LT0PBT01SL6Q1</t>
  </si>
  <si>
    <t>LT0PBT01SODI1</t>
  </si>
  <si>
    <t>LT0PBT01SFN51</t>
  </si>
  <si>
    <t>LT1PBT01TF7V1</t>
  </si>
  <si>
    <t>LT0PBT01SFP51</t>
  </si>
  <si>
    <t>LT0PBT01SKYQ1</t>
  </si>
  <si>
    <t>LT0PBT01SFO31</t>
  </si>
  <si>
    <t>LT0PBT01SGBC1</t>
  </si>
  <si>
    <t>LT0PBT01SFMV1</t>
  </si>
  <si>
    <t>LT0PBT01SFNE1</t>
  </si>
  <si>
    <t>LT0PBT01SOK81</t>
  </si>
  <si>
    <t>LT0PBT01SOIA1</t>
  </si>
  <si>
    <t>LT0PBT01SOD11</t>
  </si>
  <si>
    <t>LT0PBT01SFRU1</t>
  </si>
  <si>
    <t>LT0PBT01SL751</t>
  </si>
  <si>
    <t>LT0PBT01SFL41</t>
  </si>
  <si>
    <t>LT0PBT01SLJ11</t>
  </si>
  <si>
    <t>LT0PBT01SFRD1</t>
  </si>
  <si>
    <t>LT0PBT01SLA92</t>
  </si>
  <si>
    <t>LT0PBT01SFLN1</t>
  </si>
  <si>
    <t>LT0PBT01SFK41</t>
  </si>
  <si>
    <t>LT0PBT01SFK62</t>
  </si>
  <si>
    <t>LT0PBT01SHSA1</t>
  </si>
  <si>
    <t>LT0PBT01SHSE3</t>
  </si>
  <si>
    <t>LT0PBT01SFQ51</t>
  </si>
  <si>
    <t>LT0PBT01SOD21</t>
  </si>
  <si>
    <t>LT0PBT01SII41</t>
  </si>
  <si>
    <t>LT0PBT01SHRH2</t>
  </si>
  <si>
    <t>LT0PBT01SLJ32</t>
  </si>
  <si>
    <t>LT0PBT01SFMC1</t>
  </si>
  <si>
    <t>LT0PBT01SG461</t>
  </si>
  <si>
    <t>LT0PBU01SL6R1</t>
  </si>
  <si>
    <t>LT0PBT01SLAE1</t>
  </si>
  <si>
    <t>LT0PBT01SLAG2</t>
  </si>
  <si>
    <t>LT0PBT01SLAI3</t>
  </si>
  <si>
    <t>LT0PBT01SFK91</t>
  </si>
  <si>
    <t>LT0PBT01SFKF4</t>
  </si>
  <si>
    <t>LT0PBT01SHSB1</t>
  </si>
  <si>
    <t>LT0PBT01SFKB2</t>
  </si>
  <si>
    <t>LT0PBT01SFKD3</t>
  </si>
  <si>
    <t>LT0PBT01SFLP2</t>
  </si>
  <si>
    <t>LT0PBT01SHSD2</t>
  </si>
  <si>
    <t>LT0PBT01SHSF3</t>
  </si>
  <si>
    <t>LT0PBT01SHSH4</t>
  </si>
  <si>
    <t>LT0PBU01SFKT1</t>
  </si>
  <si>
    <t>LT0PBT01SFLR1</t>
  </si>
  <si>
    <t>LT0PBT01SHSS1</t>
  </si>
  <si>
    <t>LT1PC101TFQ41</t>
  </si>
  <si>
    <t>LT0PC101T3K31</t>
  </si>
  <si>
    <t>LT0PC101T6JJ1</t>
  </si>
  <si>
    <t>LT0PC101T0FE1</t>
  </si>
  <si>
    <t>LT0PC101T0E91</t>
  </si>
  <si>
    <t>LT0PC101T0H51</t>
  </si>
  <si>
    <t>LT0PC101T0I71</t>
  </si>
  <si>
    <t>LT0PC101TA9C1</t>
  </si>
  <si>
    <t>LT0PC101T1FY1</t>
  </si>
  <si>
    <t>LT0PC101T0G91</t>
  </si>
  <si>
    <t>LT0PC101T7CZ1</t>
  </si>
  <si>
    <t>LT0PC101T0DO1</t>
  </si>
  <si>
    <t>LT0PC101T6601</t>
  </si>
  <si>
    <t>LT0PC101T15N1</t>
  </si>
  <si>
    <t>LT0PC101T0EW1</t>
  </si>
  <si>
    <t>LT0PC101T0HS1</t>
  </si>
  <si>
    <t>LT0PC101T0F51</t>
  </si>
  <si>
    <t>LT0PC101T3AH1</t>
  </si>
  <si>
    <t>LT1PC101TFQC1</t>
  </si>
  <si>
    <t>LT1PC101TFQ51</t>
  </si>
  <si>
    <t>LT0PC101T6VP1</t>
  </si>
  <si>
    <t>LT0PC101T0DG1</t>
  </si>
  <si>
    <t>LT0PC101TAE01</t>
  </si>
  <si>
    <t>LT0PC101TATK1</t>
  </si>
  <si>
    <t>LT0PC101T0DV1</t>
  </si>
  <si>
    <t>LT0PC101T1DX1</t>
  </si>
  <si>
    <t>LT0PC101T15W1</t>
  </si>
  <si>
    <t>LT0PC101T0FC1</t>
  </si>
  <si>
    <t>LT0PC101T7P11</t>
  </si>
  <si>
    <t>LT0PC101T0IQ1</t>
  </si>
  <si>
    <t>LT0PC101T0IV1</t>
  </si>
  <si>
    <t>LT0PC101T4QH1</t>
  </si>
  <si>
    <t>LT0PC101T0I21</t>
  </si>
  <si>
    <t>LT0PC201T6FF1</t>
  </si>
  <si>
    <t>LT0PC201T0BQ1</t>
  </si>
  <si>
    <t>LT1PC201TFQ81</t>
  </si>
  <si>
    <t>LT0PC201T6V61</t>
  </si>
  <si>
    <t>LT0PC201T5HY1</t>
  </si>
  <si>
    <t>LT0PC201T65L1</t>
  </si>
  <si>
    <t>LT1PC201TFQT1</t>
  </si>
  <si>
    <t>LT0PC101T0CE1</t>
  </si>
  <si>
    <t>LT0PC201T0FO1</t>
  </si>
  <si>
    <t>LT1PC201TFQP1</t>
  </si>
  <si>
    <t>LT1PC201TFQ61</t>
  </si>
  <si>
    <t>LT1PC201TFQ21</t>
  </si>
  <si>
    <t>LT1PC201TFQR1</t>
  </si>
  <si>
    <t>LT0PC201T0FJ1</t>
  </si>
  <si>
    <t>LT0PC201T0IE1</t>
  </si>
  <si>
    <t>LT0PC201T0FT1</t>
  </si>
  <si>
    <t>LT0PC201T61V1</t>
  </si>
  <si>
    <t>LT1PC201TFQU1</t>
  </si>
  <si>
    <t>LT1PC201TFQA1</t>
  </si>
  <si>
    <t>LT1PC201TFPZ1</t>
  </si>
  <si>
    <t>LT0PC201T0J91</t>
  </si>
  <si>
    <t>LT0PC201T0IL1</t>
  </si>
  <si>
    <t>LT0PC201T1MG1</t>
  </si>
  <si>
    <t>LT0PC201T0HF1</t>
  </si>
  <si>
    <t>LT0PC201T4WH1</t>
  </si>
  <si>
    <t>LT0PC201T0GL1</t>
  </si>
  <si>
    <t>LT0PC201T0HN1</t>
  </si>
  <si>
    <t>LT0PC201T0GA1</t>
  </si>
  <si>
    <t>LT0PC201T0HX1</t>
  </si>
  <si>
    <t>LT0PC201T6FL1</t>
  </si>
  <si>
    <t>LT1PC201TFQ91</t>
  </si>
  <si>
    <t>LT1PC201TFQ31</t>
  </si>
  <si>
    <t>LT0PC201T6VB1</t>
  </si>
  <si>
    <t>LT0PC201T0D21</t>
  </si>
  <si>
    <t>LT1PC201TFQ01</t>
  </si>
  <si>
    <t>LT0PC201T4QC1</t>
  </si>
  <si>
    <t>LT0PC201T1NK1</t>
  </si>
  <si>
    <t>LT0PC201T0GW1</t>
  </si>
  <si>
    <t>LT0PC101T6JU1</t>
  </si>
  <si>
    <t>LT0PC101T6T71</t>
  </si>
  <si>
    <t>LT0PC101T0BI1</t>
  </si>
  <si>
    <t>LT0PC101TA8S1</t>
  </si>
  <si>
    <t>LT0PC101T2RO2</t>
  </si>
  <si>
    <t>LT0PC101T2RQ3</t>
  </si>
  <si>
    <t>LT0PC101T0CR2</t>
  </si>
  <si>
    <t>LT0PC101TA8V1</t>
  </si>
  <si>
    <t>LT0PC101T0CP1</t>
  </si>
  <si>
    <t>LT1PC201TG731</t>
  </si>
  <si>
    <t>LT0PC201T65V1</t>
  </si>
  <si>
    <t>LT0PC201T7OV1</t>
  </si>
  <si>
    <t>LT0PC201T1NF1</t>
  </si>
  <si>
    <t>LT0PC201T0WK1</t>
  </si>
  <si>
    <t>LT0PC201T1MA1</t>
  </si>
  <si>
    <t>LT0PC201TAFA1</t>
  </si>
  <si>
    <t>LT0PC201T1MV1</t>
  </si>
  <si>
    <t>LT0PC201T0EQ1</t>
  </si>
  <si>
    <t>LT0PC201T1MQ1</t>
  </si>
  <si>
    <t>LT0PC201T1N01</t>
  </si>
  <si>
    <t>LT0PC201T1N51</t>
  </si>
  <si>
    <t>LT0PC201TAJ41</t>
  </si>
  <si>
    <t>LT0PC101T6JW2</t>
  </si>
  <si>
    <t>LT0PC101T2RM1</t>
  </si>
  <si>
    <t>LT0PC201TAEK1</t>
  </si>
  <si>
    <t>LT0PC201T0FF1</t>
  </si>
  <si>
    <t>LT0PC201T0EA1</t>
  </si>
  <si>
    <t>LT0PC201T3K41</t>
  </si>
  <si>
    <t>LT0PC201T0HA1</t>
  </si>
  <si>
    <t>LT0PC201T0HC2</t>
  </si>
  <si>
    <t>LT0PC201TAA51</t>
  </si>
  <si>
    <t>LT0PC201T0E51</t>
  </si>
  <si>
    <t>LT0PC201T0I91</t>
  </si>
  <si>
    <t>LT1PC201TGLT1</t>
  </si>
  <si>
    <t>LT0PC201TA9T1</t>
  </si>
  <si>
    <t>LT0PC201T7D01</t>
  </si>
  <si>
    <t>LT0PC201T15O1</t>
  </si>
  <si>
    <t>LT0PC201T0EX1</t>
  </si>
  <si>
    <t>LT0PC201T0HT1</t>
  </si>
  <si>
    <t>LT0PC201T0F71</t>
  </si>
  <si>
    <t>LT0PC201T4V21</t>
  </si>
  <si>
    <t>LT1PC201TG2V1</t>
  </si>
  <si>
    <t>LT1PC201TG2L1</t>
  </si>
  <si>
    <t>LT1PC201TG241</t>
  </si>
  <si>
    <t>LT1PC201TFZS1</t>
  </si>
  <si>
    <t>LT1PC201TG0A1</t>
  </si>
  <si>
    <t>LT0PC201T0DR1</t>
  </si>
  <si>
    <t>LT0PC201T0DT2</t>
  </si>
  <si>
    <t>LT0PC201T6621</t>
  </si>
  <si>
    <t>LT0PC201T3AI1</t>
  </si>
  <si>
    <t>LT0PC201T0DW1</t>
  </si>
  <si>
    <t>LT0PC201TAHO1</t>
  </si>
  <si>
    <t>LT0PC201T1601</t>
  </si>
  <si>
    <t>LT0PC201TA9N1</t>
  </si>
  <si>
    <t>LT0PC201T0EI1</t>
  </si>
  <si>
    <t>LT0PC201T0EK2</t>
  </si>
  <si>
    <t>LT0PC201T7P21</t>
  </si>
  <si>
    <t>LT0PC201T0IR1</t>
  </si>
  <si>
    <t>LT1PC201TFZQ1</t>
  </si>
  <si>
    <t>LT1PC201TG0Y1</t>
  </si>
  <si>
    <t>LT1PC201TGJ51</t>
  </si>
  <si>
    <t>LT0PC201T0IW1</t>
  </si>
  <si>
    <t>LT0PC201T4QI1</t>
  </si>
  <si>
    <t>LT0PC201T0I31</t>
  </si>
  <si>
    <t>LT0PC301T6FG1</t>
  </si>
  <si>
    <t>LT0PC301T0BR1</t>
  </si>
  <si>
    <t>LT0PC301T0D31</t>
  </si>
  <si>
    <t>LT0PC301T65M1</t>
  </si>
  <si>
    <t>LT1PC301TGJK1</t>
  </si>
  <si>
    <t>LT1PC301TGJB1</t>
  </si>
  <si>
    <t>LT0PC201T0C92</t>
  </si>
  <si>
    <t>LT0PC301T0FP1</t>
  </si>
  <si>
    <t>LT0PC301T6V71</t>
  </si>
  <si>
    <t>LT0PC301T5HZ1</t>
  </si>
  <si>
    <t>LT0PC301T0FK1</t>
  </si>
  <si>
    <t>LT0PC301T0IF1</t>
  </si>
  <si>
    <t>LT0PC301T0FU1</t>
  </si>
  <si>
    <t>LT0PC301T61X1</t>
  </si>
  <si>
    <t>LT1PC301TGJM1</t>
  </si>
  <si>
    <t>LT1PC301TGJN1</t>
  </si>
  <si>
    <t>LT1PC301TGJ61</t>
  </si>
  <si>
    <t>LT0PC301T0JA1</t>
  </si>
  <si>
    <t>LT0PC301T0IM1</t>
  </si>
  <si>
    <t>LT0PC301T1MH1</t>
  </si>
  <si>
    <t>LT0PC301T0HH1</t>
  </si>
  <si>
    <t>LT1PC201TGJJ1</t>
  </si>
  <si>
    <t>LT1PC201TGJF1</t>
  </si>
  <si>
    <t>LT1PC201TGJ71</t>
  </si>
  <si>
    <t>LT0PC301T4WI1</t>
  </si>
  <si>
    <t>LT0PC301T0GM1</t>
  </si>
  <si>
    <t>LT0PC301T0HO1</t>
  </si>
  <si>
    <t>LT0PC301T0GB1</t>
  </si>
  <si>
    <t>LT0PC301T0HY1</t>
  </si>
  <si>
    <t>LT1PC301TGJH1</t>
  </si>
  <si>
    <t>LT0PC301T6FM1</t>
  </si>
  <si>
    <t>LT1PC301TGJI1</t>
  </si>
  <si>
    <t>LT1PC301TGJD1</t>
  </si>
  <si>
    <t>LT0PC301T6VC1</t>
  </si>
  <si>
    <t>LT0PC301T4QD1</t>
  </si>
  <si>
    <t>LT0PC301T1NL1</t>
  </si>
  <si>
    <t>LT0PC301T0GX1</t>
  </si>
  <si>
    <t>LT0PC201T6JY1</t>
  </si>
  <si>
    <t>LT0PC201T6K02</t>
  </si>
  <si>
    <t>LT0PC201T6T61</t>
  </si>
  <si>
    <t>LT0PC201T6T82</t>
  </si>
  <si>
    <t>LT0PC201T0BK1</t>
  </si>
  <si>
    <t>LT0PC201T0CS1</t>
  </si>
  <si>
    <t>LT0PC201T0CU2</t>
  </si>
  <si>
    <t>LT0PC201TA8U1</t>
  </si>
  <si>
    <t>LT0PC201T2S21</t>
  </si>
  <si>
    <t>LT0PC201T2S42</t>
  </si>
  <si>
    <t>LT0PC201T2S63</t>
  </si>
  <si>
    <t>LT0PC301T65W1</t>
  </si>
  <si>
    <t>LT0PC301T7OX1</t>
  </si>
  <si>
    <t>LT0PC301T1NG1</t>
  </si>
  <si>
    <t>LT1PC301TGJL1</t>
  </si>
  <si>
    <t>LT0PC301T0WL1</t>
  </si>
  <si>
    <t>LT0PC301T1MB1</t>
  </si>
  <si>
    <t>LT0PC301TAFB1</t>
  </si>
  <si>
    <t>LT0PC301T1MW1</t>
  </si>
  <si>
    <t>LT0PC301T0ES1</t>
  </si>
  <si>
    <t>LT0PC301T1MR1</t>
  </si>
  <si>
    <t>LT0PC301T1N11</t>
  </si>
  <si>
    <t>LT0PC301T1N61</t>
  </si>
  <si>
    <t>LT0PC301TAJ51</t>
  </si>
  <si>
    <t>LT1PC201TG2Z1</t>
  </si>
  <si>
    <t>LT1PC301TGJ91</t>
  </si>
  <si>
    <t>LT0PC201T2S84</t>
  </si>
  <si>
    <t>LT0PC301T0D81</t>
  </si>
  <si>
    <t>LT1PC301TGJG1</t>
  </si>
  <si>
    <t>LT1PC301TGJC1</t>
  </si>
  <si>
    <t>LT1PC301TGJO1</t>
  </si>
  <si>
    <t>LT0PC301T0CH1</t>
  </si>
  <si>
    <t>LT0PC301T3K51</t>
  </si>
  <si>
    <t>LT0PC301TA9D1</t>
  </si>
  <si>
    <t>LT0PC301TA9S1</t>
  </si>
  <si>
    <t>LT0PC301T0HD2</t>
  </si>
  <si>
    <t>LT0PC301T0HB1</t>
  </si>
  <si>
    <t>LT0PC301TAA61</t>
  </si>
  <si>
    <t>LT0PC301T0IA1</t>
  </si>
  <si>
    <t>LT0PC301TA9U1</t>
  </si>
  <si>
    <t>LT0PC301T7D11</t>
  </si>
  <si>
    <t>LT0PC301T15P1</t>
  </si>
  <si>
    <t>LT0PC301T0EY1</t>
  </si>
  <si>
    <t>LT0PC301T0HU1</t>
  </si>
  <si>
    <t>LT0PC301T0F81</t>
  </si>
  <si>
    <t>LT0PC301T4V31</t>
  </si>
  <si>
    <t>LT1PC301THCE1</t>
  </si>
  <si>
    <t>LT1PC301THCD1</t>
  </si>
  <si>
    <t>LT0PC301T0DS1</t>
  </si>
  <si>
    <t>LT0PC301T6631</t>
  </si>
  <si>
    <t>LT0PC301T3AJ1</t>
  </si>
  <si>
    <t>LT0PC301T0DX1</t>
  </si>
  <si>
    <t>LT0PC301TAHP1</t>
  </si>
  <si>
    <t>LT0PC301T1611</t>
  </si>
  <si>
    <t>LT0PC301T0EE1</t>
  </si>
  <si>
    <t>LT0PC301TA9O1</t>
  </si>
  <si>
    <t>LT0PC301T7P31</t>
  </si>
  <si>
    <t>LT0PC301T0IS1</t>
  </si>
  <si>
    <t>LT0PC301T0IX1</t>
  </si>
  <si>
    <t>LT0PC301T4QJ1</t>
  </si>
  <si>
    <t>LT0PC301T0I41</t>
  </si>
  <si>
    <t>LT0PC401T6FH1</t>
  </si>
  <si>
    <t>LT0PC401T0BS1</t>
  </si>
  <si>
    <t>LT0PC401T6V81</t>
  </si>
  <si>
    <t>LT0PC401T5I01</t>
  </si>
  <si>
    <t>LT0PC401T0D41</t>
  </si>
  <si>
    <t>LT0PC401T65N1</t>
  </si>
  <si>
    <t>LT1PC401THC51</t>
  </si>
  <si>
    <t>LT1PC401THCC1</t>
  </si>
  <si>
    <t>LT1PC401THBV1</t>
  </si>
  <si>
    <t>LT0PC301T6SZ1</t>
  </si>
  <si>
    <t>LT0PC301T2RP3</t>
  </si>
  <si>
    <t>LT0PC301T2RN2</t>
  </si>
  <si>
    <t>LT0PC401T0FQ1</t>
  </si>
  <si>
    <t>LT1PC401THCF1</t>
  </si>
  <si>
    <t>LT1PC401THC61</t>
  </si>
  <si>
    <t>LT0PC401T0FL1</t>
  </si>
  <si>
    <t>LT0PC401T0IG1</t>
  </si>
  <si>
    <t>LT0PC401T0FV1</t>
  </si>
  <si>
    <t>LT0PC401T61Y1</t>
  </si>
  <si>
    <t>LT1PC401THC91</t>
  </si>
  <si>
    <t>LT1PC401THBZ1</t>
  </si>
  <si>
    <t>LT1PC401THBW1</t>
  </si>
  <si>
    <t>LT0PC401T0JB1</t>
  </si>
  <si>
    <t>LT0PC401T0IN1</t>
  </si>
  <si>
    <t>LT0PC401T1MI1</t>
  </si>
  <si>
    <t>LT0PC401T0HE1</t>
  </si>
  <si>
    <t>LT0PC401T0HG2</t>
  </si>
  <si>
    <t>LT0PC301T0B01</t>
  </si>
  <si>
    <t>LT0PC301T0BM1</t>
  </si>
  <si>
    <t>LT1PC301THC41</t>
  </si>
  <si>
    <t>LT1PC301THBX1</t>
  </si>
  <si>
    <t>LT0PC401T4WJ1</t>
  </si>
  <si>
    <t>LT0PC401T0GN1</t>
  </si>
  <si>
    <t>LT0PC401T0HP1</t>
  </si>
  <si>
    <t>LT0PC401T0GC1</t>
  </si>
  <si>
    <t>LT0PC401T0HZ1</t>
  </si>
  <si>
    <t>LT1PC401THCB1</t>
  </si>
  <si>
    <t>LT0PC401T6FN1</t>
  </si>
  <si>
    <t>LT0PC401T0BV1</t>
  </si>
  <si>
    <t>LT0PC401T6VD1</t>
  </si>
  <si>
    <t>LT0PC401T4QE1</t>
  </si>
  <si>
    <t>LT0PC401T1NM1</t>
  </si>
  <si>
    <t>LT0PC401T0GY1</t>
  </si>
  <si>
    <t>LT0PC301T6TA1</t>
  </si>
  <si>
    <t>LT0PC301T2RS1</t>
  </si>
  <si>
    <t>LT0PC301T0CV2</t>
  </si>
  <si>
    <t>LT0PC301T0BO2</t>
  </si>
  <si>
    <t>LT1PC401THCA1</t>
  </si>
  <si>
    <t>LT0PC301T6K12</t>
  </si>
  <si>
    <t>LT0PC301T6TC2</t>
  </si>
  <si>
    <t>LT0PC401T65X1</t>
  </si>
  <si>
    <t>LT0PC401T7OY1</t>
  </si>
  <si>
    <t>LT0PC401T15T1</t>
  </si>
  <si>
    <t>LT0PC401T1NH1</t>
  </si>
  <si>
    <t>LT0PC401T0WM1</t>
  </si>
  <si>
    <t>LT0PC401T1MC1</t>
  </si>
  <si>
    <t>LT0PC401T1MX1</t>
  </si>
  <si>
    <t>LT0PC401T0ET1</t>
  </si>
  <si>
    <t>LT0PC401T1MS1</t>
  </si>
  <si>
    <t>LT0PC401T1N41</t>
  </si>
  <si>
    <t>LT0PC401T1N71</t>
  </si>
  <si>
    <t>LT0PC401TAJ61</t>
  </si>
  <si>
    <t>LT1PC401THOG1</t>
  </si>
  <si>
    <t>LT0PC301T0CT1</t>
  </si>
  <si>
    <t>LT0PC301T2RW3</t>
  </si>
  <si>
    <t>LT1PC401THMM1</t>
  </si>
  <si>
    <t>LT0PC401T0GH1</t>
  </si>
  <si>
    <t>LT0PC401T0FG1</t>
  </si>
  <si>
    <t>LT0PC401T0EC1</t>
  </si>
  <si>
    <t>LT0PC401T0H71</t>
  </si>
  <si>
    <t>LT0PC401TA9E1</t>
  </si>
  <si>
    <t>LT0PC401TA9I1</t>
  </si>
  <si>
    <t>LT0PC401TAA71</t>
  </si>
  <si>
    <t>LT0PC401T0IB1</t>
  </si>
  <si>
    <t>LT0PC401TA9V1</t>
  </si>
  <si>
    <t>LT1PC401THOV1</t>
  </si>
  <si>
    <t>LT0PC401T7D21</t>
  </si>
  <si>
    <t>LT0PC401T0DP1</t>
  </si>
  <si>
    <t>LT0PC401T15Q1</t>
  </si>
  <si>
    <t>LT0PC401T0HV1</t>
  </si>
  <si>
    <t>LT0PC401T0FA1</t>
  </si>
  <si>
    <t>LT0PC401T4V41</t>
  </si>
  <si>
    <t>LT1PC401TJF11</t>
  </si>
  <si>
    <t>LT0PC401TBGE1</t>
  </si>
  <si>
    <t>LT0PC401TA9L1</t>
  </si>
  <si>
    <t>LT0PC401T3AK1</t>
  </si>
  <si>
    <t>LT0PC401T0DY1</t>
  </si>
  <si>
    <t>LT0PC401T15X1</t>
  </si>
  <si>
    <t>LT0PC401TAHQ1</t>
  </si>
  <si>
    <t>LT0PC401T0EF1</t>
  </si>
  <si>
    <t>LT0PC401TA9P1</t>
  </si>
  <si>
    <t>LT0PC401T0IT1</t>
  </si>
  <si>
    <t>LT1PC401THPD1</t>
  </si>
  <si>
    <t>LT0PC401T7P51</t>
  </si>
  <si>
    <t>LT0PC401T0IY1</t>
  </si>
  <si>
    <t>LT0PC401T0I51</t>
  </si>
  <si>
    <t>LT0PC401T4QK1</t>
  </si>
  <si>
    <t>LT0PC501T6FI1</t>
  </si>
  <si>
    <t>LT0PC501T0BT1</t>
  </si>
  <si>
    <t>LT0PC501T6V91</t>
  </si>
  <si>
    <t>LT0PC501T5I11</t>
  </si>
  <si>
    <t>LT0PC501T0D51</t>
  </si>
  <si>
    <t>LT0PC501T65O1</t>
  </si>
  <si>
    <t>LT0PC501T0FR1</t>
  </si>
  <si>
    <t>LT1PC501THOS1</t>
  </si>
  <si>
    <t>LT0PC501T0FM1</t>
  </si>
  <si>
    <t>LT0PC501T0IH1</t>
  </si>
  <si>
    <t>LT0PC401T6T21</t>
  </si>
  <si>
    <t>LT0PC501T0FW1</t>
  </si>
  <si>
    <t>LT0PC501T61Z1</t>
  </si>
  <si>
    <t>LT0PC501T0JC1</t>
  </si>
  <si>
    <t>LT0PC501T0IO1</t>
  </si>
  <si>
    <t>LT0PC501T1MJ1</t>
  </si>
  <si>
    <t>LT0PC501T0HI1</t>
  </si>
  <si>
    <t>LT0PC401T6T52</t>
  </si>
  <si>
    <t>LT0PC501T4WK1</t>
  </si>
  <si>
    <t>LT0PC501T0GP1</t>
  </si>
  <si>
    <t>LT0PC501T0HQ1</t>
  </si>
  <si>
    <t>LT0PC501T0I01</t>
  </si>
  <si>
    <t>LT0PC501T0GD1</t>
  </si>
  <si>
    <t>LT0PC501T6VE1</t>
  </si>
  <si>
    <t>LT0PC501T4QF1</t>
  </si>
  <si>
    <t>LT0PC501T1NN1</t>
  </si>
  <si>
    <t>LT0PC501T0GZ1</t>
  </si>
  <si>
    <t>LT0PC401T6K21</t>
  </si>
  <si>
    <t>LT1PC401THP21</t>
  </si>
  <si>
    <t>LT0PC401T6TD2</t>
  </si>
  <si>
    <t>LT1PC401THP81</t>
  </si>
  <si>
    <t>LT0PC401T6TB1</t>
  </si>
  <si>
    <t>LT0PC401T0CM2</t>
  </si>
  <si>
    <t>LT0PC401T2RZ1</t>
  </si>
  <si>
    <t>LT0PC401T2S02</t>
  </si>
  <si>
    <t>LT0PC401T0D01</t>
  </si>
  <si>
    <t>LT0PC401T0BN1</t>
  </si>
  <si>
    <t>LT0PC401T0BP2</t>
  </si>
  <si>
    <t>LT0PC501T65Y1</t>
  </si>
  <si>
    <t>LT0PC501T7OZ1</t>
  </si>
  <si>
    <t>LT0PC501T1M81</t>
  </si>
  <si>
    <t>LT0PC501T15U1</t>
  </si>
  <si>
    <t>LT0PC501T1NI1</t>
  </si>
  <si>
    <t>LT0PC501T0WN1</t>
  </si>
  <si>
    <t>LT0PC501T1MD1</t>
  </si>
  <si>
    <t>LT0PC501T1MY1</t>
  </si>
  <si>
    <t>LT0PC501T0EU1</t>
  </si>
  <si>
    <t>LT0PC501T1MT1</t>
  </si>
  <si>
    <t>LT0PC501T1N21</t>
  </si>
  <si>
    <t>LT0PC501T1N81</t>
  </si>
  <si>
    <t>LT0PC501TAJ71</t>
  </si>
  <si>
    <t>LT1PC501TI8G1</t>
  </si>
  <si>
    <t>LT0PC401T6SS1</t>
  </si>
  <si>
    <t>LT0PC401T6K42</t>
  </si>
  <si>
    <t>LT1PC501TI7Y1</t>
  </si>
  <si>
    <t>LT1PC501TI821</t>
  </si>
  <si>
    <t>LT1PC501TI801</t>
  </si>
  <si>
    <t>LT1PC501TIDS1</t>
  </si>
  <si>
    <t>LT1PC401TIE11</t>
  </si>
  <si>
    <t>LT1PC501TI8A1</t>
  </si>
  <si>
    <t>LT1PC501TI8H1</t>
  </si>
  <si>
    <t>LT1PC501TI841</t>
  </si>
  <si>
    <t>LT1PC501TI881</t>
  </si>
  <si>
    <t>LT0PC401TA911</t>
  </si>
  <si>
    <t>LT1PC501TI831</t>
  </si>
  <si>
    <t>LT0PC501T4WG1</t>
  </si>
  <si>
    <t>LT0PC501T0CW1</t>
  </si>
  <si>
    <t>LT0PC501T0FH1</t>
  </si>
  <si>
    <t>LT0PC501T0H81</t>
  </si>
  <si>
    <t>LT0PC501TA9J1</t>
  </si>
  <si>
    <t>LT0PC501TAA81</t>
  </si>
  <si>
    <t>LT0PC501T0E61</t>
  </si>
  <si>
    <t>LT0PC501T0IC1</t>
  </si>
  <si>
    <t>LT0PC501TA9W1</t>
  </si>
  <si>
    <t>LT0PC501T0DQ1</t>
  </si>
  <si>
    <t>LT0PC501T15R1</t>
  </si>
  <si>
    <t>LT0PC501T0HW1</t>
  </si>
  <si>
    <t>LT0PC501T0F91</t>
  </si>
  <si>
    <t>LT0PC501T4V51</t>
  </si>
  <si>
    <t>LT1PC501TJJZ1</t>
  </si>
  <si>
    <t>LT0PC501TA9M1</t>
  </si>
  <si>
    <t>LT0PC501T6641</t>
  </si>
  <si>
    <t>LT0PC501T3AL1</t>
  </si>
  <si>
    <t>LT0PC501T0DZ1</t>
  </si>
  <si>
    <t>LT0PC501T15Y1</t>
  </si>
  <si>
    <t>LT0PC501TAHR1</t>
  </si>
  <si>
    <t>LT0PC501T0EG1</t>
  </si>
  <si>
    <t>LT0PC501TA9Q1</t>
  </si>
  <si>
    <t>LT0PC501T7P41</t>
  </si>
  <si>
    <t>LT0PC501T0IU1</t>
  </si>
  <si>
    <t>LT0PC501T0IZ1</t>
  </si>
  <si>
    <t>LT0PC501T0I61</t>
  </si>
  <si>
    <t>LT0PC501T4QL1</t>
  </si>
  <si>
    <t>LT0PC501T6SX2</t>
  </si>
  <si>
    <t>LT0PC601T6FJ1</t>
  </si>
  <si>
    <t>LT0PC601T0BU1</t>
  </si>
  <si>
    <t>LT0PC601T6VA1</t>
  </si>
  <si>
    <t>LT0PC601T5I21</t>
  </si>
  <si>
    <t>LT0PC601T0D61</t>
  </si>
  <si>
    <t>LT0PC601T65P1</t>
  </si>
  <si>
    <t>LT0PC601T0FS1</t>
  </si>
  <si>
    <t>LT1PC601TJK41</t>
  </si>
  <si>
    <t>LT0PC601T0FN1</t>
  </si>
  <si>
    <t>LT0PC601T0II1</t>
  </si>
  <si>
    <t>LT0PC501T2RC3</t>
  </si>
  <si>
    <t>LT0PC501T2S12</t>
  </si>
  <si>
    <t>LT0PC601T0FX1</t>
  </si>
  <si>
    <t>LT0PC601T6201</t>
  </si>
  <si>
    <t>LT1PC601TXZA1</t>
  </si>
  <si>
    <t>LT0PC601T0JD1</t>
  </si>
  <si>
    <t>LT0PC601T0IP1</t>
  </si>
  <si>
    <t>LT0PC601T1MK1</t>
  </si>
  <si>
    <t>LT0PC601T0HJ1</t>
  </si>
  <si>
    <t>LT0PC601T0GO1</t>
  </si>
  <si>
    <t>LT0PC601T0HR1</t>
  </si>
  <si>
    <t>LT0PC601T0I11</t>
  </si>
  <si>
    <t>LT0PC601T0GE1</t>
  </si>
  <si>
    <t>LT1PC601TJIO1</t>
  </si>
  <si>
    <t>LT0PC601T6VF1</t>
  </si>
  <si>
    <t>LT0PC601T4QG1</t>
  </si>
  <si>
    <t>LT0PC601T1NO1</t>
  </si>
  <si>
    <t>LT0PC601T0H01</t>
  </si>
  <si>
    <t>LT0PC501T6K31</t>
  </si>
  <si>
    <t>LT0PC501T6K52</t>
  </si>
  <si>
    <t>LT0PC501T6TE1</t>
  </si>
  <si>
    <t>LT0PC501T6TG2</t>
  </si>
  <si>
    <t>LT0PC501T0BL1</t>
  </si>
  <si>
    <t>LT0PC501TA8W1</t>
  </si>
  <si>
    <t>LT0PC601T65Z1</t>
  </si>
  <si>
    <t>LT0PC601T7P01</t>
  </si>
  <si>
    <t>LT0PC601T1M91</t>
  </si>
  <si>
    <t>LT0PC601T15V1</t>
  </si>
  <si>
    <t>LT0PC601T1NJ1</t>
  </si>
  <si>
    <t>LT0PC601T0WO1</t>
  </si>
  <si>
    <t>LT0PC601T1ME1</t>
  </si>
  <si>
    <t>LT0PC601T1MZ1</t>
  </si>
  <si>
    <t>LT0PC601T0EV1</t>
  </si>
  <si>
    <t>LT0PC601T1MU1</t>
  </si>
  <si>
    <t>LT0PC601T1N31</t>
  </si>
  <si>
    <t>LT0PC601T1N91</t>
  </si>
  <si>
    <t>LT0PC601TAJ81</t>
  </si>
  <si>
    <t>LT1PC601TXZ71</t>
  </si>
  <si>
    <t>LT1PC501TJIU1</t>
  </si>
  <si>
    <t>LT1PC601TJIN1</t>
  </si>
  <si>
    <t>LT1PC601TXZB1</t>
  </si>
  <si>
    <t>LT1PC601TXZN1</t>
  </si>
  <si>
    <t>LT0PC601TADZ1</t>
  </si>
  <si>
    <t>LT1PC601U0X31</t>
  </si>
  <si>
    <t>LT1PC601U1O51</t>
  </si>
  <si>
    <t>LT1PC601TYHS1</t>
  </si>
  <si>
    <t>LT1PC601U1PO1</t>
  </si>
  <si>
    <t>LT1PC601U1OU1</t>
  </si>
  <si>
    <t>LT0PC601T0FI1</t>
  </si>
  <si>
    <t>LT0PC601T3K81</t>
  </si>
  <si>
    <t>LT0PC601T0H91</t>
  </si>
  <si>
    <t>LT0PC601T0I81</t>
  </si>
  <si>
    <t>LT0PC601T0E71</t>
  </si>
  <si>
    <t>LT0PC601T0ID1</t>
  </si>
  <si>
    <t>LT0PC601TA9X1</t>
  </si>
  <si>
    <t>LT0PC601T6611</t>
  </si>
  <si>
    <t>LT0PC601T15S1</t>
  </si>
  <si>
    <t>LT0PC601T0FB1</t>
  </si>
  <si>
    <t>LT1PC601TYIW1</t>
  </si>
  <si>
    <t>LT0PC601T0E01</t>
  </si>
  <si>
    <t>LT0PC601T15Z1</t>
  </si>
  <si>
    <t>LT0PC601TAHS1</t>
  </si>
  <si>
    <t>LT0PC601TA9R1</t>
  </si>
  <si>
    <t>LT1PC601U1CY1</t>
  </si>
  <si>
    <t>LT0PC601T0J01</t>
  </si>
  <si>
    <t>LT1PC701U1Q81</t>
  </si>
  <si>
    <t>LT0PC701T6FK1</t>
  </si>
  <si>
    <t>LT1PC701U1JX1</t>
  </si>
  <si>
    <t>LT0PC601T2RT1</t>
  </si>
  <si>
    <t>LT0PC601T2RV2</t>
  </si>
  <si>
    <t>LT0PC601T6KA3</t>
  </si>
  <si>
    <t>LT0PC601T6K61</t>
  </si>
  <si>
    <t>LT0PC601T6K82</t>
  </si>
  <si>
    <t>LT0PC601T0CY1</t>
  </si>
  <si>
    <t>LT0PC601T0CZ2</t>
  </si>
  <si>
    <t>LT0PC601T0D13</t>
  </si>
  <si>
    <t>LT0PC601TA8Z2</t>
  </si>
  <si>
    <t>LT0PC601TA8X1</t>
  </si>
  <si>
    <t>LT1PC801U2531</t>
  </si>
  <si>
    <t>LT0PC801TP451</t>
  </si>
  <si>
    <t>LT0PC801TW151</t>
  </si>
  <si>
    <t>LT0PC801TTWS1</t>
  </si>
  <si>
    <t>LT0PC801TO6Q1</t>
  </si>
  <si>
    <t>LT0PC801TO471</t>
  </si>
  <si>
    <t>LT0PC801TSLT1</t>
  </si>
  <si>
    <t>LT1PC801U2K91</t>
  </si>
  <si>
    <t>LT0PC801TO9S1</t>
  </si>
  <si>
    <t>LT0PC801TOC01</t>
  </si>
  <si>
    <t>LT1PC801U2K81</t>
  </si>
  <si>
    <t>LT0PC801TO8E1</t>
  </si>
  <si>
    <t>LT0PC801TWIF1</t>
  </si>
  <si>
    <t>LT0PC801TO3C1</t>
  </si>
  <si>
    <t>LT0PC801TV911</t>
  </si>
  <si>
    <t>LT0PC801TPOU1</t>
  </si>
  <si>
    <t>LT0PC801TO5J1</t>
  </si>
  <si>
    <t>LT0PC801TOB51</t>
  </si>
  <si>
    <t>LT0PC801TO661</t>
  </si>
  <si>
    <t>LT0PC801TO5T1</t>
  </si>
  <si>
    <t>LT0PC801TTVX1</t>
  </si>
  <si>
    <t>LT0PC801TSBO1</t>
  </si>
  <si>
    <t>LT0PC801TO3L1</t>
  </si>
  <si>
    <t>LT0PC801TQ4R1</t>
  </si>
  <si>
    <t>LT0PC801TPPA1</t>
  </si>
  <si>
    <t>LT0PC801TO4I1</t>
  </si>
  <si>
    <t>LT0PC801TO6J1</t>
  </si>
  <si>
    <t>LT0PC801TWTZ1</t>
  </si>
  <si>
    <t>LT0PC801TOD51</t>
  </si>
  <si>
    <t>LT0PC801TODG1</t>
  </si>
  <si>
    <t>LT0PC801TTRG1</t>
  </si>
  <si>
    <t>LT0PC801TOBM1</t>
  </si>
  <si>
    <t>LT0PC901TVII1</t>
  </si>
  <si>
    <t>LT0PC901TNZI1</t>
  </si>
  <si>
    <t>LT0PC901TW0L1</t>
  </si>
  <si>
    <t>LT0PC901TUIR1</t>
  </si>
  <si>
    <t>LT0PC901TTXI1</t>
  </si>
  <si>
    <t>LT0PC901TV8I1</t>
  </si>
  <si>
    <t>LT0PC901TO2G1</t>
  </si>
  <si>
    <t>LT0PC901TO771</t>
  </si>
  <si>
    <t>LT0PC901TO792</t>
  </si>
  <si>
    <t>LT0PC901TNGD1</t>
  </si>
  <si>
    <t>LT0PC901TO6Z1</t>
  </si>
  <si>
    <t>LT0PC901TOCA1</t>
  </si>
  <si>
    <t>LT0PC901TO7J1</t>
  </si>
  <si>
    <t>LT0PC901TV4U1</t>
  </si>
  <si>
    <t>LT0PC901TVIN1</t>
  </si>
  <si>
    <t>LT0PC901TNZR1</t>
  </si>
  <si>
    <t>LT0PC901TW0R1</t>
  </si>
  <si>
    <t>LT1PC901U2DY1</t>
  </si>
  <si>
    <t>LT1PC901U2DS1</t>
  </si>
  <si>
    <t>LT0PC901TOED1</t>
  </si>
  <si>
    <t>LT0PC901TOEE2</t>
  </si>
  <si>
    <t>LT0PC901TQHC1</t>
  </si>
  <si>
    <t>LT0PC901TNA11</t>
  </si>
  <si>
    <t>LT0PC901TOA21</t>
  </si>
  <si>
    <t>LT0PC901TOA42</t>
  </si>
  <si>
    <t>LT0PC901TOCT1</t>
  </si>
  <si>
    <t>LT0PC901TQJ61</t>
  </si>
  <si>
    <t>LT0PC801TVY51</t>
  </si>
  <si>
    <t>LT0PC801TRQS1</t>
  </si>
  <si>
    <t>LT0PC801TO1R2</t>
  </si>
  <si>
    <t>LT0PC801TO1P1</t>
  </si>
  <si>
    <t>LT0PC901TQI41</t>
  </si>
  <si>
    <t>LT0PC901TQI62</t>
  </si>
  <si>
    <t>LT0PC901TNRE2</t>
  </si>
  <si>
    <t>LT1PC901U2EN1</t>
  </si>
  <si>
    <t>LT1PC901U2ER1</t>
  </si>
  <si>
    <t>LT1PC901U2E11</t>
  </si>
  <si>
    <t>LT1PC901U2EO1</t>
  </si>
  <si>
    <t>LT1PC901U2EP1</t>
  </si>
  <si>
    <t>LT1PC901U2ET1</t>
  </si>
  <si>
    <t>LT0PC801TO7T1</t>
  </si>
  <si>
    <t>LT0PC901TO3D1</t>
  </si>
  <si>
    <t>LT0PC901TV931</t>
  </si>
  <si>
    <t>LT0PC901TPOV1</t>
  </si>
  <si>
    <t>LT0PC901TO5K1</t>
  </si>
  <si>
    <t>LT0PC901TOB61</t>
  </si>
  <si>
    <t>LT0PC901TO681</t>
  </si>
  <si>
    <t>LT0PC901TTVY1</t>
  </si>
  <si>
    <t>LT1PC901U2RL1</t>
  </si>
  <si>
    <t>LT1PC901U2PK1</t>
  </si>
  <si>
    <t>LT0PC901TRR92</t>
  </si>
  <si>
    <t>LT1PC901U3FM1</t>
  </si>
  <si>
    <t>LT1PC901U3FN2</t>
  </si>
  <si>
    <t>LT0PC901TSBQ1</t>
  </si>
  <si>
    <t>LT0PC901TQ4S1</t>
  </si>
  <si>
    <t>LT0PC901TPPB1</t>
  </si>
  <si>
    <t>LT0PC901TO4J1</t>
  </si>
  <si>
    <t>LT0PC901TN8S1</t>
  </si>
  <si>
    <t>LT0PC901TN9P1</t>
  </si>
  <si>
    <t>LT1PC901U2DZ1</t>
  </si>
  <si>
    <t>LT0PC901TWU01</t>
  </si>
  <si>
    <t>LT0PC901TOD41</t>
  </si>
  <si>
    <t>LT1PC901U2RM1</t>
  </si>
  <si>
    <t>LT1PC901U39G1</t>
  </si>
  <si>
    <t>LT0PC901TODH1</t>
  </si>
  <si>
    <t>LT0PC901TTRH1</t>
  </si>
  <si>
    <t>LT0PC901TOBN1</t>
  </si>
  <si>
    <t>LT0PCA01TW0M1</t>
  </si>
  <si>
    <t>LT0PCA01TUIS1</t>
  </si>
  <si>
    <t>LT0PCA01TV8J1</t>
  </si>
  <si>
    <t>LT0PCA01TVIM1</t>
  </si>
  <si>
    <t>LT0PC901TRRF5</t>
  </si>
  <si>
    <t>LT1PCA01U39Q1</t>
  </si>
  <si>
    <t>LT1PCA01U3PC1</t>
  </si>
  <si>
    <t>LT0PCA01TO7A1</t>
  </si>
  <si>
    <t>LT0PCA01TO701</t>
  </si>
  <si>
    <t>LT0PCA01TOCC1</t>
  </si>
  <si>
    <t>LT0PCA01TO7L1</t>
  </si>
  <si>
    <t>LT0PCA01TV4V1</t>
  </si>
  <si>
    <t>LT0PCA01TNZK1</t>
  </si>
  <si>
    <t>LT0PCA01TUIX1</t>
  </si>
  <si>
    <t>LT1PCA01U39W1</t>
  </si>
  <si>
    <t>LT0PC901TO1Y3</t>
  </si>
  <si>
    <t>LT0PCA01TOCU1</t>
  </si>
  <si>
    <t>LT0PCA01TOEJ1</t>
  </si>
  <si>
    <t>LT0PCA01TOAC1</t>
  </si>
  <si>
    <t>LT0PCA01TQJ91</t>
  </si>
  <si>
    <t>LT0PC901TVNU2</t>
  </si>
  <si>
    <t>LT0PC901TVNW3</t>
  </si>
  <si>
    <t>LT0PCA01TVNV2</t>
  </si>
  <si>
    <t>LT0PC901TNYR1</t>
  </si>
  <si>
    <t>LT0PC901TN8I1</t>
  </si>
  <si>
    <t>LT1PC901U2EM1</t>
  </si>
  <si>
    <t>LT0PC901TWIG1</t>
  </si>
  <si>
    <t>LT0PCA01TWTV1</t>
  </si>
  <si>
    <t>LT0PCA01TQGX1</t>
  </si>
  <si>
    <t>LT1PCA01U39X1</t>
  </si>
  <si>
    <t>LT1PCA01U39V1</t>
  </si>
  <si>
    <t>LT1PCA01U39L1</t>
  </si>
  <si>
    <t>LT0PCA01TW0N1</t>
  </si>
  <si>
    <t>LT1PC901U2QM1</t>
  </si>
  <si>
    <t>LT0PC901TPGA1</t>
  </si>
  <si>
    <t>LT0PC901TTXE1</t>
  </si>
  <si>
    <t>LT0PC901TOES1</t>
  </si>
  <si>
    <t>LT0PC901TOAS1</t>
  </si>
  <si>
    <t>LT0PC901TQ4M1</t>
  </si>
  <si>
    <t>LT0PC901TRR71</t>
  </si>
  <si>
    <t>LT0PC901TRRB3</t>
  </si>
  <si>
    <t>LT0PC901TO6R1</t>
  </si>
  <si>
    <t>LT0PC901TSLU1</t>
  </si>
  <si>
    <t>LT0PC901TO9T1</t>
  </si>
  <si>
    <t>LT0PC901TOCK1</t>
  </si>
  <si>
    <t>LT0PC901TOC11</t>
  </si>
  <si>
    <t>LT0PC901TO3X1</t>
  </si>
  <si>
    <t>LT0PC901TO8F1</t>
  </si>
  <si>
    <t>LT0PCA01TO2E1</t>
  </si>
  <si>
    <t>LT0PCA01TTXJ1</t>
  </si>
  <si>
    <t>LT0PC901TO5U1</t>
  </si>
  <si>
    <t>LT0PC901TO1W2</t>
  </si>
  <si>
    <t>LT1PCA01U3HW1</t>
  </si>
  <si>
    <t>LT0PC901TO1V1</t>
  </si>
  <si>
    <t>LT1PCA01U39K1</t>
  </si>
  <si>
    <t>LT1PC901U2QO1</t>
  </si>
  <si>
    <t>LT0PB801QNQS1</t>
  </si>
  <si>
    <t>LT0PCA01TN8Z1</t>
  </si>
  <si>
    <t>LT0PCA01TO102</t>
  </si>
  <si>
    <t>LT0PCA01TVXY3</t>
  </si>
  <si>
    <t>LT0PCA01TO1H3</t>
  </si>
  <si>
    <t>LT0PCA01TO9U1</t>
  </si>
  <si>
    <t>LT0PCA01TOC21</t>
  </si>
  <si>
    <t>LT0PCA01TN9C1</t>
  </si>
  <si>
    <t>LT0PCA01TO8G1</t>
  </si>
  <si>
    <t>LT0PCA01TWIH1</t>
  </si>
  <si>
    <t>LT0PCA01TO3E1</t>
  </si>
  <si>
    <t>LT0PCA01TV941</t>
  </si>
  <si>
    <t>LT0PCA01TO5L1</t>
  </si>
  <si>
    <t>LT0PCA01TOB71</t>
  </si>
  <si>
    <t>LT0PCA01TO691</t>
  </si>
  <si>
    <t>LT0PCA01TO5V1</t>
  </si>
  <si>
    <t>LT0PCA01TTVZ1</t>
  </si>
  <si>
    <t>LT1PCA01U3ZQ1</t>
  </si>
  <si>
    <t>LT0PCA01TSBR1</t>
  </si>
  <si>
    <t>LT0PCA01TQ4T1</t>
  </si>
  <si>
    <t>LT0PCA01TPPC1</t>
  </si>
  <si>
    <t>LT0PCA01TO4K1</t>
  </si>
  <si>
    <t>LT0PCA01TN8T1</t>
  </si>
  <si>
    <t>LT0PCA01TN9Q1</t>
  </si>
  <si>
    <t>LT0PCA01TWU11</t>
  </si>
  <si>
    <t>LT0PCA01TOD61</t>
  </si>
  <si>
    <t>LT1PCA01U4001</t>
  </si>
  <si>
    <t>LT0PCA01TODI1</t>
  </si>
  <si>
    <t>LT0PCA01TTRI1</t>
  </si>
  <si>
    <t>LT0PCA01TOBO1</t>
  </si>
  <si>
    <t>LT0PCB01TVIJ1</t>
  </si>
  <si>
    <t>LT1PCB01U4041</t>
  </si>
  <si>
    <t>LT0PCB01TUIT1</t>
  </si>
  <si>
    <t>LT0PCB01TV8K1</t>
  </si>
  <si>
    <t>LT0PCB01TW0O1</t>
  </si>
  <si>
    <t>LT0PCB01TO2H1</t>
  </si>
  <si>
    <t>LT0PCB01TOZA1</t>
  </si>
  <si>
    <t>LT1PCB01U4M61</t>
  </si>
  <si>
    <t>LT0PCB01TNZN1</t>
  </si>
  <si>
    <t>LT1PCB01U4011</t>
  </si>
  <si>
    <t>LT1PCB01U4051</t>
  </si>
  <si>
    <t>LT0PCB01TO7B1</t>
  </si>
  <si>
    <t>LT0PCB01TO711</t>
  </si>
  <si>
    <t>LT0PCB01TOCD1</t>
  </si>
  <si>
    <t>LT0PC901TRRD4</t>
  </si>
  <si>
    <t>LT0PCB01TO7M1</t>
  </si>
  <si>
    <t>LT0PCB01TV4W1</t>
  </si>
  <si>
    <t>LT0PCB01TVIO1</t>
  </si>
  <si>
    <t>LT0PCB01TUIY1</t>
  </si>
  <si>
    <t>LT1PCB01U3ZR1</t>
  </si>
  <si>
    <t>LT0PCB01TQHE1</t>
  </si>
  <si>
    <t>LT0PCB01TOEK1</t>
  </si>
  <si>
    <t>LT0PCB01TOA31</t>
  </si>
  <si>
    <t>LT0PCB01TOA52</t>
  </si>
  <si>
    <t>LT0PCB01TOCV1</t>
  </si>
  <si>
    <t>LT1PCB01U4071</t>
  </si>
  <si>
    <t>LT0PCA01TNZ94</t>
  </si>
  <si>
    <t>LT0PCB01TQIW1</t>
  </si>
  <si>
    <t>LT1PCB01U3ZX1</t>
  </si>
  <si>
    <t>LT0PCA01TNOP1</t>
  </si>
  <si>
    <t>LT0PCA01TVXU1</t>
  </si>
  <si>
    <t>LT0PCA01TVW21</t>
  </si>
  <si>
    <t>LT0PCA01TO9K1</t>
  </si>
  <si>
    <t>LT0PCA01TO6S1</t>
  </si>
  <si>
    <t>LT0PCB01TW161</t>
  </si>
  <si>
    <t>LT1PCB01U4FV1</t>
  </si>
  <si>
    <t>LT1PCB01U4FN1</t>
  </si>
  <si>
    <t>LT0PCB01TVYE2</t>
  </si>
  <si>
    <t>LT0PCB01TUJD1</t>
  </si>
  <si>
    <t>LT1PCB01U6N11</t>
  </si>
  <si>
    <t>LT1PCB01U4D11</t>
  </si>
  <si>
    <t>LT0PCB01TO6T1</t>
  </si>
  <si>
    <t>LT0PCB01TO9V1</t>
  </si>
  <si>
    <t>LT0PCB01TOC31</t>
  </si>
  <si>
    <t>LT0PCB01TN9D1</t>
  </si>
  <si>
    <t>LT0PCB01TO8H1</t>
  </si>
  <si>
    <t>LT0PCB01TWII1</t>
  </si>
  <si>
    <t>LT0PCB01TO3F1</t>
  </si>
  <si>
    <t>LT1PCB01U6GA1</t>
  </si>
  <si>
    <t>LT0PCB01TV951</t>
  </si>
  <si>
    <t>LT0PCB01TO5N1</t>
  </si>
  <si>
    <t>LT0PCB01TOB91</t>
  </si>
  <si>
    <t>LT0PCB01TO6A1</t>
  </si>
  <si>
    <t>LT0PCB01TO5W1</t>
  </si>
  <si>
    <t>LT0PCB01TTW01</t>
  </si>
  <si>
    <t>LT1PCB01U4G11</t>
  </si>
  <si>
    <t>LT0PCB01TUJ21</t>
  </si>
  <si>
    <t>LT0PCB01TQ4U1</t>
  </si>
  <si>
    <t>LT0PCB01TPPD1</t>
  </si>
  <si>
    <t>LT0PCB01TO4L1</t>
  </si>
  <si>
    <t>LT0PCB01TN8U1</t>
  </si>
  <si>
    <t>LT0PCB01TN9R1</t>
  </si>
  <si>
    <t>LT0PCB01TWU21</t>
  </si>
  <si>
    <t>LT0PCB01TOD71</t>
  </si>
  <si>
    <t>LT0PCB01TODJ1</t>
  </si>
  <si>
    <t>LT0PCB01TTRJ1</t>
  </si>
  <si>
    <t>LT0PCB01TOBP1</t>
  </si>
  <si>
    <t>LT0PCC01TVIK1</t>
  </si>
  <si>
    <t>LT0PCC01TTXK1</t>
  </si>
  <si>
    <t>LT0PCB01TO213</t>
  </si>
  <si>
    <t>LT0PCC01TW0P1</t>
  </si>
  <si>
    <t>LT0PCC01TO2I1</t>
  </si>
  <si>
    <t>LT0PCC01TV8L1</t>
  </si>
  <si>
    <t>LT0PCC01TNZO1</t>
  </si>
  <si>
    <t>LT1PCC01U52K1</t>
  </si>
  <si>
    <t>LT0PCC01TO7C1</t>
  </si>
  <si>
    <t>LT0PCC01TO721</t>
  </si>
  <si>
    <t>LT0PCC01TOCE1</t>
  </si>
  <si>
    <t>LT0PCC01TO7N1</t>
  </si>
  <si>
    <t>LT0PCC01TV4X1</t>
  </si>
  <si>
    <t>LT1PCC01U4H21</t>
  </si>
  <si>
    <t>LT0PCC01TUIZ1</t>
  </si>
  <si>
    <t>LT0PCC01TOCW1</t>
  </si>
  <si>
    <t>LT0PCC01TQHF1</t>
  </si>
  <si>
    <t>LT0PCC01TOEL1</t>
  </si>
  <si>
    <t>LT0PCC01TOA61</t>
  </si>
  <si>
    <t>LT0PCC01TOA82</t>
  </si>
  <si>
    <t>LT0PCB01TVO02</t>
  </si>
  <si>
    <t>LT0PCB01TRQW1</t>
  </si>
  <si>
    <t>LT0PCB01TRQY2</t>
  </si>
  <si>
    <t>LT0PCB01TNZ62</t>
  </si>
  <si>
    <t>LT0PCC01TWTX1</t>
  </si>
  <si>
    <t>LT0PCC01TQID1</t>
  </si>
  <si>
    <t>LT0PCC01TO201</t>
  </si>
  <si>
    <t>LT0PCC01TO491</t>
  </si>
  <si>
    <t>LT0PCC01TSLX1</t>
  </si>
  <si>
    <t>LT0PCC01TO9W1</t>
  </si>
  <si>
    <t>LT0PCC01TOC41</t>
  </si>
  <si>
    <t>LT0PCC01TO401</t>
  </si>
  <si>
    <t>LT0PCC01TO6U1</t>
  </si>
  <si>
    <t>LT0PCC01TO8I1</t>
  </si>
  <si>
    <t>LT0PCC01TO3G1</t>
  </si>
  <si>
    <t>LT0PCC01TV961</t>
  </si>
  <si>
    <t>LT0PCC01TPOY1</t>
  </si>
  <si>
    <t>LT0PCC01TO5O1</t>
  </si>
  <si>
    <t>LT0PCC01TOB81</t>
  </si>
  <si>
    <t>LT0PCC01TO6B1</t>
  </si>
  <si>
    <t>LT0PCC01TO5X1</t>
  </si>
  <si>
    <t>LT0PCC01TSBN1</t>
  </si>
  <si>
    <t>LT0PCC01TSBP2</t>
  </si>
  <si>
    <t>LT0PCC01TTW11</t>
  </si>
  <si>
    <t>LT1PCC01U6971</t>
  </si>
  <si>
    <t>LT1PCC01UK261</t>
  </si>
  <si>
    <t>LT0PCC01TQ4V1</t>
  </si>
  <si>
    <t>LT0PCC01TPPE1</t>
  </si>
  <si>
    <t>LT0PCC01TO4M1</t>
  </si>
  <si>
    <t>LT0PCC01TN8V1</t>
  </si>
  <si>
    <t>LT0PCC01TN9S1</t>
  </si>
  <si>
    <t>LT0PCC01TWU31</t>
  </si>
  <si>
    <t>LT0PCC01TOD81</t>
  </si>
  <si>
    <t>LT1PCC01U6G41</t>
  </si>
  <si>
    <t>LT1PCC01UKQD1</t>
  </si>
  <si>
    <t>LT0PCC01TODK1</t>
  </si>
  <si>
    <t>LT0PCC01TTRK1</t>
  </si>
  <si>
    <t>LT0PCC01TOBQ1</t>
  </si>
  <si>
    <t>LT0PCC01TRR54</t>
  </si>
  <si>
    <t>LT0PCG01UD4W1</t>
  </si>
  <si>
    <t>LT0PCC01TN911</t>
  </si>
  <si>
    <t>LT0PCC01TWID1</t>
  </si>
  <si>
    <t>LT1PCC01U6E21</t>
  </si>
  <si>
    <t>LT0PCC01TRR12</t>
  </si>
  <si>
    <t>LT1PCC01UK241</t>
  </si>
  <si>
    <t>LT0PCC01TVNK2</t>
  </si>
  <si>
    <t>LT0PCC01TO243</t>
  </si>
  <si>
    <t>LT0PCC01TO222</t>
  </si>
  <si>
    <t>LT0PCD01TVIL1</t>
  </si>
  <si>
    <t>LT0PCD01TTXL1</t>
  </si>
  <si>
    <t>LT0PCD01TV8M1</t>
  </si>
  <si>
    <t>LT0PCD01TW0Q1</t>
  </si>
  <si>
    <t>LT0PCD01TUIV1</t>
  </si>
  <si>
    <t>LT0PCD01TO2J1</t>
  </si>
  <si>
    <t>LT0PCD01TNZP1</t>
  </si>
  <si>
    <t>LT0PCD01TO7D1</t>
  </si>
  <si>
    <t>LT0PCD01TO731</t>
  </si>
  <si>
    <t>LT0PCD01TOCF1</t>
  </si>
  <si>
    <t>LT0PCD01TO7O1</t>
  </si>
  <si>
    <t>LT0PCD01TV4Y1</t>
  </si>
  <si>
    <t>LT1PCD01U6E31</t>
  </si>
  <si>
    <t>LT0PCD01TVIQ1</t>
  </si>
  <si>
    <t>LT1PCD01U6EK1</t>
  </si>
  <si>
    <t>LT0PCD01TW0T1</t>
  </si>
  <si>
    <t>LT1PCD01UN1Z1</t>
  </si>
  <si>
    <t>LT1PCD01U6G31</t>
  </si>
  <si>
    <t>LT0PCD01TOCX1</t>
  </si>
  <si>
    <t>LT0PCD01TQHG1</t>
  </si>
  <si>
    <t>LT0PCD01TOA71</t>
  </si>
  <si>
    <t>LT0PCD01TOA92</t>
  </si>
  <si>
    <t>LT0PCD01TO931</t>
  </si>
  <si>
    <t>LT0PCD01TOB31</t>
  </si>
  <si>
    <t>LT0PCD01TO8P1</t>
  </si>
  <si>
    <t>LT0PCD01TPG51</t>
  </si>
  <si>
    <t>LT0PCD01TOBK1</t>
  </si>
  <si>
    <t>LT1PCD01U6EG1</t>
  </si>
  <si>
    <t>LT0PCC01TVNM3</t>
  </si>
  <si>
    <t>LT0PCC01TVO12</t>
  </si>
  <si>
    <t>LT0PCC01TVO33</t>
  </si>
  <si>
    <t>LT0PCC01TVYF1</t>
  </si>
  <si>
    <t>LT0PCC01TVYJ3</t>
  </si>
  <si>
    <t>LT0PCC01TNYW2</t>
  </si>
  <si>
    <t>LT0PCC01TNYU1</t>
  </si>
  <si>
    <t>LT1PCC01U52I1</t>
  </si>
  <si>
    <t>LT1PCC01U52E1</t>
  </si>
  <si>
    <t>LT1PCC01U5271</t>
  </si>
  <si>
    <t>LT0PCD01TQH11</t>
  </si>
  <si>
    <t>LT0PCD01TP431</t>
  </si>
  <si>
    <t>LT0PCD01TQHV1</t>
  </si>
  <si>
    <t>LT0PCD01TVJ91</t>
  </si>
  <si>
    <t>LT0PCD01TVNN1</t>
  </si>
  <si>
    <t>LT0PCD01TVY43</t>
  </si>
  <si>
    <t>LT0PCD01TO1L2</t>
  </si>
  <si>
    <t>LT0PCD01TO1J1</t>
  </si>
  <si>
    <t>LT0PCD01TO6V1</t>
  </si>
  <si>
    <t>LT0PCD01TO4A1</t>
  </si>
  <si>
    <t>LT0PCD01TSLY1</t>
  </si>
  <si>
    <t>LT0PCD01TO9X1</t>
  </si>
  <si>
    <t>LT0PCD01TO411</t>
  </si>
  <si>
    <t>LT0PCD01TNAC1</t>
  </si>
  <si>
    <t>LT0PCD01TO8J1</t>
  </si>
  <si>
    <t>LT0PCD01TO3H1</t>
  </si>
  <si>
    <t>LT0PCD01TV971</t>
  </si>
  <si>
    <t>LT0PCD01TPOZ1</t>
  </si>
  <si>
    <t>LT0PCD01TO5P1</t>
  </si>
  <si>
    <t>LT0PCD01TO6C1</t>
  </si>
  <si>
    <t>LT0PCD01TO5Y1</t>
  </si>
  <si>
    <t>LT0PCD01TO9N1</t>
  </si>
  <si>
    <t>LT0PCD01TRPW3</t>
  </si>
  <si>
    <t>LT1PCD01UKBL1</t>
  </si>
  <si>
    <t>LT0PCD01TSBT1</t>
  </si>
  <si>
    <t>LT0PCD01TO3N1</t>
  </si>
  <si>
    <t>LT0PCD01TPPF1</t>
  </si>
  <si>
    <t>LT0PCD01TNOV1</t>
  </si>
  <si>
    <t>LT0PCD01TN9L1</t>
  </si>
  <si>
    <t>LT0PCD01TN9T1</t>
  </si>
  <si>
    <t>LT1PCD01UNO71</t>
  </si>
  <si>
    <t>LT0PCD01TODL1</t>
  </si>
  <si>
    <t>LT1PCD01UNF61</t>
  </si>
  <si>
    <t>LT1PCE01UKMD1</t>
  </si>
  <si>
    <t>LT0PCE01TVIR1</t>
  </si>
  <si>
    <t>LT1PCE01UKME1</t>
  </si>
  <si>
    <t>LT1PCE01UKMI1</t>
  </si>
  <si>
    <t>LT1PCE01UKMM1</t>
  </si>
  <si>
    <t>LT1PCE01UKMR1</t>
  </si>
  <si>
    <t>LT0PCD01TN8G1</t>
  </si>
  <si>
    <t>LT0PCD01TVO62</t>
  </si>
  <si>
    <t>LT0PCD01TVO41</t>
  </si>
  <si>
    <t>LT0PCD01TVO83</t>
  </si>
  <si>
    <t>LT0PCD01TVYM3</t>
  </si>
  <si>
    <t>LT0PCD01TVYK2</t>
  </si>
  <si>
    <t>LT0PCD01TRR62</t>
  </si>
  <si>
    <t>LT0PCD01TRR83</t>
  </si>
  <si>
    <t>LT0PCD01TRRA4</t>
  </si>
  <si>
    <t>LT0PCD01TRR41</t>
  </si>
  <si>
    <t>LT0PCD01TO231</t>
  </si>
  <si>
    <t>LT0PCD01TNZ02</t>
  </si>
  <si>
    <t>LT0PCD01TNZ23</t>
  </si>
  <si>
    <t>LT0PCD01TNYY1</t>
  </si>
  <si>
    <t>LT0PCD01TVYI1</t>
  </si>
  <si>
    <t>LT0PCD01TO252</t>
  </si>
  <si>
    <t>LT0PCD01TO273</t>
  </si>
  <si>
    <t>LT0PCG01UD4X2</t>
  </si>
  <si>
    <t>LT1PCD01UKD51</t>
  </si>
  <si>
    <t>LT1PCG01UOBZ1</t>
  </si>
  <si>
    <t>LT1PCF01UOXU1</t>
  </si>
  <si>
    <t>LT0PCF01U8751</t>
  </si>
  <si>
    <t>LT1PCF01UOE21</t>
  </si>
  <si>
    <t>LT1PCF01UONC1</t>
  </si>
  <si>
    <t>LT0PCF01UGBR1</t>
  </si>
  <si>
    <t>LT0PCF01UBX61</t>
  </si>
  <si>
    <t>LT0PCF01UBVV1</t>
  </si>
  <si>
    <t>LT0PCF01UF3R1</t>
  </si>
  <si>
    <t>LT0PCF01UBVN1</t>
  </si>
  <si>
    <t>LT0PCF01UBZ21</t>
  </si>
  <si>
    <t>LT0PCF01UBY21</t>
  </si>
  <si>
    <t>LT1PCF01UONE1</t>
  </si>
  <si>
    <t>LT0PCF01UIP91</t>
  </si>
  <si>
    <t>LT0PCF01UBV81</t>
  </si>
  <si>
    <t>LT0PCF01UHKX1</t>
  </si>
  <si>
    <t>LT0PCF01UCMQ1</t>
  </si>
  <si>
    <t>LT0PCF01UBWI1</t>
  </si>
  <si>
    <t>LT0PCF01UBZP1</t>
  </si>
  <si>
    <t>LT0PCF01UBWY1</t>
  </si>
  <si>
    <t>LT0PCF01UBWP1</t>
  </si>
  <si>
    <t>LT0PCF01UGAZ1</t>
  </si>
  <si>
    <t>LT1PCF01UOKM1</t>
  </si>
  <si>
    <t>LT1PCF01UOKN2</t>
  </si>
  <si>
    <t>LT0PCF01UBVF1</t>
  </si>
  <si>
    <t>LT0PCF01UCN21</t>
  </si>
  <si>
    <t>LT0PCF01UBW11</t>
  </si>
  <si>
    <t>LT0PCF01U87Q1</t>
  </si>
  <si>
    <t>LT0PCF01UBX41</t>
  </si>
  <si>
    <t>LT0PCF01UCUX1</t>
  </si>
  <si>
    <t>LT0PCF01UGCN1</t>
  </si>
  <si>
    <t>LT0PCF01UJ051</t>
  </si>
  <si>
    <t>LT0PCF01UC0J1</t>
  </si>
  <si>
    <t>LT0PCF01UG6S1</t>
  </si>
  <si>
    <t>LT0PCF01UBZY1</t>
  </si>
  <si>
    <t>LT0PCF01UI6T1</t>
  </si>
  <si>
    <t>LT0PCG01UHU91</t>
  </si>
  <si>
    <t>LT0PCG01UBT41</t>
  </si>
  <si>
    <t>LT0PCG01UI9E1</t>
  </si>
  <si>
    <t>LT0PCG01UGWK1</t>
  </si>
  <si>
    <t>LT0PCG01UBUO1</t>
  </si>
  <si>
    <t>LT0PCG01UHKI1</t>
  </si>
  <si>
    <t>LT0PCG01UHUE1</t>
  </si>
  <si>
    <t>LT0PCG01UI9J1</t>
  </si>
  <si>
    <t>LT0PCF01UEAK1</t>
  </si>
  <si>
    <t>LT0PCG01UBXH1</t>
  </si>
  <si>
    <t>LT0PCG01UBXJ2</t>
  </si>
  <si>
    <t>LT0PCG01UCWV1</t>
  </si>
  <si>
    <t>LT0PCG01UBXC1</t>
  </si>
  <si>
    <t>LT0PCG01UC031</t>
  </si>
  <si>
    <t>LT0PCG01UBXN1</t>
  </si>
  <si>
    <t>LT0PCG01UHGS1</t>
  </si>
  <si>
    <t>LT1PCG01UOBQ1</t>
  </si>
  <si>
    <t>LT0PCG01UGWP1</t>
  </si>
  <si>
    <t>LT0PCG01UC181</t>
  </si>
  <si>
    <t>LT0PCG01UC0E1</t>
  </si>
  <si>
    <t>LT0PCG01UD461</t>
  </si>
  <si>
    <t>LT0PCG01U88G1</t>
  </si>
  <si>
    <t>LT0PCG01UBZ91</t>
  </si>
  <si>
    <t>LT1PCG01UOTA1</t>
  </si>
  <si>
    <t>LT0PCG01UI9O1</t>
  </si>
  <si>
    <t>LT0PCG01UD5I2</t>
  </si>
  <si>
    <t>LT1PCG01UOTS1</t>
  </si>
  <si>
    <t>LT0PCF01UHYY1</t>
  </si>
  <si>
    <t>LT0PCF01UI741</t>
  </si>
  <si>
    <t>LT0PCF01UBSU1</t>
  </si>
  <si>
    <t>LT0PCF01U8781</t>
  </si>
  <si>
    <t>LT0PCF01U87G1</t>
  </si>
  <si>
    <t>LT0PCF01UEB11</t>
  </si>
  <si>
    <t>LT0PCF01UEB32</t>
  </si>
  <si>
    <t>LT0PCG01UC1A2</t>
  </si>
  <si>
    <t>LT0PCG01UJ001</t>
  </si>
  <si>
    <t>LT0PCG01UCMW1</t>
  </si>
  <si>
    <t>LT0PCG01UD5B2</t>
  </si>
  <si>
    <t>LT0PCG01UD3Z1</t>
  </si>
  <si>
    <t>LT0PCG01UD4G1</t>
  </si>
  <si>
    <t>LT1PCG01UOSJ1</t>
  </si>
  <si>
    <t>LT0PCG01U8H51</t>
  </si>
  <si>
    <t>LT0PCF01UC021</t>
  </si>
  <si>
    <t>LT0PCF01UETW1</t>
  </si>
  <si>
    <t>LT1PCF01UOXW1</t>
  </si>
  <si>
    <t>LT0PCF01UC0O1</t>
  </si>
  <si>
    <t>LT0PCG01UIA21</t>
  </si>
  <si>
    <t>LT0PCG01UCUV1</t>
  </si>
  <si>
    <t>LT0PCG01UI723</t>
  </si>
  <si>
    <t>LT0PCG01UBSL2</t>
  </si>
  <si>
    <t>LT0PCG01UBST6</t>
  </si>
  <si>
    <t>LT0PCG01UBSJ1</t>
  </si>
  <si>
    <t>LT0PCG01UEAO1</t>
  </si>
  <si>
    <t>LT0PCG01UBVE1</t>
  </si>
  <si>
    <t>LT0PCG01UBVW1</t>
  </si>
  <si>
    <t>LT0PCG01UBZ31</t>
  </si>
  <si>
    <t>LT0PCG01U88P1</t>
  </si>
  <si>
    <t>LT0PCG01UBY31</t>
  </si>
  <si>
    <t>LT0PCG01UIPA1</t>
  </si>
  <si>
    <t>LT0PCG01UBV91</t>
  </si>
  <si>
    <t>LT0PCG01UHKY1</t>
  </si>
  <si>
    <t>LT0PCG01UBWJ1</t>
  </si>
  <si>
    <t>LT0PCG01UBZQ1</t>
  </si>
  <si>
    <t>LT0PCG01UBWZ1</t>
  </si>
  <si>
    <t>LT0PCG01UGB01</t>
  </si>
  <si>
    <t>LT1PCG01UPCK1</t>
  </si>
  <si>
    <t>LT1PCG01UOQL1</t>
  </si>
  <si>
    <t>LT0PCG01UBVG1</t>
  </si>
  <si>
    <t>LT0PCG01UCN31</t>
  </si>
  <si>
    <t>LT0PCG01UCUY1</t>
  </si>
  <si>
    <t>LT0PCG01U8841</t>
  </si>
  <si>
    <t>LT0PCG01U8861</t>
  </si>
  <si>
    <t>LT1PCG01UPCD1</t>
  </si>
  <si>
    <t>LT0PCG01UJ061</t>
  </si>
  <si>
    <t>LT0PCG01UC0K1</t>
  </si>
  <si>
    <t>LT1PCG01UOQJ1</t>
  </si>
  <si>
    <t>LT1PCG01UPNH1</t>
  </si>
  <si>
    <t>LT0PCG01U90C1</t>
  </si>
  <si>
    <t>LT0PCG01UC0P1</t>
  </si>
  <si>
    <t>LT0PCG01UBZZ1</t>
  </si>
  <si>
    <t>LT1PCG01UPCC1</t>
  </si>
  <si>
    <t>LT0PCH01UHUA1</t>
  </si>
  <si>
    <t>LT0PCH01UBT51</t>
  </si>
  <si>
    <t>LT0PCH01UI9F1</t>
  </si>
  <si>
    <t>LT0PCH01UGWL1</t>
  </si>
  <si>
    <t>LT0PCH01UBUQ1</t>
  </si>
  <si>
    <t>LT0PCH01UHKJ1</t>
  </si>
  <si>
    <t>LT0PCG01UG6T1</t>
  </si>
  <si>
    <t>LT0PCH01UCWW1</t>
  </si>
  <si>
    <t>LT0PCH01UBXI1</t>
  </si>
  <si>
    <t>LT0PCH01UBXD1</t>
  </si>
  <si>
    <t>LT0PCH01UC041</t>
  </si>
  <si>
    <t>LT1PCG01UPCE1</t>
  </si>
  <si>
    <t>LT0PCH01UCDW1</t>
  </si>
  <si>
    <t>LT0PCH01UBXO1</t>
  </si>
  <si>
    <t>LT0PCH01UHGU1</t>
  </si>
  <si>
    <t>LT0PCH01UBT91</t>
  </si>
  <si>
    <t>LT0PCH01UGWQ1</t>
  </si>
  <si>
    <t>LT1PCH01UPCT1</t>
  </si>
  <si>
    <t>LT0PCH01UC0F1</t>
  </si>
  <si>
    <t>LT0PCH01UD471</t>
  </si>
  <si>
    <t>LT0PCH01UC1B1</t>
  </si>
  <si>
    <t>LT0PCH01UBZB1</t>
  </si>
  <si>
    <t>LT0PCH01UHUG1</t>
  </si>
  <si>
    <t>LT0PCH01UG6O1</t>
  </si>
  <si>
    <t>LT0PCG01U8791</t>
  </si>
  <si>
    <t>LT0PCG01UBSW1</t>
  </si>
  <si>
    <t>LT0PCG01UEB51</t>
  </si>
  <si>
    <t>LT0PCG01U8OJ3</t>
  </si>
  <si>
    <t>LT0PCG01U8OH2</t>
  </si>
  <si>
    <t>LT0PCH01UBXU1</t>
  </si>
  <si>
    <t>LT1PCH01UOZ41</t>
  </si>
  <si>
    <t>LT0PCH01UBSS5</t>
  </si>
  <si>
    <t>LT1PCH01UPSY1</t>
  </si>
  <si>
    <t>LT0PCH01UBX81</t>
  </si>
  <si>
    <t>LT0PCH01UBVX1</t>
  </si>
  <si>
    <t>LT0PCH01UF3T1</t>
  </si>
  <si>
    <t>LT0PCH01UBZ41</t>
  </si>
  <si>
    <t>LT1PCH01UQSN1</t>
  </si>
  <si>
    <t>LT0PCH01UBVP1</t>
  </si>
  <si>
    <t>LT0PCH01U88R1</t>
  </si>
  <si>
    <t>LT0PCH01UBY41</t>
  </si>
  <si>
    <t>LT0PCH01UIPB1</t>
  </si>
  <si>
    <t>LT0PCH01UBVA1</t>
  </si>
  <si>
    <t>LT0PCH01UHKZ1</t>
  </si>
  <si>
    <t>LT0PCH01UCMS1</t>
  </si>
  <si>
    <t>LT0PCH01UBWK1</t>
  </si>
  <si>
    <t>LT0PCH01UBZR1</t>
  </si>
  <si>
    <t>LT0PCH01UBX01</t>
  </si>
  <si>
    <t>LT0PCH01UBWR1</t>
  </si>
  <si>
    <t>LT0PCH01UETX1</t>
  </si>
  <si>
    <t>LT1PCH01UOT51</t>
  </si>
  <si>
    <t>LT1PCH01UOT61</t>
  </si>
  <si>
    <t>LT1PCH01UPT21</t>
  </si>
  <si>
    <t>LT1PCH01UPT31</t>
  </si>
  <si>
    <t>LT1PCH01UPT41</t>
  </si>
  <si>
    <t>LT0PCH01UGB11</t>
  </si>
  <si>
    <t>LT1PCH01UQRD1</t>
  </si>
  <si>
    <t>LT1PCH01UQRC1</t>
  </si>
  <si>
    <t>LT1PCH01UQAQ1</t>
  </si>
  <si>
    <t>LT1PCH01UQAW1</t>
  </si>
  <si>
    <t>LT1PCH01UPP81</t>
  </si>
  <si>
    <t>LT0PCH01UBVH1</t>
  </si>
  <si>
    <t>LT0PCH01UCN41</t>
  </si>
  <si>
    <t>LT0PCH01UBW21</t>
  </si>
  <si>
    <t>LT0PCH01UCUZ1</t>
  </si>
  <si>
    <t>LT0PCH01U8871</t>
  </si>
  <si>
    <t>LT0PCH01UJ071</t>
  </si>
  <si>
    <t>LT0PCH01UC0L1</t>
  </si>
  <si>
    <t>LT1PCH01UQAP1</t>
  </si>
  <si>
    <t>LT0PCH01U90B1</t>
  </si>
  <si>
    <t>LT0PCH01UC0R1</t>
  </si>
  <si>
    <t>LT0PCH01UG6U1</t>
  </si>
  <si>
    <t>LT0PCH01UC001</t>
  </si>
  <si>
    <t>LT0PCI01UHUB1</t>
  </si>
  <si>
    <t>LT0PCI01UBT61</t>
  </si>
  <si>
    <t>LT0PCI01UI9G1</t>
  </si>
  <si>
    <t>LT0PCI01UGWM1</t>
  </si>
  <si>
    <t>LT0PCI01UBUR1</t>
  </si>
  <si>
    <t>LT0PCI01UHKK1</t>
  </si>
  <si>
    <t>LT1PCI01UQAR1</t>
  </si>
  <si>
    <t>LT0PCH01UHYR1</t>
  </si>
  <si>
    <t>LT0PCI01UCWX1</t>
  </si>
  <si>
    <t>LT0PCI01UBXK1</t>
  </si>
  <si>
    <t>LT0PCI01UBXE1</t>
  </si>
  <si>
    <t>LT0PCI01UC051</t>
  </si>
  <si>
    <t>LT0PCH01UHYX1</t>
  </si>
  <si>
    <t>LT0PCH01UEBF5</t>
  </si>
  <si>
    <t>LT0PCH01UEBC3</t>
  </si>
  <si>
    <t>LT0PCH01UEBH6</t>
  </si>
  <si>
    <t>LT0PCI01UBXP1</t>
  </si>
  <si>
    <t>LT1PCI01UQP01</t>
  </si>
  <si>
    <t>LT0PCI01UHGV1</t>
  </si>
  <si>
    <t>LT0PCI01UBTA1</t>
  </si>
  <si>
    <t>LT0PCI01UI9L1</t>
  </si>
  <si>
    <t>LT1PCI01UQJE1</t>
  </si>
  <si>
    <t>LT0PCI01UGWR1</t>
  </si>
  <si>
    <t>LT0PCI01UC0G1</t>
  </si>
  <si>
    <t>LT0PCI01UD481</t>
  </si>
  <si>
    <t>LT0PCI01UC1C1</t>
  </si>
  <si>
    <t>LT0PCI01U88H1</t>
  </si>
  <si>
    <t>LT0PCI01UBZC1</t>
  </si>
  <si>
    <t>LT0PCI01UBZM1</t>
  </si>
  <si>
    <t>LT1PCI01UQJB1</t>
  </si>
  <si>
    <t>LT1PCI01UQB11</t>
  </si>
  <si>
    <t>LT0PCH01UEBA2</t>
  </si>
  <si>
    <t>LT0PCI01UK3B1</t>
  </si>
  <si>
    <t>LT0PCI01UCDV1</t>
  </si>
  <si>
    <t>LT0PCI01UD4Y1</t>
  </si>
  <si>
    <t>LT0PCI01UI5E1</t>
  </si>
  <si>
    <t>LT0PCI01UBX91</t>
  </si>
  <si>
    <t>LT0PCI01UF3U1</t>
  </si>
  <si>
    <t>LT0PCI01UBZ51</t>
  </si>
  <si>
    <t>LT0PCI01UBVQ1</t>
  </si>
  <si>
    <t>LT0PCI01U8821</t>
  </si>
  <si>
    <t>LT0PCI01U88S1</t>
  </si>
  <si>
    <t>LT0PCI01UBVB1</t>
  </si>
  <si>
    <t>LT0PCI01UCMT1</t>
  </si>
  <si>
    <t>LT0PCI01UBWL1</t>
  </si>
  <si>
    <t>LT1PCI01URZI1</t>
  </si>
  <si>
    <t>LT0PCI01UBZS1</t>
  </si>
  <si>
    <t>LT0PCI01UBX11</t>
  </si>
  <si>
    <t>LT0PCI01UBWS1</t>
  </si>
  <si>
    <t>LT0PCI01UETY1</t>
  </si>
  <si>
    <t>LT0PCI01UGB21</t>
  </si>
  <si>
    <t>LT0PCI01UK3D1</t>
  </si>
  <si>
    <t>LT0PCI01UBVI1</t>
  </si>
  <si>
    <t>LT0PCI01UCN51</t>
  </si>
  <si>
    <t>LT0PCI01UBW31</t>
  </si>
  <si>
    <t>LT0PCI01UCV01</t>
  </si>
  <si>
    <t>LT0PCI01U8881</t>
  </si>
  <si>
    <t>LT0PCI01UGCO1</t>
  </si>
  <si>
    <t>LT0PCI01UJ081</t>
  </si>
  <si>
    <t>LT0PCI01UC0M1</t>
  </si>
  <si>
    <t>LT1PCI01UQG91</t>
  </si>
  <si>
    <t>LT0PCI01UC0Q1</t>
  </si>
  <si>
    <t>LT0PCI01UG6V1</t>
  </si>
  <si>
    <t>LT0PCI01UC011</t>
  </si>
  <si>
    <t>LT0PCJ01UHUC1</t>
  </si>
  <si>
    <t>LT0PCJ01UBT71</t>
  </si>
  <si>
    <t>LT0PCJ01UI9H1</t>
  </si>
  <si>
    <t>LT0PCJ01UGWN1</t>
  </si>
  <si>
    <t>LT0PCJ01UBUS1</t>
  </si>
  <si>
    <t>LT0PCJ01UHKL1</t>
  </si>
  <si>
    <t>LT0PCJ01UCWY1</t>
  </si>
  <si>
    <t>LT1PCJ01UR5S1</t>
  </si>
  <si>
    <t>LT0PCJ01UBXL1</t>
  </si>
  <si>
    <t>LT0PCJ01UBXF1</t>
  </si>
  <si>
    <t>LT0PCJ01UC061</t>
  </si>
  <si>
    <t>LT0PCJ01UCDX1</t>
  </si>
  <si>
    <t>LT0PCJ01UBXQ1</t>
  </si>
  <si>
    <t>LT0PCJ01UHGW1</t>
  </si>
  <si>
    <t>LT1PCJ01UR651</t>
  </si>
  <si>
    <t>LT1PCJ01UR641</t>
  </si>
  <si>
    <t>LT0PCJ01UI9M1</t>
  </si>
  <si>
    <t>LT1PCJ01UR681</t>
  </si>
  <si>
    <t>LT0PCJ01UGWS1</t>
  </si>
  <si>
    <t>LT1PCJ01UR691</t>
  </si>
  <si>
    <t>LT0PCJ01UBZ81</t>
  </si>
  <si>
    <t>LT0PCJ01UBZA2</t>
  </si>
  <si>
    <t>LT0PCJ01UC1D1</t>
  </si>
  <si>
    <t>LT0PCI01UHYO1</t>
  </si>
  <si>
    <t>LT1PCI01UR611</t>
  </si>
  <si>
    <t>LT1PCI01UR5Z1</t>
  </si>
  <si>
    <t>LT0PCI01U87A1</t>
  </si>
  <si>
    <t>LT0PCI01UBSV1</t>
  </si>
  <si>
    <t>LT0PCI01UBUL2</t>
  </si>
  <si>
    <t>LT0PCI01U8OG1</t>
  </si>
  <si>
    <t>LT0PCI01U8OK3</t>
  </si>
  <si>
    <t>LT0PCI01UBSX2</t>
  </si>
  <si>
    <t>LT1PCJ01UR631</t>
  </si>
  <si>
    <t>LT1PCJ01V15I1</t>
  </si>
  <si>
    <t>LT0PCJ01UI6W1</t>
  </si>
  <si>
    <t>LT0PCJ01UHYP1</t>
  </si>
  <si>
    <t>LT0PCJ01UBXA1</t>
  </si>
  <si>
    <t>LT0PCJ01UBZ61</t>
  </si>
  <si>
    <t>LT0PCJ01U88O1</t>
  </si>
  <si>
    <t>LT0PCJ01U88Q2</t>
  </si>
  <si>
    <t>LT0PCJ01UBVR1</t>
  </si>
  <si>
    <t>LT1PCJ01V2JZ1</t>
  </si>
  <si>
    <t>LT0PCJ01U8831</t>
  </si>
  <si>
    <t>LT0PCJ01UBY61</t>
  </si>
  <si>
    <t>LT0PCJ01UETP1</t>
  </si>
  <si>
    <t>LT0PCJ01UBVC1</t>
  </si>
  <si>
    <t>LT0PCJ01UHL01</t>
  </si>
  <si>
    <t>LT0PCJ01UCMU1</t>
  </si>
  <si>
    <t>LT0PCJ01UBWM1</t>
  </si>
  <si>
    <t>LT0PCJ01UBX21</t>
  </si>
  <si>
    <t>LT0PCJ01UETZ1</t>
  </si>
  <si>
    <t>LT0PCJ01UF3V1</t>
  </si>
  <si>
    <t>LT0PCJ01U8FY1</t>
  </si>
  <si>
    <t>LT0PCJ01UCN61</t>
  </si>
  <si>
    <t>LT0PCJ01UBW41</t>
  </si>
  <si>
    <t>LT0PCJ01U8891</t>
  </si>
  <si>
    <t>LT0PCJ01UBWT1</t>
  </si>
  <si>
    <t>LT0PCJ01UGCP1</t>
  </si>
  <si>
    <t>LT0PCJ01UJ091</t>
  </si>
  <si>
    <t>LT0PCJ01UC0N1</t>
  </si>
  <si>
    <t>LT0PCJ01UC0S1</t>
  </si>
  <si>
    <t>LT1PCJ01V10M1</t>
  </si>
  <si>
    <t>LT0PCK01UHUD1</t>
  </si>
  <si>
    <t>LT0PCK01UBT81</t>
  </si>
  <si>
    <t>LT0PCK01UI9I1</t>
  </si>
  <si>
    <t>LT0PCK01UGWO1</t>
  </si>
  <si>
    <t>LT0PCK01UHKM1</t>
  </si>
  <si>
    <t>LT1PCJ01V15M1</t>
  </si>
  <si>
    <t>LT0PCK01UCWZ1</t>
  </si>
  <si>
    <t>LT0PCK01UBXM1</t>
  </si>
  <si>
    <t>LT0PCK01UBXG1</t>
  </si>
  <si>
    <t>LT0PCK01UC071</t>
  </si>
  <si>
    <t>LT0PCK01UCDY1</t>
  </si>
  <si>
    <t>LT0PCK01UBXR1</t>
  </si>
  <si>
    <t>LT0PCK01UHGX1</t>
  </si>
  <si>
    <t>LT0PCK01UI9N1</t>
  </si>
  <si>
    <t>LT0PCK01UC0I1</t>
  </si>
  <si>
    <t>LT0PCK01UD4A1</t>
  </si>
  <si>
    <t>LT0PCK01UC1E1</t>
  </si>
  <si>
    <t>LT1PCJ01V15K1</t>
  </si>
  <si>
    <t>LT0PCK01UBYN1</t>
  </si>
  <si>
    <t>LT0PCK01UBZO1</t>
  </si>
  <si>
    <t>LT0PCK01UBYC1</t>
  </si>
  <si>
    <t>LT0PCK01UCJB1</t>
  </si>
  <si>
    <t>LT0PCK01UBZX1</t>
  </si>
  <si>
    <t>LT0PCK01UBTF1</t>
  </si>
  <si>
    <t>LT0PCJ01UHZ31</t>
  </si>
  <si>
    <t>LT0PCJ01UEAZ1</t>
  </si>
  <si>
    <t>LT0PCJ01UHYV1</t>
  </si>
  <si>
    <t>LT0PCJ01UI792</t>
  </si>
  <si>
    <t>LT0PCJ01U87B1</t>
  </si>
  <si>
    <t>LT0PCJ01U8OA1</t>
  </si>
  <si>
    <t>LT0PCJ01UBUM2</t>
  </si>
  <si>
    <t>LT1PCJ01V2I51</t>
  </si>
  <si>
    <t>LT1PCJ01V2I61</t>
  </si>
  <si>
    <t>LT1PCJ01V2KL1</t>
  </si>
  <si>
    <t>LT1PCJ01V2KM1</t>
  </si>
  <si>
    <t>LT0PCJ01U84D1</t>
  </si>
  <si>
    <t>LT1PCJ01V2I71</t>
  </si>
  <si>
    <t>LT0PCJ01UBVJ1</t>
  </si>
  <si>
    <t>LT0PCK01UBZD1</t>
  </si>
  <si>
    <t>LT0PCK01UD5G1</t>
  </si>
  <si>
    <t>LT0PCK01UHYF1</t>
  </si>
  <si>
    <t>LT0PCK01UI6S1</t>
  </si>
  <si>
    <t>LT1PCK01V1RO</t>
  </si>
  <si>
    <t>LT1PCK01V1SJ1</t>
  </si>
  <si>
    <t>LT1PCK01V1SM1</t>
  </si>
  <si>
    <t>LT0PCK01UI6X1</t>
  </si>
  <si>
    <t>LT0PCK01UBSD1</t>
  </si>
  <si>
    <t>LT0PCK01UBUB2</t>
  </si>
  <si>
    <t>LT0PCK01UBXB1</t>
  </si>
  <si>
    <t>LT0PCK01UBVY1</t>
  </si>
  <si>
    <t>LT0PCK01UF3W1</t>
  </si>
  <si>
    <t>LT0PCK01UBZ71</t>
  </si>
  <si>
    <t>LT0PCK01UBVU2</t>
  </si>
  <si>
    <t>LT0PCK01UBVS1</t>
  </si>
  <si>
    <t>LT0PCK01U88T1</t>
  </si>
  <si>
    <t>LT0PCK01UBY71</t>
  </si>
  <si>
    <t>LT0PCK01UBVD1</t>
  </si>
  <si>
    <t>LT0PCK01UHL11</t>
  </si>
  <si>
    <t>LT0PCK01UCMV1</t>
  </si>
  <si>
    <t>LT0PCK01UBWN1</t>
  </si>
  <si>
    <t>LT0PCK01UBX31</t>
  </si>
  <si>
    <t>LT0PCK01UBWU1</t>
  </si>
  <si>
    <t>LT0PCK01UEU01</t>
  </si>
  <si>
    <t>LT1PCK01V1SC1</t>
  </si>
  <si>
    <t>LT0PCK01UBVK1</t>
  </si>
  <si>
    <t>LT0PCK01U8FX1</t>
  </si>
  <si>
    <t>LT0PCK01UCN71</t>
  </si>
  <si>
    <t>LT0PCK01UBW61</t>
  </si>
  <si>
    <t>LT0PCK01U88A1</t>
  </si>
  <si>
    <t>LT0PCK01UGCQ1</t>
  </si>
  <si>
    <t>LT1PCL01V1RY1</t>
  </si>
  <si>
    <t>LT1PCL01V5401</t>
  </si>
  <si>
    <t>LT1PCK01V15J1</t>
  </si>
  <si>
    <t>LT1PCL01V1RP1</t>
  </si>
  <si>
    <t>LT1PCL01V1RZ1</t>
  </si>
  <si>
    <t>LT1PCL01V1S01</t>
  </si>
  <si>
    <t>LT1PCL01V1S51</t>
  </si>
  <si>
    <t>LT1PCL01V5RM1</t>
  </si>
  <si>
    <t>LT0PCK01UHZ41</t>
  </si>
  <si>
    <t>LT0PCK01UI751</t>
  </si>
  <si>
    <t>LT0PCK01UHYW1</t>
  </si>
  <si>
    <t>LT0PCK01U87C1</t>
  </si>
  <si>
    <t>LT0PCK01UBUP2</t>
  </si>
  <si>
    <t>LT0PCK01U8OC1</t>
  </si>
  <si>
    <t>LT0PCK01U8OE2</t>
  </si>
  <si>
    <t>LT0PCK01UBUN1</t>
  </si>
  <si>
    <t>LT1PCL01V5RE1</t>
  </si>
  <si>
    <t>LT0PCM01UZC22</t>
  </si>
  <si>
    <t>LT0PCM01UZC11</t>
  </si>
  <si>
    <t>LT0PCM01UZIL1</t>
  </si>
  <si>
    <t>LT0PCM01UZHO1</t>
  </si>
  <si>
    <t>LT0PCM01UZGO1</t>
  </si>
  <si>
    <t>LT0PCM01UVNV1</t>
  </si>
  <si>
    <t>LT0PCM01UVQ21</t>
  </si>
  <si>
    <t>LT0PCM01UVNP1</t>
  </si>
  <si>
    <t>LT0PCM01UVOU1</t>
  </si>
  <si>
    <t>LT0PCM01UVQV1</t>
  </si>
  <si>
    <t>LT0PCM01UVPE1</t>
  </si>
  <si>
    <t>LT0PCM01UZ3W1</t>
  </si>
  <si>
    <t>LT0PCM01UVOB1</t>
  </si>
  <si>
    <t>LT0PCM01UVOL1</t>
  </si>
  <si>
    <t>LT0PCM01UVOG1</t>
  </si>
  <si>
    <t>LT0PCM01UTNL1</t>
  </si>
  <si>
    <t>LT0PCM01UY9X1</t>
  </si>
  <si>
    <t>LT0PCM01UVND1</t>
  </si>
  <si>
    <t>LT0PCM01UW4M1</t>
  </si>
  <si>
    <t>LT0PCM01UVQK1</t>
  </si>
  <si>
    <t>LT0PCM01UXE41</t>
  </si>
  <si>
    <t>LT0PCM01UVNI1</t>
  </si>
  <si>
    <t>LT0PCM01UW9O1</t>
  </si>
  <si>
    <t>LT0PCM01UW4W1</t>
  </si>
  <si>
    <t>LT0PCM01UTC81</t>
  </si>
  <si>
    <t>LT0PCM01V0951</t>
  </si>
  <si>
    <t>LT0PCM01UVNY1</t>
  </si>
  <si>
    <t>LT0PCM01UVOQ1</t>
  </si>
  <si>
    <t>LT0PCM01V1DH1</t>
  </si>
  <si>
    <t>LT0PCM01UVRP1</t>
  </si>
  <si>
    <t>LT0PCM01UZHG1</t>
  </si>
  <si>
    <t>LT0PCM01V0171</t>
  </si>
  <si>
    <t>LT0PCM01UVR81</t>
  </si>
  <si>
    <t>LT0PCM01UVRA1</t>
  </si>
  <si>
    <t>LT0PCM01UY6R1</t>
  </si>
  <si>
    <t>LT0PCM01UVQR1</t>
  </si>
  <si>
    <t>LT0PCN01UZH31</t>
  </si>
  <si>
    <t>LT0PCN01UVM51</t>
  </si>
  <si>
    <t>LT0PCN01UZ3L1</t>
  </si>
  <si>
    <t>LT0PCN01UTBU1</t>
  </si>
  <si>
    <t>LT0PCN01UZOR1</t>
  </si>
  <si>
    <t>LT1PCM01VNNK1</t>
  </si>
  <si>
    <t>LT1PCM01VNNI1</t>
  </si>
  <si>
    <t>LT1PCN01VO9F1</t>
  </si>
  <si>
    <t>LT0PCN01UVP11</t>
  </si>
  <si>
    <t>LT1PCN01V6B71</t>
  </si>
  <si>
    <t>LT1PCN01VNN71</t>
  </si>
  <si>
    <t>LT1PCN01VNN91</t>
  </si>
  <si>
    <t>LT1PCN01VNNA1</t>
  </si>
  <si>
    <t>LT1PCN01V6AX1</t>
  </si>
  <si>
    <t>LT1PCN01V6B11</t>
  </si>
  <si>
    <t>LT1PCN01V6AR1</t>
  </si>
  <si>
    <t>LT0PCN01UVOY1</t>
  </si>
  <si>
    <t>LT0PCN01UVQY1</t>
  </si>
  <si>
    <t>LT1PCN01VO9I1</t>
  </si>
  <si>
    <t>LT0PCN01UVP41</t>
  </si>
  <si>
    <t>LT0PCN01UZ1G1</t>
  </si>
  <si>
    <t>LT0PCN01UVRS1</t>
  </si>
  <si>
    <t>LT0PCN01UVR51</t>
  </si>
  <si>
    <t>LT0PCN01UWED1</t>
  </si>
  <si>
    <t>LT0PCN01UVQ81</t>
  </si>
  <si>
    <t>LT1PCM01VNNJ1</t>
  </si>
  <si>
    <t>LT0PCN01UW2D1</t>
  </si>
  <si>
    <t>LT1PCN01V6B51</t>
  </si>
  <si>
    <t>LT1PCM01V6AY1</t>
  </si>
  <si>
    <t>LT1PCM01V6AW1</t>
  </si>
  <si>
    <t>LT0PCN01UTC41</t>
  </si>
  <si>
    <t>LT0PCN01UVQE1</t>
  </si>
  <si>
    <t>LT0PCN01UZGP1</t>
  </si>
  <si>
    <t>LT0PCN01UVNR1</t>
  </si>
  <si>
    <t>LT0PCN01UVOW1</t>
  </si>
  <si>
    <t>LT0PCN01UTC61</t>
  </si>
  <si>
    <t>LT0PCN01UVQ62</t>
  </si>
  <si>
    <t>LT0PCN01UVQ41</t>
  </si>
  <si>
    <t>LT0PCN01UVQX1</t>
  </si>
  <si>
    <t>LT0PCN01UTCH1</t>
  </si>
  <si>
    <t>LT0PCN01UVPF1</t>
  </si>
  <si>
    <t>LT0PCN01UZ3X1</t>
  </si>
  <si>
    <t>LT0PCN01UVOC1</t>
  </si>
  <si>
    <t>LT0PCN01UVOM1</t>
  </si>
  <si>
    <t>LT0PCN01UVOH1</t>
  </si>
  <si>
    <t>LT1PCN01VNQ11</t>
  </si>
  <si>
    <t>LT1PCN01VNPY1</t>
  </si>
  <si>
    <t>LT1PCN01VNPR1</t>
  </si>
  <si>
    <t>LT1PCN01VNPP1</t>
  </si>
  <si>
    <t>LT0PCN01UVNF1</t>
  </si>
  <si>
    <t>LT0PCN01UVQM1</t>
  </si>
  <si>
    <t>LT0PCN01UXE51</t>
  </si>
  <si>
    <t>LT0PCN01UW4Q1</t>
  </si>
  <si>
    <t>LT0PCN01UW4S2</t>
  </si>
  <si>
    <t>LT0PCN01UVNK1</t>
  </si>
  <si>
    <t>LT0PCN01UW9P1</t>
  </si>
  <si>
    <t>LT0PCN01UW4X1</t>
  </si>
  <si>
    <t>LT0PCN01V0971</t>
  </si>
  <si>
    <t>LT0PCN01UVO01</t>
  </si>
  <si>
    <t>LT0PCN01UVOS1</t>
  </si>
  <si>
    <t>LT0PCN01UVRQ1</t>
  </si>
  <si>
    <t>LT0PCN01UZHH1</t>
  </si>
  <si>
    <t>LT0PCN01V0181</t>
  </si>
  <si>
    <t>LT0PCN01UVR91</t>
  </si>
  <si>
    <t>LT0PCN01UZGW1</t>
  </si>
  <si>
    <t>LT0PCN01UY6T1</t>
  </si>
  <si>
    <t>LT0PCN01UVQT1</t>
  </si>
  <si>
    <t>LT0PCO01UZH41</t>
  </si>
  <si>
    <t>LT0PCO01UZ3N1</t>
  </si>
  <si>
    <t>LT1PCO01VOKC1</t>
  </si>
  <si>
    <t>LT0PCO01UVN41</t>
  </si>
  <si>
    <t>LT0PCO01UZHJ1</t>
  </si>
  <si>
    <t>LT0PCO01UVP21</t>
  </si>
  <si>
    <t>LT1PCO01VOLI1</t>
  </si>
  <si>
    <t>LT0PCO01UVOZ1</t>
  </si>
  <si>
    <t>LT0PCO01UVQZ1</t>
  </si>
  <si>
    <t>LT0PCN01UVMZ1</t>
  </si>
  <si>
    <t>LT0PCO01UZHR1</t>
  </si>
  <si>
    <t>LT0PCO01UVP51</t>
  </si>
  <si>
    <t>LT0PCO01UZ1H1</t>
  </si>
  <si>
    <t>LT0PCO01UVRT1</t>
  </si>
  <si>
    <t>LT0PCO01UVR61</t>
  </si>
  <si>
    <t>LT0PCO01UWEE1</t>
  </si>
  <si>
    <t>LT0PCO01UVQC1</t>
  </si>
  <si>
    <t>LT0PCO01UVQO1</t>
  </si>
  <si>
    <t>LT0PCO01UVO91</t>
  </si>
  <si>
    <t>LT0PCN01UVN12</t>
  </si>
  <si>
    <t>LT1PCQ01VTOR1</t>
  </si>
  <si>
    <t>LT1PCQ01VTOS1</t>
  </si>
  <si>
    <t>LT0PCQ01UZ9U1</t>
  </si>
  <si>
    <t>LT0PCQ01UVNU1</t>
  </si>
  <si>
    <t>LT0PCQ01UVQF1</t>
  </si>
  <si>
    <t>LT0PCQ01UVMD1</t>
  </si>
  <si>
    <t>LT1PCQ01VTXW1</t>
  </si>
  <si>
    <t>LT1PCQ01VTXU1</t>
  </si>
  <si>
    <t>LT0PCQ01UZIV1</t>
  </si>
  <si>
    <t>LT0PCQ01UVMV2</t>
  </si>
  <si>
    <t>LT0PCQ01UVOT1</t>
  </si>
  <si>
    <t>LT0PCQ01UVOV2</t>
  </si>
  <si>
    <t>LT0PCQ01UVNW1</t>
  </si>
  <si>
    <t>LT0PCQ01UVQU1</t>
  </si>
  <si>
    <t>LT0PCQ01UVQW2</t>
  </si>
  <si>
    <t>LT0PCQ01UVNS1</t>
  </si>
  <si>
    <t>LT0PCQ01UVQ51</t>
  </si>
  <si>
    <t>LT0PCQ01UVQ72</t>
  </si>
  <si>
    <t>LT0PCQ01UVPG1</t>
  </si>
  <si>
    <t>LT0PCQ01UVNC1</t>
  </si>
  <si>
    <t>LT0PCQ01UVNE2</t>
  </si>
  <si>
    <t>LT0PCQ01UZ3Y1</t>
  </si>
  <si>
    <t>LT0PCQ01UW4P3</t>
  </si>
  <si>
    <t>LT0PCQ01UW4L1</t>
  </si>
  <si>
    <t>LT0PCQ01UW4N2</t>
  </si>
  <si>
    <t>LT0PCQ01UVOD1</t>
  </si>
  <si>
    <t>LT0PCQ01UVQL2</t>
  </si>
  <si>
    <t>LT0PCQ01UVQJ1</t>
  </si>
  <si>
    <t>LT0PCQ01UVON1</t>
  </si>
  <si>
    <t>LT0PCQ01UY9Y1</t>
  </si>
  <si>
    <t>LT1PCQ01VTP91</t>
  </si>
  <si>
    <t>LT0PCQ01UTBQ1</t>
  </si>
  <si>
    <t>LT0PCQ01UTBS2</t>
  </si>
  <si>
    <t>LT0PCQ01UXE71</t>
  </si>
  <si>
    <t>LT0PCQ01UVOI1</t>
  </si>
  <si>
    <t>LT0PCQ01UVNL1</t>
  </si>
  <si>
    <t>LT0PCQ01UW9Q1</t>
  </si>
  <si>
    <t>LT0PCQ01UW4Y1</t>
  </si>
  <si>
    <t>LT0PCQ01UVNX1</t>
  </si>
  <si>
    <t>LT0PCQ01UVNZ2</t>
  </si>
  <si>
    <t>LT0PCQ01UVO13</t>
  </si>
  <si>
    <t>LT0PCQ01V0962</t>
  </si>
  <si>
    <t>LT0PCQ01V0941</t>
  </si>
  <si>
    <t>LT0PCQ01UVOP1</t>
  </si>
  <si>
    <t>LT0PCQ01UVOR2</t>
  </si>
  <si>
    <t>LT0PCQ01UTCB1</t>
  </si>
  <si>
    <t>LT0PCQ01UVRR1</t>
  </si>
  <si>
    <t>LT0PCQ01UZHI1</t>
  </si>
  <si>
    <t>LT0PCQ01V0191</t>
  </si>
  <si>
    <t>LT1PCQ01VTXV1</t>
  </si>
  <si>
    <t>LT0PCQ01UZGX1</t>
  </si>
  <si>
    <t>LT0PCQ01UVRC1</t>
  </si>
  <si>
    <t>LT0PCQ01UY6S2</t>
  </si>
  <si>
    <t>LT0PCQ01UY6Q1</t>
  </si>
  <si>
    <t>LT0PCQ01UVQS2</t>
  </si>
  <si>
    <t>LT0PCQ01UVQQ1</t>
  </si>
  <si>
    <t>LT0PCR01UZH51</t>
  </si>
  <si>
    <t>LT1PCR01VTP01</t>
  </si>
  <si>
    <t>LT0PCR01UVM61</t>
  </si>
  <si>
    <t>LT1PCR01VTOT1</t>
  </si>
  <si>
    <t>LT1PCR01VTOI1</t>
  </si>
  <si>
    <t>LT0PCR01UZ3P1</t>
  </si>
  <si>
    <t>LT1PCR01VTOU1</t>
  </si>
  <si>
    <t>LT1PCR01VTON1</t>
  </si>
  <si>
    <t>LT1PCR01VTOL1</t>
  </si>
  <si>
    <t>LT0PCR01UVP31</t>
  </si>
  <si>
    <t>LT0PCR01UVP01</t>
  </si>
  <si>
    <t>LT0PCR01UVR01</t>
  </si>
  <si>
    <t>LT0PCR01UVP61</t>
  </si>
  <si>
    <t>LT0PCR01UZ1I1</t>
  </si>
  <si>
    <t>LT1PCR01VTP81</t>
  </si>
  <si>
    <t>LT1PCR01VTOW1</t>
  </si>
  <si>
    <t>LT1PCR01VTOO1</t>
  </si>
  <si>
    <t>LT0PCR01UVRU1</t>
  </si>
  <si>
    <t>LT0PCR01UVR71</t>
  </si>
  <si>
    <t>LT0PCR01UWEF1</t>
  </si>
  <si>
    <t>LT0PCR01UVQB2</t>
  </si>
  <si>
    <t>LT1PCQ01VTXT1</t>
  </si>
  <si>
    <t>LT0PCR01UVPQ1</t>
  </si>
  <si>
    <t>LT0PCR01UVQI1</t>
  </si>
  <si>
    <t>LT0PCR01UVPK1</t>
  </si>
  <si>
    <t>LT0PCQ01UVM21</t>
  </si>
  <si>
    <t>LT0PCQ01UVN31</t>
  </si>
  <si>
    <t>LT0PCQ01UVN52</t>
  </si>
  <si>
    <t>LT0PCQ01UZA61</t>
  </si>
  <si>
    <t>LT1PCQ01VTR91</t>
  </si>
  <si>
    <t>LT0PCQ01UZGQ1</t>
  </si>
  <si>
    <t>LT1PCQ01VTR71</t>
  </si>
  <si>
    <t>LT1PCQ01VTR81</t>
  </si>
  <si>
    <t>LT1PCR01VTPA1</t>
  </si>
  <si>
    <t>LT0PCQ01UYNF2</t>
  </si>
  <si>
    <t>LT1PCR01VTP51</t>
  </si>
  <si>
    <t>LT1PCR01VTP61</t>
  </si>
  <si>
    <t>LT1PCR01VTRA1</t>
  </si>
  <si>
    <t>LT1PCR01VU7N1</t>
  </si>
  <si>
    <t>LT0PCR01UYNI2</t>
  </si>
  <si>
    <t>LT0PCR01UX3A2</t>
  </si>
  <si>
    <t>LT0PCR01UZIS2</t>
  </si>
  <si>
    <t>LT0PCR01UZA51</t>
  </si>
  <si>
    <t>LT0PCR01UZC62</t>
  </si>
  <si>
    <t>LT0PCR01UZIZ2</t>
  </si>
  <si>
    <t>LT0PCR01UVMY2</t>
  </si>
  <si>
    <t>LT0PCR01UVMW1</t>
  </si>
  <si>
    <t>LT0PCR01UTLX2</t>
  </si>
  <si>
    <t>LT0PCR01UTLV1</t>
  </si>
  <si>
    <t>LT0PCR01UVQ31</t>
  </si>
  <si>
    <t>LT0PCR01UVNT1</t>
  </si>
  <si>
    <t>LT0PCR01UVOX1</t>
  </si>
  <si>
    <t>LT0PCR01UTC71</t>
  </si>
  <si>
    <t>LT0PCR01UTCJ1</t>
  </si>
  <si>
    <t>LT0PCR01UVPH1</t>
  </si>
  <si>
    <t>LT0PCR01UZ3Z1</t>
  </si>
  <si>
    <t>LT0PCR01UVOE1</t>
  </si>
  <si>
    <t>LT0PCR01UVOO1</t>
  </si>
  <si>
    <t>LT0PCR01UVOK1</t>
  </si>
  <si>
    <t>LT1PCR01VU7P1</t>
  </si>
  <si>
    <t>LT0PCR01UVNG1</t>
  </si>
  <si>
    <t>LT0PCR01UW4O1</t>
  </si>
  <si>
    <t>LT0PCR01UXE61</t>
  </si>
  <si>
    <t>LT0PCR01UVNM1</t>
  </si>
  <si>
    <t>LT0PCR01UW9R1</t>
  </si>
  <si>
    <t>LT0PCR01UW4Z1</t>
  </si>
  <si>
    <t>LT0PCR01UTCA1</t>
  </si>
  <si>
    <t>LT0PCR01UVO21</t>
  </si>
  <si>
    <t>LT0PCR01UZIQ1</t>
  </si>
  <si>
    <t>LT0PCR01UVLP2</t>
  </si>
  <si>
    <t>LT0PCR01UZK01</t>
  </si>
  <si>
    <t>LT0PCR01UZC41</t>
  </si>
  <si>
    <t>LT0PCR01UZ9Z1</t>
  </si>
  <si>
    <t>LT0PCR01UZA12</t>
  </si>
  <si>
    <t>LT0PCR01UZKA1</t>
  </si>
  <si>
    <t>LT0PCR01UYNK1</t>
  </si>
  <si>
    <t>LT1PCS01VVB91</t>
  </si>
  <si>
    <t>LT1PCS01VVB61</t>
  </si>
  <si>
    <t>LT1PCS01VVB71</t>
  </si>
  <si>
    <t>LT1PCS01VVB81</t>
  </si>
  <si>
    <t>LT1PCR01VVB31</t>
  </si>
  <si>
    <t>LT1PCR01VVAE1</t>
  </si>
  <si>
    <t>LT1PCR01VVB21</t>
  </si>
  <si>
    <t>LT1PCR01VVAD1</t>
  </si>
  <si>
    <t>LT1PCR01VVAB1</t>
  </si>
  <si>
    <t>LT0PCR01UZC81</t>
  </si>
  <si>
    <t>LT0PCR01UZCA2</t>
  </si>
  <si>
    <t>LT0PCR01UTLZ1</t>
  </si>
  <si>
    <t>LT0PCR01UTM12</t>
  </si>
  <si>
    <t>LT0PCR01UZKC1</t>
  </si>
  <si>
    <t>LT0PCR01UYNP1</t>
  </si>
  <si>
    <t>LT0PCR01UZJ41</t>
  </si>
  <si>
    <t>LT0PCR01UZA71</t>
  </si>
  <si>
    <t>LT0PCR01UZA92</t>
  </si>
  <si>
    <t>LT0PCR01UTBT1</t>
  </si>
  <si>
    <t>LT0PCR01UTBV2</t>
  </si>
  <si>
    <t>LT1PCT01VX0J1</t>
  </si>
  <si>
    <t>LT0PCT01V8O81</t>
  </si>
  <si>
    <t>LT0PCT01VBS81</t>
  </si>
  <si>
    <t>LT1PCT01VX0I1</t>
  </si>
  <si>
    <t>LT0PCT01VB3Y1</t>
  </si>
  <si>
    <t>LT0PCT01VBX01</t>
  </si>
  <si>
    <t>LT0PCT01V82A1</t>
  </si>
  <si>
    <t>LT0PCT01V82U1</t>
  </si>
  <si>
    <t>LT1PCT01VX0M1</t>
  </si>
  <si>
    <t>LT0PCT01VBJT1</t>
  </si>
  <si>
    <t>LT0PCT01V81P1</t>
  </si>
  <si>
    <t>LT0PCT01V8151</t>
  </si>
  <si>
    <t>LT0PCT01V81U1</t>
  </si>
  <si>
    <t>LT0PCT01V9SU1</t>
  </si>
  <si>
    <t>LT0PCT01V9SV2</t>
  </si>
  <si>
    <t>LT0PCT01VAPM1</t>
  </si>
  <si>
    <t>LT1PCT01VWYV1</t>
  </si>
  <si>
    <t>LT0PCT01V80N1</t>
  </si>
  <si>
    <t>LT0PCT01V8HW1</t>
  </si>
  <si>
    <t>LT0PCT01V8421</t>
  </si>
  <si>
    <t>LT0PCT01V80S1</t>
  </si>
  <si>
    <t>LT0PCT01V8N01</t>
  </si>
  <si>
    <t>LT0PCT01V8I61</t>
  </si>
  <si>
    <t>LT0PCT01V81A1</t>
  </si>
  <si>
    <t>LT0PCT01V81C2</t>
  </si>
  <si>
    <t>LT0PCT01VCQU1</t>
  </si>
  <si>
    <t>LT0PCT01V8241</t>
  </si>
  <si>
    <t>LT0PCT01VBX81</t>
  </si>
  <si>
    <t>LT0PCT01V8581</t>
  </si>
  <si>
    <t>LT0PCT01VBXT1</t>
  </si>
  <si>
    <t>LT0PCT01VCHC1</t>
  </si>
  <si>
    <t>LT0PCT01V84R1</t>
  </si>
  <si>
    <t>LT0PCT01V84T1</t>
  </si>
  <si>
    <t>LT0PCT01VAMG1</t>
  </si>
  <si>
    <t>LT0PCT01V8491</t>
  </si>
  <si>
    <t>LT0PCU01VBXG1</t>
  </si>
  <si>
    <t>LT0PCU01V7ZC1</t>
  </si>
  <si>
    <t>LT0PCU01VBJI1</t>
  </si>
  <si>
    <t>LT0PCU01V80B1</t>
  </si>
  <si>
    <t>LT0PCU01V82H1</t>
  </si>
  <si>
    <t>LT0PCU01V82E1</t>
  </si>
  <si>
    <t>LT0PCU01V84H1</t>
  </si>
  <si>
    <t>LT0PCU01V82K1</t>
  </si>
  <si>
    <t>LT0PCU01VBH31</t>
  </si>
  <si>
    <t>LT0PCU01V85B1</t>
  </si>
  <si>
    <t>LT0PCU01V84O1</t>
  </si>
  <si>
    <t>LT0PCU01V8S51</t>
  </si>
  <si>
    <t>LT0PCU01VQ3H1</t>
  </si>
  <si>
    <t>LT0PCU01V83P1</t>
  </si>
  <si>
    <t>LT1PCU01VX0E1</t>
  </si>
  <si>
    <t>LT1PCU01VX0C1</t>
  </si>
  <si>
    <t>LT0PCT01VBZH2</t>
  </si>
  <si>
    <t>LT0PCT01V7ZA1</t>
  </si>
  <si>
    <t>LT0PCT01V9I11</t>
  </si>
  <si>
    <t>LT0PCU01VBZ42</t>
  </si>
  <si>
    <t>LT1PCU01VX8E1</t>
  </si>
  <si>
    <t>LT1PCU01VXOX1</t>
  </si>
  <si>
    <t>LT1PCU01VXRP1</t>
  </si>
  <si>
    <t>LT0PCU01VQ821</t>
  </si>
  <si>
    <t>LT0PCU01V8521</t>
  </si>
  <si>
    <t>LT0PCU01V81K1</t>
  </si>
  <si>
    <t>LT0PCU01V81M2</t>
  </si>
  <si>
    <t>LT0PCU01VAHF1</t>
  </si>
  <si>
    <t>LT0PCU01V9I01</t>
  </si>
  <si>
    <t>LT0PCU01VBX11</t>
  </si>
  <si>
    <t>LT0PCU01V83K1</t>
  </si>
  <si>
    <t>LT0PCU01V82C1</t>
  </si>
  <si>
    <t>LT0PCU01VQ3M1</t>
  </si>
  <si>
    <t>LT0PCU01V8161</t>
  </si>
  <si>
    <t>LT0PCU01V8111</t>
  </si>
  <si>
    <t>LT0PCU01V82V1</t>
  </si>
  <si>
    <t>LT0PCU01V81W1</t>
  </si>
  <si>
    <t>LT0PCU01V8I22</t>
  </si>
  <si>
    <t>LT0PCU01V8441</t>
  </si>
  <si>
    <t>LT0PCU01V8I01</t>
  </si>
  <si>
    <t>LT0PCU01VBJV1</t>
  </si>
  <si>
    <t>LT1PCU01VX8F1</t>
  </si>
  <si>
    <t>LT0PCU01V8201</t>
  </si>
  <si>
    <t>LT0PCU01V80P1</t>
  </si>
  <si>
    <t>LT0PCU01V81Q1</t>
  </si>
  <si>
    <t>LT1PCU01VX6U1</t>
  </si>
  <si>
    <t>LT0PCU01V81E1</t>
  </si>
  <si>
    <t>LT0PCU01V8261</t>
  </si>
  <si>
    <t>LT0PCU01V8I71</t>
  </si>
  <si>
    <t>LT0PCU01V80U1</t>
  </si>
  <si>
    <t>LT1PCU01VX6V2</t>
  </si>
  <si>
    <t>LT0PCU01VCHD1</t>
  </si>
  <si>
    <t>LT1PCU01VX8G1</t>
  </si>
  <si>
    <t>LT1PCU01VXYV1</t>
  </si>
  <si>
    <t>LT0PCU01VBX91</t>
  </si>
  <si>
    <t>LT1PCU01VXWV1</t>
  </si>
  <si>
    <t>LT0PCU01V8591</t>
  </si>
  <si>
    <t>LT0PCU01V84S1</t>
  </si>
  <si>
    <t>LT0PCU01VBXU1</t>
  </si>
  <si>
    <t>LT0PCU01VAMI1</t>
  </si>
  <si>
    <t>LT0PCU01V84U1</t>
  </si>
  <si>
    <t>LT1PCU01VY001</t>
  </si>
  <si>
    <t>LT0PCU01V84B1</t>
  </si>
  <si>
    <t>LT0PCV01VBXH1</t>
  </si>
  <si>
    <t>LT0PCV01VBXW1</t>
  </si>
  <si>
    <t>LT0PCV01VBJK1</t>
  </si>
  <si>
    <t>LT0PCV01V80C1</t>
  </si>
  <si>
    <t>LT0PCV01VBY41</t>
  </si>
  <si>
    <t>LT0PCV01V82I1</t>
  </si>
  <si>
    <t>LT0PCV01V82F1</t>
  </si>
  <si>
    <t>LT0PCV01V84I1</t>
  </si>
  <si>
    <t>LT0PCV01V82L1</t>
  </si>
  <si>
    <t>LT0PCV01VBH41</t>
  </si>
  <si>
    <t>LT0PCV01V84P1</t>
  </si>
  <si>
    <t>LT0PCV01V8S61</t>
  </si>
  <si>
    <t>LT0PCV01V83R1</t>
  </si>
  <si>
    <t>LT0PCV01V85C1</t>
  </si>
  <si>
    <t>LT0PCV01V8461</t>
  </si>
  <si>
    <t>LT0PCV01V83Z1</t>
  </si>
  <si>
    <t>LT0PCV01V82Z1</t>
  </si>
  <si>
    <t>LT0PCV01V8RV1</t>
  </si>
  <si>
    <t>LT0PCV01V8SS1</t>
  </si>
  <si>
    <t>LT0PCV01V8S81</t>
  </si>
  <si>
    <t>LT0PCV01V8RS1</t>
  </si>
  <si>
    <t>LT0PCV01V8SA1</t>
  </si>
  <si>
    <t>LT0PCV01V9SR1</t>
  </si>
  <si>
    <t>LT0PCV01V8O51</t>
  </si>
  <si>
    <t>LT0PCV01V80F1</t>
  </si>
  <si>
    <t>LT0PCV01VBS21</t>
  </si>
  <si>
    <t>LT1Q1201VYQF1</t>
  </si>
  <si>
    <t>LT1Q1201VYJ61</t>
  </si>
  <si>
    <t>LT0Q1201VB401</t>
  </si>
  <si>
    <t>LT0Q1201V8011</t>
  </si>
  <si>
    <t>LT1Q1201VYJ91</t>
  </si>
  <si>
    <t>LT0Q1201V9HY2</t>
  </si>
  <si>
    <t>LT0Q1201V9HW1</t>
  </si>
  <si>
    <t>LT0Q1201VBZA1</t>
  </si>
  <si>
    <t>LT0Q1201VBYB1</t>
  </si>
  <si>
    <t>LT0Q1201VBS91</t>
  </si>
  <si>
    <t>LT0Q1201V8531</t>
  </si>
  <si>
    <t>LT0Q1201V8171</t>
  </si>
  <si>
    <t>LT0Q1201V8291</t>
  </si>
  <si>
    <t>LT0Q1201V82B2</t>
  </si>
  <si>
    <t>LT0Q1201V84C1</t>
  </si>
  <si>
    <t>LT0Q1201V84E2</t>
  </si>
  <si>
    <t>LT0Q1201VBX21</t>
  </si>
  <si>
    <t>LT0Q1201V83L1</t>
  </si>
  <si>
    <t>LT0Q1201V83N2</t>
  </si>
  <si>
    <t>LT0Q1201V82W1</t>
  </si>
  <si>
    <t>LT0Q1201V80M1</t>
  </si>
  <si>
    <t>LT0Q1201V81R1</t>
  </si>
  <si>
    <t>LT0Q1201V81X1</t>
  </si>
  <si>
    <t>LT0Q1201V8211</t>
  </si>
  <si>
    <t>LT0Q1201V8411</t>
  </si>
  <si>
    <t>LT0Q1201V8432</t>
  </si>
  <si>
    <t>LT0Q1201V8HV1</t>
  </si>
  <si>
    <t>LT0Q1201V8HX2</t>
  </si>
  <si>
    <t>LT0Q1201V8HZ3</t>
  </si>
  <si>
    <t>LT0Q1201VAPN1</t>
  </si>
  <si>
    <t>LT0Q1201VBJX1</t>
  </si>
  <si>
    <t>LT1Q1201VYET1</t>
  </si>
  <si>
    <t>LT0Q1201V9SX1</t>
  </si>
  <si>
    <t>LT0Q1201V80V1</t>
  </si>
  <si>
    <t>LT0Q1201V8191</t>
  </si>
  <si>
    <t>LT0Q1201V81B2</t>
  </si>
  <si>
    <t>LT0Q1201V81D3</t>
  </si>
  <si>
    <t>LT0Q1201V8231</t>
  </si>
  <si>
    <t>LT0Q1201V8I81</t>
  </si>
  <si>
    <t>LT0Q1201VCQT1</t>
  </si>
  <si>
    <t>LT0Q1201VCQV2</t>
  </si>
  <si>
    <t>LT0Q1201V85A1</t>
  </si>
  <si>
    <t>LT0Q1201VBXA1</t>
  </si>
  <si>
    <t>LT0Q1201VBXV1</t>
  </si>
  <si>
    <t>LT0Q1201VCHE1</t>
  </si>
  <si>
    <t>LT0Q1201V8481</t>
  </si>
  <si>
    <t>LT0Q1201V84A2</t>
  </si>
  <si>
    <t>LT0Q1201VAMF1</t>
  </si>
  <si>
    <t>LT0Q1201VAMH2</t>
  </si>
  <si>
    <t>LT0Q1301VBXI1</t>
  </si>
  <si>
    <t>LT0Q1301V7ZD1</t>
  </si>
  <si>
    <t>LT0Q1301VBYZ1</t>
  </si>
  <si>
    <t>LT0Q1301VBZ12</t>
  </si>
  <si>
    <t>LT0Q1301VBZ33</t>
  </si>
  <si>
    <t>LT0Q1301VBZ54</t>
  </si>
  <si>
    <t>LT0Q1301VBZ75</t>
  </si>
  <si>
    <t>LT0Q1301VBJL1</t>
  </si>
  <si>
    <t>LT0Q1301V82J1</t>
  </si>
  <si>
    <t>LT0Q1301V8O31</t>
  </si>
  <si>
    <t>LT0Q1301V82G1</t>
  </si>
  <si>
    <t>LT0Q1301V84J1</t>
  </si>
  <si>
    <t>LT0Q1301V82M1</t>
  </si>
  <si>
    <t>LT0Q1301VBH51</t>
  </si>
  <si>
    <t>LT0Q1301V84Q1</t>
  </si>
  <si>
    <t>LT0Q1301V85D1</t>
  </si>
  <si>
    <t>LT0Q1301V8S71</t>
  </si>
  <si>
    <t>LT0Q1301V8361</t>
  </si>
  <si>
    <t>LT0Q1301V8301</t>
  </si>
  <si>
    <t>LT0Q1301V8401</t>
  </si>
  <si>
    <t>LT0Q1301V8471</t>
  </si>
  <si>
    <t>LT0Q1301V8G41</t>
  </si>
  <si>
    <t>LT0Q1201V7Z91</t>
  </si>
  <si>
    <t>LT0Q1201VBQC1</t>
  </si>
  <si>
    <t>LT0Q1201VC0P1</t>
  </si>
  <si>
    <t>LT0Q1301V80D1</t>
  </si>
  <si>
    <t>LT0Q1301VBQ32</t>
  </si>
  <si>
    <t>LT1Q1301VZCV1</t>
  </si>
  <si>
    <t>LT1Q1301VZEZ1</t>
  </si>
  <si>
    <t>LT0Q1301VBSE2</t>
  </si>
  <si>
    <t>LT0Q1301V8041</t>
  </si>
  <si>
    <t>LT0Q1301VBQ92</t>
  </si>
  <si>
    <t>LT0Q1301VQKJ3</t>
  </si>
  <si>
    <t>LT1Q1301VZFM1</t>
  </si>
  <si>
    <t>LT0Q1301VBQ71</t>
  </si>
  <si>
    <t>LT0Q1301V8131</t>
  </si>
  <si>
    <t>LT0Q1301V8181</t>
  </si>
  <si>
    <t>LT0Q1301V83J1</t>
  </si>
  <si>
    <t>LT0Q1301V82D1</t>
  </si>
  <si>
    <t>LT0Q1301V84G1</t>
  </si>
  <si>
    <t>LT0Q1301V82X1</t>
  </si>
  <si>
    <t>LT0Q1301V7ZQ1</t>
  </si>
  <si>
    <t>LT0Q1301V81S1</t>
  </si>
  <si>
    <t>LT0Q1301V81Y1</t>
  </si>
  <si>
    <t>LT0Q1301V8221</t>
  </si>
  <si>
    <t>LT0Q1301VBJW1</t>
  </si>
  <si>
    <t>LT1Q1301VZB31</t>
  </si>
  <si>
    <t>LT0Q1301V80Q1</t>
  </si>
  <si>
    <t>LT0Q1301V8HY1</t>
  </si>
  <si>
    <t>LT0Q1301V9SY1</t>
  </si>
  <si>
    <t>LT0Q1301V80W1</t>
  </si>
  <si>
    <t>LT0Q1301V8I91</t>
  </si>
  <si>
    <t>LT0Q1301V8281</t>
  </si>
  <si>
    <t>LT0Q1301V81F1</t>
  </si>
  <si>
    <t>LT1Q1301W0S41</t>
  </si>
  <si>
    <t>LT1Q1301W0S52</t>
  </si>
  <si>
    <t>LT1Q1401W0YH1</t>
  </si>
  <si>
    <t>LT1Q1401W14L1</t>
  </si>
  <si>
    <t>LT1Q1301VZFK1</t>
  </si>
  <si>
    <t>LT1Q1301VZFL1</t>
  </si>
  <si>
    <t>LT0Q1301VBQE1</t>
  </si>
  <si>
    <t>LT0Q1301VBQG2</t>
  </si>
  <si>
    <t>LT0Q1301VBSG1</t>
  </si>
  <si>
    <t>LT0Q1301VBSI2</t>
  </si>
  <si>
    <t>LT0Q1301VC0S1</t>
  </si>
  <si>
    <t>LT0Q1301VQ2T1</t>
  </si>
  <si>
    <t>LT0Q1301VQ2Y2</t>
  </si>
  <si>
    <t>LT0Q1301VQKO1</t>
  </si>
  <si>
    <t>LT0Q1301VQKR2</t>
  </si>
  <si>
    <t>LT1Q1401W1641</t>
  </si>
  <si>
    <t>LT0Q1501VLA01</t>
  </si>
  <si>
    <t>LT1Q1501W2MP1</t>
  </si>
  <si>
    <t>LT1Q1501W2ZW1</t>
  </si>
  <si>
    <t>LT1Q1501W2LT1</t>
  </si>
  <si>
    <t>LT0Q1501VLGK1</t>
  </si>
  <si>
    <t>LT0Q1501VFJ61</t>
  </si>
  <si>
    <t>LT0Q1501VFL61</t>
  </si>
  <si>
    <t>LT0Q1501VFME1</t>
  </si>
  <si>
    <t>LT0Q1501VFHM1</t>
  </si>
  <si>
    <t>LT0Q1501VFHT1</t>
  </si>
  <si>
    <t>LT0Q1501VFK31</t>
  </si>
  <si>
    <t>LT0Q1501VKXE1</t>
  </si>
  <si>
    <t>LT0Q1501VM2V1</t>
  </si>
  <si>
    <t>LT0Q1501VFH71</t>
  </si>
  <si>
    <t>LT0Q1501VG7E1</t>
  </si>
  <si>
    <t>LT0Q1501VFII1</t>
  </si>
  <si>
    <t>LT0Q1501VFLX1</t>
  </si>
  <si>
    <t>LT0Q1501VFIU1</t>
  </si>
  <si>
    <t>LT0Q1501VFIN1</t>
  </si>
  <si>
    <t>LT1Q1501W2LS1</t>
  </si>
  <si>
    <t>LT0Q1501VI9M1</t>
  </si>
  <si>
    <t>LT0Q1501VJP01</t>
  </si>
  <si>
    <t>LT1Q1501W3031</t>
  </si>
  <si>
    <t>LT0Q1501VFHE1</t>
  </si>
  <si>
    <t>LT0Q1501VGEM1</t>
  </si>
  <si>
    <t>LT0Q1501VG7T1</t>
  </si>
  <si>
    <t>LT0Q1501VFI01</t>
  </si>
  <si>
    <t>LT0Q1501VMSN1</t>
  </si>
  <si>
    <t>LT0Q1501VFJ01</t>
  </si>
  <si>
    <t>LT0Q1501VLGV1</t>
  </si>
  <si>
    <t>LT0Q1501VFNU1</t>
  </si>
  <si>
    <t>LT0Q1501VLHS1</t>
  </si>
  <si>
    <t>LT0Q1501VMDB1</t>
  </si>
  <si>
    <t>LT0Q1501VFMZ1</t>
  </si>
  <si>
    <t>LT1Q1501W2II1</t>
  </si>
  <si>
    <t>LT0Q1501VFN41</t>
  </si>
  <si>
    <t>LT0Q1501VJKF1</t>
  </si>
  <si>
    <t>LT0Q1501VFM71</t>
  </si>
  <si>
    <t>LT0Q1601VLH91</t>
  </si>
  <si>
    <t>LT1Q1501W2LJ1</t>
  </si>
  <si>
    <t>LT0Q1601VFFD1</t>
  </si>
  <si>
    <t>LT1Q1601W2SD1</t>
  </si>
  <si>
    <t>LT0Q1601VKWW1</t>
  </si>
  <si>
    <t>LT1Q1601W2YV1</t>
  </si>
  <si>
    <t>LT1Q1601W2IJ1</t>
  </si>
  <si>
    <t>LT0Q1601VGGG1</t>
  </si>
  <si>
    <t>LT1Q1601W2YY1</t>
  </si>
  <si>
    <t>LT1Q1601W2YT1</t>
  </si>
  <si>
    <t>LT1Q1601W2YX1</t>
  </si>
  <si>
    <t>LT0Q1601VFJK1</t>
  </si>
  <si>
    <t>LT0Q1601VFJD1</t>
  </si>
  <si>
    <t>LT0Q1601VFMJ1</t>
  </si>
  <si>
    <t>LT1Q1501W2IE1</t>
  </si>
  <si>
    <t>LT0Q1601VFJO1</t>
  </si>
  <si>
    <t>LT0Q1601VKT31</t>
  </si>
  <si>
    <t>LT1Q1601W2YW1</t>
  </si>
  <si>
    <t>LT0Q1601VFGP1</t>
  </si>
  <si>
    <t>LT0Q1601VFNZ1</t>
  </si>
  <si>
    <t>LT0Q1601VFMU1</t>
  </si>
  <si>
    <t>LT0Q1601VGN31</t>
  </si>
  <si>
    <t>LT0Q1601VFLH1</t>
  </si>
  <si>
    <t>LT0Q1601VFLS1</t>
  </si>
  <si>
    <t>LT0Q1601VFK91</t>
  </si>
  <si>
    <t>LT0Q1601VR6Y1</t>
  </si>
  <si>
    <t>LT1Q1601W2YU1</t>
  </si>
  <si>
    <t>LT0Q1601VJKA1</t>
  </si>
  <si>
    <t>LT0Q1501VLKC1</t>
  </si>
  <si>
    <t>LT0Q1601VKX71</t>
  </si>
  <si>
    <t>LT0Q1601VGMV1</t>
  </si>
  <si>
    <t>LT0Q1601VGNZ1</t>
  </si>
  <si>
    <t>LT0Q1601VGMQ1</t>
  </si>
  <si>
    <t>LT0Q1601VGND1</t>
  </si>
  <si>
    <t>LT0Q1601VGNN1</t>
  </si>
  <si>
    <t>LT0Q1601VMSH1</t>
  </si>
  <si>
    <t>LT0Q1601VFIF1</t>
  </si>
  <si>
    <t>LT0Q1601VGME1</t>
  </si>
  <si>
    <t>LT0Q1601VGMJ1</t>
  </si>
  <si>
    <t>LT0Q1501VFGE1</t>
  </si>
  <si>
    <t>LT0Q1601VKXM2</t>
  </si>
  <si>
    <t>LT1Q1601W2TF1</t>
  </si>
  <si>
    <t>LT1Q1601W2TG1</t>
  </si>
  <si>
    <t>LT1Q1601W2T51</t>
  </si>
  <si>
    <t>LT1Q1601W3BZ1</t>
  </si>
  <si>
    <t>LT0Q1601VFMF1</t>
  </si>
  <si>
    <t>LT0Q1601VLGJ1</t>
  </si>
  <si>
    <t>LT0Q1601VFL71</t>
  </si>
  <si>
    <t>LT0Q1601VFHN1</t>
  </si>
  <si>
    <t>LT0Q1601VFJC1</t>
  </si>
  <si>
    <t>LT0Q1601VFHU1</t>
  </si>
  <si>
    <t>LT0Q1601VFHW1</t>
  </si>
  <si>
    <t>LT0Q1601VJD31</t>
  </si>
  <si>
    <t>LT0Q1601VFK41</t>
  </si>
  <si>
    <t>LT0Q1601VM2W1</t>
  </si>
  <si>
    <t>LT0Q1601VG7F1</t>
  </si>
  <si>
    <t>LT0Q1601VFLY1</t>
  </si>
  <si>
    <t>LT0Q1601VFIO1</t>
  </si>
  <si>
    <t>LT0Q1601VJOY1</t>
  </si>
  <si>
    <t>LT1Q1601W2TL1</t>
  </si>
  <si>
    <t>LT1Q1601W2TP1</t>
  </si>
  <si>
    <t>LT1Q1601W2TH1</t>
  </si>
  <si>
    <t>LT1Q1601W2TT1</t>
  </si>
  <si>
    <t>LT1Q1601W2T71</t>
  </si>
  <si>
    <t>LT0Q1601VGGU1</t>
  </si>
  <si>
    <t>LT1Q1601W2T31</t>
  </si>
  <si>
    <t>LT0Q1601VFHC1</t>
  </si>
  <si>
    <t>LT0Q1601VKXI1</t>
  </si>
  <si>
    <t>LT0Q1601VG7K1</t>
  </si>
  <si>
    <t>LT0Q1601VQZW1</t>
  </si>
  <si>
    <t>LT0Q1601VFIZ1</t>
  </si>
  <si>
    <t>LT0Q1601VI9N1</t>
  </si>
  <si>
    <t>LT0Q1601VG7S1</t>
  </si>
  <si>
    <t>LT0Q1601VFI11</t>
  </si>
  <si>
    <t>LT0Q1601VFLN1</t>
  </si>
  <si>
    <t>LT0Q1601VFJ11</t>
  </si>
  <si>
    <t>LT0Q1601VFHJ1</t>
  </si>
  <si>
    <t>LT0Q1601VGEQ1</t>
  </si>
  <si>
    <t>LT0Q1601VMSS1</t>
  </si>
  <si>
    <t>LT0Q1601VFN01</t>
  </si>
  <si>
    <t>LT0Q1601VLGW1</t>
  </si>
  <si>
    <t>LT0Q1601VFNV1</t>
  </si>
  <si>
    <t>LT0Q1601VLHT1</t>
  </si>
  <si>
    <t>LT0Q1601VMDA1</t>
  </si>
  <si>
    <t>LT1Q1601W2TM1</t>
  </si>
  <si>
    <t>LT1Q1601W3EF1</t>
  </si>
  <si>
    <t>LT1Q1601W2TQ1</t>
  </si>
  <si>
    <t>LT1Q1601W2TI1</t>
  </si>
  <si>
    <t>LT1Q1601W3EH1</t>
  </si>
  <si>
    <t>LT1Q1601W2T41</t>
  </si>
  <si>
    <t>LT0Q1601VJKG1</t>
  </si>
  <si>
    <t>LT0Q1601VFM81</t>
  </si>
  <si>
    <t>LT0Q1701VLHA1</t>
  </si>
  <si>
    <t>LT0Q1701VKWX1</t>
  </si>
  <si>
    <t>LT1Q1601W3C01</t>
  </si>
  <si>
    <t>LT0Q1701VFFE1</t>
  </si>
  <si>
    <t>LT1Q1701W3EG1</t>
  </si>
  <si>
    <t>LT1Q1701W3C61</t>
  </si>
  <si>
    <t>LT0Q1601VK9C2</t>
  </si>
  <si>
    <t>LT0Q1701VLHX1</t>
  </si>
  <si>
    <t>LT0Q1701VFJL1</t>
  </si>
  <si>
    <t>LT0Q1701VFJE1</t>
  </si>
  <si>
    <t>LT0Q1701VFMK1</t>
  </si>
  <si>
    <t>LT0Q1601VLK73</t>
  </si>
  <si>
    <t>LT0Q1601VFF03</t>
  </si>
  <si>
    <t>LT0Q1601VL6L2</t>
  </si>
  <si>
    <t>LT0Q1601VFF61</t>
  </si>
  <si>
    <t>LT0Q1601VFGI2</t>
  </si>
  <si>
    <t>LT0Q1601VL6W1</t>
  </si>
  <si>
    <t>LT0Q1701VLI91</t>
  </si>
  <si>
    <t>LT0Q1701VFJP1</t>
  </si>
  <si>
    <t>LT0Q1701VKT41</t>
  </si>
  <si>
    <t>LT1Q1601W2YS1</t>
  </si>
  <si>
    <t>LT1Q1701W3C51</t>
  </si>
  <si>
    <t>LT0Q1701VFGR1</t>
  </si>
  <si>
    <t>LT0Q1701VFO01</t>
  </si>
  <si>
    <t>LT0Q1701VFMV1</t>
  </si>
  <si>
    <t>LT0Q1701VGN41</t>
  </si>
  <si>
    <t>LT0Q1701VR031</t>
  </si>
  <si>
    <t>LT0Q1701VFKM1</t>
  </si>
  <si>
    <t>LT1Q1701W3XO1</t>
  </si>
  <si>
    <t>LT0Q1701VG4P1</t>
  </si>
  <si>
    <t>LT0Q1601VQYM1</t>
  </si>
  <si>
    <t>LT0Q1601VLKG2</t>
  </si>
  <si>
    <t>LT0Q1601VRR41</t>
  </si>
  <si>
    <t>LT0Q1601VRR62</t>
  </si>
  <si>
    <t>LT0Q1701VFZU1</t>
  </si>
  <si>
    <t>LT0Q1701VRF41</t>
  </si>
  <si>
    <t>LT0Q1701VG4V1</t>
  </si>
  <si>
    <t>LT0Q1701VLGL1</t>
  </si>
  <si>
    <t>LT0Q1701VFK51</t>
  </si>
  <si>
    <t>LT1Q1701W4KO1</t>
  </si>
  <si>
    <t>LT0Q1701VM2X1</t>
  </si>
  <si>
    <t>LT0Q1701VFH81</t>
  </si>
  <si>
    <t>LT0Q1701VKXF1</t>
  </si>
  <si>
    <t>LT0Q1701VG7G1</t>
  </si>
  <si>
    <t>LT0Q1701VFIJ1</t>
  </si>
  <si>
    <t>LT0Q1701VFLZ1</t>
  </si>
  <si>
    <t>LT0Q1701VFIV1</t>
  </si>
  <si>
    <t>LT0Q1701VJOZ1</t>
  </si>
  <si>
    <t>LT1Q1701W4BK1</t>
  </si>
  <si>
    <t>LT1Q1701W3P51</t>
  </si>
  <si>
    <t>LT1Q1701W44S1</t>
  </si>
  <si>
    <t>LT0Q1701VG7L1</t>
  </si>
  <si>
    <t>LT0Q1701VG7U1</t>
  </si>
  <si>
    <t>LT0Q1701VFI21</t>
  </si>
  <si>
    <t>LT1Q1701W4CG1</t>
  </si>
  <si>
    <t>LT0Q1701VLGX1</t>
  </si>
  <si>
    <t>LT0Q1701VFNW1</t>
  </si>
  <si>
    <t>LT0Q1701VLHU1</t>
  </si>
  <si>
    <t>LT0Q1701VMDC1</t>
  </si>
  <si>
    <t>LT0Q1701VFN11</t>
  </si>
  <si>
    <t>LT1Q1701W44H1</t>
  </si>
  <si>
    <t>LT0Q1701VFH11</t>
  </si>
  <si>
    <t>LT0Q1701VFN71</t>
  </si>
  <si>
    <t>LT0Q1701VJKH1</t>
  </si>
  <si>
    <t>LT0Q1701VFM91</t>
  </si>
  <si>
    <t>LT0Q1801VLHB1</t>
  </si>
  <si>
    <t>LT0Q1801VKWY1</t>
  </si>
  <si>
    <t>LT1Q1701W44K1</t>
  </si>
  <si>
    <t>LT0Q1801VFFF1</t>
  </si>
  <si>
    <t>LT1Q1701W44L1</t>
  </si>
  <si>
    <t>LT1Q1701W44C1</t>
  </si>
  <si>
    <t>LT1Q1701W44P1</t>
  </si>
  <si>
    <t>LT0Q1801VFZV1</t>
  </si>
  <si>
    <t>LT0Q1801VFJI1</t>
  </si>
  <si>
    <t>LT0Q1801VFJJ2</t>
  </si>
  <si>
    <t>LT0Q1801VFJF1</t>
  </si>
  <si>
    <t>LT0Q1801VFML1</t>
  </si>
  <si>
    <t>LT0Q1701VK9D2</t>
  </si>
  <si>
    <t>LT1Q1701W44G1</t>
  </si>
  <si>
    <t>LT1Q1701W3PC1</t>
  </si>
  <si>
    <t>LT0Q1801VFJQ1</t>
  </si>
  <si>
    <t>LT0Q1801VKT51</t>
  </si>
  <si>
    <t>LT1Q1801W4LR1</t>
  </si>
  <si>
    <t>LT1Q1801W44I1</t>
  </si>
  <si>
    <t>LT1Q1801W44J1</t>
  </si>
  <si>
    <t>LT0Q1801VFO11</t>
  </si>
  <si>
    <t>LT0Q1801VFMW1</t>
  </si>
  <si>
    <t>LT1Q1701W44U1</t>
  </si>
  <si>
    <t>LT1Q1701W4481</t>
  </si>
  <si>
    <t>LT1Q1701W44Q1</t>
  </si>
  <si>
    <t>LT0Q1701VLMF1</t>
  </si>
  <si>
    <t>LT0Q1701VFGH1</t>
  </si>
  <si>
    <t>LT0Q1701VFFB2</t>
  </si>
  <si>
    <t>LT0Q1701VRR51</t>
  </si>
  <si>
    <t>LT0Q1701VRR72</t>
  </si>
  <si>
    <t>LT0Q1801VRET1</t>
  </si>
  <si>
    <t>LT0Q1701VLAE1</t>
  </si>
  <si>
    <t>LT0Q1801VQZ31</t>
  </si>
  <si>
    <t>LT0Q1801VFH91</t>
  </si>
  <si>
    <t>LT0Q1801VKXG1</t>
  </si>
  <si>
    <t>LT0Q1801VG7H1</t>
  </si>
  <si>
    <t>LT0Q1801VFIK1</t>
  </si>
  <si>
    <t>LT0Q1801VFM01</t>
  </si>
  <si>
    <t>LT0Q1801VFIW1</t>
  </si>
  <si>
    <t>LT0Q1801VFIQ1</t>
  </si>
  <si>
    <t>LT0Q1801VJP11</t>
  </si>
  <si>
    <t>LT1Q1801W6GY1</t>
  </si>
  <si>
    <t>LT1Q1801W4DG1</t>
  </si>
  <si>
    <t>LT1Q1801W4DD1</t>
  </si>
  <si>
    <t>LT0Q1801VI9P1</t>
  </si>
  <si>
    <t>LT0Q1801VFHG1</t>
  </si>
  <si>
    <t>LT0Q1801VGEO1</t>
  </si>
  <si>
    <t>LT0Q1801VG7V1</t>
  </si>
  <si>
    <t>LT0Q1801VMSP1</t>
  </si>
  <si>
    <t>LT0Q1801VFJ31</t>
  </si>
  <si>
    <t>LT0Q1801VFI31</t>
  </si>
  <si>
    <t>LT0Q1801VLGY1</t>
  </si>
  <si>
    <t>LT0Q1801VFNX1</t>
  </si>
  <si>
    <t>LT0Q1801VLHV1</t>
  </si>
  <si>
    <t>LT0Q1801VMDD1</t>
  </si>
  <si>
    <t>LT0Q1801VFN21</t>
  </si>
  <si>
    <t>LT1Q1801W4DK1</t>
  </si>
  <si>
    <t>LT0Q1801VFN61</t>
  </si>
  <si>
    <t>LT0Q1801VJKI1</t>
  </si>
  <si>
    <t>LT0Q1801VFMA1</t>
  </si>
  <si>
    <t>LT0Q1901VLHC1</t>
  </si>
  <si>
    <t>LT0Q1901VFFG1</t>
  </si>
  <si>
    <t>LT1Q1901W4DL1</t>
  </si>
  <si>
    <t>LT1Q1801W4WD1</t>
  </si>
  <si>
    <t>LT0Q1801VFGX1</t>
  </si>
  <si>
    <t>LT0Q1901VKWZ1</t>
  </si>
  <si>
    <t>LT1Q1801W4W41</t>
  </si>
  <si>
    <t>LT1Q1901W4DS1</t>
  </si>
  <si>
    <t>LT1Q1901W4W51</t>
  </si>
  <si>
    <t>LT1Q1901W4DM1</t>
  </si>
  <si>
    <t>LT1Q1901W4VZ1</t>
  </si>
  <si>
    <t>LT0Q1801VL6O1</t>
  </si>
  <si>
    <t>LT0Q1801VLA82</t>
  </si>
  <si>
    <t>LT0Q1801VL6Q2</t>
  </si>
  <si>
    <t>LT0Q1801VK9G2</t>
  </si>
  <si>
    <t>LT1Q1901W4DN1</t>
  </si>
  <si>
    <t>LT1Q1801W4VX1</t>
  </si>
  <si>
    <t>LT1Q1901W6JL1</t>
  </si>
  <si>
    <t>LT0Q1901VFJM1</t>
  </si>
  <si>
    <t>LT0Q1901VFJG1</t>
  </si>
  <si>
    <t>LT0Q1901VFMM1</t>
  </si>
  <si>
    <t>LT1Q1801W5051</t>
  </si>
  <si>
    <t>LT1Q1801W4W11</t>
  </si>
  <si>
    <t>LT1Q1801W4W71</t>
  </si>
  <si>
    <t>LT1Q1801W4WG1</t>
  </si>
  <si>
    <t>LT1Q1801W4WB1</t>
  </si>
  <si>
    <t>LT1Q1801W5041</t>
  </si>
  <si>
    <t>LT0Q1801VL722</t>
  </si>
  <si>
    <t>LT0Q1901VFJR1</t>
  </si>
  <si>
    <t>LT0Q1901VKT61</t>
  </si>
  <si>
    <t>LT1Q1901W4W61</t>
  </si>
  <si>
    <t>LT0Q1901VGGK1</t>
  </si>
  <si>
    <t>LT0Q1901VFGT1</t>
  </si>
  <si>
    <t>LT0Q1901VFO21</t>
  </si>
  <si>
    <t>LT0Q1901VFMX1</t>
  </si>
  <si>
    <t>LT0Q1901VGN61</t>
  </si>
  <si>
    <t>LT0Q1901VFLC1</t>
  </si>
  <si>
    <t>LT0Q1901VFLE2</t>
  </si>
  <si>
    <t>LT1Q1801W4WA1</t>
  </si>
  <si>
    <t>LT1Q1801W5061</t>
  </si>
  <si>
    <t>LT1Q1801W4W21</t>
  </si>
  <si>
    <t>LT1Q1801W4WC1</t>
  </si>
  <si>
    <t>LT0Q1901VFLV1</t>
  </si>
  <si>
    <t>LT1Q1801W4WE1</t>
  </si>
  <si>
    <t>LT1Q1801W4W31</t>
  </si>
  <si>
    <t>LT0Q1801VHRS1</t>
  </si>
  <si>
    <t>LT0Q1801VFGK1</t>
  </si>
  <si>
    <t>LT0Q1801VFGM2</t>
  </si>
  <si>
    <t>LT0Q1801VFFC2</t>
  </si>
  <si>
    <t>LT0Q1801VFFA1</t>
  </si>
  <si>
    <t>LT0Q1901VGMT1</t>
  </si>
  <si>
    <t>LT0Q1801VLAH1</t>
  </si>
  <si>
    <t>LT1Q1901W64H1</t>
  </si>
  <si>
    <t>LT1Q1901W6A11</t>
  </si>
  <si>
    <t>LT0Q1901VFIL1</t>
  </si>
  <si>
    <t>LT0Q1901VFM11</t>
  </si>
  <si>
    <t>LT0Q1901VFIX1</t>
  </si>
  <si>
    <t>LT0Q1901VJP21</t>
  </si>
  <si>
    <t>LT1Q1901W64U1</t>
  </si>
  <si>
    <t>LT1Q1901W6TZ1</t>
  </si>
  <si>
    <t>LT1Q1901W69L1</t>
  </si>
  <si>
    <t>LT1Q1901W69M1</t>
  </si>
  <si>
    <t>LT1Q1901W69V1</t>
  </si>
  <si>
    <t>LT0Q1901VFHH1</t>
  </si>
  <si>
    <t>LT0Q1901VG7W1</t>
  </si>
  <si>
    <t>LT0Q1901VMSQ1</t>
  </si>
  <si>
    <t>LT0Q1901VFJ41</t>
  </si>
  <si>
    <t>LT0Q1901VFI41</t>
  </si>
  <si>
    <t>LT0Q1901VLGZ1</t>
  </si>
  <si>
    <t>LT0Q1901VFNY1</t>
  </si>
  <si>
    <t>LT0Q1901VLHW1</t>
  </si>
  <si>
    <t>LT0Q1901VMDE1</t>
  </si>
  <si>
    <t>LT0Q1901VFN31</t>
  </si>
  <si>
    <t>LT1Q1901W64V1</t>
  </si>
  <si>
    <t>LT1Q1901W64K1</t>
  </si>
  <si>
    <t>LT1Q1901W64M1</t>
  </si>
  <si>
    <t>LT0Q1901VFN81</t>
  </si>
  <si>
    <t>LT0Q1901VJKJ1</t>
  </si>
  <si>
    <t>LT0Q1901VFMB1</t>
  </si>
  <si>
    <t>LT0Q1A01VLHD1</t>
  </si>
  <si>
    <t>LT0Q1A01VLJU5</t>
  </si>
  <si>
    <t>LT0Q1A01VLJW6</t>
  </si>
  <si>
    <t>LT1Q1901W64I1</t>
  </si>
  <si>
    <t>LT0Q1A01VKX01</t>
  </si>
  <si>
    <t>LT0Q1A01VFFH1</t>
  </si>
  <si>
    <t>LT1Q1A01W6BB1</t>
  </si>
  <si>
    <t>LT1Q1A01W64O1</t>
  </si>
  <si>
    <t>LT0Q1901VLK81</t>
  </si>
  <si>
    <t>LT0Q1901VFF41</t>
  </si>
  <si>
    <t>LT0Q1901VLM71</t>
  </si>
  <si>
    <t>LT0Q1901VK9F1</t>
  </si>
  <si>
    <t>LT0Q1A01VFZS1</t>
  </si>
  <si>
    <t>LT1Q1A01W6B21</t>
  </si>
  <si>
    <t>LT0Q1A01VLJT4</t>
  </si>
  <si>
    <t>LT1Q1A01W6BC1</t>
  </si>
  <si>
    <t>LT1Q1A01W6BH1</t>
  </si>
  <si>
    <t>LT1Q1901W64L1</t>
  </si>
  <si>
    <t>LT1Q1A01W6BP1</t>
  </si>
  <si>
    <t>LT0Q1A01VFJN1</t>
  </si>
  <si>
    <t>LT0Q1A01VFJH1</t>
  </si>
  <si>
    <t>LT0Q1A01VFMN1</t>
  </si>
  <si>
    <t>LT1Q1901W6U01</t>
  </si>
  <si>
    <t>LT0Q1A01VFZX1</t>
  </si>
  <si>
    <t>LT0Q1A01VFJS1</t>
  </si>
  <si>
    <t>LT0Q1A01VKT71</t>
  </si>
  <si>
    <t>LT0Q1A01VLJP2</t>
  </si>
  <si>
    <t>LT0Q1A01VGGL1</t>
  </si>
  <si>
    <t>LT0Q1A01VFGU1</t>
  </si>
  <si>
    <t>LT0Q1A01VFO31</t>
  </si>
  <si>
    <t>LT0Q1A01VFMY1</t>
  </si>
  <si>
    <t>LT0Q1A01VGN71</t>
  </si>
  <si>
    <t>LT0Q1A01VFLG1</t>
  </si>
  <si>
    <t>LT0Q1A01VFLJ1</t>
  </si>
  <si>
    <t>LT1Q1901W6B41</t>
  </si>
  <si>
    <t>LT1Q1901W6UD1</t>
  </si>
  <si>
    <t>LT1Q1901W6U41</t>
  </si>
  <si>
    <t>LT1Q1901W6UB1</t>
  </si>
  <si>
    <t>LT0Q1A01VFKO1</t>
  </si>
  <si>
    <t>LT0Q1A01VFLW1</t>
  </si>
  <si>
    <t>LT0Q1A01VFKD1</t>
  </si>
  <si>
    <t>LT0Q1A01VFM61</t>
  </si>
  <si>
    <t>LT1Q1A01W6B31</t>
  </si>
  <si>
    <t>LT1Q1A01W6BD1</t>
  </si>
  <si>
    <t>LT1Q1A01W6BI1</t>
  </si>
  <si>
    <t>LT0Q1A01VFFM1</t>
  </si>
  <si>
    <t>LT1Q1A01W6BQ1</t>
  </si>
  <si>
    <t>LT1Q1A01W6BU1</t>
  </si>
  <si>
    <t>LT0Q1A01VJKE1</t>
  </si>
  <si>
    <t>LT1Q1901W6U91</t>
  </si>
  <si>
    <t>LT0Q1901VHRT1</t>
  </si>
  <si>
    <t>LT0Q1901VK9M1</t>
  </si>
  <si>
    <t>LT0Q1901VLAI1</t>
  </si>
  <si>
    <t>LT0Q1901VFF71</t>
  </si>
  <si>
    <t>LT0Q1901VL732</t>
  </si>
  <si>
    <t>LT0Q1901VFGL1</t>
  </si>
  <si>
    <t>LT0Q1A01VKXB1</t>
  </si>
  <si>
    <t>LT0Q1A01VRF51</t>
  </si>
  <si>
    <t>LT0Q1901VLAK2</t>
  </si>
  <si>
    <t>LT1Q1A01WM6U1</t>
  </si>
  <si>
    <t>LT0Q1A01VFK81</t>
  </si>
  <si>
    <t>LT0Q1A01VFHB1</t>
  </si>
  <si>
    <t>LT1Q1A01WML31</t>
  </si>
  <si>
    <t>LT0Q1A01VG7J1</t>
  </si>
  <si>
    <t>LT0Q1A01VFIM1</t>
  </si>
  <si>
    <t>LT0Q1A01VFIY1</t>
  </si>
  <si>
    <t>LT0Q1A01VFIS1</t>
  </si>
  <si>
    <t>LT1Q1A01WML71</t>
  </si>
  <si>
    <t>LT0Q1A01VI9R1</t>
  </si>
  <si>
    <t>LT0Q1A01VFHI1</t>
  </si>
  <si>
    <t>LT0Q1A01VGEP1</t>
  </si>
  <si>
    <t>LT0Q1A01VG7X1</t>
  </si>
  <si>
    <t>LT0Q1A01VMSR1</t>
  </si>
  <si>
    <t>LT0Q1A01VFJ71</t>
  </si>
  <si>
    <t>LT0Q1A01VFI51</t>
  </si>
  <si>
    <t>LT0Q1A01VFN91</t>
  </si>
  <si>
    <t>LT0Q1A01VFEL1</t>
  </si>
  <si>
    <t>LT1Q1B01WMHK1</t>
  </si>
  <si>
    <t>LT1Q1B01WMHE1</t>
  </si>
  <si>
    <t>LT1Q1B01WMHF1</t>
  </si>
  <si>
    <t>LT1Q1B01WMHI1</t>
  </si>
  <si>
    <t>LT1Q1B01WMHH1</t>
  </si>
  <si>
    <t>LT1Q1B01WMHC1</t>
  </si>
  <si>
    <t>LT1Q1B01WMTW1</t>
  </si>
  <si>
    <t>LT1Q1B01WMHL1</t>
  </si>
  <si>
    <t>LT1Q1B01WMH91</t>
  </si>
  <si>
    <t>LT0Q1A01VFF81</t>
  </si>
  <si>
    <t>LT1Q1B01WMHG1</t>
  </si>
  <si>
    <t>LT1Q1B01WMHJ1</t>
  </si>
  <si>
    <t>LT1Q1B01WMT81</t>
  </si>
  <si>
    <t>LT1Q1A01WMI91</t>
  </si>
  <si>
    <t>LT1Q1B01WMHD1</t>
  </si>
  <si>
    <t>LT0Q1A01VLAL1</t>
  </si>
  <si>
    <t>LT1Q1B01WMT41</t>
  </si>
  <si>
    <t>LT0Q1A01VLMO2</t>
  </si>
  <si>
    <t>LT0Q1A01VQYN1</t>
  </si>
  <si>
    <t>LT0Q1A01VL6V1</t>
  </si>
  <si>
    <t>LT0Q1A01VLAN2</t>
  </si>
  <si>
    <t>LT0Q1A01VRQZ1</t>
  </si>
  <si>
    <t>LT0Q1A01VRR12</t>
  </si>
  <si>
    <t>LT0Q1A01VLMM1</t>
  </si>
  <si>
    <t>LT0Q1A01VFGO1</t>
  </si>
  <si>
    <t>LT0Q1A01VFGQ2</t>
  </si>
  <si>
    <t>LT0Q1C01WIBC1</t>
  </si>
  <si>
    <t>LT1Q1C01WNDF1</t>
  </si>
  <si>
    <t>LT0Q1C01W9TK1</t>
  </si>
  <si>
    <t>LT0Q1C01W98P1</t>
  </si>
  <si>
    <t>LT0Q1C01W9751</t>
  </si>
  <si>
    <t>LT0Q1C01W9AO1</t>
  </si>
  <si>
    <t>LT0Q1C01W96R1</t>
  </si>
  <si>
    <t>LT0Q1C01W99M1</t>
  </si>
  <si>
    <t>LT0Q1C01WFN21</t>
  </si>
  <si>
    <t>LT0Q1C01W96A1</t>
  </si>
  <si>
    <t>LT0Q1C01WEHK1</t>
  </si>
  <si>
    <t>LT0Q1C01W9WW1</t>
  </si>
  <si>
    <t>LT0Q1C01W9811</t>
  </si>
  <si>
    <t>LT0Q1C01W9BC1</t>
  </si>
  <si>
    <t>LT0Q1C01W98D1</t>
  </si>
  <si>
    <t>LT0Q1C01W9851</t>
  </si>
  <si>
    <t>LT0Q1C01WBXF1</t>
  </si>
  <si>
    <t>LT0Q1C01WDAB1</t>
  </si>
  <si>
    <t>LT1Q1C01WNO41</t>
  </si>
  <si>
    <t>LT0Q1C01WA4M1</t>
  </si>
  <si>
    <t>LT0Q1C01W9X61</t>
  </si>
  <si>
    <t>LT0Q1C01W97F1</t>
  </si>
  <si>
    <t>LT0Q1C01W98J1</t>
  </si>
  <si>
    <t>LT0Q1C01WF2Y1</t>
  </si>
  <si>
    <t>LT0Q1C01W9DJ1</t>
  </si>
  <si>
    <t>LT0Q1C01WF3V1</t>
  </si>
  <si>
    <t>LT0Q1C01WFXR1</t>
  </si>
  <si>
    <t>LT0Q1C01W9C51</t>
  </si>
  <si>
    <t>LT1Q1C01WNG61</t>
  </si>
  <si>
    <t>LT0Q1C01W9CA1</t>
  </si>
  <si>
    <t>LT0Q1C01WD641</t>
  </si>
  <si>
    <t>LT0Q1C01W9CS1</t>
  </si>
  <si>
    <t>LT0Q1D01WF3D1</t>
  </si>
  <si>
    <t>LT0Q1D01W9901</t>
  </si>
  <si>
    <t>LT1Q1D01WNDX1</t>
  </si>
  <si>
    <t>LT0Q1D01W93P1</t>
  </si>
  <si>
    <t>LT0Q1D01W95E1</t>
  </si>
  <si>
    <t>LT0Q1D01WEGZ1</t>
  </si>
  <si>
    <t>LT1Q1C01WNDW1</t>
  </si>
  <si>
    <t>LT1Q1D01WNFY1</t>
  </si>
  <si>
    <t>LT1Q1D01WNDU1</t>
  </si>
  <si>
    <t>LT1Q1D01WNDM1</t>
  </si>
  <si>
    <t>LT1Q1D01WNDT1</t>
  </si>
  <si>
    <t>LT0Q1C01WBFC2</t>
  </si>
  <si>
    <t>LT1Q1C01WNFR1</t>
  </si>
  <si>
    <t>LT1Q1C01WNO01</t>
  </si>
  <si>
    <t>LT1Q1D01WNFJ1</t>
  </si>
  <si>
    <t>LT1Q1D01WNFQ1</t>
  </si>
  <si>
    <t>LT0Q1D01W98V1</t>
  </si>
  <si>
    <t>LT0Q1D01W9BP1</t>
  </si>
  <si>
    <t>LT1Q1C01WNDK1</t>
  </si>
  <si>
    <t>LT1Q1C01WNDZ1</t>
  </si>
  <si>
    <t>LT0Q1C01WBFB1</t>
  </si>
  <si>
    <t>LT1Q1C01WNFF1</t>
  </si>
  <si>
    <t>LT0Q1D01W9OO1</t>
  </si>
  <si>
    <t>LT0Q1D01W9971</t>
  </si>
  <si>
    <t>LT0Q1D01WEDM1</t>
  </si>
  <si>
    <t>LT1Q1D01WNE31</t>
  </si>
  <si>
    <t>LT1Q1D01WNFT1</t>
  </si>
  <si>
    <t>LT1Q1D01WNFZ1</t>
  </si>
  <si>
    <t>LT1Q1D01WNFG1</t>
  </si>
  <si>
    <t>LT0Q1D01W93V1</t>
  </si>
  <si>
    <t>LT1Q1D01WNDV1</t>
  </si>
  <si>
    <t>LT1Q1D01WNDN1</t>
  </si>
  <si>
    <t>LT0Q1D01W9DO1</t>
  </si>
  <si>
    <t>LT0Q1D01W9C01</t>
  </si>
  <si>
    <t>LT0Q1D01WACT1</t>
  </si>
  <si>
    <t>LT0Q1D01W9AZ1</t>
  </si>
  <si>
    <t>LT0Q1D01W9DP1</t>
  </si>
  <si>
    <t>LT0Q1D01W9AU1</t>
  </si>
  <si>
    <t>LT1Q1C01WNFI1</t>
  </si>
  <si>
    <t>LT1Q1C01WNFP1</t>
  </si>
  <si>
    <t>LT1Q1C01WNE01</t>
  </si>
  <si>
    <t>LT1Q1C01WNFS1</t>
  </si>
  <si>
    <t>LT1Q1C01WNDS1</t>
  </si>
  <si>
    <t>LT1Q1C01WNDL1</t>
  </si>
  <si>
    <t>LT0Q1D01W9TA1</t>
  </si>
  <si>
    <t>LT1Q1D01WNDY1</t>
  </si>
  <si>
    <t>LT1Q1D01WNFL1</t>
  </si>
  <si>
    <t>LT0Q1D01W95J1</t>
  </si>
  <si>
    <t>LT0Q1C01W93E1</t>
  </si>
  <si>
    <t>LT0Q1C01WDUK1</t>
  </si>
  <si>
    <t>LT0Q1C01WEUD1</t>
  </si>
  <si>
    <t>LT0Q1C01WEUF2</t>
  </si>
  <si>
    <t>LT0Q1C01WBFF1</t>
  </si>
  <si>
    <t>LT0Q1D01WAD01</t>
  </si>
  <si>
    <t>LT1Q1C01WNDJ1</t>
  </si>
  <si>
    <t>LT0Q1C01WEQU1</t>
  </si>
  <si>
    <t>LT0Q1C01WF6A1</t>
  </si>
  <si>
    <t>LT0Q1D01WF2O1</t>
  </si>
  <si>
    <t>LT0Q1D01W98T1</t>
  </si>
  <si>
    <t>LT0Q1D01W9781</t>
  </si>
  <si>
    <t>LT0Q1D01W99N1</t>
  </si>
  <si>
    <t>LT0Q1D01WFN11</t>
  </si>
  <si>
    <t>LT0Q1D01W96B1</t>
  </si>
  <si>
    <t>LT0Q1D01W9WX1</t>
  </si>
  <si>
    <t>LT1Q1D01WOS31</t>
  </si>
  <si>
    <t>LT0Q1D01W9BD1</t>
  </si>
  <si>
    <t>LT0Q1D01W9861</t>
  </si>
  <si>
    <t>LT0Q1D01WDAC1</t>
  </si>
  <si>
    <t>LT1Q1D01WNQF1</t>
  </si>
  <si>
    <t>LT0Q1D01WIC01</t>
  </si>
  <si>
    <t>LT0Q1D01W98I1</t>
  </si>
  <si>
    <t>LT0Q1D01WBXI1</t>
  </si>
  <si>
    <t>LT0Q1D01WBXK2</t>
  </si>
  <si>
    <t>LT0Q1D01WA4N1</t>
  </si>
  <si>
    <t>LT0Q1D01W9X71</t>
  </si>
  <si>
    <t>LT0Q1D01W97I1</t>
  </si>
  <si>
    <t>LT0Q1D01W98L1</t>
  </si>
  <si>
    <t>LT0Q1D01WGBI1</t>
  </si>
  <si>
    <t>LT0Q1D01WF301</t>
  </si>
  <si>
    <t>LT0Q1D01W9DK1</t>
  </si>
  <si>
    <t>LT0Q1D01WF3W1</t>
  </si>
  <si>
    <t>LT0Q1D01WFXS1</t>
  </si>
  <si>
    <t>LT0Q1D01W9C61</t>
  </si>
  <si>
    <t>LT1Q1D01WNQE1</t>
  </si>
  <si>
    <t>LT0Q1D01W9CB1</t>
  </si>
  <si>
    <t>LT0Q1D01WD651</t>
  </si>
  <si>
    <t>LT0Q1D01W9CT1</t>
  </si>
  <si>
    <t>LT0Q1E01WF3C1</t>
  </si>
  <si>
    <t>LT0Q1E01W9911</t>
  </si>
  <si>
    <t>LT0Q1E01W95F1</t>
  </si>
  <si>
    <t>LT0Q1E01W9951</t>
  </si>
  <si>
    <t>LT0Q1E01WEH01</t>
  </si>
  <si>
    <t>LT1Q1E01WOTU1</t>
  </si>
  <si>
    <t>LT1Q1E01WO9C1</t>
  </si>
  <si>
    <t>LT0Q1D01WIG21</t>
  </si>
  <si>
    <t>LT0Q1D01WEU42</t>
  </si>
  <si>
    <t>LT0Q1D01WF662</t>
  </si>
  <si>
    <t>LT0Q1E01W93R1</t>
  </si>
  <si>
    <t>LT0Q1D01W94C1</t>
  </si>
  <si>
    <t>LT1Q1E01WO971</t>
  </si>
  <si>
    <t>LT1Q1E01WO9K1</t>
  </si>
  <si>
    <t>LT1Q1E01WO9M1</t>
  </si>
  <si>
    <t>LT0Q1E01WA691</t>
  </si>
  <si>
    <t>LT0Q1E01W98W1</t>
  </si>
  <si>
    <t>LT0Q1E01W9BQ1</t>
  </si>
  <si>
    <t>LT0Q1D01WF683</t>
  </si>
  <si>
    <t>LT1Q1D01WO9F1</t>
  </si>
  <si>
    <t>LT0Q1E01W9OQ1</t>
  </si>
  <si>
    <t>LT0Q1E01W9981</t>
  </si>
  <si>
    <t>LT0Q1E01WEDN1</t>
  </si>
  <si>
    <t>LT1Q1E01WO9J1</t>
  </si>
  <si>
    <t>LT1Q1E01WO9H1</t>
  </si>
  <si>
    <t>LT1Q1E01WO9D1</t>
  </si>
  <si>
    <t>LT1Q1D01WNY01</t>
  </si>
  <si>
    <t>LT0Q1E01W9C11</t>
  </si>
  <si>
    <t>LT0Q1E01WACU1</t>
  </si>
  <si>
    <t>LT0Q1E01W9AV1</t>
  </si>
  <si>
    <t>LT0Q1E01W9DQ1</t>
  </si>
  <si>
    <t>LT0Q1D01WF641</t>
  </si>
  <si>
    <t>LT0Q1D01WEU21</t>
  </si>
  <si>
    <t>LT1Q1D01WOHJ1</t>
  </si>
  <si>
    <t>LT0Q1E01W99T1</t>
  </si>
  <si>
    <t>LT1Q1E01WO9I1</t>
  </si>
  <si>
    <t>LT1Q1E01WO991</t>
  </si>
  <si>
    <t>LT1Q1E01WO981</t>
  </si>
  <si>
    <t>LT1Q1E01WO9L1</t>
  </si>
  <si>
    <t>LT1Q1E01WO9N1</t>
  </si>
  <si>
    <t>LT0Q1E01W95K1</t>
  </si>
  <si>
    <t>LT0Q1D01W9371</t>
  </si>
  <si>
    <t>LT1Q1D01WNQC1</t>
  </si>
  <si>
    <t>LT0Q1D01WDUM1</t>
  </si>
  <si>
    <t>LT0Q1D01WF6D2</t>
  </si>
  <si>
    <t>LT0Q1D01W93G1</t>
  </si>
  <si>
    <t>LT0Q1D01W93I2</t>
  </si>
  <si>
    <t>LT0Q1D01W93M4</t>
  </si>
  <si>
    <t>LT0Q1D01WEQW1</t>
  </si>
  <si>
    <t>LT0Q1D01WBFG1</t>
  </si>
  <si>
    <t>LT0Q1D01W9551</t>
  </si>
  <si>
    <t>LT0Q1D01W9572</t>
  </si>
  <si>
    <t>LT0Q1D01W9593</t>
  </si>
  <si>
    <t>LT0Q1D01WIRU1</t>
  </si>
  <si>
    <t>LT0Q1E01WADJ1</t>
  </si>
  <si>
    <t>LT1Q1D01WO9E1</t>
  </si>
  <si>
    <t>LT0Q1D01W93K3</t>
  </si>
  <si>
    <t>LT1Q1E01WO9A1</t>
  </si>
  <si>
    <t>LT0Q1E01WETU2</t>
  </si>
  <si>
    <t>LT1Q1E01WOKY1</t>
  </si>
  <si>
    <t>LT1Q1E01WP2R1</t>
  </si>
  <si>
    <t>LT0Q1E01WF672</t>
  </si>
  <si>
    <t>LT0Q1E01WEQS2</t>
  </si>
  <si>
    <t>LT0Q1E01WIRO2</t>
  </si>
  <si>
    <t>LT0Q1E01W93B1</t>
  </si>
  <si>
    <t>LT0Q1E01W93D2</t>
  </si>
  <si>
    <t>LT1Q1F01WOLD1</t>
  </si>
  <si>
    <t>LT0Q1E01WFN31</t>
  </si>
  <si>
    <t>LT0Q1E01W9821</t>
  </si>
  <si>
    <t>LT0Q1E01W9BE1</t>
  </si>
  <si>
    <t>LT0Q1E01W98E1</t>
  </si>
  <si>
    <t>LT0Q1E01WDAD1</t>
  </si>
  <si>
    <t>LT1Q1D01WNDD1</t>
  </si>
  <si>
    <t>LT0Q1E01WEHN1</t>
  </si>
  <si>
    <t>LT0Q1E01W9X01</t>
  </si>
  <si>
    <t>LT0Q1E01W96L1</t>
  </si>
  <si>
    <t>LT0Q1E01W9X81</t>
  </si>
  <si>
    <t>LT0Q1E01W97G1</t>
  </si>
  <si>
    <t>LT0Q1E01WA4P1</t>
  </si>
  <si>
    <t>LT0Q1E01WGBJ1</t>
  </si>
  <si>
    <t>LT0Q1E01WIC31</t>
  </si>
  <si>
    <t>LT0Q1E01WF311</t>
  </si>
  <si>
    <t>LT0Q1E01W9DL1</t>
  </si>
  <si>
    <t>LT0Q1E01WF3X1</t>
  </si>
  <si>
    <t>LT0Q1E01WFXT1</t>
  </si>
  <si>
    <t>LT0Q1E01W9C71</t>
  </si>
  <si>
    <t>LT1Q1E01WOMP1</t>
  </si>
  <si>
    <t>LT0Q1E01W9CC1</t>
  </si>
  <si>
    <t>LT0Q1E01WD661</t>
  </si>
  <si>
    <t>LT1Q1E01WOL01</t>
  </si>
  <si>
    <t>LT0Q1F01WF3E1</t>
  </si>
  <si>
    <t>LT0Q1F01W9921</t>
  </si>
  <si>
    <t>LT1Q1E01WOKH1</t>
  </si>
  <si>
    <t>LT0Q1F01W93S1</t>
  </si>
  <si>
    <t>LT0Q1F01W95G1</t>
  </si>
  <si>
    <t>LT0Q1F01W9961</t>
  </si>
  <si>
    <t>LT0Q1F01WEH11</t>
  </si>
  <si>
    <t>LT1Q1E01WOKO1</t>
  </si>
  <si>
    <t>LT1Q1F01WP2T1</t>
  </si>
  <si>
    <t>LT1Q1E01WOMO1</t>
  </si>
  <si>
    <t>LT1Q1E01WOMJ1</t>
  </si>
  <si>
    <t>LT1Q1E01WOMK1</t>
  </si>
  <si>
    <t>LT0Q1E01WETS1</t>
  </si>
  <si>
    <t>LT0Q1E01W92T1</t>
  </si>
  <si>
    <t>LT1Q1E01WOML1</t>
  </si>
  <si>
    <t>LT1Q1E01WP5R1</t>
  </si>
  <si>
    <t>LT1Q1E01WOKZ1</t>
  </si>
  <si>
    <t>LT1Q1F01WP2L1</t>
  </si>
  <si>
    <t>LT1Q1F01WOL11</t>
  </si>
  <si>
    <t>LT1Q1F01WP2P1</t>
  </si>
  <si>
    <t>LT1Q1F01WP5I1</t>
  </si>
  <si>
    <t>LT0Q1F01WA6A1</t>
  </si>
  <si>
    <t>LT0Q1F01W98X1</t>
  </si>
  <si>
    <t>LT0Q1F01W9BR1</t>
  </si>
  <si>
    <t>LT1Q1E01WP2F1</t>
  </si>
  <si>
    <t>LT1Q1E01WP2A1</t>
  </si>
  <si>
    <t>LT0Q1F01W9OR1</t>
  </si>
  <si>
    <t>LT0Q1F01W9991</t>
  </si>
  <si>
    <t>LT0Q1F01WEDO1</t>
  </si>
  <si>
    <t>LT1Q1F01WP2U1</t>
  </si>
  <si>
    <t>LT1Q1F01WOKQ1</t>
  </si>
  <si>
    <t>LT1Q1F01WP2S1</t>
  </si>
  <si>
    <t>LT1Q1F01WPK91</t>
  </si>
  <si>
    <t>LT1Q1F01WP2E1</t>
  </si>
  <si>
    <t>LT0Q1F01W9C21</t>
  </si>
  <si>
    <t>LT0Q1F01WACV1</t>
  </si>
  <si>
    <t>LT0Q1F01W9AW1</t>
  </si>
  <si>
    <t>LT0Q1F01W9DR1</t>
  </si>
  <si>
    <t>LT1Q1E01WP2I1</t>
  </si>
  <si>
    <t>LT1Q1E01WP2B1</t>
  </si>
  <si>
    <t>LT0Q1E01W94W2</t>
  </si>
  <si>
    <t>LT0Q1E01W93H1</t>
  </si>
  <si>
    <t>LT1Q1F01WP5G1</t>
  </si>
  <si>
    <t>LT0Q1F01W9B91</t>
  </si>
  <si>
    <t>LT0Q1F01W9TC1</t>
  </si>
  <si>
    <t>LT1Q1F01WP2K1</t>
  </si>
  <si>
    <t>LT1Q1F01WP2M1</t>
  </si>
  <si>
    <t>LT1Q1F01WOL71</t>
  </si>
  <si>
    <t>LT1Q1F01WP2Q1</t>
  </si>
  <si>
    <t>LT0Q1F01WD611</t>
  </si>
  <si>
    <t>LT0Q1E01WDUN1</t>
  </si>
  <si>
    <t>LT0Q1E01WEUK2</t>
  </si>
  <si>
    <t>LT0Q1E01WF6E2</t>
  </si>
  <si>
    <t>LT0Q1E01WEQX2</t>
  </si>
  <si>
    <t>LT0Q1E01WBFH1</t>
  </si>
  <si>
    <t>LT0Q1E01WF8H1</t>
  </si>
  <si>
    <t>LT0Q1E01WF8J2</t>
  </si>
  <si>
    <t>LT0Q1E01W9582</t>
  </si>
  <si>
    <t>LT1Q1F01WP2O1</t>
  </si>
  <si>
    <t>LT0Q1F01WIKH1</t>
  </si>
  <si>
    <t>LT1Q1F01WP2N1</t>
  </si>
  <si>
    <t>LT0Q1E01WIB91</t>
  </si>
  <si>
    <t>LT0Q1F01W94M1</t>
  </si>
  <si>
    <t>LT1Q1F01WPC51</t>
  </si>
  <si>
    <t>LT0Q1F01WF3A1</t>
  </si>
  <si>
    <t>LT1Q1F01WQ3W1</t>
  </si>
  <si>
    <t>LT0Q1F01WF2Q1</t>
  </si>
  <si>
    <t>LT0Q1F01W9761</t>
  </si>
  <si>
    <t>LT0Q1F01W9BM1</t>
  </si>
  <si>
    <t>LT0Q1F01W98U1</t>
  </si>
  <si>
    <t>LT0Q1F01W9AT1</t>
  </si>
  <si>
    <t>LT0Q1F01W96W1</t>
  </si>
  <si>
    <t>LT0Q1F01W99P1</t>
  </si>
  <si>
    <t>LT0Q1F01WF861</t>
  </si>
  <si>
    <t>LT0Q1F01WFN41</t>
  </si>
  <si>
    <t>LT0Q1F01W96D1</t>
  </si>
  <si>
    <t>LT0Q1F01W9WY1</t>
  </si>
  <si>
    <t>LT0Q1F01W9BF1</t>
  </si>
  <si>
    <t>LT0Q1F01W98G1</t>
  </si>
  <si>
    <t>LT1Q1F01WPYM1</t>
  </si>
  <si>
    <t>LT0Q1F01W9881</t>
  </si>
  <si>
    <t>LT0Q1F01WBXG1</t>
  </si>
  <si>
    <t>LT0Q1F01WDAE1</t>
  </si>
  <si>
    <t>LT1Q1F01WPDT1</t>
  </si>
  <si>
    <t>LT1Q1F01WPC81</t>
  </si>
  <si>
    <t>LT0Q1F01WEHO1</t>
  </si>
  <si>
    <t>LT0Q1F01WIC11</t>
  </si>
  <si>
    <t>LT0Q1F01W96M1</t>
  </si>
  <si>
    <t>LT0Q1F01W9X91</t>
  </si>
  <si>
    <t>LT0Q1F01W98K1</t>
  </si>
  <si>
    <t>LT0Q1F01WA4Q1</t>
  </si>
  <si>
    <t>LT0Q1F01W97J1</t>
  </si>
  <si>
    <t>LT0Q1F01WGBK1</t>
  </si>
  <si>
    <t>LT0Q1F01WF321</t>
  </si>
  <si>
    <t>LT0Q1F01W9DM1</t>
  </si>
  <si>
    <t>LT0Q1F01WF3Y1</t>
  </si>
  <si>
    <t>LT0Q1F01WFXU1</t>
  </si>
  <si>
    <t>LT0Q1F01W9C81</t>
  </si>
  <si>
    <t>LT1Q1F01WPCE1</t>
  </si>
  <si>
    <t>LT1Q1F01WP711</t>
  </si>
  <si>
    <t>LT0Q1F01WD671</t>
  </si>
  <si>
    <t>LT0Q1F01W9CV1</t>
  </si>
  <si>
    <t>LT0Q1G01WF3F1</t>
  </si>
  <si>
    <t>LT0Q1G01W9931</t>
  </si>
  <si>
    <t>LT0Q1G01WIJ91</t>
  </si>
  <si>
    <t>LT1Q1G01WQHW1</t>
  </si>
  <si>
    <t>LT1Q1G01WQK21</t>
  </si>
  <si>
    <t>LT0Q1G01W95H1</t>
  </si>
  <si>
    <t>LT0Q1G01WEH21</t>
  </si>
  <si>
    <t>LT1Q1G01WQ0S1</t>
  </si>
  <si>
    <t>LT1Q1G01WQK31</t>
  </si>
  <si>
    <t>LT0Q1F01W9CD1</t>
  </si>
  <si>
    <t>LT0Q1F01WEU61</t>
  </si>
  <si>
    <t>LT0Q1F01WF601</t>
  </si>
  <si>
    <t>LT0Q1F01W9383</t>
  </si>
  <si>
    <t>LT0Q1F01WEQI1</t>
  </si>
  <si>
    <t>LT0Q1F01WEQK2</t>
  </si>
  <si>
    <t>LT0Q1G01W93T1</t>
  </si>
  <si>
    <t>LT0Q1G01W98Y1</t>
  </si>
  <si>
    <t>LT0Q1G01W9BS1</t>
  </si>
  <si>
    <t>LT0Q1F01W92X1</t>
  </si>
  <si>
    <t>LT0Q1F01WBFI1</t>
  </si>
  <si>
    <t>LT0Q1G01W9OS1</t>
  </si>
  <si>
    <t>LT0Q1G01W99A1</t>
  </si>
  <si>
    <t>LT0Q1G01WEDP1</t>
  </si>
  <si>
    <t>LT0Q1G01W9C31</t>
  </si>
  <si>
    <t>LT0Q1G01WACW1</t>
  </si>
  <si>
    <t>LT0Q1G01W9AX1</t>
  </si>
  <si>
    <t>LT0Q1G01W9DS1</t>
  </si>
  <si>
    <t>LT1Q1G01WQOZ1</t>
  </si>
  <si>
    <t>LT1Q1F01WPC41</t>
  </si>
  <si>
    <t>LT1Q1G01WQ0C1</t>
  </si>
  <si>
    <t>LT1Q1G01WPSZ1</t>
  </si>
  <si>
    <t>LT1Q1G01WQ071</t>
  </si>
  <si>
    <t>LT1Q1G01WPT01</t>
  </si>
  <si>
    <t>LT1Q1G01WQ0T1</t>
  </si>
  <si>
    <t>LT0Q1G01W95M1</t>
  </si>
  <si>
    <t>LT0Q1G01WIC71</t>
  </si>
  <si>
    <t>LT0Q1G01WADZ1</t>
  </si>
  <si>
    <t>LT1Q1F01WPCC1</t>
  </si>
  <si>
    <t>LT1Q1F01WPCG1</t>
  </si>
  <si>
    <t>LT0Q1F01WF8D1</t>
  </si>
  <si>
    <t>LT0Q1F01WDUO1</t>
  </si>
  <si>
    <t>LT0Q1F01W9541</t>
  </si>
  <si>
    <t>LT0Q1F01WEUJ2</t>
  </si>
  <si>
    <t>LT0Q1F01WF6F1</t>
  </si>
  <si>
    <t>LT0Q1F01WF6H2</t>
  </si>
  <si>
    <t>LT0Q1F01WBFK2</t>
  </si>
  <si>
    <t>LT0Q1G01WAD91</t>
  </si>
  <si>
    <t>LT0Q1G01WIKI1</t>
  </si>
  <si>
    <t>LT1Q1F01WPC91</t>
  </si>
  <si>
    <t>LT1Q1G01WQ061</t>
  </si>
  <si>
    <t>LT0Q1F01W93N2</t>
  </si>
  <si>
    <t>LT1Q1G01WQ0B1</t>
  </si>
  <si>
    <t>LT1Q1G01WQ0E1</t>
  </si>
  <si>
    <t>LT0Q1G01W9502</t>
  </si>
  <si>
    <t>LT1Q1G01X0SP1</t>
  </si>
  <si>
    <t>LT0Q1G01WF2R1</t>
  </si>
  <si>
    <t>LT0Q1G01W98R1</t>
  </si>
  <si>
    <t>LT0Q1G01W9771</t>
  </si>
  <si>
    <t>LT0Q1G01W9AR1</t>
  </si>
  <si>
    <t>LT0Q1G01W9BN1</t>
  </si>
  <si>
    <t>LT0Q1G01W96X1</t>
  </si>
  <si>
    <t>LT0Q1G01W99Q1</t>
  </si>
  <si>
    <t>LT0Q1G01W9841</t>
  </si>
  <si>
    <t>LT0Q1G01W9BG1</t>
  </si>
  <si>
    <t>LT0Q1G01W98F1</t>
  </si>
  <si>
    <t>LT0Q1G01W9891</t>
  </si>
  <si>
    <t>LT0Q1G01WDAF1</t>
  </si>
  <si>
    <t>LT0Q1G01W9XA1</t>
  </si>
  <si>
    <t>LT0Q1G01WA4R1</t>
  </si>
  <si>
    <t>LT0Q1G01W97K1</t>
  </si>
  <si>
    <t>LT0Q1G01WGBL1</t>
  </si>
  <si>
    <t>LT0Q1G01WF331</t>
  </si>
  <si>
    <t>LT0Q1G01W9DN1</t>
  </si>
  <si>
    <t>LT0Q1G01WF3Z1</t>
  </si>
  <si>
    <t>LT0Q1G01WFXV1</t>
  </si>
  <si>
    <t>LT0Q1G01W9C91</t>
  </si>
  <si>
    <t>LT0Q1G01W9CE1</t>
  </si>
  <si>
    <t>LT0Q1G01WD681</t>
  </si>
  <si>
    <t>LT1Q1G01WQUB1</t>
  </si>
  <si>
    <t>LT0Q1H01WF3G1</t>
  </si>
  <si>
    <t>LT0Q1H01W9941</t>
  </si>
  <si>
    <t>LT1Q1H01WQUG1</t>
  </si>
  <si>
    <t>LT0Q1G01W9631</t>
  </si>
  <si>
    <t>LT0Q1H01W95I1</t>
  </si>
  <si>
    <t>LT0Q1H01WEH31</t>
  </si>
  <si>
    <t>LT0Q1G01WDUI2</t>
  </si>
  <si>
    <t>LT1Q1H01WQUL1</t>
  </si>
  <si>
    <t>LT1Q1H01WQUO1</t>
  </si>
  <si>
    <t>LT0Q1H01W93U1</t>
  </si>
  <si>
    <t>LT0Q1G01WEU92</t>
  </si>
  <si>
    <t>LT0Q1G01WF632</t>
  </si>
  <si>
    <t>LT0Q1G01W92Q2</t>
  </si>
  <si>
    <t>LT0Q1G01W9341</t>
  </si>
  <si>
    <t>LT0Q1G01WEQJ1</t>
  </si>
  <si>
    <t>LT0Q1G01WDUG1</t>
  </si>
  <si>
    <t>LT1Q1H01WQUQ1</t>
  </si>
  <si>
    <t>LT1Q1H01WQUU1</t>
  </si>
  <si>
    <t>LT1Q1H01WQUW1</t>
  </si>
  <si>
    <t>LT1Q1H01X6CY1</t>
  </si>
  <si>
    <t>LT0Q1H01W98Z1</t>
  </si>
  <si>
    <t>LT0Q1H01W9BT1</t>
  </si>
  <si>
    <t>LT0Q1G01WIRQ1</t>
  </si>
  <si>
    <t>LT0Q1G01WF871</t>
  </si>
  <si>
    <t>LT0Q1G01WF6I2</t>
  </si>
  <si>
    <t>LT0Q1G01W93O1</t>
  </si>
  <si>
    <t>LT0Q1G01W95C2</t>
  </si>
  <si>
    <t>LT0Q1H01W9OT1</t>
  </si>
  <si>
    <t>LT0Q1H01W99B1</t>
  </si>
  <si>
    <t>LT0Q1H01WEDQ1</t>
  </si>
  <si>
    <t>LT1Q1H01WQUX1</t>
  </si>
  <si>
    <t>LT1Q1H01WQUM1</t>
  </si>
  <si>
    <t>LT1Q1H01WQUP1</t>
  </si>
  <si>
    <t>LT0Q1H01W93Z1</t>
  </si>
  <si>
    <t>LT1Q1H01WQUS1</t>
  </si>
  <si>
    <t>LT1Q1H01WQUT1</t>
  </si>
  <si>
    <t>LT0Q1H01W9C41</t>
  </si>
  <si>
    <t>LT0Q1H01WACX1</t>
  </si>
  <si>
    <t>LT0Q1H01W9AY1</t>
  </si>
  <si>
    <t>LT0Q1H01W9DT1</t>
  </si>
  <si>
    <t>LT1Q1G01WQ631</t>
  </si>
  <si>
    <t>LT1Q1H01WQ651</t>
  </si>
  <si>
    <t>LT1Q1H01WQ661</t>
  </si>
  <si>
    <t>LT1Q1H01WQUI1</t>
  </si>
  <si>
    <t>LT0Q1H01W9A31</t>
  </si>
  <si>
    <t>LT0Q1H01W9BB1</t>
  </si>
  <si>
    <t>LT0Q1H01W99W1</t>
  </si>
  <si>
    <t>LT0Q1H01W9TE1</t>
  </si>
  <si>
    <t>LT1Q1H01WQUR1</t>
  </si>
  <si>
    <t>LT1Q1H01WQUJ1</t>
  </si>
  <si>
    <t>LT0Q1H01WIJA1</t>
  </si>
  <si>
    <t>LT0Q1H01W95N1</t>
  </si>
  <si>
    <t>LT0Q1H01WD631</t>
  </si>
  <si>
    <t>LT0Q1H01WAE01</t>
  </si>
  <si>
    <t>LT0Q1G01WIB72</t>
  </si>
  <si>
    <t>LT0Q1G01WF8E1</t>
  </si>
  <si>
    <t>LT0Q1G01WER01</t>
  </si>
  <si>
    <t>LT0Q1G01W93Q2</t>
  </si>
  <si>
    <t>LT0Q1H01WFXQ1</t>
  </si>
  <si>
    <t>LT0Q1H01WIKD1</t>
  </si>
  <si>
    <t>LT0Q1H01WIKF2</t>
  </si>
  <si>
    <t>LT0Q1H01WIKN1</t>
  </si>
  <si>
    <t>LT1Q1H01WQUV1</t>
  </si>
  <si>
    <t>LT0Q1H01W94Q1</t>
  </si>
  <si>
    <t>LT0Q1H01W9AS1</t>
  </si>
  <si>
    <t>LT0Q1H01W99R1</t>
  </si>
  <si>
    <t>LT0Q1H01WEHL1</t>
  </si>
  <si>
    <t>LT0Q1H01W9831</t>
  </si>
  <si>
    <t>LT0Q1H01W98H1</t>
  </si>
  <si>
    <t>LT0Q1H01W98A1</t>
  </si>
  <si>
    <t>LT0Q1H01WBXH1</t>
  </si>
  <si>
    <t>LT0Q1H01W96F1</t>
  </si>
  <si>
    <t>LT0Q1H01WIGU1</t>
  </si>
  <si>
    <t>LT0Q1H01W96O1</t>
  </si>
  <si>
    <t>LT0Q1H01WA4O1</t>
  </si>
  <si>
    <t>LT0Q1H01W9XB1</t>
  </si>
  <si>
    <t>LT0Q1H01W97H1</t>
  </si>
  <si>
    <t>LT0Q1H01WGBG1</t>
  </si>
  <si>
    <t>LT0Q1H01W98M1</t>
  </si>
  <si>
    <t>LT0Q1H01W9CF1</t>
  </si>
  <si>
    <t>LT1Q1I01X6OF1</t>
  </si>
  <si>
    <t>LT1Q1I01X6OD1</t>
  </si>
  <si>
    <t>LT1Q1I01X6KH1</t>
  </si>
  <si>
    <t>LT0Q1H01WEUA1</t>
  </si>
  <si>
    <t>LT0Q1H01WEUC2</t>
  </si>
  <si>
    <t>LT0Q1H01W9323</t>
  </si>
  <si>
    <t>LT0Q1H01WBFA1</t>
  </si>
  <si>
    <t>LT0Q1H01WDUL2</t>
  </si>
  <si>
    <t>LT0Q1H01WEQO2</t>
  </si>
  <si>
    <t>LT0Q1H01W92Z1</t>
  </si>
  <si>
    <t>LT1Q1I01X58U1</t>
  </si>
  <si>
    <t>LT1Q1I01X6OG1</t>
  </si>
  <si>
    <t>LT1Q1I01X58T1</t>
  </si>
  <si>
    <t>LT1Q1I01X6KJ1</t>
  </si>
  <si>
    <t>LT1Q1I01X58Y1</t>
  </si>
  <si>
    <t>LT1Q1I01X5911</t>
  </si>
  <si>
    <t>LT1Q1I01X5941</t>
  </si>
  <si>
    <t>LT1Q1I01X58V1</t>
  </si>
  <si>
    <t>LT1Q1I01X58W1</t>
  </si>
  <si>
    <t>LT1Q1I01X58Z1</t>
  </si>
  <si>
    <t>LT1Q1I01X5931</t>
  </si>
  <si>
    <t>LT1Q1I01X5961</t>
  </si>
  <si>
    <t>LT1Q1I01X6OE1</t>
  </si>
  <si>
    <t>LT1Q1I01X58X1</t>
  </si>
  <si>
    <t>LT1Q1I01X5901</t>
  </si>
  <si>
    <t>LT1Q1I01X5921</t>
  </si>
  <si>
    <t>LT0Q1H01WIRV2</t>
  </si>
  <si>
    <t>LT0Q1H01WF8F1</t>
  </si>
  <si>
    <t>LT0Q1H01WEUL1</t>
  </si>
  <si>
    <t>LT0Q1H01WF6J1</t>
  </si>
  <si>
    <t>LT0Q1H01WIBB1</t>
  </si>
  <si>
    <t>LT0Q1H01W95B1</t>
  </si>
  <si>
    <t>LT0Q1H01W95D2</t>
  </si>
  <si>
    <t>LT0Q1H01W93F1</t>
  </si>
  <si>
    <t>LT0Q1H01WIRT1</t>
  </si>
  <si>
    <t>LT0Q1H01WDUQ1</t>
  </si>
  <si>
    <t>LT0Q1H01WER52</t>
  </si>
  <si>
    <t>LT0Q1H01WEUN2</t>
  </si>
  <si>
    <t>LT0Q1H01WER31</t>
  </si>
  <si>
    <t>LT0Q1H01WF6L2</t>
  </si>
  <si>
    <t>LT1Q1I01X5951</t>
  </si>
  <si>
    <t>LT0Q1J01WYQP1</t>
  </si>
  <si>
    <t>LT0Q1J01WTA11</t>
  </si>
  <si>
    <t>LT0Q1J01WTIL1</t>
  </si>
  <si>
    <t>LT0Q1J01X2RP1</t>
  </si>
  <si>
    <t>LT1Q1J01X7IB1</t>
  </si>
  <si>
    <t>LT1Q1J01X7I81</t>
  </si>
  <si>
    <t>LT0Q1J01WYNL1</t>
  </si>
  <si>
    <t>LT0Q1J01WTEO1</t>
  </si>
  <si>
    <t>LT1Q1J01X7I51</t>
  </si>
  <si>
    <t>LT0Q1J01WTGE1</t>
  </si>
  <si>
    <t>LT0Q1J01X2NN1</t>
  </si>
  <si>
    <t>LT0Q1J01WTCT1</t>
  </si>
  <si>
    <t>LT0Q1J01WTFH1</t>
  </si>
  <si>
    <t>LT0Q1J01WZ721</t>
  </si>
  <si>
    <t>LT0Q1J01WTC31</t>
  </si>
  <si>
    <t>LT0Q1J01WY3Z1</t>
  </si>
  <si>
    <t>LT0Q1J01WU4A1</t>
  </si>
  <si>
    <t>LT0Q1J01WTDT1</t>
  </si>
  <si>
    <t>LT0Q1J01WTGX1</t>
  </si>
  <si>
    <t>LT0Q1J01WTEB1</t>
  </si>
  <si>
    <t>LT0Q1J01WY0Y1</t>
  </si>
  <si>
    <t>LT0Q1J01WTE21</t>
  </si>
  <si>
    <t>LT0Q1J01WVN11</t>
  </si>
  <si>
    <t>LT0Q1J01WWY11</t>
  </si>
  <si>
    <t>LT0Q1J01WUBI1</t>
  </si>
  <si>
    <t>LT0Q1J01WU4M1</t>
  </si>
  <si>
    <t>LT0Q1J01WTD91</t>
  </si>
  <si>
    <t>LT0Q1J01WTDB2</t>
  </si>
  <si>
    <t>LT0Q1J01WZT81</t>
  </si>
  <si>
    <t>LT0Q1J01WTEK1</t>
  </si>
  <si>
    <t>LT0Q1J01WYNW1</t>
  </si>
  <si>
    <t>LT0Q1J01WTIV1</t>
  </si>
  <si>
    <t>LT0Q1J01WYOQ1</t>
  </si>
  <si>
    <t>LT0Q1J01WZHF1</t>
  </si>
  <si>
    <t>LT0Q1J01WTHM1</t>
  </si>
  <si>
    <t>LT0Q1J01WTHR1</t>
  </si>
  <si>
    <t>LT0Q1J01WWTL1</t>
  </si>
  <si>
    <t>LT0Q1K01WYO91</t>
  </si>
  <si>
    <t>LT1Q1J01X7YH1</t>
  </si>
  <si>
    <t>LT0Q1K01WTEU1</t>
  </si>
  <si>
    <t>LT0Q1K01WT8Q1</t>
  </si>
  <si>
    <t>LT0Q1K01X2M01</t>
  </si>
  <si>
    <t>LT0Q1K01WY3J1</t>
  </si>
  <si>
    <t>LT1Q1J01X7PJ1</t>
  </si>
  <si>
    <t>LT1Q1J01X7OZ1</t>
  </si>
  <si>
    <t>LT1Q1K01X7PG1</t>
  </si>
  <si>
    <t>LT0Q1K01WTB61</t>
  </si>
  <si>
    <t>LT1Q1J01X7IS1</t>
  </si>
  <si>
    <t>LT0Q1J01WYFP2</t>
  </si>
  <si>
    <t>LT1Q1J01X7PK1</t>
  </si>
  <si>
    <t>LT1Q1J01X7J61</t>
  </si>
  <si>
    <t>LT0Q1J01WXHB1</t>
  </si>
  <si>
    <t>LT0Q1J01WTA32</t>
  </si>
  <si>
    <t>LT0Q1K01WTEP1</t>
  </si>
  <si>
    <t>LT0Q1K01WTH61</t>
  </si>
  <si>
    <t>LT1Q1J01X7PC1</t>
  </si>
  <si>
    <t>LT1Q1J01X7P11</t>
  </si>
  <si>
    <t>LT0Q1K01WTWY1</t>
  </si>
  <si>
    <t>LT0Q1K01WTEZ1</t>
  </si>
  <si>
    <t>LT0Q1K01WXZ41</t>
  </si>
  <si>
    <t>LT1Q1K01X7PH1</t>
  </si>
  <si>
    <t>LT0Q1K01WT8Z1</t>
  </si>
  <si>
    <t>LT1Q1K01X7PI1</t>
  </si>
  <si>
    <t>LT0Q1K01WTJ01</t>
  </si>
  <si>
    <t>LT0Q1K01WTHH1</t>
  </si>
  <si>
    <t>LT0Q1K01X2ND1</t>
  </si>
  <si>
    <t>LT1Q1J01X7P21</t>
  </si>
  <si>
    <t>LT1Q1J01X7PF1</t>
  </si>
  <si>
    <t>LT0Q1K01WTFJ1</t>
  </si>
  <si>
    <t>LT1Q1K01X7PL1</t>
  </si>
  <si>
    <t>LT1Q1K01X82C1</t>
  </si>
  <si>
    <t>LT0Q1K01WT941</t>
  </si>
  <si>
    <t>LT0Q1K01WTB91</t>
  </si>
  <si>
    <t>LT0Q1J01WYQZ1</t>
  </si>
  <si>
    <t>LT0Q1J01WYR12</t>
  </si>
  <si>
    <t>LT0Q1J01WYCJ2</t>
  </si>
  <si>
    <t>LT0Q1J01WV6D1</t>
  </si>
  <si>
    <t>LT0Q1J01WXHI1</t>
  </si>
  <si>
    <t>LT0Q1J01WTAK1</t>
  </si>
  <si>
    <t>LT0Q1J01WT8D1</t>
  </si>
  <si>
    <t>LT0Q1J01X2LR1</t>
  </si>
  <si>
    <t>LT1Q1J01X7P31</t>
  </si>
  <si>
    <t>LT0Q1K01WUHU1</t>
  </si>
  <si>
    <t>LT1Q1K01X8031</t>
  </si>
  <si>
    <t>LT1Q1K01X80Q1</t>
  </si>
  <si>
    <t>LT1Q1K01X7PA1</t>
  </si>
  <si>
    <t>LT0Q1K01WZT51</t>
  </si>
  <si>
    <t>LT1Q1K01X7SN1</t>
  </si>
  <si>
    <t>LT1Q1K01X7S11</t>
  </si>
  <si>
    <t>LT0Q1K01X2LL1</t>
  </si>
  <si>
    <t>LT0Q1K01WYC23</t>
  </si>
  <si>
    <t>LT0Q1K01WYQN3</t>
  </si>
  <si>
    <t>LT0Q1K01WT7C1</t>
  </si>
  <si>
    <t>LT0Q1K01WT9T1</t>
  </si>
  <si>
    <t>LT0Q1K01WT9Z4</t>
  </si>
  <si>
    <t>LT0Q1K01WXH82</t>
  </si>
  <si>
    <t>LT0Q1K01WTAI4</t>
  </si>
  <si>
    <t>LT0Q1K01WWZB1</t>
  </si>
  <si>
    <t>LT0Q1K01WTAC1</t>
  </si>
  <si>
    <t>LT0Q1K01WTIM1</t>
  </si>
  <si>
    <t>LT0Q1K01WYO51</t>
  </si>
  <si>
    <t>LT0Q1K01WTDN1</t>
  </si>
  <si>
    <t>LT0Q1K01WWMR1</t>
  </si>
  <si>
    <t>LT0Q1K01WU1H1</t>
  </si>
  <si>
    <t>LT0Q1K01WYNM1</t>
  </si>
  <si>
    <t>LT0Q1K01WTGF1</t>
  </si>
  <si>
    <t>LT0Q1K01X2NO1</t>
  </si>
  <si>
    <t>LT0Q1K01WTCU1</t>
  </si>
  <si>
    <t>LT0Q1K01X2MZ1</t>
  </si>
  <si>
    <t>LT0Q1K01X2MP1</t>
  </si>
  <si>
    <t>LT0Q1K01WTFI1</t>
  </si>
  <si>
    <t>LT0Q1K01WZ731</t>
  </si>
  <si>
    <t>LT0Q1K01WY401</t>
  </si>
  <si>
    <t>LT0Q1K01WU4B1</t>
  </si>
  <si>
    <t>LT0Q1K01WTDU1</t>
  </si>
  <si>
    <t>LT0Q1K01WTGY1</t>
  </si>
  <si>
    <t>LT0Q1K01WTEC1</t>
  </si>
  <si>
    <t>LT0Q1K01WY0Z1</t>
  </si>
  <si>
    <t>LT0Q1K01WTE31</t>
  </si>
  <si>
    <t>LT0Q1K01WVN21</t>
  </si>
  <si>
    <t>LT0Q1K01WWY21</t>
  </si>
  <si>
    <t>LT0Q1K01WTC81</t>
  </si>
  <si>
    <t>LT0Q1K01WTCH1</t>
  </si>
  <si>
    <t>LT0Q1K01WZT91</t>
  </si>
  <si>
    <t>LT0Q1K01X2U21</t>
  </si>
  <si>
    <t>LT0Q1K01WTDH1</t>
  </si>
  <si>
    <t>LT0Q1K01X2MU1</t>
  </si>
  <si>
    <t>LT0Q1K01WYNX1</t>
  </si>
  <si>
    <t>LT0Q1K01WTIW1</t>
  </si>
  <si>
    <t>LT0Q1K01WYOR1</t>
  </si>
  <si>
    <t>LT0Q1K01WZHG1</t>
  </si>
  <si>
    <t>LT0Q1K01WTHN1</t>
  </si>
  <si>
    <t>LT0Q1K01WTHS1</t>
  </si>
  <si>
    <t>LT0Q1K01WWTM1</t>
  </si>
  <si>
    <t>LT0Q1K01WTIA1</t>
  </si>
  <si>
    <t>LT0Q1L01WYOA1</t>
  </si>
  <si>
    <t>LT0Q1L01WTEV1</t>
  </si>
  <si>
    <t>LT0Q1L01WT8S1</t>
  </si>
  <si>
    <t>LT0Q1L01WTB21</t>
  </si>
  <si>
    <t>LT0Q1L01WY3K1</t>
  </si>
  <si>
    <t>LT1Q1K01X7SY1</t>
  </si>
  <si>
    <t>LT0Q1L01WTB71</t>
  </si>
  <si>
    <t>LT0Q1K01WYFE2</t>
  </si>
  <si>
    <t>LT0Q1K01WYFQ2</t>
  </si>
  <si>
    <t>LT0Q1K01WYQR1</t>
  </si>
  <si>
    <t>LT0Q1K01WT7G3</t>
  </si>
  <si>
    <t>LT1Q1L01X8AW1</t>
  </si>
  <si>
    <t>LT1Q1L01X8AP1</t>
  </si>
  <si>
    <t>LT1Q1L01X8AT1</t>
  </si>
  <si>
    <t>LT1Q1L01X8AM1</t>
  </si>
  <si>
    <t>LT1Q1L01X8AN1</t>
  </si>
  <si>
    <t>LT0Q1L01WTEQ1</t>
  </si>
  <si>
    <t>LT0Q1L01WTH71</t>
  </si>
  <si>
    <t>LT0Q1K01WYC92</t>
  </si>
  <si>
    <t>LT0Q1K01WYT22</t>
  </si>
  <si>
    <t>LT0Q1K01WXHD1</t>
  </si>
  <si>
    <t>LT0Q1K01WXHJ1</t>
  </si>
  <si>
    <t>LT0Q1K01X2ZK1</t>
  </si>
  <si>
    <t>LT0Q1K01WTAP1</t>
  </si>
  <si>
    <t>LT0Q1K01WT844</t>
  </si>
  <si>
    <t>LT1Q1K01X7SJ1</t>
  </si>
  <si>
    <t>LT1Q1K01X7SL1</t>
  </si>
  <si>
    <t>LT1Q1K01X7SU1</t>
  </si>
  <si>
    <t>LT1Q1K01X7SX1</t>
  </si>
  <si>
    <t>LT1Q1K01X7S31</t>
  </si>
  <si>
    <t>LT1Q1K01X7RZ1</t>
  </si>
  <si>
    <t>LT1Q1K01X7SM1</t>
  </si>
  <si>
    <t>LT1Q1K01X7SF1</t>
  </si>
  <si>
    <t>LT1Q1K01X7SV1</t>
  </si>
  <si>
    <t>LT1Q1K01X7S01</t>
  </si>
  <si>
    <t>LT0Q1L01WTF01</t>
  </si>
  <si>
    <t>LT0Q1L01WXZ51</t>
  </si>
  <si>
    <t>LT1Q1L01X8AS1</t>
  </si>
  <si>
    <t>LT1Q1L01X8AV1</t>
  </si>
  <si>
    <t>LT0Q1L01WTJ11</t>
  </si>
  <si>
    <t>LT0Q1L01WTHI1</t>
  </si>
  <si>
    <t>LT0Q1L01X2NE1</t>
  </si>
  <si>
    <t>LT1Q1K01X7SC1</t>
  </si>
  <si>
    <t>LT0Q1L01WUD31</t>
  </si>
  <si>
    <t>LT0Q1L01WTGT1</t>
  </si>
  <si>
    <t>LT0Q1L01WTFK1</t>
  </si>
  <si>
    <t>LT1Q1L01X8AR1</t>
  </si>
  <si>
    <t>LT1Q1L01X8AX1</t>
  </si>
  <si>
    <t>LT1Q1L01X8AQ1</t>
  </si>
  <si>
    <t>LT0Q1L01WT901</t>
  </si>
  <si>
    <t>LT1Q1L01X8AU1</t>
  </si>
  <si>
    <t>LT0Q1L01X2N91</t>
  </si>
  <si>
    <t>LT0Q1L01X2M11</t>
  </si>
  <si>
    <t>LT0Q1K01WYR71</t>
  </si>
  <si>
    <t>LT0Q1K01WT8J3</t>
  </si>
  <si>
    <t>LT0Q1K01WT8L4</t>
  </si>
  <si>
    <t>LT1Q1K01X7PD1</t>
  </si>
  <si>
    <t>LT1Q1L01X8LP1</t>
  </si>
  <si>
    <t>LT0Q1K01WT8N5</t>
  </si>
  <si>
    <t>LT0Q1K01WT8F1</t>
  </si>
  <si>
    <t>LT0Q1K01WT8H2</t>
  </si>
  <si>
    <t>LT0Q1L01WUI91</t>
  </si>
  <si>
    <t>LT0Q1K01WYCB3</t>
  </si>
  <si>
    <t>LT0Q1L01WTIN1</t>
  </si>
  <si>
    <t>LT0Q1L01WWMS1</t>
  </si>
  <si>
    <t>LT0Q1L01X2NB1</t>
  </si>
  <si>
    <t>LT1Q1L01X8IX1</t>
  </si>
  <si>
    <t>LT1Q1L01X9741</t>
  </si>
  <si>
    <t>LT0Q1L01WYNN1</t>
  </si>
  <si>
    <t>LT0Q1L01WTGG1</t>
  </si>
  <si>
    <t>LT0Q1L01X2NP1</t>
  </si>
  <si>
    <t>LT0Q1L01WTCV1</t>
  </si>
  <si>
    <t>LT0Q1L01X2N01</t>
  </si>
  <si>
    <t>LT0Q1L01X2N41</t>
  </si>
  <si>
    <t>LT0Q1L01WTC41</t>
  </si>
  <si>
    <t>LT0Q1L01WY411</t>
  </si>
  <si>
    <t>LT0Q1L01WU4C1</t>
  </si>
  <si>
    <t>LT0Q1L01WTDV1</t>
  </si>
  <si>
    <t>LT0Q1L01WTGZ1</t>
  </si>
  <si>
    <t>LT0Q1L01WTED1</t>
  </si>
  <si>
    <t>LT0Q1L01WTE41</t>
  </si>
  <si>
    <t>LT0Q1L01WVN31</t>
  </si>
  <si>
    <t>LT1Q1L01X8RO1</t>
  </si>
  <si>
    <t>LT0Q1L01WTCI1</t>
  </si>
  <si>
    <t>LT0Q1L01WU4O1</t>
  </si>
  <si>
    <t>LT0Q1L01WTDC2</t>
  </si>
  <si>
    <t>LT0Q1L01WZTA1</t>
  </si>
  <si>
    <t>LT0Q1L01X2U31</t>
  </si>
  <si>
    <t>LT0Q1L01X2MV1</t>
  </si>
  <si>
    <t>LT0Q1L01WYNY1</t>
  </si>
  <si>
    <t>LT0Q1L01WTIX1</t>
  </si>
  <si>
    <t>LT0Q1L01WYOS1</t>
  </si>
  <si>
    <t>LT0Q1L01WZHH1</t>
  </si>
  <si>
    <t>LT0Q1L01WTHO1</t>
  </si>
  <si>
    <t>LT0Q1L01WTHT1</t>
  </si>
  <si>
    <t>LT0Q1L01WWTN1</t>
  </si>
  <si>
    <t>LT0Q1M01WYOB1</t>
  </si>
  <si>
    <t>LT0Q1M01WTEW1</t>
  </si>
  <si>
    <t>LT0Q1M01WT8V1</t>
  </si>
  <si>
    <t>LT0Q1M01WTB31</t>
  </si>
  <si>
    <t>LT0Q1M01WUD41</t>
  </si>
  <si>
    <t>LT0Q1M01WTB81</t>
  </si>
  <si>
    <t>LT0Q1L01WYQO3</t>
  </si>
  <si>
    <t>LT0Q1L01WYFT2</t>
  </si>
  <si>
    <t>LT1Q1L01X8IB1</t>
  </si>
  <si>
    <t>LT0Q1L01WTBM1</t>
  </si>
  <si>
    <t>LT0Q1M01WTER1</t>
  </si>
  <si>
    <t>LT0Q1M01WTH81</t>
  </si>
  <si>
    <t>LT0Q1L01WYQU2</t>
  </si>
  <si>
    <t>LT1Q1L01X8IG1</t>
  </si>
  <si>
    <t>LT0Q1L01WXHF1</t>
  </si>
  <si>
    <t>LT0Q1M01WTF11</t>
  </si>
  <si>
    <t>LT0Q1M01WXZ61</t>
  </si>
  <si>
    <t>LT0Q1M01WT911</t>
  </si>
  <si>
    <t>LT1Q1M01X91M1</t>
  </si>
  <si>
    <t>LT1Q1M01X91N1</t>
  </si>
  <si>
    <t>LT1Q1M01X91L1</t>
  </si>
  <si>
    <t>LT0Q1M01WTJ21</t>
  </si>
  <si>
    <t>LT0Q1M01WTHJ1</t>
  </si>
  <si>
    <t>LT0Q1M01X2NF1</t>
  </si>
  <si>
    <t>LT0Q1M01WTX01</t>
  </si>
  <si>
    <t>LT0Q1M01WTFU1</t>
  </si>
  <si>
    <t>LT0Q1M01WTGU1</t>
  </si>
  <si>
    <t>LT0Q1M01WTFL1</t>
  </si>
  <si>
    <t>LT0Q1M01X2M21</t>
  </si>
  <si>
    <t>LT0Q1L01WYCM2</t>
  </si>
  <si>
    <t>LT0Q1L01X2Z51</t>
  </si>
  <si>
    <t>LT0Q1L01WYT11</t>
  </si>
  <si>
    <t>LT0Q1L01WYRA2</t>
  </si>
  <si>
    <t>LT0Q1L01WXHK1</t>
  </si>
  <si>
    <t>LT0Q1L01X2LU1</t>
  </si>
  <si>
    <t>LT0Q1L01WT8G1</t>
  </si>
  <si>
    <t>LT0Q1L01WT8I2</t>
  </si>
  <si>
    <t>LT0Q1L01WT8K3</t>
  </si>
  <si>
    <t>LT0Q1L01WT8M4</t>
  </si>
  <si>
    <t>LT0Q1L01WT8O5</t>
  </si>
  <si>
    <t>LT0Q1L01X2ZL1</t>
  </si>
  <si>
    <t>LT0Q1L01X2ZN2</t>
  </si>
  <si>
    <t>LT0Q1L01WTAS2</t>
  </si>
  <si>
    <t>LT0Q1L01WT7O4</t>
  </si>
  <si>
    <t>LT0Q1M01X2MK1</t>
  </si>
  <si>
    <t>LT0Q1L01X2ZF1</t>
  </si>
  <si>
    <t>LT0Q1L01WTAL3</t>
  </si>
  <si>
    <t>LT0Q1L01WYFR1</t>
  </si>
  <si>
    <t/>
  </si>
  <si>
    <t>Total LH</t>
  </si>
  <si>
    <t>Finalizados</t>
  </si>
  <si>
    <t>Em andamento</t>
  </si>
  <si>
    <t>% SLA</t>
  </si>
  <si>
    <t>Atrasados</t>
  </si>
  <si>
    <t>A</t>
  </si>
  <si>
    <t>B</t>
  </si>
  <si>
    <t>Média de atraso (min)</t>
  </si>
  <si>
    <t>Maior atraso</t>
  </si>
  <si>
    <t>LH atrasadas</t>
  </si>
  <si>
    <t>% fora do SLA</t>
  </si>
  <si>
    <t>Data</t>
  </si>
  <si>
    <t>LSP</t>
  </si>
  <si>
    <t>SOC</t>
  </si>
  <si>
    <t>DOCADOS</t>
  </si>
  <si>
    <t>TOTAL</t>
  </si>
  <si>
    <t>DATA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</si>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</sst>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HH:mm:ss"/>
    <numFmt numFmtId="165" formatCode="hh:mm"/>
    <numFmt numFmtId="166" formatCode="dd&quot;/&quot;mm&quot; &quot;hh&quot;:&quot;mm"/>
    <numFmt numFmtId="167" formatCode="dd/mm/yyyy"/>
    <numFmt numFmtId="168" formatCode="d-m-yyyy hh:mm"/>
    <numFmt numFmtId="169" formatCode="d/m hh:mm"/>
    <numFmt numFmtId="170" formatCode="d/m"/>
  </numFmts>
  <fonts count="32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/>
    <font>
      <b/>
      <sz val="9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9.0"/>
      <color theme="1"/>
      <name val="Arial"/>
      <scheme val="minor"/>
    </font>
    <font>
      <b/>
      <sz val="10.0"/>
      <color theme="1"/>
      <name val="Arial"/>
      <scheme val="minor"/>
    </font>
    <font>
      <b/>
      <sz val="10.0"/>
      <color theme="1"/>
      <name val="Arial"/>
    </font>
    <font>
      <b/>
      <sz val="10.0"/>
      <color rgb="FF303844"/>
      <name val="Arial"/>
    </font>
    <font>
      <b/>
      <sz val="9.0"/>
      <color rgb="FF303844"/>
      <name val="Arial"/>
    </font>
    <font>
      <b/>
      <sz val="10.0"/>
      <color rgb="FF303844"/>
      <name val="Roboto"/>
    </font>
    <font>
      <b/>
      <sz val="9.0"/>
      <color rgb="FF303844"/>
      <name val="Arial"/>
      <scheme val="minor"/>
    </font>
    <font>
      <b/>
      <sz val="11.0"/>
      <color theme="1"/>
      <name val="Arial"/>
    </font>
    <font>
      <b/>
      <sz val="11.0"/>
      <color rgb="FF000000"/>
      <name val="Arial"/>
    </font>
    <font>
      <b/>
      <sz val="11.0"/>
      <color rgb="FF000000"/>
      <name val="Arial"/>
      <scheme val="minor"/>
    </font>
    <font>
      <b/>
      <sz val="16.0"/>
      <color theme="1"/>
      <name val="Arial"/>
      <scheme val="minor"/>
    </font>
    <font>
      <b/>
      <sz val="14.0"/>
      <color theme="1"/>
      <name val="Arial"/>
    </font>
    <font>
      <b/>
      <sz val="14.0"/>
      <color theme="1"/>
      <name val="Arial"/>
      <scheme val="minor"/>
    </font>
    <font>
      <sz val="14.0"/>
      <color theme="1"/>
      <name val="Arial"/>
    </font>
    <font>
      <b/>
      <sz val="14.0"/>
      <color rgb="FF303844"/>
      <name val="Arial"/>
    </font>
    <font>
      <b/>
      <sz val="14.0"/>
      <color rgb="FF303844"/>
      <name val="Arial"/>
      <scheme val="minor"/>
    </font>
    <font>
      <b/>
      <sz val="14.0"/>
      <color rgb="FF000000"/>
      <name val="Arial"/>
    </font>
    <font>
      <b/>
      <sz val="14.0"/>
      <color rgb="FFFFFFFF"/>
      <name val="Arial"/>
      <scheme val="minor"/>
    </font>
    <font>
      <b/>
      <sz val="14.0"/>
      <color rgb="FFFFFFFF"/>
      <name val="Arial"/>
    </font>
    <font>
      <b/>
      <sz val="14.0"/>
      <color rgb="FF000000"/>
      <name val="Arial"/>
      <scheme val="minor"/>
    </font>
    <font>
      <b/>
      <sz val="14.0"/>
      <color rgb="FF303844"/>
      <name val="Helvetica Neue"/>
    </font>
    <font>
      <b/>
      <sz val="14.0"/>
      <color rgb="FF303844"/>
      <name val="Roboto"/>
    </font>
    <font>
      <b/>
      <sz val="14.0"/>
      <color rgb="FF000000"/>
      <name val="Helvetica Neue"/>
    </font>
    <font>
      <sz val="14.0"/>
      <color theme="1"/>
      <name val="Arial"/>
      <scheme val="minor"/>
    </font>
    <font>
      <b/>
      <sz val="15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666666"/>
      </left>
      <right style="medium">
        <color rgb="FF666666"/>
      </right>
      <bottom style="medium">
        <color rgb="FF666666"/>
      </bottom>
    </border>
    <border>
      <right style="medium">
        <color rgb="FF666666"/>
      </right>
      <top style="medium">
        <color rgb="FF666666"/>
      </top>
      <bottom style="medium">
        <color rgb="FF666666"/>
      </bottom>
    </border>
    <border>
      <top style="medium">
        <color rgb="FF666666"/>
      </top>
      <bottom style="medium">
        <color rgb="FF666666"/>
      </bottom>
    </border>
    <border>
      <top style="medium">
        <color rgb="FF666666"/>
      </top>
    </border>
    <border>
      <bottom style="thin">
        <color rgb="FFECF0F4"/>
      </bottom>
    </border>
    <border>
      <right style="medium">
        <color rgb="FF666666"/>
      </right>
      <top style="medium">
        <color rgb="FF666666"/>
      </top>
    </border>
  </borders>
  <cellStyleXfs count="1">
    <xf borderId="0" fillId="0" fontId="0" numFmtId="0" applyAlignment="1" applyFont="1"/>
  </cellStyleXfs>
  <cellXfs count="2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164" xfId="0" applyAlignment="1" applyBorder="1" applyFont="1" applyNumberForma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1" fillId="3" fontId="4" numFmtId="0" xfId="0" applyAlignment="1" applyBorder="1" applyFill="1" applyFont="1">
      <alignment horizontal="center" vertical="bottom"/>
    </xf>
    <xf borderId="1" fillId="3" fontId="5" numFmtId="0" xfId="0" applyAlignment="1" applyBorder="1" applyFont="1">
      <alignment horizontal="center" readingOrder="0"/>
    </xf>
    <xf borderId="1" fillId="3" fontId="5" numFmtId="164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left" readingOrder="0"/>
    </xf>
    <xf borderId="1" fillId="0" fontId="6" numFmtId="0" xfId="0" applyAlignment="1" applyBorder="1" applyFont="1">
      <alignment readingOrder="0"/>
    </xf>
    <xf borderId="1" fillId="3" fontId="4" numFmtId="0" xfId="0" applyAlignment="1" applyBorder="1" applyFont="1">
      <alignment horizontal="center" vertical="bottom"/>
    </xf>
    <xf borderId="4" fillId="3" fontId="7" numFmtId="0" xfId="0" applyAlignment="1" applyBorder="1" applyFont="1">
      <alignment horizontal="center" vertical="bottom"/>
    </xf>
    <xf borderId="0" fillId="0" fontId="5" numFmtId="0" xfId="0" applyAlignment="1" applyFont="1">
      <alignment horizontal="center"/>
    </xf>
    <xf borderId="0" fillId="0" fontId="5" numFmtId="164" xfId="0" applyAlignment="1" applyFont="1" applyNumberFormat="1">
      <alignment horizontal="center"/>
    </xf>
    <xf borderId="4" fillId="3" fontId="8" numFmtId="0" xfId="0" applyAlignment="1" applyBorder="1" applyFont="1">
      <alignment horizontal="center" vertical="bottom"/>
    </xf>
    <xf borderId="1" fillId="3" fontId="8" numFmtId="0" xfId="0" applyAlignment="1" applyBorder="1" applyFont="1">
      <alignment horizontal="center" readingOrder="0"/>
    </xf>
    <xf borderId="1" fillId="3" fontId="8" numFmtId="164" xfId="0" applyAlignment="1" applyBorder="1" applyFont="1" applyNumberFormat="1">
      <alignment horizontal="center" readingOrder="0"/>
    </xf>
    <xf borderId="2" fillId="0" fontId="6" numFmtId="0" xfId="0" applyAlignment="1" applyBorder="1" applyFont="1">
      <alignment horizontal="center" readingOrder="0"/>
    </xf>
    <xf borderId="4" fillId="3" fontId="9" numFmtId="0" xfId="0" applyAlignment="1" applyBorder="1" applyFont="1">
      <alignment horizontal="center" vertical="bottom"/>
    </xf>
    <xf borderId="4" fillId="3" fontId="9" numFmtId="0" xfId="0" applyAlignment="1" applyBorder="1" applyFont="1">
      <alignment horizontal="center" vertical="center"/>
    </xf>
    <xf borderId="1" fillId="3" fontId="8" numFmtId="0" xfId="0" applyAlignment="1" applyBorder="1" applyFont="1">
      <alignment horizontal="center" readingOrder="0" vertical="center"/>
    </xf>
    <xf borderId="1" fillId="3" fontId="8" numFmtId="164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vertical="center"/>
    </xf>
    <xf borderId="1" fillId="0" fontId="6" numFmtId="0" xfId="0" applyAlignment="1" applyBorder="1" applyFont="1">
      <alignment readingOrder="0" vertical="center"/>
    </xf>
    <xf borderId="4" fillId="3" fontId="9" numFmtId="0" xfId="0" applyAlignment="1" applyBorder="1" applyFont="1">
      <alignment horizontal="center" vertical="bottom"/>
    </xf>
    <xf borderId="4" fillId="3" fontId="9" numFmtId="0" xfId="0" applyAlignment="1" applyBorder="1" applyFont="1">
      <alignment horizontal="center" readingOrder="0" vertical="bottom"/>
    </xf>
    <xf borderId="1" fillId="3" fontId="10" numFmtId="0" xfId="0" applyAlignment="1" applyBorder="1" applyFont="1">
      <alignment horizontal="center" vertical="bottom"/>
    </xf>
    <xf borderId="1" fillId="3" fontId="6" numFmtId="0" xfId="0" applyAlignment="1" applyBorder="1" applyFont="1">
      <alignment horizontal="center" readingOrder="0"/>
    </xf>
    <xf borderId="1" fillId="3" fontId="6" numFmtId="164" xfId="0" applyAlignment="1" applyBorder="1" applyFont="1" applyNumberFormat="1">
      <alignment horizontal="center" readingOrder="0"/>
    </xf>
    <xf borderId="4" fillId="3" fontId="4" numFmtId="0" xfId="0" applyAlignment="1" applyBorder="1" applyFont="1">
      <alignment horizontal="center" vertical="bottom"/>
    </xf>
    <xf borderId="1" fillId="3" fontId="7" numFmtId="0" xfId="0" applyAlignment="1" applyBorder="1" applyFont="1">
      <alignment horizontal="center" readingOrder="0"/>
    </xf>
    <xf borderId="4" fillId="3" fontId="4" numFmtId="0" xfId="0" applyAlignment="1" applyBorder="1" applyFont="1">
      <alignment horizontal="center" vertical="center"/>
    </xf>
    <xf borderId="1" fillId="3" fontId="7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readingOrder="0" vertical="center"/>
    </xf>
    <xf borderId="1" fillId="3" fontId="6" numFmtId="164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left" readingOrder="0" vertical="center"/>
    </xf>
    <xf borderId="5" fillId="0" fontId="6" numFmtId="0" xfId="0" applyAlignment="1" applyBorder="1" applyFont="1">
      <alignment horizontal="left" readingOrder="0" vertical="center"/>
    </xf>
    <xf borderId="6" fillId="0" fontId="3" numFmtId="0" xfId="0" applyBorder="1" applyFont="1"/>
    <xf borderId="4" fillId="3" fontId="4" numFmtId="0" xfId="0" applyAlignment="1" applyBorder="1" applyFont="1">
      <alignment horizontal="center" vertical="bottom"/>
    </xf>
    <xf borderId="1" fillId="3" fontId="11" numFmtId="0" xfId="0" applyAlignment="1" applyBorder="1" applyFont="1">
      <alignment horizontal="center" vertical="bottom"/>
    </xf>
    <xf borderId="7" fillId="3" fontId="4" numFmtId="0" xfId="0" applyAlignment="1" applyBorder="1" applyFont="1">
      <alignment horizontal="center" vertical="bottom"/>
    </xf>
    <xf borderId="0" fillId="3" fontId="12" numFmtId="0" xfId="0" applyAlignment="1" applyFont="1">
      <alignment horizontal="center" readingOrder="0"/>
    </xf>
    <xf borderId="1" fillId="3" fontId="7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readingOrder="0" vertical="bottom"/>
    </xf>
    <xf borderId="1" fillId="3" fontId="13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3" fontId="14" numFmtId="0" xfId="0" applyAlignment="1" applyBorder="1" applyFont="1">
      <alignment horizontal="center" vertical="bottom"/>
    </xf>
    <xf borderId="1" fillId="3" fontId="2" numFmtId="0" xfId="0" applyAlignment="1" applyBorder="1" applyFont="1">
      <alignment horizontal="center" readingOrder="0"/>
    </xf>
    <xf borderId="1" fillId="3" fontId="2" numFmtId="164" xfId="0" applyAlignment="1" applyBorder="1" applyFont="1" applyNumberFormat="1">
      <alignment horizontal="center" readingOrder="0"/>
    </xf>
    <xf borderId="1" fillId="3" fontId="14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1" fillId="3" fontId="2" numFmtId="164" xfId="0" applyAlignment="1" applyBorder="1" applyFont="1" applyNumberFormat="1">
      <alignment horizontal="center" readingOrder="0" vertical="center"/>
    </xf>
    <xf borderId="1" fillId="3" fontId="14" numFmtId="0" xfId="0" applyAlignment="1" applyBorder="1" applyFont="1">
      <alignment horizontal="center" vertical="bottom"/>
    </xf>
    <xf borderId="1" fillId="3" fontId="2" numFmtId="0" xfId="0" applyAlignment="1" applyBorder="1" applyFont="1">
      <alignment horizontal="center" vertical="bottom"/>
    </xf>
    <xf borderId="1" fillId="3" fontId="15" numFmtId="0" xfId="0" applyAlignment="1" applyBorder="1" applyFont="1">
      <alignment horizontal="center" vertical="bottom"/>
    </xf>
    <xf borderId="1" fillId="3" fontId="16" numFmtId="0" xfId="0" applyAlignment="1" applyBorder="1" applyFont="1">
      <alignment horizontal="center" readingOrder="0"/>
    </xf>
    <xf borderId="4" fillId="3" fontId="7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0" fillId="0" fontId="7" numFmtId="0" xfId="0" applyAlignment="1" applyFont="1">
      <alignment horizontal="center" vertical="bottom"/>
    </xf>
    <xf borderId="1" fillId="2" fontId="17" numFmtId="0" xfId="0" applyAlignment="1" applyBorder="1" applyFont="1">
      <alignment horizontal="center" readingOrder="0"/>
    </xf>
    <xf borderId="1" fillId="2" fontId="17" numFmtId="164" xfId="0" applyAlignment="1" applyBorder="1" applyFont="1" applyNumberFormat="1">
      <alignment horizontal="center" readingOrder="0"/>
    </xf>
    <xf borderId="2" fillId="0" fontId="18" numFmtId="0" xfId="0" applyAlignment="1" applyBorder="1" applyFont="1">
      <alignment horizontal="center" readingOrder="0"/>
    </xf>
    <xf borderId="8" fillId="3" fontId="18" numFmtId="0" xfId="0" applyAlignment="1" applyBorder="1" applyFont="1">
      <alignment horizontal="center" vertical="bottom"/>
    </xf>
    <xf borderId="1" fillId="3" fontId="19" numFmtId="0" xfId="0" applyAlignment="1" applyBorder="1" applyFont="1">
      <alignment horizontal="center" readingOrder="0"/>
    </xf>
    <xf borderId="1" fillId="3" fontId="19" numFmtId="164" xfId="0" applyAlignment="1" applyBorder="1" applyFont="1" applyNumberFormat="1">
      <alignment horizontal="center" readingOrder="0"/>
    </xf>
    <xf borderId="1" fillId="0" fontId="18" numFmtId="0" xfId="0" applyAlignment="1" applyBorder="1" applyFont="1">
      <alignment horizontal="center" readingOrder="0"/>
    </xf>
    <xf borderId="0" fillId="0" fontId="20" numFmtId="0" xfId="0" applyFont="1"/>
    <xf borderId="1" fillId="0" fontId="18" numFmtId="0" xfId="0" applyAlignment="1" applyBorder="1" applyFont="1">
      <alignment horizontal="left" readingOrder="0"/>
    </xf>
    <xf borderId="5" fillId="0" fontId="18" numFmtId="0" xfId="0" applyAlignment="1" applyBorder="1" applyFont="1">
      <alignment horizontal="left" readingOrder="0"/>
    </xf>
    <xf borderId="8" fillId="3" fontId="18" numFmtId="0" xfId="0" applyAlignment="1" applyBorder="1" applyFont="1">
      <alignment horizontal="center" vertical="center"/>
    </xf>
    <xf borderId="1" fillId="3" fontId="19" numFmtId="0" xfId="0" applyAlignment="1" applyBorder="1" applyFont="1">
      <alignment horizontal="center" readingOrder="0" vertical="center"/>
    </xf>
    <xf borderId="1" fillId="3" fontId="19" numFmtId="164" xfId="0" applyAlignment="1" applyBorder="1" applyFont="1" applyNumberFormat="1">
      <alignment horizontal="center" readingOrder="0" vertical="center"/>
    </xf>
    <xf borderId="1" fillId="0" fontId="18" numFmtId="0" xfId="0" applyAlignment="1" applyBorder="1" applyFont="1">
      <alignment readingOrder="0" vertical="center"/>
    </xf>
    <xf borderId="8" fillId="3" fontId="18" numFmtId="0" xfId="0" applyAlignment="1" applyBorder="1" applyFont="1">
      <alignment horizontal="center" vertical="bottom"/>
    </xf>
    <xf borderId="8" fillId="3" fontId="19" numFmtId="0" xfId="0" applyAlignment="1" applyBorder="1" applyFont="1">
      <alignment horizontal="center" vertical="bottom"/>
    </xf>
    <xf borderId="1" fillId="2" fontId="17" numFmtId="0" xfId="0" applyAlignment="1" applyBorder="1" applyFont="1">
      <alignment horizontal="center" readingOrder="0" vertical="center"/>
    </xf>
    <xf borderId="1" fillId="2" fontId="17" numFmtId="164" xfId="0" applyAlignment="1" applyBorder="1" applyFont="1" applyNumberFormat="1">
      <alignment horizontal="center" readingOrder="0" vertical="center"/>
    </xf>
    <xf borderId="1" fillId="2" fontId="18" numFmtId="0" xfId="0" applyAlignment="1" applyBorder="1" applyFont="1">
      <alignment horizontal="center" readingOrder="0" vertical="center"/>
    </xf>
    <xf borderId="3" fillId="2" fontId="18" numFmtId="0" xfId="0" applyAlignment="1" applyBorder="1" applyFont="1">
      <alignment horizontal="center" readingOrder="0" vertical="center"/>
    </xf>
    <xf borderId="1" fillId="0" fontId="18" numFmtId="0" xfId="0" applyAlignment="1" applyBorder="1" applyFont="1">
      <alignment horizontal="center" readingOrder="0" vertical="center"/>
    </xf>
    <xf borderId="0" fillId="0" fontId="20" numFmtId="0" xfId="0" applyAlignment="1" applyFont="1">
      <alignment vertical="center"/>
    </xf>
    <xf borderId="1" fillId="0" fontId="18" numFmtId="0" xfId="0" applyAlignment="1" applyBorder="1" applyFont="1">
      <alignment horizontal="left" readingOrder="0" vertical="center"/>
    </xf>
    <xf borderId="5" fillId="0" fontId="18" numFmtId="0" xfId="0" applyAlignment="1" applyBorder="1" applyFont="1">
      <alignment horizontal="left" readingOrder="0" vertical="center"/>
    </xf>
    <xf borderId="8" fillId="3" fontId="18" numFmtId="0" xfId="0" applyAlignment="1" applyBorder="1" applyFont="1">
      <alignment horizontal="center" vertical="center"/>
    </xf>
    <xf borderId="8" fillId="3" fontId="19" numFmtId="0" xfId="0" applyAlignment="1" applyBorder="1" applyFont="1">
      <alignment horizontal="center" vertical="center"/>
    </xf>
    <xf borderId="9" fillId="3" fontId="18" numFmtId="0" xfId="0" applyAlignment="1" applyBorder="1" applyFont="1">
      <alignment horizontal="center" vertical="center"/>
    </xf>
    <xf borderId="9" fillId="3" fontId="21" numFmtId="0" xfId="0" applyAlignment="1" applyBorder="1" applyFont="1">
      <alignment horizontal="center" vertical="center"/>
    </xf>
    <xf borderId="1" fillId="3" fontId="18" numFmtId="0" xfId="0" applyAlignment="1" applyBorder="1" applyFont="1">
      <alignment horizontal="center" readingOrder="0"/>
    </xf>
    <xf borderId="1" fillId="3" fontId="18" numFmtId="164" xfId="0" applyAlignment="1" applyBorder="1" applyFont="1" applyNumberFormat="1">
      <alignment horizontal="center" readingOrder="0"/>
    </xf>
    <xf borderId="8" fillId="3" fontId="18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readingOrder="0" vertical="center"/>
    </xf>
    <xf borderId="1" fillId="3" fontId="18" numFmtId="0" xfId="0" applyAlignment="1" applyBorder="1" applyFont="1">
      <alignment horizontal="center" vertical="center"/>
    </xf>
    <xf borderId="1" fillId="3" fontId="18" numFmtId="0" xfId="0" applyAlignment="1" applyBorder="1" applyFont="1">
      <alignment horizontal="center" vertical="bottom"/>
    </xf>
    <xf borderId="8" fillId="3" fontId="19" numFmtId="0" xfId="0" applyAlignment="1" applyBorder="1" applyFont="1">
      <alignment horizontal="center" readingOrder="0" vertical="center"/>
    </xf>
    <xf borderId="8" fillId="3" fontId="19" numFmtId="0" xfId="0" applyAlignment="1" applyBorder="1" applyFont="1">
      <alignment horizontal="center" vertical="bottom"/>
    </xf>
    <xf borderId="9" fillId="3" fontId="18" numFmtId="0" xfId="0" applyAlignment="1" applyBorder="1" applyFont="1">
      <alignment horizontal="center" vertical="bottom"/>
    </xf>
    <xf borderId="10" fillId="3" fontId="18" numFmtId="0" xfId="0" applyAlignment="1" applyBorder="1" applyFont="1">
      <alignment horizontal="center" vertical="bottom"/>
    </xf>
    <xf borderId="1" fillId="3" fontId="21" numFmtId="0" xfId="0" applyAlignment="1" applyBorder="1" applyFont="1">
      <alignment horizontal="center" vertical="bottom"/>
    </xf>
    <xf borderId="11" fillId="3" fontId="21" numFmtId="0" xfId="0" applyAlignment="1" applyBorder="1" applyFont="1">
      <alignment horizontal="center" vertical="bottom"/>
    </xf>
    <xf borderId="1" fillId="3" fontId="18" numFmtId="0" xfId="0" applyAlignment="1" applyBorder="1" applyFont="1">
      <alignment horizontal="center" readingOrder="0" vertical="bottom"/>
    </xf>
    <xf borderId="8" fillId="3" fontId="21" numFmtId="0" xfId="0" applyAlignment="1" applyBorder="1" applyFont="1">
      <alignment horizontal="center" vertical="bottom"/>
    </xf>
    <xf borderId="0" fillId="3" fontId="22" numFmtId="0" xfId="0" applyAlignment="1" applyFont="1">
      <alignment horizontal="center" readingOrder="0"/>
    </xf>
    <xf borderId="0" fillId="3" fontId="18" numFmtId="0" xfId="0" applyAlignment="1" applyFont="1">
      <alignment horizontal="center" readingOrder="0" vertical="bottom"/>
    </xf>
    <xf borderId="1" fillId="3" fontId="21" numFmtId="0" xfId="0" applyAlignment="1" applyBorder="1" applyFont="1">
      <alignment horizontal="center" vertical="bottom"/>
    </xf>
    <xf borderId="11" fillId="3" fontId="21" numFmtId="0" xfId="0" applyAlignment="1" applyBorder="1" applyFont="1">
      <alignment horizontal="center" vertical="bottom"/>
    </xf>
    <xf borderId="12" fillId="3" fontId="18" numFmtId="0" xfId="0" applyAlignment="1" applyBorder="1" applyFont="1">
      <alignment horizontal="center" readingOrder="0" vertical="bottom"/>
    </xf>
    <xf borderId="0" fillId="4" fontId="18" numFmtId="0" xfId="0" applyAlignment="1" applyFill="1" applyFont="1">
      <alignment horizontal="center" vertical="bottom"/>
    </xf>
    <xf borderId="0" fillId="4" fontId="19" numFmtId="0" xfId="0" applyAlignment="1" applyFont="1">
      <alignment horizontal="center" readingOrder="0" vertical="center"/>
    </xf>
    <xf borderId="0" fillId="4" fontId="19" numFmtId="164" xfId="0" applyAlignment="1" applyFont="1" applyNumberFormat="1">
      <alignment horizontal="center" readingOrder="0" vertical="center"/>
    </xf>
    <xf borderId="0" fillId="4" fontId="19" numFmtId="0" xfId="0" applyAlignment="1" applyFont="1">
      <alignment horizontal="center" vertical="bottom"/>
    </xf>
    <xf borderId="0" fillId="4" fontId="21" numFmtId="0" xfId="0" applyAlignment="1" applyFont="1">
      <alignment horizontal="center" vertical="bottom"/>
    </xf>
    <xf borderId="0" fillId="4" fontId="18" numFmtId="0" xfId="0" applyAlignment="1" applyFont="1">
      <alignment horizontal="center" readingOrder="0" vertical="bottom"/>
    </xf>
    <xf borderId="0" fillId="4" fontId="19" numFmtId="0" xfId="0" applyAlignment="1" applyFont="1">
      <alignment horizontal="center" readingOrder="0"/>
    </xf>
    <xf borderId="0" fillId="4" fontId="19" numFmtId="164" xfId="0" applyAlignment="1" applyFont="1" applyNumberFormat="1">
      <alignment horizontal="center" readingOrder="0"/>
    </xf>
    <xf borderId="0" fillId="4" fontId="22" numFmtId="0" xfId="0" applyAlignment="1" applyFont="1">
      <alignment horizontal="center" readingOrder="0"/>
    </xf>
    <xf borderId="12" fillId="3" fontId="18" numFmtId="0" xfId="0" applyAlignment="1" applyBorder="1" applyFont="1">
      <alignment horizontal="center" vertical="bottom"/>
    </xf>
    <xf borderId="1" fillId="3" fontId="18" numFmtId="0" xfId="0" applyAlignment="1" applyBorder="1" applyFont="1">
      <alignment horizontal="center" vertical="bottom"/>
    </xf>
    <xf borderId="1" fillId="3" fontId="19" numFmtId="0" xfId="0" applyAlignment="1" applyBorder="1" applyFont="1">
      <alignment horizontal="center" readingOrder="0" vertical="bottom"/>
    </xf>
    <xf borderId="1" fillId="5" fontId="18" numFmtId="0" xfId="0" applyAlignment="1" applyBorder="1" applyFill="1" applyFont="1">
      <alignment horizontal="center" readingOrder="0" vertical="bottom"/>
    </xf>
    <xf borderId="1" fillId="5" fontId="18" numFmtId="0" xfId="0" applyAlignment="1" applyBorder="1" applyFont="1">
      <alignment horizontal="center" readingOrder="0"/>
    </xf>
    <xf borderId="1" fillId="5" fontId="19" numFmtId="164" xfId="0" applyAlignment="1" applyBorder="1" applyFont="1" applyNumberFormat="1">
      <alignment horizontal="center" readingOrder="0" vertical="center"/>
    </xf>
    <xf borderId="1" fillId="5" fontId="22" numFmtId="0" xfId="0" applyAlignment="1" applyBorder="1" applyFont="1">
      <alignment horizontal="center" readingOrder="0"/>
    </xf>
    <xf borderId="0" fillId="0" fontId="18" numFmtId="0" xfId="0" applyAlignment="1" applyFont="1">
      <alignment horizontal="center"/>
    </xf>
    <xf borderId="0" fillId="3" fontId="23" numFmtId="0" xfId="0" applyAlignment="1" applyFont="1">
      <alignment horizontal="center" vertical="bottom"/>
    </xf>
    <xf borderId="1" fillId="3" fontId="23" numFmtId="0" xfId="0" applyAlignment="1" applyBorder="1" applyFont="1">
      <alignment horizontal="center" vertical="bottom"/>
    </xf>
    <xf borderId="1" fillId="3" fontId="23" numFmtId="0" xfId="0" applyAlignment="1" applyBorder="1" applyFont="1">
      <alignment horizontal="center" vertical="bottom"/>
    </xf>
    <xf borderId="8" fillId="3" fontId="18" numFmtId="0" xfId="0" applyAlignment="1" applyBorder="1" applyFont="1">
      <alignment horizontal="center" readingOrder="0" vertical="bottom"/>
    </xf>
    <xf borderId="0" fillId="0" fontId="18" numFmtId="0" xfId="0" applyAlignment="1" applyFont="1">
      <alignment horizontal="center" vertical="bottom"/>
    </xf>
    <xf borderId="0" fillId="0" fontId="19" numFmtId="0" xfId="0" applyAlignment="1" applyFont="1">
      <alignment horizontal="center" readingOrder="0" vertical="center"/>
    </xf>
    <xf borderId="0" fillId="0" fontId="19" numFmtId="164" xfId="0" applyAlignment="1" applyFont="1" applyNumberFormat="1">
      <alignment horizontal="center" readingOrder="0"/>
    </xf>
    <xf borderId="0" fillId="0" fontId="18" numFmtId="0" xfId="0" applyAlignment="1" applyFont="1">
      <alignment horizontal="center" vertical="bottom"/>
    </xf>
    <xf borderId="0" fillId="0" fontId="18" numFmtId="0" xfId="0" applyAlignment="1" applyFont="1">
      <alignment horizontal="center" readingOrder="0" vertical="bottom"/>
    </xf>
    <xf borderId="0" fillId="0" fontId="18" numFmtId="0" xfId="0" applyAlignment="1" applyFont="1">
      <alignment horizontal="center" readingOrder="0"/>
    </xf>
    <xf borderId="0" fillId="0" fontId="19" numFmtId="164" xfId="0" applyAlignment="1" applyFont="1" applyNumberFormat="1">
      <alignment horizontal="center" readingOrder="0" vertical="center"/>
    </xf>
    <xf borderId="0" fillId="0" fontId="19" numFmtId="0" xfId="0" applyAlignment="1" applyFont="1">
      <alignment horizontal="center" readingOrder="0" vertical="bottom"/>
    </xf>
    <xf borderId="0" fillId="0" fontId="22" numFmtId="0" xfId="0" applyAlignment="1" applyFont="1">
      <alignment horizontal="center" readingOrder="0"/>
    </xf>
    <xf borderId="1" fillId="3" fontId="23" numFmtId="0" xfId="0" applyAlignment="1" applyBorder="1" applyFont="1">
      <alignment horizontal="center" vertical="center"/>
    </xf>
    <xf borderId="1" fillId="0" fontId="1" numFmtId="0" xfId="0" applyAlignment="1" applyBorder="1" applyFont="1">
      <alignment readingOrder="0" vertical="center"/>
    </xf>
    <xf borderId="11" fillId="3" fontId="22" numFmtId="0" xfId="0" applyAlignment="1" applyBorder="1" applyFont="1">
      <alignment horizontal="center" readingOrder="0"/>
    </xf>
    <xf borderId="0" fillId="3" fontId="21" numFmtId="0" xfId="0" applyAlignment="1" applyFont="1">
      <alignment horizontal="center" vertical="bottom"/>
    </xf>
    <xf borderId="0" fillId="4" fontId="18" numFmtId="0" xfId="0" applyAlignment="1" applyFont="1">
      <alignment horizontal="center" vertical="bottom"/>
    </xf>
    <xf borderId="0" fillId="4" fontId="18" numFmtId="0" xfId="0" applyAlignment="1" applyFont="1">
      <alignment horizontal="center" readingOrder="0"/>
    </xf>
    <xf borderId="1" fillId="3" fontId="18" numFmtId="164" xfId="0" applyAlignment="1" applyBorder="1" applyFont="1" applyNumberFormat="1">
      <alignment horizontal="center" vertical="bottom"/>
    </xf>
    <xf borderId="1" fillId="3" fontId="18" numFmtId="0" xfId="0" applyAlignment="1" applyBorder="1" applyFont="1">
      <alignment horizontal="center" readingOrder="0" vertical="center"/>
    </xf>
    <xf borderId="1" fillId="3" fontId="22" numFmtId="0" xfId="0" applyAlignment="1" applyBorder="1" applyFont="1">
      <alignment horizontal="center" readingOrder="0"/>
    </xf>
    <xf borderId="0" fillId="4" fontId="18" numFmtId="164" xfId="0" applyAlignment="1" applyFont="1" applyNumberFormat="1">
      <alignment horizontal="center" vertical="bottom"/>
    </xf>
    <xf borderId="1" fillId="3" fontId="18" numFmtId="164" xfId="0" applyAlignment="1" applyBorder="1" applyFont="1" applyNumberFormat="1">
      <alignment horizontal="center" vertical="center"/>
    </xf>
    <xf borderId="1" fillId="3" fontId="18" numFmtId="164" xfId="0" applyAlignment="1" applyBorder="1" applyFont="1" applyNumberFormat="1">
      <alignment horizontal="center" readingOrder="0" vertical="center"/>
    </xf>
    <xf borderId="1" fillId="6" fontId="24" numFmtId="0" xfId="0" applyAlignment="1" applyBorder="1" applyFill="1" applyFont="1">
      <alignment horizontal="center" readingOrder="0"/>
    </xf>
    <xf borderId="1" fillId="6" fontId="25" numFmtId="0" xfId="0" applyAlignment="1" applyBorder="1" applyFont="1">
      <alignment horizontal="center" readingOrder="0"/>
    </xf>
    <xf borderId="1" fillId="6" fontId="24" numFmtId="164" xfId="0" applyAlignment="1" applyBorder="1" applyFont="1" applyNumberFormat="1">
      <alignment horizontal="center" readingOrder="0" vertical="center"/>
    </xf>
    <xf borderId="1" fillId="6" fontId="25" numFmtId="164" xfId="0" applyAlignment="1" applyBorder="1" applyFont="1" applyNumberFormat="1">
      <alignment horizontal="center" vertical="center"/>
    </xf>
    <xf borderId="1" fillId="6" fontId="25" numFmtId="164" xfId="0" applyAlignment="1" applyBorder="1" applyFont="1" applyNumberFormat="1">
      <alignment horizontal="center" readingOrder="0"/>
    </xf>
    <xf borderId="1" fillId="6" fontId="24" numFmtId="0" xfId="0" applyAlignment="1" applyBorder="1" applyFont="1">
      <alignment horizontal="center" readingOrder="0" vertical="center"/>
    </xf>
    <xf borderId="1" fillId="6" fontId="25" numFmtId="0" xfId="0" applyAlignment="1" applyBorder="1" applyFont="1">
      <alignment horizontal="center" readingOrder="0" vertical="center"/>
    </xf>
    <xf borderId="1" fillId="3" fontId="23" numFmtId="164" xfId="0" applyAlignment="1" applyBorder="1" applyFont="1" applyNumberFormat="1">
      <alignment horizontal="center" vertical="center"/>
    </xf>
    <xf borderId="1" fillId="3" fontId="21" numFmtId="0" xfId="0" applyAlignment="1" applyBorder="1" applyFont="1">
      <alignment horizontal="center" readingOrder="0" vertical="bottom"/>
    </xf>
    <xf borderId="1" fillId="3" fontId="26" numFmtId="0" xfId="0" applyAlignment="1" applyBorder="1" applyFont="1">
      <alignment horizontal="center" readingOrder="0"/>
    </xf>
    <xf borderId="1" fillId="3" fontId="23" numFmtId="0" xfId="0" applyAlignment="1" applyBorder="1" applyFont="1">
      <alignment horizontal="center" readingOrder="0" vertical="bottom"/>
    </xf>
    <xf borderId="0" fillId="0" fontId="23" numFmtId="164" xfId="0" applyAlignment="1" applyFont="1" applyNumberFormat="1">
      <alignment horizontal="center" vertical="center"/>
    </xf>
    <xf borderId="0" fillId="0" fontId="23" numFmtId="0" xfId="0" applyAlignment="1" applyFont="1">
      <alignment horizontal="center" readingOrder="0" vertical="bottom"/>
    </xf>
    <xf borderId="0" fillId="0" fontId="26" numFmtId="0" xfId="0" applyAlignment="1" applyFont="1">
      <alignment horizontal="center" readingOrder="0"/>
    </xf>
    <xf borderId="0" fillId="0" fontId="23" numFmtId="0" xfId="0" applyAlignment="1" applyFont="1">
      <alignment horizontal="center" readingOrder="0"/>
    </xf>
    <xf borderId="0" fillId="0" fontId="26" numFmtId="164" xfId="0" applyAlignment="1" applyFont="1" applyNumberFormat="1">
      <alignment horizontal="center" readingOrder="0" vertical="center"/>
    </xf>
    <xf borderId="1" fillId="3" fontId="23" numFmtId="0" xfId="0" applyAlignment="1" applyBorder="1" applyFont="1">
      <alignment horizontal="center" readingOrder="0" vertical="center"/>
    </xf>
    <xf borderId="1" fillId="3" fontId="23" numFmtId="164" xfId="0" applyAlignment="1" applyBorder="1" applyFont="1" applyNumberFormat="1">
      <alignment horizontal="center" readingOrder="0" vertical="center"/>
    </xf>
    <xf borderId="1" fillId="3" fontId="18" numFmtId="0" xfId="0" applyAlignment="1" applyBorder="1" applyFont="1">
      <alignment horizontal="center" vertical="center"/>
    </xf>
    <xf borderId="1" fillId="3" fontId="26" numFmtId="0" xfId="0" applyAlignment="1" applyBorder="1" applyFont="1">
      <alignment horizontal="center" readingOrder="0" vertical="center"/>
    </xf>
    <xf borderId="1" fillId="3" fontId="21" numFmtId="164" xfId="0" applyAlignment="1" applyBorder="1" applyFont="1" applyNumberFormat="1">
      <alignment horizontal="center" vertical="center"/>
    </xf>
    <xf borderId="0" fillId="0" fontId="26" numFmtId="0" xfId="0" applyAlignment="1" applyFont="1">
      <alignment horizontal="center" readingOrder="0" vertical="center"/>
    </xf>
    <xf borderId="0" fillId="0" fontId="23" numFmtId="0" xfId="0" applyAlignment="1" applyFont="1">
      <alignment horizontal="center" readingOrder="0" vertical="center"/>
    </xf>
    <xf borderId="0" fillId="4" fontId="18" numFmtId="0" xfId="0" applyAlignment="1" applyFont="1">
      <alignment horizontal="center" vertical="center"/>
    </xf>
    <xf borderId="0" fillId="4" fontId="21" numFmtId="0" xfId="0" applyAlignment="1" applyFont="1">
      <alignment horizontal="center" vertical="center"/>
    </xf>
    <xf borderId="0" fillId="4" fontId="22" numFmtId="0" xfId="0" applyAlignment="1" applyFont="1">
      <alignment horizontal="center" readingOrder="0" vertical="center"/>
    </xf>
    <xf borderId="0" fillId="4" fontId="18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1" fillId="6" fontId="25" numFmtId="0" xfId="0" applyAlignment="1" applyBorder="1" applyFont="1">
      <alignment horizontal="center" readingOrder="0" vertical="bottom"/>
    </xf>
    <xf borderId="0" fillId="3" fontId="18" numFmtId="0" xfId="0" applyAlignment="1" applyFont="1">
      <alignment horizontal="center" vertical="bottom"/>
    </xf>
    <xf borderId="1" fillId="3" fontId="26" numFmtId="164" xfId="0" applyAlignment="1" applyBorder="1" applyFont="1" applyNumberFormat="1">
      <alignment horizontal="center" readingOrder="0" vertical="center"/>
    </xf>
    <xf borderId="1" fillId="3" fontId="26" numFmtId="164" xfId="0" applyAlignment="1" applyBorder="1" applyFont="1" applyNumberFormat="1">
      <alignment horizontal="center" vertical="center"/>
    </xf>
    <xf borderId="0" fillId="0" fontId="20" numFmtId="0" xfId="0" applyAlignment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3" fontId="26" numFmtId="0" xfId="0" applyAlignment="1" applyBorder="1" applyFont="1">
      <alignment horizontal="center" vertical="center"/>
    </xf>
    <xf borderId="1" fillId="3" fontId="24" numFmtId="164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left" readingOrder="0" vertical="center"/>
    </xf>
    <xf borderId="11" fillId="3" fontId="21" numFmtId="164" xfId="0" applyAlignment="1" applyBorder="1" applyFont="1" applyNumberFormat="1">
      <alignment horizontal="center" vertical="center"/>
    </xf>
    <xf borderId="1" fillId="3" fontId="21" numFmtId="0" xfId="0" applyAlignment="1" applyBorder="1" applyFont="1">
      <alignment horizontal="center" vertical="center"/>
    </xf>
    <xf borderId="0" fillId="4" fontId="4" numFmtId="0" xfId="0" applyAlignment="1" applyFont="1">
      <alignment horizontal="center" vertical="bottom"/>
    </xf>
    <xf borderId="0" fillId="4" fontId="18" numFmtId="164" xfId="0" applyAlignment="1" applyFont="1" applyNumberFormat="1">
      <alignment horizontal="center" readingOrder="0" vertical="center"/>
    </xf>
    <xf borderId="0" fillId="4" fontId="18" numFmtId="0" xfId="0" applyAlignment="1" applyFont="1">
      <alignment horizontal="center" vertical="center"/>
    </xf>
    <xf borderId="0" fillId="4" fontId="23" numFmtId="0" xfId="0" applyAlignment="1" applyFont="1">
      <alignment horizontal="center" readingOrder="0" vertical="center"/>
    </xf>
    <xf borderId="0" fillId="4" fontId="26" numFmtId="164" xfId="0" applyAlignment="1" applyFont="1" applyNumberFormat="1">
      <alignment horizontal="center" readingOrder="0" vertical="center"/>
    </xf>
    <xf borderId="0" fillId="4" fontId="26" numFmtId="0" xfId="0" applyAlignment="1" applyFont="1">
      <alignment horizontal="center" readingOrder="0" vertical="center"/>
    </xf>
    <xf borderId="0" fillId="4" fontId="24" numFmtId="164" xfId="0" applyAlignment="1" applyFont="1" applyNumberFormat="1">
      <alignment horizontal="center" readingOrder="0" vertical="center"/>
    </xf>
    <xf borderId="1" fillId="0" fontId="19" numFmtId="0" xfId="0" applyAlignment="1" applyBorder="1" applyFont="1">
      <alignment horizontal="center" readingOrder="0"/>
    </xf>
    <xf borderId="1" fillId="0" fontId="19" numFmtId="0" xfId="0" applyAlignment="1" applyBorder="1" applyFont="1">
      <alignment horizontal="center" readingOrder="0" vertical="center"/>
    </xf>
    <xf borderId="1" fillId="0" fontId="19" numFmtId="0" xfId="0" applyAlignment="1" applyBorder="1" applyFont="1">
      <alignment horizontal="center" vertical="center"/>
    </xf>
    <xf borderId="0" fillId="0" fontId="1" numFmtId="0" xfId="0" applyAlignment="1" applyFont="1">
      <alignment horizontal="left" readingOrder="0" vertical="center"/>
    </xf>
    <xf borderId="0" fillId="0" fontId="18" numFmtId="0" xfId="0" applyAlignment="1" applyFont="1">
      <alignment horizontal="left" readingOrder="0" vertical="center"/>
    </xf>
    <xf borderId="0" fillId="0" fontId="21" numFmtId="0" xfId="0" applyAlignment="1" applyFont="1">
      <alignment horizontal="center" vertical="bottom"/>
    </xf>
    <xf borderId="0" fillId="4" fontId="21" numFmtId="0" xfId="0" applyAlignment="1" applyFont="1">
      <alignment horizontal="center" vertical="bottom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horizontal="center" vertical="center"/>
    </xf>
    <xf borderId="0" fillId="0" fontId="26" numFmtId="0" xfId="0" applyAlignment="1" applyFont="1">
      <alignment horizontal="center" vertical="center"/>
    </xf>
    <xf borderId="0" fillId="0" fontId="19" numFmtId="0" xfId="0" applyAlignment="1" applyFont="1">
      <alignment horizontal="center" vertical="center"/>
    </xf>
    <xf borderId="1" fillId="3" fontId="23" numFmtId="0" xfId="0" applyAlignment="1" applyBorder="1" applyFont="1">
      <alignment horizontal="center" vertical="center"/>
    </xf>
    <xf borderId="0" fillId="0" fontId="21" numFmtId="0" xfId="0" applyAlignment="1" applyFont="1">
      <alignment horizontal="center" readingOrder="0" vertical="bottom"/>
    </xf>
    <xf borderId="1" fillId="3" fontId="18" numFmtId="165" xfId="0" applyAlignment="1" applyBorder="1" applyFont="1" applyNumberFormat="1">
      <alignment horizontal="center" readingOrder="0" vertical="center"/>
    </xf>
    <xf borderId="0" fillId="0" fontId="21" numFmtId="0" xfId="0" applyAlignment="1" applyFont="1">
      <alignment horizontal="center" readingOrder="0" vertical="center"/>
    </xf>
    <xf borderId="0" fillId="4" fontId="21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18" numFmtId="164" xfId="0" applyAlignment="1" applyFont="1" applyNumberFormat="1">
      <alignment horizontal="center" readingOrder="0" vertical="center"/>
    </xf>
    <xf borderId="0" fillId="0" fontId="23" numFmtId="0" xfId="0" applyAlignment="1" applyFont="1">
      <alignment horizontal="center" vertical="center"/>
    </xf>
    <xf borderId="0" fillId="0" fontId="23" numFmtId="0" xfId="0" applyAlignment="1" applyFont="1">
      <alignment horizontal="center" vertical="center"/>
    </xf>
    <xf borderId="0" fillId="3" fontId="27" numFmtId="0" xfId="0" applyAlignment="1" applyFont="1">
      <alignment horizontal="center" vertical="bottom"/>
    </xf>
    <xf borderId="1" fillId="3" fontId="27" numFmtId="0" xfId="0" applyAlignment="1" applyBorder="1" applyFont="1">
      <alignment horizontal="center" vertical="bottom"/>
    </xf>
    <xf borderId="0" fillId="3" fontId="18" numFmtId="0" xfId="0" applyAlignment="1" applyFont="1">
      <alignment horizontal="center" readingOrder="0" vertical="center"/>
    </xf>
    <xf borderId="0" fillId="3" fontId="27" numFmtId="0" xfId="0" applyAlignment="1" applyFont="1">
      <alignment horizontal="center" vertical="center"/>
    </xf>
    <xf borderId="0" fillId="0" fontId="23" numFmtId="164" xfId="0" applyAlignment="1" applyFont="1" applyNumberFormat="1">
      <alignment horizontal="center" readingOrder="0" vertical="center"/>
    </xf>
    <xf borderId="1" fillId="3" fontId="27" numFmtId="0" xfId="0" applyAlignment="1" applyBorder="1" applyFont="1">
      <alignment horizontal="center" vertical="center"/>
    </xf>
    <xf borderId="0" fillId="3" fontId="23" numFmtId="0" xfId="0" applyAlignment="1" applyFont="1">
      <alignment horizontal="center" vertical="center"/>
    </xf>
    <xf borderId="1" fillId="3" fontId="26" numFmtId="0" xfId="0" applyAlignment="1" applyBorder="1" applyFont="1">
      <alignment horizontal="center" vertical="center"/>
    </xf>
    <xf borderId="0" fillId="3" fontId="26" numFmtId="0" xfId="0" applyAlignment="1" applyFont="1">
      <alignment horizontal="center" vertical="center"/>
    </xf>
    <xf borderId="0" fillId="3" fontId="26" numFmtId="0" xfId="0" applyAlignment="1" applyFont="1">
      <alignment horizontal="center" readingOrder="0" vertical="center"/>
    </xf>
    <xf borderId="1" fillId="3" fontId="28" numFmtId="0" xfId="0" applyAlignment="1" applyBorder="1" applyFont="1">
      <alignment horizontal="center" vertical="center"/>
    </xf>
    <xf borderId="0" fillId="3" fontId="29" numFmtId="0" xfId="0" applyAlignment="1" applyFont="1">
      <alignment horizontal="center" vertical="center"/>
    </xf>
    <xf borderId="0" fillId="3" fontId="18" numFmtId="0" xfId="0" applyAlignment="1" applyFont="1">
      <alignment horizontal="center" vertical="center"/>
    </xf>
    <xf borderId="1" fillId="3" fontId="27" numFmtId="0" xfId="0" applyAlignment="1" applyBorder="1" applyFont="1">
      <alignment horizontal="center" vertical="center"/>
    </xf>
    <xf borderId="11" fillId="3" fontId="21" numFmtId="0" xfId="0" applyAlignment="1" applyBorder="1" applyFont="1">
      <alignment horizontal="center" vertical="center"/>
    </xf>
    <xf borderId="11" fillId="3" fontId="21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readingOrder="0"/>
    </xf>
    <xf borderId="0" fillId="0" fontId="19" numFmtId="0" xfId="0" applyAlignment="1" applyFont="1">
      <alignment horizontal="center"/>
    </xf>
    <xf borderId="0" fillId="0" fontId="19" numFmtId="1" xfId="0" applyAlignment="1" applyFont="1" applyNumberFormat="1">
      <alignment readingOrder="0"/>
    </xf>
    <xf borderId="0" fillId="0" fontId="30" numFmtId="0" xfId="0" applyFont="1"/>
    <xf borderId="0" fillId="0" fontId="5" numFmtId="0" xfId="0" applyFont="1"/>
    <xf borderId="0" fillId="0" fontId="19" numFmtId="166" xfId="0" applyAlignment="1" applyFont="1" applyNumberFormat="1">
      <alignment horizontal="center"/>
    </xf>
    <xf borderId="0" fillId="0" fontId="5" numFmtId="1" xfId="0" applyFont="1" applyNumberFormat="1"/>
    <xf borderId="0" fillId="0" fontId="19" numFmtId="167" xfId="0" applyAlignment="1" applyFont="1" applyNumberFormat="1">
      <alignment horizontal="center" readingOrder="0"/>
    </xf>
    <xf borderId="0" fillId="0" fontId="19" numFmtId="168" xfId="0" applyAlignment="1" applyFont="1" applyNumberFormat="1">
      <alignment horizontal="center"/>
    </xf>
    <xf borderId="0" fillId="0" fontId="19" numFmtId="169" xfId="0" applyAlignment="1" applyFont="1" applyNumberFormat="1">
      <alignment horizontal="center"/>
    </xf>
    <xf borderId="0" fillId="0" fontId="5" numFmtId="166" xfId="0" applyFont="1" applyNumberFormat="1"/>
    <xf borderId="0" fillId="0" fontId="19" numFmtId="164" xfId="0" applyAlignment="1" applyFont="1" applyNumberFormat="1">
      <alignment horizontal="center"/>
    </xf>
    <xf borderId="0" fillId="0" fontId="5" numFmtId="164" xfId="0" applyFont="1" applyNumberFormat="1"/>
    <xf borderId="0" fillId="0" fontId="19" numFmtId="170" xfId="0" applyAlignment="1" applyFont="1" applyNumberFormat="1">
      <alignment horizontal="center"/>
    </xf>
    <xf borderId="0" fillId="0" fontId="6" numFmtId="0" xfId="0" applyAlignment="1" applyFont="1">
      <alignment horizontal="center" readingOrder="0"/>
    </xf>
    <xf borderId="0" fillId="0" fontId="31" numFmtId="0" xfId="0" applyAlignment="1" applyFont="1">
      <alignment horizontal="center" readingOrder="0"/>
    </xf>
    <xf borderId="0" fillId="0" fontId="5" numFmtId="10" xfId="0" applyFont="1" applyNumberFormat="1"/>
    <xf borderId="0" fillId="0" fontId="5" numFmtId="0" xfId="0" applyAlignment="1" applyFont="1">
      <alignment readingOrder="0"/>
    </xf>
    <xf borderId="0" fillId="0" fontId="5" numFmtId="14" xfId="0" applyFont="1" applyNumberFormat="1"/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5" numFmtId="0" xfId="0" applyFont="1"/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center" readingOrder="0" vertical="center"/>
    </xf>
    <xf borderId="0" fillId="0" fontId="5" numFmtId="14" xfId="0" applyAlignment="1" applyFont="1" applyNumberForma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24.0"/>
    <col customWidth="1" min="4" max="4" width="6.88"/>
    <col customWidth="1" min="7" max="7" width="38.5"/>
    <col customWidth="1" min="8" max="8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G1" s="3" t="s">
        <v>5</v>
      </c>
      <c r="H1" s="4"/>
    </row>
    <row r="2">
      <c r="A2" s="5" t="s">
        <v>6</v>
      </c>
      <c r="B2" s="6" t="s">
        <v>7</v>
      </c>
      <c r="C2" s="6" t="s">
        <v>8</v>
      </c>
      <c r="D2" s="6">
        <v>17.0</v>
      </c>
      <c r="E2" s="7">
        <v>0.25</v>
      </c>
      <c r="G2" s="8" t="s">
        <v>9</v>
      </c>
      <c r="H2" s="8">
        <v>17.0</v>
      </c>
    </row>
    <row r="3">
      <c r="A3" s="5" t="s">
        <v>10</v>
      </c>
      <c r="B3" s="6" t="s">
        <v>11</v>
      </c>
      <c r="C3" s="6" t="s">
        <v>12</v>
      </c>
      <c r="D3" s="6">
        <v>37.0</v>
      </c>
      <c r="E3" s="7">
        <v>0.25</v>
      </c>
      <c r="G3" s="8" t="s">
        <v>13</v>
      </c>
      <c r="H3" s="8">
        <v>11.0</v>
      </c>
    </row>
    <row r="4">
      <c r="A4" s="5" t="s">
        <v>14</v>
      </c>
      <c r="B4" s="6" t="s">
        <v>15</v>
      </c>
      <c r="C4" s="6" t="s">
        <v>16</v>
      </c>
      <c r="D4" s="6">
        <v>16.0</v>
      </c>
      <c r="E4" s="7">
        <v>0.25</v>
      </c>
    </row>
    <row r="5">
      <c r="A5" s="5" t="s">
        <v>17</v>
      </c>
      <c r="B5" s="6" t="s">
        <v>18</v>
      </c>
      <c r="C5" s="6" t="s">
        <v>19</v>
      </c>
      <c r="D5" s="6">
        <v>27.0</v>
      </c>
      <c r="E5" s="7">
        <v>0.25</v>
      </c>
      <c r="G5" s="9" t="s">
        <v>20</v>
      </c>
      <c r="H5" s="9">
        <v>1.0</v>
      </c>
    </row>
    <row r="6">
      <c r="A6" s="5" t="s">
        <v>21</v>
      </c>
      <c r="B6" s="6" t="s">
        <v>22</v>
      </c>
      <c r="C6" s="6" t="s">
        <v>23</v>
      </c>
      <c r="D6" s="6">
        <v>48.0</v>
      </c>
      <c r="E6" s="7">
        <v>0.25</v>
      </c>
      <c r="G6" s="9" t="s">
        <v>24</v>
      </c>
      <c r="H6" s="9" t="s">
        <v>25</v>
      </c>
    </row>
    <row r="7">
      <c r="A7" s="5" t="s">
        <v>26</v>
      </c>
      <c r="B7" s="6" t="s">
        <v>27</v>
      </c>
      <c r="C7" s="6" t="s">
        <v>28</v>
      </c>
      <c r="D7" s="6">
        <v>8.0</v>
      </c>
      <c r="E7" s="7">
        <v>0.2708333333333333</v>
      </c>
      <c r="G7" s="10" t="s">
        <v>1</v>
      </c>
      <c r="H7" s="10" t="s">
        <v>29</v>
      </c>
    </row>
    <row r="8">
      <c r="A8" s="11" t="s">
        <v>30</v>
      </c>
      <c r="B8" s="6" t="s">
        <v>31</v>
      </c>
      <c r="C8" s="6" t="s">
        <v>32</v>
      </c>
      <c r="D8" s="6">
        <v>33.0</v>
      </c>
      <c r="E8" s="7">
        <v>0.2708333333333333</v>
      </c>
    </row>
    <row r="9">
      <c r="A9" s="11" t="s">
        <v>33</v>
      </c>
      <c r="B9" s="6" t="s">
        <v>34</v>
      </c>
      <c r="C9" s="6" t="s">
        <v>35</v>
      </c>
      <c r="D9" s="6">
        <v>12.0</v>
      </c>
      <c r="E9" s="7">
        <v>0.2708333333333333</v>
      </c>
    </row>
    <row r="10">
      <c r="A10" s="11" t="s">
        <v>36</v>
      </c>
      <c r="B10" s="6" t="s">
        <v>37</v>
      </c>
      <c r="C10" s="6" t="s">
        <v>38</v>
      </c>
      <c r="D10" s="6">
        <v>88.0</v>
      </c>
      <c r="E10" s="7">
        <v>0.2916666666666667</v>
      </c>
    </row>
    <row r="11">
      <c r="A11" s="11" t="s">
        <v>39</v>
      </c>
      <c r="B11" s="6" t="s">
        <v>37</v>
      </c>
      <c r="C11" s="6" t="s">
        <v>38</v>
      </c>
      <c r="D11" s="6">
        <v>89.0</v>
      </c>
      <c r="E11" s="7">
        <v>0.2916666666666667</v>
      </c>
    </row>
    <row r="12">
      <c r="A12" s="11" t="s">
        <v>40</v>
      </c>
      <c r="B12" s="6" t="s">
        <v>41</v>
      </c>
      <c r="C12" s="6" t="s">
        <v>42</v>
      </c>
      <c r="D12" s="6">
        <v>87.0</v>
      </c>
      <c r="E12" s="7">
        <v>0.2916666666666667</v>
      </c>
    </row>
    <row r="13">
      <c r="A13" s="11" t="s">
        <v>43</v>
      </c>
      <c r="B13" s="6" t="s">
        <v>44</v>
      </c>
      <c r="C13" s="6" t="s">
        <v>45</v>
      </c>
      <c r="D13" s="6">
        <v>91.0</v>
      </c>
      <c r="E13" s="7">
        <v>0.2916666666666667</v>
      </c>
    </row>
    <row r="14">
      <c r="A14" s="11" t="s">
        <v>46</v>
      </c>
      <c r="B14" s="6" t="s">
        <v>44</v>
      </c>
      <c r="C14" s="6" t="s">
        <v>45</v>
      </c>
      <c r="D14" s="6">
        <v>42.0</v>
      </c>
      <c r="E14" s="7">
        <v>0.2916666666666667</v>
      </c>
    </row>
    <row r="15">
      <c r="A15" s="11" t="s">
        <v>47</v>
      </c>
      <c r="B15" s="6" t="s">
        <v>48</v>
      </c>
      <c r="C15" s="6" t="s">
        <v>49</v>
      </c>
      <c r="D15" s="6">
        <v>6.0</v>
      </c>
      <c r="E15" s="7">
        <v>0.2916666666666667</v>
      </c>
    </row>
    <row r="16">
      <c r="A16" s="11" t="s">
        <v>50</v>
      </c>
      <c r="B16" s="6" t="s">
        <v>51</v>
      </c>
      <c r="C16" s="6" t="s">
        <v>52</v>
      </c>
      <c r="D16" s="6">
        <v>7.0</v>
      </c>
      <c r="E16" s="7">
        <v>0.2916666666666667</v>
      </c>
    </row>
    <row r="17">
      <c r="A17" s="11" t="s">
        <v>53</v>
      </c>
      <c r="B17" s="6" t="s">
        <v>54</v>
      </c>
      <c r="C17" s="6" t="s">
        <v>55</v>
      </c>
      <c r="D17" s="6">
        <v>26.0</v>
      </c>
      <c r="E17" s="7">
        <v>0.2916666666666667</v>
      </c>
    </row>
    <row r="18">
      <c r="A18" s="11" t="s">
        <v>56</v>
      </c>
      <c r="B18" s="6" t="s">
        <v>57</v>
      </c>
      <c r="C18" s="6" t="s">
        <v>58</v>
      </c>
      <c r="D18" s="6">
        <v>29.0</v>
      </c>
      <c r="E18" s="7">
        <v>0.2916666666666667</v>
      </c>
    </row>
    <row r="19">
      <c r="A19" s="11" t="s">
        <v>59</v>
      </c>
      <c r="B19" s="6" t="s">
        <v>57</v>
      </c>
      <c r="C19" s="6" t="s">
        <v>58</v>
      </c>
      <c r="D19" s="6">
        <v>28.0</v>
      </c>
      <c r="E19" s="7">
        <v>0.2916666666666667</v>
      </c>
    </row>
    <row r="20">
      <c r="A20" s="11" t="s">
        <v>60</v>
      </c>
      <c r="B20" s="6" t="s">
        <v>61</v>
      </c>
      <c r="C20" s="6" t="s">
        <v>62</v>
      </c>
      <c r="D20" s="6">
        <v>18.0</v>
      </c>
      <c r="E20" s="7">
        <v>0.2916666666666667</v>
      </c>
    </row>
    <row r="21">
      <c r="A21" s="11" t="s">
        <v>63</v>
      </c>
      <c r="B21" s="6" t="s">
        <v>61</v>
      </c>
      <c r="C21" s="6" t="s">
        <v>62</v>
      </c>
      <c r="D21" s="6">
        <v>23.0</v>
      </c>
      <c r="E21" s="7">
        <v>0.2916666666666667</v>
      </c>
    </row>
    <row r="22">
      <c r="A22" s="11" t="s">
        <v>64</v>
      </c>
      <c r="B22" s="6" t="s">
        <v>65</v>
      </c>
      <c r="C22" s="6" t="s">
        <v>66</v>
      </c>
      <c r="D22" s="6">
        <v>32.0</v>
      </c>
      <c r="E22" s="7">
        <v>0.2916666666666667</v>
      </c>
    </row>
    <row r="23">
      <c r="A23" s="11" t="s">
        <v>67</v>
      </c>
      <c r="B23" s="6" t="s">
        <v>68</v>
      </c>
      <c r="C23" s="6" t="s">
        <v>69</v>
      </c>
      <c r="D23" s="6">
        <v>7.0</v>
      </c>
      <c r="E23" s="7">
        <v>0.3125</v>
      </c>
    </row>
    <row r="24">
      <c r="A24" s="11" t="s">
        <v>70</v>
      </c>
      <c r="B24" s="6" t="s">
        <v>71</v>
      </c>
      <c r="C24" s="6" t="s">
        <v>72</v>
      </c>
      <c r="D24" s="6" t="s">
        <v>73</v>
      </c>
      <c r="E24" s="7">
        <v>0.3125</v>
      </c>
    </row>
    <row r="25">
      <c r="A25" s="11" t="s">
        <v>74</v>
      </c>
      <c r="B25" s="6" t="s">
        <v>75</v>
      </c>
      <c r="C25" s="6" t="s">
        <v>76</v>
      </c>
      <c r="D25" s="6">
        <v>14.0</v>
      </c>
      <c r="E25" s="7">
        <v>0.3125</v>
      </c>
    </row>
    <row r="26">
      <c r="A26" s="11" t="s">
        <v>77</v>
      </c>
      <c r="B26" s="6" t="s">
        <v>78</v>
      </c>
      <c r="C26" s="6" t="s">
        <v>79</v>
      </c>
      <c r="D26" s="6">
        <v>22.0</v>
      </c>
      <c r="E26" s="7">
        <v>0.3125</v>
      </c>
    </row>
    <row r="27">
      <c r="A27" s="11" t="s">
        <v>80</v>
      </c>
      <c r="B27" s="6" t="s">
        <v>81</v>
      </c>
      <c r="C27" s="6" t="s">
        <v>82</v>
      </c>
      <c r="D27" s="6">
        <v>13.0</v>
      </c>
      <c r="E27" s="7">
        <v>0.3125</v>
      </c>
    </row>
    <row r="28">
      <c r="A28" s="11" t="s">
        <v>83</v>
      </c>
      <c r="B28" s="6" t="s">
        <v>84</v>
      </c>
      <c r="C28" s="6" t="s">
        <v>85</v>
      </c>
      <c r="D28" s="6">
        <v>96.0</v>
      </c>
      <c r="E28" s="7">
        <v>0.3333333333333333</v>
      </c>
    </row>
    <row r="29">
      <c r="A29" s="11" t="s">
        <v>86</v>
      </c>
      <c r="B29" s="6" t="s">
        <v>84</v>
      </c>
      <c r="C29" s="6" t="s">
        <v>85</v>
      </c>
      <c r="D29" s="6">
        <v>97.0</v>
      </c>
      <c r="E29" s="7">
        <v>0.3333333333333333</v>
      </c>
    </row>
    <row r="30">
      <c r="A30" s="11" t="s">
        <v>87</v>
      </c>
      <c r="B30" s="6" t="s">
        <v>88</v>
      </c>
      <c r="C30" s="6" t="s">
        <v>89</v>
      </c>
      <c r="D30" s="6">
        <v>94.0</v>
      </c>
      <c r="E30" s="7">
        <v>0.3333333333333333</v>
      </c>
    </row>
    <row r="31">
      <c r="A31" s="11" t="s">
        <v>90</v>
      </c>
      <c r="B31" s="6" t="s">
        <v>44</v>
      </c>
      <c r="C31" s="6" t="s">
        <v>45</v>
      </c>
      <c r="D31" s="6">
        <v>90.0</v>
      </c>
      <c r="E31" s="7">
        <v>0.4166666666666667</v>
      </c>
    </row>
    <row r="32">
      <c r="A32" s="12" t="s">
        <v>91</v>
      </c>
      <c r="B32" s="6" t="s">
        <v>88</v>
      </c>
      <c r="C32" s="6" t="s">
        <v>89</v>
      </c>
      <c r="D32" s="6">
        <v>49.0</v>
      </c>
      <c r="E32" s="7">
        <v>0.4166666666666667</v>
      </c>
    </row>
    <row r="33">
      <c r="B33" s="13"/>
      <c r="C33" s="13"/>
      <c r="D33" s="13"/>
      <c r="E33" s="14"/>
    </row>
    <row r="34">
      <c r="B34" s="13"/>
      <c r="C34" s="13"/>
      <c r="D34" s="13"/>
      <c r="E34" s="14"/>
    </row>
    <row r="35">
      <c r="B35" s="13"/>
      <c r="C35" s="13"/>
      <c r="D35" s="13"/>
      <c r="E35" s="14"/>
    </row>
    <row r="36">
      <c r="B36" s="13"/>
      <c r="C36" s="13"/>
      <c r="D36" s="13"/>
      <c r="E36" s="14"/>
    </row>
    <row r="37">
      <c r="B37" s="13"/>
      <c r="C37" s="13"/>
      <c r="D37" s="13"/>
      <c r="E37" s="14"/>
    </row>
    <row r="38">
      <c r="B38" s="13"/>
      <c r="C38" s="13"/>
      <c r="D38" s="13"/>
      <c r="E38" s="14"/>
    </row>
    <row r="39">
      <c r="B39" s="13"/>
      <c r="C39" s="13"/>
      <c r="D39" s="13"/>
      <c r="E39" s="14"/>
    </row>
    <row r="40">
      <c r="B40" s="13"/>
      <c r="C40" s="13"/>
      <c r="D40" s="13"/>
      <c r="E40" s="14"/>
    </row>
    <row r="41">
      <c r="B41" s="13"/>
      <c r="C41" s="13"/>
      <c r="D41" s="13"/>
      <c r="E41" s="14"/>
    </row>
    <row r="42">
      <c r="B42" s="13"/>
      <c r="C42" s="13"/>
      <c r="D42" s="13"/>
      <c r="E42" s="14"/>
    </row>
    <row r="43">
      <c r="B43" s="13"/>
      <c r="C43" s="13"/>
      <c r="D43" s="13"/>
      <c r="E43" s="14"/>
    </row>
    <row r="44">
      <c r="B44" s="13"/>
      <c r="C44" s="13"/>
      <c r="D44" s="13"/>
      <c r="E44" s="14"/>
    </row>
    <row r="45">
      <c r="B45" s="13"/>
      <c r="C45" s="13"/>
      <c r="D45" s="13"/>
      <c r="E45" s="14"/>
    </row>
    <row r="46">
      <c r="B46" s="13"/>
      <c r="C46" s="13"/>
      <c r="D46" s="13"/>
      <c r="E46" s="14"/>
    </row>
    <row r="47">
      <c r="B47" s="13"/>
      <c r="C47" s="13"/>
      <c r="D47" s="13"/>
      <c r="E47" s="14"/>
    </row>
    <row r="48">
      <c r="B48" s="13"/>
      <c r="C48" s="13"/>
      <c r="D48" s="13"/>
      <c r="E48" s="14"/>
    </row>
    <row r="49">
      <c r="B49" s="13"/>
      <c r="C49" s="13"/>
      <c r="D49" s="13"/>
      <c r="E49" s="14"/>
    </row>
    <row r="50">
      <c r="B50" s="13"/>
      <c r="C50" s="13"/>
      <c r="D50" s="13"/>
      <c r="E50" s="14"/>
    </row>
    <row r="51">
      <c r="B51" s="13"/>
      <c r="C51" s="13"/>
      <c r="D51" s="13"/>
      <c r="E51" s="14"/>
    </row>
    <row r="52">
      <c r="B52" s="13"/>
      <c r="C52" s="13"/>
      <c r="D52" s="13"/>
      <c r="E52" s="14"/>
    </row>
    <row r="53">
      <c r="B53" s="13"/>
      <c r="C53" s="13"/>
      <c r="D53" s="13"/>
      <c r="E53" s="14"/>
    </row>
    <row r="54">
      <c r="B54" s="13"/>
      <c r="C54" s="13"/>
      <c r="D54" s="13"/>
      <c r="E54" s="14"/>
    </row>
    <row r="55">
      <c r="B55" s="13"/>
      <c r="C55" s="13"/>
      <c r="D55" s="13"/>
      <c r="E55" s="14"/>
    </row>
    <row r="56">
      <c r="B56" s="13"/>
      <c r="C56" s="13"/>
      <c r="D56" s="13"/>
      <c r="E56" s="14"/>
    </row>
    <row r="57">
      <c r="B57" s="13"/>
      <c r="C57" s="13"/>
      <c r="D57" s="13"/>
      <c r="E57" s="14"/>
    </row>
    <row r="58">
      <c r="B58" s="13"/>
      <c r="C58" s="13"/>
      <c r="D58" s="13"/>
      <c r="E58" s="14"/>
    </row>
    <row r="59">
      <c r="B59" s="13"/>
      <c r="C59" s="13"/>
      <c r="D59" s="13"/>
      <c r="E59" s="14"/>
    </row>
    <row r="60">
      <c r="B60" s="13"/>
      <c r="C60" s="13"/>
      <c r="D60" s="13"/>
      <c r="E60" s="14"/>
    </row>
    <row r="61">
      <c r="B61" s="13"/>
      <c r="C61" s="13"/>
      <c r="D61" s="13"/>
      <c r="E61" s="14"/>
    </row>
    <row r="62">
      <c r="B62" s="13"/>
      <c r="C62" s="13"/>
      <c r="D62" s="13"/>
      <c r="E62" s="14"/>
    </row>
    <row r="63">
      <c r="B63" s="13"/>
      <c r="C63" s="13"/>
      <c r="D63" s="13"/>
      <c r="E63" s="14"/>
    </row>
    <row r="64">
      <c r="B64" s="13"/>
      <c r="C64" s="13"/>
      <c r="D64" s="13"/>
      <c r="E64" s="14"/>
    </row>
    <row r="65">
      <c r="B65" s="13"/>
      <c r="C65" s="13"/>
      <c r="D65" s="13"/>
      <c r="E65" s="14"/>
    </row>
    <row r="66">
      <c r="B66" s="13"/>
      <c r="C66" s="13"/>
      <c r="D66" s="13"/>
      <c r="E66" s="14"/>
    </row>
    <row r="67">
      <c r="B67" s="13"/>
      <c r="C67" s="13"/>
      <c r="D67" s="13"/>
      <c r="E67" s="14"/>
    </row>
    <row r="68">
      <c r="B68" s="13"/>
      <c r="C68" s="13"/>
      <c r="D68" s="13"/>
      <c r="E68" s="14"/>
    </row>
    <row r="69">
      <c r="B69" s="13"/>
      <c r="C69" s="13"/>
      <c r="D69" s="13"/>
      <c r="E69" s="14"/>
    </row>
    <row r="70">
      <c r="B70" s="13"/>
      <c r="C70" s="13"/>
      <c r="D70" s="13"/>
      <c r="E70" s="14"/>
    </row>
    <row r="71">
      <c r="B71" s="13"/>
      <c r="C71" s="13"/>
      <c r="D71" s="13"/>
      <c r="E71" s="14"/>
    </row>
    <row r="72">
      <c r="B72" s="13"/>
      <c r="C72" s="13"/>
      <c r="D72" s="13"/>
      <c r="E72" s="14"/>
    </row>
    <row r="73">
      <c r="B73" s="13"/>
      <c r="C73" s="13"/>
      <c r="D73" s="13"/>
      <c r="E73" s="14"/>
    </row>
    <row r="74">
      <c r="B74" s="13"/>
      <c r="C74" s="13"/>
      <c r="D74" s="13"/>
      <c r="E74" s="14"/>
    </row>
    <row r="75">
      <c r="B75" s="13"/>
      <c r="C75" s="13"/>
      <c r="D75" s="13"/>
      <c r="E75" s="14"/>
    </row>
    <row r="76">
      <c r="B76" s="13"/>
      <c r="C76" s="13"/>
      <c r="D76" s="13"/>
      <c r="E76" s="14"/>
    </row>
    <row r="77">
      <c r="B77" s="13"/>
      <c r="C77" s="13"/>
      <c r="D77" s="13"/>
      <c r="E77" s="14"/>
    </row>
    <row r="78">
      <c r="B78" s="13"/>
      <c r="C78" s="13"/>
      <c r="D78" s="13"/>
      <c r="E78" s="14"/>
    </row>
    <row r="79">
      <c r="B79" s="13"/>
      <c r="C79" s="13"/>
      <c r="D79" s="13"/>
      <c r="E79" s="14"/>
    </row>
    <row r="80">
      <c r="B80" s="13"/>
      <c r="C80" s="13"/>
      <c r="D80" s="13"/>
      <c r="E80" s="14"/>
    </row>
    <row r="81">
      <c r="B81" s="13"/>
      <c r="C81" s="13"/>
      <c r="D81" s="13"/>
      <c r="E81" s="14"/>
    </row>
    <row r="82">
      <c r="B82" s="13"/>
      <c r="C82" s="13"/>
      <c r="D82" s="13"/>
      <c r="E82" s="14"/>
    </row>
    <row r="83">
      <c r="B83" s="13"/>
      <c r="C83" s="13"/>
      <c r="D83" s="13"/>
      <c r="E83" s="14"/>
    </row>
    <row r="84">
      <c r="B84" s="13"/>
      <c r="C84" s="13"/>
      <c r="D84" s="13"/>
      <c r="E84" s="14"/>
    </row>
    <row r="85">
      <c r="B85" s="13"/>
      <c r="C85" s="13"/>
      <c r="D85" s="13"/>
      <c r="E85" s="14"/>
    </row>
    <row r="86">
      <c r="B86" s="13"/>
      <c r="C86" s="13"/>
      <c r="D86" s="13"/>
      <c r="E86" s="14"/>
    </row>
    <row r="87">
      <c r="B87" s="13"/>
      <c r="C87" s="13"/>
      <c r="D87" s="13"/>
      <c r="E87" s="14"/>
    </row>
    <row r="88">
      <c r="B88" s="13"/>
      <c r="C88" s="13"/>
      <c r="D88" s="13"/>
      <c r="E88" s="14"/>
    </row>
    <row r="89">
      <c r="B89" s="13"/>
      <c r="C89" s="13"/>
      <c r="D89" s="13"/>
      <c r="E89" s="14"/>
    </row>
    <row r="90">
      <c r="B90" s="13"/>
      <c r="C90" s="13"/>
      <c r="D90" s="13"/>
      <c r="E90" s="14"/>
    </row>
    <row r="91">
      <c r="B91" s="13"/>
      <c r="C91" s="13"/>
      <c r="D91" s="13"/>
      <c r="E91" s="14"/>
    </row>
    <row r="92">
      <c r="B92" s="13"/>
      <c r="C92" s="13"/>
      <c r="D92" s="13"/>
      <c r="E92" s="14"/>
    </row>
    <row r="93">
      <c r="B93" s="13"/>
      <c r="C93" s="13"/>
      <c r="D93" s="13"/>
      <c r="E93" s="14"/>
    </row>
    <row r="94">
      <c r="B94" s="13"/>
      <c r="C94" s="13"/>
      <c r="D94" s="13"/>
      <c r="E94" s="14"/>
    </row>
    <row r="95">
      <c r="B95" s="13"/>
      <c r="C95" s="13"/>
      <c r="D95" s="13"/>
      <c r="E95" s="14"/>
    </row>
    <row r="96">
      <c r="B96" s="13"/>
      <c r="C96" s="13"/>
      <c r="D96" s="13"/>
      <c r="E96" s="14"/>
    </row>
    <row r="97">
      <c r="B97" s="13"/>
      <c r="C97" s="13"/>
      <c r="D97" s="13"/>
      <c r="E97" s="14"/>
    </row>
    <row r="98">
      <c r="B98" s="13"/>
      <c r="C98" s="13"/>
      <c r="D98" s="13"/>
      <c r="E98" s="14"/>
    </row>
    <row r="99">
      <c r="B99" s="13"/>
      <c r="C99" s="13"/>
      <c r="D99" s="13"/>
      <c r="E99" s="14"/>
    </row>
    <row r="100">
      <c r="B100" s="13"/>
      <c r="C100" s="13"/>
      <c r="D100" s="13"/>
      <c r="E100" s="14"/>
    </row>
    <row r="101">
      <c r="B101" s="13"/>
      <c r="C101" s="13"/>
      <c r="D101" s="13"/>
      <c r="E101" s="14"/>
    </row>
    <row r="102">
      <c r="B102" s="13"/>
      <c r="C102" s="13"/>
      <c r="D102" s="13"/>
      <c r="E102" s="14"/>
    </row>
    <row r="103">
      <c r="B103" s="13"/>
      <c r="C103" s="13"/>
      <c r="D103" s="13"/>
      <c r="E103" s="14"/>
    </row>
    <row r="104">
      <c r="B104" s="13"/>
      <c r="C104" s="13"/>
      <c r="D104" s="13"/>
      <c r="E104" s="14"/>
    </row>
    <row r="105">
      <c r="B105" s="13"/>
      <c r="C105" s="13"/>
      <c r="D105" s="13"/>
      <c r="E105" s="14"/>
    </row>
    <row r="106">
      <c r="B106" s="13"/>
      <c r="C106" s="13"/>
      <c r="D106" s="13"/>
      <c r="E106" s="14"/>
    </row>
    <row r="107">
      <c r="B107" s="13"/>
      <c r="C107" s="13"/>
      <c r="D107" s="13"/>
      <c r="E107" s="14"/>
    </row>
    <row r="108">
      <c r="B108" s="13"/>
      <c r="C108" s="13"/>
      <c r="D108" s="13"/>
      <c r="E108" s="14"/>
    </row>
    <row r="109">
      <c r="B109" s="13"/>
      <c r="C109" s="13"/>
      <c r="D109" s="13"/>
      <c r="E109" s="14"/>
    </row>
    <row r="110">
      <c r="B110" s="13"/>
      <c r="C110" s="13"/>
      <c r="D110" s="13"/>
      <c r="E110" s="14"/>
    </row>
    <row r="111">
      <c r="B111" s="13"/>
      <c r="C111" s="13"/>
      <c r="D111" s="13"/>
      <c r="E111" s="14"/>
    </row>
    <row r="112">
      <c r="B112" s="13"/>
      <c r="C112" s="13"/>
      <c r="D112" s="13"/>
      <c r="E112" s="14"/>
    </row>
    <row r="113">
      <c r="B113" s="13"/>
      <c r="C113" s="13"/>
      <c r="D113" s="13"/>
      <c r="E113" s="14"/>
    </row>
    <row r="114">
      <c r="B114" s="13"/>
      <c r="C114" s="13"/>
      <c r="D114" s="13"/>
      <c r="E114" s="14"/>
    </row>
    <row r="115">
      <c r="B115" s="13"/>
      <c r="C115" s="13"/>
      <c r="D115" s="13"/>
      <c r="E115" s="14"/>
    </row>
    <row r="116">
      <c r="B116" s="13"/>
      <c r="C116" s="13"/>
      <c r="D116" s="13"/>
      <c r="E116" s="14"/>
    </row>
    <row r="117">
      <c r="B117" s="13"/>
      <c r="C117" s="13"/>
      <c r="D117" s="13"/>
      <c r="E117" s="14"/>
    </row>
    <row r="118">
      <c r="B118" s="13"/>
      <c r="C118" s="13"/>
      <c r="D118" s="13"/>
      <c r="E118" s="14"/>
    </row>
    <row r="119">
      <c r="B119" s="13"/>
      <c r="C119" s="13"/>
      <c r="D119" s="13"/>
      <c r="E119" s="14"/>
    </row>
    <row r="120">
      <c r="B120" s="13"/>
      <c r="C120" s="13"/>
      <c r="D120" s="13"/>
      <c r="E120" s="14"/>
    </row>
    <row r="121">
      <c r="B121" s="13"/>
      <c r="C121" s="13"/>
      <c r="D121" s="13"/>
      <c r="E121" s="14"/>
    </row>
    <row r="122">
      <c r="B122" s="13"/>
      <c r="C122" s="13"/>
      <c r="D122" s="13"/>
      <c r="E122" s="14"/>
    </row>
    <row r="123">
      <c r="B123" s="13"/>
      <c r="C123" s="13"/>
      <c r="D123" s="13"/>
      <c r="E123" s="14"/>
    </row>
    <row r="124">
      <c r="B124" s="13"/>
      <c r="C124" s="13"/>
      <c r="D124" s="13"/>
      <c r="E124" s="14"/>
    </row>
    <row r="125">
      <c r="B125" s="13"/>
      <c r="C125" s="13"/>
      <c r="D125" s="13"/>
      <c r="E125" s="14"/>
    </row>
    <row r="126">
      <c r="B126" s="13"/>
      <c r="C126" s="13"/>
      <c r="D126" s="13"/>
      <c r="E126" s="14"/>
    </row>
    <row r="127">
      <c r="B127" s="13"/>
      <c r="C127" s="13"/>
      <c r="D127" s="13"/>
      <c r="E127" s="14"/>
    </row>
    <row r="128">
      <c r="B128" s="13"/>
      <c r="C128" s="13"/>
      <c r="D128" s="13"/>
      <c r="E128" s="14"/>
    </row>
    <row r="129">
      <c r="B129" s="13"/>
      <c r="C129" s="13"/>
      <c r="D129" s="13"/>
      <c r="E129" s="14"/>
    </row>
    <row r="130">
      <c r="B130" s="13"/>
      <c r="C130" s="13"/>
      <c r="D130" s="13"/>
      <c r="E130" s="14"/>
    </row>
    <row r="131">
      <c r="B131" s="13"/>
      <c r="C131" s="13"/>
      <c r="D131" s="13"/>
      <c r="E131" s="14"/>
    </row>
    <row r="132">
      <c r="B132" s="13"/>
      <c r="C132" s="13"/>
      <c r="D132" s="13"/>
      <c r="E132" s="14"/>
    </row>
    <row r="133">
      <c r="B133" s="13"/>
      <c r="C133" s="13"/>
      <c r="D133" s="13"/>
      <c r="E133" s="14"/>
    </row>
    <row r="134">
      <c r="B134" s="13"/>
      <c r="C134" s="13"/>
      <c r="D134" s="13"/>
      <c r="E134" s="14"/>
    </row>
    <row r="135">
      <c r="B135" s="13"/>
      <c r="C135" s="13"/>
      <c r="D135" s="13"/>
      <c r="E135" s="14"/>
    </row>
    <row r="136">
      <c r="B136" s="13"/>
      <c r="C136" s="13"/>
      <c r="D136" s="13"/>
      <c r="E136" s="14"/>
    </row>
    <row r="137">
      <c r="B137" s="13"/>
      <c r="C137" s="13"/>
      <c r="D137" s="13"/>
      <c r="E137" s="14"/>
    </row>
    <row r="138">
      <c r="B138" s="13"/>
      <c r="C138" s="13"/>
      <c r="D138" s="13"/>
      <c r="E138" s="14"/>
    </row>
    <row r="139">
      <c r="B139" s="13"/>
      <c r="C139" s="13"/>
      <c r="D139" s="13"/>
      <c r="E139" s="14"/>
    </row>
    <row r="140">
      <c r="B140" s="13"/>
      <c r="C140" s="13"/>
      <c r="D140" s="13"/>
      <c r="E140" s="14"/>
    </row>
    <row r="141">
      <c r="B141" s="13"/>
      <c r="C141" s="13"/>
      <c r="D141" s="13"/>
      <c r="E141" s="14"/>
    </row>
    <row r="142">
      <c r="B142" s="13"/>
      <c r="C142" s="13"/>
      <c r="D142" s="13"/>
      <c r="E142" s="14"/>
    </row>
    <row r="143">
      <c r="B143" s="13"/>
      <c r="C143" s="13"/>
      <c r="D143" s="13"/>
      <c r="E143" s="14"/>
    </row>
    <row r="144">
      <c r="B144" s="13"/>
      <c r="C144" s="13"/>
      <c r="D144" s="13"/>
      <c r="E144" s="14"/>
    </row>
    <row r="145">
      <c r="B145" s="13"/>
      <c r="C145" s="13"/>
      <c r="D145" s="13"/>
      <c r="E145" s="14"/>
    </row>
    <row r="146">
      <c r="B146" s="13"/>
      <c r="C146" s="13"/>
      <c r="D146" s="13"/>
      <c r="E146" s="14"/>
    </row>
    <row r="147">
      <c r="B147" s="13"/>
      <c r="C147" s="13"/>
      <c r="D147" s="13"/>
      <c r="E147" s="14"/>
    </row>
    <row r="148">
      <c r="B148" s="13"/>
      <c r="C148" s="13"/>
      <c r="D148" s="13"/>
      <c r="E148" s="14"/>
    </row>
    <row r="149">
      <c r="B149" s="13"/>
      <c r="C149" s="13"/>
      <c r="D149" s="13"/>
      <c r="E149" s="14"/>
    </row>
    <row r="150">
      <c r="B150" s="13"/>
      <c r="C150" s="13"/>
      <c r="D150" s="13"/>
      <c r="E150" s="14"/>
    </row>
    <row r="151">
      <c r="B151" s="13"/>
      <c r="C151" s="13"/>
      <c r="D151" s="13"/>
      <c r="E151" s="14"/>
    </row>
    <row r="152">
      <c r="B152" s="13"/>
      <c r="C152" s="13"/>
      <c r="D152" s="13"/>
      <c r="E152" s="14"/>
    </row>
    <row r="153">
      <c r="B153" s="13"/>
      <c r="C153" s="13"/>
      <c r="D153" s="13"/>
      <c r="E153" s="14"/>
    </row>
    <row r="154">
      <c r="B154" s="13"/>
      <c r="C154" s="13"/>
      <c r="D154" s="13"/>
      <c r="E154" s="14"/>
    </row>
    <row r="155">
      <c r="B155" s="13"/>
      <c r="C155" s="13"/>
      <c r="D155" s="13"/>
      <c r="E155" s="14"/>
    </row>
    <row r="156">
      <c r="B156" s="13"/>
      <c r="C156" s="13"/>
      <c r="D156" s="13"/>
      <c r="E156" s="14"/>
    </row>
    <row r="157">
      <c r="B157" s="13"/>
      <c r="C157" s="13"/>
      <c r="D157" s="13"/>
      <c r="E157" s="14"/>
    </row>
    <row r="158">
      <c r="B158" s="13"/>
      <c r="C158" s="13"/>
      <c r="D158" s="13"/>
      <c r="E158" s="14"/>
    </row>
    <row r="159">
      <c r="B159" s="13"/>
      <c r="C159" s="13"/>
      <c r="D159" s="13"/>
      <c r="E159" s="14"/>
    </row>
    <row r="160">
      <c r="B160" s="13"/>
      <c r="C160" s="13"/>
      <c r="D160" s="13"/>
      <c r="E160" s="14"/>
    </row>
    <row r="161">
      <c r="B161" s="13"/>
      <c r="C161" s="13"/>
      <c r="D161" s="13"/>
      <c r="E161" s="14"/>
    </row>
    <row r="162">
      <c r="B162" s="13"/>
      <c r="C162" s="13"/>
      <c r="D162" s="13"/>
      <c r="E162" s="14"/>
    </row>
    <row r="163">
      <c r="B163" s="13"/>
      <c r="C163" s="13"/>
      <c r="D163" s="13"/>
      <c r="E163" s="14"/>
    </row>
    <row r="164">
      <c r="B164" s="13"/>
      <c r="C164" s="13"/>
      <c r="D164" s="13"/>
      <c r="E164" s="14"/>
    </row>
    <row r="165">
      <c r="B165" s="13"/>
      <c r="C165" s="13"/>
      <c r="D165" s="13"/>
      <c r="E165" s="14"/>
    </row>
    <row r="166">
      <c r="B166" s="13"/>
      <c r="C166" s="13"/>
      <c r="D166" s="13"/>
      <c r="E166" s="14"/>
    </row>
    <row r="167">
      <c r="B167" s="13"/>
      <c r="C167" s="13"/>
      <c r="D167" s="13"/>
      <c r="E167" s="14"/>
    </row>
    <row r="168">
      <c r="B168" s="13"/>
      <c r="C168" s="13"/>
      <c r="D168" s="13"/>
      <c r="E168" s="14"/>
    </row>
    <row r="169">
      <c r="B169" s="13"/>
      <c r="C169" s="13"/>
      <c r="D169" s="13"/>
      <c r="E169" s="14"/>
    </row>
    <row r="170">
      <c r="B170" s="13"/>
      <c r="C170" s="13"/>
      <c r="D170" s="13"/>
      <c r="E170" s="14"/>
    </row>
    <row r="171">
      <c r="B171" s="13"/>
      <c r="C171" s="13"/>
      <c r="D171" s="13"/>
      <c r="E171" s="14"/>
    </row>
    <row r="172">
      <c r="B172" s="13"/>
      <c r="C172" s="13"/>
      <c r="D172" s="13"/>
      <c r="E172" s="14"/>
    </row>
    <row r="173">
      <c r="B173" s="13"/>
      <c r="C173" s="13"/>
      <c r="D173" s="13"/>
      <c r="E173" s="14"/>
    </row>
    <row r="174">
      <c r="B174" s="13"/>
      <c r="C174" s="13"/>
      <c r="D174" s="13"/>
      <c r="E174" s="14"/>
    </row>
    <row r="175">
      <c r="B175" s="13"/>
      <c r="C175" s="13"/>
      <c r="D175" s="13"/>
      <c r="E175" s="14"/>
    </row>
    <row r="176">
      <c r="B176" s="13"/>
      <c r="C176" s="13"/>
      <c r="D176" s="13"/>
      <c r="E176" s="14"/>
    </row>
    <row r="177">
      <c r="B177" s="13"/>
      <c r="C177" s="13"/>
      <c r="D177" s="13"/>
      <c r="E177" s="14"/>
    </row>
    <row r="178">
      <c r="B178" s="13"/>
      <c r="C178" s="13"/>
      <c r="D178" s="13"/>
      <c r="E178" s="14"/>
    </row>
    <row r="179">
      <c r="B179" s="13"/>
      <c r="C179" s="13"/>
      <c r="D179" s="13"/>
      <c r="E179" s="14"/>
    </row>
    <row r="180">
      <c r="B180" s="13"/>
      <c r="C180" s="13"/>
      <c r="D180" s="13"/>
      <c r="E180" s="14"/>
    </row>
    <row r="181">
      <c r="B181" s="13"/>
      <c r="C181" s="13"/>
      <c r="D181" s="13"/>
      <c r="E181" s="14"/>
    </row>
    <row r="182">
      <c r="B182" s="13"/>
      <c r="C182" s="13"/>
      <c r="D182" s="13"/>
      <c r="E182" s="14"/>
    </row>
    <row r="183">
      <c r="B183" s="13"/>
      <c r="C183" s="13"/>
      <c r="D183" s="13"/>
      <c r="E183" s="14"/>
    </row>
    <row r="184">
      <c r="B184" s="13"/>
      <c r="C184" s="13"/>
      <c r="D184" s="13"/>
      <c r="E184" s="14"/>
    </row>
    <row r="185">
      <c r="B185" s="13"/>
      <c r="C185" s="13"/>
      <c r="D185" s="13"/>
      <c r="E185" s="14"/>
    </row>
    <row r="186">
      <c r="B186" s="13"/>
      <c r="C186" s="13"/>
      <c r="D186" s="13"/>
      <c r="E186" s="14"/>
    </row>
    <row r="187">
      <c r="B187" s="13"/>
      <c r="C187" s="13"/>
      <c r="D187" s="13"/>
      <c r="E187" s="14"/>
    </row>
    <row r="188">
      <c r="B188" s="13"/>
      <c r="C188" s="13"/>
      <c r="D188" s="13"/>
      <c r="E188" s="14"/>
    </row>
    <row r="189">
      <c r="B189" s="13"/>
      <c r="C189" s="13"/>
      <c r="D189" s="13"/>
      <c r="E189" s="14"/>
    </row>
    <row r="190">
      <c r="B190" s="13"/>
      <c r="C190" s="13"/>
      <c r="D190" s="13"/>
      <c r="E190" s="14"/>
    </row>
    <row r="191">
      <c r="B191" s="13"/>
      <c r="C191" s="13"/>
      <c r="D191" s="13"/>
      <c r="E191" s="14"/>
    </row>
    <row r="192">
      <c r="B192" s="13"/>
      <c r="C192" s="13"/>
      <c r="D192" s="13"/>
      <c r="E192" s="14"/>
    </row>
    <row r="193">
      <c r="B193" s="13"/>
      <c r="C193" s="13"/>
      <c r="D193" s="13"/>
      <c r="E193" s="14"/>
    </row>
    <row r="194">
      <c r="B194" s="13"/>
      <c r="C194" s="13"/>
      <c r="D194" s="13"/>
      <c r="E194" s="14"/>
    </row>
    <row r="195">
      <c r="B195" s="13"/>
      <c r="C195" s="13"/>
      <c r="D195" s="13"/>
      <c r="E195" s="14"/>
    </row>
    <row r="196">
      <c r="B196" s="13"/>
      <c r="C196" s="13"/>
      <c r="D196" s="13"/>
      <c r="E196" s="14"/>
    </row>
    <row r="197">
      <c r="B197" s="13"/>
      <c r="C197" s="13"/>
      <c r="D197" s="13"/>
      <c r="E197" s="14"/>
    </row>
    <row r="198">
      <c r="B198" s="13"/>
      <c r="C198" s="13"/>
      <c r="D198" s="13"/>
      <c r="E198" s="14"/>
    </row>
    <row r="199">
      <c r="B199" s="13"/>
      <c r="C199" s="13"/>
      <c r="D199" s="13"/>
      <c r="E199" s="14"/>
    </row>
    <row r="200">
      <c r="B200" s="13"/>
      <c r="C200" s="13"/>
      <c r="D200" s="13"/>
      <c r="E200" s="14"/>
    </row>
    <row r="201">
      <c r="B201" s="13"/>
      <c r="C201" s="13"/>
      <c r="D201" s="13"/>
      <c r="E201" s="14"/>
    </row>
    <row r="202">
      <c r="B202" s="13"/>
      <c r="C202" s="13"/>
      <c r="D202" s="13"/>
      <c r="E202" s="14"/>
    </row>
    <row r="203">
      <c r="B203" s="13"/>
      <c r="C203" s="13"/>
      <c r="D203" s="13"/>
      <c r="E203" s="14"/>
    </row>
    <row r="204">
      <c r="B204" s="13"/>
      <c r="C204" s="13"/>
      <c r="D204" s="13"/>
      <c r="E204" s="14"/>
    </row>
    <row r="205">
      <c r="B205" s="13"/>
      <c r="C205" s="13"/>
      <c r="D205" s="13"/>
      <c r="E205" s="14"/>
    </row>
    <row r="206">
      <c r="B206" s="13"/>
      <c r="C206" s="13"/>
      <c r="D206" s="13"/>
      <c r="E206" s="14"/>
    </row>
    <row r="207">
      <c r="B207" s="13"/>
      <c r="C207" s="13"/>
      <c r="D207" s="13"/>
      <c r="E207" s="14"/>
    </row>
    <row r="208">
      <c r="B208" s="13"/>
      <c r="C208" s="13"/>
      <c r="D208" s="13"/>
      <c r="E208" s="14"/>
    </row>
    <row r="209">
      <c r="B209" s="13"/>
      <c r="C209" s="13"/>
      <c r="D209" s="13"/>
      <c r="E209" s="14"/>
    </row>
    <row r="210">
      <c r="B210" s="13"/>
      <c r="C210" s="13"/>
      <c r="D210" s="13"/>
      <c r="E210" s="14"/>
    </row>
    <row r="211">
      <c r="B211" s="13"/>
      <c r="C211" s="13"/>
      <c r="D211" s="13"/>
      <c r="E211" s="14"/>
    </row>
    <row r="212">
      <c r="B212" s="13"/>
      <c r="C212" s="13"/>
      <c r="D212" s="13"/>
      <c r="E212" s="14"/>
    </row>
    <row r="213">
      <c r="B213" s="13"/>
      <c r="C213" s="13"/>
      <c r="D213" s="13"/>
      <c r="E213" s="14"/>
    </row>
    <row r="214">
      <c r="B214" s="13"/>
      <c r="C214" s="13"/>
      <c r="D214" s="13"/>
      <c r="E214" s="14"/>
    </row>
    <row r="215">
      <c r="B215" s="13"/>
      <c r="C215" s="13"/>
      <c r="D215" s="13"/>
      <c r="E215" s="14"/>
    </row>
    <row r="216">
      <c r="B216" s="13"/>
      <c r="C216" s="13"/>
      <c r="D216" s="13"/>
      <c r="E216" s="14"/>
    </row>
    <row r="217">
      <c r="B217" s="13"/>
      <c r="C217" s="13"/>
      <c r="D217" s="13"/>
      <c r="E217" s="14"/>
    </row>
    <row r="218">
      <c r="B218" s="13"/>
      <c r="C218" s="13"/>
      <c r="D218" s="13"/>
      <c r="E218" s="14"/>
    </row>
    <row r="219">
      <c r="B219" s="13"/>
      <c r="C219" s="13"/>
      <c r="D219" s="13"/>
      <c r="E219" s="14"/>
    </row>
    <row r="220">
      <c r="B220" s="13"/>
      <c r="C220" s="13"/>
      <c r="D220" s="13"/>
      <c r="E220" s="14"/>
    </row>
    <row r="221">
      <c r="B221" s="13"/>
      <c r="C221" s="13"/>
      <c r="D221" s="13"/>
      <c r="E221" s="14"/>
    </row>
    <row r="222">
      <c r="B222" s="13"/>
      <c r="C222" s="13"/>
      <c r="D222" s="13"/>
      <c r="E222" s="14"/>
    </row>
    <row r="223">
      <c r="B223" s="13"/>
      <c r="C223" s="13"/>
      <c r="D223" s="13"/>
      <c r="E223" s="14"/>
    </row>
    <row r="224">
      <c r="B224" s="13"/>
      <c r="C224" s="13"/>
      <c r="D224" s="13"/>
      <c r="E224" s="14"/>
    </row>
    <row r="225">
      <c r="B225" s="13"/>
      <c r="C225" s="13"/>
      <c r="D225" s="13"/>
      <c r="E225" s="14"/>
    </row>
    <row r="226">
      <c r="B226" s="13"/>
      <c r="C226" s="13"/>
      <c r="D226" s="13"/>
      <c r="E226" s="14"/>
    </row>
    <row r="227">
      <c r="B227" s="13"/>
      <c r="C227" s="13"/>
      <c r="D227" s="13"/>
      <c r="E227" s="14"/>
    </row>
    <row r="228">
      <c r="B228" s="13"/>
      <c r="C228" s="13"/>
      <c r="D228" s="13"/>
      <c r="E228" s="14"/>
    </row>
    <row r="229">
      <c r="B229" s="13"/>
      <c r="C229" s="13"/>
      <c r="D229" s="13"/>
      <c r="E229" s="14"/>
    </row>
    <row r="230">
      <c r="B230" s="13"/>
      <c r="C230" s="13"/>
      <c r="D230" s="13"/>
      <c r="E230" s="14"/>
    </row>
    <row r="231">
      <c r="B231" s="13"/>
      <c r="C231" s="13"/>
      <c r="D231" s="13"/>
      <c r="E231" s="14"/>
    </row>
    <row r="232">
      <c r="B232" s="13"/>
      <c r="C232" s="13"/>
      <c r="D232" s="13"/>
      <c r="E232" s="14"/>
    </row>
    <row r="233">
      <c r="B233" s="13"/>
      <c r="C233" s="13"/>
      <c r="D233" s="13"/>
      <c r="E233" s="14"/>
    </row>
    <row r="234">
      <c r="B234" s="13"/>
      <c r="C234" s="13"/>
      <c r="D234" s="13"/>
      <c r="E234" s="14"/>
    </row>
    <row r="235">
      <c r="B235" s="13"/>
      <c r="C235" s="13"/>
      <c r="D235" s="13"/>
      <c r="E235" s="14"/>
    </row>
    <row r="236">
      <c r="B236" s="13"/>
      <c r="C236" s="13"/>
      <c r="D236" s="13"/>
      <c r="E236" s="14"/>
    </row>
    <row r="237">
      <c r="B237" s="13"/>
      <c r="C237" s="13"/>
      <c r="D237" s="13"/>
      <c r="E237" s="14"/>
    </row>
    <row r="238">
      <c r="B238" s="13"/>
      <c r="C238" s="13"/>
      <c r="D238" s="13"/>
      <c r="E238" s="14"/>
    </row>
    <row r="239">
      <c r="B239" s="13"/>
      <c r="C239" s="13"/>
      <c r="D239" s="13"/>
      <c r="E239" s="14"/>
    </row>
    <row r="240">
      <c r="B240" s="13"/>
      <c r="C240" s="13"/>
      <c r="D240" s="13"/>
      <c r="E240" s="14"/>
    </row>
    <row r="241">
      <c r="B241" s="13"/>
      <c r="C241" s="13"/>
      <c r="D241" s="13"/>
      <c r="E241" s="14"/>
    </row>
    <row r="242">
      <c r="B242" s="13"/>
      <c r="C242" s="13"/>
      <c r="D242" s="13"/>
      <c r="E242" s="14"/>
    </row>
    <row r="243">
      <c r="B243" s="13"/>
      <c r="C243" s="13"/>
      <c r="D243" s="13"/>
      <c r="E243" s="14"/>
    </row>
    <row r="244">
      <c r="B244" s="13"/>
      <c r="C244" s="13"/>
      <c r="D244" s="13"/>
      <c r="E244" s="14"/>
    </row>
    <row r="245">
      <c r="B245" s="13"/>
      <c r="C245" s="13"/>
      <c r="D245" s="13"/>
      <c r="E245" s="14"/>
    </row>
    <row r="246">
      <c r="B246" s="13"/>
      <c r="C246" s="13"/>
      <c r="D246" s="13"/>
      <c r="E246" s="14"/>
    </row>
    <row r="247">
      <c r="B247" s="13"/>
      <c r="C247" s="13"/>
      <c r="D247" s="13"/>
      <c r="E247" s="14"/>
    </row>
    <row r="248">
      <c r="B248" s="13"/>
      <c r="C248" s="13"/>
      <c r="D248" s="13"/>
      <c r="E248" s="14"/>
    </row>
    <row r="249">
      <c r="B249" s="13"/>
      <c r="C249" s="13"/>
      <c r="D249" s="13"/>
      <c r="E249" s="14"/>
    </row>
    <row r="250">
      <c r="B250" s="13"/>
      <c r="C250" s="13"/>
      <c r="D250" s="13"/>
      <c r="E250" s="14"/>
    </row>
    <row r="251">
      <c r="B251" s="13"/>
      <c r="C251" s="13"/>
      <c r="D251" s="13"/>
      <c r="E251" s="14"/>
    </row>
    <row r="252">
      <c r="B252" s="13"/>
      <c r="C252" s="13"/>
      <c r="D252" s="13"/>
      <c r="E252" s="14"/>
    </row>
    <row r="253">
      <c r="B253" s="13"/>
      <c r="C253" s="13"/>
      <c r="D253" s="13"/>
      <c r="E253" s="14"/>
    </row>
    <row r="254">
      <c r="B254" s="13"/>
      <c r="C254" s="13"/>
      <c r="D254" s="13"/>
      <c r="E254" s="14"/>
    </row>
    <row r="255">
      <c r="B255" s="13"/>
      <c r="C255" s="13"/>
      <c r="D255" s="13"/>
      <c r="E255" s="14"/>
    </row>
    <row r="256">
      <c r="B256" s="13"/>
      <c r="C256" s="13"/>
      <c r="D256" s="13"/>
      <c r="E256" s="14"/>
    </row>
    <row r="257">
      <c r="B257" s="13"/>
      <c r="C257" s="13"/>
      <c r="D257" s="13"/>
      <c r="E257" s="14"/>
    </row>
    <row r="258">
      <c r="B258" s="13"/>
      <c r="C258" s="13"/>
      <c r="D258" s="13"/>
      <c r="E258" s="14"/>
    </row>
    <row r="259">
      <c r="B259" s="13"/>
      <c r="C259" s="13"/>
      <c r="D259" s="13"/>
      <c r="E259" s="14"/>
    </row>
    <row r="260">
      <c r="B260" s="13"/>
      <c r="C260" s="13"/>
      <c r="D260" s="13"/>
      <c r="E260" s="14"/>
    </row>
    <row r="261">
      <c r="B261" s="13"/>
      <c r="C261" s="13"/>
      <c r="D261" s="13"/>
      <c r="E261" s="14"/>
    </row>
    <row r="262">
      <c r="B262" s="13"/>
      <c r="C262" s="13"/>
      <c r="D262" s="13"/>
      <c r="E262" s="14"/>
    </row>
    <row r="263">
      <c r="B263" s="13"/>
      <c r="C263" s="13"/>
      <c r="D263" s="13"/>
      <c r="E263" s="14"/>
    </row>
    <row r="264">
      <c r="B264" s="13"/>
      <c r="C264" s="13"/>
      <c r="D264" s="13"/>
      <c r="E264" s="14"/>
    </row>
    <row r="265">
      <c r="B265" s="13"/>
      <c r="C265" s="13"/>
      <c r="D265" s="13"/>
      <c r="E265" s="14"/>
    </row>
    <row r="266">
      <c r="B266" s="13"/>
      <c r="C266" s="13"/>
      <c r="D266" s="13"/>
      <c r="E266" s="14"/>
    </row>
    <row r="267">
      <c r="B267" s="13"/>
      <c r="C267" s="13"/>
      <c r="D267" s="13"/>
      <c r="E267" s="14"/>
    </row>
    <row r="268">
      <c r="B268" s="13"/>
      <c r="C268" s="13"/>
      <c r="D268" s="13"/>
      <c r="E268" s="14"/>
    </row>
    <row r="269">
      <c r="B269" s="13"/>
      <c r="C269" s="13"/>
      <c r="D269" s="13"/>
      <c r="E269" s="14"/>
    </row>
    <row r="270">
      <c r="B270" s="13"/>
      <c r="C270" s="13"/>
      <c r="D270" s="13"/>
      <c r="E270" s="14"/>
    </row>
    <row r="271">
      <c r="B271" s="13"/>
      <c r="C271" s="13"/>
      <c r="D271" s="13"/>
      <c r="E271" s="14"/>
    </row>
    <row r="272">
      <c r="B272" s="13"/>
      <c r="C272" s="13"/>
      <c r="D272" s="13"/>
      <c r="E272" s="14"/>
    </row>
    <row r="273">
      <c r="B273" s="13"/>
      <c r="C273" s="13"/>
      <c r="D273" s="13"/>
      <c r="E273" s="14"/>
    </row>
    <row r="274">
      <c r="B274" s="13"/>
      <c r="C274" s="13"/>
      <c r="D274" s="13"/>
      <c r="E274" s="14"/>
    </row>
    <row r="275">
      <c r="B275" s="13"/>
      <c r="C275" s="13"/>
      <c r="D275" s="13"/>
      <c r="E275" s="14"/>
    </row>
    <row r="276">
      <c r="B276" s="13"/>
      <c r="C276" s="13"/>
      <c r="D276" s="13"/>
      <c r="E276" s="14"/>
    </row>
    <row r="277">
      <c r="B277" s="13"/>
      <c r="C277" s="13"/>
      <c r="D277" s="13"/>
      <c r="E277" s="14"/>
    </row>
    <row r="278">
      <c r="B278" s="13"/>
      <c r="C278" s="13"/>
      <c r="D278" s="13"/>
      <c r="E278" s="14"/>
    </row>
    <row r="279">
      <c r="B279" s="13"/>
      <c r="C279" s="13"/>
      <c r="D279" s="13"/>
      <c r="E279" s="14"/>
    </row>
    <row r="280">
      <c r="B280" s="13"/>
      <c r="C280" s="13"/>
      <c r="D280" s="13"/>
      <c r="E280" s="14"/>
    </row>
    <row r="281">
      <c r="B281" s="13"/>
      <c r="C281" s="13"/>
      <c r="D281" s="13"/>
      <c r="E281" s="14"/>
    </row>
    <row r="282">
      <c r="B282" s="13"/>
      <c r="C282" s="13"/>
      <c r="D282" s="13"/>
      <c r="E282" s="14"/>
    </row>
    <row r="283">
      <c r="B283" s="13"/>
      <c r="C283" s="13"/>
      <c r="D283" s="13"/>
      <c r="E283" s="14"/>
    </row>
    <row r="284">
      <c r="B284" s="13"/>
      <c r="C284" s="13"/>
      <c r="D284" s="13"/>
      <c r="E284" s="14"/>
    </row>
    <row r="285">
      <c r="B285" s="13"/>
      <c r="C285" s="13"/>
      <c r="D285" s="13"/>
      <c r="E285" s="14"/>
    </row>
    <row r="286">
      <c r="B286" s="13"/>
      <c r="C286" s="13"/>
      <c r="D286" s="13"/>
      <c r="E286" s="14"/>
    </row>
    <row r="287">
      <c r="B287" s="13"/>
      <c r="C287" s="13"/>
      <c r="D287" s="13"/>
      <c r="E287" s="14"/>
    </row>
    <row r="288">
      <c r="B288" s="13"/>
      <c r="C288" s="13"/>
      <c r="D288" s="13"/>
      <c r="E288" s="14"/>
    </row>
    <row r="289">
      <c r="B289" s="13"/>
      <c r="C289" s="13"/>
      <c r="D289" s="13"/>
      <c r="E289" s="14"/>
    </row>
    <row r="290">
      <c r="B290" s="13"/>
      <c r="C290" s="13"/>
      <c r="D290" s="13"/>
      <c r="E290" s="14"/>
    </row>
    <row r="291">
      <c r="B291" s="13"/>
      <c r="C291" s="13"/>
      <c r="D291" s="13"/>
      <c r="E291" s="14"/>
    </row>
    <row r="292">
      <c r="B292" s="13"/>
      <c r="C292" s="13"/>
      <c r="D292" s="13"/>
      <c r="E292" s="14"/>
    </row>
    <row r="293">
      <c r="B293" s="13"/>
      <c r="C293" s="13"/>
      <c r="D293" s="13"/>
      <c r="E293" s="14"/>
    </row>
    <row r="294">
      <c r="B294" s="13"/>
      <c r="C294" s="13"/>
      <c r="D294" s="13"/>
      <c r="E294" s="14"/>
    </row>
    <row r="295">
      <c r="B295" s="13"/>
      <c r="C295" s="13"/>
      <c r="D295" s="13"/>
      <c r="E295" s="14"/>
    </row>
    <row r="296">
      <c r="B296" s="13"/>
      <c r="C296" s="13"/>
      <c r="D296" s="13"/>
      <c r="E296" s="14"/>
    </row>
    <row r="297">
      <c r="B297" s="13"/>
      <c r="C297" s="13"/>
      <c r="D297" s="13"/>
      <c r="E297" s="14"/>
    </row>
    <row r="298">
      <c r="B298" s="13"/>
      <c r="C298" s="13"/>
      <c r="D298" s="13"/>
      <c r="E298" s="14"/>
    </row>
    <row r="299">
      <c r="B299" s="13"/>
      <c r="C299" s="13"/>
      <c r="D299" s="13"/>
      <c r="E299" s="14"/>
    </row>
    <row r="300">
      <c r="B300" s="13"/>
      <c r="C300" s="13"/>
      <c r="D300" s="13"/>
      <c r="E300" s="14"/>
    </row>
    <row r="301">
      <c r="B301" s="13"/>
      <c r="C301" s="13"/>
      <c r="D301" s="13"/>
      <c r="E301" s="14"/>
    </row>
    <row r="302">
      <c r="B302" s="13"/>
      <c r="C302" s="13"/>
      <c r="D302" s="13"/>
      <c r="E302" s="14"/>
    </row>
    <row r="303">
      <c r="B303" s="13"/>
      <c r="C303" s="13"/>
      <c r="D303" s="13"/>
      <c r="E303" s="14"/>
    </row>
    <row r="304">
      <c r="B304" s="13"/>
      <c r="C304" s="13"/>
      <c r="D304" s="13"/>
      <c r="E304" s="14"/>
    </row>
    <row r="305">
      <c r="B305" s="13"/>
      <c r="C305" s="13"/>
      <c r="D305" s="13"/>
      <c r="E305" s="14"/>
    </row>
    <row r="306">
      <c r="B306" s="13"/>
      <c r="C306" s="13"/>
      <c r="D306" s="13"/>
      <c r="E306" s="14"/>
    </row>
    <row r="307">
      <c r="B307" s="13"/>
      <c r="C307" s="13"/>
      <c r="D307" s="13"/>
      <c r="E307" s="14"/>
    </row>
    <row r="308">
      <c r="B308" s="13"/>
      <c r="C308" s="13"/>
      <c r="D308" s="13"/>
      <c r="E308" s="14"/>
    </row>
    <row r="309">
      <c r="B309" s="13"/>
      <c r="C309" s="13"/>
      <c r="D309" s="13"/>
      <c r="E309" s="14"/>
    </row>
    <row r="310">
      <c r="B310" s="13"/>
      <c r="C310" s="13"/>
      <c r="D310" s="13"/>
      <c r="E310" s="14"/>
    </row>
    <row r="311">
      <c r="B311" s="13"/>
      <c r="C311" s="13"/>
      <c r="D311" s="13"/>
      <c r="E311" s="14"/>
    </row>
    <row r="312">
      <c r="B312" s="13"/>
      <c r="C312" s="13"/>
      <c r="D312" s="13"/>
      <c r="E312" s="14"/>
    </row>
    <row r="313">
      <c r="B313" s="13"/>
      <c r="C313" s="13"/>
      <c r="D313" s="13"/>
      <c r="E313" s="14"/>
    </row>
    <row r="314">
      <c r="B314" s="13"/>
      <c r="C314" s="13"/>
      <c r="D314" s="13"/>
      <c r="E314" s="14"/>
    </row>
    <row r="315">
      <c r="B315" s="13"/>
      <c r="C315" s="13"/>
      <c r="D315" s="13"/>
      <c r="E315" s="14"/>
    </row>
    <row r="316">
      <c r="B316" s="13"/>
      <c r="C316" s="13"/>
      <c r="D316" s="13"/>
      <c r="E316" s="14"/>
    </row>
    <row r="317">
      <c r="B317" s="13"/>
      <c r="C317" s="13"/>
      <c r="D317" s="13"/>
      <c r="E317" s="14"/>
    </row>
    <row r="318">
      <c r="B318" s="13"/>
      <c r="C318" s="13"/>
      <c r="D318" s="13"/>
      <c r="E318" s="14"/>
    </row>
    <row r="319">
      <c r="B319" s="13"/>
      <c r="C319" s="13"/>
      <c r="D319" s="13"/>
      <c r="E319" s="14"/>
    </row>
    <row r="320">
      <c r="B320" s="13"/>
      <c r="C320" s="13"/>
      <c r="D320" s="13"/>
      <c r="E320" s="14"/>
    </row>
    <row r="321">
      <c r="B321" s="13"/>
      <c r="C321" s="13"/>
      <c r="D321" s="13"/>
      <c r="E321" s="14"/>
    </row>
    <row r="322">
      <c r="B322" s="13"/>
      <c r="C322" s="13"/>
      <c r="D322" s="13"/>
      <c r="E322" s="14"/>
    </row>
    <row r="323">
      <c r="B323" s="13"/>
      <c r="C323" s="13"/>
      <c r="D323" s="13"/>
      <c r="E323" s="14"/>
    </row>
    <row r="324">
      <c r="B324" s="13"/>
      <c r="C324" s="13"/>
      <c r="D324" s="13"/>
      <c r="E324" s="14"/>
    </row>
    <row r="325">
      <c r="B325" s="13"/>
      <c r="C325" s="13"/>
      <c r="D325" s="13"/>
      <c r="E325" s="14"/>
    </row>
    <row r="326">
      <c r="B326" s="13"/>
      <c r="C326" s="13"/>
      <c r="D326" s="13"/>
      <c r="E326" s="14"/>
    </row>
    <row r="327">
      <c r="B327" s="13"/>
      <c r="C327" s="13"/>
      <c r="D327" s="13"/>
      <c r="E327" s="14"/>
    </row>
    <row r="328">
      <c r="B328" s="13"/>
      <c r="C328" s="13"/>
      <c r="D328" s="13"/>
      <c r="E328" s="14"/>
    </row>
    <row r="329">
      <c r="B329" s="13"/>
      <c r="C329" s="13"/>
      <c r="D329" s="13"/>
      <c r="E329" s="14"/>
    </row>
    <row r="330">
      <c r="B330" s="13"/>
      <c r="C330" s="13"/>
      <c r="D330" s="13"/>
      <c r="E330" s="14"/>
    </row>
    <row r="331">
      <c r="B331" s="13"/>
      <c r="C331" s="13"/>
      <c r="D331" s="13"/>
      <c r="E331" s="14"/>
    </row>
    <row r="332">
      <c r="B332" s="13"/>
      <c r="C332" s="13"/>
      <c r="D332" s="13"/>
      <c r="E332" s="14"/>
    </row>
    <row r="333">
      <c r="B333" s="13"/>
      <c r="C333" s="13"/>
      <c r="D333" s="13"/>
      <c r="E333" s="14"/>
    </row>
    <row r="334">
      <c r="B334" s="13"/>
      <c r="C334" s="13"/>
      <c r="D334" s="13"/>
      <c r="E334" s="14"/>
    </row>
    <row r="335">
      <c r="B335" s="13"/>
      <c r="C335" s="13"/>
      <c r="D335" s="13"/>
      <c r="E335" s="14"/>
    </row>
    <row r="336">
      <c r="B336" s="13"/>
      <c r="C336" s="13"/>
      <c r="D336" s="13"/>
      <c r="E336" s="14"/>
    </row>
    <row r="337">
      <c r="B337" s="13"/>
      <c r="C337" s="13"/>
      <c r="D337" s="13"/>
      <c r="E337" s="14"/>
    </row>
    <row r="338">
      <c r="B338" s="13"/>
      <c r="C338" s="13"/>
      <c r="D338" s="13"/>
      <c r="E338" s="14"/>
    </row>
    <row r="339">
      <c r="B339" s="13"/>
      <c r="C339" s="13"/>
      <c r="D339" s="13"/>
      <c r="E339" s="14"/>
    </row>
    <row r="340">
      <c r="B340" s="13"/>
      <c r="C340" s="13"/>
      <c r="D340" s="13"/>
      <c r="E340" s="14"/>
    </row>
    <row r="341">
      <c r="B341" s="13"/>
      <c r="C341" s="13"/>
      <c r="D341" s="13"/>
      <c r="E341" s="14"/>
    </row>
    <row r="342">
      <c r="B342" s="13"/>
      <c r="C342" s="13"/>
      <c r="D342" s="13"/>
      <c r="E342" s="14"/>
    </row>
    <row r="343">
      <c r="B343" s="13"/>
      <c r="C343" s="13"/>
      <c r="D343" s="13"/>
      <c r="E343" s="14"/>
    </row>
    <row r="344">
      <c r="B344" s="13"/>
      <c r="C344" s="13"/>
      <c r="D344" s="13"/>
      <c r="E344" s="14"/>
    </row>
    <row r="345">
      <c r="B345" s="13"/>
      <c r="C345" s="13"/>
      <c r="D345" s="13"/>
      <c r="E345" s="14"/>
    </row>
    <row r="346">
      <c r="B346" s="13"/>
      <c r="C346" s="13"/>
      <c r="D346" s="13"/>
      <c r="E346" s="14"/>
    </row>
    <row r="347">
      <c r="B347" s="13"/>
      <c r="C347" s="13"/>
      <c r="D347" s="13"/>
      <c r="E347" s="14"/>
    </row>
    <row r="348">
      <c r="B348" s="13"/>
      <c r="C348" s="13"/>
      <c r="D348" s="13"/>
      <c r="E348" s="14"/>
    </row>
    <row r="349">
      <c r="B349" s="13"/>
      <c r="C349" s="13"/>
      <c r="D349" s="13"/>
      <c r="E349" s="14"/>
    </row>
    <row r="350">
      <c r="B350" s="13"/>
      <c r="C350" s="13"/>
      <c r="D350" s="13"/>
      <c r="E350" s="14"/>
    </row>
    <row r="351">
      <c r="B351" s="13"/>
      <c r="C351" s="13"/>
      <c r="D351" s="13"/>
      <c r="E351" s="14"/>
    </row>
    <row r="352">
      <c r="B352" s="13"/>
      <c r="C352" s="13"/>
      <c r="D352" s="13"/>
      <c r="E352" s="14"/>
    </row>
    <row r="353">
      <c r="B353" s="13"/>
      <c r="C353" s="13"/>
      <c r="D353" s="13"/>
      <c r="E353" s="14"/>
    </row>
    <row r="354">
      <c r="B354" s="13"/>
      <c r="C354" s="13"/>
      <c r="D354" s="13"/>
      <c r="E354" s="14"/>
    </row>
    <row r="355">
      <c r="B355" s="13"/>
      <c r="C355" s="13"/>
      <c r="D355" s="13"/>
      <c r="E355" s="14"/>
    </row>
    <row r="356">
      <c r="B356" s="13"/>
      <c r="C356" s="13"/>
      <c r="D356" s="13"/>
      <c r="E356" s="14"/>
    </row>
    <row r="357">
      <c r="B357" s="13"/>
      <c r="C357" s="13"/>
      <c r="D357" s="13"/>
      <c r="E357" s="14"/>
    </row>
    <row r="358">
      <c r="B358" s="13"/>
      <c r="C358" s="13"/>
      <c r="D358" s="13"/>
      <c r="E358" s="14"/>
    </row>
    <row r="359">
      <c r="B359" s="13"/>
      <c r="C359" s="13"/>
      <c r="D359" s="13"/>
      <c r="E359" s="14"/>
    </row>
    <row r="360">
      <c r="B360" s="13"/>
      <c r="C360" s="13"/>
      <c r="D360" s="13"/>
      <c r="E360" s="14"/>
    </row>
    <row r="361">
      <c r="B361" s="13"/>
      <c r="C361" s="13"/>
      <c r="D361" s="13"/>
      <c r="E361" s="14"/>
    </row>
    <row r="362">
      <c r="B362" s="13"/>
      <c r="C362" s="13"/>
      <c r="D362" s="13"/>
      <c r="E362" s="14"/>
    </row>
    <row r="363">
      <c r="B363" s="13"/>
      <c r="C363" s="13"/>
      <c r="D363" s="13"/>
      <c r="E363" s="14"/>
    </row>
    <row r="364">
      <c r="B364" s="13"/>
      <c r="C364" s="13"/>
      <c r="D364" s="13"/>
      <c r="E364" s="14"/>
    </row>
    <row r="365">
      <c r="B365" s="13"/>
      <c r="C365" s="13"/>
      <c r="D365" s="13"/>
      <c r="E365" s="14"/>
    </row>
    <row r="366">
      <c r="B366" s="13"/>
      <c r="C366" s="13"/>
      <c r="D366" s="13"/>
      <c r="E366" s="14"/>
    </row>
    <row r="367">
      <c r="B367" s="13"/>
      <c r="C367" s="13"/>
      <c r="D367" s="13"/>
      <c r="E367" s="14"/>
    </row>
    <row r="368">
      <c r="B368" s="13"/>
      <c r="C368" s="13"/>
      <c r="D368" s="13"/>
      <c r="E368" s="14"/>
    </row>
    <row r="369">
      <c r="B369" s="13"/>
      <c r="C369" s="13"/>
      <c r="D369" s="13"/>
      <c r="E369" s="14"/>
    </row>
    <row r="370">
      <c r="B370" s="13"/>
      <c r="C370" s="13"/>
      <c r="D370" s="13"/>
      <c r="E370" s="14"/>
    </row>
    <row r="371">
      <c r="B371" s="13"/>
      <c r="C371" s="13"/>
      <c r="D371" s="13"/>
      <c r="E371" s="14"/>
    </row>
    <row r="372">
      <c r="B372" s="13"/>
      <c r="C372" s="13"/>
      <c r="D372" s="13"/>
      <c r="E372" s="14"/>
    </row>
    <row r="373">
      <c r="B373" s="13"/>
      <c r="C373" s="13"/>
      <c r="D373" s="13"/>
      <c r="E373" s="14"/>
    </row>
    <row r="374">
      <c r="B374" s="13"/>
      <c r="C374" s="13"/>
      <c r="D374" s="13"/>
      <c r="E374" s="14"/>
    </row>
    <row r="375">
      <c r="B375" s="13"/>
      <c r="C375" s="13"/>
      <c r="D375" s="13"/>
      <c r="E375" s="14"/>
    </row>
    <row r="376">
      <c r="B376" s="13"/>
      <c r="C376" s="13"/>
      <c r="D376" s="13"/>
      <c r="E376" s="14"/>
    </row>
    <row r="377">
      <c r="B377" s="13"/>
      <c r="C377" s="13"/>
      <c r="D377" s="13"/>
      <c r="E377" s="14"/>
    </row>
    <row r="378">
      <c r="B378" s="13"/>
      <c r="C378" s="13"/>
      <c r="D378" s="13"/>
      <c r="E378" s="14"/>
    </row>
    <row r="379">
      <c r="B379" s="13"/>
      <c r="C379" s="13"/>
      <c r="D379" s="13"/>
      <c r="E379" s="14"/>
    </row>
    <row r="380">
      <c r="B380" s="13"/>
      <c r="C380" s="13"/>
      <c r="D380" s="13"/>
      <c r="E380" s="14"/>
    </row>
    <row r="381">
      <c r="B381" s="13"/>
      <c r="C381" s="13"/>
      <c r="D381" s="13"/>
      <c r="E381" s="14"/>
    </row>
    <row r="382">
      <c r="B382" s="13"/>
      <c r="C382" s="13"/>
      <c r="D382" s="13"/>
      <c r="E382" s="14"/>
    </row>
    <row r="383">
      <c r="B383" s="13"/>
      <c r="C383" s="13"/>
      <c r="D383" s="13"/>
      <c r="E383" s="14"/>
    </row>
    <row r="384">
      <c r="B384" s="13"/>
      <c r="C384" s="13"/>
      <c r="D384" s="13"/>
      <c r="E384" s="14"/>
    </row>
    <row r="385">
      <c r="B385" s="13"/>
      <c r="C385" s="13"/>
      <c r="D385" s="13"/>
      <c r="E385" s="14"/>
    </row>
    <row r="386">
      <c r="B386" s="13"/>
      <c r="C386" s="13"/>
      <c r="D386" s="13"/>
      <c r="E386" s="14"/>
    </row>
    <row r="387">
      <c r="B387" s="13"/>
      <c r="C387" s="13"/>
      <c r="D387" s="13"/>
      <c r="E387" s="14"/>
    </row>
    <row r="388">
      <c r="B388" s="13"/>
      <c r="C388" s="13"/>
      <c r="D388" s="13"/>
      <c r="E388" s="14"/>
    </row>
    <row r="389">
      <c r="B389" s="13"/>
      <c r="C389" s="13"/>
      <c r="D389" s="13"/>
      <c r="E389" s="14"/>
    </row>
    <row r="390">
      <c r="B390" s="13"/>
      <c r="C390" s="13"/>
      <c r="D390" s="13"/>
      <c r="E390" s="14"/>
    </row>
    <row r="391">
      <c r="B391" s="13"/>
      <c r="C391" s="13"/>
      <c r="D391" s="13"/>
      <c r="E391" s="14"/>
    </row>
    <row r="392">
      <c r="B392" s="13"/>
      <c r="C392" s="13"/>
      <c r="D392" s="13"/>
      <c r="E392" s="14"/>
    </row>
    <row r="393">
      <c r="B393" s="13"/>
      <c r="C393" s="13"/>
      <c r="D393" s="13"/>
      <c r="E393" s="14"/>
    </row>
    <row r="394">
      <c r="B394" s="13"/>
      <c r="C394" s="13"/>
      <c r="D394" s="13"/>
      <c r="E394" s="14"/>
    </row>
    <row r="395">
      <c r="B395" s="13"/>
      <c r="C395" s="13"/>
      <c r="D395" s="13"/>
      <c r="E395" s="14"/>
    </row>
    <row r="396">
      <c r="B396" s="13"/>
      <c r="C396" s="13"/>
      <c r="D396" s="13"/>
      <c r="E396" s="14"/>
    </row>
    <row r="397">
      <c r="B397" s="13"/>
      <c r="C397" s="13"/>
      <c r="D397" s="13"/>
      <c r="E397" s="14"/>
    </row>
    <row r="398">
      <c r="B398" s="13"/>
      <c r="C398" s="13"/>
      <c r="D398" s="13"/>
      <c r="E398" s="14"/>
    </row>
    <row r="399">
      <c r="B399" s="13"/>
      <c r="C399" s="13"/>
      <c r="D399" s="13"/>
      <c r="E399" s="14"/>
    </row>
    <row r="400">
      <c r="B400" s="13"/>
      <c r="C400" s="13"/>
      <c r="D400" s="13"/>
      <c r="E400" s="14"/>
    </row>
    <row r="401">
      <c r="B401" s="13"/>
      <c r="C401" s="13"/>
      <c r="D401" s="13"/>
      <c r="E401" s="14"/>
    </row>
    <row r="402">
      <c r="B402" s="13"/>
      <c r="C402" s="13"/>
      <c r="D402" s="13"/>
      <c r="E402" s="14"/>
    </row>
    <row r="403">
      <c r="B403" s="13"/>
      <c r="C403" s="13"/>
      <c r="D403" s="13"/>
      <c r="E403" s="14"/>
    </row>
    <row r="404">
      <c r="B404" s="13"/>
      <c r="C404" s="13"/>
      <c r="D404" s="13"/>
      <c r="E404" s="14"/>
    </row>
    <row r="405">
      <c r="B405" s="13"/>
      <c r="C405" s="13"/>
      <c r="D405" s="13"/>
      <c r="E405" s="14"/>
    </row>
    <row r="406">
      <c r="B406" s="13"/>
      <c r="C406" s="13"/>
      <c r="D406" s="13"/>
      <c r="E406" s="14"/>
    </row>
    <row r="407">
      <c r="B407" s="13"/>
      <c r="C407" s="13"/>
      <c r="D407" s="13"/>
      <c r="E407" s="14"/>
    </row>
    <row r="408">
      <c r="B408" s="13"/>
      <c r="C408" s="13"/>
      <c r="D408" s="13"/>
      <c r="E408" s="14"/>
    </row>
    <row r="409">
      <c r="B409" s="13"/>
      <c r="C409" s="13"/>
      <c r="D409" s="13"/>
      <c r="E409" s="14"/>
    </row>
    <row r="410">
      <c r="B410" s="13"/>
      <c r="C410" s="13"/>
      <c r="D410" s="13"/>
      <c r="E410" s="14"/>
    </row>
    <row r="411">
      <c r="B411" s="13"/>
      <c r="C411" s="13"/>
      <c r="D411" s="13"/>
      <c r="E411" s="14"/>
    </row>
    <row r="412">
      <c r="B412" s="13"/>
      <c r="C412" s="13"/>
      <c r="D412" s="13"/>
      <c r="E412" s="14"/>
    </row>
    <row r="413">
      <c r="B413" s="13"/>
      <c r="C413" s="13"/>
      <c r="D413" s="13"/>
      <c r="E413" s="14"/>
    </row>
    <row r="414">
      <c r="B414" s="13"/>
      <c r="C414" s="13"/>
      <c r="D414" s="13"/>
      <c r="E414" s="14"/>
    </row>
    <row r="415">
      <c r="B415" s="13"/>
      <c r="C415" s="13"/>
      <c r="D415" s="13"/>
      <c r="E415" s="14"/>
    </row>
    <row r="416">
      <c r="B416" s="13"/>
      <c r="C416" s="13"/>
      <c r="D416" s="13"/>
      <c r="E416" s="14"/>
    </row>
    <row r="417">
      <c r="B417" s="13"/>
      <c r="C417" s="13"/>
      <c r="D417" s="13"/>
      <c r="E417" s="14"/>
    </row>
    <row r="418">
      <c r="B418" s="13"/>
      <c r="C418" s="13"/>
      <c r="D418" s="13"/>
      <c r="E418" s="14"/>
    </row>
    <row r="419">
      <c r="B419" s="13"/>
      <c r="C419" s="13"/>
      <c r="D419" s="13"/>
      <c r="E419" s="14"/>
    </row>
    <row r="420">
      <c r="B420" s="13"/>
      <c r="C420" s="13"/>
      <c r="D420" s="13"/>
      <c r="E420" s="14"/>
    </row>
    <row r="421">
      <c r="B421" s="13"/>
      <c r="C421" s="13"/>
      <c r="D421" s="13"/>
      <c r="E421" s="14"/>
    </row>
    <row r="422">
      <c r="B422" s="13"/>
      <c r="C422" s="13"/>
      <c r="D422" s="13"/>
      <c r="E422" s="14"/>
    </row>
    <row r="423">
      <c r="B423" s="13"/>
      <c r="C423" s="13"/>
      <c r="D423" s="13"/>
      <c r="E423" s="14"/>
    </row>
    <row r="424">
      <c r="B424" s="13"/>
      <c r="C424" s="13"/>
      <c r="D424" s="13"/>
      <c r="E424" s="14"/>
    </row>
    <row r="425">
      <c r="B425" s="13"/>
      <c r="C425" s="13"/>
      <c r="D425" s="13"/>
      <c r="E425" s="14"/>
    </row>
    <row r="426">
      <c r="B426" s="13"/>
      <c r="C426" s="13"/>
      <c r="D426" s="13"/>
      <c r="E426" s="14"/>
    </row>
    <row r="427">
      <c r="B427" s="13"/>
      <c r="C427" s="13"/>
      <c r="D427" s="13"/>
      <c r="E427" s="14"/>
    </row>
    <row r="428">
      <c r="B428" s="13"/>
      <c r="C428" s="13"/>
      <c r="D428" s="13"/>
      <c r="E428" s="14"/>
    </row>
    <row r="429">
      <c r="B429" s="13"/>
      <c r="C429" s="13"/>
      <c r="D429" s="13"/>
      <c r="E429" s="14"/>
    </row>
    <row r="430">
      <c r="B430" s="13"/>
      <c r="C430" s="13"/>
      <c r="D430" s="13"/>
      <c r="E430" s="14"/>
    </row>
    <row r="431">
      <c r="B431" s="13"/>
      <c r="C431" s="13"/>
      <c r="D431" s="13"/>
      <c r="E431" s="14"/>
    </row>
    <row r="432">
      <c r="B432" s="13"/>
      <c r="C432" s="13"/>
      <c r="D432" s="13"/>
      <c r="E432" s="14"/>
    </row>
    <row r="433">
      <c r="B433" s="13"/>
      <c r="C433" s="13"/>
      <c r="D433" s="13"/>
      <c r="E433" s="14"/>
    </row>
    <row r="434">
      <c r="B434" s="13"/>
      <c r="C434" s="13"/>
      <c r="D434" s="13"/>
      <c r="E434" s="14"/>
    </row>
    <row r="435">
      <c r="B435" s="13"/>
      <c r="C435" s="13"/>
      <c r="D435" s="13"/>
      <c r="E435" s="14"/>
    </row>
    <row r="436">
      <c r="B436" s="13"/>
      <c r="C436" s="13"/>
      <c r="D436" s="13"/>
      <c r="E436" s="14"/>
    </row>
    <row r="437">
      <c r="B437" s="13"/>
      <c r="C437" s="13"/>
      <c r="D437" s="13"/>
      <c r="E437" s="14"/>
    </row>
    <row r="438">
      <c r="B438" s="13"/>
      <c r="C438" s="13"/>
      <c r="D438" s="13"/>
      <c r="E438" s="14"/>
    </row>
    <row r="439">
      <c r="B439" s="13"/>
      <c r="C439" s="13"/>
      <c r="D439" s="13"/>
      <c r="E439" s="14"/>
    </row>
    <row r="440">
      <c r="B440" s="13"/>
      <c r="C440" s="13"/>
      <c r="D440" s="13"/>
      <c r="E440" s="14"/>
    </row>
    <row r="441">
      <c r="B441" s="13"/>
      <c r="C441" s="13"/>
      <c r="D441" s="13"/>
      <c r="E441" s="14"/>
    </row>
    <row r="442">
      <c r="B442" s="13"/>
      <c r="C442" s="13"/>
      <c r="D442" s="13"/>
      <c r="E442" s="14"/>
    </row>
    <row r="443">
      <c r="B443" s="13"/>
      <c r="C443" s="13"/>
      <c r="D443" s="13"/>
      <c r="E443" s="14"/>
    </row>
    <row r="444">
      <c r="B444" s="13"/>
      <c r="C444" s="13"/>
      <c r="D444" s="13"/>
      <c r="E444" s="14"/>
    </row>
    <row r="445">
      <c r="B445" s="13"/>
      <c r="C445" s="13"/>
      <c r="D445" s="13"/>
      <c r="E445" s="14"/>
    </row>
    <row r="446">
      <c r="B446" s="13"/>
      <c r="C446" s="13"/>
      <c r="D446" s="13"/>
      <c r="E446" s="14"/>
    </row>
    <row r="447">
      <c r="B447" s="13"/>
      <c r="C447" s="13"/>
      <c r="D447" s="13"/>
      <c r="E447" s="14"/>
    </row>
    <row r="448">
      <c r="B448" s="13"/>
      <c r="C448" s="13"/>
      <c r="D448" s="13"/>
      <c r="E448" s="14"/>
    </row>
    <row r="449">
      <c r="B449" s="13"/>
      <c r="C449" s="13"/>
      <c r="D449" s="13"/>
      <c r="E449" s="14"/>
    </row>
    <row r="450">
      <c r="B450" s="13"/>
      <c r="C450" s="13"/>
      <c r="D450" s="13"/>
      <c r="E450" s="14"/>
    </row>
    <row r="451">
      <c r="B451" s="13"/>
      <c r="C451" s="13"/>
      <c r="D451" s="13"/>
      <c r="E451" s="14"/>
    </row>
    <row r="452">
      <c r="B452" s="13"/>
      <c r="C452" s="13"/>
      <c r="D452" s="13"/>
      <c r="E452" s="14"/>
    </row>
    <row r="453">
      <c r="B453" s="13"/>
      <c r="C453" s="13"/>
      <c r="D453" s="13"/>
      <c r="E453" s="14"/>
    </row>
    <row r="454">
      <c r="B454" s="13"/>
      <c r="C454" s="13"/>
      <c r="D454" s="13"/>
      <c r="E454" s="14"/>
    </row>
    <row r="455">
      <c r="B455" s="13"/>
      <c r="C455" s="13"/>
      <c r="D455" s="13"/>
      <c r="E455" s="14"/>
    </row>
    <row r="456">
      <c r="B456" s="13"/>
      <c r="C456" s="13"/>
      <c r="D456" s="13"/>
      <c r="E456" s="14"/>
    </row>
    <row r="457">
      <c r="B457" s="13"/>
      <c r="C457" s="13"/>
      <c r="D457" s="13"/>
      <c r="E457" s="14"/>
    </row>
    <row r="458">
      <c r="B458" s="13"/>
      <c r="C458" s="13"/>
      <c r="D458" s="13"/>
      <c r="E458" s="14"/>
    </row>
    <row r="459">
      <c r="B459" s="13"/>
      <c r="C459" s="13"/>
      <c r="D459" s="13"/>
      <c r="E459" s="14"/>
    </row>
    <row r="460">
      <c r="B460" s="13"/>
      <c r="C460" s="13"/>
      <c r="D460" s="13"/>
      <c r="E460" s="14"/>
    </row>
    <row r="461">
      <c r="B461" s="13"/>
      <c r="C461" s="13"/>
      <c r="D461" s="13"/>
      <c r="E461" s="14"/>
    </row>
    <row r="462">
      <c r="B462" s="13"/>
      <c r="C462" s="13"/>
      <c r="D462" s="13"/>
      <c r="E462" s="14"/>
    </row>
    <row r="463">
      <c r="B463" s="13"/>
      <c r="C463" s="13"/>
      <c r="D463" s="13"/>
      <c r="E463" s="14"/>
    </row>
    <row r="464">
      <c r="B464" s="13"/>
      <c r="C464" s="13"/>
      <c r="D464" s="13"/>
      <c r="E464" s="14"/>
    </row>
    <row r="465">
      <c r="B465" s="13"/>
      <c r="C465" s="13"/>
      <c r="D465" s="13"/>
      <c r="E465" s="14"/>
    </row>
    <row r="466">
      <c r="B466" s="13"/>
      <c r="C466" s="13"/>
      <c r="D466" s="13"/>
      <c r="E466" s="14"/>
    </row>
    <row r="467">
      <c r="B467" s="13"/>
      <c r="C467" s="13"/>
      <c r="D467" s="13"/>
      <c r="E467" s="14"/>
    </row>
    <row r="468">
      <c r="B468" s="13"/>
      <c r="C468" s="13"/>
      <c r="D468" s="13"/>
      <c r="E468" s="14"/>
    </row>
    <row r="469">
      <c r="B469" s="13"/>
      <c r="C469" s="13"/>
      <c r="D469" s="13"/>
      <c r="E469" s="14"/>
    </row>
    <row r="470">
      <c r="B470" s="13"/>
      <c r="C470" s="13"/>
      <c r="D470" s="13"/>
      <c r="E470" s="14"/>
    </row>
    <row r="471">
      <c r="B471" s="13"/>
      <c r="C471" s="13"/>
      <c r="D471" s="13"/>
      <c r="E471" s="14"/>
    </row>
    <row r="472">
      <c r="B472" s="13"/>
      <c r="C472" s="13"/>
      <c r="D472" s="13"/>
      <c r="E472" s="14"/>
    </row>
    <row r="473">
      <c r="B473" s="13"/>
      <c r="C473" s="13"/>
      <c r="D473" s="13"/>
      <c r="E473" s="14"/>
    </row>
    <row r="474">
      <c r="B474" s="13"/>
      <c r="C474" s="13"/>
      <c r="D474" s="13"/>
      <c r="E474" s="14"/>
    </row>
    <row r="475">
      <c r="B475" s="13"/>
      <c r="C475" s="13"/>
      <c r="D475" s="13"/>
      <c r="E475" s="14"/>
    </row>
    <row r="476">
      <c r="B476" s="13"/>
      <c r="C476" s="13"/>
      <c r="D476" s="13"/>
      <c r="E476" s="14"/>
    </row>
    <row r="477">
      <c r="B477" s="13"/>
      <c r="C477" s="13"/>
      <c r="D477" s="13"/>
      <c r="E477" s="14"/>
    </row>
    <row r="478">
      <c r="B478" s="13"/>
      <c r="C478" s="13"/>
      <c r="D478" s="13"/>
      <c r="E478" s="14"/>
    </row>
    <row r="479">
      <c r="B479" s="13"/>
      <c r="C479" s="13"/>
      <c r="D479" s="13"/>
      <c r="E479" s="14"/>
    </row>
    <row r="480">
      <c r="B480" s="13"/>
      <c r="C480" s="13"/>
      <c r="D480" s="13"/>
      <c r="E480" s="14"/>
    </row>
    <row r="481">
      <c r="B481" s="13"/>
      <c r="C481" s="13"/>
      <c r="D481" s="13"/>
      <c r="E481" s="14"/>
    </row>
    <row r="482">
      <c r="B482" s="13"/>
      <c r="C482" s="13"/>
      <c r="D482" s="13"/>
      <c r="E482" s="14"/>
    </row>
    <row r="483">
      <c r="B483" s="13"/>
      <c r="C483" s="13"/>
      <c r="D483" s="13"/>
      <c r="E483" s="14"/>
    </row>
    <row r="484">
      <c r="B484" s="13"/>
      <c r="C484" s="13"/>
      <c r="D484" s="13"/>
      <c r="E484" s="14"/>
    </row>
    <row r="485">
      <c r="B485" s="13"/>
      <c r="C485" s="13"/>
      <c r="D485" s="13"/>
      <c r="E485" s="14"/>
    </row>
    <row r="486">
      <c r="B486" s="13"/>
      <c r="C486" s="13"/>
      <c r="D486" s="13"/>
      <c r="E486" s="14"/>
    </row>
    <row r="487">
      <c r="B487" s="13"/>
      <c r="C487" s="13"/>
      <c r="D487" s="13"/>
      <c r="E487" s="14"/>
    </row>
    <row r="488">
      <c r="B488" s="13"/>
      <c r="C488" s="13"/>
      <c r="D488" s="13"/>
      <c r="E488" s="14"/>
    </row>
    <row r="489">
      <c r="B489" s="13"/>
      <c r="C489" s="13"/>
      <c r="D489" s="13"/>
      <c r="E489" s="14"/>
    </row>
    <row r="490">
      <c r="B490" s="13"/>
      <c r="C490" s="13"/>
      <c r="D490" s="13"/>
      <c r="E490" s="14"/>
    </row>
    <row r="491">
      <c r="B491" s="13"/>
      <c r="C491" s="13"/>
      <c r="D491" s="13"/>
      <c r="E491" s="14"/>
    </row>
    <row r="492">
      <c r="B492" s="13"/>
      <c r="C492" s="13"/>
      <c r="D492" s="13"/>
      <c r="E492" s="14"/>
    </row>
    <row r="493">
      <c r="B493" s="13"/>
      <c r="C493" s="13"/>
      <c r="D493" s="13"/>
      <c r="E493" s="14"/>
    </row>
    <row r="494">
      <c r="B494" s="13"/>
      <c r="C494" s="13"/>
      <c r="D494" s="13"/>
      <c r="E494" s="14"/>
    </row>
    <row r="495">
      <c r="B495" s="13"/>
      <c r="C495" s="13"/>
      <c r="D495" s="13"/>
      <c r="E495" s="14"/>
    </row>
    <row r="496">
      <c r="B496" s="13"/>
      <c r="C496" s="13"/>
      <c r="D496" s="13"/>
      <c r="E496" s="14"/>
    </row>
    <row r="497">
      <c r="B497" s="13"/>
      <c r="C497" s="13"/>
      <c r="D497" s="13"/>
      <c r="E497" s="14"/>
    </row>
    <row r="498">
      <c r="B498" s="13"/>
      <c r="C498" s="13"/>
      <c r="D498" s="13"/>
      <c r="E498" s="14"/>
    </row>
    <row r="499">
      <c r="B499" s="13"/>
      <c r="C499" s="13"/>
      <c r="D499" s="13"/>
      <c r="E499" s="14"/>
    </row>
    <row r="500">
      <c r="B500" s="13"/>
      <c r="C500" s="13"/>
      <c r="D500" s="13"/>
      <c r="E500" s="14"/>
    </row>
    <row r="501">
      <c r="B501" s="13"/>
      <c r="C501" s="13"/>
      <c r="D501" s="13"/>
      <c r="E501" s="14"/>
    </row>
    <row r="502">
      <c r="B502" s="13"/>
      <c r="C502" s="13"/>
      <c r="D502" s="13"/>
      <c r="E502" s="14"/>
    </row>
    <row r="503">
      <c r="B503" s="13"/>
      <c r="C503" s="13"/>
      <c r="D503" s="13"/>
      <c r="E503" s="14"/>
    </row>
    <row r="504">
      <c r="B504" s="13"/>
      <c r="C504" s="13"/>
      <c r="D504" s="13"/>
      <c r="E504" s="14"/>
    </row>
    <row r="505">
      <c r="B505" s="13"/>
      <c r="C505" s="13"/>
      <c r="D505" s="13"/>
      <c r="E505" s="14"/>
    </row>
    <row r="506">
      <c r="B506" s="13"/>
      <c r="C506" s="13"/>
      <c r="D506" s="13"/>
      <c r="E506" s="14"/>
    </row>
    <row r="507">
      <c r="B507" s="13"/>
      <c r="C507" s="13"/>
      <c r="D507" s="13"/>
      <c r="E507" s="14"/>
    </row>
    <row r="508">
      <c r="B508" s="13"/>
      <c r="C508" s="13"/>
      <c r="D508" s="13"/>
      <c r="E508" s="14"/>
    </row>
    <row r="509">
      <c r="B509" s="13"/>
      <c r="C509" s="13"/>
      <c r="D509" s="13"/>
      <c r="E509" s="14"/>
    </row>
    <row r="510">
      <c r="B510" s="13"/>
      <c r="C510" s="13"/>
      <c r="D510" s="13"/>
      <c r="E510" s="14"/>
    </row>
    <row r="511">
      <c r="B511" s="13"/>
      <c r="C511" s="13"/>
      <c r="D511" s="13"/>
      <c r="E511" s="14"/>
    </row>
    <row r="512">
      <c r="B512" s="13"/>
      <c r="C512" s="13"/>
      <c r="D512" s="13"/>
      <c r="E512" s="14"/>
    </row>
    <row r="513">
      <c r="B513" s="13"/>
      <c r="C513" s="13"/>
      <c r="D513" s="13"/>
      <c r="E513" s="14"/>
    </row>
    <row r="514">
      <c r="B514" s="13"/>
      <c r="C514" s="13"/>
      <c r="D514" s="13"/>
      <c r="E514" s="14"/>
    </row>
    <row r="515">
      <c r="B515" s="13"/>
      <c r="C515" s="13"/>
      <c r="D515" s="13"/>
      <c r="E515" s="14"/>
    </row>
    <row r="516">
      <c r="B516" s="13"/>
      <c r="C516" s="13"/>
      <c r="D516" s="13"/>
      <c r="E516" s="14"/>
    </row>
    <row r="517">
      <c r="B517" s="13"/>
      <c r="C517" s="13"/>
      <c r="D517" s="13"/>
      <c r="E517" s="14"/>
    </row>
    <row r="518">
      <c r="B518" s="13"/>
      <c r="C518" s="13"/>
      <c r="D518" s="13"/>
      <c r="E518" s="14"/>
    </row>
    <row r="519">
      <c r="B519" s="13"/>
      <c r="C519" s="13"/>
      <c r="D519" s="13"/>
      <c r="E519" s="14"/>
    </row>
    <row r="520">
      <c r="B520" s="13"/>
      <c r="C520" s="13"/>
      <c r="D520" s="13"/>
      <c r="E520" s="14"/>
    </row>
    <row r="521">
      <c r="B521" s="13"/>
      <c r="C521" s="13"/>
      <c r="D521" s="13"/>
      <c r="E521" s="14"/>
    </row>
    <row r="522">
      <c r="B522" s="13"/>
      <c r="C522" s="13"/>
      <c r="D522" s="13"/>
      <c r="E522" s="14"/>
    </row>
    <row r="523">
      <c r="B523" s="13"/>
      <c r="C523" s="13"/>
      <c r="D523" s="13"/>
      <c r="E523" s="14"/>
    </row>
    <row r="524">
      <c r="B524" s="13"/>
      <c r="C524" s="13"/>
      <c r="D524" s="13"/>
      <c r="E524" s="14"/>
    </row>
    <row r="525">
      <c r="B525" s="13"/>
      <c r="C525" s="13"/>
      <c r="D525" s="13"/>
      <c r="E525" s="14"/>
    </row>
    <row r="526">
      <c r="B526" s="13"/>
      <c r="C526" s="13"/>
      <c r="D526" s="13"/>
      <c r="E526" s="14"/>
    </row>
    <row r="527">
      <c r="B527" s="13"/>
      <c r="C527" s="13"/>
      <c r="D527" s="13"/>
      <c r="E527" s="14"/>
    </row>
    <row r="528">
      <c r="B528" s="13"/>
      <c r="C528" s="13"/>
      <c r="D528" s="13"/>
      <c r="E528" s="14"/>
    </row>
    <row r="529">
      <c r="B529" s="13"/>
      <c r="C529" s="13"/>
      <c r="D529" s="13"/>
      <c r="E529" s="14"/>
    </row>
    <row r="530">
      <c r="B530" s="13"/>
      <c r="C530" s="13"/>
      <c r="D530" s="13"/>
      <c r="E530" s="14"/>
    </row>
    <row r="531">
      <c r="B531" s="13"/>
      <c r="C531" s="13"/>
      <c r="D531" s="13"/>
      <c r="E531" s="14"/>
    </row>
    <row r="532">
      <c r="B532" s="13"/>
      <c r="C532" s="13"/>
      <c r="D532" s="13"/>
      <c r="E532" s="14"/>
    </row>
    <row r="533">
      <c r="B533" s="13"/>
      <c r="C533" s="13"/>
      <c r="D533" s="13"/>
      <c r="E533" s="14"/>
    </row>
    <row r="534">
      <c r="B534" s="13"/>
      <c r="C534" s="13"/>
      <c r="D534" s="13"/>
      <c r="E534" s="14"/>
    </row>
    <row r="535">
      <c r="B535" s="13"/>
      <c r="C535" s="13"/>
      <c r="D535" s="13"/>
      <c r="E535" s="14"/>
    </row>
    <row r="536">
      <c r="B536" s="13"/>
      <c r="C536" s="13"/>
      <c r="D536" s="13"/>
      <c r="E536" s="14"/>
    </row>
    <row r="537">
      <c r="B537" s="13"/>
      <c r="C537" s="13"/>
      <c r="D537" s="13"/>
      <c r="E537" s="14"/>
    </row>
    <row r="538">
      <c r="B538" s="13"/>
      <c r="C538" s="13"/>
      <c r="D538" s="13"/>
      <c r="E538" s="14"/>
    </row>
    <row r="539">
      <c r="B539" s="13"/>
      <c r="C539" s="13"/>
      <c r="D539" s="13"/>
      <c r="E539" s="14"/>
    </row>
    <row r="540">
      <c r="B540" s="13"/>
      <c r="C540" s="13"/>
      <c r="D540" s="13"/>
      <c r="E540" s="14"/>
    </row>
    <row r="541">
      <c r="B541" s="13"/>
      <c r="C541" s="13"/>
      <c r="D541" s="13"/>
      <c r="E541" s="14"/>
    </row>
    <row r="542">
      <c r="B542" s="13"/>
      <c r="C542" s="13"/>
      <c r="D542" s="13"/>
      <c r="E542" s="14"/>
    </row>
    <row r="543">
      <c r="B543" s="13"/>
      <c r="C543" s="13"/>
      <c r="D543" s="13"/>
      <c r="E543" s="14"/>
    </row>
    <row r="544">
      <c r="B544" s="13"/>
      <c r="C544" s="13"/>
      <c r="D544" s="13"/>
      <c r="E544" s="14"/>
    </row>
    <row r="545">
      <c r="B545" s="13"/>
      <c r="C545" s="13"/>
      <c r="D545" s="13"/>
      <c r="E545" s="14"/>
    </row>
    <row r="546">
      <c r="B546" s="13"/>
      <c r="C546" s="13"/>
      <c r="D546" s="13"/>
      <c r="E546" s="14"/>
    </row>
    <row r="547">
      <c r="B547" s="13"/>
      <c r="C547" s="13"/>
      <c r="D547" s="13"/>
      <c r="E547" s="14"/>
    </row>
    <row r="548">
      <c r="B548" s="13"/>
      <c r="C548" s="13"/>
      <c r="D548" s="13"/>
      <c r="E548" s="14"/>
    </row>
    <row r="549">
      <c r="B549" s="13"/>
      <c r="C549" s="13"/>
      <c r="D549" s="13"/>
      <c r="E549" s="14"/>
    </row>
    <row r="550">
      <c r="B550" s="13"/>
      <c r="C550" s="13"/>
      <c r="D550" s="13"/>
      <c r="E550" s="14"/>
    </row>
    <row r="551">
      <c r="B551" s="13"/>
      <c r="C551" s="13"/>
      <c r="D551" s="13"/>
      <c r="E551" s="14"/>
    </row>
    <row r="552">
      <c r="B552" s="13"/>
      <c r="C552" s="13"/>
      <c r="D552" s="13"/>
      <c r="E552" s="14"/>
    </row>
    <row r="553">
      <c r="B553" s="13"/>
      <c r="C553" s="13"/>
      <c r="D553" s="13"/>
      <c r="E553" s="14"/>
    </row>
    <row r="554">
      <c r="B554" s="13"/>
      <c r="C554" s="13"/>
      <c r="D554" s="13"/>
      <c r="E554" s="14"/>
    </row>
    <row r="555">
      <c r="B555" s="13"/>
      <c r="C555" s="13"/>
      <c r="D555" s="13"/>
      <c r="E555" s="14"/>
    </row>
    <row r="556">
      <c r="B556" s="13"/>
      <c r="C556" s="13"/>
      <c r="D556" s="13"/>
      <c r="E556" s="14"/>
    </row>
    <row r="557">
      <c r="B557" s="13"/>
      <c r="C557" s="13"/>
      <c r="D557" s="13"/>
      <c r="E557" s="14"/>
    </row>
    <row r="558">
      <c r="B558" s="13"/>
      <c r="C558" s="13"/>
      <c r="D558" s="13"/>
      <c r="E558" s="14"/>
    </row>
    <row r="559">
      <c r="B559" s="13"/>
      <c r="C559" s="13"/>
      <c r="D559" s="13"/>
      <c r="E559" s="14"/>
    </row>
    <row r="560">
      <c r="B560" s="13"/>
      <c r="C560" s="13"/>
      <c r="D560" s="13"/>
      <c r="E560" s="14"/>
    </row>
    <row r="561">
      <c r="B561" s="13"/>
      <c r="C561" s="13"/>
      <c r="D561" s="13"/>
      <c r="E561" s="14"/>
    </row>
    <row r="562">
      <c r="B562" s="13"/>
      <c r="C562" s="13"/>
      <c r="D562" s="13"/>
      <c r="E562" s="14"/>
    </row>
    <row r="563">
      <c r="B563" s="13"/>
      <c r="C563" s="13"/>
      <c r="D563" s="13"/>
      <c r="E563" s="14"/>
    </row>
    <row r="564">
      <c r="B564" s="13"/>
      <c r="C564" s="13"/>
      <c r="D564" s="13"/>
      <c r="E564" s="14"/>
    </row>
    <row r="565">
      <c r="B565" s="13"/>
      <c r="C565" s="13"/>
      <c r="D565" s="13"/>
      <c r="E565" s="14"/>
    </row>
    <row r="566">
      <c r="B566" s="13"/>
      <c r="C566" s="13"/>
      <c r="D566" s="13"/>
      <c r="E566" s="14"/>
    </row>
    <row r="567">
      <c r="B567" s="13"/>
      <c r="C567" s="13"/>
      <c r="D567" s="13"/>
      <c r="E567" s="14"/>
    </row>
    <row r="568">
      <c r="B568" s="13"/>
      <c r="C568" s="13"/>
      <c r="D568" s="13"/>
      <c r="E568" s="14"/>
    </row>
    <row r="569">
      <c r="B569" s="13"/>
      <c r="C569" s="13"/>
      <c r="D569" s="13"/>
      <c r="E569" s="14"/>
    </row>
    <row r="570">
      <c r="B570" s="13"/>
      <c r="C570" s="13"/>
      <c r="D570" s="13"/>
      <c r="E570" s="14"/>
    </row>
    <row r="571">
      <c r="B571" s="13"/>
      <c r="C571" s="13"/>
      <c r="D571" s="13"/>
      <c r="E571" s="14"/>
    </row>
    <row r="572">
      <c r="B572" s="13"/>
      <c r="C572" s="13"/>
      <c r="D572" s="13"/>
      <c r="E572" s="14"/>
    </row>
    <row r="573">
      <c r="B573" s="13"/>
      <c r="C573" s="13"/>
      <c r="D573" s="13"/>
      <c r="E573" s="14"/>
    </row>
    <row r="574">
      <c r="B574" s="13"/>
      <c r="C574" s="13"/>
      <c r="D574" s="13"/>
      <c r="E574" s="14"/>
    </row>
    <row r="575">
      <c r="B575" s="13"/>
      <c r="C575" s="13"/>
      <c r="D575" s="13"/>
      <c r="E575" s="14"/>
    </row>
    <row r="576">
      <c r="B576" s="13"/>
      <c r="C576" s="13"/>
      <c r="D576" s="13"/>
      <c r="E576" s="14"/>
    </row>
    <row r="577">
      <c r="B577" s="13"/>
      <c r="C577" s="13"/>
      <c r="D577" s="13"/>
      <c r="E577" s="14"/>
    </row>
    <row r="578">
      <c r="B578" s="13"/>
      <c r="C578" s="13"/>
      <c r="D578" s="13"/>
      <c r="E578" s="14"/>
    </row>
    <row r="579">
      <c r="B579" s="13"/>
      <c r="C579" s="13"/>
      <c r="D579" s="13"/>
      <c r="E579" s="14"/>
    </row>
    <row r="580">
      <c r="B580" s="13"/>
      <c r="C580" s="13"/>
      <c r="D580" s="13"/>
      <c r="E580" s="14"/>
    </row>
    <row r="581">
      <c r="B581" s="13"/>
      <c r="C581" s="13"/>
      <c r="D581" s="13"/>
      <c r="E581" s="14"/>
    </row>
    <row r="582">
      <c r="B582" s="13"/>
      <c r="C582" s="13"/>
      <c r="D582" s="13"/>
      <c r="E582" s="14"/>
    </row>
    <row r="583">
      <c r="B583" s="13"/>
      <c r="C583" s="13"/>
      <c r="D583" s="13"/>
      <c r="E583" s="14"/>
    </row>
    <row r="584">
      <c r="B584" s="13"/>
      <c r="C584" s="13"/>
      <c r="D584" s="13"/>
      <c r="E584" s="14"/>
    </row>
    <row r="585">
      <c r="B585" s="13"/>
      <c r="C585" s="13"/>
      <c r="D585" s="13"/>
      <c r="E585" s="14"/>
    </row>
    <row r="586">
      <c r="B586" s="13"/>
      <c r="C586" s="13"/>
      <c r="D586" s="13"/>
      <c r="E586" s="14"/>
    </row>
    <row r="587">
      <c r="B587" s="13"/>
      <c r="C587" s="13"/>
      <c r="D587" s="13"/>
      <c r="E587" s="14"/>
    </row>
    <row r="588">
      <c r="B588" s="13"/>
      <c r="C588" s="13"/>
      <c r="D588" s="13"/>
      <c r="E588" s="14"/>
    </row>
    <row r="589">
      <c r="B589" s="13"/>
      <c r="C589" s="13"/>
      <c r="D589" s="13"/>
      <c r="E589" s="14"/>
    </row>
    <row r="590">
      <c r="B590" s="13"/>
      <c r="C590" s="13"/>
      <c r="D590" s="13"/>
      <c r="E590" s="14"/>
    </row>
    <row r="591">
      <c r="B591" s="13"/>
      <c r="C591" s="13"/>
      <c r="D591" s="13"/>
      <c r="E591" s="14"/>
    </row>
    <row r="592">
      <c r="B592" s="13"/>
      <c r="C592" s="13"/>
      <c r="D592" s="13"/>
      <c r="E592" s="14"/>
    </row>
    <row r="593">
      <c r="B593" s="13"/>
      <c r="C593" s="13"/>
      <c r="D593" s="13"/>
      <c r="E593" s="14"/>
    </row>
    <row r="594">
      <c r="B594" s="13"/>
      <c r="C594" s="13"/>
      <c r="D594" s="13"/>
      <c r="E594" s="14"/>
    </row>
    <row r="595">
      <c r="B595" s="13"/>
      <c r="C595" s="13"/>
      <c r="D595" s="13"/>
      <c r="E595" s="14"/>
    </row>
    <row r="596">
      <c r="B596" s="13"/>
      <c r="C596" s="13"/>
      <c r="D596" s="13"/>
      <c r="E596" s="14"/>
    </row>
    <row r="597">
      <c r="B597" s="13"/>
      <c r="C597" s="13"/>
      <c r="D597" s="13"/>
      <c r="E597" s="14"/>
    </row>
    <row r="598">
      <c r="B598" s="13"/>
      <c r="C598" s="13"/>
      <c r="D598" s="13"/>
      <c r="E598" s="14"/>
    </row>
    <row r="599">
      <c r="B599" s="13"/>
      <c r="C599" s="13"/>
      <c r="D599" s="13"/>
      <c r="E599" s="14"/>
    </row>
    <row r="600">
      <c r="B600" s="13"/>
      <c r="C600" s="13"/>
      <c r="D600" s="13"/>
      <c r="E600" s="14"/>
    </row>
    <row r="601">
      <c r="B601" s="13"/>
      <c r="C601" s="13"/>
      <c r="D601" s="13"/>
      <c r="E601" s="14"/>
    </row>
    <row r="602">
      <c r="B602" s="13"/>
      <c r="C602" s="13"/>
      <c r="D602" s="13"/>
      <c r="E602" s="14"/>
    </row>
    <row r="603">
      <c r="B603" s="13"/>
      <c r="C603" s="13"/>
      <c r="D603" s="13"/>
      <c r="E603" s="14"/>
    </row>
    <row r="604">
      <c r="B604" s="13"/>
      <c r="C604" s="13"/>
      <c r="D604" s="13"/>
      <c r="E604" s="14"/>
    </row>
    <row r="605">
      <c r="B605" s="13"/>
      <c r="C605" s="13"/>
      <c r="D605" s="13"/>
      <c r="E605" s="14"/>
    </row>
    <row r="606">
      <c r="B606" s="13"/>
      <c r="C606" s="13"/>
      <c r="D606" s="13"/>
      <c r="E606" s="14"/>
    </row>
    <row r="607">
      <c r="B607" s="13"/>
      <c r="C607" s="13"/>
      <c r="D607" s="13"/>
      <c r="E607" s="14"/>
    </row>
    <row r="608">
      <c r="B608" s="13"/>
      <c r="C608" s="13"/>
      <c r="D608" s="13"/>
      <c r="E608" s="14"/>
    </row>
    <row r="609">
      <c r="B609" s="13"/>
      <c r="C609" s="13"/>
      <c r="D609" s="13"/>
      <c r="E609" s="14"/>
    </row>
    <row r="610">
      <c r="B610" s="13"/>
      <c r="C610" s="13"/>
      <c r="D610" s="13"/>
      <c r="E610" s="14"/>
    </row>
    <row r="611">
      <c r="B611" s="13"/>
      <c r="C611" s="13"/>
      <c r="D611" s="13"/>
      <c r="E611" s="14"/>
    </row>
    <row r="612">
      <c r="B612" s="13"/>
      <c r="C612" s="13"/>
      <c r="D612" s="13"/>
      <c r="E612" s="14"/>
    </row>
    <row r="613">
      <c r="B613" s="13"/>
      <c r="C613" s="13"/>
      <c r="D613" s="13"/>
      <c r="E613" s="14"/>
    </row>
    <row r="614">
      <c r="B614" s="13"/>
      <c r="C614" s="13"/>
      <c r="D614" s="13"/>
      <c r="E614" s="14"/>
    </row>
    <row r="615">
      <c r="B615" s="13"/>
      <c r="C615" s="13"/>
      <c r="D615" s="13"/>
      <c r="E615" s="14"/>
    </row>
    <row r="616">
      <c r="B616" s="13"/>
      <c r="C616" s="13"/>
      <c r="D616" s="13"/>
      <c r="E616" s="14"/>
    </row>
    <row r="617">
      <c r="B617" s="13"/>
      <c r="C617" s="13"/>
      <c r="D617" s="13"/>
      <c r="E617" s="14"/>
    </row>
    <row r="618">
      <c r="B618" s="13"/>
      <c r="C618" s="13"/>
      <c r="D618" s="13"/>
      <c r="E618" s="14"/>
    </row>
    <row r="619">
      <c r="B619" s="13"/>
      <c r="C619" s="13"/>
      <c r="D619" s="13"/>
      <c r="E619" s="14"/>
    </row>
    <row r="620">
      <c r="B620" s="13"/>
      <c r="C620" s="13"/>
      <c r="D620" s="13"/>
      <c r="E620" s="14"/>
    </row>
    <row r="621">
      <c r="B621" s="13"/>
      <c r="C621" s="13"/>
      <c r="D621" s="13"/>
      <c r="E621" s="14"/>
    </row>
    <row r="622">
      <c r="B622" s="13"/>
      <c r="C622" s="13"/>
      <c r="D622" s="13"/>
      <c r="E622" s="14"/>
    </row>
    <row r="623">
      <c r="B623" s="13"/>
      <c r="C623" s="13"/>
      <c r="D623" s="13"/>
      <c r="E623" s="14"/>
    </row>
    <row r="624">
      <c r="B624" s="13"/>
      <c r="C624" s="13"/>
      <c r="D624" s="13"/>
      <c r="E624" s="14"/>
    </row>
    <row r="625">
      <c r="B625" s="13"/>
      <c r="C625" s="13"/>
      <c r="D625" s="13"/>
      <c r="E625" s="14"/>
    </row>
    <row r="626">
      <c r="B626" s="13"/>
      <c r="C626" s="13"/>
      <c r="D626" s="13"/>
      <c r="E626" s="14"/>
    </row>
    <row r="627">
      <c r="B627" s="13"/>
      <c r="C627" s="13"/>
      <c r="D627" s="13"/>
      <c r="E627" s="14"/>
    </row>
    <row r="628">
      <c r="B628" s="13"/>
      <c r="C628" s="13"/>
      <c r="D628" s="13"/>
      <c r="E628" s="14"/>
    </row>
    <row r="629">
      <c r="B629" s="13"/>
      <c r="C629" s="13"/>
      <c r="D629" s="13"/>
      <c r="E629" s="14"/>
    </row>
    <row r="630">
      <c r="B630" s="13"/>
      <c r="C630" s="13"/>
      <c r="D630" s="13"/>
      <c r="E630" s="14"/>
    </row>
    <row r="631">
      <c r="B631" s="13"/>
      <c r="C631" s="13"/>
      <c r="D631" s="13"/>
      <c r="E631" s="14"/>
    </row>
    <row r="632">
      <c r="B632" s="13"/>
      <c r="C632" s="13"/>
      <c r="D632" s="13"/>
      <c r="E632" s="14"/>
    </row>
    <row r="633">
      <c r="B633" s="13"/>
      <c r="C633" s="13"/>
      <c r="D633" s="13"/>
      <c r="E633" s="14"/>
    </row>
    <row r="634">
      <c r="B634" s="13"/>
      <c r="C634" s="13"/>
      <c r="D634" s="13"/>
      <c r="E634" s="14"/>
    </row>
    <row r="635">
      <c r="B635" s="13"/>
      <c r="C635" s="13"/>
      <c r="D635" s="13"/>
      <c r="E635" s="14"/>
    </row>
    <row r="636">
      <c r="B636" s="13"/>
      <c r="C636" s="13"/>
      <c r="D636" s="13"/>
      <c r="E636" s="14"/>
    </row>
    <row r="637">
      <c r="B637" s="13"/>
      <c r="C637" s="13"/>
      <c r="D637" s="13"/>
      <c r="E637" s="14"/>
    </row>
    <row r="638">
      <c r="B638" s="13"/>
      <c r="C638" s="13"/>
      <c r="D638" s="13"/>
      <c r="E638" s="14"/>
    </row>
    <row r="639">
      <c r="B639" s="13"/>
      <c r="C639" s="13"/>
      <c r="D639" s="13"/>
      <c r="E639" s="14"/>
    </row>
    <row r="640">
      <c r="B640" s="13"/>
      <c r="C640" s="13"/>
      <c r="D640" s="13"/>
      <c r="E640" s="14"/>
    </row>
    <row r="641">
      <c r="B641" s="13"/>
      <c r="C641" s="13"/>
      <c r="D641" s="13"/>
      <c r="E641" s="14"/>
    </row>
    <row r="642">
      <c r="B642" s="13"/>
      <c r="C642" s="13"/>
      <c r="D642" s="13"/>
      <c r="E642" s="14"/>
    </row>
    <row r="643">
      <c r="B643" s="13"/>
      <c r="C643" s="13"/>
      <c r="D643" s="13"/>
      <c r="E643" s="14"/>
    </row>
    <row r="644">
      <c r="B644" s="13"/>
      <c r="C644" s="13"/>
      <c r="D644" s="13"/>
      <c r="E644" s="14"/>
    </row>
    <row r="645">
      <c r="B645" s="13"/>
      <c r="C645" s="13"/>
      <c r="D645" s="13"/>
      <c r="E645" s="14"/>
    </row>
    <row r="646">
      <c r="B646" s="13"/>
      <c r="C646" s="13"/>
      <c r="D646" s="13"/>
      <c r="E646" s="14"/>
    </row>
    <row r="647">
      <c r="B647" s="13"/>
      <c r="C647" s="13"/>
      <c r="D647" s="13"/>
      <c r="E647" s="14"/>
    </row>
    <row r="648">
      <c r="B648" s="13"/>
      <c r="C648" s="13"/>
      <c r="D648" s="13"/>
      <c r="E648" s="14"/>
    </row>
    <row r="649">
      <c r="B649" s="13"/>
      <c r="C649" s="13"/>
      <c r="D649" s="13"/>
      <c r="E649" s="14"/>
    </row>
    <row r="650">
      <c r="B650" s="13"/>
      <c r="C650" s="13"/>
      <c r="D650" s="13"/>
      <c r="E650" s="14"/>
    </row>
    <row r="651">
      <c r="B651" s="13"/>
      <c r="C651" s="13"/>
      <c r="D651" s="13"/>
      <c r="E651" s="14"/>
    </row>
    <row r="652">
      <c r="B652" s="13"/>
      <c r="C652" s="13"/>
      <c r="D652" s="13"/>
      <c r="E652" s="14"/>
    </row>
    <row r="653">
      <c r="B653" s="13"/>
      <c r="C653" s="13"/>
      <c r="D653" s="13"/>
      <c r="E653" s="14"/>
    </row>
    <row r="654">
      <c r="B654" s="13"/>
      <c r="C654" s="13"/>
      <c r="D654" s="13"/>
      <c r="E654" s="14"/>
    </row>
    <row r="655">
      <c r="B655" s="13"/>
      <c r="C655" s="13"/>
      <c r="D655" s="13"/>
      <c r="E655" s="14"/>
    </row>
    <row r="656">
      <c r="B656" s="13"/>
      <c r="C656" s="13"/>
      <c r="D656" s="13"/>
      <c r="E656" s="14"/>
    </row>
    <row r="657">
      <c r="B657" s="13"/>
      <c r="C657" s="13"/>
      <c r="D657" s="13"/>
      <c r="E657" s="14"/>
    </row>
    <row r="658">
      <c r="B658" s="13"/>
      <c r="C658" s="13"/>
      <c r="D658" s="13"/>
      <c r="E658" s="14"/>
    </row>
    <row r="659">
      <c r="B659" s="13"/>
      <c r="C659" s="13"/>
      <c r="D659" s="13"/>
      <c r="E659" s="14"/>
    </row>
    <row r="660">
      <c r="B660" s="13"/>
      <c r="C660" s="13"/>
      <c r="D660" s="13"/>
      <c r="E660" s="14"/>
    </row>
    <row r="661">
      <c r="B661" s="13"/>
      <c r="C661" s="13"/>
      <c r="D661" s="13"/>
      <c r="E661" s="14"/>
    </row>
    <row r="662">
      <c r="B662" s="13"/>
      <c r="C662" s="13"/>
      <c r="D662" s="13"/>
      <c r="E662" s="14"/>
    </row>
    <row r="663">
      <c r="B663" s="13"/>
      <c r="C663" s="13"/>
      <c r="D663" s="13"/>
      <c r="E663" s="14"/>
    </row>
    <row r="664">
      <c r="B664" s="13"/>
      <c r="C664" s="13"/>
      <c r="D664" s="13"/>
      <c r="E664" s="14"/>
    </row>
    <row r="665">
      <c r="B665" s="13"/>
      <c r="C665" s="13"/>
      <c r="D665" s="13"/>
      <c r="E665" s="14"/>
    </row>
    <row r="666">
      <c r="B666" s="13"/>
      <c r="C666" s="13"/>
      <c r="D666" s="13"/>
      <c r="E666" s="14"/>
    </row>
    <row r="667">
      <c r="B667" s="13"/>
      <c r="C667" s="13"/>
      <c r="D667" s="13"/>
      <c r="E667" s="14"/>
    </row>
    <row r="668">
      <c r="B668" s="13"/>
      <c r="C668" s="13"/>
      <c r="D668" s="13"/>
      <c r="E668" s="14"/>
    </row>
    <row r="669">
      <c r="B669" s="13"/>
      <c r="C669" s="13"/>
      <c r="D669" s="13"/>
      <c r="E669" s="14"/>
    </row>
    <row r="670">
      <c r="B670" s="13"/>
      <c r="C670" s="13"/>
      <c r="D670" s="13"/>
      <c r="E670" s="14"/>
    </row>
    <row r="671">
      <c r="B671" s="13"/>
      <c r="C671" s="13"/>
      <c r="D671" s="13"/>
      <c r="E671" s="14"/>
    </row>
    <row r="672">
      <c r="B672" s="13"/>
      <c r="C672" s="13"/>
      <c r="D672" s="13"/>
      <c r="E672" s="14"/>
    </row>
    <row r="673">
      <c r="B673" s="13"/>
      <c r="C673" s="13"/>
      <c r="D673" s="13"/>
      <c r="E673" s="14"/>
    </row>
    <row r="674">
      <c r="B674" s="13"/>
      <c r="C674" s="13"/>
      <c r="D674" s="13"/>
      <c r="E674" s="14"/>
    </row>
    <row r="675">
      <c r="B675" s="13"/>
      <c r="C675" s="13"/>
      <c r="D675" s="13"/>
      <c r="E675" s="14"/>
    </row>
    <row r="676">
      <c r="B676" s="13"/>
      <c r="C676" s="13"/>
      <c r="D676" s="13"/>
      <c r="E676" s="14"/>
    </row>
    <row r="677">
      <c r="B677" s="13"/>
      <c r="C677" s="13"/>
      <c r="D677" s="13"/>
      <c r="E677" s="14"/>
    </row>
    <row r="678">
      <c r="B678" s="13"/>
      <c r="C678" s="13"/>
      <c r="D678" s="13"/>
      <c r="E678" s="14"/>
    </row>
    <row r="679">
      <c r="B679" s="13"/>
      <c r="C679" s="13"/>
      <c r="D679" s="13"/>
      <c r="E679" s="14"/>
    </row>
    <row r="680">
      <c r="B680" s="13"/>
      <c r="C680" s="13"/>
      <c r="D680" s="13"/>
      <c r="E680" s="14"/>
    </row>
    <row r="681">
      <c r="B681" s="13"/>
      <c r="C681" s="13"/>
      <c r="D681" s="13"/>
      <c r="E681" s="14"/>
    </row>
    <row r="682">
      <c r="B682" s="13"/>
      <c r="C682" s="13"/>
      <c r="D682" s="13"/>
      <c r="E682" s="14"/>
    </row>
    <row r="683">
      <c r="B683" s="13"/>
      <c r="C683" s="13"/>
      <c r="D683" s="13"/>
      <c r="E683" s="14"/>
    </row>
    <row r="684">
      <c r="B684" s="13"/>
      <c r="C684" s="13"/>
      <c r="D684" s="13"/>
      <c r="E684" s="14"/>
    </row>
    <row r="685">
      <c r="B685" s="13"/>
      <c r="C685" s="13"/>
      <c r="D685" s="13"/>
      <c r="E685" s="14"/>
    </row>
    <row r="686">
      <c r="B686" s="13"/>
      <c r="C686" s="13"/>
      <c r="D686" s="13"/>
      <c r="E686" s="14"/>
    </row>
    <row r="687">
      <c r="B687" s="13"/>
      <c r="C687" s="13"/>
      <c r="D687" s="13"/>
      <c r="E687" s="14"/>
    </row>
    <row r="688">
      <c r="B688" s="13"/>
      <c r="C688" s="13"/>
      <c r="D688" s="13"/>
      <c r="E688" s="14"/>
    </row>
    <row r="689">
      <c r="B689" s="13"/>
      <c r="C689" s="13"/>
      <c r="D689" s="13"/>
      <c r="E689" s="14"/>
    </row>
    <row r="690">
      <c r="B690" s="13"/>
      <c r="C690" s="13"/>
      <c r="D690" s="13"/>
      <c r="E690" s="14"/>
    </row>
    <row r="691">
      <c r="B691" s="13"/>
      <c r="C691" s="13"/>
      <c r="D691" s="13"/>
      <c r="E691" s="14"/>
    </row>
    <row r="692">
      <c r="B692" s="13"/>
      <c r="C692" s="13"/>
      <c r="D692" s="13"/>
      <c r="E692" s="14"/>
    </row>
    <row r="693">
      <c r="B693" s="13"/>
      <c r="C693" s="13"/>
      <c r="D693" s="13"/>
      <c r="E693" s="14"/>
    </row>
    <row r="694">
      <c r="B694" s="13"/>
      <c r="C694" s="13"/>
      <c r="D694" s="13"/>
      <c r="E694" s="14"/>
    </row>
    <row r="695">
      <c r="B695" s="13"/>
      <c r="C695" s="13"/>
      <c r="D695" s="13"/>
      <c r="E695" s="14"/>
    </row>
    <row r="696">
      <c r="B696" s="13"/>
      <c r="C696" s="13"/>
      <c r="D696" s="13"/>
      <c r="E696" s="14"/>
    </row>
    <row r="697">
      <c r="B697" s="13"/>
      <c r="C697" s="13"/>
      <c r="D697" s="13"/>
      <c r="E697" s="14"/>
    </row>
    <row r="698">
      <c r="B698" s="13"/>
      <c r="C698" s="13"/>
      <c r="D698" s="13"/>
      <c r="E698" s="14"/>
    </row>
    <row r="699">
      <c r="B699" s="13"/>
      <c r="C699" s="13"/>
      <c r="D699" s="13"/>
      <c r="E699" s="14"/>
    </row>
    <row r="700">
      <c r="B700" s="13"/>
      <c r="C700" s="13"/>
      <c r="D700" s="13"/>
      <c r="E700" s="14"/>
    </row>
    <row r="701">
      <c r="B701" s="13"/>
      <c r="C701" s="13"/>
      <c r="D701" s="13"/>
      <c r="E701" s="14"/>
    </row>
    <row r="702">
      <c r="B702" s="13"/>
      <c r="C702" s="13"/>
      <c r="D702" s="13"/>
      <c r="E702" s="14"/>
    </row>
    <row r="703">
      <c r="B703" s="13"/>
      <c r="C703" s="13"/>
      <c r="D703" s="13"/>
      <c r="E703" s="14"/>
    </row>
    <row r="704">
      <c r="B704" s="13"/>
      <c r="C704" s="13"/>
      <c r="D704" s="13"/>
      <c r="E704" s="14"/>
    </row>
    <row r="705">
      <c r="B705" s="13"/>
      <c r="C705" s="13"/>
      <c r="D705" s="13"/>
      <c r="E705" s="14"/>
    </row>
    <row r="706">
      <c r="B706" s="13"/>
      <c r="C706" s="13"/>
      <c r="D706" s="13"/>
      <c r="E706" s="14"/>
    </row>
    <row r="707">
      <c r="B707" s="13"/>
      <c r="C707" s="13"/>
      <c r="D707" s="13"/>
      <c r="E707" s="14"/>
    </row>
    <row r="708">
      <c r="B708" s="13"/>
      <c r="C708" s="13"/>
      <c r="D708" s="13"/>
      <c r="E708" s="14"/>
    </row>
    <row r="709">
      <c r="B709" s="13"/>
      <c r="C709" s="13"/>
      <c r="D709" s="13"/>
      <c r="E709" s="14"/>
    </row>
    <row r="710">
      <c r="B710" s="13"/>
      <c r="C710" s="13"/>
      <c r="D710" s="13"/>
      <c r="E710" s="14"/>
    </row>
    <row r="711">
      <c r="B711" s="13"/>
      <c r="C711" s="13"/>
      <c r="D711" s="13"/>
      <c r="E711" s="14"/>
    </row>
    <row r="712">
      <c r="B712" s="13"/>
      <c r="C712" s="13"/>
      <c r="D712" s="13"/>
      <c r="E712" s="14"/>
    </row>
    <row r="713">
      <c r="B713" s="13"/>
      <c r="C713" s="13"/>
      <c r="D713" s="13"/>
      <c r="E713" s="14"/>
    </row>
    <row r="714">
      <c r="B714" s="13"/>
      <c r="C714" s="13"/>
      <c r="D714" s="13"/>
      <c r="E714" s="14"/>
    </row>
    <row r="715">
      <c r="B715" s="13"/>
      <c r="C715" s="13"/>
      <c r="D715" s="13"/>
      <c r="E715" s="14"/>
    </row>
    <row r="716">
      <c r="B716" s="13"/>
      <c r="C716" s="13"/>
      <c r="D716" s="13"/>
      <c r="E716" s="14"/>
    </row>
    <row r="717">
      <c r="B717" s="13"/>
      <c r="C717" s="13"/>
      <c r="D717" s="13"/>
      <c r="E717" s="14"/>
    </row>
    <row r="718">
      <c r="B718" s="13"/>
      <c r="C718" s="13"/>
      <c r="D718" s="13"/>
      <c r="E718" s="14"/>
    </row>
    <row r="719">
      <c r="B719" s="13"/>
      <c r="C719" s="13"/>
      <c r="D719" s="13"/>
      <c r="E719" s="14"/>
    </row>
    <row r="720">
      <c r="B720" s="13"/>
      <c r="C720" s="13"/>
      <c r="D720" s="13"/>
      <c r="E720" s="14"/>
    </row>
    <row r="721">
      <c r="B721" s="13"/>
      <c r="C721" s="13"/>
      <c r="D721" s="13"/>
      <c r="E721" s="14"/>
    </row>
    <row r="722">
      <c r="B722" s="13"/>
      <c r="C722" s="13"/>
      <c r="D722" s="13"/>
      <c r="E722" s="14"/>
    </row>
    <row r="723">
      <c r="B723" s="13"/>
      <c r="C723" s="13"/>
      <c r="D723" s="13"/>
      <c r="E723" s="14"/>
    </row>
    <row r="724">
      <c r="B724" s="13"/>
      <c r="C724" s="13"/>
      <c r="D724" s="13"/>
      <c r="E724" s="14"/>
    </row>
    <row r="725">
      <c r="B725" s="13"/>
      <c r="C725" s="13"/>
      <c r="D725" s="13"/>
      <c r="E725" s="14"/>
    </row>
    <row r="726">
      <c r="B726" s="13"/>
      <c r="C726" s="13"/>
      <c r="D726" s="13"/>
      <c r="E726" s="14"/>
    </row>
    <row r="727">
      <c r="B727" s="13"/>
      <c r="C727" s="13"/>
      <c r="D727" s="13"/>
      <c r="E727" s="14"/>
    </row>
    <row r="728">
      <c r="B728" s="13"/>
      <c r="C728" s="13"/>
      <c r="D728" s="13"/>
      <c r="E728" s="14"/>
    </row>
    <row r="729">
      <c r="B729" s="13"/>
      <c r="C729" s="13"/>
      <c r="D729" s="13"/>
      <c r="E729" s="14"/>
    </row>
    <row r="730">
      <c r="B730" s="13"/>
      <c r="C730" s="13"/>
      <c r="D730" s="13"/>
      <c r="E730" s="14"/>
    </row>
    <row r="731">
      <c r="B731" s="13"/>
      <c r="C731" s="13"/>
      <c r="D731" s="13"/>
      <c r="E731" s="14"/>
    </row>
    <row r="732">
      <c r="B732" s="13"/>
      <c r="C732" s="13"/>
      <c r="D732" s="13"/>
      <c r="E732" s="14"/>
    </row>
    <row r="733">
      <c r="B733" s="13"/>
      <c r="C733" s="13"/>
      <c r="D733" s="13"/>
      <c r="E733" s="14"/>
    </row>
    <row r="734">
      <c r="B734" s="13"/>
      <c r="C734" s="13"/>
      <c r="D734" s="13"/>
      <c r="E734" s="14"/>
    </row>
    <row r="735">
      <c r="B735" s="13"/>
      <c r="C735" s="13"/>
      <c r="D735" s="13"/>
      <c r="E735" s="14"/>
    </row>
    <row r="736">
      <c r="B736" s="13"/>
      <c r="C736" s="13"/>
      <c r="D736" s="13"/>
      <c r="E736" s="14"/>
    </row>
    <row r="737">
      <c r="B737" s="13"/>
      <c r="C737" s="13"/>
      <c r="D737" s="13"/>
      <c r="E737" s="14"/>
    </row>
    <row r="738">
      <c r="B738" s="13"/>
      <c r="C738" s="13"/>
      <c r="D738" s="13"/>
      <c r="E738" s="14"/>
    </row>
    <row r="739">
      <c r="B739" s="13"/>
      <c r="C739" s="13"/>
      <c r="D739" s="13"/>
      <c r="E739" s="14"/>
    </row>
    <row r="740">
      <c r="B740" s="13"/>
      <c r="C740" s="13"/>
      <c r="D740" s="13"/>
      <c r="E740" s="14"/>
    </row>
    <row r="741">
      <c r="B741" s="13"/>
      <c r="C741" s="13"/>
      <c r="D741" s="13"/>
      <c r="E741" s="14"/>
    </row>
    <row r="742">
      <c r="B742" s="13"/>
      <c r="C742" s="13"/>
      <c r="D742" s="13"/>
      <c r="E742" s="14"/>
    </row>
    <row r="743">
      <c r="B743" s="13"/>
      <c r="C743" s="13"/>
      <c r="D743" s="13"/>
      <c r="E743" s="14"/>
    </row>
    <row r="744">
      <c r="B744" s="13"/>
      <c r="C744" s="13"/>
      <c r="D744" s="13"/>
      <c r="E744" s="14"/>
    </row>
    <row r="745">
      <c r="B745" s="13"/>
      <c r="C745" s="13"/>
      <c r="D745" s="13"/>
      <c r="E745" s="14"/>
    </row>
    <row r="746">
      <c r="B746" s="13"/>
      <c r="C746" s="13"/>
      <c r="D746" s="13"/>
      <c r="E746" s="14"/>
    </row>
    <row r="747">
      <c r="B747" s="13"/>
      <c r="C747" s="13"/>
      <c r="D747" s="13"/>
      <c r="E747" s="14"/>
    </row>
    <row r="748">
      <c r="B748" s="13"/>
      <c r="C748" s="13"/>
      <c r="D748" s="13"/>
      <c r="E748" s="14"/>
    </row>
    <row r="749">
      <c r="B749" s="13"/>
      <c r="C749" s="13"/>
      <c r="D749" s="13"/>
      <c r="E749" s="14"/>
    </row>
    <row r="750">
      <c r="B750" s="13"/>
      <c r="C750" s="13"/>
      <c r="D750" s="13"/>
      <c r="E750" s="14"/>
    </row>
    <row r="751">
      <c r="B751" s="13"/>
      <c r="C751" s="13"/>
      <c r="D751" s="13"/>
      <c r="E751" s="14"/>
    </row>
    <row r="752">
      <c r="B752" s="13"/>
      <c r="C752" s="13"/>
      <c r="D752" s="13"/>
      <c r="E752" s="14"/>
    </row>
    <row r="753">
      <c r="B753" s="13"/>
      <c r="C753" s="13"/>
      <c r="D753" s="13"/>
      <c r="E753" s="14"/>
    </row>
    <row r="754">
      <c r="B754" s="13"/>
      <c r="C754" s="13"/>
      <c r="D754" s="13"/>
      <c r="E754" s="14"/>
    </row>
    <row r="755">
      <c r="B755" s="13"/>
      <c r="C755" s="13"/>
      <c r="D755" s="13"/>
      <c r="E755" s="14"/>
    </row>
    <row r="756">
      <c r="B756" s="13"/>
      <c r="C756" s="13"/>
      <c r="D756" s="13"/>
      <c r="E756" s="14"/>
    </row>
    <row r="757">
      <c r="B757" s="13"/>
      <c r="C757" s="13"/>
      <c r="D757" s="13"/>
      <c r="E757" s="14"/>
    </row>
    <row r="758">
      <c r="B758" s="13"/>
      <c r="C758" s="13"/>
      <c r="D758" s="13"/>
      <c r="E758" s="14"/>
    </row>
    <row r="759">
      <c r="B759" s="13"/>
      <c r="C759" s="13"/>
      <c r="D759" s="13"/>
      <c r="E759" s="14"/>
    </row>
    <row r="760">
      <c r="B760" s="13"/>
      <c r="C760" s="13"/>
      <c r="D760" s="13"/>
      <c r="E760" s="14"/>
    </row>
    <row r="761">
      <c r="B761" s="13"/>
      <c r="C761" s="13"/>
      <c r="D761" s="13"/>
      <c r="E761" s="14"/>
    </row>
    <row r="762">
      <c r="B762" s="13"/>
      <c r="C762" s="13"/>
      <c r="D762" s="13"/>
      <c r="E762" s="14"/>
    </row>
    <row r="763">
      <c r="B763" s="13"/>
      <c r="C763" s="13"/>
      <c r="D763" s="13"/>
      <c r="E763" s="14"/>
    </row>
    <row r="764">
      <c r="B764" s="13"/>
      <c r="C764" s="13"/>
      <c r="D764" s="13"/>
      <c r="E764" s="14"/>
    </row>
    <row r="765">
      <c r="B765" s="13"/>
      <c r="C765" s="13"/>
      <c r="D765" s="13"/>
      <c r="E765" s="14"/>
    </row>
    <row r="766">
      <c r="B766" s="13"/>
      <c r="C766" s="13"/>
      <c r="D766" s="13"/>
      <c r="E766" s="14"/>
    </row>
    <row r="767">
      <c r="B767" s="13"/>
      <c r="C767" s="13"/>
      <c r="D767" s="13"/>
      <c r="E767" s="14"/>
    </row>
    <row r="768">
      <c r="B768" s="13"/>
      <c r="C768" s="13"/>
      <c r="D768" s="13"/>
      <c r="E768" s="14"/>
    </row>
    <row r="769">
      <c r="B769" s="13"/>
      <c r="C769" s="13"/>
      <c r="D769" s="13"/>
      <c r="E769" s="14"/>
    </row>
    <row r="770">
      <c r="B770" s="13"/>
      <c r="C770" s="13"/>
      <c r="D770" s="13"/>
      <c r="E770" s="14"/>
    </row>
    <row r="771">
      <c r="B771" s="13"/>
      <c r="C771" s="13"/>
      <c r="D771" s="13"/>
      <c r="E771" s="14"/>
    </row>
    <row r="772">
      <c r="B772" s="13"/>
      <c r="C772" s="13"/>
      <c r="D772" s="13"/>
      <c r="E772" s="14"/>
    </row>
    <row r="773">
      <c r="B773" s="13"/>
      <c r="C773" s="13"/>
      <c r="D773" s="13"/>
      <c r="E773" s="14"/>
    </row>
    <row r="774">
      <c r="B774" s="13"/>
      <c r="C774" s="13"/>
      <c r="D774" s="13"/>
      <c r="E774" s="14"/>
    </row>
    <row r="775">
      <c r="B775" s="13"/>
      <c r="C775" s="13"/>
      <c r="D775" s="13"/>
      <c r="E775" s="14"/>
    </row>
    <row r="776">
      <c r="B776" s="13"/>
      <c r="C776" s="13"/>
      <c r="D776" s="13"/>
      <c r="E776" s="14"/>
    </row>
    <row r="777">
      <c r="B777" s="13"/>
      <c r="C777" s="13"/>
      <c r="D777" s="13"/>
      <c r="E777" s="14"/>
    </row>
    <row r="778">
      <c r="B778" s="13"/>
      <c r="C778" s="13"/>
      <c r="D778" s="13"/>
      <c r="E778" s="14"/>
    </row>
    <row r="779">
      <c r="B779" s="13"/>
      <c r="C779" s="13"/>
      <c r="D779" s="13"/>
      <c r="E779" s="14"/>
    </row>
    <row r="780">
      <c r="B780" s="13"/>
      <c r="C780" s="13"/>
      <c r="D780" s="13"/>
      <c r="E780" s="14"/>
    </row>
    <row r="781">
      <c r="B781" s="13"/>
      <c r="C781" s="13"/>
      <c r="D781" s="13"/>
      <c r="E781" s="14"/>
    </row>
    <row r="782">
      <c r="B782" s="13"/>
      <c r="C782" s="13"/>
      <c r="D782" s="13"/>
      <c r="E782" s="14"/>
    </row>
    <row r="783">
      <c r="B783" s="13"/>
      <c r="C783" s="13"/>
      <c r="D783" s="13"/>
      <c r="E783" s="14"/>
    </row>
    <row r="784">
      <c r="B784" s="13"/>
      <c r="C784" s="13"/>
      <c r="D784" s="13"/>
      <c r="E784" s="14"/>
    </row>
    <row r="785">
      <c r="B785" s="13"/>
      <c r="C785" s="13"/>
      <c r="D785" s="13"/>
      <c r="E785" s="14"/>
    </row>
    <row r="786">
      <c r="B786" s="13"/>
      <c r="C786" s="13"/>
      <c r="D786" s="13"/>
      <c r="E786" s="14"/>
    </row>
    <row r="787">
      <c r="B787" s="13"/>
      <c r="C787" s="13"/>
      <c r="D787" s="13"/>
      <c r="E787" s="14"/>
    </row>
    <row r="788">
      <c r="B788" s="13"/>
      <c r="C788" s="13"/>
      <c r="D788" s="13"/>
      <c r="E788" s="14"/>
    </row>
    <row r="789">
      <c r="B789" s="13"/>
      <c r="C789" s="13"/>
      <c r="D789" s="13"/>
      <c r="E789" s="14"/>
    </row>
    <row r="790">
      <c r="B790" s="13"/>
      <c r="C790" s="13"/>
      <c r="D790" s="13"/>
      <c r="E790" s="14"/>
    </row>
    <row r="791">
      <c r="B791" s="13"/>
      <c r="C791" s="13"/>
      <c r="D791" s="13"/>
      <c r="E791" s="14"/>
    </row>
    <row r="792">
      <c r="B792" s="13"/>
      <c r="C792" s="13"/>
      <c r="D792" s="13"/>
      <c r="E792" s="14"/>
    </row>
    <row r="793">
      <c r="B793" s="13"/>
      <c r="C793" s="13"/>
      <c r="D793" s="13"/>
      <c r="E793" s="14"/>
    </row>
    <row r="794">
      <c r="B794" s="13"/>
      <c r="C794" s="13"/>
      <c r="D794" s="13"/>
      <c r="E794" s="14"/>
    </row>
    <row r="795">
      <c r="B795" s="13"/>
      <c r="C795" s="13"/>
      <c r="D795" s="13"/>
      <c r="E795" s="14"/>
    </row>
    <row r="796">
      <c r="B796" s="13"/>
      <c r="C796" s="13"/>
      <c r="D796" s="13"/>
      <c r="E796" s="14"/>
    </row>
    <row r="797">
      <c r="B797" s="13"/>
      <c r="C797" s="13"/>
      <c r="D797" s="13"/>
      <c r="E797" s="14"/>
    </row>
    <row r="798">
      <c r="B798" s="13"/>
      <c r="C798" s="13"/>
      <c r="D798" s="13"/>
      <c r="E798" s="14"/>
    </row>
    <row r="799">
      <c r="B799" s="13"/>
      <c r="C799" s="13"/>
      <c r="D799" s="13"/>
      <c r="E799" s="14"/>
    </row>
    <row r="800">
      <c r="B800" s="13"/>
      <c r="C800" s="13"/>
      <c r="D800" s="13"/>
      <c r="E800" s="14"/>
    </row>
    <row r="801">
      <c r="B801" s="13"/>
      <c r="C801" s="13"/>
      <c r="D801" s="13"/>
      <c r="E801" s="14"/>
    </row>
    <row r="802">
      <c r="B802" s="13"/>
      <c r="C802" s="13"/>
      <c r="D802" s="13"/>
      <c r="E802" s="14"/>
    </row>
    <row r="803">
      <c r="B803" s="13"/>
      <c r="C803" s="13"/>
      <c r="D803" s="13"/>
      <c r="E803" s="14"/>
    </row>
    <row r="804">
      <c r="B804" s="13"/>
      <c r="C804" s="13"/>
      <c r="D804" s="13"/>
      <c r="E804" s="14"/>
    </row>
    <row r="805">
      <c r="B805" s="13"/>
      <c r="C805" s="13"/>
      <c r="D805" s="13"/>
      <c r="E805" s="14"/>
    </row>
    <row r="806">
      <c r="B806" s="13"/>
      <c r="C806" s="13"/>
      <c r="D806" s="13"/>
      <c r="E806" s="14"/>
    </row>
    <row r="807">
      <c r="B807" s="13"/>
      <c r="C807" s="13"/>
      <c r="D807" s="13"/>
      <c r="E807" s="14"/>
    </row>
    <row r="808">
      <c r="B808" s="13"/>
      <c r="C808" s="13"/>
      <c r="D808" s="13"/>
      <c r="E808" s="14"/>
    </row>
    <row r="809">
      <c r="B809" s="13"/>
      <c r="C809" s="13"/>
      <c r="D809" s="13"/>
      <c r="E809" s="14"/>
    </row>
    <row r="810">
      <c r="B810" s="13"/>
      <c r="C810" s="13"/>
      <c r="D810" s="13"/>
      <c r="E810" s="14"/>
    </row>
    <row r="811">
      <c r="B811" s="13"/>
      <c r="C811" s="13"/>
      <c r="D811" s="13"/>
      <c r="E811" s="14"/>
    </row>
    <row r="812">
      <c r="B812" s="13"/>
      <c r="C812" s="13"/>
      <c r="D812" s="13"/>
      <c r="E812" s="14"/>
    </row>
    <row r="813">
      <c r="B813" s="13"/>
      <c r="C813" s="13"/>
      <c r="D813" s="13"/>
      <c r="E813" s="14"/>
    </row>
    <row r="814">
      <c r="B814" s="13"/>
      <c r="C814" s="13"/>
      <c r="D814" s="13"/>
      <c r="E814" s="14"/>
    </row>
    <row r="815">
      <c r="B815" s="13"/>
      <c r="C815" s="13"/>
      <c r="D815" s="13"/>
      <c r="E815" s="14"/>
    </row>
    <row r="816">
      <c r="B816" s="13"/>
      <c r="C816" s="13"/>
      <c r="D816" s="13"/>
      <c r="E816" s="14"/>
    </row>
    <row r="817">
      <c r="B817" s="13"/>
      <c r="C817" s="13"/>
      <c r="D817" s="13"/>
      <c r="E817" s="14"/>
    </row>
    <row r="818">
      <c r="B818" s="13"/>
      <c r="C818" s="13"/>
      <c r="D818" s="13"/>
      <c r="E818" s="14"/>
    </row>
    <row r="819">
      <c r="B819" s="13"/>
      <c r="C819" s="13"/>
      <c r="D819" s="13"/>
      <c r="E819" s="14"/>
    </row>
    <row r="820">
      <c r="B820" s="13"/>
      <c r="C820" s="13"/>
      <c r="D820" s="13"/>
      <c r="E820" s="14"/>
    </row>
    <row r="821">
      <c r="B821" s="13"/>
      <c r="C821" s="13"/>
      <c r="D821" s="13"/>
      <c r="E821" s="14"/>
    </row>
    <row r="822">
      <c r="B822" s="13"/>
      <c r="C822" s="13"/>
      <c r="D822" s="13"/>
      <c r="E822" s="14"/>
    </row>
    <row r="823">
      <c r="B823" s="13"/>
      <c r="C823" s="13"/>
      <c r="D823" s="13"/>
      <c r="E823" s="14"/>
    </row>
    <row r="824">
      <c r="B824" s="13"/>
      <c r="C824" s="13"/>
      <c r="D824" s="13"/>
      <c r="E824" s="14"/>
    </row>
    <row r="825">
      <c r="B825" s="13"/>
      <c r="C825" s="13"/>
      <c r="D825" s="13"/>
      <c r="E825" s="14"/>
    </row>
    <row r="826">
      <c r="B826" s="13"/>
      <c r="C826" s="13"/>
      <c r="D826" s="13"/>
      <c r="E826" s="14"/>
    </row>
    <row r="827">
      <c r="B827" s="13"/>
      <c r="C827" s="13"/>
      <c r="D827" s="13"/>
      <c r="E827" s="14"/>
    </row>
    <row r="828">
      <c r="B828" s="13"/>
      <c r="C828" s="13"/>
      <c r="D828" s="13"/>
      <c r="E828" s="14"/>
    </row>
    <row r="829">
      <c r="B829" s="13"/>
      <c r="C829" s="13"/>
      <c r="D829" s="13"/>
      <c r="E829" s="14"/>
    </row>
    <row r="830">
      <c r="B830" s="13"/>
      <c r="C830" s="13"/>
      <c r="D830" s="13"/>
      <c r="E830" s="14"/>
    </row>
    <row r="831">
      <c r="B831" s="13"/>
      <c r="C831" s="13"/>
      <c r="D831" s="13"/>
      <c r="E831" s="14"/>
    </row>
    <row r="832">
      <c r="B832" s="13"/>
      <c r="C832" s="13"/>
      <c r="D832" s="13"/>
      <c r="E832" s="14"/>
    </row>
    <row r="833">
      <c r="B833" s="13"/>
      <c r="C833" s="13"/>
      <c r="D833" s="13"/>
      <c r="E833" s="14"/>
    </row>
    <row r="834">
      <c r="B834" s="13"/>
      <c r="C834" s="13"/>
      <c r="D834" s="13"/>
      <c r="E834" s="14"/>
    </row>
    <row r="835">
      <c r="B835" s="13"/>
      <c r="C835" s="13"/>
      <c r="D835" s="13"/>
      <c r="E835" s="14"/>
    </row>
    <row r="836">
      <c r="B836" s="13"/>
      <c r="C836" s="13"/>
      <c r="D836" s="13"/>
      <c r="E836" s="14"/>
    </row>
    <row r="837">
      <c r="B837" s="13"/>
      <c r="C837" s="13"/>
      <c r="D837" s="13"/>
      <c r="E837" s="14"/>
    </row>
    <row r="838">
      <c r="B838" s="13"/>
      <c r="C838" s="13"/>
      <c r="D838" s="13"/>
      <c r="E838" s="14"/>
    </row>
    <row r="839">
      <c r="B839" s="13"/>
      <c r="C839" s="13"/>
      <c r="D839" s="13"/>
      <c r="E839" s="14"/>
    </row>
    <row r="840">
      <c r="B840" s="13"/>
      <c r="C840" s="13"/>
      <c r="D840" s="13"/>
      <c r="E840" s="14"/>
    </row>
    <row r="841">
      <c r="B841" s="13"/>
      <c r="C841" s="13"/>
      <c r="D841" s="13"/>
      <c r="E841" s="14"/>
    </row>
    <row r="842">
      <c r="B842" s="13"/>
      <c r="C842" s="13"/>
      <c r="D842" s="13"/>
      <c r="E842" s="14"/>
    </row>
    <row r="843">
      <c r="B843" s="13"/>
      <c r="C843" s="13"/>
      <c r="D843" s="13"/>
      <c r="E843" s="14"/>
    </row>
    <row r="844">
      <c r="B844" s="13"/>
      <c r="C844" s="13"/>
      <c r="D844" s="13"/>
      <c r="E844" s="14"/>
    </row>
    <row r="845">
      <c r="B845" s="13"/>
      <c r="C845" s="13"/>
      <c r="D845" s="13"/>
      <c r="E845" s="14"/>
    </row>
    <row r="846">
      <c r="B846" s="13"/>
      <c r="C846" s="13"/>
      <c r="D846" s="13"/>
      <c r="E846" s="14"/>
    </row>
    <row r="847">
      <c r="B847" s="13"/>
      <c r="C847" s="13"/>
      <c r="D847" s="13"/>
      <c r="E847" s="14"/>
    </row>
    <row r="848">
      <c r="B848" s="13"/>
      <c r="C848" s="13"/>
      <c r="D848" s="13"/>
      <c r="E848" s="14"/>
    </row>
    <row r="849">
      <c r="B849" s="13"/>
      <c r="C849" s="13"/>
      <c r="D849" s="13"/>
      <c r="E849" s="14"/>
    </row>
    <row r="850">
      <c r="B850" s="13"/>
      <c r="C850" s="13"/>
      <c r="D850" s="13"/>
      <c r="E850" s="14"/>
    </row>
    <row r="851">
      <c r="B851" s="13"/>
      <c r="C851" s="13"/>
      <c r="D851" s="13"/>
      <c r="E851" s="14"/>
    </row>
    <row r="852">
      <c r="B852" s="13"/>
      <c r="C852" s="13"/>
      <c r="D852" s="13"/>
      <c r="E852" s="14"/>
    </row>
    <row r="853">
      <c r="B853" s="13"/>
      <c r="C853" s="13"/>
      <c r="D853" s="13"/>
      <c r="E853" s="14"/>
    </row>
    <row r="854">
      <c r="B854" s="13"/>
      <c r="C854" s="13"/>
      <c r="D854" s="13"/>
      <c r="E854" s="14"/>
    </row>
    <row r="855">
      <c r="B855" s="13"/>
      <c r="C855" s="13"/>
      <c r="D855" s="13"/>
      <c r="E855" s="14"/>
    </row>
    <row r="856">
      <c r="B856" s="13"/>
      <c r="C856" s="13"/>
      <c r="D856" s="13"/>
      <c r="E856" s="14"/>
    </row>
    <row r="857">
      <c r="B857" s="13"/>
      <c r="C857" s="13"/>
      <c r="D857" s="13"/>
      <c r="E857" s="14"/>
    </row>
    <row r="858">
      <c r="B858" s="13"/>
      <c r="C858" s="13"/>
      <c r="D858" s="13"/>
      <c r="E858" s="14"/>
    </row>
    <row r="859">
      <c r="B859" s="13"/>
      <c r="C859" s="13"/>
      <c r="D859" s="13"/>
      <c r="E859" s="14"/>
    </row>
    <row r="860">
      <c r="B860" s="13"/>
      <c r="C860" s="13"/>
      <c r="D860" s="13"/>
      <c r="E860" s="14"/>
    </row>
    <row r="861">
      <c r="B861" s="13"/>
      <c r="C861" s="13"/>
      <c r="D861" s="13"/>
      <c r="E861" s="14"/>
    </row>
    <row r="862">
      <c r="B862" s="13"/>
      <c r="C862" s="13"/>
      <c r="D862" s="13"/>
      <c r="E862" s="14"/>
    </row>
    <row r="863">
      <c r="B863" s="13"/>
      <c r="C863" s="13"/>
      <c r="D863" s="13"/>
      <c r="E863" s="14"/>
    </row>
    <row r="864">
      <c r="B864" s="13"/>
      <c r="C864" s="13"/>
      <c r="D864" s="13"/>
      <c r="E864" s="14"/>
    </row>
    <row r="865">
      <c r="B865" s="13"/>
      <c r="C865" s="13"/>
      <c r="D865" s="13"/>
      <c r="E865" s="14"/>
    </row>
    <row r="866">
      <c r="B866" s="13"/>
      <c r="C866" s="13"/>
      <c r="D866" s="13"/>
      <c r="E866" s="14"/>
    </row>
    <row r="867">
      <c r="B867" s="13"/>
      <c r="C867" s="13"/>
      <c r="D867" s="13"/>
      <c r="E867" s="14"/>
    </row>
    <row r="868">
      <c r="B868" s="13"/>
      <c r="C868" s="13"/>
      <c r="D868" s="13"/>
      <c r="E868" s="14"/>
    </row>
    <row r="869">
      <c r="B869" s="13"/>
      <c r="C869" s="13"/>
      <c r="D869" s="13"/>
      <c r="E869" s="14"/>
    </row>
    <row r="870">
      <c r="B870" s="13"/>
      <c r="C870" s="13"/>
      <c r="D870" s="13"/>
      <c r="E870" s="14"/>
    </row>
    <row r="871">
      <c r="B871" s="13"/>
      <c r="C871" s="13"/>
      <c r="D871" s="13"/>
      <c r="E871" s="14"/>
    </row>
    <row r="872">
      <c r="B872" s="13"/>
      <c r="C872" s="13"/>
      <c r="D872" s="13"/>
      <c r="E872" s="14"/>
    </row>
    <row r="873">
      <c r="B873" s="13"/>
      <c r="C873" s="13"/>
      <c r="D873" s="13"/>
      <c r="E873" s="14"/>
    </row>
    <row r="874">
      <c r="B874" s="13"/>
      <c r="C874" s="13"/>
      <c r="D874" s="13"/>
      <c r="E874" s="14"/>
    </row>
    <row r="875">
      <c r="B875" s="13"/>
      <c r="C875" s="13"/>
      <c r="D875" s="13"/>
      <c r="E875" s="14"/>
    </row>
    <row r="876">
      <c r="B876" s="13"/>
      <c r="C876" s="13"/>
      <c r="D876" s="13"/>
      <c r="E876" s="14"/>
    </row>
    <row r="877">
      <c r="B877" s="13"/>
      <c r="C877" s="13"/>
      <c r="D877" s="13"/>
      <c r="E877" s="14"/>
    </row>
    <row r="878">
      <c r="B878" s="13"/>
      <c r="C878" s="13"/>
      <c r="D878" s="13"/>
      <c r="E878" s="14"/>
    </row>
    <row r="879">
      <c r="B879" s="13"/>
      <c r="C879" s="13"/>
      <c r="D879" s="13"/>
      <c r="E879" s="14"/>
    </row>
    <row r="880">
      <c r="B880" s="13"/>
      <c r="C880" s="13"/>
      <c r="D880" s="13"/>
      <c r="E880" s="14"/>
    </row>
    <row r="881">
      <c r="B881" s="13"/>
      <c r="C881" s="13"/>
      <c r="D881" s="13"/>
      <c r="E881" s="14"/>
    </row>
    <row r="882">
      <c r="B882" s="13"/>
      <c r="C882" s="13"/>
      <c r="D882" s="13"/>
      <c r="E882" s="14"/>
    </row>
    <row r="883">
      <c r="B883" s="13"/>
      <c r="C883" s="13"/>
      <c r="D883" s="13"/>
      <c r="E883" s="14"/>
    </row>
    <row r="884">
      <c r="B884" s="13"/>
      <c r="C884" s="13"/>
      <c r="D884" s="13"/>
      <c r="E884" s="14"/>
    </row>
    <row r="885">
      <c r="B885" s="13"/>
      <c r="C885" s="13"/>
      <c r="D885" s="13"/>
      <c r="E885" s="14"/>
    </row>
    <row r="886">
      <c r="B886" s="13"/>
      <c r="C886" s="13"/>
      <c r="D886" s="13"/>
      <c r="E886" s="14"/>
    </row>
    <row r="887">
      <c r="B887" s="13"/>
      <c r="C887" s="13"/>
      <c r="D887" s="13"/>
      <c r="E887" s="14"/>
    </row>
    <row r="888">
      <c r="B888" s="13"/>
      <c r="C888" s="13"/>
      <c r="D888" s="13"/>
      <c r="E888" s="14"/>
    </row>
    <row r="889">
      <c r="B889" s="13"/>
      <c r="C889" s="13"/>
      <c r="D889" s="13"/>
      <c r="E889" s="14"/>
    </row>
    <row r="890">
      <c r="B890" s="13"/>
      <c r="C890" s="13"/>
      <c r="D890" s="13"/>
      <c r="E890" s="14"/>
    </row>
    <row r="891">
      <c r="B891" s="13"/>
      <c r="C891" s="13"/>
      <c r="D891" s="13"/>
      <c r="E891" s="14"/>
    </row>
    <row r="892">
      <c r="B892" s="13"/>
      <c r="C892" s="13"/>
      <c r="D892" s="13"/>
      <c r="E892" s="14"/>
    </row>
    <row r="893">
      <c r="B893" s="13"/>
      <c r="C893" s="13"/>
      <c r="D893" s="13"/>
      <c r="E893" s="14"/>
    </row>
    <row r="894">
      <c r="B894" s="13"/>
      <c r="C894" s="13"/>
      <c r="D894" s="13"/>
      <c r="E894" s="14"/>
    </row>
    <row r="895">
      <c r="B895" s="13"/>
      <c r="C895" s="13"/>
      <c r="D895" s="13"/>
      <c r="E895" s="14"/>
    </row>
    <row r="896">
      <c r="B896" s="13"/>
      <c r="C896" s="13"/>
      <c r="D896" s="13"/>
      <c r="E896" s="14"/>
    </row>
    <row r="897">
      <c r="B897" s="13"/>
      <c r="C897" s="13"/>
      <c r="D897" s="13"/>
      <c r="E897" s="14"/>
    </row>
    <row r="898">
      <c r="B898" s="13"/>
      <c r="C898" s="13"/>
      <c r="D898" s="13"/>
      <c r="E898" s="14"/>
    </row>
    <row r="899">
      <c r="B899" s="13"/>
      <c r="C899" s="13"/>
      <c r="D899" s="13"/>
      <c r="E899" s="14"/>
    </row>
    <row r="900">
      <c r="B900" s="13"/>
      <c r="C900" s="13"/>
      <c r="D900" s="13"/>
      <c r="E900" s="14"/>
    </row>
    <row r="901">
      <c r="B901" s="13"/>
      <c r="C901" s="13"/>
      <c r="D901" s="13"/>
      <c r="E901" s="14"/>
    </row>
    <row r="902">
      <c r="B902" s="13"/>
      <c r="C902" s="13"/>
      <c r="D902" s="13"/>
      <c r="E902" s="14"/>
    </row>
    <row r="903">
      <c r="B903" s="13"/>
      <c r="C903" s="13"/>
      <c r="D903" s="13"/>
      <c r="E903" s="14"/>
    </row>
    <row r="904">
      <c r="B904" s="13"/>
      <c r="C904" s="13"/>
      <c r="D904" s="13"/>
      <c r="E904" s="14"/>
    </row>
    <row r="905">
      <c r="B905" s="13"/>
      <c r="C905" s="13"/>
      <c r="D905" s="13"/>
      <c r="E905" s="14"/>
    </row>
    <row r="906">
      <c r="B906" s="13"/>
      <c r="C906" s="13"/>
      <c r="D906" s="13"/>
      <c r="E906" s="14"/>
    </row>
    <row r="907">
      <c r="B907" s="13"/>
      <c r="C907" s="13"/>
      <c r="D907" s="13"/>
      <c r="E907" s="14"/>
    </row>
    <row r="908">
      <c r="B908" s="13"/>
      <c r="C908" s="13"/>
      <c r="D908" s="13"/>
      <c r="E908" s="14"/>
    </row>
    <row r="909">
      <c r="B909" s="13"/>
      <c r="C909" s="13"/>
      <c r="D909" s="13"/>
      <c r="E909" s="14"/>
    </row>
    <row r="910">
      <c r="B910" s="13"/>
      <c r="C910" s="13"/>
      <c r="D910" s="13"/>
      <c r="E910" s="14"/>
    </row>
    <row r="911">
      <c r="B911" s="13"/>
      <c r="C911" s="13"/>
      <c r="D911" s="13"/>
      <c r="E911" s="14"/>
    </row>
    <row r="912">
      <c r="B912" s="13"/>
      <c r="C912" s="13"/>
      <c r="D912" s="13"/>
      <c r="E912" s="14"/>
    </row>
    <row r="913">
      <c r="B913" s="13"/>
      <c r="C913" s="13"/>
      <c r="D913" s="13"/>
      <c r="E913" s="14"/>
    </row>
    <row r="914">
      <c r="B914" s="13"/>
      <c r="C914" s="13"/>
      <c r="D914" s="13"/>
      <c r="E914" s="14"/>
    </row>
    <row r="915">
      <c r="B915" s="13"/>
      <c r="C915" s="13"/>
      <c r="D915" s="13"/>
      <c r="E915" s="14"/>
    </row>
    <row r="916">
      <c r="B916" s="13"/>
      <c r="C916" s="13"/>
      <c r="D916" s="13"/>
      <c r="E916" s="14"/>
    </row>
    <row r="917">
      <c r="B917" s="13"/>
      <c r="C917" s="13"/>
      <c r="D917" s="13"/>
      <c r="E917" s="14"/>
    </row>
    <row r="918">
      <c r="B918" s="13"/>
      <c r="C918" s="13"/>
      <c r="D918" s="13"/>
      <c r="E918" s="14"/>
    </row>
    <row r="919">
      <c r="B919" s="13"/>
      <c r="C919" s="13"/>
      <c r="D919" s="13"/>
      <c r="E919" s="14"/>
    </row>
    <row r="920">
      <c r="B920" s="13"/>
      <c r="C920" s="13"/>
      <c r="D920" s="13"/>
      <c r="E920" s="14"/>
    </row>
    <row r="921">
      <c r="B921" s="13"/>
      <c r="C921" s="13"/>
      <c r="D921" s="13"/>
      <c r="E921" s="14"/>
    </row>
    <row r="922">
      <c r="B922" s="13"/>
      <c r="C922" s="13"/>
      <c r="D922" s="13"/>
      <c r="E922" s="14"/>
    </row>
    <row r="923">
      <c r="B923" s="13"/>
      <c r="C923" s="13"/>
      <c r="D923" s="13"/>
      <c r="E923" s="14"/>
    </row>
    <row r="924">
      <c r="B924" s="13"/>
      <c r="C924" s="13"/>
      <c r="D924" s="13"/>
      <c r="E924" s="14"/>
    </row>
    <row r="925">
      <c r="B925" s="13"/>
      <c r="C925" s="13"/>
      <c r="D925" s="13"/>
      <c r="E925" s="14"/>
    </row>
    <row r="926">
      <c r="B926" s="13"/>
      <c r="C926" s="13"/>
      <c r="D926" s="13"/>
      <c r="E926" s="14"/>
    </row>
    <row r="927">
      <c r="B927" s="13"/>
      <c r="C927" s="13"/>
      <c r="D927" s="13"/>
      <c r="E927" s="14"/>
    </row>
    <row r="928">
      <c r="B928" s="13"/>
      <c r="C928" s="13"/>
      <c r="D928" s="13"/>
      <c r="E928" s="14"/>
    </row>
    <row r="929">
      <c r="B929" s="13"/>
      <c r="C929" s="13"/>
      <c r="D929" s="13"/>
      <c r="E929" s="14"/>
    </row>
    <row r="930">
      <c r="B930" s="13"/>
      <c r="C930" s="13"/>
      <c r="D930" s="13"/>
      <c r="E930" s="14"/>
    </row>
    <row r="931">
      <c r="B931" s="13"/>
      <c r="C931" s="13"/>
      <c r="D931" s="13"/>
      <c r="E931" s="14"/>
    </row>
    <row r="932">
      <c r="B932" s="13"/>
      <c r="C932" s="13"/>
      <c r="D932" s="13"/>
      <c r="E932" s="14"/>
    </row>
    <row r="933">
      <c r="B933" s="13"/>
      <c r="C933" s="13"/>
      <c r="D933" s="13"/>
      <c r="E933" s="14"/>
    </row>
    <row r="934">
      <c r="B934" s="13"/>
      <c r="C934" s="13"/>
      <c r="D934" s="13"/>
      <c r="E934" s="14"/>
    </row>
    <row r="935">
      <c r="B935" s="13"/>
      <c r="C935" s="13"/>
      <c r="D935" s="13"/>
      <c r="E935" s="14"/>
    </row>
    <row r="936">
      <c r="B936" s="13"/>
      <c r="C936" s="13"/>
      <c r="D936" s="13"/>
      <c r="E936" s="14"/>
    </row>
    <row r="937">
      <c r="B937" s="13"/>
      <c r="C937" s="13"/>
      <c r="D937" s="13"/>
      <c r="E937" s="14"/>
    </row>
    <row r="938">
      <c r="B938" s="13"/>
      <c r="C938" s="13"/>
      <c r="D938" s="13"/>
      <c r="E938" s="14"/>
    </row>
    <row r="939">
      <c r="B939" s="13"/>
      <c r="C939" s="13"/>
      <c r="D939" s="13"/>
      <c r="E939" s="14"/>
    </row>
    <row r="940">
      <c r="B940" s="13"/>
      <c r="C940" s="13"/>
      <c r="D940" s="13"/>
      <c r="E940" s="14"/>
    </row>
    <row r="941">
      <c r="B941" s="13"/>
      <c r="C941" s="13"/>
      <c r="D941" s="13"/>
      <c r="E941" s="14"/>
    </row>
    <row r="942">
      <c r="B942" s="13"/>
      <c r="C942" s="13"/>
      <c r="D942" s="13"/>
      <c r="E942" s="14"/>
    </row>
    <row r="943">
      <c r="B943" s="13"/>
      <c r="C943" s="13"/>
      <c r="D943" s="13"/>
      <c r="E943" s="14"/>
    </row>
    <row r="944">
      <c r="B944" s="13"/>
      <c r="C944" s="13"/>
      <c r="D944" s="13"/>
      <c r="E944" s="14"/>
    </row>
    <row r="945">
      <c r="B945" s="13"/>
      <c r="C945" s="13"/>
      <c r="D945" s="13"/>
      <c r="E945" s="14"/>
    </row>
    <row r="946">
      <c r="B946" s="13"/>
      <c r="C946" s="13"/>
      <c r="D946" s="13"/>
      <c r="E946" s="14"/>
    </row>
    <row r="947">
      <c r="B947" s="13"/>
      <c r="C947" s="13"/>
      <c r="D947" s="13"/>
      <c r="E947" s="14"/>
    </row>
    <row r="948">
      <c r="B948" s="13"/>
      <c r="C948" s="13"/>
      <c r="D948" s="13"/>
      <c r="E948" s="14"/>
    </row>
    <row r="949">
      <c r="B949" s="13"/>
      <c r="C949" s="13"/>
      <c r="D949" s="13"/>
      <c r="E949" s="14"/>
    </row>
    <row r="950">
      <c r="B950" s="13"/>
      <c r="C950" s="13"/>
      <c r="D950" s="13"/>
      <c r="E950" s="14"/>
    </row>
    <row r="951">
      <c r="B951" s="13"/>
      <c r="C951" s="13"/>
      <c r="D951" s="13"/>
      <c r="E951" s="14"/>
    </row>
    <row r="952">
      <c r="B952" s="13"/>
      <c r="C952" s="13"/>
      <c r="D952" s="13"/>
      <c r="E952" s="14"/>
    </row>
    <row r="953">
      <c r="B953" s="13"/>
      <c r="C953" s="13"/>
      <c r="D953" s="13"/>
      <c r="E953" s="14"/>
    </row>
    <row r="954">
      <c r="B954" s="13"/>
      <c r="C954" s="13"/>
      <c r="D954" s="13"/>
      <c r="E954" s="14"/>
    </row>
    <row r="955">
      <c r="B955" s="13"/>
      <c r="C955" s="13"/>
      <c r="D955" s="13"/>
      <c r="E955" s="14"/>
    </row>
    <row r="956">
      <c r="B956" s="13"/>
      <c r="C956" s="13"/>
      <c r="D956" s="13"/>
      <c r="E956" s="14"/>
    </row>
    <row r="957">
      <c r="B957" s="13"/>
      <c r="C957" s="13"/>
      <c r="D957" s="13"/>
      <c r="E957" s="14"/>
    </row>
    <row r="958">
      <c r="B958" s="13"/>
      <c r="C958" s="13"/>
      <c r="D958" s="13"/>
      <c r="E958" s="14"/>
    </row>
    <row r="959">
      <c r="B959" s="13"/>
      <c r="C959" s="13"/>
      <c r="D959" s="13"/>
      <c r="E959" s="14"/>
    </row>
    <row r="960">
      <c r="B960" s="13"/>
      <c r="C960" s="13"/>
      <c r="D960" s="13"/>
      <c r="E960" s="14"/>
    </row>
    <row r="961">
      <c r="B961" s="13"/>
      <c r="C961" s="13"/>
      <c r="D961" s="13"/>
      <c r="E961" s="14"/>
    </row>
    <row r="962">
      <c r="B962" s="13"/>
      <c r="C962" s="13"/>
      <c r="D962" s="13"/>
      <c r="E962" s="14"/>
    </row>
    <row r="963">
      <c r="B963" s="13"/>
      <c r="C963" s="13"/>
      <c r="D963" s="13"/>
      <c r="E963" s="14"/>
    </row>
    <row r="964">
      <c r="B964" s="13"/>
      <c r="C964" s="13"/>
      <c r="D964" s="13"/>
      <c r="E964" s="14"/>
    </row>
    <row r="965">
      <c r="B965" s="13"/>
      <c r="C965" s="13"/>
      <c r="D965" s="13"/>
      <c r="E965" s="14"/>
    </row>
    <row r="966">
      <c r="B966" s="13"/>
      <c r="C966" s="13"/>
      <c r="D966" s="13"/>
      <c r="E966" s="14"/>
    </row>
    <row r="967">
      <c r="B967" s="13"/>
      <c r="C967" s="13"/>
      <c r="D967" s="13"/>
      <c r="E967" s="14"/>
    </row>
    <row r="968">
      <c r="B968" s="13"/>
      <c r="C968" s="13"/>
      <c r="D968" s="13"/>
      <c r="E968" s="14"/>
    </row>
    <row r="969">
      <c r="B969" s="13"/>
      <c r="C969" s="13"/>
      <c r="D969" s="13"/>
      <c r="E969" s="14"/>
    </row>
    <row r="970">
      <c r="B970" s="13"/>
      <c r="C970" s="13"/>
      <c r="D970" s="13"/>
      <c r="E970" s="14"/>
    </row>
    <row r="971">
      <c r="B971" s="13"/>
      <c r="C971" s="13"/>
      <c r="D971" s="13"/>
      <c r="E971" s="14"/>
    </row>
    <row r="972">
      <c r="B972" s="13"/>
      <c r="C972" s="13"/>
      <c r="D972" s="13"/>
      <c r="E972" s="14"/>
    </row>
    <row r="973">
      <c r="B973" s="13"/>
      <c r="C973" s="13"/>
      <c r="D973" s="13"/>
      <c r="E973" s="14"/>
    </row>
    <row r="974">
      <c r="B974" s="13"/>
      <c r="C974" s="13"/>
      <c r="D974" s="13"/>
      <c r="E974" s="14"/>
    </row>
    <row r="975">
      <c r="B975" s="13"/>
      <c r="C975" s="13"/>
      <c r="D975" s="13"/>
      <c r="E975" s="14"/>
    </row>
    <row r="976">
      <c r="B976" s="13"/>
      <c r="C976" s="13"/>
      <c r="D976" s="13"/>
      <c r="E976" s="14"/>
    </row>
    <row r="977">
      <c r="B977" s="13"/>
      <c r="C977" s="13"/>
      <c r="D977" s="13"/>
      <c r="E977" s="14"/>
    </row>
    <row r="978">
      <c r="B978" s="13"/>
      <c r="C978" s="13"/>
      <c r="D978" s="13"/>
      <c r="E978" s="14"/>
    </row>
    <row r="979">
      <c r="B979" s="13"/>
      <c r="C979" s="13"/>
      <c r="D979" s="13"/>
      <c r="E979" s="14"/>
    </row>
    <row r="980">
      <c r="B980" s="13"/>
      <c r="C980" s="13"/>
      <c r="D980" s="13"/>
      <c r="E980" s="14"/>
    </row>
    <row r="981">
      <c r="B981" s="13"/>
      <c r="C981" s="13"/>
      <c r="D981" s="13"/>
      <c r="E981" s="14"/>
    </row>
    <row r="982">
      <c r="B982" s="13"/>
      <c r="C982" s="13"/>
      <c r="D982" s="13"/>
      <c r="E982" s="14"/>
    </row>
    <row r="983">
      <c r="B983" s="13"/>
      <c r="C983" s="13"/>
      <c r="D983" s="13"/>
      <c r="E983" s="14"/>
    </row>
    <row r="984">
      <c r="B984" s="13"/>
      <c r="C984" s="13"/>
      <c r="D984" s="13"/>
      <c r="E984" s="14"/>
    </row>
    <row r="985">
      <c r="B985" s="13"/>
      <c r="C985" s="13"/>
      <c r="D985" s="13"/>
      <c r="E985" s="14"/>
    </row>
    <row r="986">
      <c r="B986" s="13"/>
      <c r="C986" s="13"/>
      <c r="D986" s="13"/>
      <c r="E986" s="14"/>
    </row>
    <row r="987">
      <c r="B987" s="13"/>
      <c r="C987" s="13"/>
      <c r="D987" s="13"/>
      <c r="E987" s="14"/>
    </row>
    <row r="988">
      <c r="B988" s="13"/>
      <c r="C988" s="13"/>
      <c r="D988" s="13"/>
      <c r="E988" s="14"/>
    </row>
    <row r="989">
      <c r="B989" s="13"/>
      <c r="C989" s="13"/>
      <c r="D989" s="13"/>
      <c r="E989" s="14"/>
    </row>
  </sheetData>
  <mergeCells count="1">
    <mergeCell ref="G1:H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29.38"/>
    <col customWidth="1" min="3" max="6" width="17.0"/>
    <col customWidth="1" min="7" max="7" width="39.0"/>
    <col customWidth="1" min="8" max="8" width="5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G1" s="3" t="s">
        <v>5</v>
      </c>
      <c r="H1" s="4"/>
    </row>
    <row r="2">
      <c r="A2" s="15" t="s">
        <v>92</v>
      </c>
      <c r="B2" s="16" t="s">
        <v>93</v>
      </c>
      <c r="C2" s="16" t="s">
        <v>94</v>
      </c>
      <c r="D2" s="16"/>
      <c r="E2" s="17">
        <v>0.22916666666666666</v>
      </c>
      <c r="G2" s="18"/>
      <c r="H2" s="4"/>
    </row>
    <row r="3">
      <c r="A3" s="19" t="s">
        <v>95</v>
      </c>
      <c r="B3" s="16" t="s">
        <v>7</v>
      </c>
      <c r="C3" s="16" t="s">
        <v>8</v>
      </c>
      <c r="D3" s="16">
        <v>17.0</v>
      </c>
      <c r="E3" s="17">
        <v>0.25</v>
      </c>
      <c r="G3" s="8" t="s">
        <v>9</v>
      </c>
      <c r="H3" s="8">
        <v>16.0</v>
      </c>
    </row>
    <row r="4">
      <c r="A4" s="19" t="s">
        <v>96</v>
      </c>
      <c r="B4" s="16" t="s">
        <v>97</v>
      </c>
      <c r="C4" s="16" t="s">
        <v>12</v>
      </c>
      <c r="D4" s="16">
        <v>35.0</v>
      </c>
      <c r="E4" s="17">
        <v>0.25</v>
      </c>
      <c r="G4" s="8" t="s">
        <v>13</v>
      </c>
      <c r="H4" s="8">
        <v>8.0</v>
      </c>
    </row>
    <row r="5">
      <c r="A5" s="19" t="s">
        <v>98</v>
      </c>
      <c r="B5" s="16" t="s">
        <v>15</v>
      </c>
      <c r="C5" s="16" t="s">
        <v>16</v>
      </c>
      <c r="D5" s="16">
        <v>6.0</v>
      </c>
      <c r="E5" s="17">
        <v>0.25</v>
      </c>
    </row>
    <row r="6">
      <c r="A6" s="19" t="s">
        <v>99</v>
      </c>
      <c r="B6" s="16" t="s">
        <v>18</v>
      </c>
      <c r="C6" s="16" t="s">
        <v>19</v>
      </c>
      <c r="D6" s="16">
        <v>29.0</v>
      </c>
      <c r="E6" s="17">
        <v>0.25</v>
      </c>
      <c r="G6" s="9" t="s">
        <v>20</v>
      </c>
      <c r="H6" s="9" t="s">
        <v>100</v>
      </c>
    </row>
    <row r="7">
      <c r="A7" s="19" t="s">
        <v>101</v>
      </c>
      <c r="B7" s="16" t="s">
        <v>102</v>
      </c>
      <c r="C7" s="16" t="s">
        <v>23</v>
      </c>
      <c r="D7" s="16">
        <v>47.0</v>
      </c>
      <c r="E7" s="17">
        <v>0.25</v>
      </c>
      <c r="G7" s="9" t="s">
        <v>24</v>
      </c>
      <c r="H7" s="9" t="s">
        <v>103</v>
      </c>
    </row>
    <row r="8">
      <c r="A8" s="20" t="s">
        <v>104</v>
      </c>
      <c r="B8" s="21" t="s">
        <v>27</v>
      </c>
      <c r="C8" s="21" t="s">
        <v>28</v>
      </c>
      <c r="D8" s="21">
        <v>14.0</v>
      </c>
      <c r="E8" s="22">
        <v>0.2708333333333333</v>
      </c>
      <c r="F8" s="23"/>
      <c r="G8" s="24" t="s">
        <v>1</v>
      </c>
      <c r="H8" s="24" t="s">
        <v>105</v>
      </c>
    </row>
    <row r="9">
      <c r="A9" s="25" t="s">
        <v>106</v>
      </c>
      <c r="B9" s="16" t="s">
        <v>34</v>
      </c>
      <c r="C9" s="16" t="s">
        <v>35</v>
      </c>
      <c r="D9" s="16">
        <v>7.0</v>
      </c>
      <c r="E9" s="17">
        <v>0.2708333333333333</v>
      </c>
    </row>
    <row r="10">
      <c r="A10" s="25" t="s">
        <v>107</v>
      </c>
      <c r="B10" s="16" t="s">
        <v>37</v>
      </c>
      <c r="C10" s="16" t="s">
        <v>38</v>
      </c>
      <c r="D10" s="16">
        <v>46.0</v>
      </c>
      <c r="E10" s="17">
        <v>0.2916666666666667</v>
      </c>
    </row>
    <row r="11">
      <c r="A11" s="25" t="s">
        <v>108</v>
      </c>
      <c r="B11" s="16" t="s">
        <v>109</v>
      </c>
      <c r="C11" s="16" t="s">
        <v>42</v>
      </c>
      <c r="D11" s="16">
        <v>21.0</v>
      </c>
      <c r="E11" s="17">
        <v>0.2916666666666667</v>
      </c>
    </row>
    <row r="12">
      <c r="A12" s="25" t="s">
        <v>110</v>
      </c>
      <c r="B12" s="16" t="s">
        <v>109</v>
      </c>
      <c r="C12" s="16" t="s">
        <v>42</v>
      </c>
      <c r="D12" s="16">
        <v>49.0</v>
      </c>
      <c r="E12" s="17">
        <v>0.2916666666666667</v>
      </c>
    </row>
    <row r="13">
      <c r="A13" s="25" t="s">
        <v>111</v>
      </c>
      <c r="B13" s="16" t="s">
        <v>44</v>
      </c>
      <c r="C13" s="16" t="s">
        <v>45</v>
      </c>
      <c r="D13" s="16">
        <v>91.0</v>
      </c>
      <c r="E13" s="17">
        <v>0.2916666666666667</v>
      </c>
    </row>
    <row r="14">
      <c r="A14" s="25" t="s">
        <v>112</v>
      </c>
      <c r="B14" s="16" t="s">
        <v>44</v>
      </c>
      <c r="C14" s="16" t="s">
        <v>45</v>
      </c>
      <c r="D14" s="16">
        <v>90.0</v>
      </c>
      <c r="E14" s="17">
        <v>0.2916666666666667</v>
      </c>
    </row>
    <row r="15">
      <c r="A15" s="25" t="s">
        <v>113</v>
      </c>
      <c r="B15" s="16" t="s">
        <v>109</v>
      </c>
      <c r="C15" s="16" t="s">
        <v>45</v>
      </c>
      <c r="D15" s="16">
        <v>48.0</v>
      </c>
      <c r="E15" s="17">
        <v>0.2916666666666667</v>
      </c>
    </row>
    <row r="16">
      <c r="A16" s="25" t="s">
        <v>114</v>
      </c>
      <c r="B16" s="16" t="s">
        <v>48</v>
      </c>
      <c r="C16" s="16" t="s">
        <v>49</v>
      </c>
      <c r="D16" s="16">
        <v>12.0</v>
      </c>
      <c r="E16" s="17">
        <v>0.2916666666666667</v>
      </c>
    </row>
    <row r="17">
      <c r="A17" s="25" t="s">
        <v>115</v>
      </c>
      <c r="B17" s="16" t="s">
        <v>54</v>
      </c>
      <c r="C17" s="16" t="s">
        <v>55</v>
      </c>
      <c r="D17" s="16">
        <v>28.0</v>
      </c>
      <c r="E17" s="17">
        <v>0.2916666666666667</v>
      </c>
    </row>
    <row r="18">
      <c r="A18" s="25" t="s">
        <v>116</v>
      </c>
      <c r="B18" s="16" t="s">
        <v>61</v>
      </c>
      <c r="C18" s="16" t="s">
        <v>62</v>
      </c>
      <c r="D18" s="16">
        <v>19.0</v>
      </c>
      <c r="E18" s="17">
        <v>0.2916666666666667</v>
      </c>
    </row>
    <row r="19">
      <c r="A19" s="25" t="s">
        <v>117</v>
      </c>
      <c r="B19" s="16" t="s">
        <v>118</v>
      </c>
      <c r="C19" s="16" t="s">
        <v>58</v>
      </c>
      <c r="D19" s="16">
        <v>27.0</v>
      </c>
      <c r="E19" s="17">
        <v>0.2916666666666667</v>
      </c>
    </row>
    <row r="20">
      <c r="A20" s="25" t="s">
        <v>119</v>
      </c>
      <c r="B20" s="16" t="s">
        <v>65</v>
      </c>
      <c r="C20" s="16" t="s">
        <v>66</v>
      </c>
      <c r="D20" s="16">
        <v>33.0</v>
      </c>
      <c r="E20" s="17">
        <v>0.2916666666666667</v>
      </c>
    </row>
    <row r="21">
      <c r="A21" s="26" t="s">
        <v>120</v>
      </c>
      <c r="B21" s="16" t="s">
        <v>121</v>
      </c>
      <c r="C21" s="16" t="s">
        <v>122</v>
      </c>
      <c r="D21" s="16">
        <v>20.0</v>
      </c>
      <c r="E21" s="17">
        <v>0.3125</v>
      </c>
    </row>
    <row r="22">
      <c r="A22" s="25" t="s">
        <v>123</v>
      </c>
      <c r="B22" s="16" t="s">
        <v>124</v>
      </c>
      <c r="C22" s="16" t="s">
        <v>69</v>
      </c>
      <c r="D22" s="16">
        <v>13.0</v>
      </c>
      <c r="E22" s="17">
        <v>0.3125</v>
      </c>
    </row>
    <row r="23">
      <c r="A23" s="25" t="s">
        <v>125</v>
      </c>
      <c r="B23" s="16" t="s">
        <v>75</v>
      </c>
      <c r="C23" s="16" t="s">
        <v>76</v>
      </c>
      <c r="D23" s="16">
        <v>22.0</v>
      </c>
      <c r="E23" s="17">
        <v>0.3125</v>
      </c>
    </row>
    <row r="24">
      <c r="A24" s="27" t="s">
        <v>126</v>
      </c>
      <c r="B24" s="16" t="s">
        <v>71</v>
      </c>
      <c r="C24" s="16" t="s">
        <v>72</v>
      </c>
      <c r="D24" s="16">
        <v>25.0</v>
      </c>
      <c r="E24" s="17">
        <v>0.3125</v>
      </c>
    </row>
    <row r="25">
      <c r="A25" s="28" t="s">
        <v>127</v>
      </c>
      <c r="B25" s="28" t="s">
        <v>37</v>
      </c>
      <c r="C25" s="28" t="s">
        <v>38</v>
      </c>
      <c r="D25" s="28">
        <v>88.0</v>
      </c>
      <c r="E25" s="29">
        <v>0.3333333333333333</v>
      </c>
    </row>
  </sheetData>
  <mergeCells count="2">
    <mergeCell ref="G1:H1"/>
    <mergeCell ref="G2:H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24.0"/>
    <col customWidth="1" min="7" max="7" width="5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G1" s="3" t="s">
        <v>5</v>
      </c>
      <c r="H1" s="4"/>
    </row>
    <row r="2">
      <c r="A2" s="30" t="s">
        <v>128</v>
      </c>
      <c r="B2" s="31" t="s">
        <v>129</v>
      </c>
      <c r="C2" s="28" t="s">
        <v>8</v>
      </c>
      <c r="D2" s="28">
        <v>13.0</v>
      </c>
      <c r="E2" s="29">
        <v>0.25</v>
      </c>
      <c r="G2" s="8" t="s">
        <v>9</v>
      </c>
      <c r="H2" s="8">
        <v>12.0</v>
      </c>
    </row>
    <row r="3">
      <c r="A3" s="30" t="s">
        <v>130</v>
      </c>
      <c r="B3" s="31" t="s">
        <v>97</v>
      </c>
      <c r="C3" s="28" t="s">
        <v>12</v>
      </c>
      <c r="D3" s="28" t="s">
        <v>131</v>
      </c>
      <c r="E3" s="29">
        <v>0.25</v>
      </c>
      <c r="G3" s="8" t="s">
        <v>13</v>
      </c>
      <c r="H3" s="8">
        <v>8.0</v>
      </c>
    </row>
    <row r="4">
      <c r="A4" s="30" t="s">
        <v>132</v>
      </c>
      <c r="B4" s="31" t="s">
        <v>15</v>
      </c>
      <c r="C4" s="28" t="s">
        <v>16</v>
      </c>
      <c r="D4" s="28">
        <v>5.0</v>
      </c>
      <c r="E4" s="29">
        <v>0.25</v>
      </c>
    </row>
    <row r="5">
      <c r="A5" s="30" t="s">
        <v>133</v>
      </c>
      <c r="B5" s="31" t="s">
        <v>18</v>
      </c>
      <c r="C5" s="28" t="s">
        <v>19</v>
      </c>
      <c r="D5" s="28" t="s">
        <v>131</v>
      </c>
      <c r="E5" s="29">
        <v>0.25</v>
      </c>
      <c r="G5" s="9" t="s">
        <v>20</v>
      </c>
      <c r="H5" s="9">
        <v>18.0</v>
      </c>
    </row>
    <row r="6">
      <c r="A6" s="32" t="s">
        <v>134</v>
      </c>
      <c r="B6" s="33" t="s">
        <v>22</v>
      </c>
      <c r="C6" s="34" t="s">
        <v>23</v>
      </c>
      <c r="D6" s="34">
        <v>45.0</v>
      </c>
      <c r="E6" s="35">
        <v>0.25</v>
      </c>
      <c r="F6" s="23"/>
      <c r="G6" s="36" t="s">
        <v>135</v>
      </c>
      <c r="H6" s="37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30" t="s">
        <v>136</v>
      </c>
      <c r="B7" s="31" t="s">
        <v>137</v>
      </c>
      <c r="C7" s="28" t="s">
        <v>138</v>
      </c>
      <c r="D7" s="28">
        <v>18.0</v>
      </c>
      <c r="E7" s="29">
        <v>0.25</v>
      </c>
      <c r="G7" s="10" t="s">
        <v>139</v>
      </c>
      <c r="H7" s="38"/>
    </row>
    <row r="8">
      <c r="A8" s="12" t="s">
        <v>140</v>
      </c>
      <c r="B8" s="31" t="s">
        <v>27</v>
      </c>
      <c r="C8" s="28" t="s">
        <v>28</v>
      </c>
      <c r="D8" s="28" t="s">
        <v>25</v>
      </c>
      <c r="E8" s="29">
        <v>0.2708333333333333</v>
      </c>
    </row>
    <row r="9">
      <c r="A9" s="39" t="s">
        <v>141</v>
      </c>
      <c r="B9" s="31" t="s">
        <v>34</v>
      </c>
      <c r="C9" s="28" t="s">
        <v>35</v>
      </c>
      <c r="D9" s="28">
        <v>12.0</v>
      </c>
      <c r="E9" s="29">
        <v>0.2708333333333333</v>
      </c>
    </row>
    <row r="10">
      <c r="A10" s="39" t="s">
        <v>142</v>
      </c>
      <c r="B10" s="31" t="s">
        <v>31</v>
      </c>
      <c r="C10" s="28" t="s">
        <v>32</v>
      </c>
      <c r="D10" s="28" t="s">
        <v>25</v>
      </c>
      <c r="E10" s="29">
        <v>0.2708333333333333</v>
      </c>
    </row>
    <row r="11">
      <c r="A11" s="39" t="s">
        <v>143</v>
      </c>
      <c r="B11" s="31" t="s">
        <v>37</v>
      </c>
      <c r="C11" s="28" t="s">
        <v>38</v>
      </c>
      <c r="D11" s="28">
        <v>89.0</v>
      </c>
      <c r="E11" s="29">
        <v>0.2916666666666667</v>
      </c>
    </row>
    <row r="12">
      <c r="A12" s="39" t="s">
        <v>144</v>
      </c>
      <c r="B12" s="31" t="s">
        <v>37</v>
      </c>
      <c r="C12" s="28" t="s">
        <v>38</v>
      </c>
      <c r="D12" s="28">
        <v>88.0</v>
      </c>
      <c r="E12" s="29">
        <v>0.2916666666666667</v>
      </c>
    </row>
    <row r="13">
      <c r="A13" s="39" t="s">
        <v>145</v>
      </c>
      <c r="B13" s="31" t="s">
        <v>146</v>
      </c>
      <c r="C13" s="28" t="s">
        <v>42</v>
      </c>
      <c r="D13" s="28">
        <v>87.0</v>
      </c>
      <c r="E13" s="29">
        <v>0.2916666666666667</v>
      </c>
    </row>
    <row r="14">
      <c r="A14" s="12" t="s">
        <v>147</v>
      </c>
      <c r="B14" s="31" t="s">
        <v>84</v>
      </c>
      <c r="C14" s="28" t="s">
        <v>85</v>
      </c>
      <c r="D14" s="28">
        <v>47.0</v>
      </c>
      <c r="E14" s="29">
        <v>0.2916666666666667</v>
      </c>
    </row>
    <row r="15">
      <c r="A15" s="39" t="s">
        <v>148</v>
      </c>
      <c r="B15" s="31" t="s">
        <v>149</v>
      </c>
      <c r="C15" s="28" t="s">
        <v>45</v>
      </c>
      <c r="D15" s="28">
        <v>91.0</v>
      </c>
      <c r="E15" s="29">
        <v>0.2916666666666667</v>
      </c>
    </row>
    <row r="16">
      <c r="A16" s="39" t="s">
        <v>150</v>
      </c>
      <c r="B16" s="31" t="s">
        <v>149</v>
      </c>
      <c r="C16" s="28" t="s">
        <v>45</v>
      </c>
      <c r="D16" s="28">
        <v>90.0</v>
      </c>
      <c r="E16" s="29">
        <v>0.2916666666666667</v>
      </c>
    </row>
    <row r="17">
      <c r="A17" s="39" t="s">
        <v>151</v>
      </c>
      <c r="B17" s="31" t="s">
        <v>48</v>
      </c>
      <c r="C17" s="28" t="s">
        <v>49</v>
      </c>
      <c r="D17" s="28">
        <v>14.0</v>
      </c>
      <c r="E17" s="29">
        <v>0.2916666666666667</v>
      </c>
    </row>
    <row r="18">
      <c r="A18" s="39" t="s">
        <v>152</v>
      </c>
      <c r="B18" s="31" t="s">
        <v>51</v>
      </c>
      <c r="C18" s="28" t="s">
        <v>52</v>
      </c>
      <c r="D18" s="28">
        <v>8.0</v>
      </c>
      <c r="E18" s="29">
        <v>0.2916666666666667</v>
      </c>
    </row>
    <row r="19">
      <c r="A19" s="39" t="s">
        <v>153</v>
      </c>
      <c r="B19" s="31" t="s">
        <v>61</v>
      </c>
      <c r="C19" s="28" t="s">
        <v>62</v>
      </c>
      <c r="D19" s="28">
        <v>19.0</v>
      </c>
      <c r="E19" s="29">
        <v>0.2916666666666667</v>
      </c>
    </row>
    <row r="20">
      <c r="A20" s="12" t="s">
        <v>154</v>
      </c>
      <c r="B20" s="31" t="s">
        <v>54</v>
      </c>
      <c r="C20" s="28" t="s">
        <v>58</v>
      </c>
      <c r="D20" s="28" t="s">
        <v>25</v>
      </c>
      <c r="E20" s="29">
        <v>0.2916666666666667</v>
      </c>
    </row>
    <row r="21">
      <c r="A21" s="40" t="s">
        <v>155</v>
      </c>
      <c r="B21" s="31" t="s">
        <v>156</v>
      </c>
      <c r="C21" s="28" t="s">
        <v>157</v>
      </c>
      <c r="D21" s="28">
        <v>26.0</v>
      </c>
      <c r="E21" s="29">
        <v>0.3125</v>
      </c>
    </row>
    <row r="22">
      <c r="A22" s="41" t="s">
        <v>158</v>
      </c>
      <c r="B22" s="31" t="s">
        <v>159</v>
      </c>
      <c r="C22" s="28" t="s">
        <v>79</v>
      </c>
      <c r="D22" s="28">
        <v>15.0</v>
      </c>
      <c r="E22" s="29">
        <v>0.3125</v>
      </c>
    </row>
    <row r="23">
      <c r="A23" s="39" t="s">
        <v>160</v>
      </c>
      <c r="B23" s="31" t="s">
        <v>65</v>
      </c>
      <c r="C23" s="28" t="s">
        <v>66</v>
      </c>
      <c r="D23" s="28">
        <v>33.0</v>
      </c>
      <c r="E23" s="29">
        <v>0.2916666666666667</v>
      </c>
    </row>
    <row r="24">
      <c r="A24" s="39" t="s">
        <v>161</v>
      </c>
      <c r="B24" s="31" t="s">
        <v>68</v>
      </c>
      <c r="C24" s="28" t="s">
        <v>69</v>
      </c>
      <c r="D24" s="28">
        <v>7.0</v>
      </c>
      <c r="E24" s="29">
        <v>0.3125</v>
      </c>
    </row>
    <row r="25">
      <c r="A25" s="42" t="s">
        <v>162</v>
      </c>
      <c r="B25" s="31" t="s">
        <v>118</v>
      </c>
      <c r="C25" s="28" t="s">
        <v>58</v>
      </c>
      <c r="D25" s="28">
        <v>23.0</v>
      </c>
      <c r="E25" s="29">
        <v>0.2916666666666667</v>
      </c>
    </row>
    <row r="26">
      <c r="A26" s="43" t="s">
        <v>163</v>
      </c>
      <c r="B26" s="31" t="s">
        <v>164</v>
      </c>
      <c r="C26" s="28" t="s">
        <v>76</v>
      </c>
      <c r="D26" s="28">
        <v>32.0</v>
      </c>
      <c r="E26" s="29">
        <v>0.3125</v>
      </c>
    </row>
    <row r="27">
      <c r="A27" s="11" t="s">
        <v>165</v>
      </c>
      <c r="B27" s="31" t="s">
        <v>88</v>
      </c>
      <c r="C27" s="28" t="s">
        <v>166</v>
      </c>
      <c r="D27" s="28" t="s">
        <v>167</v>
      </c>
      <c r="E27" s="29">
        <v>0.2916666666666667</v>
      </c>
    </row>
    <row r="28">
      <c r="A28" s="11" t="s">
        <v>168</v>
      </c>
      <c r="B28" s="31" t="s">
        <v>88</v>
      </c>
      <c r="C28" s="28" t="s">
        <v>166</v>
      </c>
      <c r="D28" s="28" t="s">
        <v>167</v>
      </c>
      <c r="E28" s="29">
        <v>0.2916666666666667</v>
      </c>
    </row>
    <row r="29">
      <c r="A29" s="11" t="s">
        <v>169</v>
      </c>
      <c r="B29" s="31" t="s">
        <v>170</v>
      </c>
      <c r="C29" s="28" t="s">
        <v>42</v>
      </c>
      <c r="D29" s="28" t="s">
        <v>167</v>
      </c>
      <c r="E29" s="29">
        <v>0.2916666666666667</v>
      </c>
    </row>
    <row r="30">
      <c r="A30" s="11" t="s">
        <v>171</v>
      </c>
      <c r="B30" s="31" t="s">
        <v>170</v>
      </c>
      <c r="C30" s="28" t="s">
        <v>42</v>
      </c>
      <c r="D30" s="28" t="s">
        <v>167</v>
      </c>
      <c r="E30" s="29">
        <v>0.2916666666666667</v>
      </c>
    </row>
    <row r="31">
      <c r="A31" s="11" t="s">
        <v>172</v>
      </c>
      <c r="B31" s="31" t="s">
        <v>170</v>
      </c>
      <c r="C31" s="28" t="s">
        <v>42</v>
      </c>
      <c r="D31" s="28" t="s">
        <v>167</v>
      </c>
      <c r="E31" s="29">
        <v>0.2916666666666667</v>
      </c>
    </row>
    <row r="32">
      <c r="A32" s="11" t="s">
        <v>173</v>
      </c>
      <c r="B32" s="31" t="s">
        <v>84</v>
      </c>
      <c r="C32" s="28" t="s">
        <v>85</v>
      </c>
      <c r="D32" s="28" t="s">
        <v>167</v>
      </c>
      <c r="E32" s="29">
        <v>0.2916666666666667</v>
      </c>
    </row>
    <row r="33">
      <c r="A33" s="11" t="s">
        <v>174</v>
      </c>
      <c r="B33" s="31" t="s">
        <v>84</v>
      </c>
      <c r="C33" s="28" t="s">
        <v>85</v>
      </c>
      <c r="D33" s="28" t="s">
        <v>167</v>
      </c>
      <c r="E33" s="29">
        <v>0.2916666666666667</v>
      </c>
    </row>
    <row r="34">
      <c r="A34" s="11" t="s">
        <v>175</v>
      </c>
      <c r="B34" s="31" t="s">
        <v>88</v>
      </c>
      <c r="C34" s="16" t="s">
        <v>89</v>
      </c>
      <c r="D34" s="28" t="s">
        <v>167</v>
      </c>
      <c r="E34" s="29">
        <v>0.2916666666666667</v>
      </c>
    </row>
    <row r="35">
      <c r="A35" s="43" t="s">
        <v>176</v>
      </c>
      <c r="B35" s="31" t="s">
        <v>149</v>
      </c>
      <c r="C35" s="16" t="s">
        <v>45</v>
      </c>
      <c r="D35" s="28" t="s">
        <v>167</v>
      </c>
      <c r="E35" s="29">
        <v>0.2916666666666667</v>
      </c>
    </row>
    <row r="36">
      <c r="A36" s="11" t="s">
        <v>177</v>
      </c>
      <c r="B36" s="44" t="s">
        <v>84</v>
      </c>
      <c r="C36" s="16" t="s">
        <v>85</v>
      </c>
      <c r="D36" s="28" t="s">
        <v>167</v>
      </c>
      <c r="E36" s="29">
        <v>0.2916666666666667</v>
      </c>
    </row>
    <row r="37">
      <c r="A37" s="11" t="s">
        <v>178</v>
      </c>
      <c r="B37" s="44" t="s">
        <v>84</v>
      </c>
      <c r="C37" s="16" t="s">
        <v>85</v>
      </c>
      <c r="D37" s="28" t="s">
        <v>167</v>
      </c>
      <c r="E37" s="29">
        <v>0.2916666666666667</v>
      </c>
    </row>
    <row r="38">
      <c r="A38" s="11" t="s">
        <v>179</v>
      </c>
      <c r="B38" s="31" t="s">
        <v>170</v>
      </c>
      <c r="C38" s="16" t="s">
        <v>42</v>
      </c>
      <c r="D38" s="28" t="s">
        <v>167</v>
      </c>
      <c r="E38" s="17">
        <v>0.3333333333333333</v>
      </c>
    </row>
    <row r="39">
      <c r="A39" s="11" t="s">
        <v>180</v>
      </c>
      <c r="B39" s="31" t="s">
        <v>88</v>
      </c>
      <c r="C39" s="16" t="s">
        <v>89</v>
      </c>
      <c r="D39" s="28" t="s">
        <v>167</v>
      </c>
      <c r="E39" s="17">
        <v>0.3333333333333333</v>
      </c>
    </row>
    <row r="40">
      <c r="A40" s="11" t="s">
        <v>181</v>
      </c>
      <c r="B40" s="31" t="s">
        <v>37</v>
      </c>
      <c r="C40" s="16" t="s">
        <v>38</v>
      </c>
      <c r="D40" s="28" t="s">
        <v>167</v>
      </c>
      <c r="E40" s="17">
        <v>0.375</v>
      </c>
    </row>
    <row r="41">
      <c r="A41" s="11" t="s">
        <v>182</v>
      </c>
      <c r="B41" s="31" t="s">
        <v>170</v>
      </c>
      <c r="C41" s="16" t="s">
        <v>42</v>
      </c>
      <c r="D41" s="28" t="s">
        <v>167</v>
      </c>
      <c r="E41" s="17">
        <v>0.4583333333333333</v>
      </c>
    </row>
    <row r="42">
      <c r="A42" s="45" t="s">
        <v>183</v>
      </c>
      <c r="B42" s="31" t="s">
        <v>184</v>
      </c>
      <c r="C42" s="16" t="s">
        <v>185</v>
      </c>
      <c r="D42" s="16" t="s">
        <v>25</v>
      </c>
      <c r="E42" s="17">
        <v>0.2708333333333333</v>
      </c>
    </row>
  </sheetData>
  <mergeCells count="2">
    <mergeCell ref="G1:H1"/>
    <mergeCell ref="H6:H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26.63"/>
    <col customWidth="1" min="3" max="3" width="9.25"/>
    <col customWidth="1" min="4" max="4" width="13.63"/>
    <col customWidth="1" min="5" max="5" width="8.38"/>
    <col customWidth="1" min="7" max="7" width="59.0"/>
    <col customWidth="1" min="8" max="8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G1" s="46" t="s">
        <v>5</v>
      </c>
      <c r="H1" s="46">
        <v>18.0</v>
      </c>
    </row>
    <row r="2">
      <c r="A2" s="47" t="s">
        <v>186</v>
      </c>
      <c r="B2" s="48" t="s">
        <v>15</v>
      </c>
      <c r="C2" s="48" t="s">
        <v>16</v>
      </c>
      <c r="D2" s="48">
        <v>6.0</v>
      </c>
      <c r="E2" s="49">
        <v>0.25</v>
      </c>
      <c r="G2" s="8" t="s">
        <v>9</v>
      </c>
      <c r="H2" s="8">
        <v>14.0</v>
      </c>
    </row>
    <row r="3">
      <c r="A3" s="47" t="s">
        <v>187</v>
      </c>
      <c r="B3" s="48" t="s">
        <v>7</v>
      </c>
      <c r="C3" s="48" t="s">
        <v>8</v>
      </c>
      <c r="D3" s="48">
        <v>17.0</v>
      </c>
      <c r="E3" s="49">
        <v>0.25</v>
      </c>
      <c r="G3" s="8" t="s">
        <v>13</v>
      </c>
      <c r="H3" s="8">
        <v>4.0</v>
      </c>
    </row>
    <row r="4">
      <c r="A4" s="47" t="s">
        <v>188</v>
      </c>
      <c r="B4" s="48" t="s">
        <v>97</v>
      </c>
      <c r="C4" s="48" t="s">
        <v>12</v>
      </c>
      <c r="D4" s="48">
        <v>41.0</v>
      </c>
      <c r="E4" s="49">
        <v>0.25</v>
      </c>
    </row>
    <row r="5">
      <c r="A5" s="47" t="s">
        <v>189</v>
      </c>
      <c r="B5" s="48" t="s">
        <v>22</v>
      </c>
      <c r="C5" s="48" t="s">
        <v>23</v>
      </c>
      <c r="D5" s="48">
        <v>46.0</v>
      </c>
      <c r="E5" s="49">
        <v>0.25</v>
      </c>
      <c r="G5" s="9" t="s">
        <v>20</v>
      </c>
      <c r="H5" s="9">
        <v>6.0</v>
      </c>
    </row>
    <row r="6">
      <c r="A6" s="50" t="s">
        <v>190</v>
      </c>
      <c r="B6" s="51" t="s">
        <v>18</v>
      </c>
      <c r="C6" s="51" t="s">
        <v>19</v>
      </c>
      <c r="D6" s="51">
        <v>28.0</v>
      </c>
      <c r="E6" s="52">
        <v>0.25</v>
      </c>
      <c r="F6" s="23"/>
      <c r="G6" s="36" t="s">
        <v>191</v>
      </c>
      <c r="H6" s="37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47" t="s">
        <v>192</v>
      </c>
      <c r="B7" s="48" t="s">
        <v>84</v>
      </c>
      <c r="C7" s="48" t="s">
        <v>193</v>
      </c>
      <c r="D7" s="48" t="s">
        <v>167</v>
      </c>
      <c r="E7" s="49">
        <v>0.25</v>
      </c>
      <c r="G7" s="10" t="s">
        <v>194</v>
      </c>
      <c r="H7" s="38"/>
    </row>
    <row r="8">
      <c r="A8" s="53" t="s">
        <v>195</v>
      </c>
      <c r="B8" s="48" t="s">
        <v>27</v>
      </c>
      <c r="C8" s="48" t="s">
        <v>28</v>
      </c>
      <c r="D8" s="48">
        <v>15.0</v>
      </c>
      <c r="E8" s="49">
        <v>0.2708333333333333</v>
      </c>
    </row>
    <row r="9">
      <c r="A9" s="53" t="s">
        <v>196</v>
      </c>
      <c r="B9" s="48" t="s">
        <v>34</v>
      </c>
      <c r="C9" s="48" t="s">
        <v>35</v>
      </c>
      <c r="D9" s="48">
        <v>13.0</v>
      </c>
      <c r="E9" s="49">
        <v>0.2708333333333333</v>
      </c>
    </row>
    <row r="10">
      <c r="A10" s="53" t="s">
        <v>197</v>
      </c>
      <c r="B10" s="48" t="s">
        <v>31</v>
      </c>
      <c r="C10" s="48" t="s">
        <v>32</v>
      </c>
      <c r="D10" s="48" t="s">
        <v>25</v>
      </c>
      <c r="E10" s="49">
        <v>0.2708333333333333</v>
      </c>
    </row>
    <row r="11">
      <c r="A11" s="53" t="s">
        <v>198</v>
      </c>
      <c r="B11" s="48" t="s">
        <v>37</v>
      </c>
      <c r="C11" s="48" t="s">
        <v>199</v>
      </c>
      <c r="D11" s="48" t="s">
        <v>25</v>
      </c>
      <c r="E11" s="49">
        <v>0.2916666666666667</v>
      </c>
    </row>
    <row r="12">
      <c r="A12" s="53" t="s">
        <v>200</v>
      </c>
      <c r="B12" s="48" t="s">
        <v>84</v>
      </c>
      <c r="C12" s="48" t="s">
        <v>193</v>
      </c>
      <c r="D12" s="48">
        <v>97.0</v>
      </c>
      <c r="E12" s="49">
        <v>0.2916666666666667</v>
      </c>
    </row>
    <row r="13">
      <c r="A13" s="53" t="s">
        <v>201</v>
      </c>
      <c r="B13" s="48" t="s">
        <v>37</v>
      </c>
      <c r="C13" s="48" t="s">
        <v>199</v>
      </c>
      <c r="D13" s="48">
        <v>89.0</v>
      </c>
      <c r="E13" s="49">
        <v>0.2916666666666667</v>
      </c>
    </row>
    <row r="14">
      <c r="A14" s="54" t="s">
        <v>202</v>
      </c>
      <c r="B14" s="48" t="s">
        <v>44</v>
      </c>
      <c r="C14" s="48" t="s">
        <v>203</v>
      </c>
      <c r="D14" s="48">
        <v>7.0</v>
      </c>
      <c r="E14" s="49">
        <v>0.2916666666666667</v>
      </c>
    </row>
    <row r="15">
      <c r="A15" s="53" t="s">
        <v>204</v>
      </c>
      <c r="B15" s="48" t="s">
        <v>44</v>
      </c>
      <c r="C15" s="48" t="s">
        <v>203</v>
      </c>
      <c r="D15" s="48">
        <v>48.0</v>
      </c>
      <c r="E15" s="49">
        <v>0.3333333333333333</v>
      </c>
    </row>
    <row r="16">
      <c r="A16" s="53" t="s">
        <v>205</v>
      </c>
      <c r="B16" s="48" t="s">
        <v>44</v>
      </c>
      <c r="C16" s="48" t="s">
        <v>203</v>
      </c>
      <c r="D16" s="48">
        <v>90.0</v>
      </c>
      <c r="E16" s="49">
        <v>0.2916666666666667</v>
      </c>
    </row>
    <row r="17">
      <c r="A17" s="53" t="s">
        <v>206</v>
      </c>
      <c r="B17" s="48" t="s">
        <v>88</v>
      </c>
      <c r="C17" s="48" t="s">
        <v>207</v>
      </c>
      <c r="D17" s="48" t="s">
        <v>25</v>
      </c>
      <c r="E17" s="49">
        <v>0.2916666666666667</v>
      </c>
    </row>
    <row r="18">
      <c r="A18" s="53" t="s">
        <v>208</v>
      </c>
      <c r="B18" s="48" t="s">
        <v>54</v>
      </c>
      <c r="C18" s="48" t="s">
        <v>55</v>
      </c>
      <c r="D18" s="48">
        <v>29.0</v>
      </c>
      <c r="E18" s="49">
        <v>0.2916666666666667</v>
      </c>
    </row>
    <row r="19">
      <c r="A19" s="53" t="s">
        <v>209</v>
      </c>
      <c r="B19" s="48" t="s">
        <v>48</v>
      </c>
      <c r="C19" s="48" t="s">
        <v>49</v>
      </c>
      <c r="D19" s="48">
        <v>12.0</v>
      </c>
      <c r="E19" s="49">
        <v>0.2916666666666667</v>
      </c>
    </row>
    <row r="20">
      <c r="A20" s="53" t="s">
        <v>210</v>
      </c>
      <c r="B20" s="48" t="s">
        <v>65</v>
      </c>
      <c r="C20" s="48" t="s">
        <v>211</v>
      </c>
      <c r="D20" s="48" t="s">
        <v>25</v>
      </c>
      <c r="E20" s="49">
        <v>0.2916666666666667</v>
      </c>
    </row>
    <row r="21">
      <c r="A21" s="53" t="s">
        <v>212</v>
      </c>
      <c r="B21" s="48" t="s">
        <v>61</v>
      </c>
      <c r="C21" s="48" t="s">
        <v>62</v>
      </c>
      <c r="D21" s="48">
        <v>19.0</v>
      </c>
      <c r="E21" s="49">
        <v>0.2916666666666667</v>
      </c>
    </row>
    <row r="22">
      <c r="A22" s="53" t="s">
        <v>213</v>
      </c>
      <c r="B22" s="48" t="s">
        <v>61</v>
      </c>
      <c r="C22" s="48" t="s">
        <v>62</v>
      </c>
      <c r="D22" s="48">
        <v>18.0</v>
      </c>
      <c r="E22" s="49">
        <v>0.2916666666666667</v>
      </c>
    </row>
    <row r="23">
      <c r="A23" s="53" t="s">
        <v>214</v>
      </c>
      <c r="B23" s="48" t="s">
        <v>164</v>
      </c>
      <c r="C23" s="48" t="s">
        <v>76</v>
      </c>
      <c r="D23" s="48">
        <v>33.0</v>
      </c>
      <c r="E23" s="49">
        <v>0.3125</v>
      </c>
    </row>
    <row r="24">
      <c r="A24" s="53" t="s">
        <v>215</v>
      </c>
      <c r="B24" s="48" t="s">
        <v>68</v>
      </c>
      <c r="C24" s="48" t="s">
        <v>69</v>
      </c>
      <c r="D24" s="48">
        <v>9.0</v>
      </c>
      <c r="E24" s="49">
        <v>0.3125</v>
      </c>
    </row>
    <row r="25">
      <c r="A25" s="55" t="s">
        <v>216</v>
      </c>
      <c r="B25" s="48" t="s">
        <v>71</v>
      </c>
      <c r="C25" s="48" t="s">
        <v>72</v>
      </c>
      <c r="D25" s="48" t="s">
        <v>167</v>
      </c>
      <c r="E25" s="49">
        <v>0.3125</v>
      </c>
    </row>
    <row r="26">
      <c r="A26" s="55" t="s">
        <v>217</v>
      </c>
      <c r="B26" s="48" t="s">
        <v>170</v>
      </c>
      <c r="C26" s="48" t="s">
        <v>218</v>
      </c>
      <c r="D26" s="48">
        <v>87.0</v>
      </c>
      <c r="E26" s="49">
        <v>0.6666666666666666</v>
      </c>
    </row>
    <row r="27">
      <c r="A27" s="55" t="s">
        <v>219</v>
      </c>
      <c r="B27" s="48" t="s">
        <v>37</v>
      </c>
      <c r="C27" s="48" t="s">
        <v>199</v>
      </c>
      <c r="D27" s="48">
        <v>88.0</v>
      </c>
      <c r="E27" s="49">
        <v>0.6666666666666666</v>
      </c>
    </row>
    <row r="28">
      <c r="A28" s="56" t="s">
        <v>220</v>
      </c>
      <c r="B28" s="48" t="s">
        <v>81</v>
      </c>
      <c r="C28" s="48" t="s">
        <v>82</v>
      </c>
      <c r="D28" s="48">
        <v>14.0</v>
      </c>
      <c r="E28" s="49">
        <v>0.3125</v>
      </c>
    </row>
    <row r="29">
      <c r="A29" s="48" t="s">
        <v>221</v>
      </c>
      <c r="B29" s="48" t="s">
        <v>88</v>
      </c>
      <c r="C29" s="48" t="s">
        <v>207</v>
      </c>
      <c r="D29" s="48">
        <v>47.0</v>
      </c>
      <c r="E29" s="49">
        <v>0.125</v>
      </c>
    </row>
    <row r="30">
      <c r="A30" s="48" t="s">
        <v>222</v>
      </c>
      <c r="B30" s="48" t="s">
        <v>223</v>
      </c>
      <c r="C30" s="48" t="s">
        <v>224</v>
      </c>
      <c r="D30" s="48">
        <v>22.0</v>
      </c>
      <c r="E30" s="49">
        <v>0.20833333333333334</v>
      </c>
    </row>
  </sheetData>
  <mergeCells count="1">
    <mergeCell ref="H6:H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24.0"/>
    <col customWidth="1" min="3" max="3" width="9.25"/>
    <col customWidth="1" min="4" max="4" width="6.88"/>
    <col customWidth="1" min="5" max="5" width="7.5"/>
    <col customWidth="1" min="7" max="7" width="39.0"/>
    <col customWidth="1" min="8" max="8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G1" s="3" t="s">
        <v>5</v>
      </c>
      <c r="H1" s="4"/>
    </row>
    <row r="2">
      <c r="A2" s="30" t="s">
        <v>225</v>
      </c>
      <c r="B2" s="28" t="s">
        <v>27</v>
      </c>
      <c r="C2" s="28" t="s">
        <v>28</v>
      </c>
      <c r="D2" s="28">
        <v>13.0</v>
      </c>
      <c r="E2" s="29">
        <v>0.2708333333333333</v>
      </c>
      <c r="G2" s="8" t="s">
        <v>9</v>
      </c>
      <c r="H2" s="8">
        <v>15.0</v>
      </c>
    </row>
    <row r="3">
      <c r="A3" s="30" t="s">
        <v>226</v>
      </c>
      <c r="B3" s="28" t="s">
        <v>31</v>
      </c>
      <c r="C3" s="28" t="s">
        <v>32</v>
      </c>
      <c r="D3" s="28">
        <v>34.0</v>
      </c>
      <c r="E3" s="29">
        <v>0.2708333333333333</v>
      </c>
      <c r="G3" s="8" t="s">
        <v>13</v>
      </c>
      <c r="H3" s="8">
        <v>4.0</v>
      </c>
    </row>
    <row r="4">
      <c r="A4" s="30" t="s">
        <v>227</v>
      </c>
      <c r="B4" s="28" t="s">
        <v>228</v>
      </c>
      <c r="C4" s="28" t="s">
        <v>35</v>
      </c>
      <c r="D4" s="28">
        <v>14.0</v>
      </c>
      <c r="E4" s="29">
        <v>0.2708333333333333</v>
      </c>
    </row>
    <row r="5">
      <c r="A5" s="57" t="s">
        <v>229</v>
      </c>
      <c r="B5" s="28" t="s">
        <v>37</v>
      </c>
      <c r="C5" s="28" t="s">
        <v>199</v>
      </c>
      <c r="D5" s="28">
        <v>89.0</v>
      </c>
      <c r="E5" s="29">
        <v>0.2916666666666667</v>
      </c>
      <c r="G5" s="9" t="s">
        <v>20</v>
      </c>
      <c r="H5" s="9">
        <v>1.0</v>
      </c>
    </row>
    <row r="6">
      <c r="A6" s="57" t="s">
        <v>230</v>
      </c>
      <c r="B6" s="28" t="s">
        <v>231</v>
      </c>
      <c r="C6" s="28" t="s">
        <v>218</v>
      </c>
      <c r="D6" s="28">
        <v>49.0</v>
      </c>
      <c r="E6" s="29">
        <v>0.2916666666666667</v>
      </c>
      <c r="G6" s="9" t="s">
        <v>24</v>
      </c>
      <c r="H6" s="9" t="s">
        <v>25</v>
      </c>
    </row>
    <row r="7">
      <c r="A7" s="30" t="s">
        <v>232</v>
      </c>
      <c r="B7" s="28" t="s">
        <v>231</v>
      </c>
      <c r="C7" s="28" t="s">
        <v>218</v>
      </c>
      <c r="D7" s="28">
        <v>86.0</v>
      </c>
      <c r="E7" s="29">
        <v>0.2916666666666667</v>
      </c>
      <c r="G7" s="10" t="s">
        <v>1</v>
      </c>
      <c r="H7" s="10" t="s">
        <v>233</v>
      </c>
    </row>
    <row r="8">
      <c r="A8" s="39" t="s">
        <v>234</v>
      </c>
      <c r="B8" s="28" t="s">
        <v>44</v>
      </c>
      <c r="C8" s="28" t="s">
        <v>203</v>
      </c>
      <c r="D8" s="28">
        <v>90.0</v>
      </c>
      <c r="E8" s="29">
        <v>0.2916666666666667</v>
      </c>
    </row>
    <row r="9">
      <c r="A9" s="39" t="s">
        <v>235</v>
      </c>
      <c r="B9" s="28" t="s">
        <v>48</v>
      </c>
      <c r="C9" s="28" t="s">
        <v>49</v>
      </c>
      <c r="D9" s="28">
        <v>12.0</v>
      </c>
      <c r="E9" s="29">
        <v>0.2916666666666667</v>
      </c>
    </row>
    <row r="10">
      <c r="A10" s="12" t="s">
        <v>236</v>
      </c>
      <c r="B10" s="28" t="s">
        <v>118</v>
      </c>
      <c r="C10" s="28" t="s">
        <v>58</v>
      </c>
      <c r="D10" s="28">
        <v>26.0</v>
      </c>
      <c r="E10" s="29">
        <v>0.2916666666666667</v>
      </c>
    </row>
    <row r="11">
      <c r="A11" s="12" t="s">
        <v>237</v>
      </c>
      <c r="B11" s="28" t="s">
        <v>68</v>
      </c>
      <c r="C11" s="28" t="s">
        <v>69</v>
      </c>
      <c r="D11" s="28">
        <v>9.0</v>
      </c>
      <c r="E11" s="29">
        <v>0.3125</v>
      </c>
    </row>
    <row r="12">
      <c r="A12" s="40" t="s">
        <v>238</v>
      </c>
      <c r="B12" s="28" t="s">
        <v>78</v>
      </c>
      <c r="C12" s="28" t="s">
        <v>79</v>
      </c>
      <c r="D12" s="28">
        <v>20.0</v>
      </c>
      <c r="E12" s="29">
        <v>0.3125</v>
      </c>
    </row>
    <row r="13">
      <c r="A13" s="40" t="s">
        <v>239</v>
      </c>
      <c r="B13" s="28" t="s">
        <v>78</v>
      </c>
      <c r="C13" s="28" t="s">
        <v>79</v>
      </c>
      <c r="D13" s="28">
        <v>22.0</v>
      </c>
      <c r="E13" s="29">
        <v>0.3125</v>
      </c>
    </row>
    <row r="14">
      <c r="A14" s="40" t="s">
        <v>240</v>
      </c>
      <c r="B14" s="28" t="s">
        <v>71</v>
      </c>
      <c r="C14" s="28" t="s">
        <v>72</v>
      </c>
      <c r="D14" s="28">
        <v>5.0</v>
      </c>
      <c r="E14" s="29">
        <v>0.3125</v>
      </c>
    </row>
    <row r="15">
      <c r="A15" s="44" t="s">
        <v>241</v>
      </c>
      <c r="B15" s="28" t="s">
        <v>54</v>
      </c>
      <c r="C15" s="28" t="s">
        <v>55</v>
      </c>
      <c r="D15" s="28">
        <v>27.0</v>
      </c>
      <c r="E15" s="29">
        <v>0.3125</v>
      </c>
    </row>
    <row r="16">
      <c r="A16" s="44" t="s">
        <v>242</v>
      </c>
      <c r="B16" s="28" t="s">
        <v>51</v>
      </c>
      <c r="C16" s="28" t="s">
        <v>52</v>
      </c>
      <c r="D16" s="28">
        <v>7.0</v>
      </c>
      <c r="E16" s="29">
        <v>0.2916666666666667</v>
      </c>
    </row>
    <row r="17">
      <c r="A17" s="45" t="s">
        <v>243</v>
      </c>
      <c r="B17" s="16" t="s">
        <v>121</v>
      </c>
      <c r="C17" s="16" t="s">
        <v>122</v>
      </c>
      <c r="D17" s="16">
        <v>14.0</v>
      </c>
      <c r="E17" s="17">
        <v>0.2916666666666667</v>
      </c>
    </row>
    <row r="18">
      <c r="A18" s="45" t="s">
        <v>244</v>
      </c>
      <c r="B18" s="28" t="s">
        <v>245</v>
      </c>
      <c r="C18" s="28" t="s">
        <v>246</v>
      </c>
      <c r="D18" s="28">
        <v>8.0</v>
      </c>
      <c r="E18" s="29">
        <v>0.3333333333333333</v>
      </c>
    </row>
    <row r="19">
      <c r="A19" s="40" t="s">
        <v>247</v>
      </c>
      <c r="B19" s="28" t="s">
        <v>248</v>
      </c>
      <c r="C19" s="28" t="s">
        <v>249</v>
      </c>
      <c r="D19" s="28">
        <v>28.0</v>
      </c>
      <c r="E19" s="29">
        <v>0.3333333333333333</v>
      </c>
    </row>
    <row r="20">
      <c r="A20" s="40" t="s">
        <v>250</v>
      </c>
      <c r="B20" s="28" t="s">
        <v>251</v>
      </c>
      <c r="C20" s="28" t="s">
        <v>252</v>
      </c>
      <c r="D20" s="28">
        <v>32.0</v>
      </c>
      <c r="E20" s="29">
        <v>0.3333333333333333</v>
      </c>
    </row>
    <row r="21">
      <c r="A21" s="58"/>
      <c r="B21" s="59"/>
      <c r="C21" s="59"/>
      <c r="D21" s="59"/>
      <c r="E21" s="60"/>
    </row>
    <row r="22">
      <c r="A22" s="58"/>
      <c r="B22" s="59"/>
      <c r="C22" s="59"/>
      <c r="D22" s="59"/>
      <c r="E22" s="60"/>
    </row>
    <row r="23">
      <c r="A23" s="58"/>
      <c r="B23" s="59"/>
      <c r="C23" s="59"/>
      <c r="D23" s="59"/>
      <c r="E23" s="60"/>
    </row>
    <row r="24">
      <c r="A24" s="58"/>
      <c r="B24" s="59"/>
      <c r="C24" s="59"/>
      <c r="D24" s="59"/>
      <c r="E24" s="60"/>
    </row>
    <row r="25">
      <c r="A25" s="58"/>
      <c r="B25" s="59"/>
      <c r="C25" s="59"/>
      <c r="D25" s="59"/>
      <c r="E25" s="60"/>
    </row>
    <row r="26">
      <c r="A26" s="58"/>
      <c r="B26" s="59"/>
      <c r="C26" s="59"/>
      <c r="D26" s="59"/>
      <c r="E26" s="60"/>
    </row>
    <row r="27">
      <c r="A27" s="58"/>
      <c r="B27" s="59"/>
      <c r="C27" s="59"/>
      <c r="D27" s="59"/>
      <c r="E27" s="60"/>
    </row>
    <row r="28">
      <c r="A28" s="58"/>
      <c r="B28" s="59"/>
      <c r="C28" s="59"/>
      <c r="D28" s="59"/>
      <c r="E28" s="60"/>
    </row>
    <row r="29">
      <c r="A29" s="58"/>
      <c r="B29" s="59"/>
      <c r="C29" s="59"/>
      <c r="D29" s="59"/>
      <c r="E29" s="60"/>
    </row>
    <row r="30">
      <c r="A30" s="61"/>
      <c r="B30" s="59"/>
      <c r="C30" s="59"/>
      <c r="D30" s="59"/>
      <c r="E30" s="60"/>
    </row>
  </sheetData>
  <mergeCells count="1">
    <mergeCell ref="G1:H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40.63"/>
    <col customWidth="1" min="3" max="3" width="12.0"/>
    <col customWidth="1" min="4" max="4" width="8.88"/>
    <col customWidth="1" min="5" max="5" width="10.38"/>
    <col customWidth="1" min="7" max="7" width="60.13"/>
    <col customWidth="1" min="8" max="8" width="19.5"/>
  </cols>
  <sheetData>
    <row r="1">
      <c r="A1" s="62" t="s">
        <v>0</v>
      </c>
      <c r="B1" s="62" t="s">
        <v>1</v>
      </c>
      <c r="C1" s="62" t="s">
        <v>2</v>
      </c>
      <c r="D1" s="62" t="s">
        <v>3</v>
      </c>
      <c r="E1" s="63" t="s">
        <v>4</v>
      </c>
      <c r="G1" s="64" t="s">
        <v>5</v>
      </c>
      <c r="H1" s="4"/>
    </row>
    <row r="2">
      <c r="A2" s="65" t="s">
        <v>253</v>
      </c>
      <c r="B2" s="66" t="s">
        <v>15</v>
      </c>
      <c r="C2" s="66" t="s">
        <v>16</v>
      </c>
      <c r="D2" s="66">
        <v>16.0</v>
      </c>
      <c r="E2" s="67">
        <v>0.25</v>
      </c>
      <c r="G2" s="68" t="s">
        <v>9</v>
      </c>
      <c r="H2" s="68">
        <v>14.0</v>
      </c>
    </row>
    <row r="3">
      <c r="A3" s="65" t="s">
        <v>254</v>
      </c>
      <c r="B3" s="66" t="s">
        <v>7</v>
      </c>
      <c r="C3" s="66" t="s">
        <v>8</v>
      </c>
      <c r="D3" s="66">
        <v>14.0</v>
      </c>
      <c r="E3" s="67">
        <v>0.25</v>
      </c>
      <c r="G3" s="68" t="s">
        <v>13</v>
      </c>
      <c r="H3" s="68">
        <v>5.0</v>
      </c>
    </row>
    <row r="4">
      <c r="A4" s="65" t="s">
        <v>255</v>
      </c>
      <c r="B4" s="66" t="s">
        <v>97</v>
      </c>
      <c r="C4" s="66" t="s">
        <v>12</v>
      </c>
      <c r="D4" s="66">
        <v>38.0</v>
      </c>
      <c r="E4" s="67">
        <v>0.25</v>
      </c>
      <c r="G4" s="69"/>
    </row>
    <row r="5">
      <c r="A5" s="65" t="s">
        <v>256</v>
      </c>
      <c r="B5" s="66" t="s">
        <v>22</v>
      </c>
      <c r="C5" s="66" t="s">
        <v>23</v>
      </c>
      <c r="D5" s="66">
        <v>49.0</v>
      </c>
      <c r="E5" s="67">
        <v>0.25</v>
      </c>
      <c r="G5" s="70" t="s">
        <v>20</v>
      </c>
      <c r="H5" s="68">
        <v>10.0</v>
      </c>
    </row>
    <row r="6">
      <c r="A6" s="65" t="s">
        <v>257</v>
      </c>
      <c r="B6" s="66" t="s">
        <v>18</v>
      </c>
      <c r="C6" s="66" t="s">
        <v>19</v>
      </c>
      <c r="D6" s="66">
        <v>29.0</v>
      </c>
      <c r="E6" s="67">
        <v>0.25</v>
      </c>
      <c r="G6" s="70" t="s">
        <v>258</v>
      </c>
      <c r="H6" s="71"/>
    </row>
    <row r="7">
      <c r="A7" s="72" t="s">
        <v>259</v>
      </c>
      <c r="B7" s="73" t="s">
        <v>260</v>
      </c>
      <c r="C7" s="73" t="s">
        <v>261</v>
      </c>
      <c r="D7" s="73">
        <v>27.0</v>
      </c>
      <c r="E7" s="74">
        <v>0.25</v>
      </c>
      <c r="F7" s="23"/>
      <c r="G7" s="75" t="s">
        <v>262</v>
      </c>
      <c r="H7" s="38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76" t="s">
        <v>263</v>
      </c>
      <c r="B8" s="66" t="s">
        <v>264</v>
      </c>
      <c r="C8" s="66" t="s">
        <v>224</v>
      </c>
      <c r="D8" s="66">
        <v>23.0</v>
      </c>
      <c r="E8" s="67">
        <v>0.25</v>
      </c>
    </row>
    <row r="9">
      <c r="A9" s="76" t="s">
        <v>265</v>
      </c>
      <c r="B9" s="66" t="s">
        <v>266</v>
      </c>
      <c r="C9" s="66" t="s">
        <v>267</v>
      </c>
      <c r="D9" s="66">
        <v>33.0</v>
      </c>
      <c r="E9" s="67">
        <v>0.25</v>
      </c>
    </row>
    <row r="10">
      <c r="A10" s="76" t="s">
        <v>268</v>
      </c>
      <c r="B10" s="66" t="s">
        <v>34</v>
      </c>
      <c r="C10" s="66" t="s">
        <v>35</v>
      </c>
      <c r="D10" s="66">
        <v>8.0</v>
      </c>
      <c r="E10" s="67">
        <v>0.2708333333333333</v>
      </c>
    </row>
    <row r="11">
      <c r="A11" s="76" t="s">
        <v>269</v>
      </c>
      <c r="B11" s="66" t="s">
        <v>31</v>
      </c>
      <c r="C11" s="66" t="s">
        <v>32</v>
      </c>
      <c r="D11" s="66">
        <v>32.0</v>
      </c>
      <c r="E11" s="67">
        <v>0.2708333333333333</v>
      </c>
    </row>
    <row r="12">
      <c r="A12" s="76" t="s">
        <v>270</v>
      </c>
      <c r="B12" s="66" t="s">
        <v>27</v>
      </c>
      <c r="C12" s="66" t="s">
        <v>49</v>
      </c>
      <c r="D12" s="66">
        <v>17.0</v>
      </c>
      <c r="E12" s="67">
        <v>0.2708333333333333</v>
      </c>
    </row>
    <row r="13">
      <c r="A13" s="76" t="s">
        <v>271</v>
      </c>
      <c r="B13" s="66" t="s">
        <v>88</v>
      </c>
      <c r="C13" s="66" t="s">
        <v>207</v>
      </c>
      <c r="D13" s="66">
        <v>94.0</v>
      </c>
      <c r="E13" s="67">
        <v>0.2916666666666667</v>
      </c>
    </row>
    <row r="14">
      <c r="A14" s="65" t="s">
        <v>272</v>
      </c>
      <c r="B14" s="66" t="s">
        <v>61</v>
      </c>
      <c r="C14" s="66" t="s">
        <v>62</v>
      </c>
      <c r="D14" s="66">
        <v>9.0</v>
      </c>
      <c r="E14" s="67">
        <v>0.2916666666666667</v>
      </c>
    </row>
    <row r="15">
      <c r="A15" s="65" t="s">
        <v>273</v>
      </c>
      <c r="B15" s="66" t="s">
        <v>48</v>
      </c>
      <c r="C15" s="66" t="s">
        <v>49</v>
      </c>
      <c r="D15" s="66">
        <v>12.0</v>
      </c>
      <c r="E15" s="67">
        <v>0.2916666666666667</v>
      </c>
    </row>
    <row r="16">
      <c r="A16" s="65" t="s">
        <v>274</v>
      </c>
      <c r="B16" s="66" t="s">
        <v>71</v>
      </c>
      <c r="C16" s="66" t="s">
        <v>72</v>
      </c>
      <c r="D16" s="66">
        <v>15.0</v>
      </c>
      <c r="E16" s="67">
        <v>0.3125</v>
      </c>
    </row>
    <row r="17">
      <c r="A17" s="77" t="s">
        <v>275</v>
      </c>
      <c r="B17" s="66" t="s">
        <v>57</v>
      </c>
      <c r="C17" s="66" t="s">
        <v>58</v>
      </c>
      <c r="D17" s="66">
        <v>25.0</v>
      </c>
      <c r="E17" s="67">
        <v>0.3125</v>
      </c>
    </row>
    <row r="18">
      <c r="A18" s="65" t="s">
        <v>276</v>
      </c>
      <c r="B18" s="66" t="s">
        <v>124</v>
      </c>
      <c r="C18" s="66" t="s">
        <v>69</v>
      </c>
      <c r="D18" s="66">
        <v>5.0</v>
      </c>
      <c r="E18" s="67">
        <v>0.3125</v>
      </c>
    </row>
    <row r="19">
      <c r="A19" s="76" t="s">
        <v>277</v>
      </c>
      <c r="B19" s="66" t="s">
        <v>278</v>
      </c>
      <c r="C19" s="66" t="s">
        <v>157</v>
      </c>
      <c r="D19" s="66">
        <v>28.0</v>
      </c>
      <c r="E19" s="67">
        <v>0.3125</v>
      </c>
    </row>
    <row r="20">
      <c r="A20" s="77" t="s">
        <v>279</v>
      </c>
      <c r="B20" s="66" t="s">
        <v>44</v>
      </c>
      <c r="C20" s="66" t="s">
        <v>203</v>
      </c>
      <c r="D20" s="66">
        <v>48.0</v>
      </c>
      <c r="E20" s="67">
        <v>0.6666666666666666</v>
      </c>
    </row>
    <row r="21">
      <c r="A21" s="58"/>
      <c r="B21" s="59"/>
      <c r="C21" s="59"/>
      <c r="D21" s="59"/>
      <c r="E21" s="60"/>
    </row>
    <row r="22">
      <c r="A22" s="58"/>
      <c r="B22" s="59"/>
      <c r="C22" s="59"/>
      <c r="D22" s="59"/>
      <c r="E22" s="60"/>
    </row>
    <row r="23">
      <c r="A23" s="58"/>
      <c r="B23" s="59"/>
      <c r="C23" s="59"/>
      <c r="D23" s="59"/>
      <c r="E23" s="60"/>
    </row>
    <row r="24">
      <c r="A24" s="58"/>
      <c r="B24" s="59"/>
      <c r="C24" s="59"/>
      <c r="D24" s="59"/>
      <c r="E24" s="60"/>
    </row>
    <row r="25">
      <c r="A25" s="58"/>
      <c r="B25" s="59"/>
      <c r="C25" s="59"/>
      <c r="D25" s="59"/>
      <c r="E25" s="60"/>
    </row>
    <row r="26">
      <c r="A26" s="58"/>
      <c r="B26" s="59"/>
      <c r="C26" s="59"/>
      <c r="D26" s="59"/>
      <c r="E26" s="60"/>
    </row>
    <row r="27">
      <c r="A27" s="58"/>
      <c r="B27" s="59"/>
      <c r="C27" s="59"/>
      <c r="D27" s="59"/>
      <c r="E27" s="60"/>
    </row>
    <row r="28">
      <c r="A28" s="58"/>
      <c r="B28" s="59"/>
      <c r="C28" s="59"/>
      <c r="D28" s="59"/>
      <c r="E28" s="60"/>
    </row>
    <row r="29">
      <c r="A29" s="58"/>
      <c r="B29" s="59"/>
      <c r="C29" s="59"/>
      <c r="D29" s="59"/>
      <c r="E29" s="60"/>
    </row>
    <row r="30">
      <c r="A30" s="61"/>
      <c r="B30" s="59"/>
      <c r="C30" s="59"/>
      <c r="D30" s="59"/>
      <c r="E30" s="60"/>
    </row>
  </sheetData>
  <mergeCells count="3">
    <mergeCell ref="G1:H1"/>
    <mergeCell ref="G4:H4"/>
    <mergeCell ref="H6:H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40.63"/>
    <col customWidth="1" min="3" max="3" width="12.0"/>
    <col customWidth="1" min="4" max="4" width="17.13"/>
    <col customWidth="1" min="5" max="5" width="10.38"/>
    <col customWidth="1" min="7" max="7" width="70.3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23"/>
      <c r="G1" s="80" t="s">
        <v>5</v>
      </c>
      <c r="H1" s="81">
        <f>SUM(H2,H3)</f>
        <v>22</v>
      </c>
    </row>
    <row r="2">
      <c r="A2" s="72" t="s">
        <v>280</v>
      </c>
      <c r="B2" s="73" t="s">
        <v>7</v>
      </c>
      <c r="C2" s="73" t="s">
        <v>8</v>
      </c>
      <c r="D2" s="73">
        <v>14.0</v>
      </c>
      <c r="E2" s="74">
        <v>0.25</v>
      </c>
      <c r="F2" s="23"/>
      <c r="G2" s="82" t="s">
        <v>9</v>
      </c>
      <c r="H2" s="82">
        <v>13.0</v>
      </c>
    </row>
    <row r="3">
      <c r="A3" s="72" t="s">
        <v>281</v>
      </c>
      <c r="B3" s="73" t="s">
        <v>97</v>
      </c>
      <c r="C3" s="73" t="s">
        <v>12</v>
      </c>
      <c r="D3" s="73">
        <v>38.0</v>
      </c>
      <c r="E3" s="74">
        <v>0.25</v>
      </c>
      <c r="F3" s="23"/>
      <c r="G3" s="82" t="s">
        <v>13</v>
      </c>
      <c r="H3" s="82">
        <v>9.0</v>
      </c>
    </row>
    <row r="4">
      <c r="A4" s="72" t="s">
        <v>282</v>
      </c>
      <c r="B4" s="73" t="s">
        <v>15</v>
      </c>
      <c r="C4" s="73" t="s">
        <v>16</v>
      </c>
      <c r="D4" s="73">
        <v>7.0</v>
      </c>
      <c r="E4" s="74">
        <v>0.25</v>
      </c>
      <c r="F4" s="23"/>
      <c r="G4" s="83"/>
    </row>
    <row r="5">
      <c r="A5" s="72" t="s">
        <v>283</v>
      </c>
      <c r="B5" s="73" t="s">
        <v>18</v>
      </c>
      <c r="C5" s="73" t="s">
        <v>19</v>
      </c>
      <c r="D5" s="73">
        <v>27.0</v>
      </c>
      <c r="E5" s="74">
        <v>0.25</v>
      </c>
      <c r="F5" s="23"/>
      <c r="G5" s="84" t="s">
        <v>20</v>
      </c>
      <c r="H5" s="82">
        <v>8.0</v>
      </c>
    </row>
    <row r="6">
      <c r="A6" s="72" t="s">
        <v>284</v>
      </c>
      <c r="B6" s="73" t="s">
        <v>285</v>
      </c>
      <c r="C6" s="73" t="s">
        <v>23</v>
      </c>
      <c r="D6" s="73">
        <v>46.0</v>
      </c>
      <c r="E6" s="74">
        <v>0.25</v>
      </c>
      <c r="F6" s="23"/>
      <c r="G6" s="84" t="s">
        <v>286</v>
      </c>
      <c r="H6" s="85"/>
    </row>
    <row r="7">
      <c r="A7" s="72" t="s">
        <v>287</v>
      </c>
      <c r="B7" s="73" t="s">
        <v>288</v>
      </c>
      <c r="C7" s="73" t="s">
        <v>289</v>
      </c>
      <c r="D7" s="73">
        <v>48.0</v>
      </c>
      <c r="E7" s="74">
        <v>0.25</v>
      </c>
      <c r="F7" s="23"/>
      <c r="G7" s="75" t="s">
        <v>290</v>
      </c>
      <c r="H7" s="38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86" t="s">
        <v>291</v>
      </c>
      <c r="B8" s="73" t="s">
        <v>137</v>
      </c>
      <c r="C8" s="73" t="s">
        <v>292</v>
      </c>
      <c r="D8" s="73">
        <v>25.0</v>
      </c>
      <c r="E8" s="74">
        <v>0.25</v>
      </c>
      <c r="F8" s="23"/>
      <c r="G8" s="23"/>
      <c r="H8" s="23"/>
    </row>
    <row r="9">
      <c r="A9" s="86" t="s">
        <v>293</v>
      </c>
      <c r="B9" s="73" t="s">
        <v>294</v>
      </c>
      <c r="C9" s="73" t="s">
        <v>267</v>
      </c>
      <c r="D9" s="73">
        <v>32.0</v>
      </c>
      <c r="E9" s="74">
        <v>0.25</v>
      </c>
      <c r="F9" s="23"/>
      <c r="G9" s="23"/>
      <c r="H9" s="23"/>
    </row>
    <row r="10">
      <c r="A10" s="86" t="s">
        <v>295</v>
      </c>
      <c r="B10" s="73" t="s">
        <v>31</v>
      </c>
      <c r="C10" s="73" t="s">
        <v>32</v>
      </c>
      <c r="D10" s="73">
        <v>13.0</v>
      </c>
      <c r="E10" s="74">
        <v>0.2708333333333333</v>
      </c>
      <c r="F10" s="23"/>
      <c r="G10" s="23"/>
      <c r="H10" s="23"/>
    </row>
    <row r="11">
      <c r="A11" s="86" t="s">
        <v>296</v>
      </c>
      <c r="B11" s="73" t="s">
        <v>34</v>
      </c>
      <c r="C11" s="73" t="s">
        <v>35</v>
      </c>
      <c r="D11" s="73">
        <v>8.0</v>
      </c>
      <c r="E11" s="74">
        <v>0.2708333333333333</v>
      </c>
      <c r="F11" s="23"/>
      <c r="G11" s="23"/>
      <c r="H11" s="23"/>
    </row>
    <row r="12">
      <c r="A12" s="86" t="s">
        <v>297</v>
      </c>
      <c r="B12" s="73" t="s">
        <v>37</v>
      </c>
      <c r="C12" s="73" t="s">
        <v>199</v>
      </c>
      <c r="D12" s="73">
        <v>89.0</v>
      </c>
      <c r="E12" s="74">
        <v>0.2916666666666667</v>
      </c>
      <c r="F12" s="23"/>
      <c r="G12" s="23"/>
      <c r="H12" s="23"/>
    </row>
    <row r="13">
      <c r="A13" s="86" t="s">
        <v>298</v>
      </c>
      <c r="B13" s="73" t="s">
        <v>88</v>
      </c>
      <c r="C13" s="73" t="s">
        <v>207</v>
      </c>
      <c r="D13" s="73">
        <v>94.0</v>
      </c>
      <c r="E13" s="74">
        <v>0.2916666666666667</v>
      </c>
      <c r="F13" s="23"/>
      <c r="G13" s="23"/>
      <c r="H13" s="23"/>
    </row>
    <row r="14">
      <c r="A14" s="72" t="s">
        <v>299</v>
      </c>
      <c r="B14" s="73" t="s">
        <v>44</v>
      </c>
      <c r="C14" s="73" t="s">
        <v>203</v>
      </c>
      <c r="D14" s="73">
        <v>91.0</v>
      </c>
      <c r="E14" s="74">
        <v>0.2916666666666667</v>
      </c>
      <c r="F14" s="23"/>
      <c r="G14" s="23"/>
      <c r="H14" s="23"/>
    </row>
    <row r="15">
      <c r="A15" s="87" t="s">
        <v>300</v>
      </c>
      <c r="B15" s="73" t="s">
        <v>44</v>
      </c>
      <c r="C15" s="73" t="s">
        <v>203</v>
      </c>
      <c r="D15" s="73">
        <v>90.0</v>
      </c>
      <c r="E15" s="74">
        <v>0.2916666666666667</v>
      </c>
      <c r="F15" s="23"/>
      <c r="G15" s="23"/>
      <c r="H15" s="23"/>
    </row>
    <row r="16">
      <c r="A16" s="72" t="s">
        <v>301</v>
      </c>
      <c r="B16" s="73" t="s">
        <v>84</v>
      </c>
      <c r="C16" s="73" t="s">
        <v>193</v>
      </c>
      <c r="D16" s="73" t="s">
        <v>167</v>
      </c>
      <c r="E16" s="74">
        <v>0.2916666666666667</v>
      </c>
      <c r="F16" s="23"/>
      <c r="G16" s="23"/>
      <c r="H16" s="23"/>
    </row>
    <row r="17">
      <c r="A17" s="86" t="s">
        <v>302</v>
      </c>
      <c r="B17" s="73" t="s">
        <v>84</v>
      </c>
      <c r="C17" s="73" t="s">
        <v>193</v>
      </c>
      <c r="D17" s="73">
        <v>96.0</v>
      </c>
      <c r="E17" s="74">
        <v>0.2916666666666667</v>
      </c>
      <c r="F17" s="23"/>
      <c r="G17" s="23"/>
      <c r="H17" s="23"/>
    </row>
    <row r="18">
      <c r="A18" s="72" t="s">
        <v>303</v>
      </c>
      <c r="B18" s="73" t="s">
        <v>84</v>
      </c>
      <c r="C18" s="73" t="s">
        <v>193</v>
      </c>
      <c r="D18" s="73" t="s">
        <v>167</v>
      </c>
      <c r="E18" s="74">
        <v>0.2916666666666667</v>
      </c>
      <c r="F18" s="23"/>
      <c r="G18" s="23"/>
      <c r="H18" s="23"/>
    </row>
    <row r="19">
      <c r="A19" s="86" t="s">
        <v>304</v>
      </c>
      <c r="B19" s="73" t="s">
        <v>51</v>
      </c>
      <c r="C19" s="73" t="s">
        <v>52</v>
      </c>
      <c r="D19" s="73" t="s">
        <v>25</v>
      </c>
      <c r="E19" s="74">
        <v>0.2916666666666667</v>
      </c>
      <c r="F19" s="23"/>
      <c r="G19" s="23"/>
      <c r="H19" s="23"/>
    </row>
    <row r="20">
      <c r="A20" s="86" t="s">
        <v>305</v>
      </c>
      <c r="B20" s="73" t="s">
        <v>54</v>
      </c>
      <c r="C20" s="73" t="s">
        <v>55</v>
      </c>
      <c r="D20" s="73" t="s">
        <v>25</v>
      </c>
      <c r="E20" s="74">
        <v>0.2916666666666667</v>
      </c>
      <c r="F20" s="23"/>
      <c r="G20" s="23"/>
      <c r="H20" s="23"/>
    </row>
    <row r="21">
      <c r="A21" s="88" t="s">
        <v>306</v>
      </c>
      <c r="B21" s="73" t="s">
        <v>48</v>
      </c>
      <c r="C21" s="73" t="s">
        <v>49</v>
      </c>
      <c r="D21" s="73">
        <v>9.0</v>
      </c>
      <c r="E21" s="74">
        <v>0.2916666666666667</v>
      </c>
      <c r="F21" s="23"/>
      <c r="G21" s="23"/>
      <c r="H21" s="23"/>
    </row>
    <row r="22">
      <c r="A22" s="88" t="s">
        <v>307</v>
      </c>
      <c r="B22" s="73" t="s">
        <v>61</v>
      </c>
      <c r="C22" s="73" t="s">
        <v>62</v>
      </c>
      <c r="D22" s="73">
        <v>15.0</v>
      </c>
      <c r="E22" s="74">
        <v>0.2916666666666667</v>
      </c>
      <c r="F22" s="23"/>
      <c r="G22" s="23"/>
      <c r="H22" s="23"/>
    </row>
    <row r="23">
      <c r="A23" s="89" t="s">
        <v>308</v>
      </c>
      <c r="B23" s="73" t="s">
        <v>61</v>
      </c>
      <c r="C23" s="73" t="s">
        <v>62</v>
      </c>
      <c r="D23" s="73" t="s">
        <v>25</v>
      </c>
      <c r="E23" s="74">
        <v>0.2916666666666667</v>
      </c>
      <c r="F23" s="23"/>
      <c r="G23" s="23"/>
      <c r="H23" s="23"/>
    </row>
    <row r="24">
      <c r="A24" s="88" t="s">
        <v>309</v>
      </c>
      <c r="B24" s="73" t="s">
        <v>118</v>
      </c>
      <c r="C24" s="73" t="s">
        <v>58</v>
      </c>
      <c r="D24" s="73" t="s">
        <v>25</v>
      </c>
      <c r="E24" s="74">
        <v>0.2916666666666667</v>
      </c>
      <c r="F24" s="23"/>
      <c r="G24" s="23"/>
      <c r="H24" s="23"/>
    </row>
    <row r="25">
      <c r="A25" s="89" t="s">
        <v>310</v>
      </c>
      <c r="B25" s="73" t="s">
        <v>121</v>
      </c>
      <c r="C25" s="73" t="s">
        <v>122</v>
      </c>
      <c r="D25" s="73">
        <v>6.0</v>
      </c>
      <c r="E25" s="74">
        <v>0.2916666666666667</v>
      </c>
      <c r="F25" s="23"/>
      <c r="G25" s="23"/>
      <c r="H25" s="23"/>
    </row>
    <row r="26">
      <c r="A26" s="88" t="s">
        <v>311</v>
      </c>
      <c r="B26" s="73" t="s">
        <v>37</v>
      </c>
      <c r="C26" s="73" t="s">
        <v>199</v>
      </c>
      <c r="D26" s="73">
        <v>88.0</v>
      </c>
      <c r="E26" s="74">
        <v>0.3125</v>
      </c>
      <c r="F26" s="23"/>
      <c r="G26" s="23"/>
      <c r="H26" s="23"/>
    </row>
    <row r="27">
      <c r="A27" s="88" t="s">
        <v>312</v>
      </c>
      <c r="B27" s="73" t="s">
        <v>124</v>
      </c>
      <c r="C27" s="73" t="s">
        <v>69</v>
      </c>
      <c r="D27" s="73" t="s">
        <v>25</v>
      </c>
      <c r="E27" s="74">
        <v>0.3125</v>
      </c>
      <c r="F27" s="23"/>
      <c r="G27" s="23"/>
      <c r="H27" s="23"/>
    </row>
    <row r="28">
      <c r="A28" s="88" t="s">
        <v>313</v>
      </c>
      <c r="B28" s="73" t="s">
        <v>75</v>
      </c>
      <c r="C28" s="73" t="s">
        <v>76</v>
      </c>
      <c r="D28" s="73" t="s">
        <v>25</v>
      </c>
      <c r="E28" s="74">
        <v>0.3125</v>
      </c>
      <c r="F28" s="23"/>
      <c r="G28" s="23"/>
      <c r="H28" s="23"/>
    </row>
    <row r="29">
      <c r="A29" s="89" t="s">
        <v>314</v>
      </c>
      <c r="B29" s="73" t="s">
        <v>81</v>
      </c>
      <c r="C29" s="73" t="s">
        <v>82</v>
      </c>
      <c r="D29" s="73">
        <v>20.0</v>
      </c>
      <c r="E29" s="74">
        <v>0.3125</v>
      </c>
      <c r="F29" s="23"/>
      <c r="G29" s="23"/>
      <c r="H29" s="23"/>
    </row>
    <row r="30">
      <c r="A30" s="89" t="s">
        <v>315</v>
      </c>
      <c r="B30" s="73" t="s">
        <v>71</v>
      </c>
      <c r="C30" s="73" t="s">
        <v>72</v>
      </c>
      <c r="D30" s="73">
        <v>5.0</v>
      </c>
      <c r="E30" s="74">
        <v>0.3125</v>
      </c>
      <c r="F30" s="23"/>
      <c r="G30" s="23"/>
      <c r="H30" s="23"/>
    </row>
    <row r="31">
      <c r="A31" s="89" t="s">
        <v>316</v>
      </c>
      <c r="B31" s="73" t="s">
        <v>78</v>
      </c>
      <c r="C31" s="73" t="s">
        <v>79</v>
      </c>
      <c r="D31" s="73">
        <v>17.0</v>
      </c>
      <c r="E31" s="74">
        <v>0.3125</v>
      </c>
      <c r="F31" s="23"/>
      <c r="G31" s="23"/>
      <c r="H31" s="23"/>
    </row>
  </sheetData>
  <mergeCells count="2">
    <mergeCell ref="G4:H4"/>
    <mergeCell ref="H6:H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40.63"/>
    <col customWidth="1" min="3" max="3" width="12.0"/>
    <col customWidth="1" min="4" max="4" width="17.13"/>
    <col customWidth="1" min="5" max="5" width="10.38"/>
    <col customWidth="1" min="7" max="7" width="70.3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23"/>
      <c r="G1" s="80" t="s">
        <v>5</v>
      </c>
      <c r="H1" s="81">
        <f>SUM(H2,H3)</f>
        <v>25</v>
      </c>
    </row>
    <row r="2">
      <c r="A2" s="90" t="s">
        <v>317</v>
      </c>
      <c r="B2" s="90" t="s">
        <v>318</v>
      </c>
      <c r="C2" s="90" t="s">
        <v>319</v>
      </c>
      <c r="D2" s="90">
        <v>26.0</v>
      </c>
      <c r="E2" s="91">
        <v>0.20833333333333334</v>
      </c>
      <c r="G2" s="82" t="s">
        <v>9</v>
      </c>
      <c r="H2" s="82">
        <v>17.0</v>
      </c>
    </row>
    <row r="3">
      <c r="A3" s="92" t="s">
        <v>320</v>
      </c>
      <c r="B3" s="73" t="s">
        <v>7</v>
      </c>
      <c r="C3" s="73" t="s">
        <v>8</v>
      </c>
      <c r="D3" s="73">
        <v>18.0</v>
      </c>
      <c r="E3" s="74">
        <v>0.25</v>
      </c>
      <c r="F3" s="23"/>
      <c r="G3" s="82" t="s">
        <v>13</v>
      </c>
      <c r="H3" s="82">
        <v>8.0</v>
      </c>
    </row>
    <row r="4">
      <c r="A4" s="92" t="s">
        <v>321</v>
      </c>
      <c r="B4" s="73" t="s">
        <v>15</v>
      </c>
      <c r="C4" s="73" t="s">
        <v>16</v>
      </c>
      <c r="D4" s="73">
        <v>14.0</v>
      </c>
      <c r="E4" s="74">
        <v>0.25</v>
      </c>
      <c r="F4" s="23"/>
      <c r="G4" s="93"/>
      <c r="H4" s="93"/>
    </row>
    <row r="5">
      <c r="A5" s="92" t="s">
        <v>322</v>
      </c>
      <c r="B5" s="73" t="s">
        <v>18</v>
      </c>
      <c r="C5" s="73" t="s">
        <v>19</v>
      </c>
      <c r="D5" s="73">
        <v>29.0</v>
      </c>
      <c r="E5" s="74">
        <v>0.25</v>
      </c>
      <c r="F5" s="23"/>
      <c r="G5" s="83"/>
    </row>
    <row r="6">
      <c r="A6" s="92" t="s">
        <v>323</v>
      </c>
      <c r="B6" s="73" t="s">
        <v>22</v>
      </c>
      <c r="C6" s="73" t="s">
        <v>23</v>
      </c>
      <c r="D6" s="73">
        <v>45.0</v>
      </c>
      <c r="E6" s="74">
        <v>0.25</v>
      </c>
      <c r="F6" s="23"/>
      <c r="G6" s="84" t="s">
        <v>20</v>
      </c>
      <c r="H6" s="82">
        <v>16.0</v>
      </c>
    </row>
    <row r="7">
      <c r="A7" s="92" t="s">
        <v>324</v>
      </c>
      <c r="B7" s="73" t="s">
        <v>264</v>
      </c>
      <c r="C7" s="73" t="s">
        <v>224</v>
      </c>
      <c r="D7" s="73">
        <v>47.0</v>
      </c>
      <c r="E7" s="74">
        <v>0.25</v>
      </c>
      <c r="F7" s="23"/>
      <c r="G7" s="84" t="s">
        <v>286</v>
      </c>
      <c r="H7" s="85"/>
    </row>
    <row r="8">
      <c r="A8" s="94" t="s">
        <v>325</v>
      </c>
      <c r="B8" s="73" t="s">
        <v>326</v>
      </c>
      <c r="C8" s="73" t="s">
        <v>289</v>
      </c>
      <c r="D8" s="73">
        <v>9.0</v>
      </c>
      <c r="E8" s="74">
        <v>0.25</v>
      </c>
      <c r="F8" s="23"/>
      <c r="G8" s="75" t="s">
        <v>327</v>
      </c>
      <c r="H8" s="38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95" t="s">
        <v>328</v>
      </c>
      <c r="B9" s="66" t="s">
        <v>326</v>
      </c>
      <c r="C9" s="66" t="s">
        <v>289</v>
      </c>
      <c r="D9" s="66">
        <v>34.0</v>
      </c>
      <c r="E9" s="67">
        <v>0.25</v>
      </c>
    </row>
    <row r="10">
      <c r="A10" s="76" t="s">
        <v>329</v>
      </c>
      <c r="B10" s="73" t="s">
        <v>27</v>
      </c>
      <c r="C10" s="73" t="s">
        <v>28</v>
      </c>
      <c r="D10" s="73" t="s">
        <v>25</v>
      </c>
      <c r="E10" s="74">
        <v>0.2708333333333333</v>
      </c>
    </row>
    <row r="11">
      <c r="A11" s="76" t="s">
        <v>330</v>
      </c>
      <c r="B11" s="73" t="s">
        <v>34</v>
      </c>
      <c r="C11" s="73" t="s">
        <v>69</v>
      </c>
      <c r="D11" s="73">
        <v>8.0</v>
      </c>
      <c r="E11" s="74">
        <v>0.2708333333333333</v>
      </c>
      <c r="F11" s="23"/>
      <c r="G11" s="23"/>
      <c r="H11" s="23"/>
    </row>
    <row r="12">
      <c r="A12" s="65" t="s">
        <v>331</v>
      </c>
      <c r="B12" s="73" t="s">
        <v>31</v>
      </c>
      <c r="C12" s="73" t="s">
        <v>32</v>
      </c>
      <c r="D12" s="73">
        <v>33.0</v>
      </c>
      <c r="E12" s="74">
        <v>0.2708333333333333</v>
      </c>
      <c r="F12" s="23"/>
      <c r="G12" s="23"/>
      <c r="H12" s="23"/>
    </row>
    <row r="13">
      <c r="A13" s="77" t="s">
        <v>332</v>
      </c>
      <c r="B13" s="73" t="s">
        <v>294</v>
      </c>
      <c r="C13" s="73" t="s">
        <v>267</v>
      </c>
      <c r="D13" s="73">
        <v>32.0</v>
      </c>
      <c r="E13" s="74">
        <v>0.2916666666666667</v>
      </c>
      <c r="F13" s="23"/>
      <c r="G13" s="23"/>
      <c r="H13" s="23"/>
    </row>
    <row r="14">
      <c r="A14" s="96" t="s">
        <v>333</v>
      </c>
      <c r="B14" s="73" t="s">
        <v>37</v>
      </c>
      <c r="C14" s="73" t="s">
        <v>199</v>
      </c>
      <c r="D14" s="73" t="s">
        <v>167</v>
      </c>
      <c r="E14" s="74">
        <v>0.2916666666666667</v>
      </c>
      <c r="F14" s="23"/>
      <c r="G14" s="23"/>
      <c r="H14" s="23"/>
    </row>
    <row r="15">
      <c r="A15" s="97" t="s">
        <v>334</v>
      </c>
      <c r="B15" s="73" t="s">
        <v>37</v>
      </c>
      <c r="C15" s="73" t="s">
        <v>199</v>
      </c>
      <c r="D15" s="73">
        <v>48.0</v>
      </c>
      <c r="E15" s="74">
        <v>0.2916666666666667</v>
      </c>
      <c r="F15" s="23"/>
      <c r="G15" s="23"/>
      <c r="H15" s="23"/>
    </row>
    <row r="16">
      <c r="A16" s="76" t="s">
        <v>335</v>
      </c>
      <c r="B16" s="73" t="s">
        <v>37</v>
      </c>
      <c r="C16" s="73" t="s">
        <v>199</v>
      </c>
      <c r="D16" s="73" t="s">
        <v>167</v>
      </c>
      <c r="E16" s="74">
        <v>0.2916666666666667</v>
      </c>
      <c r="F16" s="23"/>
      <c r="G16" s="23"/>
      <c r="H16" s="23"/>
    </row>
    <row r="17">
      <c r="A17" s="65" t="s">
        <v>336</v>
      </c>
      <c r="B17" s="73" t="s">
        <v>41</v>
      </c>
      <c r="C17" s="73" t="s">
        <v>218</v>
      </c>
      <c r="D17" s="73">
        <v>87.0</v>
      </c>
      <c r="E17" s="74">
        <v>0.2916666666666667</v>
      </c>
      <c r="F17" s="23"/>
      <c r="G17" s="23"/>
      <c r="H17" s="23"/>
    </row>
    <row r="18">
      <c r="A18" s="76" t="s">
        <v>337</v>
      </c>
      <c r="B18" s="73" t="s">
        <v>37</v>
      </c>
      <c r="C18" s="73" t="s">
        <v>199</v>
      </c>
      <c r="D18" s="73" t="s">
        <v>167</v>
      </c>
      <c r="E18" s="74">
        <v>0.2916666666666667</v>
      </c>
      <c r="F18" s="23"/>
      <c r="G18" s="23"/>
      <c r="H18" s="23"/>
    </row>
    <row r="19">
      <c r="A19" s="76" t="s">
        <v>338</v>
      </c>
      <c r="B19" s="73" t="s">
        <v>41</v>
      </c>
      <c r="C19" s="73" t="s">
        <v>218</v>
      </c>
      <c r="D19" s="73" t="s">
        <v>167</v>
      </c>
      <c r="E19" s="74">
        <v>0.2916666666666667</v>
      </c>
      <c r="F19" s="23"/>
      <c r="G19" s="23"/>
      <c r="H19" s="23"/>
    </row>
    <row r="20">
      <c r="A20" s="76" t="s">
        <v>339</v>
      </c>
      <c r="B20" s="73" t="s">
        <v>88</v>
      </c>
      <c r="C20" s="73" t="s">
        <v>207</v>
      </c>
      <c r="D20" s="73" t="s">
        <v>167</v>
      </c>
      <c r="E20" s="74">
        <v>0.2916666666666667</v>
      </c>
      <c r="F20" s="23"/>
      <c r="G20" s="23"/>
      <c r="H20" s="23"/>
    </row>
    <row r="21">
      <c r="A21" s="76" t="s">
        <v>340</v>
      </c>
      <c r="B21" s="73" t="s">
        <v>44</v>
      </c>
      <c r="C21" s="73" t="s">
        <v>203</v>
      </c>
      <c r="D21" s="73">
        <v>49.0</v>
      </c>
      <c r="E21" s="74">
        <v>0.2916666666666667</v>
      </c>
      <c r="F21" s="23"/>
      <c r="G21" s="23"/>
      <c r="H21" s="23"/>
    </row>
    <row r="22">
      <c r="A22" s="76" t="s">
        <v>341</v>
      </c>
      <c r="B22" s="73" t="s">
        <v>44</v>
      </c>
      <c r="C22" s="73" t="s">
        <v>203</v>
      </c>
      <c r="D22" s="73" t="s">
        <v>167</v>
      </c>
      <c r="E22" s="74">
        <v>0.2916666666666667</v>
      </c>
      <c r="F22" s="23"/>
      <c r="G22" s="23"/>
      <c r="H22" s="23"/>
    </row>
    <row r="23">
      <c r="A23" s="76" t="s">
        <v>342</v>
      </c>
      <c r="B23" s="73" t="s">
        <v>44</v>
      </c>
      <c r="C23" s="73" t="s">
        <v>203</v>
      </c>
      <c r="D23" s="73" t="s">
        <v>167</v>
      </c>
      <c r="E23" s="74">
        <v>0.2916666666666667</v>
      </c>
      <c r="F23" s="23"/>
      <c r="G23" s="23"/>
      <c r="H23" s="23"/>
    </row>
    <row r="24">
      <c r="A24" s="76" t="s">
        <v>343</v>
      </c>
      <c r="B24" s="73" t="s">
        <v>44</v>
      </c>
      <c r="C24" s="73" t="s">
        <v>203</v>
      </c>
      <c r="D24" s="73" t="s">
        <v>167</v>
      </c>
      <c r="E24" s="74">
        <v>0.2916666666666667</v>
      </c>
      <c r="F24" s="23"/>
      <c r="G24" s="23"/>
      <c r="H24" s="23"/>
    </row>
    <row r="25">
      <c r="A25" s="76" t="s">
        <v>344</v>
      </c>
      <c r="B25" s="73" t="s">
        <v>84</v>
      </c>
      <c r="C25" s="73" t="s">
        <v>193</v>
      </c>
      <c r="D25" s="73" t="s">
        <v>167</v>
      </c>
      <c r="E25" s="74">
        <v>0.2916666666666667</v>
      </c>
      <c r="F25" s="23"/>
      <c r="G25" s="23"/>
      <c r="H25" s="23"/>
    </row>
    <row r="26">
      <c r="A26" s="76" t="s">
        <v>345</v>
      </c>
      <c r="B26" s="73" t="s">
        <v>84</v>
      </c>
      <c r="C26" s="73" t="s">
        <v>193</v>
      </c>
      <c r="D26" s="73" t="s">
        <v>167</v>
      </c>
      <c r="E26" s="74">
        <v>0.2916666666666667</v>
      </c>
      <c r="F26" s="23"/>
      <c r="G26" s="23"/>
      <c r="H26" s="23"/>
    </row>
    <row r="27">
      <c r="A27" s="76" t="s">
        <v>346</v>
      </c>
      <c r="B27" s="73" t="s">
        <v>48</v>
      </c>
      <c r="C27" s="73" t="s">
        <v>49</v>
      </c>
      <c r="D27" s="73">
        <v>22.0</v>
      </c>
      <c r="E27" s="74">
        <v>0.2916666666666667</v>
      </c>
      <c r="F27" s="23"/>
      <c r="G27" s="23"/>
      <c r="H27" s="23"/>
    </row>
    <row r="28">
      <c r="A28" s="76" t="s">
        <v>347</v>
      </c>
      <c r="B28" s="73" t="s">
        <v>51</v>
      </c>
      <c r="C28" s="73" t="s">
        <v>52</v>
      </c>
      <c r="D28" s="73">
        <v>6.0</v>
      </c>
      <c r="E28" s="74">
        <v>0.2916666666666667</v>
      </c>
      <c r="F28" s="23"/>
      <c r="G28" s="23"/>
      <c r="H28" s="23"/>
    </row>
    <row r="29">
      <c r="A29" s="98" t="s">
        <v>348</v>
      </c>
      <c r="B29" s="66" t="s">
        <v>61</v>
      </c>
      <c r="C29" s="66" t="s">
        <v>62</v>
      </c>
      <c r="D29" s="66">
        <v>17.0</v>
      </c>
      <c r="E29" s="74">
        <v>0.2916666666666667</v>
      </c>
      <c r="F29" s="23"/>
      <c r="G29" s="23"/>
      <c r="H29" s="23"/>
    </row>
    <row r="30">
      <c r="A30" s="98" t="s">
        <v>349</v>
      </c>
      <c r="B30" s="66" t="s">
        <v>54</v>
      </c>
      <c r="C30" s="66" t="s">
        <v>55</v>
      </c>
      <c r="D30" s="66">
        <v>27.0</v>
      </c>
      <c r="E30" s="74">
        <v>0.2916666666666667</v>
      </c>
    </row>
    <row r="31">
      <c r="A31" s="98" t="s">
        <v>350</v>
      </c>
      <c r="B31" s="66" t="s">
        <v>118</v>
      </c>
      <c r="C31" s="66" t="s">
        <v>58</v>
      </c>
      <c r="D31" s="66">
        <v>21.0</v>
      </c>
      <c r="E31" s="74">
        <v>0.2916666666666667</v>
      </c>
    </row>
    <row r="32">
      <c r="A32" s="99" t="s">
        <v>351</v>
      </c>
      <c r="B32" s="66" t="s">
        <v>118</v>
      </c>
      <c r="C32" s="66" t="s">
        <v>58</v>
      </c>
      <c r="D32" s="66">
        <v>25.0</v>
      </c>
      <c r="E32" s="74">
        <v>0.2916666666666667</v>
      </c>
    </row>
    <row r="33">
      <c r="A33" s="66" t="s">
        <v>352</v>
      </c>
      <c r="B33" s="66" t="s">
        <v>41</v>
      </c>
      <c r="C33" s="66" t="s">
        <v>218</v>
      </c>
      <c r="D33" s="66">
        <v>12.0</v>
      </c>
      <c r="E33" s="67">
        <v>0.2916666666666667</v>
      </c>
    </row>
    <row r="34">
      <c r="A34" s="95" t="s">
        <v>353</v>
      </c>
      <c r="B34" s="66" t="s">
        <v>124</v>
      </c>
      <c r="C34" s="66" t="s">
        <v>69</v>
      </c>
      <c r="D34" s="66">
        <v>15.0</v>
      </c>
      <c r="E34" s="74">
        <v>0.3125</v>
      </c>
    </row>
    <row r="35">
      <c r="A35" s="95" t="s">
        <v>354</v>
      </c>
      <c r="B35" s="66" t="s">
        <v>75</v>
      </c>
      <c r="C35" s="66" t="s">
        <v>76</v>
      </c>
      <c r="D35" s="66">
        <v>36.0</v>
      </c>
      <c r="E35" s="74">
        <v>0.3125</v>
      </c>
    </row>
    <row r="36">
      <c r="A36" s="95" t="s">
        <v>355</v>
      </c>
      <c r="B36" s="66" t="s">
        <v>78</v>
      </c>
      <c r="C36" s="66" t="s">
        <v>79</v>
      </c>
      <c r="D36" s="66">
        <v>20.0</v>
      </c>
      <c r="E36" s="74">
        <v>0.3125</v>
      </c>
    </row>
    <row r="37">
      <c r="A37" s="95" t="s">
        <v>356</v>
      </c>
      <c r="B37" s="66" t="s">
        <v>81</v>
      </c>
      <c r="C37" s="66" t="s">
        <v>82</v>
      </c>
      <c r="D37" s="66">
        <v>7.0</v>
      </c>
      <c r="E37" s="74">
        <v>0.3125</v>
      </c>
    </row>
    <row r="38">
      <c r="A38" s="95" t="s">
        <v>357</v>
      </c>
      <c r="B38" s="66" t="s">
        <v>81</v>
      </c>
      <c r="C38" s="66" t="s">
        <v>82</v>
      </c>
      <c r="D38" s="66" t="s">
        <v>25</v>
      </c>
      <c r="E38" s="74">
        <v>0.3125</v>
      </c>
    </row>
    <row r="39">
      <c r="A39" s="100" t="s">
        <v>358</v>
      </c>
      <c r="B39" s="66" t="s">
        <v>71</v>
      </c>
      <c r="C39" s="66" t="s">
        <v>72</v>
      </c>
      <c r="D39" s="66">
        <v>5.0</v>
      </c>
      <c r="E39" s="74">
        <v>0.3125</v>
      </c>
    </row>
    <row r="40">
      <c r="A40" s="95" t="s">
        <v>359</v>
      </c>
      <c r="B40" s="66" t="s">
        <v>37</v>
      </c>
      <c r="C40" s="66" t="s">
        <v>199</v>
      </c>
      <c r="D40" s="66" t="s">
        <v>167</v>
      </c>
      <c r="E40" s="67">
        <v>0.3333333333333333</v>
      </c>
    </row>
    <row r="41">
      <c r="A41" s="95" t="s">
        <v>360</v>
      </c>
      <c r="B41" s="66" t="s">
        <v>37</v>
      </c>
      <c r="C41" s="66" t="s">
        <v>199</v>
      </c>
      <c r="D41" s="66" t="s">
        <v>167</v>
      </c>
      <c r="E41" s="67">
        <v>0.3333333333333333</v>
      </c>
    </row>
    <row r="42">
      <c r="A42" s="95" t="s">
        <v>361</v>
      </c>
      <c r="B42" s="66" t="s">
        <v>41</v>
      </c>
      <c r="C42" s="66" t="s">
        <v>218</v>
      </c>
      <c r="D42" s="66" t="s">
        <v>25</v>
      </c>
      <c r="E42" s="67">
        <v>0.7916666666666666</v>
      </c>
    </row>
    <row r="43">
      <c r="A43" s="95" t="s">
        <v>361</v>
      </c>
      <c r="B43" s="66" t="s">
        <v>41</v>
      </c>
      <c r="C43" s="66" t="s">
        <v>218</v>
      </c>
      <c r="D43" s="66" t="s">
        <v>25</v>
      </c>
      <c r="E43" s="67">
        <v>0.7916666666666666</v>
      </c>
    </row>
  </sheetData>
  <mergeCells count="2">
    <mergeCell ref="G5:H5"/>
    <mergeCell ref="H7:H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40.63"/>
    <col customWidth="1" min="3" max="3" width="12.0"/>
    <col customWidth="1" min="4" max="4" width="43.5"/>
    <col customWidth="1" min="5" max="5" width="10.38"/>
    <col customWidth="1" min="7" max="7" width="70.3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23"/>
      <c r="G1" s="80" t="s">
        <v>5</v>
      </c>
      <c r="H1" s="81">
        <f>SUM(H2,H3)</f>
        <v>25</v>
      </c>
    </row>
    <row r="2">
      <c r="A2" s="65" t="s">
        <v>362</v>
      </c>
      <c r="B2" s="90" t="s">
        <v>7</v>
      </c>
      <c r="C2" s="90" t="s">
        <v>8</v>
      </c>
      <c r="D2" s="90">
        <v>41.0</v>
      </c>
      <c r="E2" s="91">
        <v>0.25</v>
      </c>
      <c r="G2" s="82" t="s">
        <v>9</v>
      </c>
      <c r="H2" s="82">
        <v>20.0</v>
      </c>
    </row>
    <row r="3">
      <c r="A3" s="65" t="s">
        <v>363</v>
      </c>
      <c r="B3" s="73" t="s">
        <v>97</v>
      </c>
      <c r="C3" s="73" t="s">
        <v>12</v>
      </c>
      <c r="D3" s="73">
        <v>39.0</v>
      </c>
      <c r="E3" s="74">
        <v>0.25</v>
      </c>
      <c r="F3" s="23"/>
      <c r="G3" s="82" t="s">
        <v>13</v>
      </c>
      <c r="H3" s="82">
        <v>5.0</v>
      </c>
    </row>
    <row r="4">
      <c r="A4" s="65" t="s">
        <v>364</v>
      </c>
      <c r="B4" s="73" t="s">
        <v>15</v>
      </c>
      <c r="C4" s="73" t="s">
        <v>16</v>
      </c>
      <c r="D4" s="73">
        <v>17.0</v>
      </c>
      <c r="E4" s="74">
        <v>0.25</v>
      </c>
      <c r="F4" s="23"/>
      <c r="G4" s="93"/>
      <c r="H4" s="93"/>
    </row>
    <row r="5">
      <c r="A5" s="65" t="s">
        <v>365</v>
      </c>
      <c r="B5" s="73" t="s">
        <v>18</v>
      </c>
      <c r="C5" s="73" t="s">
        <v>19</v>
      </c>
      <c r="D5" s="73" t="s">
        <v>25</v>
      </c>
      <c r="E5" s="74">
        <v>0.25</v>
      </c>
      <c r="F5" s="23"/>
      <c r="G5" s="83"/>
    </row>
    <row r="6">
      <c r="A6" s="65" t="s">
        <v>366</v>
      </c>
      <c r="B6" s="73" t="s">
        <v>22</v>
      </c>
      <c r="C6" s="73" t="s">
        <v>23</v>
      </c>
      <c r="D6" s="73">
        <v>45.0</v>
      </c>
      <c r="E6" s="74">
        <v>0.25</v>
      </c>
      <c r="F6" s="23"/>
      <c r="G6" s="84" t="s">
        <v>20</v>
      </c>
      <c r="H6" s="82">
        <v>13.0</v>
      </c>
    </row>
    <row r="7">
      <c r="A7" s="65" t="s">
        <v>367</v>
      </c>
      <c r="B7" s="73" t="s">
        <v>264</v>
      </c>
      <c r="C7" s="73" t="s">
        <v>224</v>
      </c>
      <c r="D7" s="73">
        <v>28.0</v>
      </c>
      <c r="E7" s="74">
        <v>0.25</v>
      </c>
      <c r="F7" s="23"/>
      <c r="G7" s="84" t="s">
        <v>286</v>
      </c>
      <c r="H7" s="85"/>
    </row>
    <row r="8">
      <c r="A8" s="76" t="s">
        <v>368</v>
      </c>
      <c r="B8" s="73" t="s">
        <v>326</v>
      </c>
      <c r="C8" s="73" t="s">
        <v>289</v>
      </c>
      <c r="D8" s="73">
        <v>46.0</v>
      </c>
      <c r="E8" s="74">
        <v>0.25</v>
      </c>
      <c r="F8" s="23"/>
      <c r="G8" s="75" t="s">
        <v>369</v>
      </c>
      <c r="H8" s="38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76" t="s">
        <v>370</v>
      </c>
      <c r="B9" s="66" t="s">
        <v>294</v>
      </c>
      <c r="C9" s="66" t="s">
        <v>267</v>
      </c>
      <c r="D9" s="66" t="s">
        <v>371</v>
      </c>
      <c r="E9" s="67">
        <v>0.25</v>
      </c>
    </row>
    <row r="10">
      <c r="A10" s="76" t="s">
        <v>372</v>
      </c>
      <c r="B10" s="73" t="s">
        <v>27</v>
      </c>
      <c r="C10" s="73" t="s">
        <v>28</v>
      </c>
      <c r="D10" s="73">
        <v>9.0</v>
      </c>
      <c r="E10" s="74">
        <v>0.2708333333333333</v>
      </c>
    </row>
    <row r="11">
      <c r="A11" s="76" t="s">
        <v>373</v>
      </c>
      <c r="B11" s="73" t="s">
        <v>34</v>
      </c>
      <c r="C11" s="73" t="s">
        <v>35</v>
      </c>
      <c r="D11" s="73">
        <v>6.0</v>
      </c>
      <c r="E11" s="74">
        <v>0.2708333333333333</v>
      </c>
      <c r="F11" s="23"/>
      <c r="G11" s="23"/>
      <c r="H11" s="23"/>
    </row>
    <row r="12">
      <c r="A12" s="65" t="s">
        <v>374</v>
      </c>
      <c r="B12" s="73" t="s">
        <v>31</v>
      </c>
      <c r="C12" s="73" t="s">
        <v>32</v>
      </c>
      <c r="D12" s="73">
        <v>33.0</v>
      </c>
      <c r="E12" s="74">
        <v>0.2708333333333333</v>
      </c>
      <c r="F12" s="23"/>
      <c r="G12" s="23"/>
      <c r="H12" s="23"/>
    </row>
    <row r="13">
      <c r="A13" s="77" t="s">
        <v>375</v>
      </c>
      <c r="B13" s="73" t="s">
        <v>37</v>
      </c>
      <c r="C13" s="73" t="s">
        <v>199</v>
      </c>
      <c r="D13" s="73"/>
      <c r="E13" s="74">
        <v>0.2916666666666667</v>
      </c>
      <c r="F13" s="23"/>
      <c r="G13" s="23"/>
      <c r="H13" s="23"/>
    </row>
    <row r="14">
      <c r="A14" s="65" t="s">
        <v>376</v>
      </c>
      <c r="B14" s="73" t="s">
        <v>37</v>
      </c>
      <c r="C14" s="73" t="s">
        <v>199</v>
      </c>
      <c r="D14" s="73">
        <v>89.0</v>
      </c>
      <c r="E14" s="74">
        <v>0.2916666666666667</v>
      </c>
      <c r="F14" s="23"/>
      <c r="G14" s="23"/>
      <c r="H14" s="23"/>
    </row>
    <row r="15">
      <c r="A15" s="65" t="s">
        <v>377</v>
      </c>
      <c r="B15" s="73" t="s">
        <v>37</v>
      </c>
      <c r="C15" s="73" t="s">
        <v>199</v>
      </c>
      <c r="D15" s="73">
        <v>88.0</v>
      </c>
      <c r="E15" s="74">
        <v>0.2916666666666667</v>
      </c>
      <c r="F15" s="23"/>
      <c r="G15" s="23"/>
      <c r="H15" s="23"/>
    </row>
    <row r="16">
      <c r="A16" s="76" t="s">
        <v>378</v>
      </c>
      <c r="B16" s="73" t="s">
        <v>379</v>
      </c>
      <c r="C16" s="73" t="s">
        <v>218</v>
      </c>
      <c r="D16" s="73" t="s">
        <v>380</v>
      </c>
      <c r="E16" s="74">
        <v>0.2916666666666667</v>
      </c>
      <c r="F16" s="23"/>
      <c r="G16" s="23"/>
      <c r="H16" s="23"/>
    </row>
    <row r="17">
      <c r="A17" s="65" t="s">
        <v>381</v>
      </c>
      <c r="B17" s="73" t="s">
        <v>88</v>
      </c>
      <c r="C17" s="73" t="s">
        <v>207</v>
      </c>
      <c r="D17" s="73" t="s">
        <v>380</v>
      </c>
      <c r="E17" s="74">
        <v>0.2916666666666667</v>
      </c>
      <c r="F17" s="23"/>
      <c r="G17" s="23"/>
      <c r="H17" s="23"/>
    </row>
    <row r="18">
      <c r="A18" s="76" t="s">
        <v>382</v>
      </c>
      <c r="B18" s="73" t="s">
        <v>379</v>
      </c>
      <c r="C18" s="73" t="s">
        <v>218</v>
      </c>
      <c r="D18" s="73" t="s">
        <v>380</v>
      </c>
      <c r="E18" s="74">
        <v>0.2916666666666667</v>
      </c>
      <c r="F18" s="23"/>
      <c r="G18" s="23"/>
      <c r="H18" s="23"/>
    </row>
    <row r="19">
      <c r="A19" s="76" t="s">
        <v>383</v>
      </c>
      <c r="B19" s="73" t="s">
        <v>379</v>
      </c>
      <c r="C19" s="73" t="s">
        <v>218</v>
      </c>
      <c r="D19" s="73" t="s">
        <v>380</v>
      </c>
      <c r="E19" s="74">
        <v>0.2916666666666667</v>
      </c>
      <c r="F19" s="23"/>
      <c r="G19" s="23"/>
      <c r="H19" s="23"/>
    </row>
    <row r="20">
      <c r="A20" s="77" t="s">
        <v>384</v>
      </c>
      <c r="B20" s="73" t="s">
        <v>385</v>
      </c>
      <c r="C20" s="73" t="s">
        <v>207</v>
      </c>
      <c r="D20" s="73" t="s">
        <v>380</v>
      </c>
      <c r="E20" s="74">
        <v>0.2916666666666667</v>
      </c>
      <c r="F20" s="23"/>
      <c r="G20" s="23"/>
      <c r="H20" s="23"/>
    </row>
    <row r="21">
      <c r="A21" s="76" t="s">
        <v>386</v>
      </c>
      <c r="B21" s="73" t="s">
        <v>48</v>
      </c>
      <c r="C21" s="73" t="s">
        <v>49</v>
      </c>
      <c r="D21" s="73">
        <v>15.0</v>
      </c>
      <c r="E21" s="74">
        <v>0.2916666666666667</v>
      </c>
      <c r="F21" s="23"/>
      <c r="G21" s="23"/>
      <c r="H21" s="23"/>
    </row>
    <row r="22">
      <c r="A22" s="76" t="s">
        <v>387</v>
      </c>
      <c r="B22" s="73" t="s">
        <v>51</v>
      </c>
      <c r="C22" s="73" t="s">
        <v>52</v>
      </c>
      <c r="D22" s="73">
        <v>12.0</v>
      </c>
      <c r="E22" s="74">
        <v>0.2916666666666667</v>
      </c>
      <c r="F22" s="23"/>
      <c r="G22" s="23"/>
      <c r="H22" s="23"/>
    </row>
    <row r="23">
      <c r="A23" s="76" t="s">
        <v>388</v>
      </c>
      <c r="B23" s="73" t="s">
        <v>54</v>
      </c>
      <c r="C23" s="73" t="s">
        <v>55</v>
      </c>
      <c r="D23" s="73">
        <v>27.0</v>
      </c>
      <c r="E23" s="74">
        <v>0.2916666666666667</v>
      </c>
      <c r="F23" s="23"/>
      <c r="G23" s="23"/>
      <c r="H23" s="23"/>
    </row>
    <row r="24">
      <c r="A24" s="76" t="s">
        <v>389</v>
      </c>
      <c r="B24" s="73" t="s">
        <v>118</v>
      </c>
      <c r="C24" s="73" t="s">
        <v>58</v>
      </c>
      <c r="D24" s="73">
        <v>25.0</v>
      </c>
      <c r="E24" s="74">
        <v>0.2916666666666667</v>
      </c>
      <c r="F24" s="23"/>
      <c r="G24" s="23"/>
      <c r="H24" s="23"/>
    </row>
    <row r="25">
      <c r="A25" s="76" t="s">
        <v>390</v>
      </c>
      <c r="B25" s="73" t="s">
        <v>118</v>
      </c>
      <c r="C25" s="73" t="s">
        <v>58</v>
      </c>
      <c r="D25" s="73" t="s">
        <v>391</v>
      </c>
      <c r="E25" s="74">
        <v>0.2916666666666667</v>
      </c>
      <c r="F25" s="23"/>
      <c r="G25" s="23"/>
      <c r="H25" s="23"/>
    </row>
    <row r="26">
      <c r="A26" s="76" t="s">
        <v>392</v>
      </c>
      <c r="B26" s="73" t="s">
        <v>61</v>
      </c>
      <c r="C26" s="73" t="s">
        <v>62</v>
      </c>
      <c r="D26" s="73">
        <v>18.0</v>
      </c>
      <c r="E26" s="74">
        <v>0.2916666666666667</v>
      </c>
      <c r="F26" s="23"/>
      <c r="G26" s="23"/>
      <c r="H26" s="23"/>
    </row>
    <row r="27">
      <c r="A27" s="76" t="s">
        <v>393</v>
      </c>
      <c r="B27" s="73" t="s">
        <v>61</v>
      </c>
      <c r="C27" s="73" t="s">
        <v>62</v>
      </c>
      <c r="D27" s="73">
        <v>13.0</v>
      </c>
      <c r="E27" s="74">
        <v>0.2916666666666667</v>
      </c>
      <c r="F27" s="23"/>
      <c r="G27" s="23"/>
      <c r="H27" s="23"/>
    </row>
    <row r="28">
      <c r="A28" s="101" t="s">
        <v>394</v>
      </c>
      <c r="B28" s="73" t="s">
        <v>121</v>
      </c>
      <c r="C28" s="73" t="s">
        <v>122</v>
      </c>
      <c r="D28" s="73">
        <v>14.0</v>
      </c>
      <c r="E28" s="74">
        <v>0.2916666666666667</v>
      </c>
      <c r="F28" s="23"/>
      <c r="G28" s="23"/>
      <c r="H28" s="23"/>
    </row>
    <row r="29">
      <c r="A29" s="102" t="s">
        <v>395</v>
      </c>
      <c r="B29" s="66" t="s">
        <v>379</v>
      </c>
      <c r="C29" s="66" t="s">
        <v>218</v>
      </c>
      <c r="D29" s="66">
        <v>100.0</v>
      </c>
      <c r="E29" s="67">
        <v>0.2916666666666667</v>
      </c>
    </row>
    <row r="30">
      <c r="A30" s="76" t="s">
        <v>396</v>
      </c>
      <c r="B30" s="66" t="s">
        <v>124</v>
      </c>
      <c r="C30" s="66" t="s">
        <v>69</v>
      </c>
      <c r="D30" s="66">
        <v>8.0</v>
      </c>
      <c r="E30" s="74">
        <v>0.3125</v>
      </c>
      <c r="F30" s="23"/>
      <c r="G30" s="23"/>
      <c r="H30" s="23"/>
    </row>
    <row r="31">
      <c r="A31" s="76" t="s">
        <v>397</v>
      </c>
      <c r="B31" s="66" t="s">
        <v>75</v>
      </c>
      <c r="C31" s="66" t="s">
        <v>76</v>
      </c>
      <c r="D31" s="66">
        <v>29.0</v>
      </c>
      <c r="E31" s="74">
        <v>0.3125</v>
      </c>
    </row>
    <row r="32">
      <c r="A32" s="76" t="s">
        <v>398</v>
      </c>
      <c r="B32" s="66" t="s">
        <v>399</v>
      </c>
      <c r="C32" s="66" t="s">
        <v>157</v>
      </c>
      <c r="D32" s="66">
        <v>32.0</v>
      </c>
      <c r="E32" s="74">
        <v>0.3125</v>
      </c>
    </row>
    <row r="33">
      <c r="A33" s="103" t="s">
        <v>400</v>
      </c>
      <c r="B33" s="66" t="s">
        <v>78</v>
      </c>
      <c r="C33" s="66" t="s">
        <v>79</v>
      </c>
      <c r="D33" s="66">
        <v>21.0</v>
      </c>
      <c r="E33" s="74">
        <v>0.3125</v>
      </c>
    </row>
    <row r="34">
      <c r="A34" s="104" t="s">
        <v>401</v>
      </c>
      <c r="B34" s="66" t="s">
        <v>71</v>
      </c>
      <c r="C34" s="66" t="s">
        <v>72</v>
      </c>
      <c r="D34" s="66">
        <v>5.0</v>
      </c>
      <c r="E34" s="74">
        <v>0.3125</v>
      </c>
    </row>
    <row r="35">
      <c r="A35" s="105" t="s">
        <v>402</v>
      </c>
      <c r="B35" s="66" t="s">
        <v>81</v>
      </c>
      <c r="C35" s="66" t="s">
        <v>82</v>
      </c>
      <c r="D35" s="66">
        <v>7.0</v>
      </c>
      <c r="E35" s="74">
        <v>0.3125</v>
      </c>
    </row>
    <row r="36">
      <c r="A36" s="76" t="s">
        <v>403</v>
      </c>
      <c r="B36" s="66" t="s">
        <v>37</v>
      </c>
      <c r="C36" s="66" t="s">
        <v>199</v>
      </c>
      <c r="D36" s="73" t="s">
        <v>380</v>
      </c>
      <c r="E36" s="74">
        <v>0.3333333333333333</v>
      </c>
    </row>
    <row r="37">
      <c r="A37" s="76" t="s">
        <v>404</v>
      </c>
      <c r="B37" s="66" t="s">
        <v>379</v>
      </c>
      <c r="C37" s="66" t="s">
        <v>218</v>
      </c>
      <c r="D37" s="73" t="s">
        <v>380</v>
      </c>
      <c r="E37" s="74">
        <v>0.3333333333333333</v>
      </c>
    </row>
    <row r="38">
      <c r="A38" s="76" t="s">
        <v>405</v>
      </c>
      <c r="B38" s="66" t="s">
        <v>44</v>
      </c>
      <c r="C38" s="66" t="s">
        <v>203</v>
      </c>
      <c r="D38" s="73" t="s">
        <v>380</v>
      </c>
      <c r="E38" s="74">
        <v>0.3333333333333333</v>
      </c>
    </row>
    <row r="39">
      <c r="A39" s="76" t="s">
        <v>406</v>
      </c>
      <c r="B39" s="66" t="s">
        <v>385</v>
      </c>
      <c r="C39" s="66" t="s">
        <v>207</v>
      </c>
      <c r="D39" s="73" t="s">
        <v>380</v>
      </c>
      <c r="E39" s="74">
        <v>0.3333333333333333</v>
      </c>
    </row>
    <row r="40">
      <c r="A40" s="76" t="s">
        <v>407</v>
      </c>
      <c r="B40" s="66" t="s">
        <v>84</v>
      </c>
      <c r="C40" s="66" t="s">
        <v>193</v>
      </c>
      <c r="D40" s="73" t="s">
        <v>380</v>
      </c>
      <c r="E40" s="74">
        <v>0.3333333333333333</v>
      </c>
    </row>
    <row r="41">
      <c r="A41" s="76" t="s">
        <v>408</v>
      </c>
      <c r="B41" s="66" t="s">
        <v>37</v>
      </c>
      <c r="C41" s="66" t="s">
        <v>199</v>
      </c>
      <c r="D41" s="73" t="s">
        <v>380</v>
      </c>
      <c r="E41" s="74">
        <v>0.375</v>
      </c>
    </row>
    <row r="42">
      <c r="A42" s="102" t="s">
        <v>409</v>
      </c>
      <c r="B42" s="66" t="s">
        <v>410</v>
      </c>
      <c r="C42" s="66" t="s">
        <v>94</v>
      </c>
      <c r="D42" s="66">
        <v>26.0</v>
      </c>
      <c r="E42" s="67">
        <v>0.22916666666666666</v>
      </c>
    </row>
    <row r="43">
      <c r="A43" s="95"/>
      <c r="B43" s="66"/>
      <c r="C43" s="66"/>
      <c r="D43" s="66"/>
      <c r="E43" s="67"/>
    </row>
    <row r="44">
      <c r="A44" s="95"/>
      <c r="B44" s="66"/>
      <c r="C44" s="66"/>
      <c r="D44" s="66"/>
      <c r="E44" s="67"/>
    </row>
  </sheetData>
  <mergeCells count="2">
    <mergeCell ref="G5:H5"/>
    <mergeCell ref="H7:H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40.63"/>
    <col customWidth="1" min="3" max="3" width="12.0"/>
    <col customWidth="1" min="4" max="4" width="43.5"/>
    <col customWidth="1" min="5" max="5" width="10.38"/>
    <col customWidth="1" min="7" max="7" width="70.3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23"/>
      <c r="G1" s="80" t="s">
        <v>5</v>
      </c>
      <c r="H1" s="81">
        <f>SUM(H2,H3)</f>
        <v>12</v>
      </c>
    </row>
    <row r="2">
      <c r="A2" s="65" t="s">
        <v>411</v>
      </c>
      <c r="B2" s="90" t="s">
        <v>34</v>
      </c>
      <c r="C2" s="90" t="s">
        <v>35</v>
      </c>
      <c r="D2" s="90">
        <v>8.0</v>
      </c>
      <c r="E2" s="91">
        <v>0.2708333333333333</v>
      </c>
      <c r="G2" s="82" t="s">
        <v>9</v>
      </c>
      <c r="H2" s="82">
        <v>10.0</v>
      </c>
    </row>
    <row r="3">
      <c r="A3" s="65" t="s">
        <v>412</v>
      </c>
      <c r="B3" s="73" t="s">
        <v>31</v>
      </c>
      <c r="C3" s="73" t="s">
        <v>32</v>
      </c>
      <c r="D3" s="73">
        <v>32.0</v>
      </c>
      <c r="E3" s="74">
        <v>0.2708333333333333</v>
      </c>
      <c r="F3" s="23"/>
      <c r="G3" s="82" t="s">
        <v>13</v>
      </c>
      <c r="H3" s="82">
        <v>2.0</v>
      </c>
    </row>
    <row r="4">
      <c r="A4" s="65" t="s">
        <v>413</v>
      </c>
      <c r="B4" s="73" t="s">
        <v>41</v>
      </c>
      <c r="C4" s="73" t="s">
        <v>218</v>
      </c>
      <c r="D4" s="73" t="s">
        <v>167</v>
      </c>
      <c r="E4" s="74">
        <v>0.2916666666666667</v>
      </c>
      <c r="F4" s="23"/>
      <c r="G4" s="93"/>
      <c r="H4" s="93"/>
    </row>
    <row r="5">
      <c r="A5" s="65" t="s">
        <v>414</v>
      </c>
      <c r="B5" s="73" t="s">
        <v>88</v>
      </c>
      <c r="C5" s="73" t="s">
        <v>207</v>
      </c>
      <c r="D5" s="73">
        <v>36.0</v>
      </c>
      <c r="E5" s="74">
        <v>0.2916666666666667</v>
      </c>
      <c r="F5" s="23"/>
      <c r="G5" s="83"/>
    </row>
    <row r="6">
      <c r="A6" s="65" t="s">
        <v>415</v>
      </c>
      <c r="B6" s="73" t="s">
        <v>48</v>
      </c>
      <c r="C6" s="73" t="s">
        <v>49</v>
      </c>
      <c r="D6" s="73">
        <v>13.0</v>
      </c>
      <c r="E6" s="74">
        <v>0.2916666666666667</v>
      </c>
      <c r="F6" s="23"/>
      <c r="G6" s="84" t="s">
        <v>20</v>
      </c>
      <c r="H6" s="82">
        <v>4.0</v>
      </c>
    </row>
    <row r="7">
      <c r="A7" s="72" t="s">
        <v>416</v>
      </c>
      <c r="B7" s="73" t="s">
        <v>51</v>
      </c>
      <c r="C7" s="73" t="s">
        <v>52</v>
      </c>
      <c r="D7" s="73">
        <v>7.0</v>
      </c>
      <c r="E7" s="74">
        <v>0.2916666666666667</v>
      </c>
      <c r="F7" s="23"/>
      <c r="G7" s="84" t="s">
        <v>417</v>
      </c>
      <c r="H7" s="85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76" t="s">
        <v>418</v>
      </c>
      <c r="B8" s="73" t="s">
        <v>61</v>
      </c>
      <c r="C8" s="73" t="s">
        <v>62</v>
      </c>
      <c r="D8" s="73">
        <v>19.0</v>
      </c>
      <c r="E8" s="74">
        <v>0.2916666666666667</v>
      </c>
      <c r="F8" s="23"/>
      <c r="G8" s="75" t="s">
        <v>419</v>
      </c>
      <c r="H8" s="38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76" t="s">
        <v>420</v>
      </c>
      <c r="B9" s="66" t="s">
        <v>54</v>
      </c>
      <c r="C9" s="66" t="s">
        <v>55</v>
      </c>
      <c r="D9" s="66">
        <v>17.0</v>
      </c>
      <c r="E9" s="67">
        <v>0.3125</v>
      </c>
    </row>
    <row r="10">
      <c r="A10" s="76" t="s">
        <v>421</v>
      </c>
      <c r="B10" s="73" t="s">
        <v>124</v>
      </c>
      <c r="C10" s="73" t="s">
        <v>69</v>
      </c>
      <c r="D10" s="73" t="s">
        <v>422</v>
      </c>
      <c r="E10" s="67">
        <v>0.3125</v>
      </c>
    </row>
    <row r="11">
      <c r="A11" s="76" t="s">
        <v>423</v>
      </c>
      <c r="B11" s="73" t="s">
        <v>75</v>
      </c>
      <c r="C11" s="73" t="s">
        <v>76</v>
      </c>
      <c r="D11" s="73">
        <v>5.0</v>
      </c>
      <c r="E11" s="67">
        <v>0.3125</v>
      </c>
      <c r="F11" s="23"/>
      <c r="G11" s="23"/>
      <c r="H11" s="23"/>
    </row>
    <row r="12">
      <c r="A12" s="106" t="s">
        <v>424</v>
      </c>
      <c r="B12" s="73" t="s">
        <v>71</v>
      </c>
      <c r="C12" s="73" t="s">
        <v>72</v>
      </c>
      <c r="D12" s="73">
        <v>42.0</v>
      </c>
      <c r="E12" s="67">
        <v>0.3125</v>
      </c>
      <c r="F12" s="23"/>
      <c r="G12" s="23"/>
      <c r="H12" s="23"/>
    </row>
    <row r="13">
      <c r="A13" s="100" t="s">
        <v>425</v>
      </c>
      <c r="B13" s="73" t="s">
        <v>399</v>
      </c>
      <c r="C13" s="73" t="s">
        <v>157</v>
      </c>
      <c r="D13" s="73">
        <v>18.0</v>
      </c>
      <c r="E13" s="67">
        <v>0.3125</v>
      </c>
      <c r="F13" s="23"/>
      <c r="G13" s="23"/>
      <c r="H13" s="23"/>
    </row>
    <row r="14">
      <c r="A14" s="107" t="s">
        <v>426</v>
      </c>
      <c r="B14" s="73" t="s">
        <v>78</v>
      </c>
      <c r="C14" s="73" t="s">
        <v>79</v>
      </c>
      <c r="D14" s="73">
        <v>15.0</v>
      </c>
      <c r="E14" s="67">
        <v>0.3125</v>
      </c>
      <c r="F14" s="23"/>
      <c r="G14" s="23"/>
      <c r="H14" s="23"/>
    </row>
    <row r="15">
      <c r="A15" s="107" t="s">
        <v>427</v>
      </c>
      <c r="B15" s="73" t="s">
        <v>81</v>
      </c>
      <c r="C15" s="73" t="s">
        <v>82</v>
      </c>
      <c r="D15" s="73" t="s">
        <v>428</v>
      </c>
      <c r="E15" s="67">
        <v>0.3125</v>
      </c>
      <c r="F15" s="23"/>
      <c r="G15" s="23"/>
      <c r="H15" s="23"/>
    </row>
    <row r="16">
      <c r="A16" s="108" t="s">
        <v>429</v>
      </c>
      <c r="B16" s="73" t="s">
        <v>430</v>
      </c>
      <c r="C16" s="73" t="s">
        <v>319</v>
      </c>
      <c r="D16" s="73">
        <v>25.0</v>
      </c>
      <c r="E16" s="74">
        <v>0.20833333333333334</v>
      </c>
      <c r="F16" s="23"/>
      <c r="G16" s="23"/>
      <c r="H16" s="23"/>
    </row>
    <row r="17">
      <c r="A17" s="102" t="s">
        <v>431</v>
      </c>
      <c r="B17" s="73" t="s">
        <v>37</v>
      </c>
      <c r="C17" s="73" t="s">
        <v>199</v>
      </c>
      <c r="D17" s="73" t="s">
        <v>167</v>
      </c>
      <c r="E17" s="74">
        <v>0.20833333333333334</v>
      </c>
      <c r="F17" s="23"/>
      <c r="G17" s="23"/>
      <c r="H17" s="23"/>
    </row>
    <row r="18">
      <c r="A18" s="109"/>
      <c r="B18" s="110"/>
      <c r="C18" s="110"/>
      <c r="D18" s="110"/>
      <c r="E18" s="111"/>
      <c r="F18" s="23"/>
      <c r="G18" s="23"/>
      <c r="H18" s="23"/>
    </row>
    <row r="19">
      <c r="A19" s="109"/>
      <c r="B19" s="110"/>
      <c r="C19" s="110"/>
      <c r="D19" s="110"/>
      <c r="E19" s="111"/>
      <c r="F19" s="23"/>
      <c r="G19" s="23"/>
      <c r="H19" s="23"/>
    </row>
    <row r="20">
      <c r="A20" s="112"/>
      <c r="B20" s="110"/>
      <c r="C20" s="110"/>
      <c r="D20" s="110"/>
      <c r="E20" s="111"/>
      <c r="F20" s="23"/>
      <c r="G20" s="23"/>
      <c r="H20" s="23"/>
    </row>
    <row r="21">
      <c r="A21" s="109"/>
      <c r="B21" s="110"/>
      <c r="C21" s="110"/>
      <c r="D21" s="110"/>
      <c r="E21" s="111"/>
      <c r="F21" s="23"/>
      <c r="G21" s="23"/>
      <c r="H21" s="23"/>
    </row>
    <row r="22">
      <c r="A22" s="109"/>
      <c r="B22" s="110"/>
      <c r="C22" s="110"/>
      <c r="D22" s="110"/>
      <c r="E22" s="111"/>
      <c r="F22" s="23"/>
      <c r="G22" s="23"/>
      <c r="H22" s="23"/>
    </row>
    <row r="23">
      <c r="A23" s="109"/>
      <c r="B23" s="110"/>
      <c r="C23" s="110"/>
      <c r="D23" s="110"/>
      <c r="E23" s="111"/>
      <c r="F23" s="23"/>
      <c r="G23" s="23"/>
      <c r="H23" s="23"/>
    </row>
    <row r="24">
      <c r="A24" s="109"/>
      <c r="B24" s="110"/>
      <c r="C24" s="110"/>
      <c r="D24" s="110"/>
      <c r="E24" s="111"/>
      <c r="F24" s="23"/>
      <c r="G24" s="23"/>
      <c r="H24" s="23"/>
    </row>
    <row r="25">
      <c r="A25" s="109"/>
      <c r="B25" s="110"/>
      <c r="C25" s="110"/>
      <c r="D25" s="110"/>
      <c r="E25" s="111"/>
      <c r="F25" s="23"/>
      <c r="G25" s="23"/>
      <c r="H25" s="23"/>
    </row>
    <row r="26">
      <c r="A26" s="109"/>
      <c r="B26" s="110"/>
      <c r="C26" s="110"/>
      <c r="D26" s="110"/>
      <c r="E26" s="111"/>
      <c r="F26" s="23"/>
      <c r="G26" s="23"/>
      <c r="H26" s="23"/>
    </row>
    <row r="27">
      <c r="A27" s="109"/>
      <c r="B27" s="110"/>
      <c r="C27" s="110"/>
      <c r="D27" s="110"/>
      <c r="E27" s="111"/>
      <c r="F27" s="23"/>
      <c r="G27" s="23"/>
      <c r="H27" s="23"/>
    </row>
    <row r="28">
      <c r="A28" s="113"/>
      <c r="B28" s="110"/>
      <c r="C28" s="110"/>
      <c r="D28" s="110"/>
      <c r="E28" s="111"/>
      <c r="F28" s="23"/>
      <c r="G28" s="23"/>
      <c r="H28" s="23"/>
    </row>
    <row r="29">
      <c r="A29" s="114"/>
      <c r="B29" s="115"/>
      <c r="C29" s="115"/>
      <c r="D29" s="115"/>
      <c r="E29" s="116"/>
    </row>
    <row r="30">
      <c r="A30" s="109"/>
      <c r="B30" s="115"/>
      <c r="C30" s="115"/>
      <c r="D30" s="115"/>
      <c r="E30" s="111"/>
      <c r="F30" s="23"/>
      <c r="G30" s="23"/>
      <c r="H30" s="23"/>
    </row>
    <row r="31">
      <c r="A31" s="109"/>
      <c r="B31" s="115"/>
      <c r="C31" s="115"/>
      <c r="D31" s="115"/>
      <c r="E31" s="111"/>
    </row>
    <row r="32">
      <c r="A32" s="109"/>
      <c r="B32" s="115"/>
      <c r="C32" s="115"/>
      <c r="D32" s="115"/>
      <c r="E32" s="111"/>
    </row>
    <row r="33">
      <c r="A33" s="113"/>
      <c r="B33" s="115"/>
      <c r="C33" s="115"/>
      <c r="D33" s="115"/>
      <c r="E33" s="111"/>
    </row>
    <row r="34">
      <c r="A34" s="117"/>
      <c r="B34" s="115"/>
      <c r="C34" s="115"/>
      <c r="D34" s="115"/>
      <c r="E34" s="111"/>
    </row>
    <row r="35">
      <c r="A35" s="114"/>
      <c r="B35" s="115"/>
      <c r="C35" s="115"/>
      <c r="D35" s="115"/>
      <c r="E35" s="111"/>
    </row>
    <row r="36">
      <c r="A36" s="109"/>
      <c r="B36" s="115"/>
      <c r="C36" s="115"/>
      <c r="D36" s="110"/>
      <c r="E36" s="111"/>
    </row>
    <row r="37">
      <c r="A37" s="109"/>
      <c r="B37" s="115"/>
      <c r="C37" s="115"/>
      <c r="D37" s="110"/>
      <c r="E37" s="111"/>
    </row>
    <row r="38">
      <c r="A38" s="109"/>
      <c r="B38" s="115"/>
      <c r="C38" s="115"/>
      <c r="D38" s="110"/>
      <c r="E38" s="111"/>
    </row>
    <row r="39">
      <c r="A39" s="109"/>
      <c r="B39" s="115"/>
      <c r="C39" s="115"/>
      <c r="D39" s="110"/>
      <c r="E39" s="111"/>
    </row>
    <row r="40">
      <c r="A40" s="109"/>
      <c r="B40" s="115"/>
      <c r="C40" s="115"/>
      <c r="D40" s="110"/>
      <c r="E40" s="111"/>
    </row>
    <row r="41">
      <c r="A41" s="109"/>
      <c r="B41" s="115"/>
      <c r="C41" s="115"/>
      <c r="D41" s="110"/>
      <c r="E41" s="111"/>
    </row>
    <row r="42">
      <c r="A42" s="114"/>
      <c r="B42" s="115"/>
      <c r="C42" s="115"/>
      <c r="D42" s="115"/>
      <c r="E42" s="116"/>
    </row>
    <row r="43">
      <c r="A43" s="109"/>
      <c r="B43" s="115"/>
      <c r="C43" s="115"/>
      <c r="D43" s="115"/>
      <c r="E43" s="116"/>
    </row>
    <row r="44">
      <c r="A44" s="109"/>
      <c r="B44" s="115"/>
      <c r="C44" s="115"/>
      <c r="D44" s="115"/>
      <c r="E44" s="116"/>
    </row>
  </sheetData>
  <mergeCells count="2">
    <mergeCell ref="G5:H5"/>
    <mergeCell ref="H7:H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40.63"/>
    <col customWidth="1" min="3" max="3" width="12.0"/>
    <col customWidth="1" min="4" max="4" width="43.5"/>
    <col customWidth="1" min="5" max="5" width="10.38"/>
    <col customWidth="1" min="7" max="7" width="70.3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23"/>
      <c r="G1" s="80" t="s">
        <v>5</v>
      </c>
      <c r="H1" s="81">
        <f>SUM(H2,H3)</f>
        <v>23</v>
      </c>
    </row>
    <row r="2">
      <c r="A2" s="65" t="s">
        <v>432</v>
      </c>
      <c r="B2" s="90" t="s">
        <v>7</v>
      </c>
      <c r="C2" s="90" t="s">
        <v>8</v>
      </c>
      <c r="D2" s="90">
        <v>36.0</v>
      </c>
      <c r="E2" s="91">
        <v>0.25</v>
      </c>
      <c r="G2" s="82" t="s">
        <v>9</v>
      </c>
      <c r="H2" s="82">
        <v>14.0</v>
      </c>
    </row>
    <row r="3">
      <c r="A3" s="65" t="s">
        <v>433</v>
      </c>
      <c r="B3" s="73" t="s">
        <v>97</v>
      </c>
      <c r="C3" s="73" t="s">
        <v>12</v>
      </c>
      <c r="D3" s="73">
        <v>7.0</v>
      </c>
      <c r="E3" s="91">
        <v>0.25</v>
      </c>
      <c r="F3" s="23"/>
      <c r="G3" s="82" t="s">
        <v>13</v>
      </c>
      <c r="H3" s="82">
        <v>9.0</v>
      </c>
    </row>
    <row r="4">
      <c r="A4" s="65" t="s">
        <v>434</v>
      </c>
      <c r="B4" s="73" t="s">
        <v>15</v>
      </c>
      <c r="C4" s="73" t="s">
        <v>16</v>
      </c>
      <c r="D4" s="73">
        <v>9.0</v>
      </c>
      <c r="E4" s="91">
        <v>0.25</v>
      </c>
      <c r="F4" s="23"/>
      <c r="G4" s="93"/>
      <c r="H4" s="93"/>
    </row>
    <row r="5">
      <c r="A5" s="65" t="s">
        <v>435</v>
      </c>
      <c r="B5" s="73" t="s">
        <v>22</v>
      </c>
      <c r="C5" s="73" t="s">
        <v>23</v>
      </c>
      <c r="D5" s="73">
        <v>8.0</v>
      </c>
      <c r="E5" s="91">
        <v>0.25</v>
      </c>
      <c r="F5" s="23"/>
      <c r="G5" s="83"/>
    </row>
    <row r="6">
      <c r="A6" s="76" t="s">
        <v>436</v>
      </c>
      <c r="B6" s="73" t="s">
        <v>288</v>
      </c>
      <c r="C6" s="73" t="s">
        <v>289</v>
      </c>
      <c r="D6" s="73">
        <v>42.0</v>
      </c>
      <c r="E6" s="91">
        <v>0.25</v>
      </c>
      <c r="F6" s="23"/>
      <c r="G6" s="84" t="s">
        <v>20</v>
      </c>
      <c r="H6" s="82">
        <v>8.0</v>
      </c>
    </row>
    <row r="7">
      <c r="A7" s="86" t="s">
        <v>437</v>
      </c>
      <c r="B7" s="73" t="s">
        <v>27</v>
      </c>
      <c r="C7" s="73" t="s">
        <v>28</v>
      </c>
      <c r="D7" s="73">
        <v>35.0</v>
      </c>
      <c r="E7" s="74">
        <v>0.2708333333333333</v>
      </c>
      <c r="F7" s="23"/>
      <c r="G7" s="75" t="s">
        <v>438</v>
      </c>
      <c r="H7" s="84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76" t="s">
        <v>439</v>
      </c>
      <c r="B8" s="66" t="s">
        <v>31</v>
      </c>
      <c r="C8" s="66" t="s">
        <v>32</v>
      </c>
      <c r="D8" s="66">
        <v>33.0</v>
      </c>
      <c r="E8" s="67">
        <v>0.2708333333333333</v>
      </c>
    </row>
    <row r="9">
      <c r="A9" s="76" t="s">
        <v>440</v>
      </c>
      <c r="B9" s="73" t="s">
        <v>34</v>
      </c>
      <c r="C9" s="73" t="s">
        <v>35</v>
      </c>
      <c r="D9" s="73" t="s">
        <v>25</v>
      </c>
      <c r="E9" s="67">
        <v>0.2708333333333333</v>
      </c>
    </row>
    <row r="10">
      <c r="A10" s="76" t="s">
        <v>441</v>
      </c>
      <c r="B10" s="73" t="s">
        <v>170</v>
      </c>
      <c r="C10" s="73" t="s">
        <v>218</v>
      </c>
      <c r="D10" s="73">
        <v>87.0</v>
      </c>
      <c r="E10" s="67">
        <v>0.2916666666666667</v>
      </c>
    </row>
    <row r="11">
      <c r="A11" s="76" t="s">
        <v>442</v>
      </c>
      <c r="B11" s="73" t="s">
        <v>170</v>
      </c>
      <c r="C11" s="73" t="s">
        <v>218</v>
      </c>
      <c r="D11" s="73" t="s">
        <v>167</v>
      </c>
      <c r="E11" s="67">
        <v>0.2916666666666667</v>
      </c>
    </row>
    <row r="12">
      <c r="A12" s="76" t="s">
        <v>443</v>
      </c>
      <c r="B12" s="66" t="s">
        <v>137</v>
      </c>
      <c r="C12" s="66" t="s">
        <v>292</v>
      </c>
      <c r="D12" s="66">
        <v>14.0</v>
      </c>
      <c r="E12" s="67">
        <v>0.2916666666666667</v>
      </c>
      <c r="F12" s="23"/>
      <c r="G12" s="23"/>
      <c r="H12" s="23"/>
    </row>
    <row r="13">
      <c r="A13" s="76" t="s">
        <v>444</v>
      </c>
      <c r="B13" s="73" t="s">
        <v>430</v>
      </c>
      <c r="C13" s="73" t="s">
        <v>319</v>
      </c>
      <c r="D13" s="73">
        <v>15.0</v>
      </c>
      <c r="E13" s="67">
        <v>0.2916666666666667</v>
      </c>
    </row>
    <row r="14">
      <c r="A14" s="76" t="s">
        <v>445</v>
      </c>
      <c r="B14" s="66" t="s">
        <v>385</v>
      </c>
      <c r="C14" s="66" t="s">
        <v>207</v>
      </c>
      <c r="D14" s="66">
        <v>94.0</v>
      </c>
      <c r="E14" s="67">
        <v>0.2916666666666667</v>
      </c>
      <c r="F14" s="23"/>
      <c r="G14" s="23"/>
      <c r="H14" s="23"/>
    </row>
    <row r="15">
      <c r="A15" s="76" t="s">
        <v>446</v>
      </c>
      <c r="B15" s="66" t="s">
        <v>44</v>
      </c>
      <c r="C15" s="66" t="s">
        <v>203</v>
      </c>
      <c r="D15" s="66">
        <v>91.0</v>
      </c>
      <c r="E15" s="67">
        <v>0.2916666666666667</v>
      </c>
      <c r="F15" s="23"/>
      <c r="G15" s="23"/>
      <c r="H15" s="23"/>
    </row>
    <row r="16">
      <c r="A16" s="76" t="s">
        <v>447</v>
      </c>
      <c r="B16" s="66" t="s">
        <v>84</v>
      </c>
      <c r="C16" s="66" t="s">
        <v>193</v>
      </c>
      <c r="D16" s="66">
        <v>97.0</v>
      </c>
      <c r="E16" s="67">
        <v>0.2916666666666667</v>
      </c>
      <c r="F16" s="23"/>
      <c r="G16" s="23"/>
      <c r="H16" s="23"/>
    </row>
    <row r="17">
      <c r="A17" s="76" t="s">
        <v>448</v>
      </c>
      <c r="B17" s="66" t="s">
        <v>48</v>
      </c>
      <c r="C17" s="66" t="s">
        <v>49</v>
      </c>
      <c r="D17" s="66">
        <v>18.0</v>
      </c>
      <c r="E17" s="67">
        <v>0.2916666666666667</v>
      </c>
      <c r="F17" s="23"/>
      <c r="G17" s="23"/>
      <c r="H17" s="23"/>
    </row>
    <row r="18">
      <c r="A18" s="76" t="s">
        <v>449</v>
      </c>
      <c r="B18" s="66" t="s">
        <v>51</v>
      </c>
      <c r="C18" s="66" t="s">
        <v>52</v>
      </c>
      <c r="D18" s="66">
        <v>5.0</v>
      </c>
      <c r="E18" s="67">
        <v>0.2916666666666667</v>
      </c>
      <c r="F18" s="23"/>
      <c r="G18" s="23"/>
      <c r="H18" s="23"/>
    </row>
    <row r="19">
      <c r="A19" s="76" t="s">
        <v>450</v>
      </c>
      <c r="B19" s="66" t="s">
        <v>54</v>
      </c>
      <c r="C19" s="66" t="s">
        <v>55</v>
      </c>
      <c r="D19" s="66">
        <v>39.0</v>
      </c>
      <c r="E19" s="67">
        <v>0.2916666666666667</v>
      </c>
      <c r="F19" s="23"/>
      <c r="G19" s="23"/>
      <c r="H19" s="23"/>
    </row>
    <row r="20">
      <c r="A20" s="65" t="s">
        <v>451</v>
      </c>
      <c r="B20" s="73" t="s">
        <v>118</v>
      </c>
      <c r="C20" s="73" t="s">
        <v>58</v>
      </c>
      <c r="D20" s="73" t="s">
        <v>25</v>
      </c>
      <c r="E20" s="67">
        <v>0.2916666666666667</v>
      </c>
      <c r="F20" s="23"/>
      <c r="G20" s="23"/>
      <c r="H20" s="23"/>
    </row>
    <row r="21">
      <c r="A21" s="65" t="s">
        <v>452</v>
      </c>
      <c r="B21" s="73" t="s">
        <v>61</v>
      </c>
      <c r="C21" s="73" t="s">
        <v>62</v>
      </c>
      <c r="D21" s="73" t="s">
        <v>453</v>
      </c>
      <c r="E21" s="67">
        <v>0.2916666666666667</v>
      </c>
      <c r="F21" s="23"/>
      <c r="G21" s="23"/>
      <c r="H21" s="23"/>
    </row>
    <row r="22">
      <c r="A22" s="65" t="s">
        <v>454</v>
      </c>
      <c r="B22" s="73" t="s">
        <v>124</v>
      </c>
      <c r="C22" s="73" t="s">
        <v>69</v>
      </c>
      <c r="D22" s="73">
        <v>37.0</v>
      </c>
      <c r="E22" s="67">
        <v>0.3125</v>
      </c>
      <c r="F22" s="23"/>
      <c r="G22" s="23"/>
      <c r="H22" s="23"/>
    </row>
    <row r="23">
      <c r="A23" s="76" t="s">
        <v>455</v>
      </c>
      <c r="B23" s="73" t="s">
        <v>71</v>
      </c>
      <c r="C23" s="73" t="s">
        <v>72</v>
      </c>
      <c r="D23" s="73" t="s">
        <v>25</v>
      </c>
      <c r="E23" s="67">
        <v>0.3125</v>
      </c>
      <c r="F23" s="23"/>
      <c r="G23" s="23"/>
      <c r="H23" s="23"/>
    </row>
    <row r="24">
      <c r="A24" s="118" t="s">
        <v>456</v>
      </c>
      <c r="B24" s="73" t="s">
        <v>75</v>
      </c>
      <c r="C24" s="73" t="s">
        <v>76</v>
      </c>
      <c r="D24" s="73">
        <v>21.0</v>
      </c>
      <c r="E24" s="67">
        <v>0.3125</v>
      </c>
      <c r="F24" s="23"/>
      <c r="G24" s="23"/>
      <c r="H24" s="23"/>
    </row>
    <row r="25">
      <c r="A25" s="119" t="s">
        <v>457</v>
      </c>
      <c r="B25" s="73" t="s">
        <v>399</v>
      </c>
      <c r="C25" s="73" t="s">
        <v>157</v>
      </c>
      <c r="D25" s="73" t="s">
        <v>25</v>
      </c>
      <c r="E25" s="67">
        <v>0.3125</v>
      </c>
      <c r="F25" s="23"/>
      <c r="G25" s="23"/>
      <c r="H25" s="23"/>
    </row>
    <row r="26">
      <c r="A26" s="119" t="s">
        <v>458</v>
      </c>
      <c r="B26" s="73" t="s">
        <v>78</v>
      </c>
      <c r="C26" s="73" t="s">
        <v>79</v>
      </c>
      <c r="D26" s="73" t="s">
        <v>459</v>
      </c>
      <c r="E26" s="67">
        <v>0.3125</v>
      </c>
      <c r="F26" s="23"/>
      <c r="G26" s="23"/>
      <c r="H26" s="23"/>
    </row>
    <row r="27">
      <c r="A27" s="119" t="s">
        <v>460</v>
      </c>
      <c r="B27" s="73" t="s">
        <v>461</v>
      </c>
      <c r="C27" s="73" t="s">
        <v>462</v>
      </c>
      <c r="D27" s="73">
        <v>4.0</v>
      </c>
      <c r="E27" s="67">
        <v>0.3125</v>
      </c>
      <c r="F27" s="23"/>
      <c r="G27" s="23"/>
      <c r="H27" s="23"/>
    </row>
    <row r="28">
      <c r="A28" s="95" t="s">
        <v>463</v>
      </c>
      <c r="B28" s="73" t="s">
        <v>81</v>
      </c>
      <c r="C28" s="73" t="s">
        <v>82</v>
      </c>
      <c r="D28" s="73">
        <v>25.0</v>
      </c>
      <c r="E28" s="67">
        <v>0.3125</v>
      </c>
      <c r="F28" s="23"/>
      <c r="G28" s="23"/>
      <c r="H28" s="23"/>
    </row>
    <row r="29">
      <c r="A29" s="102" t="s">
        <v>464</v>
      </c>
      <c r="B29" s="90" t="s">
        <v>465</v>
      </c>
      <c r="C29" s="90" t="s">
        <v>466</v>
      </c>
      <c r="D29" s="90">
        <v>6.0</v>
      </c>
      <c r="E29" s="74">
        <v>0.22916666666666666</v>
      </c>
      <c r="F29" s="23"/>
      <c r="G29" s="23"/>
      <c r="H29" s="23"/>
    </row>
    <row r="30">
      <c r="A30" s="120" t="s">
        <v>467</v>
      </c>
      <c r="B30" s="102" t="s">
        <v>37</v>
      </c>
      <c r="C30" s="102" t="s">
        <v>199</v>
      </c>
      <c r="D30" s="102">
        <v>114.0</v>
      </c>
      <c r="E30" s="74">
        <v>0.041666666666666664</v>
      </c>
      <c r="F30" s="23"/>
      <c r="G30" s="23"/>
      <c r="H30" s="23"/>
    </row>
    <row r="31">
      <c r="A31" s="121" t="s">
        <v>468</v>
      </c>
      <c r="B31" s="122" t="s">
        <v>385</v>
      </c>
      <c r="C31" s="122" t="s">
        <v>207</v>
      </c>
      <c r="D31" s="122">
        <v>112.0</v>
      </c>
      <c r="E31" s="123">
        <v>0.10416666666666667</v>
      </c>
      <c r="F31" s="23"/>
      <c r="G31" s="23"/>
      <c r="H31" s="23"/>
    </row>
    <row r="32">
      <c r="A32" s="124" t="s">
        <v>469</v>
      </c>
      <c r="B32" s="122" t="s">
        <v>37</v>
      </c>
      <c r="C32" s="122" t="s">
        <v>199</v>
      </c>
      <c r="D32" s="122" t="s">
        <v>167</v>
      </c>
      <c r="E32" s="123">
        <v>0.125</v>
      </c>
      <c r="F32" s="23"/>
      <c r="G32" s="23"/>
      <c r="H32" s="23"/>
    </row>
    <row r="33">
      <c r="A33" s="124" t="s">
        <v>470</v>
      </c>
      <c r="B33" s="122" t="s">
        <v>37</v>
      </c>
      <c r="C33" s="122" t="s">
        <v>199</v>
      </c>
      <c r="D33" s="122" t="s">
        <v>167</v>
      </c>
      <c r="E33" s="123">
        <v>0.20833333333333334</v>
      </c>
      <c r="F33" s="23"/>
      <c r="G33" s="23"/>
      <c r="H33" s="23"/>
    </row>
    <row r="34">
      <c r="A34" s="109"/>
      <c r="B34" s="125"/>
      <c r="C34" s="125"/>
      <c r="D34" s="125"/>
      <c r="E34" s="111"/>
      <c r="F34" s="23"/>
      <c r="G34" s="23"/>
      <c r="H34" s="23"/>
    </row>
    <row r="35">
      <c r="A35" s="109"/>
      <c r="B35" s="125"/>
      <c r="C35" s="125"/>
      <c r="D35" s="125"/>
      <c r="E35" s="111"/>
      <c r="F35" s="23"/>
      <c r="G35" s="23"/>
      <c r="H35" s="23"/>
    </row>
    <row r="36">
      <c r="A36" s="109"/>
      <c r="B36" s="125"/>
      <c r="C36" s="125"/>
      <c r="D36" s="125"/>
      <c r="E36" s="111"/>
      <c r="F36" s="23"/>
      <c r="G36" s="23"/>
      <c r="H36" s="23"/>
    </row>
    <row r="37">
      <c r="A37" s="109"/>
      <c r="B37" s="125"/>
      <c r="C37" s="125"/>
      <c r="D37" s="125"/>
      <c r="E37" s="111"/>
      <c r="F37" s="23"/>
      <c r="G37" s="23"/>
      <c r="H37" s="23"/>
    </row>
    <row r="38">
      <c r="A38" s="113"/>
      <c r="B38" s="125"/>
      <c r="C38" s="125"/>
      <c r="D38" s="125"/>
      <c r="E38" s="111"/>
      <c r="F38" s="23"/>
      <c r="G38" s="23"/>
      <c r="H38" s="23"/>
    </row>
    <row r="39">
      <c r="A39" s="114"/>
      <c r="B39" s="115"/>
      <c r="C39" s="115"/>
      <c r="D39" s="115"/>
      <c r="E39" s="116"/>
    </row>
    <row r="40">
      <c r="A40" s="109"/>
      <c r="B40" s="115"/>
      <c r="C40" s="115"/>
      <c r="D40" s="115"/>
      <c r="E40" s="111"/>
      <c r="F40" s="23"/>
      <c r="G40" s="23"/>
      <c r="H40" s="23"/>
    </row>
    <row r="41">
      <c r="A41" s="109"/>
      <c r="B41" s="115"/>
      <c r="C41" s="115"/>
      <c r="D41" s="115"/>
      <c r="E41" s="111"/>
    </row>
    <row r="42">
      <c r="A42" s="109"/>
      <c r="B42" s="115"/>
      <c r="C42" s="115"/>
      <c r="D42" s="115"/>
      <c r="E42" s="111"/>
    </row>
    <row r="43">
      <c r="A43" s="113"/>
      <c r="B43" s="115"/>
      <c r="C43" s="115"/>
      <c r="D43" s="115"/>
      <c r="E43" s="111"/>
    </row>
    <row r="44">
      <c r="A44" s="117"/>
      <c r="B44" s="115"/>
      <c r="C44" s="115"/>
      <c r="D44" s="115"/>
      <c r="E44" s="111"/>
    </row>
    <row r="45">
      <c r="A45" s="114"/>
      <c r="B45" s="115"/>
      <c r="C45" s="115"/>
      <c r="D45" s="115"/>
      <c r="E45" s="111"/>
    </row>
    <row r="46">
      <c r="A46" s="109"/>
      <c r="B46" s="115"/>
      <c r="C46" s="115"/>
      <c r="D46" s="110"/>
      <c r="E46" s="111"/>
    </row>
    <row r="47">
      <c r="A47" s="109"/>
      <c r="B47" s="115"/>
      <c r="C47" s="115"/>
      <c r="D47" s="110"/>
      <c r="E47" s="111"/>
    </row>
    <row r="48">
      <c r="A48" s="109"/>
      <c r="B48" s="115"/>
      <c r="C48" s="115"/>
      <c r="D48" s="110"/>
      <c r="E48" s="111"/>
    </row>
    <row r="49">
      <c r="A49" s="109"/>
      <c r="B49" s="115"/>
      <c r="C49" s="115"/>
      <c r="D49" s="110"/>
      <c r="E49" s="111"/>
    </row>
    <row r="50">
      <c r="A50" s="109"/>
      <c r="B50" s="115"/>
      <c r="C50" s="115"/>
      <c r="D50" s="110"/>
      <c r="E50" s="111"/>
    </row>
    <row r="51">
      <c r="A51" s="109"/>
      <c r="B51" s="115"/>
      <c r="C51" s="115"/>
      <c r="D51" s="110"/>
      <c r="E51" s="111"/>
    </row>
    <row r="52">
      <c r="A52" s="114"/>
      <c r="B52" s="115"/>
      <c r="C52" s="115"/>
      <c r="D52" s="115"/>
      <c r="E52" s="116"/>
    </row>
    <row r="53">
      <c r="A53" s="109"/>
      <c r="B53" s="115"/>
      <c r="C53" s="115"/>
      <c r="D53" s="115"/>
      <c r="E53" s="116"/>
    </row>
    <row r="54">
      <c r="A54" s="109"/>
      <c r="B54" s="115"/>
      <c r="C54" s="115"/>
      <c r="D54" s="115"/>
      <c r="E54" s="116"/>
    </row>
  </sheetData>
  <mergeCells count="1">
    <mergeCell ref="G5:H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40.63"/>
    <col customWidth="1" min="3" max="3" width="12.0"/>
    <col customWidth="1" min="4" max="4" width="21.88"/>
    <col customWidth="1" min="5" max="5" width="10.38"/>
    <col customWidth="1" min="7" max="7" width="70.3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23"/>
      <c r="G1" s="80" t="s">
        <v>5</v>
      </c>
      <c r="H1" s="81">
        <f>SUM(H2,H3)</f>
        <v>21</v>
      </c>
    </row>
    <row r="2">
      <c r="A2" s="119" t="s">
        <v>471</v>
      </c>
      <c r="B2" s="90" t="s">
        <v>15</v>
      </c>
      <c r="C2" s="90" t="s">
        <v>16</v>
      </c>
      <c r="D2" s="90">
        <v>9.0</v>
      </c>
      <c r="E2" s="91">
        <v>0.25</v>
      </c>
      <c r="G2" s="82" t="s">
        <v>9</v>
      </c>
      <c r="H2" s="82">
        <v>11.0</v>
      </c>
    </row>
    <row r="3">
      <c r="A3" s="119" t="s">
        <v>472</v>
      </c>
      <c r="B3" s="73" t="s">
        <v>97</v>
      </c>
      <c r="C3" s="73" t="s">
        <v>12</v>
      </c>
      <c r="D3" s="73">
        <v>13.0</v>
      </c>
      <c r="E3" s="91">
        <v>0.25</v>
      </c>
      <c r="F3" s="23"/>
      <c r="G3" s="82" t="s">
        <v>13</v>
      </c>
      <c r="H3" s="82">
        <v>10.0</v>
      </c>
    </row>
    <row r="4">
      <c r="A4" s="119" t="s">
        <v>473</v>
      </c>
      <c r="B4" s="73" t="s">
        <v>18</v>
      </c>
      <c r="C4" s="73" t="s">
        <v>19</v>
      </c>
      <c r="D4" s="73">
        <v>15.0</v>
      </c>
      <c r="E4" s="91">
        <v>0.25</v>
      </c>
      <c r="F4" s="23"/>
      <c r="G4" s="93"/>
      <c r="H4" s="93"/>
    </row>
    <row r="5">
      <c r="A5" s="95" t="s">
        <v>474</v>
      </c>
      <c r="B5" s="73" t="s">
        <v>27</v>
      </c>
      <c r="C5" s="73" t="s">
        <v>28</v>
      </c>
      <c r="D5" s="73">
        <v>34.0</v>
      </c>
      <c r="E5" s="91">
        <v>0.25</v>
      </c>
      <c r="F5" s="23"/>
      <c r="G5" s="83"/>
    </row>
    <row r="6">
      <c r="A6" s="95" t="s">
        <v>475</v>
      </c>
      <c r="B6" s="73" t="s">
        <v>31</v>
      </c>
      <c r="C6" s="73" t="s">
        <v>32</v>
      </c>
      <c r="D6" s="73">
        <v>22.0</v>
      </c>
      <c r="E6" s="91">
        <v>0.25</v>
      </c>
      <c r="F6" s="23"/>
      <c r="G6" s="84" t="s">
        <v>20</v>
      </c>
      <c r="H6" s="82">
        <v>3.0</v>
      </c>
    </row>
    <row r="7">
      <c r="A7" s="95" t="s">
        <v>476</v>
      </c>
      <c r="B7" s="66" t="s">
        <v>51</v>
      </c>
      <c r="C7" s="66" t="s">
        <v>52</v>
      </c>
      <c r="D7" s="66">
        <v>8.0</v>
      </c>
      <c r="E7" s="74">
        <v>0.2708333333333333</v>
      </c>
      <c r="F7" s="23"/>
      <c r="G7" s="75" t="s">
        <v>477</v>
      </c>
      <c r="H7" s="84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95" t="s">
        <v>478</v>
      </c>
      <c r="B8" s="73" t="s">
        <v>54</v>
      </c>
      <c r="C8" s="73" t="s">
        <v>55</v>
      </c>
      <c r="D8" s="73">
        <v>27.0</v>
      </c>
      <c r="E8" s="67">
        <v>0.2708333333333333</v>
      </c>
    </row>
    <row r="9">
      <c r="A9" s="95" t="s">
        <v>479</v>
      </c>
      <c r="B9" s="73" t="s">
        <v>118</v>
      </c>
      <c r="C9" s="73" t="s">
        <v>58</v>
      </c>
      <c r="D9" s="73">
        <v>24.0</v>
      </c>
      <c r="E9" s="67">
        <v>0.2708333333333333</v>
      </c>
    </row>
    <row r="10">
      <c r="A10" s="95" t="s">
        <v>480</v>
      </c>
      <c r="B10" s="73" t="s">
        <v>61</v>
      </c>
      <c r="C10" s="73" t="s">
        <v>62</v>
      </c>
      <c r="D10" s="73" t="s">
        <v>131</v>
      </c>
      <c r="E10" s="67">
        <v>0.2916666666666667</v>
      </c>
    </row>
    <row r="11">
      <c r="A11" s="95" t="s">
        <v>481</v>
      </c>
      <c r="B11" s="66" t="s">
        <v>48</v>
      </c>
      <c r="C11" s="66" t="s">
        <v>49</v>
      </c>
      <c r="D11" s="66">
        <v>17.0</v>
      </c>
      <c r="E11" s="67">
        <v>0.2916666666666667</v>
      </c>
    </row>
    <row r="12">
      <c r="A12" s="95" t="s">
        <v>482</v>
      </c>
      <c r="B12" s="73" t="s">
        <v>75</v>
      </c>
      <c r="C12" s="73" t="s">
        <v>76</v>
      </c>
      <c r="D12" s="73">
        <v>12.0</v>
      </c>
      <c r="E12" s="67">
        <v>0.2916666666666667</v>
      </c>
      <c r="F12" s="23"/>
      <c r="G12" s="23"/>
      <c r="H12" s="23"/>
    </row>
    <row r="13">
      <c r="A13" s="95" t="s">
        <v>483</v>
      </c>
      <c r="B13" s="66" t="s">
        <v>124</v>
      </c>
      <c r="C13" s="66" t="s">
        <v>69</v>
      </c>
      <c r="D13" s="66">
        <v>33.0</v>
      </c>
      <c r="E13" s="67">
        <v>0.2916666666666667</v>
      </c>
    </row>
    <row r="14">
      <c r="A14" s="95" t="s">
        <v>484</v>
      </c>
      <c r="B14" s="66" t="s">
        <v>399</v>
      </c>
      <c r="C14" s="66" t="s">
        <v>157</v>
      </c>
      <c r="D14" s="66" t="s">
        <v>25</v>
      </c>
      <c r="E14" s="67">
        <v>0.2916666666666667</v>
      </c>
      <c r="F14" s="23"/>
      <c r="G14" s="23"/>
      <c r="H14" s="23"/>
    </row>
    <row r="15">
      <c r="A15" s="95" t="s">
        <v>485</v>
      </c>
      <c r="B15" s="66" t="s">
        <v>486</v>
      </c>
      <c r="C15" s="66" t="s">
        <v>462</v>
      </c>
      <c r="D15" s="66" t="s">
        <v>25</v>
      </c>
      <c r="E15" s="67">
        <v>0.2916666666666667</v>
      </c>
      <c r="F15" s="23"/>
      <c r="G15" s="23"/>
      <c r="H15" s="23"/>
    </row>
    <row r="16">
      <c r="A16" s="95"/>
      <c r="B16" s="66" t="s">
        <v>231</v>
      </c>
      <c r="C16" s="66" t="s">
        <v>218</v>
      </c>
      <c r="D16" s="66">
        <v>114.0</v>
      </c>
      <c r="E16" s="67">
        <v>0.2916666666666667</v>
      </c>
      <c r="F16" s="23"/>
      <c r="G16" s="23"/>
      <c r="H16" s="23"/>
    </row>
    <row r="17">
      <c r="A17" s="76"/>
      <c r="B17" s="66" t="s">
        <v>231</v>
      </c>
      <c r="C17" s="66" t="s">
        <v>218</v>
      </c>
      <c r="D17" s="66">
        <v>113.0</v>
      </c>
      <c r="E17" s="67">
        <v>0.2916666666666667</v>
      </c>
      <c r="F17" s="23"/>
      <c r="G17" s="23"/>
      <c r="H17" s="23"/>
    </row>
    <row r="18">
      <c r="A18" s="126" t="s">
        <v>487</v>
      </c>
      <c r="B18" s="66" t="s">
        <v>231</v>
      </c>
      <c r="C18" s="66" t="s">
        <v>218</v>
      </c>
      <c r="D18" s="66">
        <v>86.0</v>
      </c>
      <c r="E18" s="67">
        <v>0.2916666666666667</v>
      </c>
      <c r="F18" s="23"/>
      <c r="G18" s="23"/>
      <c r="H18" s="23"/>
    </row>
    <row r="19">
      <c r="A19" s="127" t="s">
        <v>488</v>
      </c>
      <c r="B19" s="66" t="s">
        <v>385</v>
      </c>
      <c r="C19" s="66" t="s">
        <v>207</v>
      </c>
      <c r="D19" s="66">
        <v>94.0</v>
      </c>
      <c r="E19" s="67">
        <v>0.2916666666666667</v>
      </c>
      <c r="F19" s="23"/>
      <c r="G19" s="23"/>
      <c r="H19" s="23"/>
    </row>
    <row r="20">
      <c r="A20" s="128" t="s">
        <v>489</v>
      </c>
      <c r="B20" s="73" t="s">
        <v>490</v>
      </c>
      <c r="C20" s="73" t="s">
        <v>224</v>
      </c>
      <c r="D20" s="73">
        <v>99.0</v>
      </c>
      <c r="E20" s="67">
        <v>0.2916666666666667</v>
      </c>
      <c r="F20" s="23"/>
      <c r="G20" s="23"/>
      <c r="H20" s="23"/>
    </row>
    <row r="21">
      <c r="A21" s="128" t="s">
        <v>491</v>
      </c>
      <c r="B21" s="73" t="s">
        <v>430</v>
      </c>
      <c r="C21" s="73" t="s">
        <v>319</v>
      </c>
      <c r="D21" s="73">
        <v>21.0</v>
      </c>
      <c r="E21" s="67">
        <v>0.2916666666666667</v>
      </c>
      <c r="F21" s="23"/>
      <c r="G21" s="23"/>
      <c r="H21" s="23"/>
    </row>
    <row r="22">
      <c r="A22" s="128" t="s">
        <v>492</v>
      </c>
      <c r="B22" s="73" t="s">
        <v>430</v>
      </c>
      <c r="C22" s="73" t="s">
        <v>319</v>
      </c>
      <c r="D22" s="73">
        <v>100.0</v>
      </c>
      <c r="E22" s="67">
        <v>0.3125</v>
      </c>
      <c r="F22" s="23"/>
      <c r="G22" s="23"/>
      <c r="H22" s="23"/>
    </row>
    <row r="23">
      <c r="A23" s="129" t="s">
        <v>493</v>
      </c>
      <c r="B23" s="73" t="s">
        <v>288</v>
      </c>
      <c r="C23" s="73" t="s">
        <v>289</v>
      </c>
      <c r="D23" s="73" t="s">
        <v>167</v>
      </c>
      <c r="E23" s="67">
        <v>0.3125</v>
      </c>
      <c r="F23" s="23"/>
      <c r="G23" s="23"/>
      <c r="H23" s="23"/>
    </row>
    <row r="24">
      <c r="A24" s="108" t="s">
        <v>494</v>
      </c>
      <c r="B24" s="73" t="s">
        <v>84</v>
      </c>
      <c r="C24" s="73" t="s">
        <v>193</v>
      </c>
      <c r="D24" s="73">
        <v>96.0</v>
      </c>
      <c r="E24" s="67">
        <v>0.3125</v>
      </c>
      <c r="F24" s="23"/>
      <c r="G24" s="23"/>
      <c r="H24" s="23"/>
    </row>
    <row r="25">
      <c r="A25" s="102" t="s">
        <v>495</v>
      </c>
      <c r="B25" s="73" t="s">
        <v>496</v>
      </c>
      <c r="C25" s="73" t="s">
        <v>199</v>
      </c>
      <c r="D25" s="73">
        <v>89.0</v>
      </c>
      <c r="E25" s="67">
        <v>0.3125</v>
      </c>
      <c r="F25" s="23"/>
      <c r="G25" s="23"/>
      <c r="H25" s="23"/>
    </row>
    <row r="26">
      <c r="A26" s="102" t="s">
        <v>497</v>
      </c>
      <c r="B26" s="73" t="s">
        <v>498</v>
      </c>
      <c r="C26" s="73" t="s">
        <v>211</v>
      </c>
      <c r="D26" s="73">
        <v>32.0</v>
      </c>
      <c r="E26" s="67">
        <v>0.3125</v>
      </c>
      <c r="F26" s="23"/>
      <c r="G26" s="23"/>
      <c r="H26" s="23"/>
    </row>
    <row r="27">
      <c r="A27" s="130"/>
      <c r="B27" s="131"/>
      <c r="C27" s="131"/>
      <c r="D27" s="131"/>
      <c r="E27" s="132"/>
      <c r="F27" s="23"/>
      <c r="G27" s="23"/>
      <c r="H27" s="23"/>
    </row>
    <row r="28">
      <c r="A28" s="133"/>
      <c r="B28" s="131"/>
      <c r="C28" s="131"/>
      <c r="D28" s="131"/>
      <c r="E28" s="132"/>
      <c r="F28" s="23"/>
      <c r="G28" s="23"/>
      <c r="H28" s="23"/>
    </row>
    <row r="29">
      <c r="A29" s="134"/>
      <c r="B29" s="135"/>
      <c r="C29" s="135"/>
      <c r="D29" s="135"/>
      <c r="E29" s="136"/>
      <c r="F29" s="23"/>
      <c r="G29" s="23"/>
      <c r="H29" s="23"/>
    </row>
    <row r="30">
      <c r="A30" s="137"/>
      <c r="B30" s="134"/>
      <c r="C30" s="134"/>
      <c r="D30" s="134"/>
      <c r="E30" s="136"/>
      <c r="F30" s="23"/>
      <c r="G30" s="23"/>
      <c r="H30" s="23"/>
    </row>
    <row r="31">
      <c r="A31" s="134"/>
      <c r="B31" s="135"/>
      <c r="C31" s="135"/>
      <c r="D31" s="135"/>
      <c r="E31" s="136"/>
      <c r="F31" s="23"/>
      <c r="G31" s="23"/>
      <c r="H31" s="23"/>
    </row>
    <row r="32">
      <c r="A32" s="138"/>
      <c r="B32" s="135"/>
      <c r="C32" s="135"/>
      <c r="D32" s="135"/>
      <c r="E32" s="136"/>
      <c r="F32" s="23"/>
      <c r="G32" s="23"/>
      <c r="H32" s="23"/>
    </row>
    <row r="33">
      <c r="A33" s="138"/>
      <c r="B33" s="135"/>
      <c r="C33" s="135"/>
      <c r="D33" s="135"/>
      <c r="E33" s="136"/>
      <c r="F33" s="23"/>
      <c r="G33" s="23"/>
      <c r="H33" s="23"/>
    </row>
    <row r="34">
      <c r="A34" s="109"/>
      <c r="B34" s="125"/>
      <c r="C34" s="125"/>
      <c r="D34" s="125"/>
      <c r="E34" s="111"/>
      <c r="F34" s="23"/>
      <c r="G34" s="23"/>
      <c r="H34" s="23"/>
    </row>
    <row r="35">
      <c r="A35" s="109"/>
      <c r="B35" s="125"/>
      <c r="C35" s="125"/>
      <c r="D35" s="125"/>
      <c r="E35" s="111"/>
      <c r="F35" s="23"/>
      <c r="G35" s="23"/>
      <c r="H35" s="23"/>
    </row>
    <row r="36">
      <c r="A36" s="109"/>
      <c r="B36" s="125"/>
      <c r="C36" s="125"/>
      <c r="D36" s="125"/>
      <c r="E36" s="111"/>
      <c r="F36" s="23"/>
      <c r="G36" s="23"/>
      <c r="H36" s="23"/>
    </row>
    <row r="37">
      <c r="A37" s="109"/>
      <c r="B37" s="125"/>
      <c r="C37" s="125"/>
      <c r="D37" s="125"/>
      <c r="E37" s="111"/>
      <c r="F37" s="23"/>
      <c r="G37" s="23"/>
      <c r="H37" s="23"/>
    </row>
    <row r="38">
      <c r="A38" s="113"/>
      <c r="B38" s="125"/>
      <c r="C38" s="125"/>
      <c r="D38" s="125"/>
      <c r="E38" s="111"/>
      <c r="F38" s="23"/>
      <c r="G38" s="23"/>
      <c r="H38" s="23"/>
    </row>
    <row r="39">
      <c r="A39" s="114"/>
      <c r="B39" s="115"/>
      <c r="C39" s="115"/>
      <c r="D39" s="115"/>
      <c r="E39" s="116"/>
    </row>
    <row r="40">
      <c r="A40" s="109"/>
      <c r="B40" s="115"/>
      <c r="C40" s="115"/>
      <c r="D40" s="115"/>
      <c r="E40" s="111"/>
      <c r="F40" s="23"/>
      <c r="G40" s="23"/>
      <c r="H40" s="23"/>
    </row>
    <row r="41">
      <c r="A41" s="109"/>
      <c r="B41" s="115"/>
      <c r="C41" s="115"/>
      <c r="D41" s="115"/>
      <c r="E41" s="111"/>
    </row>
    <row r="42">
      <c r="A42" s="109"/>
      <c r="B42" s="115"/>
      <c r="C42" s="115"/>
      <c r="D42" s="115"/>
      <c r="E42" s="111"/>
    </row>
    <row r="43">
      <c r="A43" s="113"/>
      <c r="B43" s="115"/>
      <c r="C43" s="115"/>
      <c r="D43" s="115"/>
      <c r="E43" s="111"/>
    </row>
    <row r="44">
      <c r="A44" s="117"/>
      <c r="B44" s="115"/>
      <c r="C44" s="115"/>
      <c r="D44" s="115"/>
      <c r="E44" s="111"/>
    </row>
    <row r="45">
      <c r="A45" s="114"/>
      <c r="B45" s="115"/>
      <c r="C45" s="115"/>
      <c r="D45" s="115"/>
      <c r="E45" s="111"/>
    </row>
    <row r="46">
      <c r="A46" s="109"/>
      <c r="B46" s="115"/>
      <c r="C46" s="115"/>
      <c r="D46" s="110"/>
      <c r="E46" s="111"/>
    </row>
    <row r="47">
      <c r="A47" s="109"/>
      <c r="B47" s="115"/>
      <c r="C47" s="115"/>
      <c r="D47" s="110"/>
      <c r="E47" s="111"/>
    </row>
    <row r="48">
      <c r="A48" s="109"/>
      <c r="B48" s="115"/>
      <c r="C48" s="115"/>
      <c r="D48" s="110"/>
      <c r="E48" s="111"/>
    </row>
    <row r="49">
      <c r="A49" s="109"/>
      <c r="B49" s="115"/>
      <c r="C49" s="115"/>
      <c r="D49" s="110"/>
      <c r="E49" s="111"/>
    </row>
    <row r="50">
      <c r="A50" s="109"/>
      <c r="B50" s="115"/>
      <c r="C50" s="115"/>
      <c r="D50" s="110"/>
      <c r="E50" s="111"/>
    </row>
    <row r="51">
      <c r="A51" s="109"/>
      <c r="B51" s="115"/>
      <c r="C51" s="115"/>
      <c r="D51" s="110"/>
      <c r="E51" s="111"/>
    </row>
    <row r="52">
      <c r="A52" s="114"/>
      <c r="B52" s="115"/>
      <c r="C52" s="115"/>
      <c r="D52" s="115"/>
      <c r="E52" s="116"/>
    </row>
    <row r="53">
      <c r="A53" s="109"/>
      <c r="B53" s="115"/>
      <c r="C53" s="115"/>
      <c r="D53" s="115"/>
      <c r="E53" s="116"/>
    </row>
    <row r="54">
      <c r="A54" s="109"/>
      <c r="B54" s="115"/>
      <c r="C54" s="115"/>
      <c r="D54" s="115"/>
      <c r="E54" s="116"/>
    </row>
  </sheetData>
  <mergeCells count="1">
    <mergeCell ref="G5:H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40.63"/>
    <col customWidth="1" min="3" max="3" width="12.0"/>
    <col customWidth="1" min="4" max="4" width="32.88"/>
    <col customWidth="1" min="5" max="5" width="10.38"/>
    <col customWidth="1" min="7" max="7" width="76.8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23"/>
      <c r="G1" s="80" t="s">
        <v>5</v>
      </c>
      <c r="H1" s="81">
        <f>SUM(H2,H3)</f>
        <v>26</v>
      </c>
    </row>
    <row r="2">
      <c r="A2" s="128" t="s">
        <v>499</v>
      </c>
      <c r="B2" s="90" t="s">
        <v>385</v>
      </c>
      <c r="C2" s="90" t="s">
        <v>207</v>
      </c>
      <c r="D2" s="90">
        <v>95.0</v>
      </c>
      <c r="E2" s="91">
        <v>0.08333333333333333</v>
      </c>
      <c r="G2" s="82" t="s">
        <v>9</v>
      </c>
      <c r="H2" s="82">
        <v>11.0</v>
      </c>
    </row>
    <row r="3">
      <c r="A3" s="128" t="s">
        <v>500</v>
      </c>
      <c r="B3" s="73" t="s">
        <v>430</v>
      </c>
      <c r="C3" s="73" t="s">
        <v>319</v>
      </c>
      <c r="D3" s="73">
        <v>5.0</v>
      </c>
      <c r="E3" s="91">
        <v>0.125</v>
      </c>
      <c r="F3" s="23"/>
      <c r="G3" s="82" t="s">
        <v>13</v>
      </c>
      <c r="H3" s="82">
        <v>15.0</v>
      </c>
    </row>
    <row r="4">
      <c r="A4" s="127" t="s">
        <v>501</v>
      </c>
      <c r="B4" s="73" t="s">
        <v>37</v>
      </c>
      <c r="C4" s="73" t="s">
        <v>199</v>
      </c>
      <c r="D4" s="73">
        <v>111.0</v>
      </c>
      <c r="E4" s="91">
        <v>0.16666666666666666</v>
      </c>
      <c r="F4" s="23"/>
      <c r="G4" s="93"/>
      <c r="H4" s="93"/>
    </row>
    <row r="5">
      <c r="A5" s="102" t="s">
        <v>502</v>
      </c>
      <c r="B5" s="73" t="s">
        <v>84</v>
      </c>
      <c r="C5" s="73" t="s">
        <v>193</v>
      </c>
      <c r="D5" s="73">
        <v>110.0</v>
      </c>
      <c r="E5" s="67">
        <v>0.16666666666666666</v>
      </c>
      <c r="F5" s="23"/>
      <c r="G5" s="23"/>
      <c r="H5" s="23"/>
    </row>
    <row r="6">
      <c r="A6" s="127" t="s">
        <v>503</v>
      </c>
      <c r="B6" s="73" t="s">
        <v>465</v>
      </c>
      <c r="C6" s="73" t="s">
        <v>466</v>
      </c>
      <c r="D6" s="73">
        <v>25.0</v>
      </c>
      <c r="E6" s="91">
        <v>0.22916666666666666</v>
      </c>
      <c r="F6" s="23"/>
      <c r="G6" s="83"/>
    </row>
    <row r="7">
      <c r="A7" s="127" t="s">
        <v>504</v>
      </c>
      <c r="B7" s="73" t="s">
        <v>44</v>
      </c>
      <c r="C7" s="73" t="s">
        <v>203</v>
      </c>
      <c r="D7" s="73">
        <v>91.0</v>
      </c>
      <c r="E7" s="91">
        <v>0.25</v>
      </c>
      <c r="F7" s="23"/>
      <c r="G7" s="84" t="s">
        <v>20</v>
      </c>
      <c r="H7" s="82">
        <v>13.0</v>
      </c>
    </row>
    <row r="8">
      <c r="A8" s="127" t="s">
        <v>505</v>
      </c>
      <c r="B8" s="66" t="s">
        <v>326</v>
      </c>
      <c r="C8" s="66" t="s">
        <v>289</v>
      </c>
      <c r="D8" s="66">
        <v>6.0</v>
      </c>
      <c r="E8" s="91">
        <v>0.25</v>
      </c>
      <c r="F8" s="23"/>
      <c r="G8" s="75" t="s">
        <v>506</v>
      </c>
      <c r="H8" s="84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139" t="s">
        <v>507</v>
      </c>
      <c r="B9" s="73" t="s">
        <v>27</v>
      </c>
      <c r="C9" s="73" t="s">
        <v>28</v>
      </c>
      <c r="D9" s="73">
        <v>14.0</v>
      </c>
      <c r="E9" s="74">
        <v>0.2708333333333333</v>
      </c>
      <c r="F9" s="23"/>
      <c r="G9" s="140" t="s">
        <v>508</v>
      </c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127" t="s">
        <v>509</v>
      </c>
      <c r="B10" s="73" t="s">
        <v>31</v>
      </c>
      <c r="C10" s="73" t="s">
        <v>32</v>
      </c>
      <c r="D10" s="73">
        <v>9.0</v>
      </c>
      <c r="E10" s="67">
        <v>0.2708333333333333</v>
      </c>
    </row>
    <row r="11">
      <c r="A11" s="127" t="s">
        <v>510</v>
      </c>
      <c r="B11" s="66" t="s">
        <v>37</v>
      </c>
      <c r="C11" s="66" t="s">
        <v>199</v>
      </c>
      <c r="D11" s="66">
        <v>89.0</v>
      </c>
      <c r="E11" s="67">
        <v>0.2916666666666667</v>
      </c>
    </row>
    <row r="12">
      <c r="A12" s="127" t="s">
        <v>511</v>
      </c>
      <c r="B12" s="73" t="s">
        <v>37</v>
      </c>
      <c r="C12" s="73" t="s">
        <v>199</v>
      </c>
      <c r="D12" s="73">
        <v>88.0</v>
      </c>
      <c r="E12" s="67">
        <v>0.2916666666666667</v>
      </c>
      <c r="F12" s="23"/>
      <c r="G12" s="23"/>
      <c r="H12" s="23"/>
    </row>
    <row r="13">
      <c r="A13" s="127" t="s">
        <v>512</v>
      </c>
      <c r="B13" s="66" t="s">
        <v>264</v>
      </c>
      <c r="C13" s="66" t="s">
        <v>224</v>
      </c>
      <c r="D13" s="66">
        <v>98.0</v>
      </c>
      <c r="E13" s="67">
        <v>0.2916666666666667</v>
      </c>
    </row>
    <row r="14">
      <c r="A14" s="127" t="s">
        <v>513</v>
      </c>
      <c r="B14" s="66" t="s">
        <v>84</v>
      </c>
      <c r="C14" s="66" t="s">
        <v>193</v>
      </c>
      <c r="D14" s="66">
        <v>97.0</v>
      </c>
      <c r="E14" s="67">
        <v>0.2916666666666667</v>
      </c>
      <c r="F14" s="23"/>
      <c r="G14" s="23"/>
      <c r="H14" s="23"/>
    </row>
    <row r="15">
      <c r="A15" s="127" t="s">
        <v>514</v>
      </c>
      <c r="B15" s="66" t="s">
        <v>318</v>
      </c>
      <c r="C15" s="66" t="s">
        <v>319</v>
      </c>
      <c r="D15" s="66">
        <v>100.0</v>
      </c>
      <c r="E15" s="67">
        <v>0.2916666666666667</v>
      </c>
      <c r="F15" s="23"/>
      <c r="G15" s="23"/>
      <c r="H15" s="23"/>
    </row>
    <row r="16">
      <c r="A16" s="127" t="s">
        <v>515</v>
      </c>
      <c r="B16" s="66" t="s">
        <v>516</v>
      </c>
      <c r="C16" s="66" t="s">
        <v>292</v>
      </c>
      <c r="D16" s="66">
        <v>17.0</v>
      </c>
      <c r="E16" s="67">
        <v>0.2916666666666667</v>
      </c>
      <c r="F16" s="23"/>
      <c r="G16" s="23"/>
      <c r="H16" s="23"/>
    </row>
    <row r="17">
      <c r="A17" s="127" t="s">
        <v>517</v>
      </c>
      <c r="B17" s="66" t="s">
        <v>516</v>
      </c>
      <c r="C17" s="66" t="s">
        <v>292</v>
      </c>
      <c r="D17" s="66">
        <v>102.0</v>
      </c>
      <c r="E17" s="67">
        <v>0.2916666666666667</v>
      </c>
      <c r="F17" s="23"/>
      <c r="G17" s="23"/>
      <c r="H17" s="23"/>
    </row>
    <row r="18">
      <c r="A18" s="128" t="s">
        <v>518</v>
      </c>
      <c r="B18" s="66" t="s">
        <v>231</v>
      </c>
      <c r="C18" s="66" t="s">
        <v>218</v>
      </c>
      <c r="D18" s="66">
        <v>87.0</v>
      </c>
      <c r="E18" s="67">
        <v>0.2916666666666667</v>
      </c>
      <c r="F18" s="23"/>
      <c r="G18" s="23"/>
      <c r="H18" s="23"/>
    </row>
    <row r="19">
      <c r="A19" s="128" t="s">
        <v>519</v>
      </c>
      <c r="B19" s="66" t="s">
        <v>51</v>
      </c>
      <c r="C19" s="66" t="s">
        <v>52</v>
      </c>
      <c r="D19" s="66">
        <v>36.0</v>
      </c>
      <c r="E19" s="67">
        <v>0.2916666666666667</v>
      </c>
      <c r="F19" s="23"/>
      <c r="G19" s="23"/>
      <c r="H19" s="23"/>
    </row>
    <row r="20">
      <c r="A20" s="128" t="s">
        <v>520</v>
      </c>
      <c r="B20" s="73" t="s">
        <v>84</v>
      </c>
      <c r="C20" s="73" t="s">
        <v>193</v>
      </c>
      <c r="D20" s="73">
        <v>112.0</v>
      </c>
      <c r="E20" s="67">
        <v>0.2916666666666667</v>
      </c>
      <c r="F20" s="23"/>
      <c r="G20" s="23"/>
      <c r="H20" s="23"/>
    </row>
    <row r="21">
      <c r="A21" s="128" t="s">
        <v>521</v>
      </c>
      <c r="B21" s="73" t="s">
        <v>48</v>
      </c>
      <c r="C21" s="73" t="s">
        <v>49</v>
      </c>
      <c r="D21" s="73">
        <v>19.0</v>
      </c>
      <c r="E21" s="67">
        <v>0.2916666666666667</v>
      </c>
      <c r="F21" s="23"/>
      <c r="G21" s="23"/>
      <c r="H21" s="23"/>
    </row>
    <row r="22">
      <c r="A22" s="128" t="s">
        <v>522</v>
      </c>
      <c r="B22" s="73" t="s">
        <v>124</v>
      </c>
      <c r="C22" s="73" t="s">
        <v>69</v>
      </c>
      <c r="D22" s="73">
        <v>33.0</v>
      </c>
      <c r="E22" s="67">
        <v>0.3125</v>
      </c>
      <c r="F22" s="23"/>
      <c r="G22" s="23"/>
      <c r="H22" s="23"/>
    </row>
    <row r="23">
      <c r="A23" s="128" t="s">
        <v>523</v>
      </c>
      <c r="B23" s="73" t="s">
        <v>75</v>
      </c>
      <c r="C23" s="73" t="s">
        <v>76</v>
      </c>
      <c r="D23" s="73">
        <v>12.0</v>
      </c>
      <c r="E23" s="67">
        <v>0.3125</v>
      </c>
      <c r="F23" s="23"/>
      <c r="G23" s="23"/>
      <c r="H23" s="23"/>
    </row>
    <row r="24">
      <c r="A24" s="128" t="s">
        <v>524</v>
      </c>
      <c r="B24" s="73" t="s">
        <v>78</v>
      </c>
      <c r="C24" s="73" t="s">
        <v>79</v>
      </c>
      <c r="D24" s="73">
        <v>15.0</v>
      </c>
      <c r="E24" s="67">
        <v>0.3125</v>
      </c>
      <c r="F24" s="23"/>
      <c r="G24" s="23"/>
      <c r="H24" s="23"/>
    </row>
    <row r="25">
      <c r="A25" s="128" t="s">
        <v>525</v>
      </c>
      <c r="B25" s="73" t="s">
        <v>81</v>
      </c>
      <c r="C25" s="73" t="s">
        <v>82</v>
      </c>
      <c r="D25" s="73">
        <v>21.0</v>
      </c>
      <c r="E25" s="67">
        <v>0.3125</v>
      </c>
      <c r="F25" s="23"/>
      <c r="G25" s="23"/>
      <c r="H25" s="23"/>
    </row>
    <row r="26">
      <c r="A26" s="127" t="s">
        <v>526</v>
      </c>
      <c r="B26" s="73" t="s">
        <v>486</v>
      </c>
      <c r="C26" s="73" t="s">
        <v>462</v>
      </c>
      <c r="D26" s="73">
        <v>13.0</v>
      </c>
      <c r="E26" s="67">
        <v>0.3125</v>
      </c>
      <c r="F26" s="23"/>
      <c r="G26" s="23"/>
      <c r="H26" s="23"/>
    </row>
    <row r="27">
      <c r="A27" s="127" t="s">
        <v>527</v>
      </c>
      <c r="B27" s="73" t="s">
        <v>71</v>
      </c>
      <c r="C27" s="73" t="s">
        <v>72</v>
      </c>
      <c r="D27" s="73">
        <v>8.0</v>
      </c>
      <c r="E27" s="67">
        <v>0.3125</v>
      </c>
      <c r="F27" s="23"/>
      <c r="G27" s="23"/>
      <c r="H27" s="23"/>
    </row>
    <row r="28">
      <c r="A28" s="119" t="s">
        <v>528</v>
      </c>
      <c r="B28" s="90" t="s">
        <v>18</v>
      </c>
      <c r="C28" s="90" t="s">
        <v>19</v>
      </c>
      <c r="D28" s="90" t="s">
        <v>167</v>
      </c>
      <c r="E28" s="74">
        <v>0.25</v>
      </c>
      <c r="F28" s="23"/>
      <c r="G28" s="23"/>
      <c r="H28" s="23"/>
    </row>
    <row r="29">
      <c r="A29" s="119" t="s">
        <v>529</v>
      </c>
      <c r="B29" s="102" t="s">
        <v>22</v>
      </c>
      <c r="C29" s="102" t="s">
        <v>23</v>
      </c>
      <c r="D29" s="102" t="s">
        <v>167</v>
      </c>
      <c r="E29" s="74">
        <v>0.25</v>
      </c>
      <c r="F29" s="23"/>
      <c r="G29" s="23"/>
      <c r="H29" s="23"/>
    </row>
    <row r="30">
      <c r="A30" s="102" t="s">
        <v>530</v>
      </c>
      <c r="B30" s="90" t="s">
        <v>34</v>
      </c>
      <c r="C30" s="90" t="s">
        <v>35</v>
      </c>
      <c r="D30" s="90" t="s">
        <v>531</v>
      </c>
      <c r="E30" s="74">
        <v>0.25</v>
      </c>
      <c r="F30" s="23"/>
      <c r="G30" s="23"/>
      <c r="H30" s="23"/>
    </row>
    <row r="31">
      <c r="A31" s="119" t="s">
        <v>532</v>
      </c>
      <c r="B31" s="90" t="s">
        <v>44</v>
      </c>
      <c r="C31" s="90" t="s">
        <v>203</v>
      </c>
      <c r="D31" s="90" t="s">
        <v>533</v>
      </c>
      <c r="E31" s="74">
        <v>0.2916666666666667</v>
      </c>
      <c r="F31" s="23"/>
      <c r="G31" s="23"/>
      <c r="H31" s="23"/>
    </row>
    <row r="32">
      <c r="A32" s="119" t="s">
        <v>534</v>
      </c>
      <c r="B32" s="90" t="s">
        <v>264</v>
      </c>
      <c r="C32" s="90" t="s">
        <v>224</v>
      </c>
      <c r="D32" s="90" t="s">
        <v>167</v>
      </c>
      <c r="E32" s="74">
        <v>0.2916666666666667</v>
      </c>
      <c r="F32" s="23"/>
      <c r="G32" s="23"/>
      <c r="H32" s="23"/>
    </row>
    <row r="33">
      <c r="A33" s="95" t="s">
        <v>535</v>
      </c>
      <c r="B33" s="90" t="s">
        <v>231</v>
      </c>
      <c r="C33" s="90" t="s">
        <v>218</v>
      </c>
      <c r="D33" s="90" t="s">
        <v>167</v>
      </c>
      <c r="E33" s="74">
        <v>0.2916666666666667</v>
      </c>
      <c r="F33" s="23"/>
      <c r="G33" s="23"/>
      <c r="H33" s="23"/>
    </row>
    <row r="34">
      <c r="A34" s="95" t="s">
        <v>536</v>
      </c>
      <c r="B34" s="90" t="s">
        <v>61</v>
      </c>
      <c r="C34" s="90" t="s">
        <v>62</v>
      </c>
      <c r="D34" s="90" t="s">
        <v>533</v>
      </c>
      <c r="E34" s="74">
        <v>0.2916666666666667</v>
      </c>
      <c r="F34" s="23"/>
      <c r="G34" s="23"/>
      <c r="H34" s="23"/>
    </row>
    <row r="35">
      <c r="A35" s="95" t="s">
        <v>537</v>
      </c>
      <c r="B35" s="90" t="s">
        <v>61</v>
      </c>
      <c r="C35" s="90" t="s">
        <v>62</v>
      </c>
      <c r="D35" s="90" t="s">
        <v>533</v>
      </c>
      <c r="E35" s="74">
        <v>0.2916666666666667</v>
      </c>
      <c r="F35" s="23"/>
      <c r="G35" s="23"/>
      <c r="H35" s="23"/>
    </row>
    <row r="36">
      <c r="A36" s="95" t="s">
        <v>538</v>
      </c>
      <c r="B36" s="90" t="s">
        <v>54</v>
      </c>
      <c r="C36" s="90" t="s">
        <v>55</v>
      </c>
      <c r="D36" s="90" t="s">
        <v>533</v>
      </c>
      <c r="E36" s="74">
        <v>0.2916666666666667</v>
      </c>
      <c r="F36" s="23"/>
      <c r="G36" s="23"/>
      <c r="H36" s="23"/>
    </row>
    <row r="37">
      <c r="A37" s="95" t="s">
        <v>539</v>
      </c>
      <c r="B37" s="90" t="s">
        <v>118</v>
      </c>
      <c r="C37" s="90" t="s">
        <v>58</v>
      </c>
      <c r="D37" s="90" t="s">
        <v>533</v>
      </c>
      <c r="E37" s="74">
        <v>0.2916666666666667</v>
      </c>
      <c r="F37" s="23"/>
      <c r="G37" s="23"/>
      <c r="H37" s="23"/>
    </row>
    <row r="38">
      <c r="A38" s="119" t="s">
        <v>540</v>
      </c>
      <c r="B38" s="66" t="s">
        <v>498</v>
      </c>
      <c r="C38" s="66" t="s">
        <v>211</v>
      </c>
      <c r="D38" s="66" t="s">
        <v>533</v>
      </c>
      <c r="E38" s="74">
        <v>0.2916666666666667</v>
      </c>
    </row>
    <row r="39">
      <c r="A39" s="95" t="s">
        <v>541</v>
      </c>
      <c r="B39" s="66" t="s">
        <v>399</v>
      </c>
      <c r="C39" s="66" t="s">
        <v>157</v>
      </c>
      <c r="D39" s="66" t="s">
        <v>533</v>
      </c>
      <c r="E39" s="74">
        <v>0.3125</v>
      </c>
      <c r="F39" s="23"/>
      <c r="G39" s="23"/>
      <c r="H39" s="23"/>
    </row>
    <row r="40">
      <c r="A40" s="95" t="s">
        <v>542</v>
      </c>
      <c r="B40" s="66" t="s">
        <v>81</v>
      </c>
      <c r="C40" s="66" t="s">
        <v>82</v>
      </c>
      <c r="D40" s="66" t="s">
        <v>533</v>
      </c>
      <c r="E40" s="74">
        <v>0.3125</v>
      </c>
    </row>
    <row r="41">
      <c r="A41" s="95" t="s">
        <v>543</v>
      </c>
      <c r="B41" s="66" t="s">
        <v>81</v>
      </c>
      <c r="C41" s="66" t="s">
        <v>82</v>
      </c>
      <c r="D41" s="66" t="s">
        <v>533</v>
      </c>
      <c r="E41" s="74">
        <v>0.3125</v>
      </c>
    </row>
    <row r="42">
      <c r="A42" s="113"/>
      <c r="B42" s="115"/>
      <c r="C42" s="115"/>
      <c r="D42" s="115"/>
      <c r="E42" s="111"/>
    </row>
    <row r="43">
      <c r="A43" s="117"/>
      <c r="B43" s="115"/>
      <c r="C43" s="115"/>
      <c r="D43" s="115"/>
      <c r="E43" s="111"/>
    </row>
    <row r="44">
      <c r="A44" s="114"/>
      <c r="B44" s="115"/>
      <c r="C44" s="115"/>
      <c r="D44" s="115"/>
      <c r="E44" s="111"/>
    </row>
    <row r="45">
      <c r="A45" s="109"/>
      <c r="B45" s="115"/>
      <c r="C45" s="115"/>
      <c r="D45" s="110"/>
      <c r="E45" s="111"/>
    </row>
    <row r="46">
      <c r="A46" s="109"/>
      <c r="B46" s="115"/>
      <c r="C46" s="115"/>
      <c r="D46" s="110"/>
      <c r="E46" s="111"/>
    </row>
    <row r="47">
      <c r="A47" s="109"/>
      <c r="B47" s="115"/>
      <c r="C47" s="115"/>
      <c r="D47" s="110"/>
      <c r="E47" s="111"/>
    </row>
    <row r="48">
      <c r="A48" s="109"/>
      <c r="B48" s="115"/>
      <c r="C48" s="115"/>
      <c r="D48" s="110"/>
      <c r="E48" s="111"/>
    </row>
    <row r="49">
      <c r="A49" s="109"/>
      <c r="B49" s="115"/>
      <c r="C49" s="115"/>
      <c r="D49" s="110"/>
      <c r="E49" s="111"/>
    </row>
    <row r="50">
      <c r="A50" s="109"/>
      <c r="B50" s="115"/>
      <c r="C50" s="115"/>
      <c r="D50" s="110"/>
      <c r="E50" s="111"/>
    </row>
    <row r="51">
      <c r="A51" s="114"/>
      <c r="B51" s="115"/>
      <c r="C51" s="115"/>
      <c r="D51" s="115"/>
      <c r="E51" s="116"/>
    </row>
    <row r="52">
      <c r="A52" s="109"/>
      <c r="B52" s="115"/>
      <c r="C52" s="115"/>
      <c r="D52" s="115"/>
      <c r="E52" s="116"/>
    </row>
    <row r="53">
      <c r="A53" s="109"/>
      <c r="B53" s="115"/>
      <c r="C53" s="115"/>
      <c r="D53" s="115"/>
      <c r="E53" s="116"/>
    </row>
  </sheetData>
  <mergeCells count="1">
    <mergeCell ref="G6:H6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40.63"/>
    <col customWidth="1" min="3" max="3" width="12.0"/>
    <col customWidth="1" min="4" max="4" width="32.88"/>
    <col customWidth="1" min="5" max="5" width="10.38"/>
    <col customWidth="1" min="7" max="7" width="76.8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23"/>
      <c r="G1" s="80" t="s">
        <v>5</v>
      </c>
      <c r="H1" s="81">
        <f>SUM(H2,H3)</f>
        <v>28</v>
      </c>
    </row>
    <row r="2">
      <c r="A2" s="141" t="s">
        <v>544</v>
      </c>
      <c r="B2" s="90" t="s">
        <v>37</v>
      </c>
      <c r="C2" s="90" t="s">
        <v>199</v>
      </c>
      <c r="D2" s="90">
        <v>89.0</v>
      </c>
      <c r="E2" s="91">
        <v>0.9583333333333334</v>
      </c>
      <c r="G2" s="82" t="s">
        <v>9</v>
      </c>
      <c r="H2" s="82">
        <v>20.0</v>
      </c>
    </row>
    <row r="3">
      <c r="A3" s="119" t="s">
        <v>545</v>
      </c>
      <c r="B3" s="90" t="s">
        <v>7</v>
      </c>
      <c r="C3" s="90" t="s">
        <v>8</v>
      </c>
      <c r="D3" s="90">
        <v>7.0</v>
      </c>
      <c r="E3" s="91">
        <v>0.25</v>
      </c>
      <c r="G3" s="82" t="s">
        <v>13</v>
      </c>
      <c r="H3" s="82">
        <v>8.0</v>
      </c>
    </row>
    <row r="4">
      <c r="A4" s="119" t="s">
        <v>546</v>
      </c>
      <c r="B4" s="73" t="s">
        <v>97</v>
      </c>
      <c r="C4" s="73" t="s">
        <v>12</v>
      </c>
      <c r="D4" s="73">
        <v>12.0</v>
      </c>
      <c r="E4" s="91">
        <v>0.25</v>
      </c>
      <c r="F4" s="23"/>
      <c r="G4" s="82"/>
      <c r="H4" s="82"/>
    </row>
    <row r="5">
      <c r="A5" s="95" t="s">
        <v>547</v>
      </c>
      <c r="B5" s="73" t="s">
        <v>15</v>
      </c>
      <c r="C5" s="73" t="s">
        <v>16</v>
      </c>
      <c r="D5" s="73">
        <v>15.0</v>
      </c>
      <c r="E5" s="91">
        <v>0.25</v>
      </c>
      <c r="F5" s="23"/>
      <c r="G5" s="93"/>
      <c r="H5" s="93"/>
    </row>
    <row r="6">
      <c r="A6" s="119" t="s">
        <v>548</v>
      </c>
      <c r="B6" s="90" t="s">
        <v>84</v>
      </c>
      <c r="C6" s="90" t="s">
        <v>193</v>
      </c>
      <c r="D6" s="90">
        <v>97.0</v>
      </c>
      <c r="E6" s="74">
        <v>0.25</v>
      </c>
      <c r="F6" s="23"/>
      <c r="G6" s="23"/>
      <c r="H6" s="23"/>
    </row>
    <row r="7">
      <c r="A7" s="119" t="s">
        <v>549</v>
      </c>
      <c r="B7" s="73" t="s">
        <v>18</v>
      </c>
      <c r="C7" s="73" t="s">
        <v>19</v>
      </c>
      <c r="D7" s="73">
        <v>27.0</v>
      </c>
      <c r="E7" s="91">
        <v>0.25</v>
      </c>
      <c r="F7" s="23"/>
      <c r="G7" s="23"/>
      <c r="H7" s="23"/>
    </row>
    <row r="8">
      <c r="A8" s="95" t="s">
        <v>550</v>
      </c>
      <c r="B8" s="73" t="s">
        <v>22</v>
      </c>
      <c r="C8" s="73" t="s">
        <v>23</v>
      </c>
      <c r="D8" s="73">
        <v>13.0</v>
      </c>
      <c r="E8" s="91">
        <v>0.25</v>
      </c>
      <c r="F8" s="23"/>
      <c r="G8" s="83"/>
    </row>
    <row r="9">
      <c r="A9" s="95" t="s">
        <v>551</v>
      </c>
      <c r="B9" s="73" t="s">
        <v>264</v>
      </c>
      <c r="C9" s="73" t="s">
        <v>224</v>
      </c>
      <c r="D9" s="73">
        <v>98.0</v>
      </c>
      <c r="E9" s="91">
        <v>0.25</v>
      </c>
      <c r="F9" s="23"/>
      <c r="G9" s="84" t="s">
        <v>20</v>
      </c>
      <c r="H9" s="82"/>
    </row>
    <row r="10">
      <c r="A10" s="95" t="s">
        <v>552</v>
      </c>
      <c r="B10" s="66" t="s">
        <v>288</v>
      </c>
      <c r="C10" s="66" t="s">
        <v>289</v>
      </c>
      <c r="D10" s="66">
        <v>21.0</v>
      </c>
      <c r="E10" s="91">
        <v>0.25</v>
      </c>
      <c r="F10" s="23"/>
      <c r="G10" s="75" t="s">
        <v>553</v>
      </c>
      <c r="H10" s="84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95" t="s">
        <v>554</v>
      </c>
      <c r="B11" s="73" t="s">
        <v>27</v>
      </c>
      <c r="C11" s="73" t="s">
        <v>28</v>
      </c>
      <c r="D11" s="73">
        <v>26.0</v>
      </c>
      <c r="E11" s="74">
        <v>0.2708333333333333</v>
      </c>
      <c r="F11" s="23"/>
      <c r="G11" s="140" t="s">
        <v>555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95" t="s">
        <v>556</v>
      </c>
      <c r="B12" s="73" t="s">
        <v>31</v>
      </c>
      <c r="C12" s="73" t="s">
        <v>32</v>
      </c>
      <c r="D12" s="73">
        <v>5.0</v>
      </c>
      <c r="E12" s="67">
        <v>0.2708333333333333</v>
      </c>
    </row>
    <row r="13">
      <c r="A13" s="95" t="s">
        <v>557</v>
      </c>
      <c r="B13" s="66" t="s">
        <v>34</v>
      </c>
      <c r="C13" s="66" t="s">
        <v>35</v>
      </c>
      <c r="D13" s="66">
        <v>16.0</v>
      </c>
      <c r="E13" s="67">
        <v>0.2708333333333333</v>
      </c>
    </row>
    <row r="14">
      <c r="A14" s="95" t="s">
        <v>558</v>
      </c>
      <c r="B14" s="73" t="s">
        <v>41</v>
      </c>
      <c r="C14" s="73" t="s">
        <v>218</v>
      </c>
      <c r="D14" s="73" t="s">
        <v>559</v>
      </c>
      <c r="E14" s="67">
        <v>0.2916666666666667</v>
      </c>
      <c r="F14" s="23"/>
      <c r="G14" s="23"/>
      <c r="H14" s="23"/>
    </row>
    <row r="15">
      <c r="A15" s="95" t="s">
        <v>560</v>
      </c>
      <c r="B15" s="66" t="s">
        <v>318</v>
      </c>
      <c r="C15" s="66" t="s">
        <v>319</v>
      </c>
      <c r="D15" s="66">
        <v>100.0</v>
      </c>
      <c r="E15" s="67">
        <v>0.2916666666666667</v>
      </c>
    </row>
    <row r="16">
      <c r="A16" s="95" t="s">
        <v>561</v>
      </c>
      <c r="B16" s="66" t="s">
        <v>385</v>
      </c>
      <c r="C16" s="66" t="s">
        <v>207</v>
      </c>
      <c r="D16" s="66">
        <v>94.0</v>
      </c>
      <c r="E16" s="67">
        <v>0.2916666666666667</v>
      </c>
      <c r="F16" s="23"/>
      <c r="G16" s="23"/>
      <c r="H16" s="23"/>
    </row>
    <row r="17">
      <c r="A17" s="95" t="s">
        <v>562</v>
      </c>
      <c r="B17" s="66" t="s">
        <v>563</v>
      </c>
      <c r="C17" s="66" t="s">
        <v>292</v>
      </c>
      <c r="D17" s="66">
        <v>102.0</v>
      </c>
      <c r="E17" s="67">
        <v>0.2916666666666667</v>
      </c>
      <c r="F17" s="23"/>
      <c r="G17" s="23"/>
      <c r="H17" s="23"/>
    </row>
    <row r="18">
      <c r="A18" s="95" t="s">
        <v>564</v>
      </c>
      <c r="B18" s="66" t="s">
        <v>48</v>
      </c>
      <c r="C18" s="66" t="s">
        <v>49</v>
      </c>
      <c r="D18" s="66">
        <v>18.0</v>
      </c>
      <c r="E18" s="67">
        <v>0.2916666666666667</v>
      </c>
      <c r="F18" s="23"/>
      <c r="G18" s="23"/>
      <c r="H18" s="23"/>
    </row>
    <row r="19">
      <c r="A19" s="95" t="s">
        <v>565</v>
      </c>
      <c r="B19" s="66" t="s">
        <v>51</v>
      </c>
      <c r="C19" s="66" t="s">
        <v>52</v>
      </c>
      <c r="D19" s="66">
        <v>35.0</v>
      </c>
      <c r="E19" s="67">
        <v>0.2916666666666667</v>
      </c>
      <c r="F19" s="23"/>
      <c r="G19" s="23"/>
      <c r="H19" s="23"/>
    </row>
    <row r="20">
      <c r="A20" s="119" t="s">
        <v>566</v>
      </c>
      <c r="B20" s="66" t="s">
        <v>54</v>
      </c>
      <c r="C20" s="66" t="s">
        <v>55</v>
      </c>
      <c r="D20" s="66">
        <v>37.0</v>
      </c>
      <c r="E20" s="67">
        <v>0.2916666666666667</v>
      </c>
      <c r="F20" s="23"/>
      <c r="G20" s="23"/>
      <c r="H20" s="23"/>
    </row>
    <row r="21">
      <c r="A21" s="119" t="s">
        <v>567</v>
      </c>
      <c r="B21" s="66" t="s">
        <v>118</v>
      </c>
      <c r="C21" s="66" t="s">
        <v>58</v>
      </c>
      <c r="D21" s="66">
        <v>23.0</v>
      </c>
      <c r="E21" s="67">
        <v>0.2916666666666667</v>
      </c>
      <c r="F21" s="23"/>
      <c r="G21" s="23"/>
      <c r="H21" s="23"/>
    </row>
    <row r="22">
      <c r="A22" s="119" t="s">
        <v>568</v>
      </c>
      <c r="B22" s="73" t="s">
        <v>61</v>
      </c>
      <c r="C22" s="73" t="s">
        <v>62</v>
      </c>
      <c r="D22" s="73">
        <v>39.0</v>
      </c>
      <c r="E22" s="67">
        <v>0.2916666666666667</v>
      </c>
      <c r="F22" s="23"/>
      <c r="G22" s="23"/>
      <c r="H22" s="23"/>
    </row>
    <row r="23">
      <c r="A23" s="119" t="s">
        <v>569</v>
      </c>
      <c r="B23" s="73" t="s">
        <v>124</v>
      </c>
      <c r="C23" s="73" t="s">
        <v>69</v>
      </c>
      <c r="D23" s="73">
        <v>34.0</v>
      </c>
      <c r="E23" s="67">
        <v>0.3125</v>
      </c>
      <c r="F23" s="23"/>
      <c r="G23" s="23"/>
      <c r="H23" s="23"/>
    </row>
    <row r="24">
      <c r="A24" s="119" t="s">
        <v>570</v>
      </c>
      <c r="B24" s="73" t="s">
        <v>71</v>
      </c>
      <c r="C24" s="73" t="s">
        <v>72</v>
      </c>
      <c r="D24" s="73">
        <v>15.0</v>
      </c>
      <c r="E24" s="67">
        <v>0.3125</v>
      </c>
      <c r="F24" s="23"/>
      <c r="G24" s="23"/>
      <c r="H24" s="23"/>
    </row>
    <row r="25">
      <c r="A25" s="119" t="s">
        <v>571</v>
      </c>
      <c r="B25" s="73" t="s">
        <v>75</v>
      </c>
      <c r="C25" s="73" t="s">
        <v>76</v>
      </c>
      <c r="D25" s="73">
        <v>22.0</v>
      </c>
      <c r="E25" s="67">
        <v>0.3125</v>
      </c>
      <c r="F25" s="23"/>
      <c r="G25" s="23"/>
      <c r="H25" s="23"/>
    </row>
    <row r="26">
      <c r="A26" s="119" t="s">
        <v>572</v>
      </c>
      <c r="B26" s="73" t="s">
        <v>399</v>
      </c>
      <c r="C26" s="73" t="s">
        <v>157</v>
      </c>
      <c r="D26" s="73">
        <v>9.0</v>
      </c>
      <c r="E26" s="67">
        <v>0.3125</v>
      </c>
      <c r="F26" s="23"/>
      <c r="G26" s="23"/>
      <c r="H26" s="23"/>
    </row>
    <row r="27">
      <c r="A27" s="119" t="s">
        <v>573</v>
      </c>
      <c r="B27" s="73" t="s">
        <v>78</v>
      </c>
      <c r="C27" s="73" t="s">
        <v>79</v>
      </c>
      <c r="D27" s="73">
        <v>19.0</v>
      </c>
      <c r="E27" s="67">
        <v>0.3125</v>
      </c>
      <c r="F27" s="23"/>
      <c r="G27" s="23"/>
      <c r="H27" s="23"/>
    </row>
    <row r="28">
      <c r="A28" s="95" t="s">
        <v>574</v>
      </c>
      <c r="B28" s="73" t="s">
        <v>486</v>
      </c>
      <c r="C28" s="73" t="s">
        <v>462</v>
      </c>
      <c r="D28" s="73">
        <v>48.0</v>
      </c>
      <c r="E28" s="67">
        <v>0.3125</v>
      </c>
      <c r="F28" s="23"/>
      <c r="G28" s="23"/>
      <c r="H28" s="23"/>
    </row>
    <row r="29">
      <c r="A29" s="142" t="s">
        <v>575</v>
      </c>
      <c r="B29" s="73" t="s">
        <v>81</v>
      </c>
      <c r="C29" s="73" t="s">
        <v>82</v>
      </c>
      <c r="D29" s="73">
        <v>49.0</v>
      </c>
      <c r="E29" s="67">
        <v>0.3125</v>
      </c>
      <c r="F29" s="23"/>
      <c r="G29" s="23"/>
      <c r="H29" s="23"/>
    </row>
    <row r="30">
      <c r="A30" s="143"/>
      <c r="B30" s="114"/>
      <c r="C30" s="114"/>
      <c r="D30" s="114"/>
      <c r="E30" s="111"/>
      <c r="F30" s="23"/>
      <c r="G30" s="23"/>
      <c r="H30" s="23"/>
    </row>
    <row r="31">
      <c r="A31" s="114"/>
      <c r="B31" s="144"/>
      <c r="C31" s="144"/>
      <c r="D31" s="144"/>
      <c r="E31" s="111"/>
      <c r="F31" s="23"/>
      <c r="G31" s="23"/>
      <c r="H31" s="23"/>
    </row>
    <row r="32">
      <c r="A32" s="143"/>
      <c r="B32" s="144"/>
      <c r="C32" s="144"/>
      <c r="D32" s="144"/>
      <c r="E32" s="111"/>
      <c r="F32" s="23"/>
      <c r="G32" s="23"/>
      <c r="H32" s="23"/>
    </row>
    <row r="33">
      <c r="A33" s="143"/>
      <c r="B33" s="144"/>
      <c r="C33" s="144"/>
      <c r="D33" s="144"/>
      <c r="E33" s="111"/>
      <c r="F33" s="23"/>
      <c r="G33" s="23"/>
      <c r="H33" s="23"/>
    </row>
    <row r="34">
      <c r="A34" s="109"/>
      <c r="B34" s="144"/>
      <c r="C34" s="144"/>
      <c r="D34" s="144"/>
      <c r="E34" s="111"/>
      <c r="F34" s="23"/>
      <c r="G34" s="23"/>
      <c r="H34" s="23"/>
    </row>
    <row r="35">
      <c r="A35" s="109"/>
      <c r="B35" s="144"/>
      <c r="C35" s="144"/>
      <c r="D35" s="144"/>
      <c r="E35" s="111"/>
      <c r="F35" s="23"/>
      <c r="G35" s="23"/>
      <c r="H35" s="23"/>
    </row>
    <row r="36">
      <c r="A36" s="109"/>
      <c r="B36" s="144"/>
      <c r="C36" s="144"/>
      <c r="D36" s="144"/>
      <c r="E36" s="111"/>
      <c r="F36" s="23"/>
      <c r="G36" s="23"/>
      <c r="H36" s="23"/>
    </row>
    <row r="37">
      <c r="A37" s="109"/>
      <c r="B37" s="144"/>
      <c r="C37" s="144"/>
      <c r="D37" s="144"/>
      <c r="E37" s="111"/>
      <c r="F37" s="23"/>
      <c r="G37" s="23"/>
      <c r="H37" s="23"/>
    </row>
    <row r="38">
      <c r="A38" s="109"/>
      <c r="B38" s="144"/>
      <c r="C38" s="144"/>
      <c r="D38" s="144"/>
      <c r="E38" s="111"/>
      <c r="F38" s="23"/>
      <c r="G38" s="23"/>
      <c r="H38" s="23"/>
    </row>
    <row r="39">
      <c r="A39" s="143"/>
      <c r="B39" s="115"/>
      <c r="C39" s="115"/>
      <c r="D39" s="115"/>
      <c r="E39" s="111"/>
    </row>
    <row r="40">
      <c r="A40" s="109"/>
      <c r="B40" s="115"/>
      <c r="C40" s="115"/>
      <c r="D40" s="115"/>
      <c r="E40" s="111"/>
      <c r="F40" s="23"/>
      <c r="G40" s="23"/>
      <c r="H40" s="23"/>
    </row>
    <row r="41">
      <c r="A41" s="109"/>
      <c r="B41" s="115"/>
      <c r="C41" s="115"/>
      <c r="D41" s="115"/>
      <c r="E41" s="111"/>
    </row>
    <row r="42">
      <c r="A42" s="109"/>
      <c r="B42" s="115"/>
      <c r="C42" s="115"/>
      <c r="D42" s="115"/>
      <c r="E42" s="111"/>
    </row>
    <row r="43">
      <c r="A43" s="113"/>
      <c r="B43" s="115"/>
      <c r="C43" s="115"/>
      <c r="D43" s="115"/>
      <c r="E43" s="111"/>
    </row>
    <row r="44">
      <c r="A44" s="117"/>
      <c r="B44" s="115"/>
      <c r="C44" s="115"/>
      <c r="D44" s="115"/>
      <c r="E44" s="111"/>
    </row>
    <row r="45">
      <c r="A45" s="114"/>
      <c r="B45" s="115"/>
      <c r="C45" s="115"/>
      <c r="D45" s="115"/>
      <c r="E45" s="111"/>
    </row>
    <row r="46">
      <c r="A46" s="109"/>
      <c r="B46" s="115"/>
      <c r="C46" s="115"/>
      <c r="D46" s="110"/>
      <c r="E46" s="111"/>
    </row>
    <row r="47">
      <c r="A47" s="109"/>
      <c r="B47" s="115"/>
      <c r="C47" s="115"/>
      <c r="D47" s="110"/>
      <c r="E47" s="111"/>
    </row>
    <row r="48">
      <c r="A48" s="109"/>
      <c r="B48" s="115"/>
      <c r="C48" s="115"/>
      <c r="D48" s="110"/>
      <c r="E48" s="111"/>
    </row>
    <row r="49">
      <c r="A49" s="109"/>
      <c r="B49" s="115"/>
      <c r="C49" s="115"/>
      <c r="D49" s="110"/>
      <c r="E49" s="111"/>
    </row>
    <row r="50">
      <c r="A50" s="109"/>
      <c r="B50" s="115"/>
      <c r="C50" s="115"/>
      <c r="D50" s="110"/>
      <c r="E50" s="111"/>
    </row>
    <row r="51">
      <c r="A51" s="109"/>
      <c r="B51" s="115"/>
      <c r="C51" s="115"/>
      <c r="D51" s="110"/>
      <c r="E51" s="111"/>
    </row>
    <row r="52">
      <c r="A52" s="114"/>
      <c r="B52" s="115"/>
      <c r="C52" s="115"/>
      <c r="D52" s="115"/>
      <c r="E52" s="116"/>
    </row>
    <row r="53">
      <c r="A53" s="109"/>
      <c r="B53" s="115"/>
      <c r="C53" s="115"/>
      <c r="D53" s="115"/>
      <c r="E53" s="116"/>
    </row>
    <row r="54">
      <c r="A54" s="109"/>
      <c r="B54" s="115"/>
      <c r="C54" s="115"/>
      <c r="D54" s="115"/>
      <c r="E54" s="116"/>
    </row>
  </sheetData>
  <mergeCells count="1">
    <mergeCell ref="G8:H8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40.63"/>
    <col customWidth="1" min="3" max="3" width="12.0"/>
    <col customWidth="1" min="4" max="4" width="32.88"/>
    <col customWidth="1" min="5" max="5" width="10.38"/>
    <col customWidth="1" min="7" max="7" width="76.8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23"/>
      <c r="G1" s="80" t="s">
        <v>5</v>
      </c>
      <c r="H1" s="81">
        <f>SUM(H2,H3)</f>
        <v>12</v>
      </c>
    </row>
    <row r="2">
      <c r="A2" s="145" t="s">
        <v>576</v>
      </c>
      <c r="B2" s="90" t="s">
        <v>31</v>
      </c>
      <c r="C2" s="90" t="s">
        <v>32</v>
      </c>
      <c r="D2" s="90">
        <v>15.0</v>
      </c>
      <c r="E2" s="91">
        <v>0.2708333333333333</v>
      </c>
      <c r="G2" s="82" t="s">
        <v>9</v>
      </c>
      <c r="H2" s="82">
        <v>9.0</v>
      </c>
    </row>
    <row r="3">
      <c r="A3" s="145" t="s">
        <v>577</v>
      </c>
      <c r="B3" s="90" t="s">
        <v>27</v>
      </c>
      <c r="C3" s="90" t="s">
        <v>28</v>
      </c>
      <c r="D3" s="90">
        <v>34.0</v>
      </c>
      <c r="E3" s="91">
        <v>0.2708333333333333</v>
      </c>
      <c r="G3" s="82" t="s">
        <v>13</v>
      </c>
      <c r="H3" s="82">
        <v>3.0</v>
      </c>
    </row>
    <row r="4">
      <c r="A4" s="145" t="s">
        <v>578</v>
      </c>
      <c r="B4" s="73" t="s">
        <v>54</v>
      </c>
      <c r="C4" s="73" t="s">
        <v>122</v>
      </c>
      <c r="D4" s="73" t="s">
        <v>25</v>
      </c>
      <c r="E4" s="91">
        <v>0.2916666666666667</v>
      </c>
      <c r="F4" s="23"/>
      <c r="G4" s="82"/>
      <c r="H4" s="82"/>
    </row>
    <row r="5">
      <c r="A5" s="145" t="s">
        <v>579</v>
      </c>
      <c r="B5" s="73" t="s">
        <v>48</v>
      </c>
      <c r="C5" s="73" t="s">
        <v>49</v>
      </c>
      <c r="D5" s="73">
        <v>18.0</v>
      </c>
      <c r="E5" s="91">
        <v>0.2916666666666667</v>
      </c>
      <c r="F5" s="23"/>
      <c r="G5" s="93"/>
      <c r="H5" s="93"/>
    </row>
    <row r="6">
      <c r="A6" s="107" t="s">
        <v>580</v>
      </c>
      <c r="B6" s="90" t="s">
        <v>51</v>
      </c>
      <c r="C6" s="90" t="s">
        <v>52</v>
      </c>
      <c r="D6" s="90">
        <v>36.0</v>
      </c>
      <c r="E6" s="91">
        <v>0.2916666666666667</v>
      </c>
      <c r="F6" s="23"/>
      <c r="G6" s="23"/>
      <c r="H6" s="23"/>
    </row>
    <row r="7">
      <c r="A7" s="145" t="s">
        <v>581</v>
      </c>
      <c r="B7" s="73" t="s">
        <v>75</v>
      </c>
      <c r="C7" s="73" t="s">
        <v>76</v>
      </c>
      <c r="D7" s="73" t="s">
        <v>25</v>
      </c>
      <c r="E7" s="91">
        <v>0.3125</v>
      </c>
      <c r="F7" s="23"/>
      <c r="G7" s="23"/>
      <c r="H7" s="23"/>
    </row>
    <row r="8">
      <c r="A8" s="145" t="s">
        <v>582</v>
      </c>
      <c r="B8" s="73" t="s">
        <v>399</v>
      </c>
      <c r="C8" s="73" t="s">
        <v>157</v>
      </c>
      <c r="D8" s="73">
        <v>7.0</v>
      </c>
      <c r="E8" s="91">
        <v>0.3125</v>
      </c>
      <c r="F8" s="23"/>
      <c r="G8" s="83"/>
    </row>
    <row r="9">
      <c r="A9" s="145" t="s">
        <v>583</v>
      </c>
      <c r="B9" s="73" t="s">
        <v>71</v>
      </c>
      <c r="C9" s="73" t="s">
        <v>72</v>
      </c>
      <c r="D9" s="73">
        <v>14.0</v>
      </c>
      <c r="E9" s="91">
        <v>0.3125</v>
      </c>
      <c r="F9" s="23"/>
      <c r="G9" s="84" t="s">
        <v>20</v>
      </c>
      <c r="H9" s="82">
        <v>2.0</v>
      </c>
    </row>
    <row r="10">
      <c r="A10" s="145" t="s">
        <v>584</v>
      </c>
      <c r="B10" s="66" t="s">
        <v>124</v>
      </c>
      <c r="C10" s="66" t="s">
        <v>69</v>
      </c>
      <c r="D10" s="66">
        <v>33.0</v>
      </c>
      <c r="E10" s="91">
        <v>0.3125</v>
      </c>
      <c r="F10" s="23"/>
      <c r="G10" s="75" t="s">
        <v>585</v>
      </c>
      <c r="H10" s="84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145" t="s">
        <v>586</v>
      </c>
      <c r="B11" s="66" t="s">
        <v>251</v>
      </c>
      <c r="C11" s="66" t="s">
        <v>252</v>
      </c>
      <c r="D11" s="66">
        <v>16.0</v>
      </c>
      <c r="E11" s="67">
        <v>0.3333333333333333</v>
      </c>
      <c r="F11" s="23"/>
      <c r="G11" s="140" t="s">
        <v>587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145" t="s">
        <v>588</v>
      </c>
      <c r="B12" s="66" t="s">
        <v>589</v>
      </c>
      <c r="C12" s="66" t="s">
        <v>590</v>
      </c>
      <c r="D12" s="66" t="s">
        <v>591</v>
      </c>
      <c r="E12" s="67">
        <v>0.3541666666666667</v>
      </c>
    </row>
    <row r="13">
      <c r="A13" s="145" t="s">
        <v>592</v>
      </c>
      <c r="B13" s="66" t="s">
        <v>593</v>
      </c>
      <c r="C13" s="66" t="s">
        <v>594</v>
      </c>
      <c r="D13" s="66">
        <v>37.0</v>
      </c>
      <c r="E13" s="67">
        <v>0.375</v>
      </c>
    </row>
    <row r="14">
      <c r="A14" s="146" t="s">
        <v>595</v>
      </c>
      <c r="B14" s="73" t="s">
        <v>84</v>
      </c>
      <c r="C14" s="73" t="s">
        <v>193</v>
      </c>
      <c r="D14" s="73">
        <v>96.0</v>
      </c>
      <c r="E14" s="67">
        <v>0.125</v>
      </c>
      <c r="F14" s="23"/>
      <c r="G14" s="23"/>
      <c r="H14" s="23"/>
    </row>
    <row r="15">
      <c r="A15" s="147" t="s">
        <v>596</v>
      </c>
      <c r="B15" s="66" t="s">
        <v>430</v>
      </c>
      <c r="C15" s="66" t="s">
        <v>319</v>
      </c>
      <c r="D15" s="66">
        <v>100.0</v>
      </c>
      <c r="E15" s="67">
        <v>0.75</v>
      </c>
    </row>
    <row r="16">
      <c r="A16" s="147" t="s">
        <v>597</v>
      </c>
      <c r="B16" s="66" t="s">
        <v>231</v>
      </c>
      <c r="C16" s="66" t="s">
        <v>218</v>
      </c>
      <c r="D16" s="66">
        <v>87.0</v>
      </c>
      <c r="E16" s="67">
        <v>0.9583333333333334</v>
      </c>
      <c r="F16" s="23"/>
      <c r="G16" s="23"/>
      <c r="H16" s="23"/>
    </row>
    <row r="17">
      <c r="A17" s="148"/>
      <c r="B17" s="115"/>
      <c r="C17" s="115"/>
      <c r="D17" s="115"/>
      <c r="E17" s="116"/>
      <c r="F17" s="23"/>
      <c r="G17" s="23"/>
      <c r="H17" s="23"/>
    </row>
    <row r="18">
      <c r="A18" s="148"/>
      <c r="B18" s="115"/>
      <c r="C18" s="115"/>
      <c r="D18" s="115"/>
      <c r="E18" s="116"/>
      <c r="F18" s="23"/>
      <c r="G18" s="23"/>
      <c r="H18" s="23"/>
    </row>
    <row r="19">
      <c r="A19" s="148"/>
      <c r="B19" s="115"/>
      <c r="C19" s="115"/>
      <c r="D19" s="115"/>
      <c r="E19" s="116"/>
      <c r="F19" s="23"/>
      <c r="G19" s="23"/>
      <c r="H19" s="23"/>
    </row>
    <row r="20">
      <c r="A20" s="148"/>
      <c r="B20" s="115"/>
      <c r="C20" s="115"/>
      <c r="D20" s="115"/>
      <c r="E20" s="116"/>
      <c r="F20" s="23"/>
      <c r="G20" s="23"/>
      <c r="H20" s="23"/>
    </row>
    <row r="21">
      <c r="A21" s="148"/>
      <c r="B21" s="115"/>
      <c r="C21" s="115"/>
      <c r="D21" s="115"/>
      <c r="E21" s="116"/>
      <c r="F21" s="23"/>
      <c r="G21" s="23"/>
      <c r="H21" s="23"/>
    </row>
    <row r="22">
      <c r="A22" s="148"/>
      <c r="B22" s="110"/>
      <c r="C22" s="110"/>
      <c r="D22" s="110"/>
      <c r="E22" s="116"/>
      <c r="F22" s="23"/>
      <c r="G22" s="23"/>
      <c r="H22" s="23"/>
    </row>
    <row r="23">
      <c r="A23" s="148"/>
      <c r="B23" s="110"/>
      <c r="C23" s="110"/>
      <c r="D23" s="110"/>
      <c r="E23" s="116"/>
      <c r="F23" s="23"/>
      <c r="G23" s="23"/>
      <c r="H23" s="23"/>
    </row>
    <row r="24">
      <c r="A24" s="148"/>
      <c r="B24" s="110"/>
      <c r="C24" s="110"/>
      <c r="D24" s="110"/>
      <c r="E24" s="116"/>
      <c r="F24" s="23"/>
      <c r="G24" s="23"/>
      <c r="H24" s="23"/>
    </row>
    <row r="25">
      <c r="A25" s="148"/>
      <c r="B25" s="110"/>
      <c r="C25" s="110"/>
      <c r="D25" s="110"/>
      <c r="E25" s="116"/>
      <c r="F25" s="23"/>
      <c r="G25" s="23"/>
      <c r="H25" s="23"/>
    </row>
    <row r="26">
      <c r="A26" s="148"/>
      <c r="B26" s="110"/>
      <c r="C26" s="110"/>
      <c r="D26" s="110"/>
      <c r="E26" s="116"/>
      <c r="F26" s="23"/>
      <c r="G26" s="23"/>
      <c r="H26" s="23"/>
    </row>
    <row r="27">
      <c r="A27" s="148"/>
      <c r="B27" s="110"/>
      <c r="C27" s="110"/>
      <c r="D27" s="110"/>
      <c r="E27" s="116"/>
      <c r="F27" s="23"/>
      <c r="G27" s="23"/>
      <c r="H27" s="23"/>
    </row>
    <row r="28">
      <c r="A28" s="148"/>
      <c r="B28" s="110"/>
      <c r="C28" s="110"/>
      <c r="D28" s="110"/>
      <c r="E28" s="116"/>
      <c r="F28" s="23"/>
      <c r="G28" s="23"/>
      <c r="H28" s="23"/>
    </row>
    <row r="29">
      <c r="A29" s="148"/>
      <c r="B29" s="110"/>
      <c r="C29" s="110"/>
      <c r="D29" s="110"/>
      <c r="E29" s="116"/>
      <c r="F29" s="23"/>
      <c r="G29" s="23"/>
      <c r="H29" s="23"/>
    </row>
    <row r="30">
      <c r="A30" s="148"/>
      <c r="B30" s="114"/>
      <c r="C30" s="114"/>
      <c r="D30" s="114"/>
      <c r="E30" s="111"/>
      <c r="F30" s="23"/>
      <c r="G30" s="23"/>
      <c r="H30" s="23"/>
    </row>
    <row r="31">
      <c r="A31" s="114"/>
      <c r="B31" s="144"/>
      <c r="C31" s="144"/>
      <c r="D31" s="144"/>
      <c r="E31" s="111"/>
      <c r="F31" s="23"/>
      <c r="G31" s="23"/>
      <c r="H31" s="23"/>
    </row>
    <row r="32">
      <c r="A32" s="143"/>
      <c r="B32" s="144"/>
      <c r="C32" s="144"/>
      <c r="D32" s="144"/>
      <c r="E32" s="111"/>
      <c r="F32" s="23"/>
      <c r="G32" s="23"/>
      <c r="H32" s="23"/>
    </row>
    <row r="33">
      <c r="A33" s="143"/>
      <c r="B33" s="144"/>
      <c r="C33" s="144"/>
      <c r="D33" s="144"/>
      <c r="E33" s="111"/>
      <c r="F33" s="23"/>
      <c r="G33" s="23"/>
      <c r="H33" s="23"/>
    </row>
    <row r="34">
      <c r="A34" s="109"/>
      <c r="B34" s="144"/>
      <c r="C34" s="144"/>
      <c r="D34" s="144"/>
      <c r="E34" s="111"/>
      <c r="F34" s="23"/>
      <c r="G34" s="23"/>
      <c r="H34" s="23"/>
    </row>
    <row r="35">
      <c r="A35" s="109"/>
      <c r="B35" s="144"/>
      <c r="C35" s="144"/>
      <c r="D35" s="144"/>
      <c r="E35" s="111"/>
      <c r="F35" s="23"/>
      <c r="G35" s="23"/>
      <c r="H35" s="23"/>
    </row>
    <row r="36">
      <c r="A36" s="109"/>
      <c r="B36" s="144"/>
      <c r="C36" s="144"/>
      <c r="D36" s="144"/>
      <c r="E36" s="111"/>
      <c r="F36" s="23"/>
      <c r="G36" s="23"/>
      <c r="H36" s="23"/>
    </row>
    <row r="37">
      <c r="A37" s="109"/>
      <c r="B37" s="144"/>
      <c r="C37" s="144"/>
      <c r="D37" s="144"/>
      <c r="E37" s="111"/>
      <c r="F37" s="23"/>
      <c r="G37" s="23"/>
      <c r="H37" s="23"/>
    </row>
    <row r="38">
      <c r="A38" s="109"/>
      <c r="B38" s="144"/>
      <c r="C38" s="144"/>
      <c r="D38" s="144"/>
      <c r="E38" s="111"/>
      <c r="F38" s="23"/>
      <c r="G38" s="23"/>
      <c r="H38" s="23"/>
    </row>
    <row r="39">
      <c r="A39" s="143"/>
      <c r="B39" s="115"/>
      <c r="C39" s="115"/>
      <c r="D39" s="115"/>
      <c r="E39" s="111"/>
    </row>
    <row r="40">
      <c r="A40" s="109"/>
      <c r="B40" s="115"/>
      <c r="C40" s="115"/>
      <c r="D40" s="115"/>
      <c r="E40" s="111"/>
      <c r="F40" s="23"/>
      <c r="G40" s="23"/>
      <c r="H40" s="23"/>
    </row>
    <row r="41">
      <c r="A41" s="109"/>
      <c r="B41" s="115"/>
      <c r="C41" s="115"/>
      <c r="D41" s="115"/>
      <c r="E41" s="111"/>
    </row>
    <row r="42">
      <c r="A42" s="109"/>
      <c r="B42" s="115"/>
      <c r="C42" s="115"/>
      <c r="D42" s="115"/>
      <c r="E42" s="111"/>
    </row>
    <row r="43">
      <c r="A43" s="113"/>
      <c r="B43" s="115"/>
      <c r="C43" s="115"/>
      <c r="D43" s="115"/>
      <c r="E43" s="111"/>
    </row>
    <row r="44">
      <c r="A44" s="117"/>
      <c r="B44" s="115"/>
      <c r="C44" s="115"/>
      <c r="D44" s="115"/>
      <c r="E44" s="111"/>
    </row>
    <row r="45">
      <c r="A45" s="114"/>
      <c r="B45" s="115"/>
      <c r="C45" s="115"/>
      <c r="D45" s="115"/>
      <c r="E45" s="111"/>
    </row>
    <row r="46">
      <c r="A46" s="109"/>
      <c r="B46" s="115"/>
      <c r="C46" s="115"/>
      <c r="D46" s="110"/>
      <c r="E46" s="111"/>
    </row>
    <row r="47">
      <c r="A47" s="109"/>
      <c r="B47" s="115"/>
      <c r="C47" s="115"/>
      <c r="D47" s="110"/>
      <c r="E47" s="111"/>
    </row>
    <row r="48">
      <c r="A48" s="109"/>
      <c r="B48" s="115"/>
      <c r="C48" s="115"/>
      <c r="D48" s="110"/>
      <c r="E48" s="111"/>
    </row>
    <row r="49">
      <c r="A49" s="109"/>
      <c r="B49" s="115"/>
      <c r="C49" s="115"/>
      <c r="D49" s="110"/>
      <c r="E49" s="111"/>
    </row>
    <row r="50">
      <c r="A50" s="109"/>
      <c r="B50" s="115"/>
      <c r="C50" s="115"/>
      <c r="D50" s="110"/>
      <c r="E50" s="111"/>
    </row>
    <row r="51">
      <c r="A51" s="109"/>
      <c r="B51" s="115"/>
      <c r="C51" s="115"/>
      <c r="D51" s="110"/>
      <c r="E51" s="111"/>
    </row>
    <row r="52">
      <c r="A52" s="114"/>
      <c r="B52" s="115"/>
      <c r="C52" s="115"/>
      <c r="D52" s="115"/>
      <c r="E52" s="116"/>
    </row>
    <row r="53">
      <c r="A53" s="109"/>
      <c r="B53" s="115"/>
      <c r="C53" s="115"/>
      <c r="D53" s="115"/>
      <c r="E53" s="116"/>
    </row>
    <row r="54">
      <c r="A54" s="109"/>
      <c r="B54" s="115"/>
      <c r="C54" s="115"/>
      <c r="D54" s="115"/>
      <c r="E54" s="116"/>
    </row>
  </sheetData>
  <mergeCells count="1">
    <mergeCell ref="G8:H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40.63"/>
    <col customWidth="1" min="3" max="3" width="12.0"/>
    <col customWidth="1" min="4" max="4" width="32.88"/>
    <col customWidth="1" min="5" max="5" width="10.38"/>
    <col customWidth="1" min="7" max="7" width="76.8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23"/>
      <c r="G1" s="80" t="s">
        <v>5</v>
      </c>
      <c r="H1" s="81">
        <f>SUM(H2,H3)</f>
        <v>25</v>
      </c>
    </row>
    <row r="2">
      <c r="A2" s="145" t="s">
        <v>598</v>
      </c>
      <c r="B2" s="90" t="s">
        <v>31</v>
      </c>
      <c r="C2" s="90" t="s">
        <v>32</v>
      </c>
      <c r="D2" s="90">
        <v>44.0</v>
      </c>
      <c r="E2" s="91">
        <v>0.2708333333333333</v>
      </c>
      <c r="G2" s="82" t="s">
        <v>9</v>
      </c>
      <c r="H2" s="82">
        <v>15.0</v>
      </c>
    </row>
    <row r="3">
      <c r="A3" s="145" t="s">
        <v>599</v>
      </c>
      <c r="B3" s="90" t="s">
        <v>34</v>
      </c>
      <c r="C3" s="90" t="s">
        <v>35</v>
      </c>
      <c r="D3" s="90">
        <v>19.0</v>
      </c>
      <c r="E3" s="91">
        <v>0.2708333333333333</v>
      </c>
      <c r="G3" s="82" t="s">
        <v>13</v>
      </c>
      <c r="H3" s="82">
        <v>10.0</v>
      </c>
    </row>
    <row r="4">
      <c r="A4" s="145" t="s">
        <v>600</v>
      </c>
      <c r="B4" s="73" t="s">
        <v>27</v>
      </c>
      <c r="C4" s="73" t="s">
        <v>28</v>
      </c>
      <c r="D4" s="73">
        <v>9.0</v>
      </c>
      <c r="E4" s="91">
        <v>0.2708333333333333</v>
      </c>
      <c r="F4" s="23"/>
      <c r="G4" s="93"/>
      <c r="H4" s="93"/>
    </row>
    <row r="5">
      <c r="A5" s="145" t="s">
        <v>601</v>
      </c>
      <c r="B5" s="90" t="s">
        <v>44</v>
      </c>
      <c r="C5" s="90" t="s">
        <v>203</v>
      </c>
      <c r="D5" s="73">
        <v>91.0</v>
      </c>
      <c r="E5" s="91">
        <v>0.2916666666666667</v>
      </c>
      <c r="F5" s="23"/>
      <c r="G5" s="93"/>
      <c r="H5" s="93"/>
    </row>
    <row r="6">
      <c r="A6" s="145" t="s">
        <v>602</v>
      </c>
      <c r="B6" s="73" t="s">
        <v>318</v>
      </c>
      <c r="C6" s="73" t="s">
        <v>319</v>
      </c>
      <c r="D6" s="90">
        <v>100.0</v>
      </c>
      <c r="E6" s="91">
        <v>0.2916666666666667</v>
      </c>
      <c r="F6" s="23"/>
      <c r="G6" s="23"/>
      <c r="H6" s="23"/>
    </row>
    <row r="7">
      <c r="A7" s="145" t="s">
        <v>603</v>
      </c>
      <c r="B7" s="73" t="s">
        <v>604</v>
      </c>
      <c r="C7" s="73" t="s">
        <v>224</v>
      </c>
      <c r="D7" s="73" t="s">
        <v>167</v>
      </c>
      <c r="E7" s="91">
        <v>0.2916666666666667</v>
      </c>
      <c r="F7" s="23"/>
      <c r="G7" s="23"/>
      <c r="H7" s="23"/>
    </row>
    <row r="8">
      <c r="A8" s="145" t="s">
        <v>605</v>
      </c>
      <c r="B8" s="73" t="s">
        <v>604</v>
      </c>
      <c r="C8" s="73" t="s">
        <v>224</v>
      </c>
      <c r="D8" s="73" t="s">
        <v>167</v>
      </c>
      <c r="E8" s="91">
        <v>0.2916666666666667</v>
      </c>
      <c r="F8" s="23"/>
      <c r="G8" s="83"/>
    </row>
    <row r="9">
      <c r="A9" s="145" t="s">
        <v>606</v>
      </c>
      <c r="B9" s="73" t="s">
        <v>37</v>
      </c>
      <c r="C9" s="73" t="s">
        <v>199</v>
      </c>
      <c r="D9" s="73" t="s">
        <v>167</v>
      </c>
      <c r="E9" s="91">
        <v>0.2916666666666667</v>
      </c>
      <c r="F9" s="23"/>
      <c r="G9" s="84" t="s">
        <v>20</v>
      </c>
      <c r="H9" s="82">
        <v>13.0</v>
      </c>
    </row>
    <row r="10">
      <c r="A10" s="149" t="s">
        <v>607</v>
      </c>
      <c r="B10" s="73" t="s">
        <v>37</v>
      </c>
      <c r="C10" s="73" t="s">
        <v>199</v>
      </c>
      <c r="D10" s="73" t="s">
        <v>167</v>
      </c>
      <c r="E10" s="150">
        <v>0.2916666666666667</v>
      </c>
      <c r="F10" s="23"/>
      <c r="G10" s="75" t="s">
        <v>608</v>
      </c>
      <c r="H10" s="84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149" t="s">
        <v>609</v>
      </c>
      <c r="B11" s="73" t="s">
        <v>37</v>
      </c>
      <c r="C11" s="73" t="s">
        <v>199</v>
      </c>
      <c r="D11" s="73" t="s">
        <v>167</v>
      </c>
      <c r="E11" s="150">
        <v>0.2916666666666667</v>
      </c>
      <c r="F11" s="23"/>
      <c r="G11" s="140" t="s">
        <v>610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145" t="s">
        <v>611</v>
      </c>
      <c r="B12" s="66" t="s">
        <v>231</v>
      </c>
      <c r="C12" s="66" t="s">
        <v>218</v>
      </c>
      <c r="D12" s="73" t="s">
        <v>167</v>
      </c>
      <c r="E12" s="91">
        <v>0.2916666666666667</v>
      </c>
    </row>
    <row r="13">
      <c r="A13" s="145" t="s">
        <v>612</v>
      </c>
      <c r="B13" s="66" t="s">
        <v>231</v>
      </c>
      <c r="C13" s="66" t="s">
        <v>218</v>
      </c>
      <c r="D13" s="73" t="s">
        <v>167</v>
      </c>
      <c r="E13" s="91">
        <v>0.2916666666666667</v>
      </c>
    </row>
    <row r="14">
      <c r="A14" s="145" t="s">
        <v>613</v>
      </c>
      <c r="B14" s="73" t="s">
        <v>563</v>
      </c>
      <c r="C14" s="73" t="s">
        <v>292</v>
      </c>
      <c r="D14" s="73">
        <v>102.0</v>
      </c>
      <c r="E14" s="91">
        <v>0.2916666666666667</v>
      </c>
      <c r="F14" s="23"/>
      <c r="G14" s="23"/>
      <c r="H14" s="23"/>
    </row>
    <row r="15">
      <c r="A15" s="145" t="s">
        <v>614</v>
      </c>
      <c r="B15" s="66" t="s">
        <v>318</v>
      </c>
      <c r="C15" s="66" t="s">
        <v>319</v>
      </c>
      <c r="D15" s="66">
        <v>100.0</v>
      </c>
      <c r="E15" s="91">
        <v>0.2916666666666667</v>
      </c>
    </row>
    <row r="16">
      <c r="A16" s="145" t="s">
        <v>615</v>
      </c>
      <c r="B16" s="66" t="s">
        <v>231</v>
      </c>
      <c r="C16" s="66" t="s">
        <v>218</v>
      </c>
      <c r="D16" s="66">
        <v>87.0</v>
      </c>
      <c r="E16" s="91">
        <v>0.2916666666666667</v>
      </c>
      <c r="F16" s="23"/>
      <c r="G16" s="23"/>
      <c r="H16" s="23"/>
    </row>
    <row r="17">
      <c r="A17" s="145" t="s">
        <v>616</v>
      </c>
      <c r="B17" s="66" t="s">
        <v>54</v>
      </c>
      <c r="C17" s="66" t="s">
        <v>55</v>
      </c>
      <c r="D17" s="66" t="s">
        <v>25</v>
      </c>
      <c r="E17" s="91">
        <v>0.2916666666666667</v>
      </c>
      <c r="F17" s="23"/>
      <c r="G17" s="23"/>
      <c r="H17" s="23"/>
    </row>
    <row r="18">
      <c r="A18" s="145" t="s">
        <v>617</v>
      </c>
      <c r="B18" s="66" t="s">
        <v>61</v>
      </c>
      <c r="C18" s="66" t="s">
        <v>62</v>
      </c>
      <c r="D18" s="66">
        <v>33.0</v>
      </c>
      <c r="E18" s="91">
        <v>0.2916666666666667</v>
      </c>
      <c r="F18" s="23"/>
      <c r="G18" s="23"/>
      <c r="H18" s="23"/>
    </row>
    <row r="19">
      <c r="A19" s="145" t="s">
        <v>618</v>
      </c>
      <c r="B19" s="66" t="s">
        <v>61</v>
      </c>
      <c r="C19" s="66" t="s">
        <v>62</v>
      </c>
      <c r="D19" s="66" t="s">
        <v>25</v>
      </c>
      <c r="E19" s="91">
        <v>0.2916666666666667</v>
      </c>
      <c r="F19" s="23"/>
      <c r="G19" s="23"/>
      <c r="H19" s="23"/>
    </row>
    <row r="20">
      <c r="A20" s="145" t="s">
        <v>619</v>
      </c>
      <c r="B20" s="66" t="s">
        <v>118</v>
      </c>
      <c r="C20" s="66" t="s">
        <v>58</v>
      </c>
      <c r="D20" s="66">
        <v>28.0</v>
      </c>
      <c r="E20" s="91">
        <v>0.2916666666666667</v>
      </c>
      <c r="F20" s="23"/>
      <c r="G20" s="23"/>
      <c r="H20" s="23"/>
    </row>
    <row r="21">
      <c r="A21" s="145" t="s">
        <v>620</v>
      </c>
      <c r="B21" s="66" t="s">
        <v>51</v>
      </c>
      <c r="C21" s="66" t="s">
        <v>52</v>
      </c>
      <c r="D21" s="66">
        <v>34.0</v>
      </c>
      <c r="E21" s="91">
        <v>0.2916666666666667</v>
      </c>
      <c r="F21" s="23"/>
      <c r="G21" s="23"/>
      <c r="H21" s="23"/>
    </row>
    <row r="22">
      <c r="A22" s="145" t="s">
        <v>621</v>
      </c>
      <c r="B22" s="73" t="s">
        <v>48</v>
      </c>
      <c r="C22" s="73" t="s">
        <v>49</v>
      </c>
      <c r="D22" s="73" t="s">
        <v>25</v>
      </c>
      <c r="E22" s="91">
        <v>0.2916666666666667</v>
      </c>
      <c r="F22" s="23"/>
      <c r="G22" s="23"/>
      <c r="H22" s="23"/>
    </row>
    <row r="23">
      <c r="A23" s="145" t="s">
        <v>622</v>
      </c>
      <c r="B23" s="73" t="s">
        <v>121</v>
      </c>
      <c r="C23" s="73" t="s">
        <v>122</v>
      </c>
      <c r="D23" s="73">
        <v>18.0</v>
      </c>
      <c r="E23" s="91">
        <v>0.2916666666666667</v>
      </c>
      <c r="F23" s="23"/>
      <c r="G23" s="23"/>
      <c r="H23" s="23"/>
    </row>
    <row r="24">
      <c r="A24" s="145" t="s">
        <v>623</v>
      </c>
      <c r="B24" s="73" t="s">
        <v>71</v>
      </c>
      <c r="C24" s="73" t="s">
        <v>72</v>
      </c>
      <c r="D24" s="73">
        <v>36.0</v>
      </c>
      <c r="E24" s="67">
        <v>0.3125</v>
      </c>
      <c r="F24" s="23"/>
      <c r="G24" s="23"/>
      <c r="H24" s="23"/>
    </row>
    <row r="25">
      <c r="A25" s="145" t="s">
        <v>624</v>
      </c>
      <c r="B25" s="73" t="s">
        <v>75</v>
      </c>
      <c r="C25" s="73" t="s">
        <v>76</v>
      </c>
      <c r="D25" s="73" t="s">
        <v>25</v>
      </c>
      <c r="E25" s="67">
        <v>0.3125</v>
      </c>
      <c r="F25" s="23"/>
      <c r="G25" s="23"/>
      <c r="H25" s="23"/>
    </row>
    <row r="26">
      <c r="A26" s="145" t="s">
        <v>625</v>
      </c>
      <c r="B26" s="73" t="s">
        <v>124</v>
      </c>
      <c r="C26" s="73" t="s">
        <v>69</v>
      </c>
      <c r="D26" s="73">
        <v>37.0</v>
      </c>
      <c r="E26" s="67">
        <v>0.3125</v>
      </c>
      <c r="F26" s="23"/>
      <c r="G26" s="23"/>
      <c r="H26" s="23"/>
    </row>
    <row r="27">
      <c r="A27" s="145" t="s">
        <v>626</v>
      </c>
      <c r="B27" s="73" t="s">
        <v>399</v>
      </c>
      <c r="C27" s="73" t="s">
        <v>157</v>
      </c>
      <c r="D27" s="73">
        <v>32.0</v>
      </c>
      <c r="E27" s="67">
        <v>0.3125</v>
      </c>
      <c r="F27" s="23"/>
      <c r="G27" s="23"/>
      <c r="H27" s="23"/>
    </row>
    <row r="28">
      <c r="A28" s="145" t="s">
        <v>627</v>
      </c>
      <c r="B28" s="73" t="s">
        <v>486</v>
      </c>
      <c r="C28" s="73" t="s">
        <v>462</v>
      </c>
      <c r="D28" s="73" t="s">
        <v>25</v>
      </c>
      <c r="E28" s="67">
        <v>0.3125</v>
      </c>
      <c r="F28" s="23"/>
      <c r="G28" s="23"/>
      <c r="H28" s="23"/>
    </row>
    <row r="29">
      <c r="A29" s="145" t="s">
        <v>628</v>
      </c>
      <c r="B29" s="73" t="s">
        <v>78</v>
      </c>
      <c r="C29" s="73" t="s">
        <v>79</v>
      </c>
      <c r="D29" s="73">
        <v>18.0</v>
      </c>
      <c r="E29" s="67">
        <v>0.3125</v>
      </c>
      <c r="F29" s="23"/>
      <c r="G29" s="23"/>
      <c r="H29" s="23"/>
    </row>
    <row r="30">
      <c r="A30" s="145" t="s">
        <v>629</v>
      </c>
      <c r="B30" s="102" t="s">
        <v>81</v>
      </c>
      <c r="C30" s="102" t="s">
        <v>82</v>
      </c>
      <c r="D30" s="102">
        <v>34.0</v>
      </c>
      <c r="E30" s="67">
        <v>0.3125</v>
      </c>
      <c r="F30" s="23"/>
      <c r="G30" s="23"/>
      <c r="H30" s="23"/>
    </row>
    <row r="31">
      <c r="A31" s="145" t="s">
        <v>630</v>
      </c>
      <c r="B31" s="90" t="s">
        <v>326</v>
      </c>
      <c r="C31" s="90" t="s">
        <v>289</v>
      </c>
      <c r="D31" s="90" t="s">
        <v>25</v>
      </c>
      <c r="E31" s="67">
        <v>0.3125</v>
      </c>
      <c r="F31" s="23"/>
      <c r="G31" s="23"/>
      <c r="H31" s="23"/>
    </row>
    <row r="32">
      <c r="A32" s="145" t="s">
        <v>631</v>
      </c>
      <c r="B32" s="90" t="s">
        <v>65</v>
      </c>
      <c r="C32" s="90" t="s">
        <v>211</v>
      </c>
      <c r="D32" s="90">
        <v>15.0</v>
      </c>
      <c r="E32" s="74">
        <v>0.3333333333333333</v>
      </c>
      <c r="F32" s="23"/>
      <c r="G32" s="23"/>
      <c r="H32" s="23"/>
    </row>
    <row r="33">
      <c r="A33" s="145" t="s">
        <v>632</v>
      </c>
      <c r="B33" s="90" t="s">
        <v>633</v>
      </c>
      <c r="C33" s="90" t="s">
        <v>634</v>
      </c>
      <c r="D33" s="90">
        <v>43.0</v>
      </c>
      <c r="E33" s="74">
        <v>0.3333333333333333</v>
      </c>
      <c r="F33" s="23"/>
      <c r="G33" s="23"/>
      <c r="H33" s="23"/>
    </row>
    <row r="34">
      <c r="A34" s="145" t="s">
        <v>635</v>
      </c>
      <c r="B34" s="90" t="s">
        <v>251</v>
      </c>
      <c r="C34" s="90" t="s">
        <v>252</v>
      </c>
      <c r="D34" s="90">
        <v>12.0</v>
      </c>
      <c r="E34" s="74">
        <v>0.3333333333333333</v>
      </c>
      <c r="F34" s="23"/>
      <c r="G34" s="23"/>
      <c r="H34" s="23"/>
    </row>
    <row r="35">
      <c r="A35" s="102" t="s">
        <v>636</v>
      </c>
      <c r="B35" s="90" t="s">
        <v>245</v>
      </c>
      <c r="C35" s="90" t="s">
        <v>246</v>
      </c>
      <c r="D35" s="90">
        <v>5.0</v>
      </c>
      <c r="E35" s="74">
        <v>0.3333333333333333</v>
      </c>
      <c r="F35" s="23"/>
      <c r="G35" s="23"/>
      <c r="H35" s="23"/>
    </row>
    <row r="36">
      <c r="A36" s="151" t="s">
        <v>637</v>
      </c>
      <c r="B36" s="152" t="s">
        <v>37</v>
      </c>
      <c r="C36" s="152" t="s">
        <v>199</v>
      </c>
      <c r="D36" s="152">
        <v>88.0</v>
      </c>
      <c r="E36" s="153">
        <v>0.9583333333333334</v>
      </c>
      <c r="F36" s="23"/>
      <c r="G36" s="23"/>
      <c r="H36" s="23"/>
    </row>
    <row r="37">
      <c r="A37" s="151" t="s">
        <v>638</v>
      </c>
      <c r="B37" s="152" t="s">
        <v>604</v>
      </c>
      <c r="C37" s="152" t="s">
        <v>224</v>
      </c>
      <c r="D37" s="152">
        <v>17.0</v>
      </c>
      <c r="E37" s="153">
        <v>0.9583333333333334</v>
      </c>
      <c r="F37" s="23"/>
      <c r="G37" s="23"/>
      <c r="H37" s="23"/>
    </row>
    <row r="38">
      <c r="A38" s="151" t="s">
        <v>639</v>
      </c>
      <c r="B38" s="151" t="s">
        <v>604</v>
      </c>
      <c r="C38" s="151" t="s">
        <v>224</v>
      </c>
      <c r="D38" s="151">
        <v>98.0</v>
      </c>
      <c r="E38" s="153">
        <v>0.9583333333333334</v>
      </c>
    </row>
    <row r="39">
      <c r="A39" s="151" t="s">
        <v>640</v>
      </c>
      <c r="B39" s="151" t="s">
        <v>84</v>
      </c>
      <c r="C39" s="151" t="s">
        <v>193</v>
      </c>
      <c r="D39" s="151">
        <v>110.0</v>
      </c>
      <c r="E39" s="153">
        <v>0.0</v>
      </c>
      <c r="F39" s="23"/>
      <c r="G39" s="23"/>
      <c r="H39" s="23"/>
    </row>
    <row r="40">
      <c r="A40" s="109"/>
      <c r="B40" s="115"/>
      <c r="C40" s="115"/>
      <c r="D40" s="115"/>
      <c r="E40" s="111"/>
    </row>
    <row r="41">
      <c r="A41" s="109"/>
      <c r="B41" s="115"/>
      <c r="C41" s="115"/>
      <c r="D41" s="115"/>
      <c r="E41" s="111"/>
    </row>
    <row r="42">
      <c r="A42" s="113"/>
      <c r="B42" s="115"/>
      <c r="C42" s="115"/>
      <c r="D42" s="115"/>
      <c r="E42" s="111"/>
    </row>
    <row r="43">
      <c r="A43" s="117"/>
      <c r="B43" s="115"/>
      <c r="C43" s="115"/>
      <c r="D43" s="115"/>
      <c r="E43" s="111"/>
    </row>
    <row r="44">
      <c r="A44" s="114"/>
      <c r="B44" s="115"/>
      <c r="C44" s="115"/>
      <c r="D44" s="115"/>
      <c r="E44" s="111"/>
    </row>
    <row r="45">
      <c r="A45" s="109"/>
      <c r="B45" s="115"/>
      <c r="C45" s="115"/>
      <c r="D45" s="110"/>
      <c r="E45" s="111"/>
    </row>
    <row r="46">
      <c r="A46" s="109"/>
      <c r="B46" s="115"/>
      <c r="C46" s="115"/>
      <c r="D46" s="110"/>
      <c r="E46" s="111"/>
    </row>
    <row r="47">
      <c r="A47" s="109"/>
      <c r="B47" s="115"/>
      <c r="C47" s="115"/>
      <c r="D47" s="110"/>
      <c r="E47" s="111"/>
    </row>
    <row r="48">
      <c r="A48" s="109"/>
      <c r="B48" s="115"/>
      <c r="C48" s="115"/>
      <c r="D48" s="110"/>
      <c r="E48" s="111"/>
    </row>
    <row r="49">
      <c r="A49" s="109"/>
      <c r="B49" s="115"/>
      <c r="C49" s="115"/>
      <c r="D49" s="110"/>
      <c r="E49" s="111"/>
    </row>
    <row r="50">
      <c r="A50" s="109"/>
      <c r="B50" s="115"/>
      <c r="C50" s="115"/>
      <c r="D50" s="110"/>
      <c r="E50" s="111"/>
    </row>
    <row r="51">
      <c r="A51" s="114"/>
      <c r="B51" s="115"/>
      <c r="C51" s="115"/>
      <c r="D51" s="115"/>
      <c r="E51" s="116"/>
    </row>
    <row r="52">
      <c r="A52" s="109"/>
      <c r="B52" s="115"/>
      <c r="C52" s="115"/>
      <c r="D52" s="115"/>
      <c r="E52" s="116"/>
    </row>
    <row r="53">
      <c r="A53" s="109"/>
      <c r="B53" s="115"/>
      <c r="C53" s="115"/>
      <c r="D53" s="115"/>
      <c r="E53" s="116"/>
    </row>
  </sheetData>
  <mergeCells count="1">
    <mergeCell ref="G8:H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40.63"/>
    <col customWidth="1" min="3" max="3" width="12.0"/>
    <col customWidth="1" min="4" max="4" width="36.0"/>
    <col customWidth="1" min="5" max="5" width="10.38"/>
    <col customWidth="1" min="7" max="7" width="76.8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23"/>
      <c r="G1" s="80" t="s">
        <v>5</v>
      </c>
      <c r="H1" s="81">
        <f>SUM(H2,H3)</f>
        <v>24</v>
      </c>
    </row>
    <row r="2">
      <c r="A2" s="154" t="s">
        <v>641</v>
      </c>
      <c r="B2" s="152" t="s">
        <v>385</v>
      </c>
      <c r="C2" s="152" t="s">
        <v>207</v>
      </c>
      <c r="D2" s="152">
        <v>94.0</v>
      </c>
      <c r="E2" s="155">
        <v>0.16666666666666666</v>
      </c>
      <c r="G2" s="82" t="s">
        <v>9</v>
      </c>
      <c r="H2" s="82">
        <v>9.0</v>
      </c>
    </row>
    <row r="3">
      <c r="A3" s="154" t="s">
        <v>642</v>
      </c>
      <c r="B3" s="156" t="s">
        <v>264</v>
      </c>
      <c r="C3" s="156" t="s">
        <v>224</v>
      </c>
      <c r="D3" s="156">
        <v>21.0</v>
      </c>
      <c r="E3" s="155">
        <v>0.20833333333333334</v>
      </c>
      <c r="G3" s="82" t="s">
        <v>13</v>
      </c>
      <c r="H3" s="82">
        <v>15.0</v>
      </c>
    </row>
    <row r="4">
      <c r="A4" s="157" t="s">
        <v>643</v>
      </c>
      <c r="B4" s="152" t="s">
        <v>465</v>
      </c>
      <c r="C4" s="152" t="s">
        <v>466</v>
      </c>
      <c r="D4" s="156">
        <v>4.0</v>
      </c>
      <c r="E4" s="155">
        <v>0.22916666666666666</v>
      </c>
      <c r="F4" s="23"/>
      <c r="G4" s="93"/>
      <c r="H4" s="93"/>
    </row>
    <row r="5">
      <c r="A5" s="158" t="s">
        <v>644</v>
      </c>
      <c r="B5" s="90" t="s">
        <v>326</v>
      </c>
      <c r="C5" s="90" t="s">
        <v>289</v>
      </c>
      <c r="D5" s="73">
        <v>114.0</v>
      </c>
      <c r="E5" s="91">
        <v>0.25</v>
      </c>
      <c r="F5" s="23"/>
      <c r="G5" s="93"/>
      <c r="H5" s="93"/>
    </row>
    <row r="6">
      <c r="A6" s="158" t="s">
        <v>645</v>
      </c>
      <c r="B6" s="73" t="s">
        <v>22</v>
      </c>
      <c r="C6" s="73" t="s">
        <v>23</v>
      </c>
      <c r="D6" s="90">
        <v>7.0</v>
      </c>
      <c r="E6" s="91">
        <v>0.25</v>
      </c>
      <c r="F6" s="23"/>
      <c r="G6" s="93"/>
      <c r="H6" s="93"/>
    </row>
    <row r="7">
      <c r="A7" s="158" t="s">
        <v>646</v>
      </c>
      <c r="B7" s="73" t="s">
        <v>7</v>
      </c>
      <c r="C7" s="73" t="s">
        <v>8</v>
      </c>
      <c r="D7" s="73">
        <v>20.0</v>
      </c>
      <c r="E7" s="91">
        <v>0.25</v>
      </c>
      <c r="F7" s="23"/>
      <c r="G7" s="23"/>
      <c r="H7" s="23"/>
    </row>
    <row r="8">
      <c r="A8" s="158" t="s">
        <v>647</v>
      </c>
      <c r="B8" s="73" t="s">
        <v>31</v>
      </c>
      <c r="C8" s="73" t="s">
        <v>32</v>
      </c>
      <c r="D8" s="73">
        <v>14.0</v>
      </c>
      <c r="E8" s="91">
        <v>0.2708333333333333</v>
      </c>
      <c r="F8" s="23"/>
      <c r="G8" s="23"/>
      <c r="H8" s="23"/>
    </row>
    <row r="9">
      <c r="A9" s="158" t="s">
        <v>648</v>
      </c>
      <c r="B9" s="73" t="s">
        <v>34</v>
      </c>
      <c r="C9" s="73" t="s">
        <v>35</v>
      </c>
      <c r="D9" s="73">
        <v>15.0</v>
      </c>
      <c r="E9" s="91">
        <v>0.2708333333333333</v>
      </c>
      <c r="F9" s="23"/>
      <c r="G9" s="83"/>
    </row>
    <row r="10">
      <c r="A10" s="158" t="s">
        <v>649</v>
      </c>
      <c r="B10" s="66" t="s">
        <v>498</v>
      </c>
      <c r="C10" s="66" t="s">
        <v>211</v>
      </c>
      <c r="D10" s="73">
        <v>8.0</v>
      </c>
      <c r="E10" s="91">
        <v>0.2916666666666667</v>
      </c>
      <c r="F10" s="23"/>
      <c r="G10" s="84" t="s">
        <v>20</v>
      </c>
      <c r="H10" s="82">
        <v>4.0</v>
      </c>
    </row>
    <row r="11">
      <c r="A11" s="158" t="s">
        <v>650</v>
      </c>
      <c r="B11" s="66" t="s">
        <v>121</v>
      </c>
      <c r="C11" s="66" t="s">
        <v>122</v>
      </c>
      <c r="D11" s="73">
        <v>18.0</v>
      </c>
      <c r="E11" s="91">
        <v>0.2916666666666667</v>
      </c>
      <c r="F11" s="23"/>
      <c r="G11" s="75" t="s">
        <v>651</v>
      </c>
      <c r="H11" s="8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158" t="s">
        <v>652</v>
      </c>
      <c r="B12" s="73" t="s">
        <v>51</v>
      </c>
      <c r="C12" s="73" t="s">
        <v>52</v>
      </c>
      <c r="D12" s="73">
        <v>35.0</v>
      </c>
      <c r="E12" s="91">
        <v>0.2916666666666667</v>
      </c>
      <c r="F12" s="23"/>
      <c r="G12" s="140" t="s">
        <v>653</v>
      </c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158" t="s">
        <v>654</v>
      </c>
      <c r="B13" s="66" t="s">
        <v>318</v>
      </c>
      <c r="C13" s="66" t="s">
        <v>319</v>
      </c>
      <c r="D13" s="66">
        <v>100.0</v>
      </c>
      <c r="E13" s="91">
        <v>0.2916666666666667</v>
      </c>
    </row>
    <row r="14">
      <c r="A14" s="158" t="s">
        <v>655</v>
      </c>
      <c r="B14" s="66" t="s">
        <v>656</v>
      </c>
      <c r="C14" s="66" t="s">
        <v>199</v>
      </c>
      <c r="D14" s="66">
        <v>88.0</v>
      </c>
      <c r="E14" s="91">
        <v>0.2916666666666667</v>
      </c>
    </row>
    <row r="15">
      <c r="A15" s="158" t="s">
        <v>657</v>
      </c>
      <c r="B15" s="66" t="s">
        <v>84</v>
      </c>
      <c r="C15" s="66" t="s">
        <v>193</v>
      </c>
      <c r="D15" s="66">
        <v>98.0</v>
      </c>
      <c r="E15" s="91">
        <v>0.2916666666666667</v>
      </c>
      <c r="F15" s="23"/>
      <c r="G15" s="23"/>
      <c r="H15" s="23"/>
    </row>
    <row r="16">
      <c r="A16" s="158" t="s">
        <v>658</v>
      </c>
      <c r="B16" s="66" t="s">
        <v>264</v>
      </c>
      <c r="C16" s="66" t="s">
        <v>224</v>
      </c>
      <c r="D16" s="66">
        <v>99.0</v>
      </c>
      <c r="E16" s="91">
        <v>0.2916666666666667</v>
      </c>
    </row>
    <row r="17">
      <c r="A17" s="158" t="s">
        <v>659</v>
      </c>
      <c r="B17" s="66" t="s">
        <v>563</v>
      </c>
      <c r="C17" s="66" t="s">
        <v>292</v>
      </c>
      <c r="D17" s="66">
        <v>102.0</v>
      </c>
      <c r="E17" s="91">
        <v>0.2916666666666667</v>
      </c>
      <c r="F17" s="23"/>
      <c r="G17" s="23"/>
      <c r="H17" s="23"/>
    </row>
    <row r="18">
      <c r="A18" s="158" t="s">
        <v>660</v>
      </c>
      <c r="B18" s="66" t="s">
        <v>156</v>
      </c>
      <c r="C18" s="66" t="s">
        <v>157</v>
      </c>
      <c r="D18" s="66">
        <v>9.0</v>
      </c>
      <c r="E18" s="91">
        <v>0.2916666666666667</v>
      </c>
      <c r="F18" s="23"/>
      <c r="G18" s="23"/>
      <c r="H18" s="23"/>
    </row>
    <row r="19">
      <c r="A19" s="158" t="s">
        <v>661</v>
      </c>
      <c r="B19" s="66" t="s">
        <v>662</v>
      </c>
      <c r="C19" s="66" t="s">
        <v>663</v>
      </c>
      <c r="D19" s="66">
        <v>19.0</v>
      </c>
      <c r="E19" s="91">
        <v>0.375</v>
      </c>
      <c r="F19" s="23"/>
      <c r="G19" s="23"/>
      <c r="H19" s="23"/>
    </row>
    <row r="20">
      <c r="A20" s="158" t="s">
        <v>664</v>
      </c>
      <c r="B20" s="73" t="s">
        <v>563</v>
      </c>
      <c r="C20" s="73" t="s">
        <v>292</v>
      </c>
      <c r="D20" s="73">
        <v>112.0</v>
      </c>
      <c r="E20" s="91">
        <v>0.375</v>
      </c>
      <c r="F20" s="23"/>
      <c r="G20" s="23"/>
      <c r="H20" s="23"/>
    </row>
    <row r="21">
      <c r="A21" s="158" t="s">
        <v>665</v>
      </c>
      <c r="B21" s="73" t="s">
        <v>248</v>
      </c>
      <c r="C21" s="73" t="s">
        <v>261</v>
      </c>
      <c r="D21" s="73">
        <v>17.0</v>
      </c>
      <c r="E21" s="91">
        <v>0.375</v>
      </c>
      <c r="F21" s="23"/>
      <c r="G21" s="23"/>
      <c r="H21" s="23"/>
    </row>
    <row r="22">
      <c r="A22" s="158" t="s">
        <v>666</v>
      </c>
      <c r="B22" s="73" t="s">
        <v>44</v>
      </c>
      <c r="C22" s="73" t="s">
        <v>203</v>
      </c>
      <c r="D22" s="73">
        <v>91.0</v>
      </c>
      <c r="E22" s="67">
        <v>0.375</v>
      </c>
      <c r="F22" s="23"/>
      <c r="G22" s="23"/>
      <c r="H22" s="23"/>
    </row>
    <row r="23">
      <c r="A23" s="158" t="s">
        <v>667</v>
      </c>
      <c r="B23" s="73" t="s">
        <v>385</v>
      </c>
      <c r="C23" s="73" t="s">
        <v>207</v>
      </c>
      <c r="D23" s="73">
        <v>94.0</v>
      </c>
      <c r="E23" s="67">
        <v>0.5</v>
      </c>
      <c r="F23" s="23"/>
      <c r="G23" s="23"/>
      <c r="H23" s="23"/>
    </row>
    <row r="24">
      <c r="A24" s="106" t="s">
        <v>668</v>
      </c>
      <c r="B24" s="73" t="s">
        <v>318</v>
      </c>
      <c r="C24" s="73" t="s">
        <v>319</v>
      </c>
      <c r="D24" s="73" t="s">
        <v>167</v>
      </c>
      <c r="E24" s="67">
        <v>0.6666666666666666</v>
      </c>
      <c r="F24" s="23"/>
      <c r="G24" s="23"/>
      <c r="H24" s="23"/>
    </row>
    <row r="25">
      <c r="A25" s="106" t="s">
        <v>669</v>
      </c>
      <c r="B25" s="73" t="s">
        <v>656</v>
      </c>
      <c r="C25" s="73" t="s">
        <v>199</v>
      </c>
      <c r="D25" s="73" t="s">
        <v>167</v>
      </c>
      <c r="E25" s="67">
        <v>0.6666666666666666</v>
      </c>
      <c r="F25" s="23"/>
      <c r="G25" s="23"/>
      <c r="H25" s="23"/>
    </row>
    <row r="26">
      <c r="A26" s="159" t="s">
        <v>670</v>
      </c>
      <c r="B26" s="73" t="s">
        <v>84</v>
      </c>
      <c r="C26" s="73" t="s">
        <v>193</v>
      </c>
      <c r="D26" s="73">
        <v>113.0</v>
      </c>
      <c r="E26" s="67">
        <v>0.6666666666666666</v>
      </c>
      <c r="F26" s="23"/>
      <c r="G26" s="23"/>
      <c r="H26" s="23"/>
    </row>
    <row r="27">
      <c r="A27" s="160" t="s">
        <v>671</v>
      </c>
      <c r="B27" s="102" t="s">
        <v>672</v>
      </c>
      <c r="C27" s="102" t="s">
        <v>218</v>
      </c>
      <c r="D27" s="102">
        <v>87.0</v>
      </c>
      <c r="E27" s="67">
        <v>0.6666666666666666</v>
      </c>
      <c r="F27" s="23"/>
      <c r="G27" s="23"/>
      <c r="H27" s="23"/>
    </row>
    <row r="28">
      <c r="A28" s="160" t="s">
        <v>673</v>
      </c>
      <c r="B28" s="73" t="s">
        <v>54</v>
      </c>
      <c r="C28" s="73" t="s">
        <v>55</v>
      </c>
      <c r="D28" s="73" t="s">
        <v>674</v>
      </c>
      <c r="E28" s="67">
        <v>0.2916666666666667</v>
      </c>
      <c r="F28" s="23"/>
      <c r="G28" s="23"/>
      <c r="H28" s="23"/>
    </row>
    <row r="29">
      <c r="A29" s="161" t="s">
        <v>675</v>
      </c>
      <c r="B29" s="73" t="s">
        <v>75</v>
      </c>
      <c r="C29" s="73" t="s">
        <v>76</v>
      </c>
      <c r="D29" s="73" t="s">
        <v>674</v>
      </c>
      <c r="E29" s="67">
        <v>0.2916666666666667</v>
      </c>
      <c r="F29" s="23"/>
      <c r="G29" s="23"/>
      <c r="H29" s="23"/>
    </row>
    <row r="30">
      <c r="A30" s="162"/>
      <c r="B30" s="135"/>
      <c r="C30" s="135"/>
      <c r="D30" s="135"/>
      <c r="E30" s="132"/>
      <c r="F30" s="23"/>
      <c r="G30" s="23"/>
      <c r="H30" s="23"/>
    </row>
    <row r="31">
      <c r="A31" s="162"/>
      <c r="B31" s="135"/>
      <c r="C31" s="135"/>
      <c r="D31" s="135"/>
      <c r="E31" s="136"/>
      <c r="F31" s="23"/>
      <c r="G31" s="23"/>
      <c r="H31" s="23"/>
    </row>
    <row r="32">
      <c r="A32" s="162"/>
      <c r="B32" s="135"/>
      <c r="C32" s="135"/>
      <c r="D32" s="135"/>
      <c r="E32" s="136"/>
      <c r="F32" s="23"/>
      <c r="G32" s="23"/>
      <c r="H32" s="23"/>
    </row>
    <row r="33">
      <c r="A33" s="162"/>
      <c r="B33" s="135"/>
      <c r="C33" s="135"/>
      <c r="D33" s="135"/>
      <c r="E33" s="136"/>
      <c r="F33" s="23"/>
      <c r="G33" s="23"/>
      <c r="H33" s="23"/>
    </row>
    <row r="34">
      <c r="A34" s="163"/>
      <c r="B34" s="135"/>
      <c r="C34" s="135"/>
      <c r="D34" s="135"/>
      <c r="E34" s="136"/>
      <c r="F34" s="23"/>
      <c r="G34" s="23"/>
      <c r="H34" s="23"/>
    </row>
    <row r="35">
      <c r="A35" s="164"/>
      <c r="B35" s="165"/>
      <c r="C35" s="165"/>
      <c r="D35" s="165"/>
      <c r="E35" s="166"/>
      <c r="F35" s="23"/>
      <c r="G35" s="23"/>
      <c r="H35" s="23"/>
    </row>
    <row r="36">
      <c r="A36" s="164"/>
      <c r="B36" s="165"/>
      <c r="C36" s="165"/>
      <c r="D36" s="165"/>
      <c r="E36" s="166"/>
      <c r="F36" s="23"/>
      <c r="G36" s="23"/>
      <c r="H36" s="23"/>
    </row>
    <row r="37">
      <c r="A37" s="164"/>
      <c r="B37" s="164"/>
      <c r="C37" s="164"/>
      <c r="D37" s="164"/>
      <c r="E37" s="166"/>
    </row>
    <row r="38">
      <c r="A38" s="164"/>
      <c r="B38" s="164"/>
      <c r="C38" s="164"/>
      <c r="D38" s="164"/>
      <c r="E38" s="166"/>
      <c r="F38" s="23"/>
      <c r="G38" s="23"/>
      <c r="H38" s="23"/>
    </row>
    <row r="39">
      <c r="A39" s="109"/>
      <c r="B39" s="115"/>
      <c r="C39" s="115"/>
      <c r="D39" s="115"/>
      <c r="E39" s="111"/>
    </row>
    <row r="40">
      <c r="A40" s="109"/>
      <c r="B40" s="115"/>
      <c r="C40" s="115"/>
      <c r="D40" s="115"/>
      <c r="E40" s="111"/>
    </row>
    <row r="41">
      <c r="A41" s="113"/>
      <c r="B41" s="115"/>
      <c r="C41" s="115"/>
      <c r="D41" s="115"/>
      <c r="E41" s="111"/>
    </row>
    <row r="42">
      <c r="A42" s="117"/>
      <c r="B42" s="115"/>
      <c r="C42" s="115"/>
      <c r="D42" s="115"/>
      <c r="E42" s="111"/>
    </row>
    <row r="43">
      <c r="A43" s="114"/>
      <c r="B43" s="115"/>
      <c r="C43" s="115"/>
      <c r="D43" s="115"/>
      <c r="E43" s="111"/>
    </row>
    <row r="44">
      <c r="A44" s="109"/>
      <c r="B44" s="115"/>
      <c r="C44" s="115"/>
      <c r="D44" s="110"/>
      <c r="E44" s="111"/>
    </row>
    <row r="45">
      <c r="A45" s="109"/>
      <c r="B45" s="115"/>
      <c r="C45" s="115"/>
      <c r="D45" s="110"/>
      <c r="E45" s="111"/>
    </row>
    <row r="46">
      <c r="A46" s="109"/>
      <c r="B46" s="115"/>
      <c r="C46" s="115"/>
      <c r="D46" s="110"/>
      <c r="E46" s="111"/>
    </row>
    <row r="47">
      <c r="A47" s="109"/>
      <c r="B47" s="115"/>
      <c r="C47" s="115"/>
      <c r="D47" s="110"/>
      <c r="E47" s="111"/>
    </row>
    <row r="48">
      <c r="A48" s="109"/>
      <c r="B48" s="115"/>
      <c r="C48" s="115"/>
      <c r="D48" s="110"/>
      <c r="E48" s="111"/>
    </row>
    <row r="49">
      <c r="A49" s="109"/>
      <c r="B49" s="115"/>
      <c r="C49" s="115"/>
      <c r="D49" s="110"/>
      <c r="E49" s="111"/>
    </row>
    <row r="50">
      <c r="A50" s="114"/>
      <c r="B50" s="115"/>
      <c r="C50" s="115"/>
      <c r="D50" s="115"/>
      <c r="E50" s="116"/>
    </row>
    <row r="51">
      <c r="A51" s="109"/>
      <c r="B51" s="115"/>
      <c r="C51" s="115"/>
      <c r="D51" s="115"/>
      <c r="E51" s="116"/>
    </row>
    <row r="52">
      <c r="A52" s="109"/>
      <c r="B52" s="115"/>
      <c r="C52" s="115"/>
      <c r="D52" s="115"/>
      <c r="E52" s="116"/>
    </row>
  </sheetData>
  <mergeCells count="1">
    <mergeCell ref="G9:H9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40.63"/>
    <col customWidth="1" min="3" max="3" width="12.0"/>
    <col customWidth="1" min="4" max="4" width="36.0"/>
    <col customWidth="1" min="5" max="5" width="10.38"/>
    <col customWidth="1" min="7" max="7" width="76.8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23"/>
      <c r="G1" s="80" t="s">
        <v>5</v>
      </c>
      <c r="H1" s="81">
        <f>SUM(H2,H3)</f>
        <v>22</v>
      </c>
    </row>
    <row r="2">
      <c r="A2" s="149" t="s">
        <v>676</v>
      </c>
      <c r="B2" s="167" t="s">
        <v>84</v>
      </c>
      <c r="C2" s="167" t="s">
        <v>193</v>
      </c>
      <c r="D2" s="167">
        <v>97.0</v>
      </c>
      <c r="E2" s="168">
        <v>0.25</v>
      </c>
      <c r="G2" s="82" t="s">
        <v>9</v>
      </c>
      <c r="H2" s="82">
        <v>12.0</v>
      </c>
    </row>
    <row r="3">
      <c r="A3" s="169" t="s">
        <v>677</v>
      </c>
      <c r="B3" s="167" t="s">
        <v>97</v>
      </c>
      <c r="C3" s="167" t="s">
        <v>12</v>
      </c>
      <c r="D3" s="170">
        <v>9.0</v>
      </c>
      <c r="E3" s="168">
        <v>0.25</v>
      </c>
      <c r="G3" s="82" t="s">
        <v>13</v>
      </c>
      <c r="H3" s="82">
        <v>10.0</v>
      </c>
    </row>
    <row r="4">
      <c r="A4" s="149" t="s">
        <v>678</v>
      </c>
      <c r="B4" s="146" t="s">
        <v>15</v>
      </c>
      <c r="C4" s="146" t="s">
        <v>16</v>
      </c>
      <c r="D4" s="73">
        <v>7.0</v>
      </c>
      <c r="E4" s="168">
        <v>0.25</v>
      </c>
      <c r="F4" s="23"/>
      <c r="G4" s="93"/>
      <c r="H4" s="93"/>
    </row>
    <row r="5">
      <c r="A5" s="149" t="s">
        <v>679</v>
      </c>
      <c r="B5" s="73" t="s">
        <v>22</v>
      </c>
      <c r="C5" s="73" t="s">
        <v>23</v>
      </c>
      <c r="D5" s="73">
        <v>21.0</v>
      </c>
      <c r="E5" s="168">
        <v>0.25</v>
      </c>
      <c r="F5" s="23"/>
      <c r="G5" s="93"/>
      <c r="H5" s="93"/>
    </row>
    <row r="6">
      <c r="A6" s="149" t="s">
        <v>680</v>
      </c>
      <c r="B6" s="73" t="s">
        <v>326</v>
      </c>
      <c r="C6" s="73" t="s">
        <v>289</v>
      </c>
      <c r="D6" s="73">
        <v>8.0</v>
      </c>
      <c r="E6" s="168">
        <v>0.25</v>
      </c>
      <c r="F6" s="23"/>
      <c r="G6" s="23"/>
      <c r="H6" s="23"/>
    </row>
    <row r="7">
      <c r="A7" s="149" t="s">
        <v>681</v>
      </c>
      <c r="B7" s="73" t="s">
        <v>27</v>
      </c>
      <c r="C7" s="73" t="s">
        <v>28</v>
      </c>
      <c r="D7" s="73">
        <v>14.0</v>
      </c>
      <c r="E7" s="150">
        <v>0.2708333333333333</v>
      </c>
      <c r="F7" s="23"/>
      <c r="G7" s="23"/>
      <c r="H7" s="23"/>
    </row>
    <row r="8">
      <c r="A8" s="149" t="s">
        <v>682</v>
      </c>
      <c r="B8" s="73" t="s">
        <v>31</v>
      </c>
      <c r="C8" s="73" t="s">
        <v>32</v>
      </c>
      <c r="D8" s="73">
        <v>34.0</v>
      </c>
      <c r="E8" s="150">
        <v>0.2708333333333333</v>
      </c>
      <c r="F8" s="23"/>
      <c r="G8" s="83"/>
    </row>
    <row r="9">
      <c r="A9" s="149" t="s">
        <v>683</v>
      </c>
      <c r="B9" s="73" t="s">
        <v>34</v>
      </c>
      <c r="C9" s="73" t="s">
        <v>35</v>
      </c>
      <c r="D9" s="73">
        <v>20.0</v>
      </c>
      <c r="E9" s="150">
        <v>0.2708333333333333</v>
      </c>
      <c r="F9" s="23"/>
      <c r="G9" s="84" t="s">
        <v>20</v>
      </c>
      <c r="H9" s="82">
        <v>9.0</v>
      </c>
    </row>
    <row r="10">
      <c r="A10" s="171" t="s">
        <v>684</v>
      </c>
      <c r="B10" s="73" t="s">
        <v>37</v>
      </c>
      <c r="C10" s="73" t="s">
        <v>199</v>
      </c>
      <c r="D10" s="73">
        <v>89.0</v>
      </c>
      <c r="E10" s="150">
        <v>0.2916666666666667</v>
      </c>
      <c r="F10" s="23"/>
      <c r="G10" s="75" t="s">
        <v>685</v>
      </c>
      <c r="H10" s="84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149" t="s">
        <v>686</v>
      </c>
      <c r="B11" s="73" t="s">
        <v>44</v>
      </c>
      <c r="C11" s="73" t="s">
        <v>203</v>
      </c>
      <c r="D11" s="73">
        <v>91.0</v>
      </c>
      <c r="E11" s="150">
        <v>0.2916666666666667</v>
      </c>
      <c r="F11" s="23"/>
      <c r="G11" s="140" t="s">
        <v>653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149" t="s">
        <v>687</v>
      </c>
      <c r="B12" s="73" t="s">
        <v>44</v>
      </c>
      <c r="C12" s="73" t="s">
        <v>203</v>
      </c>
      <c r="D12" s="73" t="s">
        <v>167</v>
      </c>
      <c r="E12" s="150">
        <v>0.2916666666666667</v>
      </c>
    </row>
    <row r="13">
      <c r="A13" s="149" t="s">
        <v>688</v>
      </c>
      <c r="B13" s="73" t="s">
        <v>84</v>
      </c>
      <c r="C13" s="73" t="s">
        <v>193</v>
      </c>
      <c r="D13" s="73">
        <v>96.0</v>
      </c>
      <c r="E13" s="150">
        <v>0.2916666666666667</v>
      </c>
    </row>
    <row r="14">
      <c r="A14" s="149" t="s">
        <v>689</v>
      </c>
      <c r="B14" s="73" t="s">
        <v>318</v>
      </c>
      <c r="C14" s="73" t="s">
        <v>319</v>
      </c>
      <c r="D14" s="73">
        <v>100.0</v>
      </c>
      <c r="E14" s="150">
        <v>0.2916666666666667</v>
      </c>
      <c r="F14" s="23"/>
      <c r="G14" s="23"/>
      <c r="H14" s="23"/>
    </row>
    <row r="15">
      <c r="A15" s="149" t="s">
        <v>690</v>
      </c>
      <c r="B15" s="73" t="s">
        <v>37</v>
      </c>
      <c r="C15" s="73" t="s">
        <v>199</v>
      </c>
      <c r="D15" s="73">
        <v>88.0</v>
      </c>
      <c r="E15" s="150">
        <v>0.2916666666666667</v>
      </c>
    </row>
    <row r="16">
      <c r="A16" s="171" t="s">
        <v>691</v>
      </c>
      <c r="B16" s="73" t="s">
        <v>672</v>
      </c>
      <c r="C16" s="73" t="s">
        <v>218</v>
      </c>
      <c r="D16" s="73">
        <v>87.0</v>
      </c>
      <c r="E16" s="150">
        <v>0.2916666666666667</v>
      </c>
      <c r="F16" s="23"/>
      <c r="G16" s="23"/>
      <c r="H16" s="23"/>
    </row>
    <row r="17">
      <c r="A17" s="149" t="s">
        <v>692</v>
      </c>
      <c r="B17" s="73" t="s">
        <v>264</v>
      </c>
      <c r="C17" s="73" t="s">
        <v>224</v>
      </c>
      <c r="D17" s="73" t="s">
        <v>167</v>
      </c>
      <c r="E17" s="150">
        <v>0.2916666666666667</v>
      </c>
      <c r="F17" s="23"/>
      <c r="G17" s="23"/>
      <c r="H17" s="23"/>
    </row>
    <row r="18">
      <c r="A18" s="149" t="s">
        <v>693</v>
      </c>
      <c r="B18" s="73" t="s">
        <v>385</v>
      </c>
      <c r="C18" s="73" t="s">
        <v>207</v>
      </c>
      <c r="D18" s="73">
        <v>95.0</v>
      </c>
      <c r="E18" s="150">
        <v>0.2916666666666667</v>
      </c>
      <c r="F18" s="23"/>
      <c r="G18" s="23"/>
      <c r="H18" s="23"/>
    </row>
    <row r="19">
      <c r="A19" s="149" t="s">
        <v>694</v>
      </c>
      <c r="B19" s="73" t="s">
        <v>48</v>
      </c>
      <c r="C19" s="73" t="s">
        <v>49</v>
      </c>
      <c r="D19" s="73" t="s">
        <v>25</v>
      </c>
      <c r="E19" s="150">
        <v>0.2916666666666667</v>
      </c>
      <c r="F19" s="23"/>
      <c r="G19" s="23"/>
      <c r="H19" s="23"/>
    </row>
    <row r="20">
      <c r="A20" s="149" t="s">
        <v>695</v>
      </c>
      <c r="B20" s="73" t="s">
        <v>51</v>
      </c>
      <c r="C20" s="73" t="s">
        <v>52</v>
      </c>
      <c r="D20" s="73">
        <v>37.0</v>
      </c>
      <c r="E20" s="150">
        <v>0.2916666666666667</v>
      </c>
      <c r="F20" s="23"/>
      <c r="G20" s="23"/>
      <c r="H20" s="23"/>
    </row>
    <row r="21">
      <c r="A21" s="149" t="s">
        <v>696</v>
      </c>
      <c r="B21" s="73" t="s">
        <v>54</v>
      </c>
      <c r="C21" s="73" t="s">
        <v>55</v>
      </c>
      <c r="D21" s="73" t="s">
        <v>697</v>
      </c>
      <c r="E21" s="150">
        <v>0.2916666666666667</v>
      </c>
      <c r="F21" s="23"/>
      <c r="G21" s="23"/>
      <c r="H21" s="23"/>
    </row>
    <row r="22">
      <c r="A22" s="169" t="s">
        <v>698</v>
      </c>
      <c r="B22" s="73" t="s">
        <v>61</v>
      </c>
      <c r="C22" s="73" t="s">
        <v>62</v>
      </c>
      <c r="D22" s="73" t="s">
        <v>25</v>
      </c>
      <c r="E22" s="150">
        <v>0.2916666666666667</v>
      </c>
      <c r="F22" s="23"/>
      <c r="G22" s="23"/>
      <c r="H22" s="23"/>
    </row>
    <row r="23">
      <c r="A23" s="169" t="s">
        <v>699</v>
      </c>
      <c r="B23" s="73" t="s">
        <v>118</v>
      </c>
      <c r="C23" s="73" t="s">
        <v>58</v>
      </c>
      <c r="D23" s="73">
        <v>17.0</v>
      </c>
      <c r="E23" s="150">
        <v>0.2916666666666667</v>
      </c>
      <c r="F23" s="23"/>
      <c r="G23" s="23"/>
      <c r="H23" s="23"/>
    </row>
    <row r="24">
      <c r="A24" s="169" t="s">
        <v>700</v>
      </c>
      <c r="B24" s="73" t="s">
        <v>61</v>
      </c>
      <c r="C24" s="73" t="s">
        <v>62</v>
      </c>
      <c r="D24" s="73">
        <v>32.0</v>
      </c>
      <c r="E24" s="150">
        <v>0.2916666666666667</v>
      </c>
      <c r="F24" s="23"/>
      <c r="G24" s="23"/>
      <c r="H24" s="23"/>
    </row>
    <row r="25">
      <c r="A25" s="169" t="s">
        <v>701</v>
      </c>
      <c r="B25" s="146" t="s">
        <v>124</v>
      </c>
      <c r="C25" s="146" t="s">
        <v>69</v>
      </c>
      <c r="D25" s="146" t="s">
        <v>25</v>
      </c>
      <c r="E25" s="150">
        <v>0.3125</v>
      </c>
      <c r="F25" s="23"/>
      <c r="G25" s="23"/>
      <c r="H25" s="23"/>
    </row>
    <row r="26">
      <c r="A26" s="169" t="s">
        <v>702</v>
      </c>
      <c r="B26" s="73" t="s">
        <v>75</v>
      </c>
      <c r="C26" s="73" t="s">
        <v>76</v>
      </c>
      <c r="D26" s="73">
        <v>28.0</v>
      </c>
      <c r="E26" s="150">
        <v>0.3125</v>
      </c>
      <c r="F26" s="23"/>
      <c r="G26" s="23"/>
      <c r="H26" s="23"/>
    </row>
    <row r="27">
      <c r="A27" s="169" t="s">
        <v>703</v>
      </c>
      <c r="B27" s="73" t="s">
        <v>399</v>
      </c>
      <c r="C27" s="73" t="s">
        <v>157</v>
      </c>
      <c r="D27" s="73">
        <v>36.0</v>
      </c>
      <c r="E27" s="150">
        <v>0.3125</v>
      </c>
      <c r="F27" s="23"/>
      <c r="G27" s="23"/>
      <c r="H27" s="23"/>
    </row>
    <row r="28">
      <c r="A28" s="149" t="s">
        <v>704</v>
      </c>
      <c r="B28" s="146" t="s">
        <v>78</v>
      </c>
      <c r="C28" s="146" t="s">
        <v>79</v>
      </c>
      <c r="D28" s="146">
        <v>15.0</v>
      </c>
      <c r="E28" s="150">
        <v>0.3125</v>
      </c>
      <c r="F28" s="23"/>
      <c r="G28" s="23"/>
      <c r="H28" s="23"/>
    </row>
    <row r="29">
      <c r="A29" s="149" t="s">
        <v>705</v>
      </c>
      <c r="B29" s="146" t="s">
        <v>486</v>
      </c>
      <c r="C29" s="146" t="s">
        <v>462</v>
      </c>
      <c r="D29" s="146" t="s">
        <v>25</v>
      </c>
      <c r="E29" s="150">
        <v>0.3125</v>
      </c>
      <c r="F29" s="23"/>
      <c r="G29" s="23"/>
      <c r="H29" s="23"/>
    </row>
    <row r="30">
      <c r="A30" s="149" t="s">
        <v>706</v>
      </c>
      <c r="B30" s="146" t="s">
        <v>248</v>
      </c>
      <c r="C30" s="146" t="s">
        <v>261</v>
      </c>
      <c r="D30" s="146">
        <v>13.0</v>
      </c>
      <c r="E30" s="150">
        <v>0.3125</v>
      </c>
      <c r="F30" s="23"/>
      <c r="G30" s="23"/>
      <c r="H30" s="23"/>
    </row>
    <row r="31">
      <c r="A31" s="157" t="s">
        <v>707</v>
      </c>
      <c r="B31" s="157" t="s">
        <v>264</v>
      </c>
      <c r="C31" s="157" t="s">
        <v>224</v>
      </c>
      <c r="D31" s="157" t="s">
        <v>167</v>
      </c>
      <c r="E31" s="153">
        <v>0.20833333333333334</v>
      </c>
      <c r="F31" s="23"/>
      <c r="G31" s="23"/>
      <c r="H31" s="23"/>
    </row>
    <row r="32">
      <c r="A32" s="157" t="s">
        <v>687</v>
      </c>
      <c r="B32" s="157" t="s">
        <v>44</v>
      </c>
      <c r="C32" s="157" t="s">
        <v>203</v>
      </c>
      <c r="D32" s="157" t="s">
        <v>167</v>
      </c>
      <c r="E32" s="153">
        <v>0.2916666666666667</v>
      </c>
      <c r="F32" s="23"/>
      <c r="G32" s="23"/>
      <c r="H32" s="23"/>
    </row>
    <row r="33">
      <c r="A33" s="157" t="s">
        <v>692</v>
      </c>
      <c r="B33" s="157" t="s">
        <v>264</v>
      </c>
      <c r="C33" s="157" t="s">
        <v>224</v>
      </c>
      <c r="D33" s="157" t="s">
        <v>167</v>
      </c>
      <c r="E33" s="153">
        <v>0.2916666666666667</v>
      </c>
      <c r="F33" s="23"/>
      <c r="G33" s="23"/>
      <c r="H33" s="23"/>
    </row>
    <row r="34">
      <c r="A34" s="172"/>
      <c r="B34" s="173"/>
      <c r="C34" s="173"/>
      <c r="D34" s="173"/>
      <c r="E34" s="166"/>
      <c r="F34" s="23"/>
      <c r="G34" s="23"/>
      <c r="H34" s="23"/>
    </row>
    <row r="35">
      <c r="A35" s="172"/>
      <c r="B35" s="173"/>
      <c r="C35" s="173"/>
      <c r="D35" s="173"/>
      <c r="E35" s="166"/>
      <c r="F35" s="23"/>
      <c r="G35" s="23"/>
      <c r="H35" s="23"/>
    </row>
    <row r="36">
      <c r="A36" s="172"/>
      <c r="B36" s="172"/>
      <c r="C36" s="172"/>
      <c r="D36" s="172"/>
      <c r="E36" s="166"/>
    </row>
    <row r="37">
      <c r="A37" s="172"/>
      <c r="B37" s="172"/>
      <c r="C37" s="172"/>
      <c r="D37" s="172"/>
      <c r="E37" s="166"/>
      <c r="F37" s="23"/>
      <c r="G37" s="23"/>
      <c r="H37" s="23"/>
    </row>
    <row r="38">
      <c r="A38" s="174"/>
      <c r="B38" s="110"/>
      <c r="C38" s="110"/>
      <c r="D38" s="110"/>
      <c r="E38" s="111"/>
    </row>
    <row r="39">
      <c r="A39" s="174"/>
      <c r="B39" s="110"/>
      <c r="C39" s="110"/>
      <c r="D39" s="110"/>
      <c r="E39" s="111"/>
    </row>
    <row r="40">
      <c r="A40" s="175"/>
      <c r="B40" s="110"/>
      <c r="C40" s="110"/>
      <c r="D40" s="110"/>
      <c r="E40" s="111"/>
    </row>
    <row r="41">
      <c r="A41" s="176"/>
      <c r="B41" s="110"/>
      <c r="C41" s="110"/>
      <c r="D41" s="110"/>
      <c r="E41" s="111"/>
    </row>
    <row r="42">
      <c r="A42" s="177"/>
      <c r="B42" s="110"/>
      <c r="C42" s="110"/>
      <c r="D42" s="110"/>
      <c r="E42" s="111"/>
    </row>
    <row r="43">
      <c r="A43" s="174"/>
      <c r="B43" s="110"/>
      <c r="C43" s="110"/>
      <c r="D43" s="110"/>
      <c r="E43" s="111"/>
    </row>
    <row r="44">
      <c r="A44" s="174"/>
      <c r="B44" s="110"/>
      <c r="C44" s="110"/>
      <c r="D44" s="110"/>
      <c r="E44" s="111"/>
    </row>
    <row r="45">
      <c r="A45" s="174"/>
      <c r="B45" s="110"/>
      <c r="C45" s="110"/>
      <c r="D45" s="110"/>
      <c r="E45" s="111"/>
    </row>
    <row r="46">
      <c r="A46" s="174"/>
      <c r="B46" s="110"/>
      <c r="C46" s="110"/>
      <c r="D46" s="110"/>
      <c r="E46" s="111"/>
    </row>
    <row r="47">
      <c r="A47" s="174"/>
      <c r="B47" s="110"/>
      <c r="C47" s="110"/>
      <c r="D47" s="110"/>
      <c r="E47" s="111"/>
    </row>
    <row r="48">
      <c r="A48" s="174"/>
      <c r="B48" s="110"/>
      <c r="C48" s="110"/>
      <c r="D48" s="110"/>
      <c r="E48" s="111"/>
    </row>
    <row r="49">
      <c r="A49" s="177"/>
      <c r="B49" s="110"/>
      <c r="C49" s="110"/>
      <c r="D49" s="110"/>
      <c r="E49" s="111"/>
    </row>
    <row r="50">
      <c r="A50" s="174"/>
      <c r="B50" s="110"/>
      <c r="C50" s="110"/>
      <c r="D50" s="110"/>
      <c r="E50" s="111"/>
    </row>
    <row r="51">
      <c r="A51" s="174"/>
      <c r="B51" s="110"/>
      <c r="C51" s="110"/>
      <c r="D51" s="110"/>
      <c r="E51" s="111"/>
    </row>
    <row r="52">
      <c r="A52" s="178"/>
      <c r="B52" s="178"/>
      <c r="C52" s="178"/>
      <c r="D52" s="178"/>
      <c r="E52" s="178"/>
    </row>
    <row r="53">
      <c r="A53" s="178"/>
      <c r="B53" s="178"/>
      <c r="C53" s="178"/>
      <c r="D53" s="178"/>
      <c r="E53" s="178"/>
    </row>
    <row r="54">
      <c r="A54" s="178"/>
      <c r="B54" s="178"/>
      <c r="C54" s="178"/>
      <c r="D54" s="178"/>
      <c r="E54" s="178"/>
    </row>
    <row r="55">
      <c r="A55" s="178"/>
      <c r="B55" s="178"/>
      <c r="C55" s="178"/>
      <c r="D55" s="178"/>
      <c r="E55" s="178"/>
    </row>
    <row r="56">
      <c r="A56" s="178"/>
      <c r="B56" s="178"/>
      <c r="C56" s="178"/>
      <c r="D56" s="178"/>
      <c r="E56" s="178"/>
    </row>
    <row r="57">
      <c r="A57" s="178"/>
      <c r="B57" s="178"/>
      <c r="C57" s="178"/>
      <c r="D57" s="178"/>
      <c r="E57" s="178"/>
    </row>
    <row r="58">
      <c r="A58" s="178"/>
      <c r="B58" s="178"/>
      <c r="C58" s="178"/>
      <c r="D58" s="178"/>
      <c r="E58" s="178"/>
    </row>
    <row r="59">
      <c r="A59" s="178"/>
      <c r="B59" s="178"/>
      <c r="C59" s="178"/>
      <c r="D59" s="178"/>
      <c r="E59" s="178"/>
    </row>
    <row r="60">
      <c r="A60" s="178"/>
      <c r="B60" s="178"/>
      <c r="C60" s="178"/>
      <c r="D60" s="178"/>
      <c r="E60" s="178"/>
    </row>
    <row r="61">
      <c r="A61" s="178"/>
      <c r="B61" s="178"/>
      <c r="C61" s="178"/>
      <c r="D61" s="178"/>
      <c r="E61" s="178"/>
    </row>
    <row r="62">
      <c r="A62" s="178"/>
      <c r="B62" s="178"/>
      <c r="C62" s="178"/>
      <c r="D62" s="178"/>
      <c r="E62" s="178"/>
    </row>
    <row r="63">
      <c r="A63" s="178"/>
      <c r="B63" s="178"/>
      <c r="C63" s="178"/>
      <c r="D63" s="178"/>
      <c r="E63" s="178"/>
    </row>
    <row r="64">
      <c r="A64" s="178"/>
      <c r="B64" s="178"/>
      <c r="C64" s="178"/>
      <c r="D64" s="178"/>
      <c r="E64" s="178"/>
    </row>
    <row r="65">
      <c r="A65" s="178"/>
      <c r="B65" s="178"/>
      <c r="C65" s="178"/>
      <c r="D65" s="178"/>
      <c r="E65" s="178"/>
    </row>
    <row r="66">
      <c r="A66" s="178"/>
      <c r="B66" s="178"/>
      <c r="C66" s="178"/>
      <c r="D66" s="178"/>
      <c r="E66" s="178"/>
    </row>
    <row r="67">
      <c r="A67" s="178"/>
      <c r="B67" s="178"/>
      <c r="C67" s="178"/>
      <c r="D67" s="178"/>
      <c r="E67" s="178"/>
    </row>
    <row r="68">
      <c r="A68" s="178"/>
      <c r="B68" s="178"/>
      <c r="C68" s="178"/>
      <c r="D68" s="178"/>
      <c r="E68" s="178"/>
    </row>
    <row r="69">
      <c r="A69" s="178"/>
      <c r="B69" s="178"/>
      <c r="C69" s="178"/>
      <c r="D69" s="178"/>
      <c r="E69" s="178"/>
    </row>
    <row r="70">
      <c r="A70" s="178"/>
      <c r="B70" s="178"/>
      <c r="C70" s="178"/>
      <c r="D70" s="178"/>
      <c r="E70" s="178"/>
    </row>
    <row r="71">
      <c r="A71" s="178"/>
      <c r="B71" s="178"/>
      <c r="C71" s="178"/>
      <c r="D71" s="178"/>
      <c r="E71" s="178"/>
    </row>
    <row r="72">
      <c r="A72" s="178"/>
      <c r="B72" s="178"/>
      <c r="C72" s="178"/>
      <c r="D72" s="178"/>
      <c r="E72" s="178"/>
    </row>
    <row r="73">
      <c r="A73" s="178"/>
      <c r="B73" s="178"/>
      <c r="C73" s="178"/>
      <c r="D73" s="178"/>
      <c r="E73" s="178"/>
    </row>
    <row r="74">
      <c r="A74" s="178"/>
      <c r="B74" s="178"/>
      <c r="C74" s="178"/>
      <c r="D74" s="178"/>
      <c r="E74" s="178"/>
    </row>
    <row r="75">
      <c r="A75" s="178"/>
      <c r="B75" s="178"/>
      <c r="C75" s="178"/>
      <c r="D75" s="178"/>
      <c r="E75" s="178"/>
    </row>
    <row r="76">
      <c r="A76" s="178"/>
      <c r="B76" s="178"/>
      <c r="C76" s="178"/>
      <c r="D76" s="178"/>
      <c r="E76" s="178"/>
    </row>
    <row r="77">
      <c r="A77" s="178"/>
      <c r="B77" s="178"/>
      <c r="C77" s="178"/>
      <c r="D77" s="178"/>
      <c r="E77" s="178"/>
    </row>
    <row r="78">
      <c r="A78" s="178"/>
      <c r="B78" s="178"/>
      <c r="C78" s="178"/>
      <c r="D78" s="178"/>
      <c r="E78" s="178"/>
    </row>
    <row r="79">
      <c r="A79" s="178"/>
      <c r="B79" s="178"/>
      <c r="C79" s="178"/>
      <c r="D79" s="178"/>
      <c r="E79" s="178"/>
    </row>
    <row r="80">
      <c r="A80" s="178"/>
      <c r="B80" s="178"/>
      <c r="C80" s="178"/>
      <c r="D80" s="178"/>
      <c r="E80" s="178"/>
    </row>
    <row r="81">
      <c r="A81" s="178"/>
      <c r="B81" s="178"/>
      <c r="C81" s="178"/>
      <c r="D81" s="178"/>
      <c r="E81" s="178"/>
    </row>
    <row r="82">
      <c r="A82" s="178"/>
      <c r="B82" s="178"/>
      <c r="C82" s="178"/>
      <c r="D82" s="178"/>
      <c r="E82" s="178"/>
    </row>
    <row r="83">
      <c r="A83" s="178"/>
      <c r="B83" s="178"/>
      <c r="C83" s="178"/>
      <c r="D83" s="178"/>
      <c r="E83" s="178"/>
    </row>
    <row r="84">
      <c r="A84" s="178"/>
      <c r="B84" s="178"/>
      <c r="C84" s="178"/>
      <c r="D84" s="178"/>
      <c r="E84" s="178"/>
    </row>
    <row r="85">
      <c r="A85" s="178"/>
      <c r="B85" s="178"/>
      <c r="C85" s="178"/>
      <c r="D85" s="178"/>
      <c r="E85" s="178"/>
    </row>
    <row r="86">
      <c r="A86" s="178"/>
      <c r="B86" s="178"/>
      <c r="C86" s="178"/>
      <c r="D86" s="178"/>
      <c r="E86" s="178"/>
    </row>
    <row r="87">
      <c r="A87" s="178"/>
      <c r="B87" s="178"/>
      <c r="C87" s="178"/>
      <c r="D87" s="178"/>
      <c r="E87" s="178"/>
    </row>
    <row r="88">
      <c r="A88" s="178"/>
      <c r="B88" s="178"/>
      <c r="C88" s="178"/>
      <c r="D88" s="178"/>
      <c r="E88" s="178"/>
    </row>
    <row r="89">
      <c r="A89" s="178"/>
      <c r="B89" s="178"/>
      <c r="C89" s="178"/>
      <c r="D89" s="178"/>
      <c r="E89" s="178"/>
    </row>
    <row r="90">
      <c r="A90" s="178"/>
      <c r="B90" s="178"/>
      <c r="C90" s="178"/>
      <c r="D90" s="178"/>
      <c r="E90" s="178"/>
    </row>
    <row r="91">
      <c r="A91" s="178"/>
      <c r="B91" s="178"/>
      <c r="C91" s="178"/>
      <c r="D91" s="178"/>
      <c r="E91" s="178"/>
    </row>
    <row r="92">
      <c r="A92" s="178"/>
      <c r="B92" s="178"/>
      <c r="C92" s="178"/>
      <c r="D92" s="178"/>
      <c r="E92" s="178"/>
    </row>
    <row r="93">
      <c r="A93" s="178"/>
      <c r="B93" s="178"/>
      <c r="C93" s="178"/>
      <c r="D93" s="178"/>
      <c r="E93" s="178"/>
    </row>
    <row r="94">
      <c r="A94" s="178"/>
      <c r="B94" s="178"/>
      <c r="C94" s="178"/>
      <c r="D94" s="178"/>
      <c r="E94" s="178"/>
    </row>
    <row r="95">
      <c r="A95" s="178"/>
      <c r="B95" s="178"/>
      <c r="C95" s="178"/>
      <c r="D95" s="178"/>
      <c r="E95" s="178"/>
    </row>
    <row r="96">
      <c r="A96" s="178"/>
      <c r="B96" s="178"/>
      <c r="C96" s="178"/>
      <c r="D96" s="178"/>
      <c r="E96" s="178"/>
    </row>
    <row r="97">
      <c r="A97" s="178"/>
      <c r="B97" s="178"/>
      <c r="C97" s="178"/>
      <c r="D97" s="178"/>
      <c r="E97" s="178"/>
    </row>
    <row r="98">
      <c r="A98" s="178"/>
      <c r="B98" s="178"/>
      <c r="C98" s="178"/>
      <c r="D98" s="178"/>
      <c r="E98" s="178"/>
    </row>
    <row r="99">
      <c r="A99" s="178"/>
      <c r="B99" s="178"/>
      <c r="C99" s="178"/>
      <c r="D99" s="178"/>
      <c r="E99" s="178"/>
    </row>
    <row r="100">
      <c r="A100" s="178"/>
      <c r="B100" s="178"/>
      <c r="C100" s="178"/>
      <c r="D100" s="178"/>
      <c r="E100" s="178"/>
    </row>
    <row r="101">
      <c r="A101" s="178"/>
      <c r="B101" s="178"/>
      <c r="C101" s="178"/>
      <c r="D101" s="178"/>
      <c r="E101" s="178"/>
    </row>
    <row r="102">
      <c r="A102" s="178"/>
      <c r="B102" s="178"/>
      <c r="C102" s="178"/>
      <c r="D102" s="178"/>
      <c r="E102" s="178"/>
    </row>
    <row r="103">
      <c r="A103" s="178"/>
      <c r="B103" s="178"/>
      <c r="C103" s="178"/>
      <c r="D103" s="178"/>
      <c r="E103" s="178"/>
    </row>
    <row r="104">
      <c r="A104" s="178"/>
      <c r="B104" s="178"/>
      <c r="C104" s="178"/>
      <c r="D104" s="178"/>
      <c r="E104" s="178"/>
    </row>
    <row r="105">
      <c r="A105" s="178"/>
      <c r="B105" s="178"/>
      <c r="C105" s="178"/>
      <c r="D105" s="178"/>
      <c r="E105" s="178"/>
    </row>
    <row r="106">
      <c r="A106" s="178"/>
      <c r="B106" s="178"/>
      <c r="C106" s="178"/>
      <c r="D106" s="178"/>
      <c r="E106" s="178"/>
    </row>
    <row r="107">
      <c r="A107" s="178"/>
      <c r="B107" s="178"/>
      <c r="C107" s="178"/>
      <c r="D107" s="178"/>
      <c r="E107" s="178"/>
    </row>
    <row r="108">
      <c r="A108" s="178"/>
      <c r="B108" s="178"/>
      <c r="C108" s="178"/>
      <c r="D108" s="178"/>
      <c r="E108" s="178"/>
    </row>
    <row r="109">
      <c r="A109" s="178"/>
      <c r="B109" s="178"/>
      <c r="C109" s="178"/>
      <c r="D109" s="178"/>
      <c r="E109" s="178"/>
    </row>
    <row r="110">
      <c r="A110" s="178"/>
      <c r="B110" s="178"/>
      <c r="C110" s="178"/>
      <c r="D110" s="178"/>
      <c r="E110" s="178"/>
    </row>
    <row r="111">
      <c r="A111" s="178"/>
      <c r="B111" s="178"/>
      <c r="C111" s="178"/>
      <c r="D111" s="178"/>
      <c r="E111" s="178"/>
    </row>
    <row r="112">
      <c r="A112" s="178"/>
      <c r="B112" s="178"/>
      <c r="C112" s="178"/>
      <c r="D112" s="178"/>
      <c r="E112" s="178"/>
    </row>
    <row r="113">
      <c r="A113" s="178"/>
      <c r="B113" s="178"/>
      <c r="C113" s="178"/>
      <c r="D113" s="178"/>
      <c r="E113" s="178"/>
    </row>
    <row r="114">
      <c r="A114" s="178"/>
      <c r="B114" s="178"/>
      <c r="C114" s="178"/>
      <c r="D114" s="178"/>
      <c r="E114" s="178"/>
    </row>
    <row r="115">
      <c r="A115" s="178"/>
      <c r="B115" s="178"/>
      <c r="C115" s="178"/>
      <c r="D115" s="178"/>
      <c r="E115" s="178"/>
    </row>
    <row r="116">
      <c r="A116" s="178"/>
      <c r="B116" s="178"/>
      <c r="C116" s="178"/>
      <c r="D116" s="178"/>
      <c r="E116" s="178"/>
    </row>
    <row r="117">
      <c r="A117" s="178"/>
      <c r="B117" s="178"/>
      <c r="C117" s="178"/>
      <c r="D117" s="178"/>
      <c r="E117" s="178"/>
    </row>
    <row r="118">
      <c r="A118" s="178"/>
      <c r="B118" s="178"/>
      <c r="C118" s="178"/>
      <c r="D118" s="178"/>
      <c r="E118" s="178"/>
    </row>
    <row r="119">
      <c r="A119" s="178"/>
      <c r="B119" s="178"/>
      <c r="C119" s="178"/>
      <c r="D119" s="178"/>
      <c r="E119" s="178"/>
    </row>
    <row r="120">
      <c r="A120" s="178"/>
      <c r="B120" s="178"/>
      <c r="C120" s="178"/>
      <c r="D120" s="178"/>
      <c r="E120" s="178"/>
    </row>
    <row r="121">
      <c r="A121" s="178"/>
      <c r="B121" s="178"/>
      <c r="C121" s="178"/>
      <c r="D121" s="178"/>
      <c r="E121" s="178"/>
    </row>
    <row r="122">
      <c r="A122" s="178"/>
      <c r="B122" s="178"/>
      <c r="C122" s="178"/>
      <c r="D122" s="178"/>
      <c r="E122" s="178"/>
    </row>
    <row r="123">
      <c r="A123" s="178"/>
      <c r="B123" s="178"/>
      <c r="C123" s="178"/>
      <c r="D123" s="178"/>
      <c r="E123" s="178"/>
    </row>
    <row r="124">
      <c r="A124" s="178"/>
      <c r="B124" s="178"/>
      <c r="C124" s="178"/>
      <c r="D124" s="178"/>
      <c r="E124" s="178"/>
    </row>
    <row r="125">
      <c r="A125" s="178"/>
      <c r="B125" s="178"/>
      <c r="C125" s="178"/>
      <c r="D125" s="178"/>
      <c r="E125" s="178"/>
    </row>
    <row r="126">
      <c r="A126" s="178"/>
      <c r="B126" s="178"/>
      <c r="C126" s="178"/>
      <c r="D126" s="178"/>
      <c r="E126" s="178"/>
    </row>
    <row r="127">
      <c r="A127" s="178"/>
      <c r="B127" s="178"/>
      <c r="C127" s="178"/>
      <c r="D127" s="178"/>
      <c r="E127" s="178"/>
    </row>
    <row r="128">
      <c r="A128" s="178"/>
      <c r="B128" s="178"/>
      <c r="C128" s="178"/>
      <c r="D128" s="178"/>
      <c r="E128" s="178"/>
    </row>
    <row r="129">
      <c r="A129" s="178"/>
      <c r="B129" s="178"/>
      <c r="C129" s="178"/>
      <c r="D129" s="178"/>
      <c r="E129" s="178"/>
    </row>
    <row r="130">
      <c r="A130" s="178"/>
      <c r="B130" s="178"/>
      <c r="C130" s="178"/>
      <c r="D130" s="178"/>
      <c r="E130" s="178"/>
    </row>
    <row r="131">
      <c r="A131" s="178"/>
      <c r="B131" s="178"/>
      <c r="C131" s="178"/>
      <c r="D131" s="178"/>
      <c r="E131" s="178"/>
    </row>
    <row r="132">
      <c r="A132" s="178"/>
      <c r="B132" s="178"/>
      <c r="C132" s="178"/>
      <c r="D132" s="178"/>
      <c r="E132" s="178"/>
    </row>
    <row r="133">
      <c r="A133" s="178"/>
      <c r="B133" s="178"/>
      <c r="C133" s="178"/>
      <c r="D133" s="178"/>
      <c r="E133" s="178"/>
    </row>
    <row r="134">
      <c r="A134" s="178"/>
      <c r="B134" s="178"/>
      <c r="C134" s="178"/>
      <c r="D134" s="178"/>
      <c r="E134" s="178"/>
    </row>
    <row r="135">
      <c r="A135" s="178"/>
      <c r="B135" s="178"/>
      <c r="C135" s="178"/>
      <c r="D135" s="178"/>
      <c r="E135" s="178"/>
    </row>
    <row r="136">
      <c r="A136" s="178"/>
      <c r="B136" s="178"/>
      <c r="C136" s="178"/>
      <c r="D136" s="178"/>
      <c r="E136" s="178"/>
    </row>
    <row r="137">
      <c r="A137" s="178"/>
      <c r="B137" s="178"/>
      <c r="C137" s="178"/>
      <c r="D137" s="178"/>
      <c r="E137" s="178"/>
    </row>
    <row r="138">
      <c r="A138" s="178"/>
      <c r="B138" s="178"/>
      <c r="C138" s="178"/>
      <c r="D138" s="178"/>
      <c r="E138" s="178"/>
    </row>
    <row r="139">
      <c r="A139" s="178"/>
      <c r="B139" s="178"/>
      <c r="C139" s="178"/>
      <c r="D139" s="178"/>
      <c r="E139" s="178"/>
    </row>
    <row r="140">
      <c r="A140" s="178"/>
      <c r="B140" s="178"/>
      <c r="C140" s="178"/>
      <c r="D140" s="178"/>
      <c r="E140" s="178"/>
    </row>
    <row r="141">
      <c r="A141" s="178"/>
      <c r="B141" s="178"/>
      <c r="C141" s="178"/>
      <c r="D141" s="178"/>
      <c r="E141" s="178"/>
    </row>
    <row r="142">
      <c r="A142" s="178"/>
      <c r="B142" s="178"/>
      <c r="C142" s="178"/>
      <c r="D142" s="178"/>
      <c r="E142" s="178"/>
    </row>
    <row r="143">
      <c r="A143" s="178"/>
      <c r="B143" s="178"/>
      <c r="C143" s="178"/>
      <c r="D143" s="178"/>
      <c r="E143" s="178"/>
    </row>
    <row r="144">
      <c r="A144" s="178"/>
      <c r="B144" s="178"/>
      <c r="C144" s="178"/>
      <c r="D144" s="178"/>
      <c r="E144" s="178"/>
    </row>
    <row r="145">
      <c r="A145" s="178"/>
      <c r="B145" s="178"/>
      <c r="C145" s="178"/>
      <c r="D145" s="178"/>
      <c r="E145" s="178"/>
    </row>
    <row r="146">
      <c r="A146" s="178"/>
      <c r="B146" s="178"/>
      <c r="C146" s="178"/>
      <c r="D146" s="178"/>
      <c r="E146" s="178"/>
    </row>
    <row r="147">
      <c r="A147" s="178"/>
      <c r="B147" s="178"/>
      <c r="C147" s="178"/>
      <c r="D147" s="178"/>
      <c r="E147" s="178"/>
    </row>
    <row r="148">
      <c r="A148" s="178"/>
      <c r="B148" s="178"/>
      <c r="C148" s="178"/>
      <c r="D148" s="178"/>
      <c r="E148" s="178"/>
    </row>
    <row r="149">
      <c r="A149" s="178"/>
      <c r="B149" s="178"/>
      <c r="C149" s="178"/>
      <c r="D149" s="178"/>
      <c r="E149" s="178"/>
    </row>
    <row r="150">
      <c r="A150" s="178"/>
      <c r="B150" s="178"/>
      <c r="C150" s="178"/>
      <c r="D150" s="178"/>
      <c r="E150" s="178"/>
    </row>
    <row r="151">
      <c r="A151" s="178"/>
      <c r="B151" s="178"/>
      <c r="C151" s="178"/>
      <c r="D151" s="178"/>
      <c r="E151" s="178"/>
    </row>
    <row r="152">
      <c r="A152" s="178"/>
      <c r="B152" s="178"/>
      <c r="C152" s="178"/>
      <c r="D152" s="178"/>
      <c r="E152" s="178"/>
    </row>
    <row r="153">
      <c r="A153" s="178"/>
      <c r="B153" s="178"/>
      <c r="C153" s="178"/>
      <c r="D153" s="178"/>
      <c r="E153" s="178"/>
    </row>
    <row r="154">
      <c r="A154" s="178"/>
      <c r="B154" s="178"/>
      <c r="C154" s="178"/>
      <c r="D154" s="178"/>
      <c r="E154" s="178"/>
    </row>
    <row r="155">
      <c r="A155" s="178"/>
      <c r="B155" s="178"/>
      <c r="C155" s="178"/>
      <c r="D155" s="178"/>
      <c r="E155" s="178"/>
    </row>
    <row r="156">
      <c r="A156" s="178"/>
      <c r="B156" s="178"/>
      <c r="C156" s="178"/>
      <c r="D156" s="178"/>
      <c r="E156" s="178"/>
    </row>
    <row r="157">
      <c r="A157" s="178"/>
      <c r="B157" s="178"/>
      <c r="C157" s="178"/>
      <c r="D157" s="178"/>
      <c r="E157" s="178"/>
    </row>
    <row r="158">
      <c r="A158" s="178"/>
      <c r="B158" s="178"/>
      <c r="C158" s="178"/>
      <c r="D158" s="178"/>
      <c r="E158" s="178"/>
    </row>
    <row r="159">
      <c r="A159" s="178"/>
      <c r="B159" s="178"/>
      <c r="C159" s="178"/>
      <c r="D159" s="178"/>
      <c r="E159" s="178"/>
    </row>
    <row r="160">
      <c r="A160" s="178"/>
      <c r="B160" s="178"/>
      <c r="C160" s="178"/>
      <c r="D160" s="178"/>
      <c r="E160" s="178"/>
    </row>
    <row r="161">
      <c r="A161" s="178"/>
      <c r="B161" s="178"/>
      <c r="C161" s="178"/>
      <c r="D161" s="178"/>
      <c r="E161" s="178"/>
    </row>
    <row r="162">
      <c r="A162" s="178"/>
      <c r="B162" s="178"/>
      <c r="C162" s="178"/>
      <c r="D162" s="178"/>
      <c r="E162" s="178"/>
    </row>
    <row r="163">
      <c r="A163" s="178"/>
      <c r="B163" s="178"/>
      <c r="C163" s="178"/>
      <c r="D163" s="178"/>
      <c r="E163" s="178"/>
    </row>
    <row r="164">
      <c r="A164" s="178"/>
      <c r="B164" s="178"/>
      <c r="C164" s="178"/>
      <c r="D164" s="178"/>
      <c r="E164" s="178"/>
    </row>
    <row r="165">
      <c r="A165" s="178"/>
      <c r="B165" s="178"/>
      <c r="C165" s="178"/>
      <c r="D165" s="178"/>
      <c r="E165" s="178"/>
    </row>
    <row r="166">
      <c r="A166" s="178"/>
      <c r="B166" s="178"/>
      <c r="C166" s="178"/>
      <c r="D166" s="178"/>
      <c r="E166" s="178"/>
    </row>
    <row r="167">
      <c r="A167" s="178"/>
      <c r="B167" s="178"/>
      <c r="C167" s="178"/>
      <c r="D167" s="178"/>
      <c r="E167" s="178"/>
    </row>
    <row r="168">
      <c r="A168" s="178"/>
      <c r="B168" s="178"/>
      <c r="C168" s="178"/>
      <c r="D168" s="178"/>
      <c r="E168" s="178"/>
    </row>
    <row r="169">
      <c r="A169" s="178"/>
      <c r="B169" s="178"/>
      <c r="C169" s="178"/>
      <c r="D169" s="178"/>
      <c r="E169" s="178"/>
    </row>
    <row r="170">
      <c r="A170" s="178"/>
      <c r="B170" s="178"/>
      <c r="C170" s="178"/>
      <c r="D170" s="178"/>
      <c r="E170" s="178"/>
    </row>
    <row r="171">
      <c r="A171" s="178"/>
      <c r="B171" s="178"/>
      <c r="C171" s="178"/>
      <c r="D171" s="178"/>
      <c r="E171" s="178"/>
    </row>
    <row r="172">
      <c r="A172" s="178"/>
      <c r="B172" s="178"/>
      <c r="C172" s="178"/>
      <c r="D172" s="178"/>
      <c r="E172" s="178"/>
    </row>
    <row r="173">
      <c r="A173" s="178"/>
      <c r="B173" s="178"/>
      <c r="C173" s="178"/>
      <c r="D173" s="178"/>
      <c r="E173" s="178"/>
    </row>
    <row r="174">
      <c r="A174" s="178"/>
      <c r="B174" s="178"/>
      <c r="C174" s="178"/>
      <c r="D174" s="178"/>
      <c r="E174" s="178"/>
    </row>
    <row r="175">
      <c r="A175" s="178"/>
      <c r="B175" s="178"/>
      <c r="C175" s="178"/>
      <c r="D175" s="178"/>
      <c r="E175" s="178"/>
    </row>
    <row r="176">
      <c r="A176" s="178"/>
      <c r="B176" s="178"/>
      <c r="C176" s="178"/>
      <c r="D176" s="178"/>
      <c r="E176" s="178"/>
    </row>
    <row r="177">
      <c r="A177" s="178"/>
      <c r="B177" s="178"/>
      <c r="C177" s="178"/>
      <c r="D177" s="178"/>
      <c r="E177" s="178"/>
    </row>
    <row r="178">
      <c r="A178" s="178"/>
      <c r="B178" s="178"/>
      <c r="C178" s="178"/>
      <c r="D178" s="178"/>
      <c r="E178" s="178"/>
    </row>
    <row r="179">
      <c r="A179" s="178"/>
      <c r="B179" s="178"/>
      <c r="C179" s="178"/>
      <c r="D179" s="178"/>
      <c r="E179" s="178"/>
    </row>
    <row r="180">
      <c r="A180" s="178"/>
      <c r="B180" s="178"/>
      <c r="C180" s="178"/>
      <c r="D180" s="178"/>
      <c r="E180" s="178"/>
    </row>
    <row r="181">
      <c r="A181" s="178"/>
      <c r="B181" s="178"/>
      <c r="C181" s="178"/>
      <c r="D181" s="178"/>
      <c r="E181" s="178"/>
    </row>
    <row r="182">
      <c r="A182" s="178"/>
      <c r="B182" s="178"/>
      <c r="C182" s="178"/>
      <c r="D182" s="178"/>
      <c r="E182" s="178"/>
    </row>
    <row r="183">
      <c r="A183" s="178"/>
      <c r="B183" s="178"/>
      <c r="C183" s="178"/>
      <c r="D183" s="178"/>
      <c r="E183" s="178"/>
    </row>
    <row r="184">
      <c r="A184" s="178"/>
      <c r="B184" s="178"/>
      <c r="C184" s="178"/>
      <c r="D184" s="178"/>
      <c r="E184" s="178"/>
    </row>
    <row r="185">
      <c r="A185" s="178"/>
      <c r="B185" s="178"/>
      <c r="C185" s="178"/>
      <c r="D185" s="178"/>
      <c r="E185" s="178"/>
    </row>
    <row r="186">
      <c r="A186" s="178"/>
      <c r="B186" s="178"/>
      <c r="C186" s="178"/>
      <c r="D186" s="178"/>
      <c r="E186" s="178"/>
    </row>
    <row r="187">
      <c r="A187" s="178"/>
      <c r="B187" s="178"/>
      <c r="C187" s="178"/>
      <c r="D187" s="178"/>
      <c r="E187" s="178"/>
    </row>
    <row r="188">
      <c r="A188" s="178"/>
      <c r="B188" s="178"/>
      <c r="C188" s="178"/>
      <c r="D188" s="178"/>
      <c r="E188" s="178"/>
    </row>
    <row r="189">
      <c r="A189" s="178"/>
      <c r="B189" s="178"/>
      <c r="C189" s="178"/>
      <c r="D189" s="178"/>
      <c r="E189" s="178"/>
    </row>
    <row r="190">
      <c r="A190" s="178"/>
      <c r="B190" s="178"/>
      <c r="C190" s="178"/>
      <c r="D190" s="178"/>
      <c r="E190" s="178"/>
    </row>
    <row r="191">
      <c r="A191" s="178"/>
      <c r="B191" s="178"/>
      <c r="C191" s="178"/>
      <c r="D191" s="178"/>
      <c r="E191" s="178"/>
    </row>
    <row r="192">
      <c r="A192" s="178"/>
      <c r="B192" s="178"/>
      <c r="C192" s="178"/>
      <c r="D192" s="178"/>
      <c r="E192" s="178"/>
    </row>
    <row r="193">
      <c r="A193" s="178"/>
      <c r="B193" s="178"/>
      <c r="C193" s="178"/>
      <c r="D193" s="178"/>
      <c r="E193" s="178"/>
    </row>
    <row r="194">
      <c r="A194" s="178"/>
      <c r="B194" s="178"/>
      <c r="C194" s="178"/>
      <c r="D194" s="178"/>
      <c r="E194" s="178"/>
    </row>
    <row r="195">
      <c r="A195" s="178"/>
      <c r="B195" s="178"/>
      <c r="C195" s="178"/>
      <c r="D195" s="178"/>
      <c r="E195" s="178"/>
    </row>
    <row r="196">
      <c r="A196" s="178"/>
      <c r="B196" s="178"/>
      <c r="C196" s="178"/>
      <c r="D196" s="178"/>
      <c r="E196" s="178"/>
    </row>
    <row r="197">
      <c r="A197" s="178"/>
      <c r="B197" s="178"/>
      <c r="C197" s="178"/>
      <c r="D197" s="178"/>
      <c r="E197" s="178"/>
    </row>
    <row r="198">
      <c r="A198" s="178"/>
      <c r="B198" s="178"/>
      <c r="C198" s="178"/>
      <c r="D198" s="178"/>
      <c r="E198" s="178"/>
    </row>
    <row r="199">
      <c r="A199" s="178"/>
      <c r="B199" s="178"/>
      <c r="C199" s="178"/>
      <c r="D199" s="178"/>
      <c r="E199" s="178"/>
    </row>
    <row r="200">
      <c r="A200" s="178"/>
      <c r="B200" s="178"/>
      <c r="C200" s="178"/>
      <c r="D200" s="178"/>
      <c r="E200" s="178"/>
    </row>
    <row r="201">
      <c r="A201" s="178"/>
      <c r="B201" s="178"/>
      <c r="C201" s="178"/>
      <c r="D201" s="178"/>
      <c r="E201" s="178"/>
    </row>
    <row r="202">
      <c r="A202" s="178"/>
      <c r="B202" s="178"/>
      <c r="C202" s="178"/>
      <c r="D202" s="178"/>
      <c r="E202" s="178"/>
    </row>
    <row r="203">
      <c r="A203" s="178"/>
      <c r="B203" s="178"/>
      <c r="C203" s="178"/>
      <c r="D203" s="178"/>
      <c r="E203" s="178"/>
    </row>
    <row r="204">
      <c r="A204" s="178"/>
      <c r="B204" s="178"/>
      <c r="C204" s="178"/>
      <c r="D204" s="178"/>
      <c r="E204" s="178"/>
    </row>
    <row r="205">
      <c r="A205" s="178"/>
      <c r="B205" s="178"/>
      <c r="C205" s="178"/>
      <c r="D205" s="178"/>
      <c r="E205" s="178"/>
    </row>
    <row r="206">
      <c r="A206" s="178"/>
      <c r="B206" s="178"/>
      <c r="C206" s="178"/>
      <c r="D206" s="178"/>
      <c r="E206" s="178"/>
    </row>
    <row r="207">
      <c r="A207" s="178"/>
      <c r="B207" s="178"/>
      <c r="C207" s="178"/>
      <c r="D207" s="178"/>
      <c r="E207" s="178"/>
    </row>
    <row r="208">
      <c r="A208" s="178"/>
      <c r="B208" s="178"/>
      <c r="C208" s="178"/>
      <c r="D208" s="178"/>
      <c r="E208" s="178"/>
    </row>
    <row r="209">
      <c r="A209" s="178"/>
      <c r="B209" s="178"/>
      <c r="C209" s="178"/>
      <c r="D209" s="178"/>
      <c r="E209" s="178"/>
    </row>
    <row r="210">
      <c r="A210" s="178"/>
      <c r="B210" s="178"/>
      <c r="C210" s="178"/>
      <c r="D210" s="178"/>
      <c r="E210" s="178"/>
    </row>
    <row r="211">
      <c r="A211" s="178"/>
      <c r="B211" s="178"/>
      <c r="C211" s="178"/>
      <c r="D211" s="178"/>
      <c r="E211" s="178"/>
    </row>
    <row r="212">
      <c r="A212" s="178"/>
      <c r="B212" s="178"/>
      <c r="C212" s="178"/>
      <c r="D212" s="178"/>
      <c r="E212" s="178"/>
    </row>
    <row r="213">
      <c r="A213" s="178"/>
      <c r="B213" s="178"/>
      <c r="C213" s="178"/>
      <c r="D213" s="178"/>
      <c r="E213" s="178"/>
    </row>
    <row r="214">
      <c r="A214" s="178"/>
      <c r="B214" s="178"/>
      <c r="C214" s="178"/>
      <c r="D214" s="178"/>
      <c r="E214" s="178"/>
    </row>
    <row r="215">
      <c r="A215" s="178"/>
      <c r="B215" s="178"/>
      <c r="C215" s="178"/>
      <c r="D215" s="178"/>
      <c r="E215" s="178"/>
    </row>
    <row r="216">
      <c r="A216" s="178"/>
      <c r="B216" s="178"/>
      <c r="C216" s="178"/>
      <c r="D216" s="178"/>
      <c r="E216" s="178"/>
    </row>
    <row r="217">
      <c r="A217" s="178"/>
      <c r="B217" s="178"/>
      <c r="C217" s="178"/>
      <c r="D217" s="178"/>
      <c r="E217" s="178"/>
    </row>
    <row r="218">
      <c r="A218" s="178"/>
      <c r="B218" s="178"/>
      <c r="C218" s="178"/>
      <c r="D218" s="178"/>
      <c r="E218" s="178"/>
    </row>
    <row r="219">
      <c r="A219" s="178"/>
      <c r="B219" s="178"/>
      <c r="C219" s="178"/>
      <c r="D219" s="178"/>
      <c r="E219" s="178"/>
    </row>
    <row r="220">
      <c r="A220" s="178"/>
      <c r="B220" s="178"/>
      <c r="C220" s="178"/>
      <c r="D220" s="178"/>
      <c r="E220" s="178"/>
    </row>
    <row r="221">
      <c r="A221" s="178"/>
      <c r="B221" s="178"/>
      <c r="C221" s="178"/>
      <c r="D221" s="178"/>
      <c r="E221" s="178"/>
    </row>
    <row r="222">
      <c r="A222" s="178"/>
      <c r="B222" s="178"/>
      <c r="C222" s="178"/>
      <c r="D222" s="178"/>
      <c r="E222" s="178"/>
    </row>
    <row r="223">
      <c r="A223" s="178"/>
      <c r="B223" s="178"/>
      <c r="C223" s="178"/>
      <c r="D223" s="178"/>
      <c r="E223" s="178"/>
    </row>
    <row r="224">
      <c r="A224" s="178"/>
      <c r="B224" s="178"/>
      <c r="C224" s="178"/>
      <c r="D224" s="178"/>
      <c r="E224" s="178"/>
    </row>
    <row r="225">
      <c r="A225" s="178"/>
      <c r="B225" s="178"/>
      <c r="C225" s="178"/>
      <c r="D225" s="178"/>
      <c r="E225" s="178"/>
    </row>
    <row r="226">
      <c r="A226" s="178"/>
      <c r="B226" s="178"/>
      <c r="C226" s="178"/>
      <c r="D226" s="178"/>
      <c r="E226" s="178"/>
    </row>
    <row r="227">
      <c r="A227" s="178"/>
      <c r="B227" s="178"/>
      <c r="C227" s="178"/>
      <c r="D227" s="178"/>
      <c r="E227" s="178"/>
    </row>
    <row r="228">
      <c r="A228" s="178"/>
      <c r="B228" s="178"/>
      <c r="C228" s="178"/>
      <c r="D228" s="178"/>
      <c r="E228" s="178"/>
    </row>
    <row r="229">
      <c r="A229" s="178"/>
      <c r="B229" s="178"/>
      <c r="C229" s="178"/>
      <c r="D229" s="178"/>
      <c r="E229" s="178"/>
    </row>
    <row r="230">
      <c r="A230" s="178"/>
      <c r="B230" s="178"/>
      <c r="C230" s="178"/>
      <c r="D230" s="178"/>
      <c r="E230" s="178"/>
    </row>
    <row r="231">
      <c r="A231" s="178"/>
      <c r="B231" s="178"/>
      <c r="C231" s="178"/>
      <c r="D231" s="178"/>
      <c r="E231" s="178"/>
    </row>
    <row r="232">
      <c r="A232" s="178"/>
      <c r="B232" s="178"/>
      <c r="C232" s="178"/>
      <c r="D232" s="178"/>
      <c r="E232" s="178"/>
    </row>
    <row r="233">
      <c r="A233" s="178"/>
      <c r="B233" s="178"/>
      <c r="C233" s="178"/>
      <c r="D233" s="178"/>
      <c r="E233" s="178"/>
    </row>
    <row r="234">
      <c r="A234" s="178"/>
      <c r="B234" s="178"/>
      <c r="C234" s="178"/>
      <c r="D234" s="178"/>
      <c r="E234" s="178"/>
    </row>
    <row r="235">
      <c r="A235" s="178"/>
      <c r="B235" s="178"/>
      <c r="C235" s="178"/>
      <c r="D235" s="178"/>
      <c r="E235" s="178"/>
    </row>
    <row r="236">
      <c r="A236" s="178"/>
      <c r="B236" s="178"/>
      <c r="C236" s="178"/>
      <c r="D236" s="178"/>
      <c r="E236" s="178"/>
    </row>
    <row r="237">
      <c r="A237" s="178"/>
      <c r="B237" s="178"/>
      <c r="C237" s="178"/>
      <c r="D237" s="178"/>
      <c r="E237" s="178"/>
    </row>
    <row r="238">
      <c r="A238" s="178"/>
      <c r="B238" s="178"/>
      <c r="C238" s="178"/>
      <c r="D238" s="178"/>
      <c r="E238" s="178"/>
    </row>
    <row r="239">
      <c r="A239" s="178"/>
      <c r="B239" s="178"/>
      <c r="C239" s="178"/>
      <c r="D239" s="178"/>
      <c r="E239" s="178"/>
    </row>
    <row r="240">
      <c r="A240" s="178"/>
      <c r="B240" s="178"/>
      <c r="C240" s="178"/>
      <c r="D240" s="178"/>
      <c r="E240" s="178"/>
    </row>
    <row r="241">
      <c r="A241" s="178"/>
      <c r="B241" s="178"/>
      <c r="C241" s="178"/>
      <c r="D241" s="178"/>
      <c r="E241" s="178"/>
    </row>
    <row r="242">
      <c r="A242" s="178"/>
      <c r="B242" s="178"/>
      <c r="C242" s="178"/>
      <c r="D242" s="178"/>
      <c r="E242" s="178"/>
    </row>
    <row r="243">
      <c r="A243" s="178"/>
      <c r="B243" s="178"/>
      <c r="C243" s="178"/>
      <c r="D243" s="178"/>
      <c r="E243" s="178"/>
    </row>
    <row r="244">
      <c r="A244" s="178"/>
      <c r="B244" s="178"/>
      <c r="C244" s="178"/>
      <c r="D244" s="178"/>
      <c r="E244" s="178"/>
    </row>
    <row r="245">
      <c r="A245" s="178"/>
      <c r="B245" s="178"/>
      <c r="C245" s="178"/>
      <c r="D245" s="178"/>
      <c r="E245" s="178"/>
    </row>
    <row r="246">
      <c r="A246" s="178"/>
      <c r="B246" s="178"/>
      <c r="C246" s="178"/>
      <c r="D246" s="178"/>
      <c r="E246" s="178"/>
    </row>
    <row r="247">
      <c r="A247" s="178"/>
      <c r="B247" s="178"/>
      <c r="C247" s="178"/>
      <c r="D247" s="178"/>
      <c r="E247" s="178"/>
    </row>
    <row r="248">
      <c r="A248" s="178"/>
      <c r="B248" s="178"/>
      <c r="C248" s="178"/>
      <c r="D248" s="178"/>
      <c r="E248" s="178"/>
    </row>
    <row r="249">
      <c r="A249" s="178"/>
      <c r="B249" s="178"/>
      <c r="C249" s="178"/>
      <c r="D249" s="178"/>
      <c r="E249" s="178"/>
    </row>
    <row r="250">
      <c r="A250" s="178"/>
      <c r="B250" s="178"/>
      <c r="C250" s="178"/>
      <c r="D250" s="178"/>
      <c r="E250" s="178"/>
    </row>
    <row r="251">
      <c r="A251" s="178"/>
      <c r="B251" s="178"/>
      <c r="C251" s="178"/>
      <c r="D251" s="178"/>
      <c r="E251" s="178"/>
    </row>
    <row r="252">
      <c r="A252" s="178"/>
      <c r="B252" s="178"/>
      <c r="C252" s="178"/>
      <c r="D252" s="178"/>
      <c r="E252" s="178"/>
    </row>
    <row r="253">
      <c r="A253" s="178"/>
      <c r="B253" s="178"/>
      <c r="C253" s="178"/>
      <c r="D253" s="178"/>
      <c r="E253" s="178"/>
    </row>
    <row r="254">
      <c r="A254" s="178"/>
      <c r="B254" s="178"/>
      <c r="C254" s="178"/>
      <c r="D254" s="178"/>
      <c r="E254" s="178"/>
    </row>
    <row r="255">
      <c r="A255" s="178"/>
      <c r="B255" s="178"/>
      <c r="C255" s="178"/>
      <c r="D255" s="178"/>
      <c r="E255" s="178"/>
    </row>
    <row r="256">
      <c r="A256" s="178"/>
      <c r="B256" s="178"/>
      <c r="C256" s="178"/>
      <c r="D256" s="178"/>
      <c r="E256" s="178"/>
    </row>
    <row r="257">
      <c r="A257" s="178"/>
      <c r="B257" s="178"/>
      <c r="C257" s="178"/>
      <c r="D257" s="178"/>
      <c r="E257" s="178"/>
    </row>
    <row r="258">
      <c r="A258" s="178"/>
      <c r="B258" s="178"/>
      <c r="C258" s="178"/>
      <c r="D258" s="178"/>
      <c r="E258" s="178"/>
    </row>
    <row r="259">
      <c r="A259" s="178"/>
      <c r="B259" s="178"/>
      <c r="C259" s="178"/>
      <c r="D259" s="178"/>
      <c r="E259" s="178"/>
    </row>
    <row r="260">
      <c r="A260" s="178"/>
      <c r="B260" s="178"/>
      <c r="C260" s="178"/>
      <c r="D260" s="178"/>
      <c r="E260" s="178"/>
    </row>
    <row r="261">
      <c r="A261" s="178"/>
      <c r="B261" s="178"/>
      <c r="C261" s="178"/>
      <c r="D261" s="178"/>
      <c r="E261" s="178"/>
    </row>
    <row r="262">
      <c r="A262" s="178"/>
      <c r="B262" s="178"/>
      <c r="C262" s="178"/>
      <c r="D262" s="178"/>
      <c r="E262" s="178"/>
    </row>
    <row r="263">
      <c r="A263" s="178"/>
      <c r="B263" s="178"/>
      <c r="C263" s="178"/>
      <c r="D263" s="178"/>
      <c r="E263" s="178"/>
    </row>
    <row r="264">
      <c r="A264" s="178"/>
      <c r="B264" s="178"/>
      <c r="C264" s="178"/>
      <c r="D264" s="178"/>
      <c r="E264" s="178"/>
    </row>
    <row r="265">
      <c r="A265" s="178"/>
      <c r="B265" s="178"/>
      <c r="C265" s="178"/>
      <c r="D265" s="178"/>
      <c r="E265" s="178"/>
    </row>
    <row r="266">
      <c r="A266" s="178"/>
      <c r="B266" s="178"/>
      <c r="C266" s="178"/>
      <c r="D266" s="178"/>
      <c r="E266" s="178"/>
    </row>
    <row r="267">
      <c r="A267" s="178"/>
      <c r="B267" s="178"/>
      <c r="C267" s="178"/>
      <c r="D267" s="178"/>
      <c r="E267" s="178"/>
    </row>
    <row r="268">
      <c r="A268" s="178"/>
      <c r="B268" s="178"/>
      <c r="C268" s="178"/>
      <c r="D268" s="178"/>
      <c r="E268" s="178"/>
    </row>
    <row r="269">
      <c r="A269" s="178"/>
      <c r="B269" s="178"/>
      <c r="C269" s="178"/>
      <c r="D269" s="178"/>
      <c r="E269" s="178"/>
    </row>
    <row r="270">
      <c r="A270" s="178"/>
      <c r="B270" s="178"/>
      <c r="C270" s="178"/>
      <c r="D270" s="178"/>
      <c r="E270" s="178"/>
    </row>
    <row r="271">
      <c r="A271" s="178"/>
      <c r="B271" s="178"/>
      <c r="C271" s="178"/>
      <c r="D271" s="178"/>
      <c r="E271" s="178"/>
    </row>
    <row r="272">
      <c r="A272" s="178"/>
      <c r="B272" s="178"/>
      <c r="C272" s="178"/>
      <c r="D272" s="178"/>
      <c r="E272" s="178"/>
    </row>
    <row r="273">
      <c r="A273" s="178"/>
      <c r="B273" s="178"/>
      <c r="C273" s="178"/>
      <c r="D273" s="178"/>
      <c r="E273" s="178"/>
    </row>
    <row r="274">
      <c r="A274" s="178"/>
      <c r="B274" s="178"/>
      <c r="C274" s="178"/>
      <c r="D274" s="178"/>
      <c r="E274" s="178"/>
    </row>
    <row r="275">
      <c r="A275" s="178"/>
      <c r="B275" s="178"/>
      <c r="C275" s="178"/>
      <c r="D275" s="178"/>
      <c r="E275" s="178"/>
    </row>
    <row r="276">
      <c r="A276" s="178"/>
      <c r="B276" s="178"/>
      <c r="C276" s="178"/>
      <c r="D276" s="178"/>
      <c r="E276" s="178"/>
    </row>
    <row r="277">
      <c r="A277" s="178"/>
      <c r="B277" s="178"/>
      <c r="C277" s="178"/>
      <c r="D277" s="178"/>
      <c r="E277" s="178"/>
    </row>
    <row r="278">
      <c r="A278" s="178"/>
      <c r="B278" s="178"/>
      <c r="C278" s="178"/>
      <c r="D278" s="178"/>
      <c r="E278" s="178"/>
    </row>
    <row r="279">
      <c r="A279" s="178"/>
      <c r="B279" s="178"/>
      <c r="C279" s="178"/>
      <c r="D279" s="178"/>
      <c r="E279" s="178"/>
    </row>
    <row r="280">
      <c r="A280" s="178"/>
      <c r="B280" s="178"/>
      <c r="C280" s="178"/>
      <c r="D280" s="178"/>
      <c r="E280" s="178"/>
    </row>
    <row r="281">
      <c r="A281" s="178"/>
      <c r="B281" s="178"/>
      <c r="C281" s="178"/>
      <c r="D281" s="178"/>
      <c r="E281" s="178"/>
    </row>
    <row r="282">
      <c r="A282" s="178"/>
      <c r="B282" s="178"/>
      <c r="C282" s="178"/>
      <c r="D282" s="178"/>
      <c r="E282" s="178"/>
    </row>
    <row r="283">
      <c r="A283" s="178"/>
      <c r="B283" s="178"/>
      <c r="C283" s="178"/>
      <c r="D283" s="178"/>
      <c r="E283" s="178"/>
    </row>
    <row r="284">
      <c r="A284" s="178"/>
      <c r="B284" s="178"/>
      <c r="C284" s="178"/>
      <c r="D284" s="178"/>
      <c r="E284" s="178"/>
    </row>
    <row r="285">
      <c r="A285" s="178"/>
      <c r="B285" s="178"/>
      <c r="C285" s="178"/>
      <c r="D285" s="178"/>
      <c r="E285" s="178"/>
    </row>
    <row r="286">
      <c r="A286" s="178"/>
      <c r="B286" s="178"/>
      <c r="C286" s="178"/>
      <c r="D286" s="178"/>
      <c r="E286" s="178"/>
    </row>
    <row r="287">
      <c r="A287" s="178"/>
      <c r="B287" s="178"/>
      <c r="C287" s="178"/>
      <c r="D287" s="178"/>
      <c r="E287" s="178"/>
    </row>
    <row r="288">
      <c r="A288" s="178"/>
      <c r="B288" s="178"/>
      <c r="C288" s="178"/>
      <c r="D288" s="178"/>
      <c r="E288" s="178"/>
    </row>
    <row r="289">
      <c r="A289" s="178"/>
      <c r="B289" s="178"/>
      <c r="C289" s="178"/>
      <c r="D289" s="178"/>
      <c r="E289" s="178"/>
    </row>
    <row r="290">
      <c r="A290" s="178"/>
      <c r="B290" s="178"/>
      <c r="C290" s="178"/>
      <c r="D290" s="178"/>
      <c r="E290" s="178"/>
    </row>
    <row r="291">
      <c r="A291" s="178"/>
      <c r="B291" s="178"/>
      <c r="C291" s="178"/>
      <c r="D291" s="178"/>
      <c r="E291" s="178"/>
    </row>
    <row r="292">
      <c r="A292" s="178"/>
      <c r="B292" s="178"/>
      <c r="C292" s="178"/>
      <c r="D292" s="178"/>
      <c r="E292" s="178"/>
    </row>
    <row r="293">
      <c r="A293" s="178"/>
      <c r="B293" s="178"/>
      <c r="C293" s="178"/>
      <c r="D293" s="178"/>
      <c r="E293" s="178"/>
    </row>
    <row r="294">
      <c r="A294" s="178"/>
      <c r="B294" s="178"/>
      <c r="C294" s="178"/>
      <c r="D294" s="178"/>
      <c r="E294" s="178"/>
    </row>
    <row r="295">
      <c r="A295" s="178"/>
      <c r="B295" s="178"/>
      <c r="C295" s="178"/>
      <c r="D295" s="178"/>
      <c r="E295" s="178"/>
    </row>
    <row r="296">
      <c r="A296" s="178"/>
      <c r="B296" s="178"/>
      <c r="C296" s="178"/>
      <c r="D296" s="178"/>
      <c r="E296" s="178"/>
    </row>
    <row r="297">
      <c r="A297" s="178"/>
      <c r="B297" s="178"/>
      <c r="C297" s="178"/>
      <c r="D297" s="178"/>
      <c r="E297" s="178"/>
    </row>
    <row r="298">
      <c r="A298" s="178"/>
      <c r="B298" s="178"/>
      <c r="C298" s="178"/>
      <c r="D298" s="178"/>
      <c r="E298" s="178"/>
    </row>
    <row r="299">
      <c r="A299" s="178"/>
      <c r="B299" s="178"/>
      <c r="C299" s="178"/>
      <c r="D299" s="178"/>
      <c r="E299" s="178"/>
    </row>
    <row r="300">
      <c r="A300" s="178"/>
      <c r="B300" s="178"/>
      <c r="C300" s="178"/>
      <c r="D300" s="178"/>
      <c r="E300" s="178"/>
    </row>
    <row r="301">
      <c r="A301" s="178"/>
      <c r="B301" s="178"/>
      <c r="C301" s="178"/>
      <c r="D301" s="178"/>
      <c r="E301" s="178"/>
    </row>
    <row r="302">
      <c r="A302" s="178"/>
      <c r="B302" s="178"/>
      <c r="C302" s="178"/>
      <c r="D302" s="178"/>
      <c r="E302" s="178"/>
    </row>
    <row r="303">
      <c r="A303" s="178"/>
      <c r="B303" s="178"/>
      <c r="C303" s="178"/>
      <c r="D303" s="178"/>
      <c r="E303" s="178"/>
    </row>
    <row r="304">
      <c r="A304" s="178"/>
      <c r="B304" s="178"/>
      <c r="C304" s="178"/>
      <c r="D304" s="178"/>
      <c r="E304" s="178"/>
    </row>
    <row r="305">
      <c r="A305" s="178"/>
      <c r="B305" s="178"/>
      <c r="C305" s="178"/>
      <c r="D305" s="178"/>
      <c r="E305" s="178"/>
    </row>
    <row r="306">
      <c r="A306" s="178"/>
      <c r="B306" s="178"/>
      <c r="C306" s="178"/>
      <c r="D306" s="178"/>
      <c r="E306" s="178"/>
    </row>
    <row r="307">
      <c r="A307" s="178"/>
      <c r="B307" s="178"/>
      <c r="C307" s="178"/>
      <c r="D307" s="178"/>
      <c r="E307" s="178"/>
    </row>
    <row r="308">
      <c r="A308" s="178"/>
      <c r="B308" s="178"/>
      <c r="C308" s="178"/>
      <c r="D308" s="178"/>
      <c r="E308" s="178"/>
    </row>
    <row r="309">
      <c r="A309" s="178"/>
      <c r="B309" s="178"/>
      <c r="C309" s="178"/>
      <c r="D309" s="178"/>
      <c r="E309" s="178"/>
    </row>
    <row r="310">
      <c r="A310" s="178"/>
      <c r="B310" s="178"/>
      <c r="C310" s="178"/>
      <c r="D310" s="178"/>
      <c r="E310" s="178"/>
    </row>
    <row r="311">
      <c r="A311" s="178"/>
      <c r="B311" s="178"/>
      <c r="C311" s="178"/>
      <c r="D311" s="178"/>
      <c r="E311" s="178"/>
    </row>
    <row r="312">
      <c r="A312" s="178"/>
      <c r="B312" s="178"/>
      <c r="C312" s="178"/>
      <c r="D312" s="178"/>
      <c r="E312" s="178"/>
    </row>
    <row r="313">
      <c r="A313" s="178"/>
      <c r="B313" s="178"/>
      <c r="C313" s="178"/>
      <c r="D313" s="178"/>
      <c r="E313" s="178"/>
    </row>
    <row r="314">
      <c r="A314" s="178"/>
      <c r="B314" s="178"/>
      <c r="C314" s="178"/>
      <c r="D314" s="178"/>
      <c r="E314" s="178"/>
    </row>
    <row r="315">
      <c r="A315" s="178"/>
      <c r="B315" s="178"/>
      <c r="C315" s="178"/>
      <c r="D315" s="178"/>
      <c r="E315" s="178"/>
    </row>
    <row r="316">
      <c r="A316" s="178"/>
      <c r="B316" s="178"/>
      <c r="C316" s="178"/>
      <c r="D316" s="178"/>
      <c r="E316" s="178"/>
    </row>
    <row r="317">
      <c r="A317" s="178"/>
      <c r="B317" s="178"/>
      <c r="C317" s="178"/>
      <c r="D317" s="178"/>
      <c r="E317" s="178"/>
    </row>
    <row r="318">
      <c r="A318" s="178"/>
      <c r="B318" s="178"/>
      <c r="C318" s="178"/>
      <c r="D318" s="178"/>
      <c r="E318" s="178"/>
    </row>
    <row r="319">
      <c r="A319" s="178"/>
      <c r="B319" s="178"/>
      <c r="C319" s="178"/>
      <c r="D319" s="178"/>
      <c r="E319" s="178"/>
    </row>
    <row r="320">
      <c r="A320" s="178"/>
      <c r="B320" s="178"/>
      <c r="C320" s="178"/>
      <c r="D320" s="178"/>
      <c r="E320" s="178"/>
    </row>
    <row r="321">
      <c r="A321" s="178"/>
      <c r="B321" s="178"/>
      <c r="C321" s="178"/>
      <c r="D321" s="178"/>
      <c r="E321" s="178"/>
    </row>
    <row r="322">
      <c r="A322" s="178"/>
      <c r="B322" s="178"/>
      <c r="C322" s="178"/>
      <c r="D322" s="178"/>
      <c r="E322" s="178"/>
    </row>
    <row r="323">
      <c r="A323" s="178"/>
      <c r="B323" s="178"/>
      <c r="C323" s="178"/>
      <c r="D323" s="178"/>
      <c r="E323" s="178"/>
    </row>
    <row r="324">
      <c r="A324" s="178"/>
      <c r="B324" s="178"/>
      <c r="C324" s="178"/>
      <c r="D324" s="178"/>
      <c r="E324" s="178"/>
    </row>
    <row r="325">
      <c r="A325" s="178"/>
      <c r="B325" s="178"/>
      <c r="C325" s="178"/>
      <c r="D325" s="178"/>
      <c r="E325" s="178"/>
    </row>
    <row r="326">
      <c r="A326" s="178"/>
      <c r="B326" s="178"/>
      <c r="C326" s="178"/>
      <c r="D326" s="178"/>
      <c r="E326" s="178"/>
    </row>
    <row r="327">
      <c r="A327" s="178"/>
      <c r="B327" s="178"/>
      <c r="C327" s="178"/>
      <c r="D327" s="178"/>
      <c r="E327" s="178"/>
    </row>
    <row r="328">
      <c r="A328" s="178"/>
      <c r="B328" s="178"/>
      <c r="C328" s="178"/>
      <c r="D328" s="178"/>
      <c r="E328" s="178"/>
    </row>
    <row r="329">
      <c r="A329" s="178"/>
      <c r="B329" s="178"/>
      <c r="C329" s="178"/>
      <c r="D329" s="178"/>
      <c r="E329" s="178"/>
    </row>
    <row r="330">
      <c r="A330" s="178"/>
      <c r="B330" s="178"/>
      <c r="C330" s="178"/>
      <c r="D330" s="178"/>
      <c r="E330" s="178"/>
    </row>
    <row r="331">
      <c r="A331" s="178"/>
      <c r="B331" s="178"/>
      <c r="C331" s="178"/>
      <c r="D331" s="178"/>
      <c r="E331" s="178"/>
    </row>
    <row r="332">
      <c r="A332" s="178"/>
      <c r="B332" s="178"/>
      <c r="C332" s="178"/>
      <c r="D332" s="178"/>
      <c r="E332" s="178"/>
    </row>
    <row r="333">
      <c r="A333" s="178"/>
      <c r="B333" s="178"/>
      <c r="C333" s="178"/>
      <c r="D333" s="178"/>
      <c r="E333" s="178"/>
    </row>
    <row r="334">
      <c r="A334" s="178"/>
      <c r="B334" s="178"/>
      <c r="C334" s="178"/>
      <c r="D334" s="178"/>
      <c r="E334" s="178"/>
    </row>
    <row r="335">
      <c r="A335" s="178"/>
      <c r="B335" s="178"/>
      <c r="C335" s="178"/>
      <c r="D335" s="178"/>
      <c r="E335" s="178"/>
    </row>
    <row r="336">
      <c r="A336" s="178"/>
      <c r="B336" s="178"/>
      <c r="C336" s="178"/>
      <c r="D336" s="178"/>
      <c r="E336" s="178"/>
    </row>
    <row r="337">
      <c r="A337" s="178"/>
      <c r="B337" s="178"/>
      <c r="C337" s="178"/>
      <c r="D337" s="178"/>
      <c r="E337" s="178"/>
    </row>
    <row r="338">
      <c r="A338" s="178"/>
      <c r="B338" s="178"/>
      <c r="C338" s="178"/>
      <c r="D338" s="178"/>
      <c r="E338" s="178"/>
    </row>
    <row r="339">
      <c r="A339" s="178"/>
      <c r="B339" s="178"/>
      <c r="C339" s="178"/>
      <c r="D339" s="178"/>
      <c r="E339" s="178"/>
    </row>
    <row r="340">
      <c r="A340" s="178"/>
      <c r="B340" s="178"/>
      <c r="C340" s="178"/>
      <c r="D340" s="178"/>
      <c r="E340" s="178"/>
    </row>
    <row r="341">
      <c r="A341" s="178"/>
      <c r="B341" s="178"/>
      <c r="C341" s="178"/>
      <c r="D341" s="178"/>
      <c r="E341" s="178"/>
    </row>
    <row r="342">
      <c r="A342" s="178"/>
      <c r="B342" s="178"/>
      <c r="C342" s="178"/>
      <c r="D342" s="178"/>
      <c r="E342" s="178"/>
    </row>
    <row r="343">
      <c r="A343" s="178"/>
      <c r="B343" s="178"/>
      <c r="C343" s="178"/>
      <c r="D343" s="178"/>
      <c r="E343" s="178"/>
    </row>
    <row r="344">
      <c r="A344" s="178"/>
      <c r="B344" s="178"/>
      <c r="C344" s="178"/>
      <c r="D344" s="178"/>
      <c r="E344" s="178"/>
    </row>
    <row r="345">
      <c r="A345" s="178"/>
      <c r="B345" s="178"/>
      <c r="C345" s="178"/>
      <c r="D345" s="178"/>
      <c r="E345" s="178"/>
    </row>
    <row r="346">
      <c r="A346" s="178"/>
      <c r="B346" s="178"/>
      <c r="C346" s="178"/>
      <c r="D346" s="178"/>
      <c r="E346" s="178"/>
    </row>
    <row r="347">
      <c r="A347" s="178"/>
      <c r="B347" s="178"/>
      <c r="C347" s="178"/>
      <c r="D347" s="178"/>
      <c r="E347" s="178"/>
    </row>
    <row r="348">
      <c r="A348" s="178"/>
      <c r="B348" s="178"/>
      <c r="C348" s="178"/>
      <c r="D348" s="178"/>
      <c r="E348" s="178"/>
    </row>
    <row r="349">
      <c r="A349" s="178"/>
      <c r="B349" s="178"/>
      <c r="C349" s="178"/>
      <c r="D349" s="178"/>
      <c r="E349" s="178"/>
    </row>
    <row r="350">
      <c r="A350" s="178"/>
      <c r="B350" s="178"/>
      <c r="C350" s="178"/>
      <c r="D350" s="178"/>
      <c r="E350" s="178"/>
    </row>
    <row r="351">
      <c r="A351" s="178"/>
      <c r="B351" s="178"/>
      <c r="C351" s="178"/>
      <c r="D351" s="178"/>
      <c r="E351" s="178"/>
    </row>
    <row r="352">
      <c r="A352" s="178"/>
      <c r="B352" s="178"/>
      <c r="C352" s="178"/>
      <c r="D352" s="178"/>
      <c r="E352" s="178"/>
    </row>
    <row r="353">
      <c r="A353" s="178"/>
      <c r="B353" s="178"/>
      <c r="C353" s="178"/>
      <c r="D353" s="178"/>
      <c r="E353" s="178"/>
    </row>
    <row r="354">
      <c r="A354" s="178"/>
      <c r="B354" s="178"/>
      <c r="C354" s="178"/>
      <c r="D354" s="178"/>
      <c r="E354" s="178"/>
    </row>
    <row r="355">
      <c r="A355" s="178"/>
      <c r="B355" s="178"/>
      <c r="C355" s="178"/>
      <c r="D355" s="178"/>
      <c r="E355" s="178"/>
    </row>
    <row r="356">
      <c r="A356" s="178"/>
      <c r="B356" s="178"/>
      <c r="C356" s="178"/>
      <c r="D356" s="178"/>
      <c r="E356" s="178"/>
    </row>
    <row r="357">
      <c r="A357" s="178"/>
      <c r="B357" s="178"/>
      <c r="C357" s="178"/>
      <c r="D357" s="178"/>
      <c r="E357" s="178"/>
    </row>
    <row r="358">
      <c r="A358" s="178"/>
      <c r="B358" s="178"/>
      <c r="C358" s="178"/>
      <c r="D358" s="178"/>
      <c r="E358" s="178"/>
    </row>
    <row r="359">
      <c r="A359" s="178"/>
      <c r="B359" s="178"/>
      <c r="C359" s="178"/>
      <c r="D359" s="178"/>
      <c r="E359" s="178"/>
    </row>
    <row r="360">
      <c r="A360" s="178"/>
      <c r="B360" s="178"/>
      <c r="C360" s="178"/>
      <c r="D360" s="178"/>
      <c r="E360" s="178"/>
    </row>
    <row r="361">
      <c r="A361" s="178"/>
      <c r="B361" s="178"/>
      <c r="C361" s="178"/>
      <c r="D361" s="178"/>
      <c r="E361" s="178"/>
    </row>
    <row r="362">
      <c r="A362" s="178"/>
      <c r="B362" s="178"/>
      <c r="C362" s="178"/>
      <c r="D362" s="178"/>
      <c r="E362" s="178"/>
    </row>
    <row r="363">
      <c r="A363" s="178"/>
      <c r="B363" s="178"/>
      <c r="C363" s="178"/>
      <c r="D363" s="178"/>
      <c r="E363" s="178"/>
    </row>
    <row r="364">
      <c r="A364" s="178"/>
      <c r="B364" s="178"/>
      <c r="C364" s="178"/>
      <c r="D364" s="178"/>
      <c r="E364" s="178"/>
    </row>
    <row r="365">
      <c r="A365" s="178"/>
      <c r="B365" s="178"/>
      <c r="C365" s="178"/>
      <c r="D365" s="178"/>
      <c r="E365" s="178"/>
    </row>
    <row r="366">
      <c r="A366" s="178"/>
      <c r="B366" s="178"/>
      <c r="C366" s="178"/>
      <c r="D366" s="178"/>
      <c r="E366" s="178"/>
    </row>
    <row r="367">
      <c r="A367" s="178"/>
      <c r="B367" s="178"/>
      <c r="C367" s="178"/>
      <c r="D367" s="178"/>
      <c r="E367" s="178"/>
    </row>
    <row r="368">
      <c r="A368" s="178"/>
      <c r="B368" s="178"/>
      <c r="C368" s="178"/>
      <c r="D368" s="178"/>
      <c r="E368" s="178"/>
    </row>
    <row r="369">
      <c r="A369" s="178"/>
      <c r="B369" s="178"/>
      <c r="C369" s="178"/>
      <c r="D369" s="178"/>
      <c r="E369" s="178"/>
    </row>
    <row r="370">
      <c r="A370" s="178"/>
      <c r="B370" s="178"/>
      <c r="C370" s="178"/>
      <c r="D370" s="178"/>
      <c r="E370" s="178"/>
    </row>
    <row r="371">
      <c r="A371" s="178"/>
      <c r="B371" s="178"/>
      <c r="C371" s="178"/>
      <c r="D371" s="178"/>
      <c r="E371" s="178"/>
    </row>
    <row r="372">
      <c r="A372" s="178"/>
      <c r="B372" s="178"/>
      <c r="C372" s="178"/>
      <c r="D372" s="178"/>
      <c r="E372" s="178"/>
    </row>
    <row r="373">
      <c r="A373" s="178"/>
      <c r="B373" s="178"/>
      <c r="C373" s="178"/>
      <c r="D373" s="178"/>
      <c r="E373" s="178"/>
    </row>
    <row r="374">
      <c r="A374" s="178"/>
      <c r="B374" s="178"/>
      <c r="C374" s="178"/>
      <c r="D374" s="178"/>
      <c r="E374" s="178"/>
    </row>
    <row r="375">
      <c r="A375" s="178"/>
      <c r="B375" s="178"/>
      <c r="C375" s="178"/>
      <c r="D375" s="178"/>
      <c r="E375" s="178"/>
    </row>
    <row r="376">
      <c r="A376" s="178"/>
      <c r="B376" s="178"/>
      <c r="C376" s="178"/>
      <c r="D376" s="178"/>
      <c r="E376" s="178"/>
    </row>
    <row r="377">
      <c r="A377" s="178"/>
      <c r="B377" s="178"/>
      <c r="C377" s="178"/>
      <c r="D377" s="178"/>
      <c r="E377" s="178"/>
    </row>
    <row r="378">
      <c r="A378" s="178"/>
      <c r="B378" s="178"/>
      <c r="C378" s="178"/>
      <c r="D378" s="178"/>
      <c r="E378" s="178"/>
    </row>
    <row r="379">
      <c r="A379" s="178"/>
      <c r="B379" s="178"/>
      <c r="C379" s="178"/>
      <c r="D379" s="178"/>
      <c r="E379" s="178"/>
    </row>
    <row r="380">
      <c r="A380" s="178"/>
      <c r="B380" s="178"/>
      <c r="C380" s="178"/>
      <c r="D380" s="178"/>
      <c r="E380" s="178"/>
    </row>
    <row r="381">
      <c r="A381" s="178"/>
      <c r="B381" s="178"/>
      <c r="C381" s="178"/>
      <c r="D381" s="178"/>
      <c r="E381" s="178"/>
    </row>
    <row r="382">
      <c r="A382" s="178"/>
      <c r="B382" s="178"/>
      <c r="C382" s="178"/>
      <c r="D382" s="178"/>
      <c r="E382" s="178"/>
    </row>
    <row r="383">
      <c r="A383" s="178"/>
      <c r="B383" s="178"/>
      <c r="C383" s="178"/>
      <c r="D383" s="178"/>
      <c r="E383" s="178"/>
    </row>
    <row r="384">
      <c r="A384" s="178"/>
      <c r="B384" s="178"/>
      <c r="C384" s="178"/>
      <c r="D384" s="178"/>
      <c r="E384" s="178"/>
    </row>
    <row r="385">
      <c r="A385" s="178"/>
      <c r="B385" s="178"/>
      <c r="C385" s="178"/>
      <c r="D385" s="178"/>
      <c r="E385" s="178"/>
    </row>
    <row r="386">
      <c r="A386" s="178"/>
      <c r="B386" s="178"/>
      <c r="C386" s="178"/>
      <c r="D386" s="178"/>
      <c r="E386" s="178"/>
    </row>
    <row r="387">
      <c r="A387" s="178"/>
      <c r="B387" s="178"/>
      <c r="C387" s="178"/>
      <c r="D387" s="178"/>
      <c r="E387" s="178"/>
    </row>
    <row r="388">
      <c r="A388" s="178"/>
      <c r="B388" s="178"/>
      <c r="C388" s="178"/>
      <c r="D388" s="178"/>
      <c r="E388" s="178"/>
    </row>
    <row r="389">
      <c r="A389" s="178"/>
      <c r="B389" s="178"/>
      <c r="C389" s="178"/>
      <c r="D389" s="178"/>
      <c r="E389" s="178"/>
    </row>
    <row r="390">
      <c r="A390" s="178"/>
      <c r="B390" s="178"/>
      <c r="C390" s="178"/>
      <c r="D390" s="178"/>
      <c r="E390" s="178"/>
    </row>
    <row r="391">
      <c r="A391" s="178"/>
      <c r="B391" s="178"/>
      <c r="C391" s="178"/>
      <c r="D391" s="178"/>
      <c r="E391" s="178"/>
    </row>
    <row r="392">
      <c r="A392" s="178"/>
      <c r="B392" s="178"/>
      <c r="C392" s="178"/>
      <c r="D392" s="178"/>
      <c r="E392" s="178"/>
    </row>
    <row r="393">
      <c r="A393" s="178"/>
      <c r="B393" s="178"/>
      <c r="C393" s="178"/>
      <c r="D393" s="178"/>
      <c r="E393" s="178"/>
    </row>
    <row r="394">
      <c r="A394" s="178"/>
      <c r="B394" s="178"/>
      <c r="C394" s="178"/>
      <c r="D394" s="178"/>
      <c r="E394" s="178"/>
    </row>
    <row r="395">
      <c r="A395" s="178"/>
      <c r="B395" s="178"/>
      <c r="C395" s="178"/>
      <c r="D395" s="178"/>
      <c r="E395" s="178"/>
    </row>
    <row r="396">
      <c r="A396" s="178"/>
      <c r="B396" s="178"/>
      <c r="C396" s="178"/>
      <c r="D396" s="178"/>
      <c r="E396" s="178"/>
    </row>
    <row r="397">
      <c r="A397" s="178"/>
      <c r="B397" s="178"/>
      <c r="C397" s="178"/>
      <c r="D397" s="178"/>
      <c r="E397" s="178"/>
    </row>
    <row r="398">
      <c r="A398" s="178"/>
      <c r="B398" s="178"/>
      <c r="C398" s="178"/>
      <c r="D398" s="178"/>
      <c r="E398" s="178"/>
    </row>
    <row r="399">
      <c r="A399" s="178"/>
      <c r="B399" s="178"/>
      <c r="C399" s="178"/>
      <c r="D399" s="178"/>
      <c r="E399" s="178"/>
    </row>
    <row r="400">
      <c r="A400" s="178"/>
      <c r="B400" s="178"/>
      <c r="C400" s="178"/>
      <c r="D400" s="178"/>
      <c r="E400" s="178"/>
    </row>
    <row r="401">
      <c r="A401" s="178"/>
      <c r="B401" s="178"/>
      <c r="C401" s="178"/>
      <c r="D401" s="178"/>
      <c r="E401" s="178"/>
    </row>
    <row r="402">
      <c r="A402" s="178"/>
      <c r="B402" s="178"/>
      <c r="C402" s="178"/>
      <c r="D402" s="178"/>
      <c r="E402" s="178"/>
    </row>
    <row r="403">
      <c r="A403" s="178"/>
      <c r="B403" s="178"/>
      <c r="C403" s="178"/>
      <c r="D403" s="178"/>
      <c r="E403" s="178"/>
    </row>
    <row r="404">
      <c r="A404" s="178"/>
      <c r="B404" s="178"/>
      <c r="C404" s="178"/>
      <c r="D404" s="178"/>
      <c r="E404" s="178"/>
    </row>
    <row r="405">
      <c r="A405" s="178"/>
      <c r="B405" s="178"/>
      <c r="C405" s="178"/>
      <c r="D405" s="178"/>
      <c r="E405" s="178"/>
    </row>
    <row r="406">
      <c r="A406" s="178"/>
      <c r="B406" s="178"/>
      <c r="C406" s="178"/>
      <c r="D406" s="178"/>
      <c r="E406" s="178"/>
    </row>
    <row r="407">
      <c r="A407" s="178"/>
      <c r="B407" s="178"/>
      <c r="C407" s="178"/>
      <c r="D407" s="178"/>
      <c r="E407" s="178"/>
    </row>
    <row r="408">
      <c r="A408" s="178"/>
      <c r="B408" s="178"/>
      <c r="C408" s="178"/>
      <c r="D408" s="178"/>
      <c r="E408" s="178"/>
    </row>
    <row r="409">
      <c r="A409" s="178"/>
      <c r="B409" s="178"/>
      <c r="C409" s="178"/>
      <c r="D409" s="178"/>
      <c r="E409" s="178"/>
    </row>
    <row r="410">
      <c r="A410" s="178"/>
      <c r="B410" s="178"/>
      <c r="C410" s="178"/>
      <c r="D410" s="178"/>
      <c r="E410" s="178"/>
    </row>
    <row r="411">
      <c r="A411" s="178"/>
      <c r="B411" s="178"/>
      <c r="C411" s="178"/>
      <c r="D411" s="178"/>
      <c r="E411" s="178"/>
    </row>
    <row r="412">
      <c r="A412" s="178"/>
      <c r="B412" s="178"/>
      <c r="C412" s="178"/>
      <c r="D412" s="178"/>
      <c r="E412" s="178"/>
    </row>
    <row r="413">
      <c r="A413" s="178"/>
      <c r="B413" s="178"/>
      <c r="C413" s="178"/>
      <c r="D413" s="178"/>
      <c r="E413" s="178"/>
    </row>
    <row r="414">
      <c r="A414" s="178"/>
      <c r="B414" s="178"/>
      <c r="C414" s="178"/>
      <c r="D414" s="178"/>
      <c r="E414" s="178"/>
    </row>
    <row r="415">
      <c r="A415" s="178"/>
      <c r="B415" s="178"/>
      <c r="C415" s="178"/>
      <c r="D415" s="178"/>
      <c r="E415" s="178"/>
    </row>
    <row r="416">
      <c r="A416" s="178"/>
      <c r="B416" s="178"/>
      <c r="C416" s="178"/>
      <c r="D416" s="178"/>
      <c r="E416" s="178"/>
    </row>
    <row r="417">
      <c r="A417" s="178"/>
      <c r="B417" s="178"/>
      <c r="C417" s="178"/>
      <c r="D417" s="178"/>
      <c r="E417" s="178"/>
    </row>
    <row r="418">
      <c r="A418" s="178"/>
      <c r="B418" s="178"/>
      <c r="C418" s="178"/>
      <c r="D418" s="178"/>
      <c r="E418" s="178"/>
    </row>
    <row r="419">
      <c r="A419" s="178"/>
      <c r="B419" s="178"/>
      <c r="C419" s="178"/>
      <c r="D419" s="178"/>
      <c r="E419" s="178"/>
    </row>
    <row r="420">
      <c r="A420" s="178"/>
      <c r="B420" s="178"/>
      <c r="C420" s="178"/>
      <c r="D420" s="178"/>
      <c r="E420" s="178"/>
    </row>
    <row r="421">
      <c r="A421" s="178"/>
      <c r="B421" s="178"/>
      <c r="C421" s="178"/>
      <c r="D421" s="178"/>
      <c r="E421" s="178"/>
    </row>
    <row r="422">
      <c r="A422" s="178"/>
      <c r="B422" s="178"/>
      <c r="C422" s="178"/>
      <c r="D422" s="178"/>
      <c r="E422" s="178"/>
    </row>
    <row r="423">
      <c r="A423" s="178"/>
      <c r="B423" s="178"/>
      <c r="C423" s="178"/>
      <c r="D423" s="178"/>
      <c r="E423" s="178"/>
    </row>
    <row r="424">
      <c r="A424" s="178"/>
      <c r="B424" s="178"/>
      <c r="C424" s="178"/>
      <c r="D424" s="178"/>
      <c r="E424" s="178"/>
    </row>
    <row r="425">
      <c r="A425" s="178"/>
      <c r="B425" s="178"/>
      <c r="C425" s="178"/>
      <c r="D425" s="178"/>
      <c r="E425" s="178"/>
    </row>
    <row r="426">
      <c r="A426" s="178"/>
      <c r="B426" s="178"/>
      <c r="C426" s="178"/>
      <c r="D426" s="178"/>
      <c r="E426" s="178"/>
    </row>
    <row r="427">
      <c r="A427" s="178"/>
      <c r="B427" s="178"/>
      <c r="C427" s="178"/>
      <c r="D427" s="178"/>
      <c r="E427" s="178"/>
    </row>
    <row r="428">
      <c r="A428" s="178"/>
      <c r="B428" s="178"/>
      <c r="C428" s="178"/>
      <c r="D428" s="178"/>
      <c r="E428" s="178"/>
    </row>
    <row r="429">
      <c r="A429" s="178"/>
      <c r="B429" s="178"/>
      <c r="C429" s="178"/>
      <c r="D429" s="178"/>
      <c r="E429" s="178"/>
    </row>
    <row r="430">
      <c r="A430" s="178"/>
      <c r="B430" s="178"/>
      <c r="C430" s="178"/>
      <c r="D430" s="178"/>
      <c r="E430" s="178"/>
    </row>
    <row r="431">
      <c r="A431" s="178"/>
      <c r="B431" s="178"/>
      <c r="C431" s="178"/>
      <c r="D431" s="178"/>
      <c r="E431" s="178"/>
    </row>
    <row r="432">
      <c r="A432" s="178"/>
      <c r="B432" s="178"/>
      <c r="C432" s="178"/>
      <c r="D432" s="178"/>
      <c r="E432" s="178"/>
    </row>
    <row r="433">
      <c r="A433" s="178"/>
      <c r="B433" s="178"/>
      <c r="C433" s="178"/>
      <c r="D433" s="178"/>
      <c r="E433" s="178"/>
    </row>
    <row r="434">
      <c r="A434" s="178"/>
      <c r="B434" s="178"/>
      <c r="C434" s="178"/>
      <c r="D434" s="178"/>
      <c r="E434" s="178"/>
    </row>
    <row r="435">
      <c r="A435" s="178"/>
      <c r="B435" s="178"/>
      <c r="C435" s="178"/>
      <c r="D435" s="178"/>
      <c r="E435" s="178"/>
    </row>
    <row r="436">
      <c r="A436" s="178"/>
      <c r="B436" s="178"/>
      <c r="C436" s="178"/>
      <c r="D436" s="178"/>
      <c r="E436" s="178"/>
    </row>
    <row r="437">
      <c r="A437" s="178"/>
      <c r="B437" s="178"/>
      <c r="C437" s="178"/>
      <c r="D437" s="178"/>
      <c r="E437" s="178"/>
    </row>
    <row r="438">
      <c r="A438" s="178"/>
      <c r="B438" s="178"/>
      <c r="C438" s="178"/>
      <c r="D438" s="178"/>
      <c r="E438" s="178"/>
    </row>
    <row r="439">
      <c r="A439" s="178"/>
      <c r="B439" s="178"/>
      <c r="C439" s="178"/>
      <c r="D439" s="178"/>
      <c r="E439" s="178"/>
    </row>
    <row r="440">
      <c r="A440" s="178"/>
      <c r="B440" s="178"/>
      <c r="C440" s="178"/>
      <c r="D440" s="178"/>
      <c r="E440" s="178"/>
    </row>
    <row r="441">
      <c r="A441" s="178"/>
      <c r="B441" s="178"/>
      <c r="C441" s="178"/>
      <c r="D441" s="178"/>
      <c r="E441" s="178"/>
    </row>
    <row r="442">
      <c r="A442" s="178"/>
      <c r="B442" s="178"/>
      <c r="C442" s="178"/>
      <c r="D442" s="178"/>
      <c r="E442" s="178"/>
    </row>
    <row r="443">
      <c r="A443" s="178"/>
      <c r="B443" s="178"/>
      <c r="C443" s="178"/>
      <c r="D443" s="178"/>
      <c r="E443" s="178"/>
    </row>
    <row r="444">
      <c r="A444" s="178"/>
      <c r="B444" s="178"/>
      <c r="C444" s="178"/>
      <c r="D444" s="178"/>
      <c r="E444" s="178"/>
    </row>
    <row r="445">
      <c r="A445" s="178"/>
      <c r="B445" s="178"/>
      <c r="C445" s="178"/>
      <c r="D445" s="178"/>
      <c r="E445" s="178"/>
    </row>
    <row r="446">
      <c r="A446" s="178"/>
      <c r="B446" s="178"/>
      <c r="C446" s="178"/>
      <c r="D446" s="178"/>
      <c r="E446" s="178"/>
    </row>
    <row r="447">
      <c r="A447" s="178"/>
      <c r="B447" s="178"/>
      <c r="C447" s="178"/>
      <c r="D447" s="178"/>
      <c r="E447" s="178"/>
    </row>
    <row r="448">
      <c r="A448" s="178"/>
      <c r="B448" s="178"/>
      <c r="C448" s="178"/>
      <c r="D448" s="178"/>
      <c r="E448" s="178"/>
    </row>
    <row r="449">
      <c r="A449" s="178"/>
      <c r="B449" s="178"/>
      <c r="C449" s="178"/>
      <c r="D449" s="178"/>
      <c r="E449" s="178"/>
    </row>
    <row r="450">
      <c r="A450" s="178"/>
      <c r="B450" s="178"/>
      <c r="C450" s="178"/>
      <c r="D450" s="178"/>
      <c r="E450" s="178"/>
    </row>
    <row r="451">
      <c r="A451" s="178"/>
      <c r="B451" s="178"/>
      <c r="C451" s="178"/>
      <c r="D451" s="178"/>
      <c r="E451" s="178"/>
    </row>
    <row r="452">
      <c r="A452" s="178"/>
      <c r="B452" s="178"/>
      <c r="C452" s="178"/>
      <c r="D452" s="178"/>
      <c r="E452" s="178"/>
    </row>
    <row r="453">
      <c r="A453" s="178"/>
      <c r="B453" s="178"/>
      <c r="C453" s="178"/>
      <c r="D453" s="178"/>
      <c r="E453" s="178"/>
    </row>
    <row r="454">
      <c r="A454" s="178"/>
      <c r="B454" s="178"/>
      <c r="C454" s="178"/>
      <c r="D454" s="178"/>
      <c r="E454" s="178"/>
    </row>
    <row r="455">
      <c r="A455" s="178"/>
      <c r="B455" s="178"/>
      <c r="C455" s="178"/>
      <c r="D455" s="178"/>
      <c r="E455" s="178"/>
    </row>
    <row r="456">
      <c r="A456" s="178"/>
      <c r="B456" s="178"/>
      <c r="C456" s="178"/>
      <c r="D456" s="178"/>
      <c r="E456" s="178"/>
    </row>
    <row r="457">
      <c r="A457" s="178"/>
      <c r="B457" s="178"/>
      <c r="C457" s="178"/>
      <c r="D457" s="178"/>
      <c r="E457" s="178"/>
    </row>
    <row r="458">
      <c r="A458" s="178"/>
      <c r="B458" s="178"/>
      <c r="C458" s="178"/>
      <c r="D458" s="178"/>
      <c r="E458" s="178"/>
    </row>
    <row r="459">
      <c r="A459" s="178"/>
      <c r="B459" s="178"/>
      <c r="C459" s="178"/>
      <c r="D459" s="178"/>
      <c r="E459" s="178"/>
    </row>
    <row r="460">
      <c r="A460" s="178"/>
      <c r="B460" s="178"/>
      <c r="C460" s="178"/>
      <c r="D460" s="178"/>
      <c r="E460" s="178"/>
    </row>
    <row r="461">
      <c r="A461" s="178"/>
      <c r="B461" s="178"/>
      <c r="C461" s="178"/>
      <c r="D461" s="178"/>
      <c r="E461" s="178"/>
    </row>
    <row r="462">
      <c r="A462" s="178"/>
      <c r="B462" s="178"/>
      <c r="C462" s="178"/>
      <c r="D462" s="178"/>
      <c r="E462" s="178"/>
    </row>
    <row r="463">
      <c r="A463" s="178"/>
      <c r="B463" s="178"/>
      <c r="C463" s="178"/>
      <c r="D463" s="178"/>
      <c r="E463" s="178"/>
    </row>
    <row r="464">
      <c r="A464" s="178"/>
      <c r="B464" s="178"/>
      <c r="C464" s="178"/>
      <c r="D464" s="178"/>
      <c r="E464" s="178"/>
    </row>
    <row r="465">
      <c r="A465" s="178"/>
      <c r="B465" s="178"/>
      <c r="C465" s="178"/>
      <c r="D465" s="178"/>
      <c r="E465" s="178"/>
    </row>
    <row r="466">
      <c r="A466" s="178"/>
      <c r="B466" s="178"/>
      <c r="C466" s="178"/>
      <c r="D466" s="178"/>
      <c r="E466" s="178"/>
    </row>
    <row r="467">
      <c r="A467" s="178"/>
      <c r="B467" s="178"/>
      <c r="C467" s="178"/>
      <c r="D467" s="178"/>
      <c r="E467" s="178"/>
    </row>
    <row r="468">
      <c r="A468" s="178"/>
      <c r="B468" s="178"/>
      <c r="C468" s="178"/>
      <c r="D468" s="178"/>
      <c r="E468" s="178"/>
    </row>
    <row r="469">
      <c r="A469" s="178"/>
      <c r="B469" s="178"/>
      <c r="C469" s="178"/>
      <c r="D469" s="178"/>
      <c r="E469" s="178"/>
    </row>
    <row r="470">
      <c r="A470" s="178"/>
      <c r="B470" s="178"/>
      <c r="C470" s="178"/>
      <c r="D470" s="178"/>
      <c r="E470" s="178"/>
    </row>
    <row r="471">
      <c r="A471" s="178"/>
      <c r="B471" s="178"/>
      <c r="C471" s="178"/>
      <c r="D471" s="178"/>
      <c r="E471" s="178"/>
    </row>
    <row r="472">
      <c r="A472" s="178"/>
      <c r="B472" s="178"/>
      <c r="C472" s="178"/>
      <c r="D472" s="178"/>
      <c r="E472" s="178"/>
    </row>
    <row r="473">
      <c r="A473" s="178"/>
      <c r="B473" s="178"/>
      <c r="C473" s="178"/>
      <c r="D473" s="178"/>
      <c r="E473" s="178"/>
    </row>
    <row r="474">
      <c r="A474" s="178"/>
      <c r="B474" s="178"/>
      <c r="C474" s="178"/>
      <c r="D474" s="178"/>
      <c r="E474" s="178"/>
    </row>
    <row r="475">
      <c r="A475" s="178"/>
      <c r="B475" s="178"/>
      <c r="C475" s="178"/>
      <c r="D475" s="178"/>
      <c r="E475" s="178"/>
    </row>
    <row r="476">
      <c r="A476" s="178"/>
      <c r="B476" s="178"/>
      <c r="C476" s="178"/>
      <c r="D476" s="178"/>
      <c r="E476" s="178"/>
    </row>
    <row r="477">
      <c r="A477" s="178"/>
      <c r="B477" s="178"/>
      <c r="C477" s="178"/>
      <c r="D477" s="178"/>
      <c r="E477" s="178"/>
    </row>
    <row r="478">
      <c r="A478" s="178"/>
      <c r="B478" s="178"/>
      <c r="C478" s="178"/>
      <c r="D478" s="178"/>
      <c r="E478" s="178"/>
    </row>
    <row r="479">
      <c r="A479" s="178"/>
      <c r="B479" s="178"/>
      <c r="C479" s="178"/>
      <c r="D479" s="178"/>
      <c r="E479" s="178"/>
    </row>
    <row r="480">
      <c r="A480" s="178"/>
      <c r="B480" s="178"/>
      <c r="C480" s="178"/>
      <c r="D480" s="178"/>
      <c r="E480" s="178"/>
    </row>
    <row r="481">
      <c r="A481" s="178"/>
      <c r="B481" s="178"/>
      <c r="C481" s="178"/>
      <c r="D481" s="178"/>
      <c r="E481" s="178"/>
    </row>
    <row r="482">
      <c r="A482" s="178"/>
      <c r="B482" s="178"/>
      <c r="C482" s="178"/>
      <c r="D482" s="178"/>
      <c r="E482" s="178"/>
    </row>
    <row r="483">
      <c r="A483" s="178"/>
      <c r="B483" s="178"/>
      <c r="C483" s="178"/>
      <c r="D483" s="178"/>
      <c r="E483" s="178"/>
    </row>
    <row r="484">
      <c r="A484" s="178"/>
      <c r="B484" s="178"/>
      <c r="C484" s="178"/>
      <c r="D484" s="178"/>
      <c r="E484" s="178"/>
    </row>
    <row r="485">
      <c r="A485" s="178"/>
      <c r="B485" s="178"/>
      <c r="C485" s="178"/>
      <c r="D485" s="178"/>
      <c r="E485" s="178"/>
    </row>
    <row r="486">
      <c r="A486" s="178"/>
      <c r="B486" s="178"/>
      <c r="C486" s="178"/>
      <c r="D486" s="178"/>
      <c r="E486" s="178"/>
    </row>
    <row r="487">
      <c r="A487" s="178"/>
      <c r="B487" s="178"/>
      <c r="C487" s="178"/>
      <c r="D487" s="178"/>
      <c r="E487" s="178"/>
    </row>
    <row r="488">
      <c r="A488" s="178"/>
      <c r="B488" s="178"/>
      <c r="C488" s="178"/>
      <c r="D488" s="178"/>
      <c r="E488" s="178"/>
    </row>
    <row r="489">
      <c r="A489" s="178"/>
      <c r="B489" s="178"/>
      <c r="C489" s="178"/>
      <c r="D489" s="178"/>
      <c r="E489" s="178"/>
    </row>
    <row r="490">
      <c r="A490" s="178"/>
      <c r="B490" s="178"/>
      <c r="C490" s="178"/>
      <c r="D490" s="178"/>
      <c r="E490" s="178"/>
    </row>
    <row r="491">
      <c r="A491" s="178"/>
      <c r="B491" s="178"/>
      <c r="C491" s="178"/>
      <c r="D491" s="178"/>
      <c r="E491" s="178"/>
    </row>
    <row r="492">
      <c r="A492" s="178"/>
      <c r="B492" s="178"/>
      <c r="C492" s="178"/>
      <c r="D492" s="178"/>
      <c r="E492" s="178"/>
    </row>
    <row r="493">
      <c r="A493" s="178"/>
      <c r="B493" s="178"/>
      <c r="C493" s="178"/>
      <c r="D493" s="178"/>
      <c r="E493" s="178"/>
    </row>
    <row r="494">
      <c r="A494" s="178"/>
      <c r="B494" s="178"/>
      <c r="C494" s="178"/>
      <c r="D494" s="178"/>
      <c r="E494" s="178"/>
    </row>
    <row r="495">
      <c r="A495" s="178"/>
      <c r="B495" s="178"/>
      <c r="C495" s="178"/>
      <c r="D495" s="178"/>
      <c r="E495" s="178"/>
    </row>
    <row r="496">
      <c r="A496" s="178"/>
      <c r="B496" s="178"/>
      <c r="C496" s="178"/>
      <c r="D496" s="178"/>
      <c r="E496" s="178"/>
    </row>
    <row r="497">
      <c r="A497" s="178"/>
      <c r="B497" s="178"/>
      <c r="C497" s="178"/>
      <c r="D497" s="178"/>
      <c r="E497" s="178"/>
    </row>
    <row r="498">
      <c r="A498" s="178"/>
      <c r="B498" s="178"/>
      <c r="C498" s="178"/>
      <c r="D498" s="178"/>
      <c r="E498" s="178"/>
    </row>
    <row r="499">
      <c r="A499" s="178"/>
      <c r="B499" s="178"/>
      <c r="C499" s="178"/>
      <c r="D499" s="178"/>
      <c r="E499" s="178"/>
    </row>
    <row r="500">
      <c r="A500" s="178"/>
      <c r="B500" s="178"/>
      <c r="C500" s="178"/>
      <c r="D500" s="178"/>
      <c r="E500" s="178"/>
    </row>
    <row r="501">
      <c r="A501" s="178"/>
      <c r="B501" s="178"/>
      <c r="C501" s="178"/>
      <c r="D501" s="178"/>
      <c r="E501" s="178"/>
    </row>
    <row r="502">
      <c r="A502" s="178"/>
      <c r="B502" s="178"/>
      <c r="C502" s="178"/>
      <c r="D502" s="178"/>
      <c r="E502" s="178"/>
    </row>
    <row r="503">
      <c r="A503" s="178"/>
      <c r="B503" s="178"/>
      <c r="C503" s="178"/>
      <c r="D503" s="178"/>
      <c r="E503" s="178"/>
    </row>
    <row r="504">
      <c r="A504" s="178"/>
      <c r="B504" s="178"/>
      <c r="C504" s="178"/>
      <c r="D504" s="178"/>
      <c r="E504" s="178"/>
    </row>
    <row r="505">
      <c r="A505" s="178"/>
      <c r="B505" s="178"/>
      <c r="C505" s="178"/>
      <c r="D505" s="178"/>
      <c r="E505" s="178"/>
    </row>
    <row r="506">
      <c r="A506" s="178"/>
      <c r="B506" s="178"/>
      <c r="C506" s="178"/>
      <c r="D506" s="178"/>
      <c r="E506" s="178"/>
    </row>
    <row r="507">
      <c r="A507" s="178"/>
      <c r="B507" s="178"/>
      <c r="C507" s="178"/>
      <c r="D507" s="178"/>
      <c r="E507" s="178"/>
    </row>
    <row r="508">
      <c r="A508" s="178"/>
      <c r="B508" s="178"/>
      <c r="C508" s="178"/>
      <c r="D508" s="178"/>
      <c r="E508" s="178"/>
    </row>
    <row r="509">
      <c r="A509" s="178"/>
      <c r="B509" s="178"/>
      <c r="C509" s="178"/>
      <c r="D509" s="178"/>
      <c r="E509" s="178"/>
    </row>
    <row r="510">
      <c r="A510" s="178"/>
      <c r="B510" s="178"/>
      <c r="C510" s="178"/>
      <c r="D510" s="178"/>
      <c r="E510" s="178"/>
    </row>
    <row r="511">
      <c r="A511" s="178"/>
      <c r="B511" s="178"/>
      <c r="C511" s="178"/>
      <c r="D511" s="178"/>
      <c r="E511" s="178"/>
    </row>
    <row r="512">
      <c r="A512" s="178"/>
      <c r="B512" s="178"/>
      <c r="C512" s="178"/>
      <c r="D512" s="178"/>
      <c r="E512" s="178"/>
    </row>
    <row r="513">
      <c r="A513" s="178"/>
      <c r="B513" s="178"/>
      <c r="C513" s="178"/>
      <c r="D513" s="178"/>
      <c r="E513" s="178"/>
    </row>
    <row r="514">
      <c r="A514" s="178"/>
      <c r="B514" s="178"/>
      <c r="C514" s="178"/>
      <c r="D514" s="178"/>
      <c r="E514" s="178"/>
    </row>
    <row r="515">
      <c r="A515" s="178"/>
      <c r="B515" s="178"/>
      <c r="C515" s="178"/>
      <c r="D515" s="178"/>
      <c r="E515" s="178"/>
    </row>
    <row r="516">
      <c r="A516" s="178"/>
      <c r="B516" s="178"/>
      <c r="C516" s="178"/>
      <c r="D516" s="178"/>
      <c r="E516" s="178"/>
    </row>
    <row r="517">
      <c r="A517" s="178"/>
      <c r="B517" s="178"/>
      <c r="C517" s="178"/>
      <c r="D517" s="178"/>
      <c r="E517" s="178"/>
    </row>
    <row r="518">
      <c r="A518" s="178"/>
      <c r="B518" s="178"/>
      <c r="C518" s="178"/>
      <c r="D518" s="178"/>
      <c r="E518" s="178"/>
    </row>
    <row r="519">
      <c r="A519" s="178"/>
      <c r="B519" s="178"/>
      <c r="C519" s="178"/>
      <c r="D519" s="178"/>
      <c r="E519" s="178"/>
    </row>
    <row r="520">
      <c r="A520" s="178"/>
      <c r="B520" s="178"/>
      <c r="C520" s="178"/>
      <c r="D520" s="178"/>
      <c r="E520" s="178"/>
    </row>
    <row r="521">
      <c r="A521" s="178"/>
      <c r="B521" s="178"/>
      <c r="C521" s="178"/>
      <c r="D521" s="178"/>
      <c r="E521" s="178"/>
    </row>
    <row r="522">
      <c r="A522" s="178"/>
      <c r="B522" s="178"/>
      <c r="C522" s="178"/>
      <c r="D522" s="178"/>
      <c r="E522" s="178"/>
    </row>
    <row r="523">
      <c r="A523" s="178"/>
      <c r="B523" s="178"/>
      <c r="C523" s="178"/>
      <c r="D523" s="178"/>
      <c r="E523" s="178"/>
    </row>
    <row r="524">
      <c r="A524" s="178"/>
      <c r="B524" s="178"/>
      <c r="C524" s="178"/>
      <c r="D524" s="178"/>
      <c r="E524" s="178"/>
    </row>
    <row r="525">
      <c r="A525" s="178"/>
      <c r="B525" s="178"/>
      <c r="C525" s="178"/>
      <c r="D525" s="178"/>
      <c r="E525" s="178"/>
    </row>
    <row r="526">
      <c r="A526" s="178"/>
      <c r="B526" s="178"/>
      <c r="C526" s="178"/>
      <c r="D526" s="178"/>
      <c r="E526" s="178"/>
    </row>
    <row r="527">
      <c r="A527" s="178"/>
      <c r="B527" s="178"/>
      <c r="C527" s="178"/>
      <c r="D527" s="178"/>
      <c r="E527" s="178"/>
    </row>
    <row r="528">
      <c r="A528" s="178"/>
      <c r="B528" s="178"/>
      <c r="C528" s="178"/>
      <c r="D528" s="178"/>
      <c r="E528" s="178"/>
    </row>
    <row r="529">
      <c r="A529" s="178"/>
      <c r="B529" s="178"/>
      <c r="C529" s="178"/>
      <c r="D529" s="178"/>
      <c r="E529" s="178"/>
    </row>
    <row r="530">
      <c r="A530" s="178"/>
      <c r="B530" s="178"/>
      <c r="C530" s="178"/>
      <c r="D530" s="178"/>
      <c r="E530" s="178"/>
    </row>
    <row r="531">
      <c r="A531" s="178"/>
      <c r="B531" s="178"/>
      <c r="C531" s="178"/>
      <c r="D531" s="178"/>
      <c r="E531" s="178"/>
    </row>
    <row r="532">
      <c r="A532" s="178"/>
      <c r="B532" s="178"/>
      <c r="C532" s="178"/>
      <c r="D532" s="178"/>
      <c r="E532" s="178"/>
    </row>
    <row r="533">
      <c r="A533" s="178"/>
      <c r="B533" s="178"/>
      <c r="C533" s="178"/>
      <c r="D533" s="178"/>
      <c r="E533" s="178"/>
    </row>
    <row r="534">
      <c r="A534" s="178"/>
      <c r="B534" s="178"/>
      <c r="C534" s="178"/>
      <c r="D534" s="178"/>
      <c r="E534" s="178"/>
    </row>
    <row r="535">
      <c r="A535" s="178"/>
      <c r="B535" s="178"/>
      <c r="C535" s="178"/>
      <c r="D535" s="178"/>
      <c r="E535" s="178"/>
    </row>
    <row r="536">
      <c r="A536" s="178"/>
      <c r="B536" s="178"/>
      <c r="C536" s="178"/>
      <c r="D536" s="178"/>
      <c r="E536" s="178"/>
    </row>
    <row r="537">
      <c r="A537" s="178"/>
      <c r="B537" s="178"/>
      <c r="C537" s="178"/>
      <c r="D537" s="178"/>
      <c r="E537" s="178"/>
    </row>
    <row r="538">
      <c r="A538" s="178"/>
      <c r="B538" s="178"/>
      <c r="C538" s="178"/>
      <c r="D538" s="178"/>
      <c r="E538" s="178"/>
    </row>
    <row r="539">
      <c r="A539" s="178"/>
      <c r="B539" s="178"/>
      <c r="C539" s="178"/>
      <c r="D539" s="178"/>
      <c r="E539" s="178"/>
    </row>
    <row r="540">
      <c r="A540" s="178"/>
      <c r="B540" s="178"/>
      <c r="C540" s="178"/>
      <c r="D540" s="178"/>
      <c r="E540" s="178"/>
    </row>
    <row r="541">
      <c r="A541" s="178"/>
      <c r="B541" s="178"/>
      <c r="C541" s="178"/>
      <c r="D541" s="178"/>
      <c r="E541" s="178"/>
    </row>
    <row r="542">
      <c r="A542" s="178"/>
      <c r="B542" s="178"/>
      <c r="C542" s="178"/>
      <c r="D542" s="178"/>
      <c r="E542" s="178"/>
    </row>
    <row r="543">
      <c r="A543" s="178"/>
      <c r="B543" s="178"/>
      <c r="C543" s="178"/>
      <c r="D543" s="178"/>
      <c r="E543" s="178"/>
    </row>
    <row r="544">
      <c r="A544" s="178"/>
      <c r="B544" s="178"/>
      <c r="C544" s="178"/>
      <c r="D544" s="178"/>
      <c r="E544" s="178"/>
    </row>
    <row r="545">
      <c r="A545" s="178"/>
      <c r="B545" s="178"/>
      <c r="C545" s="178"/>
      <c r="D545" s="178"/>
      <c r="E545" s="178"/>
    </row>
    <row r="546">
      <c r="A546" s="178"/>
      <c r="B546" s="178"/>
      <c r="C546" s="178"/>
      <c r="D546" s="178"/>
      <c r="E546" s="178"/>
    </row>
    <row r="547">
      <c r="A547" s="178"/>
      <c r="B547" s="178"/>
      <c r="C547" s="178"/>
      <c r="D547" s="178"/>
      <c r="E547" s="178"/>
    </row>
    <row r="548">
      <c r="A548" s="178"/>
      <c r="B548" s="178"/>
      <c r="C548" s="178"/>
      <c r="D548" s="178"/>
      <c r="E548" s="178"/>
    </row>
    <row r="549">
      <c r="A549" s="178"/>
      <c r="B549" s="178"/>
      <c r="C549" s="178"/>
      <c r="D549" s="178"/>
      <c r="E549" s="178"/>
    </row>
    <row r="550">
      <c r="A550" s="178"/>
      <c r="B550" s="178"/>
      <c r="C550" s="178"/>
      <c r="D550" s="178"/>
      <c r="E550" s="178"/>
    </row>
    <row r="551">
      <c r="A551" s="178"/>
      <c r="B551" s="178"/>
      <c r="C551" s="178"/>
      <c r="D551" s="178"/>
      <c r="E551" s="178"/>
    </row>
    <row r="552">
      <c r="A552" s="178"/>
      <c r="B552" s="178"/>
      <c r="C552" s="178"/>
      <c r="D552" s="178"/>
      <c r="E552" s="178"/>
    </row>
    <row r="553">
      <c r="A553" s="178"/>
      <c r="B553" s="178"/>
      <c r="C553" s="178"/>
      <c r="D553" s="178"/>
      <c r="E553" s="178"/>
    </row>
    <row r="554">
      <c r="A554" s="178"/>
      <c r="B554" s="178"/>
      <c r="C554" s="178"/>
      <c r="D554" s="178"/>
      <c r="E554" s="178"/>
    </row>
    <row r="555">
      <c r="A555" s="178"/>
      <c r="B555" s="178"/>
      <c r="C555" s="178"/>
      <c r="D555" s="178"/>
      <c r="E555" s="178"/>
    </row>
    <row r="556">
      <c r="A556" s="178"/>
      <c r="B556" s="178"/>
      <c r="C556" s="178"/>
      <c r="D556" s="178"/>
      <c r="E556" s="178"/>
    </row>
    <row r="557">
      <c r="A557" s="178"/>
      <c r="B557" s="178"/>
      <c r="C557" s="178"/>
      <c r="D557" s="178"/>
      <c r="E557" s="178"/>
    </row>
    <row r="558">
      <c r="A558" s="178"/>
      <c r="B558" s="178"/>
      <c r="C558" s="178"/>
      <c r="D558" s="178"/>
      <c r="E558" s="178"/>
    </row>
    <row r="559">
      <c r="A559" s="178"/>
      <c r="B559" s="178"/>
      <c r="C559" s="178"/>
      <c r="D559" s="178"/>
      <c r="E559" s="178"/>
    </row>
    <row r="560">
      <c r="A560" s="178"/>
      <c r="B560" s="178"/>
      <c r="C560" s="178"/>
      <c r="D560" s="178"/>
      <c r="E560" s="178"/>
    </row>
    <row r="561">
      <c r="A561" s="178"/>
      <c r="B561" s="178"/>
      <c r="C561" s="178"/>
      <c r="D561" s="178"/>
      <c r="E561" s="178"/>
    </row>
    <row r="562">
      <c r="A562" s="178"/>
      <c r="B562" s="178"/>
      <c r="C562" s="178"/>
      <c r="D562" s="178"/>
      <c r="E562" s="178"/>
    </row>
    <row r="563">
      <c r="A563" s="178"/>
      <c r="B563" s="178"/>
      <c r="C563" s="178"/>
      <c r="D563" s="178"/>
      <c r="E563" s="178"/>
    </row>
    <row r="564">
      <c r="A564" s="178"/>
      <c r="B564" s="178"/>
      <c r="C564" s="178"/>
      <c r="D564" s="178"/>
      <c r="E564" s="178"/>
    </row>
    <row r="565">
      <c r="A565" s="178"/>
      <c r="B565" s="178"/>
      <c r="C565" s="178"/>
      <c r="D565" s="178"/>
      <c r="E565" s="178"/>
    </row>
    <row r="566">
      <c r="A566" s="178"/>
      <c r="B566" s="178"/>
      <c r="C566" s="178"/>
      <c r="D566" s="178"/>
      <c r="E566" s="178"/>
    </row>
    <row r="567">
      <c r="A567" s="178"/>
      <c r="B567" s="178"/>
      <c r="C567" s="178"/>
      <c r="D567" s="178"/>
      <c r="E567" s="178"/>
    </row>
    <row r="568">
      <c r="A568" s="178"/>
      <c r="B568" s="178"/>
      <c r="C568" s="178"/>
      <c r="D568" s="178"/>
      <c r="E568" s="178"/>
    </row>
    <row r="569">
      <c r="A569" s="178"/>
      <c r="B569" s="178"/>
      <c r="C569" s="178"/>
      <c r="D569" s="178"/>
      <c r="E569" s="178"/>
    </row>
    <row r="570">
      <c r="A570" s="178"/>
      <c r="B570" s="178"/>
      <c r="C570" s="178"/>
      <c r="D570" s="178"/>
      <c r="E570" s="178"/>
    </row>
    <row r="571">
      <c r="A571" s="178"/>
      <c r="B571" s="178"/>
      <c r="C571" s="178"/>
      <c r="D571" s="178"/>
      <c r="E571" s="178"/>
    </row>
    <row r="572">
      <c r="A572" s="178"/>
      <c r="B572" s="178"/>
      <c r="C572" s="178"/>
      <c r="D572" s="178"/>
      <c r="E572" s="178"/>
    </row>
    <row r="573">
      <c r="A573" s="178"/>
      <c r="B573" s="178"/>
      <c r="C573" s="178"/>
      <c r="D573" s="178"/>
      <c r="E573" s="178"/>
    </row>
    <row r="574">
      <c r="A574" s="178"/>
      <c r="B574" s="178"/>
      <c r="C574" s="178"/>
      <c r="D574" s="178"/>
      <c r="E574" s="178"/>
    </row>
    <row r="575">
      <c r="A575" s="178"/>
      <c r="B575" s="178"/>
      <c r="C575" s="178"/>
      <c r="D575" s="178"/>
      <c r="E575" s="178"/>
    </row>
    <row r="576">
      <c r="A576" s="178"/>
      <c r="B576" s="178"/>
      <c r="C576" s="178"/>
      <c r="D576" s="178"/>
      <c r="E576" s="178"/>
    </row>
    <row r="577">
      <c r="A577" s="178"/>
      <c r="B577" s="178"/>
      <c r="C577" s="178"/>
      <c r="D577" s="178"/>
      <c r="E577" s="178"/>
    </row>
    <row r="578">
      <c r="A578" s="178"/>
      <c r="B578" s="178"/>
      <c r="C578" s="178"/>
      <c r="D578" s="178"/>
      <c r="E578" s="178"/>
    </row>
    <row r="579">
      <c r="A579" s="178"/>
      <c r="B579" s="178"/>
      <c r="C579" s="178"/>
      <c r="D579" s="178"/>
      <c r="E579" s="178"/>
    </row>
    <row r="580">
      <c r="A580" s="178"/>
      <c r="B580" s="178"/>
      <c r="C580" s="178"/>
      <c r="D580" s="178"/>
      <c r="E580" s="178"/>
    </row>
    <row r="581">
      <c r="A581" s="178"/>
      <c r="B581" s="178"/>
      <c r="C581" s="178"/>
      <c r="D581" s="178"/>
      <c r="E581" s="178"/>
    </row>
    <row r="582">
      <c r="A582" s="178"/>
      <c r="B582" s="178"/>
      <c r="C582" s="178"/>
      <c r="D582" s="178"/>
      <c r="E582" s="178"/>
    </row>
    <row r="583">
      <c r="A583" s="178"/>
      <c r="B583" s="178"/>
      <c r="C583" s="178"/>
      <c r="D583" s="178"/>
      <c r="E583" s="178"/>
    </row>
    <row r="584">
      <c r="A584" s="178"/>
      <c r="B584" s="178"/>
      <c r="C584" s="178"/>
      <c r="D584" s="178"/>
      <c r="E584" s="178"/>
    </row>
    <row r="585">
      <c r="A585" s="178"/>
      <c r="B585" s="178"/>
      <c r="C585" s="178"/>
      <c r="D585" s="178"/>
      <c r="E585" s="178"/>
    </row>
    <row r="586">
      <c r="A586" s="178"/>
      <c r="B586" s="178"/>
      <c r="C586" s="178"/>
      <c r="D586" s="178"/>
      <c r="E586" s="178"/>
    </row>
    <row r="587">
      <c r="A587" s="178"/>
      <c r="B587" s="178"/>
      <c r="C587" s="178"/>
      <c r="D587" s="178"/>
      <c r="E587" s="178"/>
    </row>
    <row r="588">
      <c r="A588" s="178"/>
      <c r="B588" s="178"/>
      <c r="C588" s="178"/>
      <c r="D588" s="178"/>
      <c r="E588" s="178"/>
    </row>
    <row r="589">
      <c r="A589" s="178"/>
      <c r="B589" s="178"/>
      <c r="C589" s="178"/>
      <c r="D589" s="178"/>
      <c r="E589" s="178"/>
    </row>
    <row r="590">
      <c r="A590" s="178"/>
      <c r="B590" s="178"/>
      <c r="C590" s="178"/>
      <c r="D590" s="178"/>
      <c r="E590" s="178"/>
    </row>
    <row r="591">
      <c r="A591" s="178"/>
      <c r="B591" s="178"/>
      <c r="C591" s="178"/>
      <c r="D591" s="178"/>
      <c r="E591" s="178"/>
    </row>
    <row r="592">
      <c r="A592" s="178"/>
      <c r="B592" s="178"/>
      <c r="C592" s="178"/>
      <c r="D592" s="178"/>
      <c r="E592" s="178"/>
    </row>
    <row r="593">
      <c r="A593" s="178"/>
      <c r="B593" s="178"/>
      <c r="C593" s="178"/>
      <c r="D593" s="178"/>
      <c r="E593" s="178"/>
    </row>
    <row r="594">
      <c r="A594" s="178"/>
      <c r="B594" s="178"/>
      <c r="C594" s="178"/>
      <c r="D594" s="178"/>
      <c r="E594" s="178"/>
    </row>
    <row r="595">
      <c r="A595" s="178"/>
      <c r="B595" s="178"/>
      <c r="C595" s="178"/>
      <c r="D595" s="178"/>
      <c r="E595" s="178"/>
    </row>
    <row r="596">
      <c r="A596" s="178"/>
      <c r="B596" s="178"/>
      <c r="C596" s="178"/>
      <c r="D596" s="178"/>
      <c r="E596" s="178"/>
    </row>
    <row r="597">
      <c r="A597" s="178"/>
      <c r="B597" s="178"/>
      <c r="C597" s="178"/>
      <c r="D597" s="178"/>
      <c r="E597" s="178"/>
    </row>
    <row r="598">
      <c r="A598" s="178"/>
      <c r="B598" s="178"/>
      <c r="C598" s="178"/>
      <c r="D598" s="178"/>
      <c r="E598" s="178"/>
    </row>
    <row r="599">
      <c r="A599" s="178"/>
      <c r="B599" s="178"/>
      <c r="C599" s="178"/>
      <c r="D599" s="178"/>
      <c r="E599" s="178"/>
    </row>
    <row r="600">
      <c r="A600" s="178"/>
      <c r="B600" s="178"/>
      <c r="C600" s="178"/>
      <c r="D600" s="178"/>
      <c r="E600" s="178"/>
    </row>
    <row r="601">
      <c r="A601" s="178"/>
      <c r="B601" s="178"/>
      <c r="C601" s="178"/>
      <c r="D601" s="178"/>
      <c r="E601" s="178"/>
    </row>
    <row r="602">
      <c r="A602" s="178"/>
      <c r="B602" s="178"/>
      <c r="C602" s="178"/>
      <c r="D602" s="178"/>
      <c r="E602" s="178"/>
    </row>
    <row r="603">
      <c r="A603" s="178"/>
      <c r="B603" s="178"/>
      <c r="C603" s="178"/>
      <c r="D603" s="178"/>
      <c r="E603" s="178"/>
    </row>
    <row r="604">
      <c r="A604" s="178"/>
      <c r="B604" s="178"/>
      <c r="C604" s="178"/>
      <c r="D604" s="178"/>
      <c r="E604" s="178"/>
    </row>
    <row r="605">
      <c r="A605" s="178"/>
      <c r="B605" s="178"/>
      <c r="C605" s="178"/>
      <c r="D605" s="178"/>
      <c r="E605" s="178"/>
    </row>
    <row r="606">
      <c r="A606" s="178"/>
      <c r="B606" s="178"/>
      <c r="C606" s="178"/>
      <c r="D606" s="178"/>
      <c r="E606" s="178"/>
    </row>
    <row r="607">
      <c r="A607" s="178"/>
      <c r="B607" s="178"/>
      <c r="C607" s="178"/>
      <c r="D607" s="178"/>
      <c r="E607" s="178"/>
    </row>
    <row r="608">
      <c r="A608" s="178"/>
      <c r="B608" s="178"/>
      <c r="C608" s="178"/>
      <c r="D608" s="178"/>
      <c r="E608" s="178"/>
    </row>
    <row r="609">
      <c r="A609" s="178"/>
      <c r="B609" s="178"/>
      <c r="C609" s="178"/>
      <c r="D609" s="178"/>
      <c r="E609" s="178"/>
    </row>
    <row r="610">
      <c r="A610" s="178"/>
      <c r="B610" s="178"/>
      <c r="C610" s="178"/>
      <c r="D610" s="178"/>
      <c r="E610" s="178"/>
    </row>
    <row r="611">
      <c r="A611" s="178"/>
      <c r="B611" s="178"/>
      <c r="C611" s="178"/>
      <c r="D611" s="178"/>
      <c r="E611" s="178"/>
    </row>
    <row r="612">
      <c r="A612" s="178"/>
      <c r="B612" s="178"/>
      <c r="C612" s="178"/>
      <c r="D612" s="178"/>
      <c r="E612" s="178"/>
    </row>
    <row r="613">
      <c r="A613" s="178"/>
      <c r="B613" s="178"/>
      <c r="C613" s="178"/>
      <c r="D613" s="178"/>
      <c r="E613" s="178"/>
    </row>
    <row r="614">
      <c r="A614" s="178"/>
      <c r="B614" s="178"/>
      <c r="C614" s="178"/>
      <c r="D614" s="178"/>
      <c r="E614" s="178"/>
    </row>
    <row r="615">
      <c r="A615" s="178"/>
      <c r="B615" s="178"/>
      <c r="C615" s="178"/>
      <c r="D615" s="178"/>
      <c r="E615" s="178"/>
    </row>
    <row r="616">
      <c r="A616" s="178"/>
      <c r="B616" s="178"/>
      <c r="C616" s="178"/>
      <c r="D616" s="178"/>
      <c r="E616" s="178"/>
    </row>
    <row r="617">
      <c r="A617" s="178"/>
      <c r="B617" s="178"/>
      <c r="C617" s="178"/>
      <c r="D617" s="178"/>
      <c r="E617" s="178"/>
    </row>
    <row r="618">
      <c r="A618" s="178"/>
      <c r="B618" s="178"/>
      <c r="C618" s="178"/>
      <c r="D618" s="178"/>
      <c r="E618" s="178"/>
    </row>
    <row r="619">
      <c r="A619" s="178"/>
      <c r="B619" s="178"/>
      <c r="C619" s="178"/>
      <c r="D619" s="178"/>
      <c r="E619" s="178"/>
    </row>
    <row r="620">
      <c r="A620" s="178"/>
      <c r="B620" s="178"/>
      <c r="C620" s="178"/>
      <c r="D620" s="178"/>
      <c r="E620" s="178"/>
    </row>
    <row r="621">
      <c r="A621" s="178"/>
      <c r="B621" s="178"/>
      <c r="C621" s="178"/>
      <c r="D621" s="178"/>
      <c r="E621" s="178"/>
    </row>
    <row r="622">
      <c r="A622" s="178"/>
      <c r="B622" s="178"/>
      <c r="C622" s="178"/>
      <c r="D622" s="178"/>
      <c r="E622" s="178"/>
    </row>
    <row r="623">
      <c r="A623" s="178"/>
      <c r="B623" s="178"/>
      <c r="C623" s="178"/>
      <c r="D623" s="178"/>
      <c r="E623" s="178"/>
    </row>
    <row r="624">
      <c r="A624" s="178"/>
      <c r="B624" s="178"/>
      <c r="C624" s="178"/>
      <c r="D624" s="178"/>
      <c r="E624" s="178"/>
    </row>
    <row r="625">
      <c r="A625" s="178"/>
      <c r="B625" s="178"/>
      <c r="C625" s="178"/>
      <c r="D625" s="178"/>
      <c r="E625" s="178"/>
    </row>
    <row r="626">
      <c r="A626" s="178"/>
      <c r="B626" s="178"/>
      <c r="C626" s="178"/>
      <c r="D626" s="178"/>
      <c r="E626" s="178"/>
    </row>
    <row r="627">
      <c r="A627" s="178"/>
      <c r="B627" s="178"/>
      <c r="C627" s="178"/>
      <c r="D627" s="178"/>
      <c r="E627" s="178"/>
    </row>
    <row r="628">
      <c r="A628" s="178"/>
      <c r="B628" s="178"/>
      <c r="C628" s="178"/>
      <c r="D628" s="178"/>
      <c r="E628" s="178"/>
    </row>
    <row r="629">
      <c r="A629" s="178"/>
      <c r="B629" s="178"/>
      <c r="C629" s="178"/>
      <c r="D629" s="178"/>
      <c r="E629" s="178"/>
    </row>
    <row r="630">
      <c r="A630" s="178"/>
      <c r="B630" s="178"/>
      <c r="C630" s="178"/>
      <c r="D630" s="178"/>
      <c r="E630" s="178"/>
    </row>
    <row r="631">
      <c r="A631" s="178"/>
      <c r="B631" s="178"/>
      <c r="C631" s="178"/>
      <c r="D631" s="178"/>
      <c r="E631" s="178"/>
    </row>
    <row r="632">
      <c r="A632" s="178"/>
      <c r="B632" s="178"/>
      <c r="C632" s="178"/>
      <c r="D632" s="178"/>
      <c r="E632" s="178"/>
    </row>
    <row r="633">
      <c r="A633" s="178"/>
      <c r="B633" s="178"/>
      <c r="C633" s="178"/>
      <c r="D633" s="178"/>
      <c r="E633" s="178"/>
    </row>
    <row r="634">
      <c r="A634" s="178"/>
      <c r="B634" s="178"/>
      <c r="C634" s="178"/>
      <c r="D634" s="178"/>
      <c r="E634" s="178"/>
    </row>
    <row r="635">
      <c r="A635" s="178"/>
      <c r="B635" s="178"/>
      <c r="C635" s="178"/>
      <c r="D635" s="178"/>
      <c r="E635" s="178"/>
    </row>
    <row r="636">
      <c r="A636" s="178"/>
      <c r="B636" s="178"/>
      <c r="C636" s="178"/>
      <c r="D636" s="178"/>
      <c r="E636" s="178"/>
    </row>
    <row r="637">
      <c r="A637" s="178"/>
      <c r="B637" s="178"/>
      <c r="C637" s="178"/>
      <c r="D637" s="178"/>
      <c r="E637" s="178"/>
    </row>
    <row r="638">
      <c r="A638" s="178"/>
      <c r="B638" s="178"/>
      <c r="C638" s="178"/>
      <c r="D638" s="178"/>
      <c r="E638" s="178"/>
    </row>
    <row r="639">
      <c r="A639" s="178"/>
      <c r="B639" s="178"/>
      <c r="C639" s="178"/>
      <c r="D639" s="178"/>
      <c r="E639" s="178"/>
    </row>
    <row r="640">
      <c r="A640" s="178"/>
      <c r="B640" s="178"/>
      <c r="C640" s="178"/>
      <c r="D640" s="178"/>
      <c r="E640" s="178"/>
    </row>
    <row r="641">
      <c r="A641" s="178"/>
      <c r="B641" s="178"/>
      <c r="C641" s="178"/>
      <c r="D641" s="178"/>
      <c r="E641" s="178"/>
    </row>
    <row r="642">
      <c r="A642" s="178"/>
      <c r="B642" s="178"/>
      <c r="C642" s="178"/>
      <c r="D642" s="178"/>
      <c r="E642" s="178"/>
    </row>
    <row r="643">
      <c r="A643" s="178"/>
      <c r="B643" s="178"/>
      <c r="C643" s="178"/>
      <c r="D643" s="178"/>
      <c r="E643" s="178"/>
    </row>
    <row r="644">
      <c r="A644" s="178"/>
      <c r="B644" s="178"/>
      <c r="C644" s="178"/>
      <c r="D644" s="178"/>
      <c r="E644" s="178"/>
    </row>
    <row r="645">
      <c r="A645" s="178"/>
      <c r="B645" s="178"/>
      <c r="C645" s="178"/>
      <c r="D645" s="178"/>
      <c r="E645" s="178"/>
    </row>
    <row r="646">
      <c r="A646" s="178"/>
      <c r="B646" s="178"/>
      <c r="C646" s="178"/>
      <c r="D646" s="178"/>
      <c r="E646" s="178"/>
    </row>
    <row r="647">
      <c r="A647" s="178"/>
      <c r="B647" s="178"/>
      <c r="C647" s="178"/>
      <c r="D647" s="178"/>
      <c r="E647" s="178"/>
    </row>
    <row r="648">
      <c r="A648" s="178"/>
      <c r="B648" s="178"/>
      <c r="C648" s="178"/>
      <c r="D648" s="178"/>
      <c r="E648" s="178"/>
    </row>
    <row r="649">
      <c r="A649" s="178"/>
      <c r="B649" s="178"/>
      <c r="C649" s="178"/>
      <c r="D649" s="178"/>
      <c r="E649" s="178"/>
    </row>
    <row r="650">
      <c r="A650" s="178"/>
      <c r="B650" s="178"/>
      <c r="C650" s="178"/>
      <c r="D650" s="178"/>
      <c r="E650" s="178"/>
    </row>
    <row r="651">
      <c r="A651" s="178"/>
      <c r="B651" s="178"/>
      <c r="C651" s="178"/>
      <c r="D651" s="178"/>
      <c r="E651" s="178"/>
    </row>
    <row r="652">
      <c r="A652" s="178"/>
      <c r="B652" s="178"/>
      <c r="C652" s="178"/>
      <c r="D652" s="178"/>
      <c r="E652" s="178"/>
    </row>
    <row r="653">
      <c r="A653" s="178"/>
      <c r="B653" s="178"/>
      <c r="C653" s="178"/>
      <c r="D653" s="178"/>
      <c r="E653" s="178"/>
    </row>
    <row r="654">
      <c r="A654" s="178"/>
      <c r="B654" s="178"/>
      <c r="C654" s="178"/>
      <c r="D654" s="178"/>
      <c r="E654" s="178"/>
    </row>
    <row r="655">
      <c r="A655" s="178"/>
      <c r="B655" s="178"/>
      <c r="C655" s="178"/>
      <c r="D655" s="178"/>
      <c r="E655" s="178"/>
    </row>
    <row r="656">
      <c r="A656" s="178"/>
      <c r="B656" s="178"/>
      <c r="C656" s="178"/>
      <c r="D656" s="178"/>
      <c r="E656" s="178"/>
    </row>
    <row r="657">
      <c r="A657" s="178"/>
      <c r="B657" s="178"/>
      <c r="C657" s="178"/>
      <c r="D657" s="178"/>
      <c r="E657" s="178"/>
    </row>
    <row r="658">
      <c r="A658" s="178"/>
      <c r="B658" s="178"/>
      <c r="C658" s="178"/>
      <c r="D658" s="178"/>
      <c r="E658" s="178"/>
    </row>
    <row r="659">
      <c r="A659" s="178"/>
      <c r="B659" s="178"/>
      <c r="C659" s="178"/>
      <c r="D659" s="178"/>
      <c r="E659" s="178"/>
    </row>
    <row r="660">
      <c r="A660" s="178"/>
      <c r="B660" s="178"/>
      <c r="C660" s="178"/>
      <c r="D660" s="178"/>
      <c r="E660" s="178"/>
    </row>
    <row r="661">
      <c r="A661" s="178"/>
      <c r="B661" s="178"/>
      <c r="C661" s="178"/>
      <c r="D661" s="178"/>
      <c r="E661" s="178"/>
    </row>
    <row r="662">
      <c r="A662" s="178"/>
      <c r="B662" s="178"/>
      <c r="C662" s="178"/>
      <c r="D662" s="178"/>
      <c r="E662" s="178"/>
    </row>
    <row r="663">
      <c r="A663" s="178"/>
      <c r="B663" s="178"/>
      <c r="C663" s="178"/>
      <c r="D663" s="178"/>
      <c r="E663" s="178"/>
    </row>
    <row r="664">
      <c r="A664" s="178"/>
      <c r="B664" s="178"/>
      <c r="C664" s="178"/>
      <c r="D664" s="178"/>
      <c r="E664" s="178"/>
    </row>
    <row r="665">
      <c r="A665" s="178"/>
      <c r="B665" s="178"/>
      <c r="C665" s="178"/>
      <c r="D665" s="178"/>
      <c r="E665" s="178"/>
    </row>
    <row r="666">
      <c r="A666" s="178"/>
      <c r="B666" s="178"/>
      <c r="C666" s="178"/>
      <c r="D666" s="178"/>
      <c r="E666" s="178"/>
    </row>
    <row r="667">
      <c r="A667" s="178"/>
      <c r="B667" s="178"/>
      <c r="C667" s="178"/>
      <c r="D667" s="178"/>
      <c r="E667" s="178"/>
    </row>
    <row r="668">
      <c r="A668" s="178"/>
      <c r="B668" s="178"/>
      <c r="C668" s="178"/>
      <c r="D668" s="178"/>
      <c r="E668" s="178"/>
    </row>
    <row r="669">
      <c r="A669" s="178"/>
      <c r="B669" s="178"/>
      <c r="C669" s="178"/>
      <c r="D669" s="178"/>
      <c r="E669" s="178"/>
    </row>
    <row r="670">
      <c r="A670" s="178"/>
      <c r="B670" s="178"/>
      <c r="C670" s="178"/>
      <c r="D670" s="178"/>
      <c r="E670" s="178"/>
    </row>
    <row r="671">
      <c r="A671" s="178"/>
      <c r="B671" s="178"/>
      <c r="C671" s="178"/>
      <c r="D671" s="178"/>
      <c r="E671" s="178"/>
    </row>
    <row r="672">
      <c r="A672" s="178"/>
      <c r="B672" s="178"/>
      <c r="C672" s="178"/>
      <c r="D672" s="178"/>
      <c r="E672" s="178"/>
    </row>
    <row r="673">
      <c r="A673" s="178"/>
      <c r="B673" s="178"/>
      <c r="C673" s="178"/>
      <c r="D673" s="178"/>
      <c r="E673" s="178"/>
    </row>
    <row r="674">
      <c r="A674" s="178"/>
      <c r="B674" s="178"/>
      <c r="C674" s="178"/>
      <c r="D674" s="178"/>
      <c r="E674" s="178"/>
    </row>
    <row r="675">
      <c r="A675" s="178"/>
      <c r="B675" s="178"/>
      <c r="C675" s="178"/>
      <c r="D675" s="178"/>
      <c r="E675" s="178"/>
    </row>
    <row r="676">
      <c r="A676" s="178"/>
      <c r="B676" s="178"/>
      <c r="C676" s="178"/>
      <c r="D676" s="178"/>
      <c r="E676" s="178"/>
    </row>
    <row r="677">
      <c r="A677" s="178"/>
      <c r="B677" s="178"/>
      <c r="C677" s="178"/>
      <c r="D677" s="178"/>
      <c r="E677" s="178"/>
    </row>
    <row r="678">
      <c r="A678" s="178"/>
      <c r="B678" s="178"/>
      <c r="C678" s="178"/>
      <c r="D678" s="178"/>
      <c r="E678" s="178"/>
    </row>
    <row r="679">
      <c r="A679" s="178"/>
      <c r="B679" s="178"/>
      <c r="C679" s="178"/>
      <c r="D679" s="178"/>
      <c r="E679" s="178"/>
    </row>
    <row r="680">
      <c r="A680" s="178"/>
      <c r="B680" s="178"/>
      <c r="C680" s="178"/>
      <c r="D680" s="178"/>
      <c r="E680" s="178"/>
    </row>
    <row r="681">
      <c r="A681" s="178"/>
      <c r="B681" s="178"/>
      <c r="C681" s="178"/>
      <c r="D681" s="178"/>
      <c r="E681" s="178"/>
    </row>
    <row r="682">
      <c r="A682" s="178"/>
      <c r="B682" s="178"/>
      <c r="C682" s="178"/>
      <c r="D682" s="178"/>
      <c r="E682" s="178"/>
    </row>
    <row r="683">
      <c r="A683" s="178"/>
      <c r="B683" s="178"/>
      <c r="C683" s="178"/>
      <c r="D683" s="178"/>
      <c r="E683" s="178"/>
    </row>
    <row r="684">
      <c r="A684" s="178"/>
      <c r="B684" s="178"/>
      <c r="C684" s="178"/>
      <c r="D684" s="178"/>
      <c r="E684" s="178"/>
    </row>
    <row r="685">
      <c r="A685" s="178"/>
      <c r="B685" s="178"/>
      <c r="C685" s="178"/>
      <c r="D685" s="178"/>
      <c r="E685" s="178"/>
    </row>
    <row r="686">
      <c r="A686" s="178"/>
      <c r="B686" s="178"/>
      <c r="C686" s="178"/>
      <c r="D686" s="178"/>
      <c r="E686" s="178"/>
    </row>
    <row r="687">
      <c r="A687" s="178"/>
      <c r="B687" s="178"/>
      <c r="C687" s="178"/>
      <c r="D687" s="178"/>
      <c r="E687" s="178"/>
    </row>
    <row r="688">
      <c r="A688" s="178"/>
      <c r="B688" s="178"/>
      <c r="C688" s="178"/>
      <c r="D688" s="178"/>
      <c r="E688" s="178"/>
    </row>
    <row r="689">
      <c r="A689" s="178"/>
      <c r="B689" s="178"/>
      <c r="C689" s="178"/>
      <c r="D689" s="178"/>
      <c r="E689" s="178"/>
    </row>
    <row r="690">
      <c r="A690" s="178"/>
      <c r="B690" s="178"/>
      <c r="C690" s="178"/>
      <c r="D690" s="178"/>
      <c r="E690" s="178"/>
    </row>
    <row r="691">
      <c r="A691" s="178"/>
      <c r="B691" s="178"/>
      <c r="C691" s="178"/>
      <c r="D691" s="178"/>
      <c r="E691" s="178"/>
    </row>
    <row r="692">
      <c r="A692" s="178"/>
      <c r="B692" s="178"/>
      <c r="C692" s="178"/>
      <c r="D692" s="178"/>
      <c r="E692" s="178"/>
    </row>
    <row r="693">
      <c r="A693" s="178"/>
      <c r="B693" s="178"/>
      <c r="C693" s="178"/>
      <c r="D693" s="178"/>
      <c r="E693" s="178"/>
    </row>
    <row r="694">
      <c r="A694" s="178"/>
      <c r="B694" s="178"/>
      <c r="C694" s="178"/>
      <c r="D694" s="178"/>
      <c r="E694" s="178"/>
    </row>
    <row r="695">
      <c r="A695" s="178"/>
      <c r="B695" s="178"/>
      <c r="C695" s="178"/>
      <c r="D695" s="178"/>
      <c r="E695" s="178"/>
    </row>
    <row r="696">
      <c r="A696" s="178"/>
      <c r="B696" s="178"/>
      <c r="C696" s="178"/>
      <c r="D696" s="178"/>
      <c r="E696" s="178"/>
    </row>
    <row r="697">
      <c r="A697" s="178"/>
      <c r="B697" s="178"/>
      <c r="C697" s="178"/>
      <c r="D697" s="178"/>
      <c r="E697" s="178"/>
    </row>
    <row r="698">
      <c r="A698" s="178"/>
      <c r="B698" s="178"/>
      <c r="C698" s="178"/>
      <c r="D698" s="178"/>
      <c r="E698" s="178"/>
    </row>
    <row r="699">
      <c r="A699" s="178"/>
      <c r="B699" s="178"/>
      <c r="C699" s="178"/>
      <c r="D699" s="178"/>
      <c r="E699" s="178"/>
    </row>
    <row r="700">
      <c r="A700" s="178"/>
      <c r="B700" s="178"/>
      <c r="C700" s="178"/>
      <c r="D700" s="178"/>
      <c r="E700" s="178"/>
    </row>
    <row r="701">
      <c r="A701" s="178"/>
      <c r="B701" s="178"/>
      <c r="C701" s="178"/>
      <c r="D701" s="178"/>
      <c r="E701" s="178"/>
    </row>
    <row r="702">
      <c r="A702" s="178"/>
      <c r="B702" s="178"/>
      <c r="C702" s="178"/>
      <c r="D702" s="178"/>
      <c r="E702" s="178"/>
    </row>
    <row r="703">
      <c r="A703" s="178"/>
      <c r="B703" s="178"/>
      <c r="C703" s="178"/>
      <c r="D703" s="178"/>
      <c r="E703" s="178"/>
    </row>
    <row r="704">
      <c r="A704" s="178"/>
      <c r="B704" s="178"/>
      <c r="C704" s="178"/>
      <c r="D704" s="178"/>
      <c r="E704" s="178"/>
    </row>
    <row r="705">
      <c r="A705" s="178"/>
      <c r="B705" s="178"/>
      <c r="C705" s="178"/>
      <c r="D705" s="178"/>
      <c r="E705" s="178"/>
    </row>
    <row r="706">
      <c r="A706" s="178"/>
      <c r="B706" s="178"/>
      <c r="C706" s="178"/>
      <c r="D706" s="178"/>
      <c r="E706" s="178"/>
    </row>
    <row r="707">
      <c r="A707" s="178"/>
      <c r="B707" s="178"/>
      <c r="C707" s="178"/>
      <c r="D707" s="178"/>
      <c r="E707" s="178"/>
    </row>
    <row r="708">
      <c r="A708" s="178"/>
      <c r="B708" s="178"/>
      <c r="C708" s="178"/>
      <c r="D708" s="178"/>
      <c r="E708" s="178"/>
    </row>
    <row r="709">
      <c r="A709" s="178"/>
      <c r="B709" s="178"/>
      <c r="C709" s="178"/>
      <c r="D709" s="178"/>
      <c r="E709" s="178"/>
    </row>
    <row r="710">
      <c r="A710" s="178"/>
      <c r="B710" s="178"/>
      <c r="C710" s="178"/>
      <c r="D710" s="178"/>
      <c r="E710" s="178"/>
    </row>
    <row r="711">
      <c r="A711" s="178"/>
      <c r="B711" s="178"/>
      <c r="C711" s="178"/>
      <c r="D711" s="178"/>
      <c r="E711" s="178"/>
    </row>
    <row r="712">
      <c r="A712" s="178"/>
      <c r="B712" s="178"/>
      <c r="C712" s="178"/>
      <c r="D712" s="178"/>
      <c r="E712" s="178"/>
    </row>
    <row r="713">
      <c r="A713" s="178"/>
      <c r="B713" s="178"/>
      <c r="C713" s="178"/>
      <c r="D713" s="178"/>
      <c r="E713" s="178"/>
    </row>
    <row r="714">
      <c r="A714" s="178"/>
      <c r="B714" s="178"/>
      <c r="C714" s="178"/>
      <c r="D714" s="178"/>
      <c r="E714" s="178"/>
    </row>
    <row r="715">
      <c r="A715" s="178"/>
      <c r="B715" s="178"/>
      <c r="C715" s="178"/>
      <c r="D715" s="178"/>
      <c r="E715" s="178"/>
    </row>
    <row r="716">
      <c r="A716" s="178"/>
      <c r="B716" s="178"/>
      <c r="C716" s="178"/>
      <c r="D716" s="178"/>
      <c r="E716" s="178"/>
    </row>
    <row r="717">
      <c r="A717" s="178"/>
      <c r="B717" s="178"/>
      <c r="C717" s="178"/>
      <c r="D717" s="178"/>
      <c r="E717" s="178"/>
    </row>
    <row r="718">
      <c r="A718" s="178"/>
      <c r="B718" s="178"/>
      <c r="C718" s="178"/>
      <c r="D718" s="178"/>
      <c r="E718" s="178"/>
    </row>
    <row r="719">
      <c r="A719" s="178"/>
      <c r="B719" s="178"/>
      <c r="C719" s="178"/>
      <c r="D719" s="178"/>
      <c r="E719" s="178"/>
    </row>
    <row r="720">
      <c r="A720" s="178"/>
      <c r="B720" s="178"/>
      <c r="C720" s="178"/>
      <c r="D720" s="178"/>
      <c r="E720" s="178"/>
    </row>
    <row r="721">
      <c r="A721" s="178"/>
      <c r="B721" s="178"/>
      <c r="C721" s="178"/>
      <c r="D721" s="178"/>
      <c r="E721" s="178"/>
    </row>
    <row r="722">
      <c r="A722" s="178"/>
      <c r="B722" s="178"/>
      <c r="C722" s="178"/>
      <c r="D722" s="178"/>
      <c r="E722" s="178"/>
    </row>
    <row r="723">
      <c r="A723" s="178"/>
      <c r="B723" s="178"/>
      <c r="C723" s="178"/>
      <c r="D723" s="178"/>
      <c r="E723" s="178"/>
    </row>
    <row r="724">
      <c r="A724" s="178"/>
      <c r="B724" s="178"/>
      <c r="C724" s="178"/>
      <c r="D724" s="178"/>
      <c r="E724" s="178"/>
    </row>
    <row r="725">
      <c r="A725" s="178"/>
      <c r="B725" s="178"/>
      <c r="C725" s="178"/>
      <c r="D725" s="178"/>
      <c r="E725" s="178"/>
    </row>
    <row r="726">
      <c r="A726" s="178"/>
      <c r="B726" s="178"/>
      <c r="C726" s="178"/>
      <c r="D726" s="178"/>
      <c r="E726" s="178"/>
    </row>
    <row r="727">
      <c r="A727" s="178"/>
      <c r="B727" s="178"/>
      <c r="C727" s="178"/>
      <c r="D727" s="178"/>
      <c r="E727" s="178"/>
    </row>
    <row r="728">
      <c r="A728" s="178"/>
      <c r="B728" s="178"/>
      <c r="C728" s="178"/>
      <c r="D728" s="178"/>
      <c r="E728" s="178"/>
    </row>
    <row r="729">
      <c r="A729" s="178"/>
      <c r="B729" s="178"/>
      <c r="C729" s="178"/>
      <c r="D729" s="178"/>
      <c r="E729" s="178"/>
    </row>
    <row r="730">
      <c r="A730" s="178"/>
      <c r="B730" s="178"/>
      <c r="C730" s="178"/>
      <c r="D730" s="178"/>
      <c r="E730" s="178"/>
    </row>
    <row r="731">
      <c r="A731" s="178"/>
      <c r="B731" s="178"/>
      <c r="C731" s="178"/>
      <c r="D731" s="178"/>
      <c r="E731" s="178"/>
    </row>
    <row r="732">
      <c r="A732" s="178"/>
      <c r="B732" s="178"/>
      <c r="C732" s="178"/>
      <c r="D732" s="178"/>
      <c r="E732" s="178"/>
    </row>
    <row r="733">
      <c r="A733" s="178"/>
      <c r="B733" s="178"/>
      <c r="C733" s="178"/>
      <c r="D733" s="178"/>
      <c r="E733" s="178"/>
    </row>
    <row r="734">
      <c r="A734" s="178"/>
      <c r="B734" s="178"/>
      <c r="C734" s="178"/>
      <c r="D734" s="178"/>
      <c r="E734" s="178"/>
    </row>
    <row r="735">
      <c r="A735" s="178"/>
      <c r="B735" s="178"/>
      <c r="C735" s="178"/>
      <c r="D735" s="178"/>
      <c r="E735" s="178"/>
    </row>
    <row r="736">
      <c r="A736" s="178"/>
      <c r="B736" s="178"/>
      <c r="C736" s="178"/>
      <c r="D736" s="178"/>
      <c r="E736" s="178"/>
    </row>
    <row r="737">
      <c r="A737" s="178"/>
      <c r="B737" s="178"/>
      <c r="C737" s="178"/>
      <c r="D737" s="178"/>
      <c r="E737" s="178"/>
    </row>
    <row r="738">
      <c r="A738" s="178"/>
      <c r="B738" s="178"/>
      <c r="C738" s="178"/>
      <c r="D738" s="178"/>
      <c r="E738" s="178"/>
    </row>
    <row r="739">
      <c r="A739" s="178"/>
      <c r="B739" s="178"/>
      <c r="C739" s="178"/>
      <c r="D739" s="178"/>
      <c r="E739" s="178"/>
    </row>
    <row r="740">
      <c r="A740" s="178"/>
      <c r="B740" s="178"/>
      <c r="C740" s="178"/>
      <c r="D740" s="178"/>
      <c r="E740" s="178"/>
    </row>
    <row r="741">
      <c r="A741" s="178"/>
      <c r="B741" s="178"/>
      <c r="C741" s="178"/>
      <c r="D741" s="178"/>
      <c r="E741" s="178"/>
    </row>
    <row r="742">
      <c r="A742" s="178"/>
      <c r="B742" s="178"/>
      <c r="C742" s="178"/>
      <c r="D742" s="178"/>
      <c r="E742" s="178"/>
    </row>
    <row r="743">
      <c r="A743" s="178"/>
      <c r="B743" s="178"/>
      <c r="C743" s="178"/>
      <c r="D743" s="178"/>
      <c r="E743" s="178"/>
    </row>
    <row r="744">
      <c r="A744" s="178"/>
      <c r="B744" s="178"/>
      <c r="C744" s="178"/>
      <c r="D744" s="178"/>
      <c r="E744" s="178"/>
    </row>
    <row r="745">
      <c r="A745" s="178"/>
      <c r="B745" s="178"/>
      <c r="C745" s="178"/>
      <c r="D745" s="178"/>
      <c r="E745" s="178"/>
    </row>
    <row r="746">
      <c r="A746" s="178"/>
      <c r="B746" s="178"/>
      <c r="C746" s="178"/>
      <c r="D746" s="178"/>
      <c r="E746" s="178"/>
    </row>
    <row r="747">
      <c r="A747" s="178"/>
      <c r="B747" s="178"/>
      <c r="C747" s="178"/>
      <c r="D747" s="178"/>
      <c r="E747" s="178"/>
    </row>
    <row r="748">
      <c r="A748" s="178"/>
      <c r="B748" s="178"/>
      <c r="C748" s="178"/>
      <c r="D748" s="178"/>
      <c r="E748" s="178"/>
    </row>
    <row r="749">
      <c r="A749" s="178"/>
      <c r="B749" s="178"/>
      <c r="C749" s="178"/>
      <c r="D749" s="178"/>
      <c r="E749" s="178"/>
    </row>
    <row r="750">
      <c r="A750" s="178"/>
      <c r="B750" s="178"/>
      <c r="C750" s="178"/>
      <c r="D750" s="178"/>
      <c r="E750" s="178"/>
    </row>
    <row r="751">
      <c r="A751" s="178"/>
      <c r="B751" s="178"/>
      <c r="C751" s="178"/>
      <c r="D751" s="178"/>
      <c r="E751" s="178"/>
    </row>
    <row r="752">
      <c r="A752" s="178"/>
      <c r="B752" s="178"/>
      <c r="C752" s="178"/>
      <c r="D752" s="178"/>
      <c r="E752" s="178"/>
    </row>
    <row r="753">
      <c r="A753" s="178"/>
      <c r="B753" s="178"/>
      <c r="C753" s="178"/>
      <c r="D753" s="178"/>
      <c r="E753" s="178"/>
    </row>
    <row r="754">
      <c r="A754" s="178"/>
      <c r="B754" s="178"/>
      <c r="C754" s="178"/>
      <c r="D754" s="178"/>
      <c r="E754" s="178"/>
    </row>
    <row r="755">
      <c r="A755" s="178"/>
      <c r="B755" s="178"/>
      <c r="C755" s="178"/>
      <c r="D755" s="178"/>
      <c r="E755" s="178"/>
    </row>
    <row r="756">
      <c r="A756" s="178"/>
      <c r="B756" s="178"/>
      <c r="C756" s="178"/>
      <c r="D756" s="178"/>
      <c r="E756" s="178"/>
    </row>
    <row r="757">
      <c r="A757" s="178"/>
      <c r="B757" s="178"/>
      <c r="C757" s="178"/>
      <c r="D757" s="178"/>
      <c r="E757" s="178"/>
    </row>
    <row r="758">
      <c r="A758" s="178"/>
      <c r="B758" s="178"/>
      <c r="C758" s="178"/>
      <c r="D758" s="178"/>
      <c r="E758" s="178"/>
    </row>
    <row r="759">
      <c r="A759" s="178"/>
      <c r="B759" s="178"/>
      <c r="C759" s="178"/>
      <c r="D759" s="178"/>
      <c r="E759" s="178"/>
    </row>
    <row r="760">
      <c r="A760" s="178"/>
      <c r="B760" s="178"/>
      <c r="C760" s="178"/>
      <c r="D760" s="178"/>
      <c r="E760" s="178"/>
    </row>
    <row r="761">
      <c r="A761" s="178"/>
      <c r="B761" s="178"/>
      <c r="C761" s="178"/>
      <c r="D761" s="178"/>
      <c r="E761" s="178"/>
    </row>
    <row r="762">
      <c r="A762" s="178"/>
      <c r="B762" s="178"/>
      <c r="C762" s="178"/>
      <c r="D762" s="178"/>
      <c r="E762" s="178"/>
    </row>
    <row r="763">
      <c r="A763" s="178"/>
      <c r="B763" s="178"/>
      <c r="C763" s="178"/>
      <c r="D763" s="178"/>
      <c r="E763" s="178"/>
    </row>
    <row r="764">
      <c r="A764" s="178"/>
      <c r="B764" s="178"/>
      <c r="C764" s="178"/>
      <c r="D764" s="178"/>
      <c r="E764" s="178"/>
    </row>
    <row r="765">
      <c r="A765" s="178"/>
      <c r="B765" s="178"/>
      <c r="C765" s="178"/>
      <c r="D765" s="178"/>
      <c r="E765" s="178"/>
    </row>
    <row r="766">
      <c r="A766" s="178"/>
      <c r="B766" s="178"/>
      <c r="C766" s="178"/>
      <c r="D766" s="178"/>
      <c r="E766" s="178"/>
    </row>
    <row r="767">
      <c r="A767" s="178"/>
      <c r="B767" s="178"/>
      <c r="C767" s="178"/>
      <c r="D767" s="178"/>
      <c r="E767" s="178"/>
    </row>
    <row r="768">
      <c r="A768" s="178"/>
      <c r="B768" s="178"/>
      <c r="C768" s="178"/>
      <c r="D768" s="178"/>
      <c r="E768" s="178"/>
    </row>
    <row r="769">
      <c r="A769" s="178"/>
      <c r="B769" s="178"/>
      <c r="C769" s="178"/>
      <c r="D769" s="178"/>
      <c r="E769" s="178"/>
    </row>
    <row r="770">
      <c r="A770" s="178"/>
      <c r="B770" s="178"/>
      <c r="C770" s="178"/>
      <c r="D770" s="178"/>
      <c r="E770" s="178"/>
    </row>
    <row r="771">
      <c r="A771" s="178"/>
      <c r="B771" s="178"/>
      <c r="C771" s="178"/>
      <c r="D771" s="178"/>
      <c r="E771" s="178"/>
    </row>
    <row r="772">
      <c r="A772" s="178"/>
      <c r="B772" s="178"/>
      <c r="C772" s="178"/>
      <c r="D772" s="178"/>
      <c r="E772" s="178"/>
    </row>
    <row r="773">
      <c r="A773" s="178"/>
      <c r="B773" s="178"/>
      <c r="C773" s="178"/>
      <c r="D773" s="178"/>
      <c r="E773" s="178"/>
    </row>
    <row r="774">
      <c r="A774" s="178"/>
      <c r="B774" s="178"/>
      <c r="C774" s="178"/>
      <c r="D774" s="178"/>
      <c r="E774" s="178"/>
    </row>
    <row r="775">
      <c r="A775" s="178"/>
      <c r="B775" s="178"/>
      <c r="C775" s="178"/>
      <c r="D775" s="178"/>
      <c r="E775" s="178"/>
    </row>
    <row r="776">
      <c r="A776" s="178"/>
      <c r="B776" s="178"/>
      <c r="C776" s="178"/>
      <c r="D776" s="178"/>
      <c r="E776" s="178"/>
    </row>
    <row r="777">
      <c r="A777" s="178"/>
      <c r="B777" s="178"/>
      <c r="C777" s="178"/>
      <c r="D777" s="178"/>
      <c r="E777" s="178"/>
    </row>
    <row r="778">
      <c r="A778" s="178"/>
      <c r="B778" s="178"/>
      <c r="C778" s="178"/>
      <c r="D778" s="178"/>
      <c r="E778" s="178"/>
    </row>
    <row r="779">
      <c r="A779" s="178"/>
      <c r="B779" s="178"/>
      <c r="C779" s="178"/>
      <c r="D779" s="178"/>
      <c r="E779" s="178"/>
    </row>
    <row r="780">
      <c r="A780" s="178"/>
      <c r="B780" s="178"/>
      <c r="C780" s="178"/>
      <c r="D780" s="178"/>
      <c r="E780" s="178"/>
    </row>
    <row r="781">
      <c r="A781" s="178"/>
      <c r="B781" s="178"/>
      <c r="C781" s="178"/>
      <c r="D781" s="178"/>
      <c r="E781" s="178"/>
    </row>
    <row r="782">
      <c r="A782" s="178"/>
      <c r="B782" s="178"/>
      <c r="C782" s="178"/>
      <c r="D782" s="178"/>
      <c r="E782" s="178"/>
    </row>
    <row r="783">
      <c r="A783" s="178"/>
      <c r="B783" s="178"/>
      <c r="C783" s="178"/>
      <c r="D783" s="178"/>
      <c r="E783" s="178"/>
    </row>
    <row r="784">
      <c r="A784" s="178"/>
      <c r="B784" s="178"/>
      <c r="C784" s="178"/>
      <c r="D784" s="178"/>
      <c r="E784" s="178"/>
    </row>
    <row r="785">
      <c r="A785" s="178"/>
      <c r="B785" s="178"/>
      <c r="C785" s="178"/>
      <c r="D785" s="178"/>
      <c r="E785" s="178"/>
    </row>
    <row r="786">
      <c r="A786" s="178"/>
      <c r="B786" s="178"/>
      <c r="C786" s="178"/>
      <c r="D786" s="178"/>
      <c r="E786" s="178"/>
    </row>
    <row r="787">
      <c r="A787" s="178"/>
      <c r="B787" s="178"/>
      <c r="C787" s="178"/>
      <c r="D787" s="178"/>
      <c r="E787" s="178"/>
    </row>
    <row r="788">
      <c r="A788" s="178"/>
      <c r="B788" s="178"/>
      <c r="C788" s="178"/>
      <c r="D788" s="178"/>
      <c r="E788" s="178"/>
    </row>
    <row r="789">
      <c r="A789" s="178"/>
      <c r="B789" s="178"/>
      <c r="C789" s="178"/>
      <c r="D789" s="178"/>
      <c r="E789" s="178"/>
    </row>
    <row r="790">
      <c r="A790" s="178"/>
      <c r="B790" s="178"/>
      <c r="C790" s="178"/>
      <c r="D790" s="178"/>
      <c r="E790" s="178"/>
    </row>
    <row r="791">
      <c r="A791" s="178"/>
      <c r="B791" s="178"/>
      <c r="C791" s="178"/>
      <c r="D791" s="178"/>
      <c r="E791" s="178"/>
    </row>
    <row r="792">
      <c r="A792" s="178"/>
      <c r="B792" s="178"/>
      <c r="C792" s="178"/>
      <c r="D792" s="178"/>
      <c r="E792" s="178"/>
    </row>
    <row r="793">
      <c r="A793" s="178"/>
      <c r="B793" s="178"/>
      <c r="C793" s="178"/>
      <c r="D793" s="178"/>
      <c r="E793" s="178"/>
    </row>
    <row r="794">
      <c r="A794" s="178"/>
      <c r="B794" s="178"/>
      <c r="C794" s="178"/>
      <c r="D794" s="178"/>
      <c r="E794" s="178"/>
    </row>
    <row r="795">
      <c r="A795" s="178"/>
      <c r="B795" s="178"/>
      <c r="C795" s="178"/>
      <c r="D795" s="178"/>
      <c r="E795" s="178"/>
    </row>
    <row r="796">
      <c r="A796" s="178"/>
      <c r="B796" s="178"/>
      <c r="C796" s="178"/>
      <c r="D796" s="178"/>
      <c r="E796" s="178"/>
    </row>
    <row r="797">
      <c r="A797" s="178"/>
      <c r="B797" s="178"/>
      <c r="C797" s="178"/>
      <c r="D797" s="178"/>
      <c r="E797" s="178"/>
    </row>
    <row r="798">
      <c r="A798" s="178"/>
      <c r="B798" s="178"/>
      <c r="C798" s="178"/>
      <c r="D798" s="178"/>
      <c r="E798" s="178"/>
    </row>
    <row r="799">
      <c r="A799" s="178"/>
      <c r="B799" s="178"/>
      <c r="C799" s="178"/>
      <c r="D799" s="178"/>
      <c r="E799" s="178"/>
    </row>
    <row r="800">
      <c r="A800" s="178"/>
      <c r="B800" s="178"/>
      <c r="C800" s="178"/>
      <c r="D800" s="178"/>
      <c r="E800" s="178"/>
    </row>
    <row r="801">
      <c r="A801" s="178"/>
      <c r="B801" s="178"/>
      <c r="C801" s="178"/>
      <c r="D801" s="178"/>
      <c r="E801" s="178"/>
    </row>
    <row r="802">
      <c r="A802" s="178"/>
      <c r="B802" s="178"/>
      <c r="C802" s="178"/>
      <c r="D802" s="178"/>
      <c r="E802" s="178"/>
    </row>
    <row r="803">
      <c r="A803" s="178"/>
      <c r="B803" s="178"/>
      <c r="C803" s="178"/>
      <c r="D803" s="178"/>
      <c r="E803" s="178"/>
    </row>
    <row r="804">
      <c r="A804" s="178"/>
      <c r="B804" s="178"/>
      <c r="C804" s="178"/>
      <c r="D804" s="178"/>
      <c r="E804" s="178"/>
    </row>
    <row r="805">
      <c r="A805" s="178"/>
      <c r="B805" s="178"/>
      <c r="C805" s="178"/>
      <c r="D805" s="178"/>
      <c r="E805" s="178"/>
    </row>
    <row r="806">
      <c r="A806" s="178"/>
      <c r="B806" s="178"/>
      <c r="C806" s="178"/>
      <c r="D806" s="178"/>
      <c r="E806" s="178"/>
    </row>
    <row r="807">
      <c r="A807" s="178"/>
      <c r="B807" s="178"/>
      <c r="C807" s="178"/>
      <c r="D807" s="178"/>
      <c r="E807" s="178"/>
    </row>
    <row r="808">
      <c r="A808" s="178"/>
      <c r="B808" s="178"/>
      <c r="C808" s="178"/>
      <c r="D808" s="178"/>
      <c r="E808" s="178"/>
    </row>
    <row r="809">
      <c r="A809" s="178"/>
      <c r="B809" s="178"/>
      <c r="C809" s="178"/>
      <c r="D809" s="178"/>
      <c r="E809" s="178"/>
    </row>
    <row r="810">
      <c r="A810" s="178"/>
      <c r="B810" s="178"/>
      <c r="C810" s="178"/>
      <c r="D810" s="178"/>
      <c r="E810" s="178"/>
    </row>
    <row r="811">
      <c r="A811" s="178"/>
      <c r="B811" s="178"/>
      <c r="C811" s="178"/>
      <c r="D811" s="178"/>
      <c r="E811" s="178"/>
    </row>
    <row r="812">
      <c r="A812" s="178"/>
      <c r="B812" s="178"/>
      <c r="C812" s="178"/>
      <c r="D812" s="178"/>
      <c r="E812" s="178"/>
    </row>
    <row r="813">
      <c r="A813" s="178"/>
      <c r="B813" s="178"/>
      <c r="C813" s="178"/>
      <c r="D813" s="178"/>
      <c r="E813" s="178"/>
    </row>
    <row r="814">
      <c r="A814" s="178"/>
      <c r="B814" s="178"/>
      <c r="C814" s="178"/>
      <c r="D814" s="178"/>
      <c r="E814" s="178"/>
    </row>
    <row r="815">
      <c r="A815" s="178"/>
      <c r="B815" s="178"/>
      <c r="C815" s="178"/>
      <c r="D815" s="178"/>
      <c r="E815" s="178"/>
    </row>
    <row r="816">
      <c r="A816" s="178"/>
      <c r="B816" s="178"/>
      <c r="C816" s="178"/>
      <c r="D816" s="178"/>
      <c r="E816" s="178"/>
    </row>
    <row r="817">
      <c r="A817" s="178"/>
      <c r="B817" s="178"/>
      <c r="C817" s="178"/>
      <c r="D817" s="178"/>
      <c r="E817" s="178"/>
    </row>
    <row r="818">
      <c r="A818" s="178"/>
      <c r="B818" s="178"/>
      <c r="C818" s="178"/>
      <c r="D818" s="178"/>
      <c r="E818" s="178"/>
    </row>
    <row r="819">
      <c r="A819" s="178"/>
      <c r="B819" s="178"/>
      <c r="C819" s="178"/>
      <c r="D819" s="178"/>
      <c r="E819" s="178"/>
    </row>
    <row r="820">
      <c r="A820" s="178"/>
      <c r="B820" s="178"/>
      <c r="C820" s="178"/>
      <c r="D820" s="178"/>
      <c r="E820" s="178"/>
    </row>
    <row r="821">
      <c r="A821" s="178"/>
      <c r="B821" s="178"/>
      <c r="C821" s="178"/>
      <c r="D821" s="178"/>
      <c r="E821" s="178"/>
    </row>
    <row r="822">
      <c r="A822" s="178"/>
      <c r="B822" s="178"/>
      <c r="C822" s="178"/>
      <c r="D822" s="178"/>
      <c r="E822" s="178"/>
    </row>
    <row r="823">
      <c r="A823" s="178"/>
      <c r="B823" s="178"/>
      <c r="C823" s="178"/>
      <c r="D823" s="178"/>
      <c r="E823" s="178"/>
    </row>
    <row r="824">
      <c r="A824" s="178"/>
      <c r="B824" s="178"/>
      <c r="C824" s="178"/>
      <c r="D824" s="178"/>
      <c r="E824" s="178"/>
    </row>
    <row r="825">
      <c r="A825" s="178"/>
      <c r="B825" s="178"/>
      <c r="C825" s="178"/>
      <c r="D825" s="178"/>
      <c r="E825" s="178"/>
    </row>
    <row r="826">
      <c r="A826" s="178"/>
      <c r="B826" s="178"/>
      <c r="C826" s="178"/>
      <c r="D826" s="178"/>
      <c r="E826" s="178"/>
    </row>
    <row r="827">
      <c r="A827" s="178"/>
      <c r="B827" s="178"/>
      <c r="C827" s="178"/>
      <c r="D827" s="178"/>
      <c r="E827" s="178"/>
    </row>
    <row r="828">
      <c r="A828" s="178"/>
      <c r="B828" s="178"/>
      <c r="C828" s="178"/>
      <c r="D828" s="178"/>
      <c r="E828" s="178"/>
    </row>
    <row r="829">
      <c r="A829" s="178"/>
      <c r="B829" s="178"/>
      <c r="C829" s="178"/>
      <c r="D829" s="178"/>
      <c r="E829" s="178"/>
    </row>
    <row r="830">
      <c r="A830" s="178"/>
      <c r="B830" s="178"/>
      <c r="C830" s="178"/>
      <c r="D830" s="178"/>
      <c r="E830" s="178"/>
    </row>
    <row r="831">
      <c r="A831" s="178"/>
      <c r="B831" s="178"/>
      <c r="C831" s="178"/>
      <c r="D831" s="178"/>
      <c r="E831" s="178"/>
    </row>
    <row r="832">
      <c r="A832" s="178"/>
      <c r="B832" s="178"/>
      <c r="C832" s="178"/>
      <c r="D832" s="178"/>
      <c r="E832" s="178"/>
    </row>
    <row r="833">
      <c r="A833" s="178"/>
      <c r="B833" s="178"/>
      <c r="C833" s="178"/>
      <c r="D833" s="178"/>
      <c r="E833" s="178"/>
    </row>
    <row r="834">
      <c r="A834" s="178"/>
      <c r="B834" s="178"/>
      <c r="C834" s="178"/>
      <c r="D834" s="178"/>
      <c r="E834" s="178"/>
    </row>
    <row r="835">
      <c r="A835" s="178"/>
      <c r="B835" s="178"/>
      <c r="C835" s="178"/>
      <c r="D835" s="178"/>
      <c r="E835" s="178"/>
    </row>
    <row r="836">
      <c r="A836" s="178"/>
      <c r="B836" s="178"/>
      <c r="C836" s="178"/>
      <c r="D836" s="178"/>
      <c r="E836" s="178"/>
    </row>
    <row r="837">
      <c r="A837" s="178"/>
      <c r="B837" s="178"/>
      <c r="C837" s="178"/>
      <c r="D837" s="178"/>
      <c r="E837" s="178"/>
    </row>
    <row r="838">
      <c r="A838" s="178"/>
      <c r="B838" s="178"/>
      <c r="C838" s="178"/>
      <c r="D838" s="178"/>
      <c r="E838" s="178"/>
    </row>
    <row r="839">
      <c r="A839" s="178"/>
      <c r="B839" s="178"/>
      <c r="C839" s="178"/>
      <c r="D839" s="178"/>
      <c r="E839" s="178"/>
    </row>
    <row r="840">
      <c r="A840" s="178"/>
      <c r="B840" s="178"/>
      <c r="C840" s="178"/>
      <c r="D840" s="178"/>
      <c r="E840" s="178"/>
    </row>
    <row r="841">
      <c r="A841" s="178"/>
      <c r="B841" s="178"/>
      <c r="C841" s="178"/>
      <c r="D841" s="178"/>
      <c r="E841" s="178"/>
    </row>
    <row r="842">
      <c r="A842" s="178"/>
      <c r="B842" s="178"/>
      <c r="C842" s="178"/>
      <c r="D842" s="178"/>
      <c r="E842" s="178"/>
    </row>
    <row r="843">
      <c r="A843" s="178"/>
      <c r="B843" s="178"/>
      <c r="C843" s="178"/>
      <c r="D843" s="178"/>
      <c r="E843" s="178"/>
    </row>
    <row r="844">
      <c r="A844" s="178"/>
      <c r="B844" s="178"/>
      <c r="C844" s="178"/>
      <c r="D844" s="178"/>
      <c r="E844" s="178"/>
    </row>
    <row r="845">
      <c r="A845" s="178"/>
      <c r="B845" s="178"/>
      <c r="C845" s="178"/>
      <c r="D845" s="178"/>
      <c r="E845" s="178"/>
    </row>
    <row r="846">
      <c r="A846" s="178"/>
      <c r="B846" s="178"/>
      <c r="C846" s="178"/>
      <c r="D846" s="178"/>
      <c r="E846" s="178"/>
    </row>
    <row r="847">
      <c r="A847" s="178"/>
      <c r="B847" s="178"/>
      <c r="C847" s="178"/>
      <c r="D847" s="178"/>
      <c r="E847" s="178"/>
    </row>
    <row r="848">
      <c r="A848" s="178"/>
      <c r="B848" s="178"/>
      <c r="C848" s="178"/>
      <c r="D848" s="178"/>
      <c r="E848" s="178"/>
    </row>
    <row r="849">
      <c r="A849" s="178"/>
      <c r="B849" s="178"/>
      <c r="C849" s="178"/>
      <c r="D849" s="178"/>
      <c r="E849" s="178"/>
    </row>
    <row r="850">
      <c r="A850" s="178"/>
      <c r="B850" s="178"/>
      <c r="C850" s="178"/>
      <c r="D850" s="178"/>
      <c r="E850" s="178"/>
    </row>
    <row r="851">
      <c r="A851" s="178"/>
      <c r="B851" s="178"/>
      <c r="C851" s="178"/>
      <c r="D851" s="178"/>
      <c r="E851" s="178"/>
    </row>
    <row r="852">
      <c r="A852" s="178"/>
      <c r="B852" s="178"/>
      <c r="C852" s="178"/>
      <c r="D852" s="178"/>
      <c r="E852" s="178"/>
    </row>
    <row r="853">
      <c r="A853" s="178"/>
      <c r="B853" s="178"/>
      <c r="C853" s="178"/>
      <c r="D853" s="178"/>
      <c r="E853" s="178"/>
    </row>
    <row r="854">
      <c r="A854" s="178"/>
      <c r="B854" s="178"/>
      <c r="C854" s="178"/>
      <c r="D854" s="178"/>
      <c r="E854" s="178"/>
    </row>
    <row r="855">
      <c r="A855" s="178"/>
      <c r="B855" s="178"/>
      <c r="C855" s="178"/>
      <c r="D855" s="178"/>
      <c r="E855" s="178"/>
    </row>
    <row r="856">
      <c r="A856" s="178"/>
      <c r="B856" s="178"/>
      <c r="C856" s="178"/>
      <c r="D856" s="178"/>
      <c r="E856" s="178"/>
    </row>
    <row r="857">
      <c r="A857" s="178"/>
      <c r="B857" s="178"/>
      <c r="C857" s="178"/>
      <c r="D857" s="178"/>
      <c r="E857" s="178"/>
    </row>
    <row r="858">
      <c r="A858" s="178"/>
      <c r="B858" s="178"/>
      <c r="C858" s="178"/>
      <c r="D858" s="178"/>
      <c r="E858" s="178"/>
    </row>
    <row r="859">
      <c r="A859" s="178"/>
      <c r="B859" s="178"/>
      <c r="C859" s="178"/>
      <c r="D859" s="178"/>
      <c r="E859" s="178"/>
    </row>
    <row r="860">
      <c r="A860" s="178"/>
      <c r="B860" s="178"/>
      <c r="C860" s="178"/>
      <c r="D860" s="178"/>
      <c r="E860" s="178"/>
    </row>
    <row r="861">
      <c r="A861" s="178"/>
      <c r="B861" s="178"/>
      <c r="C861" s="178"/>
      <c r="D861" s="178"/>
      <c r="E861" s="178"/>
    </row>
    <row r="862">
      <c r="A862" s="178"/>
      <c r="B862" s="178"/>
      <c r="C862" s="178"/>
      <c r="D862" s="178"/>
      <c r="E862" s="178"/>
    </row>
    <row r="863">
      <c r="A863" s="178"/>
      <c r="B863" s="178"/>
      <c r="C863" s="178"/>
      <c r="D863" s="178"/>
      <c r="E863" s="178"/>
    </row>
    <row r="864">
      <c r="A864" s="178"/>
      <c r="B864" s="178"/>
      <c r="C864" s="178"/>
      <c r="D864" s="178"/>
      <c r="E864" s="178"/>
    </row>
    <row r="865">
      <c r="A865" s="178"/>
      <c r="B865" s="178"/>
      <c r="C865" s="178"/>
      <c r="D865" s="178"/>
      <c r="E865" s="178"/>
    </row>
    <row r="866">
      <c r="A866" s="178"/>
      <c r="B866" s="178"/>
      <c r="C866" s="178"/>
      <c r="D866" s="178"/>
      <c r="E866" s="178"/>
    </row>
    <row r="867">
      <c r="A867" s="178"/>
      <c r="B867" s="178"/>
      <c r="C867" s="178"/>
      <c r="D867" s="178"/>
      <c r="E867" s="178"/>
    </row>
    <row r="868">
      <c r="A868" s="178"/>
      <c r="B868" s="178"/>
      <c r="C868" s="178"/>
      <c r="D868" s="178"/>
      <c r="E868" s="178"/>
    </row>
    <row r="869">
      <c r="A869" s="178"/>
      <c r="B869" s="178"/>
      <c r="C869" s="178"/>
      <c r="D869" s="178"/>
      <c r="E869" s="178"/>
    </row>
    <row r="870">
      <c r="A870" s="178"/>
      <c r="B870" s="178"/>
      <c r="C870" s="178"/>
      <c r="D870" s="178"/>
      <c r="E870" s="178"/>
    </row>
    <row r="871">
      <c r="A871" s="178"/>
      <c r="B871" s="178"/>
      <c r="C871" s="178"/>
      <c r="D871" s="178"/>
      <c r="E871" s="178"/>
    </row>
    <row r="872">
      <c r="A872" s="178"/>
      <c r="B872" s="178"/>
      <c r="C872" s="178"/>
      <c r="D872" s="178"/>
      <c r="E872" s="178"/>
    </row>
    <row r="873">
      <c r="A873" s="178"/>
      <c r="B873" s="178"/>
      <c r="C873" s="178"/>
      <c r="D873" s="178"/>
      <c r="E873" s="178"/>
    </row>
    <row r="874">
      <c r="A874" s="178"/>
      <c r="B874" s="178"/>
      <c r="C874" s="178"/>
      <c r="D874" s="178"/>
      <c r="E874" s="178"/>
    </row>
    <row r="875">
      <c r="A875" s="178"/>
      <c r="B875" s="178"/>
      <c r="C875" s="178"/>
      <c r="D875" s="178"/>
      <c r="E875" s="178"/>
    </row>
    <row r="876">
      <c r="A876" s="178"/>
      <c r="B876" s="178"/>
      <c r="C876" s="178"/>
      <c r="D876" s="178"/>
      <c r="E876" s="178"/>
    </row>
    <row r="877">
      <c r="A877" s="178"/>
      <c r="B877" s="178"/>
      <c r="C877" s="178"/>
      <c r="D877" s="178"/>
      <c r="E877" s="178"/>
    </row>
    <row r="878">
      <c r="A878" s="178"/>
      <c r="B878" s="178"/>
      <c r="C878" s="178"/>
      <c r="D878" s="178"/>
      <c r="E878" s="178"/>
    </row>
    <row r="879">
      <c r="A879" s="178"/>
      <c r="B879" s="178"/>
      <c r="C879" s="178"/>
      <c r="D879" s="178"/>
      <c r="E879" s="178"/>
    </row>
    <row r="880">
      <c r="A880" s="178"/>
      <c r="B880" s="178"/>
      <c r="C880" s="178"/>
      <c r="D880" s="178"/>
      <c r="E880" s="178"/>
    </row>
    <row r="881">
      <c r="A881" s="178"/>
      <c r="B881" s="178"/>
      <c r="C881" s="178"/>
      <c r="D881" s="178"/>
      <c r="E881" s="178"/>
    </row>
    <row r="882">
      <c r="A882" s="178"/>
      <c r="B882" s="178"/>
      <c r="C882" s="178"/>
      <c r="D882" s="178"/>
      <c r="E882" s="178"/>
    </row>
    <row r="883">
      <c r="A883" s="178"/>
      <c r="B883" s="178"/>
      <c r="C883" s="178"/>
      <c r="D883" s="178"/>
      <c r="E883" s="178"/>
    </row>
    <row r="884">
      <c r="A884" s="178"/>
      <c r="B884" s="178"/>
      <c r="C884" s="178"/>
      <c r="D884" s="178"/>
      <c r="E884" s="178"/>
    </row>
    <row r="885">
      <c r="A885" s="178"/>
      <c r="B885" s="178"/>
      <c r="C885" s="178"/>
      <c r="D885" s="178"/>
      <c r="E885" s="178"/>
    </row>
    <row r="886">
      <c r="A886" s="178"/>
      <c r="B886" s="178"/>
      <c r="C886" s="178"/>
      <c r="D886" s="178"/>
      <c r="E886" s="178"/>
    </row>
    <row r="887">
      <c r="A887" s="178"/>
      <c r="B887" s="178"/>
      <c r="C887" s="178"/>
      <c r="D887" s="178"/>
      <c r="E887" s="178"/>
    </row>
    <row r="888">
      <c r="A888" s="178"/>
      <c r="B888" s="178"/>
      <c r="C888" s="178"/>
      <c r="D888" s="178"/>
      <c r="E888" s="178"/>
    </row>
    <row r="889">
      <c r="A889" s="178"/>
      <c r="B889" s="178"/>
      <c r="C889" s="178"/>
      <c r="D889" s="178"/>
      <c r="E889" s="178"/>
    </row>
    <row r="890">
      <c r="A890" s="178"/>
      <c r="B890" s="178"/>
      <c r="C890" s="178"/>
      <c r="D890" s="178"/>
      <c r="E890" s="178"/>
    </row>
    <row r="891">
      <c r="A891" s="178"/>
      <c r="B891" s="178"/>
      <c r="C891" s="178"/>
      <c r="D891" s="178"/>
      <c r="E891" s="178"/>
    </row>
    <row r="892">
      <c r="A892" s="178"/>
      <c r="B892" s="178"/>
      <c r="C892" s="178"/>
      <c r="D892" s="178"/>
      <c r="E892" s="178"/>
    </row>
    <row r="893">
      <c r="A893" s="178"/>
      <c r="B893" s="178"/>
      <c r="C893" s="178"/>
      <c r="D893" s="178"/>
      <c r="E893" s="178"/>
    </row>
    <row r="894">
      <c r="A894" s="178"/>
      <c r="B894" s="178"/>
      <c r="C894" s="178"/>
      <c r="D894" s="178"/>
      <c r="E894" s="178"/>
    </row>
    <row r="895">
      <c r="A895" s="178"/>
      <c r="B895" s="178"/>
      <c r="C895" s="178"/>
      <c r="D895" s="178"/>
      <c r="E895" s="178"/>
    </row>
    <row r="896">
      <c r="A896" s="178"/>
      <c r="B896" s="178"/>
      <c r="C896" s="178"/>
      <c r="D896" s="178"/>
      <c r="E896" s="178"/>
    </row>
    <row r="897">
      <c r="A897" s="178"/>
      <c r="B897" s="178"/>
      <c r="C897" s="178"/>
      <c r="D897" s="178"/>
      <c r="E897" s="178"/>
    </row>
    <row r="898">
      <c r="A898" s="178"/>
      <c r="B898" s="178"/>
      <c r="C898" s="178"/>
      <c r="D898" s="178"/>
      <c r="E898" s="178"/>
    </row>
    <row r="899">
      <c r="A899" s="178"/>
      <c r="B899" s="178"/>
      <c r="C899" s="178"/>
      <c r="D899" s="178"/>
      <c r="E899" s="178"/>
    </row>
    <row r="900">
      <c r="A900" s="178"/>
      <c r="B900" s="178"/>
      <c r="C900" s="178"/>
      <c r="D900" s="178"/>
      <c r="E900" s="178"/>
    </row>
    <row r="901">
      <c r="A901" s="178"/>
      <c r="B901" s="178"/>
      <c r="C901" s="178"/>
      <c r="D901" s="178"/>
      <c r="E901" s="178"/>
    </row>
    <row r="902">
      <c r="A902" s="178"/>
      <c r="B902" s="178"/>
      <c r="C902" s="178"/>
      <c r="D902" s="178"/>
      <c r="E902" s="178"/>
    </row>
    <row r="903">
      <c r="A903" s="178"/>
      <c r="B903" s="178"/>
      <c r="C903" s="178"/>
      <c r="D903" s="178"/>
      <c r="E903" s="178"/>
    </row>
    <row r="904">
      <c r="A904" s="178"/>
      <c r="B904" s="178"/>
      <c r="C904" s="178"/>
      <c r="D904" s="178"/>
      <c r="E904" s="178"/>
    </row>
    <row r="905">
      <c r="A905" s="178"/>
      <c r="B905" s="178"/>
      <c r="C905" s="178"/>
      <c r="D905" s="178"/>
      <c r="E905" s="178"/>
    </row>
    <row r="906">
      <c r="A906" s="178"/>
      <c r="B906" s="178"/>
      <c r="C906" s="178"/>
      <c r="D906" s="178"/>
      <c r="E906" s="178"/>
    </row>
    <row r="907">
      <c r="A907" s="178"/>
      <c r="B907" s="178"/>
      <c r="C907" s="178"/>
      <c r="D907" s="178"/>
      <c r="E907" s="178"/>
    </row>
    <row r="908">
      <c r="A908" s="178"/>
      <c r="B908" s="178"/>
      <c r="C908" s="178"/>
      <c r="D908" s="178"/>
      <c r="E908" s="178"/>
    </row>
    <row r="909">
      <c r="A909" s="178"/>
      <c r="B909" s="178"/>
      <c r="C909" s="178"/>
      <c r="D909" s="178"/>
      <c r="E909" s="178"/>
    </row>
    <row r="910">
      <c r="A910" s="178"/>
      <c r="B910" s="178"/>
      <c r="C910" s="178"/>
      <c r="D910" s="178"/>
      <c r="E910" s="178"/>
    </row>
    <row r="911">
      <c r="A911" s="178"/>
      <c r="B911" s="178"/>
      <c r="C911" s="178"/>
      <c r="D911" s="178"/>
      <c r="E911" s="178"/>
    </row>
    <row r="912">
      <c r="A912" s="178"/>
      <c r="B912" s="178"/>
      <c r="C912" s="178"/>
      <c r="D912" s="178"/>
      <c r="E912" s="178"/>
    </row>
    <row r="913">
      <c r="A913" s="178"/>
      <c r="B913" s="178"/>
      <c r="C913" s="178"/>
      <c r="D913" s="178"/>
      <c r="E913" s="178"/>
    </row>
    <row r="914">
      <c r="A914" s="178"/>
      <c r="B914" s="178"/>
      <c r="C914" s="178"/>
      <c r="D914" s="178"/>
      <c r="E914" s="178"/>
    </row>
    <row r="915">
      <c r="A915" s="178"/>
      <c r="B915" s="178"/>
      <c r="C915" s="178"/>
      <c r="D915" s="178"/>
      <c r="E915" s="178"/>
    </row>
    <row r="916">
      <c r="A916" s="178"/>
      <c r="B916" s="178"/>
      <c r="C916" s="178"/>
      <c r="D916" s="178"/>
      <c r="E916" s="178"/>
    </row>
    <row r="917">
      <c r="A917" s="178"/>
      <c r="B917" s="178"/>
      <c r="C917" s="178"/>
      <c r="D917" s="178"/>
      <c r="E917" s="178"/>
    </row>
    <row r="918">
      <c r="A918" s="178"/>
      <c r="B918" s="178"/>
      <c r="C918" s="178"/>
      <c r="D918" s="178"/>
      <c r="E918" s="178"/>
    </row>
    <row r="919">
      <c r="A919" s="178"/>
      <c r="B919" s="178"/>
      <c r="C919" s="178"/>
      <c r="D919" s="178"/>
      <c r="E919" s="178"/>
    </row>
    <row r="920">
      <c r="A920" s="178"/>
      <c r="B920" s="178"/>
      <c r="C920" s="178"/>
      <c r="D920" s="178"/>
      <c r="E920" s="178"/>
    </row>
    <row r="921">
      <c r="A921" s="178"/>
      <c r="B921" s="178"/>
      <c r="C921" s="178"/>
      <c r="D921" s="178"/>
      <c r="E921" s="178"/>
    </row>
    <row r="922">
      <c r="A922" s="178"/>
      <c r="B922" s="178"/>
      <c r="C922" s="178"/>
      <c r="D922" s="178"/>
      <c r="E922" s="178"/>
    </row>
    <row r="923">
      <c r="A923" s="178"/>
      <c r="B923" s="178"/>
      <c r="C923" s="178"/>
      <c r="D923" s="178"/>
      <c r="E923" s="178"/>
    </row>
    <row r="924">
      <c r="A924" s="178"/>
      <c r="B924" s="178"/>
      <c r="C924" s="178"/>
      <c r="D924" s="178"/>
      <c r="E924" s="178"/>
    </row>
    <row r="925">
      <c r="A925" s="178"/>
      <c r="B925" s="178"/>
      <c r="C925" s="178"/>
      <c r="D925" s="178"/>
      <c r="E925" s="178"/>
    </row>
    <row r="926">
      <c r="A926" s="178"/>
      <c r="B926" s="178"/>
      <c r="C926" s="178"/>
      <c r="D926" s="178"/>
      <c r="E926" s="178"/>
    </row>
    <row r="927">
      <c r="A927" s="178"/>
      <c r="B927" s="178"/>
      <c r="C927" s="178"/>
      <c r="D927" s="178"/>
      <c r="E927" s="178"/>
    </row>
    <row r="928">
      <c r="A928" s="178"/>
      <c r="B928" s="178"/>
      <c r="C928" s="178"/>
      <c r="D928" s="178"/>
      <c r="E928" s="178"/>
    </row>
    <row r="929">
      <c r="A929" s="178"/>
      <c r="B929" s="178"/>
      <c r="C929" s="178"/>
      <c r="D929" s="178"/>
      <c r="E929" s="178"/>
    </row>
    <row r="930">
      <c r="A930" s="178"/>
      <c r="B930" s="178"/>
      <c r="C930" s="178"/>
      <c r="D930" s="178"/>
      <c r="E930" s="178"/>
    </row>
    <row r="931">
      <c r="A931" s="178"/>
      <c r="B931" s="178"/>
      <c r="C931" s="178"/>
      <c r="D931" s="178"/>
      <c r="E931" s="178"/>
    </row>
    <row r="932">
      <c r="A932" s="178"/>
      <c r="B932" s="178"/>
      <c r="C932" s="178"/>
      <c r="D932" s="178"/>
      <c r="E932" s="178"/>
    </row>
    <row r="933">
      <c r="A933" s="178"/>
      <c r="B933" s="178"/>
      <c r="C933" s="178"/>
      <c r="D933" s="178"/>
      <c r="E933" s="178"/>
    </row>
    <row r="934">
      <c r="A934" s="178"/>
      <c r="B934" s="178"/>
      <c r="C934" s="178"/>
      <c r="D934" s="178"/>
      <c r="E934" s="178"/>
    </row>
    <row r="935">
      <c r="A935" s="178"/>
      <c r="B935" s="178"/>
      <c r="C935" s="178"/>
      <c r="D935" s="178"/>
      <c r="E935" s="178"/>
    </row>
    <row r="936">
      <c r="A936" s="178"/>
      <c r="B936" s="178"/>
      <c r="C936" s="178"/>
      <c r="D936" s="178"/>
      <c r="E936" s="178"/>
    </row>
    <row r="937">
      <c r="A937" s="178"/>
      <c r="B937" s="178"/>
      <c r="C937" s="178"/>
      <c r="D937" s="178"/>
      <c r="E937" s="178"/>
    </row>
    <row r="938">
      <c r="A938" s="178"/>
      <c r="B938" s="178"/>
      <c r="C938" s="178"/>
      <c r="D938" s="178"/>
      <c r="E938" s="178"/>
    </row>
    <row r="939">
      <c r="A939" s="178"/>
      <c r="B939" s="178"/>
      <c r="C939" s="178"/>
      <c r="D939" s="178"/>
      <c r="E939" s="178"/>
    </row>
    <row r="940">
      <c r="A940" s="178"/>
      <c r="B940" s="178"/>
      <c r="C940" s="178"/>
      <c r="D940" s="178"/>
      <c r="E940" s="178"/>
    </row>
    <row r="941">
      <c r="A941" s="178"/>
      <c r="B941" s="178"/>
      <c r="C941" s="178"/>
      <c r="D941" s="178"/>
      <c r="E941" s="178"/>
    </row>
    <row r="942">
      <c r="A942" s="178"/>
      <c r="B942" s="178"/>
      <c r="C942" s="178"/>
      <c r="D942" s="178"/>
      <c r="E942" s="178"/>
    </row>
    <row r="943">
      <c r="A943" s="178"/>
      <c r="B943" s="178"/>
      <c r="C943" s="178"/>
      <c r="D943" s="178"/>
      <c r="E943" s="178"/>
    </row>
    <row r="944">
      <c r="A944" s="178"/>
      <c r="B944" s="178"/>
      <c r="C944" s="178"/>
      <c r="D944" s="178"/>
      <c r="E944" s="178"/>
    </row>
    <row r="945">
      <c r="A945" s="178"/>
      <c r="B945" s="178"/>
      <c r="C945" s="178"/>
      <c r="D945" s="178"/>
      <c r="E945" s="178"/>
    </row>
    <row r="946">
      <c r="A946" s="178"/>
      <c r="B946" s="178"/>
      <c r="C946" s="178"/>
      <c r="D946" s="178"/>
      <c r="E946" s="178"/>
    </row>
    <row r="947">
      <c r="A947" s="178"/>
      <c r="B947" s="178"/>
      <c r="C947" s="178"/>
      <c r="D947" s="178"/>
      <c r="E947" s="178"/>
    </row>
    <row r="948">
      <c r="A948" s="178"/>
      <c r="B948" s="178"/>
      <c r="C948" s="178"/>
      <c r="D948" s="178"/>
      <c r="E948" s="178"/>
    </row>
    <row r="949">
      <c r="A949" s="178"/>
      <c r="B949" s="178"/>
      <c r="C949" s="178"/>
      <c r="D949" s="178"/>
      <c r="E949" s="178"/>
    </row>
    <row r="950">
      <c r="A950" s="178"/>
      <c r="B950" s="178"/>
      <c r="C950" s="178"/>
      <c r="D950" s="178"/>
      <c r="E950" s="178"/>
    </row>
    <row r="951">
      <c r="A951" s="178"/>
      <c r="B951" s="178"/>
      <c r="C951" s="178"/>
      <c r="D951" s="178"/>
      <c r="E951" s="178"/>
    </row>
    <row r="952">
      <c r="A952" s="178"/>
      <c r="B952" s="178"/>
      <c r="C952" s="178"/>
      <c r="D952" s="178"/>
      <c r="E952" s="178"/>
    </row>
    <row r="953">
      <c r="A953" s="178"/>
      <c r="B953" s="178"/>
      <c r="C953" s="178"/>
      <c r="D953" s="178"/>
      <c r="E953" s="178"/>
    </row>
    <row r="954">
      <c r="A954" s="178"/>
      <c r="B954" s="178"/>
      <c r="C954" s="178"/>
      <c r="D954" s="178"/>
      <c r="E954" s="178"/>
    </row>
    <row r="955">
      <c r="A955" s="178"/>
      <c r="B955" s="178"/>
      <c r="C955" s="178"/>
      <c r="D955" s="178"/>
      <c r="E955" s="178"/>
    </row>
    <row r="956">
      <c r="A956" s="178"/>
      <c r="B956" s="178"/>
      <c r="C956" s="178"/>
      <c r="D956" s="178"/>
      <c r="E956" s="178"/>
    </row>
    <row r="957">
      <c r="A957" s="178"/>
      <c r="B957" s="178"/>
      <c r="C957" s="178"/>
      <c r="D957" s="178"/>
      <c r="E957" s="178"/>
    </row>
    <row r="958">
      <c r="A958" s="178"/>
      <c r="B958" s="178"/>
      <c r="C958" s="178"/>
      <c r="D958" s="178"/>
      <c r="E958" s="178"/>
    </row>
    <row r="959">
      <c r="A959" s="178"/>
      <c r="B959" s="178"/>
      <c r="C959" s="178"/>
      <c r="D959" s="178"/>
      <c r="E959" s="178"/>
    </row>
    <row r="960">
      <c r="A960" s="178"/>
      <c r="B960" s="178"/>
      <c r="C960" s="178"/>
      <c r="D960" s="178"/>
      <c r="E960" s="178"/>
    </row>
    <row r="961">
      <c r="A961" s="178"/>
      <c r="B961" s="178"/>
      <c r="C961" s="178"/>
      <c r="D961" s="178"/>
      <c r="E961" s="178"/>
    </row>
    <row r="962">
      <c r="A962" s="178"/>
      <c r="B962" s="178"/>
      <c r="C962" s="178"/>
      <c r="D962" s="178"/>
      <c r="E962" s="178"/>
    </row>
    <row r="963">
      <c r="A963" s="178"/>
      <c r="B963" s="178"/>
      <c r="C963" s="178"/>
      <c r="D963" s="178"/>
      <c r="E963" s="178"/>
    </row>
    <row r="964">
      <c r="A964" s="178"/>
      <c r="B964" s="178"/>
      <c r="C964" s="178"/>
      <c r="D964" s="178"/>
      <c r="E964" s="178"/>
    </row>
    <row r="965">
      <c r="A965" s="178"/>
      <c r="B965" s="178"/>
      <c r="C965" s="178"/>
      <c r="D965" s="178"/>
      <c r="E965" s="178"/>
    </row>
    <row r="966">
      <c r="A966" s="178"/>
      <c r="B966" s="178"/>
      <c r="C966" s="178"/>
      <c r="D966" s="178"/>
      <c r="E966" s="178"/>
    </row>
    <row r="967">
      <c r="A967" s="178"/>
      <c r="B967" s="178"/>
      <c r="C967" s="178"/>
      <c r="D967" s="178"/>
      <c r="E967" s="178"/>
    </row>
    <row r="968">
      <c r="A968" s="178"/>
      <c r="B968" s="178"/>
      <c r="C968" s="178"/>
      <c r="D968" s="178"/>
      <c r="E968" s="178"/>
    </row>
    <row r="969">
      <c r="A969" s="178"/>
      <c r="B969" s="178"/>
      <c r="C969" s="178"/>
      <c r="D969" s="178"/>
      <c r="E969" s="178"/>
    </row>
    <row r="970">
      <c r="A970" s="178"/>
      <c r="B970" s="178"/>
      <c r="C970" s="178"/>
      <c r="D970" s="178"/>
      <c r="E970" s="178"/>
    </row>
    <row r="971">
      <c r="A971" s="178"/>
      <c r="B971" s="178"/>
      <c r="C971" s="178"/>
      <c r="D971" s="178"/>
      <c r="E971" s="178"/>
    </row>
    <row r="972">
      <c r="A972" s="178"/>
      <c r="B972" s="178"/>
      <c r="C972" s="178"/>
      <c r="D972" s="178"/>
      <c r="E972" s="178"/>
    </row>
    <row r="973">
      <c r="A973" s="178"/>
      <c r="B973" s="178"/>
      <c r="C973" s="178"/>
      <c r="D973" s="178"/>
      <c r="E973" s="178"/>
    </row>
    <row r="974">
      <c r="A974" s="178"/>
      <c r="B974" s="178"/>
      <c r="C974" s="178"/>
      <c r="D974" s="178"/>
      <c r="E974" s="178"/>
    </row>
    <row r="975">
      <c r="A975" s="178"/>
      <c r="B975" s="178"/>
      <c r="C975" s="178"/>
      <c r="D975" s="178"/>
      <c r="E975" s="178"/>
    </row>
    <row r="976">
      <c r="A976" s="178"/>
      <c r="B976" s="178"/>
      <c r="C976" s="178"/>
      <c r="D976" s="178"/>
      <c r="E976" s="178"/>
    </row>
    <row r="977">
      <c r="A977" s="178"/>
      <c r="B977" s="178"/>
      <c r="C977" s="178"/>
      <c r="D977" s="178"/>
      <c r="E977" s="178"/>
    </row>
    <row r="978">
      <c r="A978" s="178"/>
      <c r="B978" s="178"/>
      <c r="C978" s="178"/>
      <c r="D978" s="178"/>
      <c r="E978" s="178"/>
    </row>
    <row r="979">
      <c r="A979" s="178"/>
      <c r="B979" s="178"/>
      <c r="C979" s="178"/>
      <c r="D979" s="178"/>
      <c r="E979" s="178"/>
    </row>
    <row r="980">
      <c r="A980" s="178"/>
      <c r="B980" s="178"/>
      <c r="C980" s="178"/>
      <c r="D980" s="178"/>
      <c r="E980" s="178"/>
    </row>
    <row r="981">
      <c r="A981" s="178"/>
      <c r="B981" s="178"/>
      <c r="C981" s="178"/>
      <c r="D981" s="178"/>
      <c r="E981" s="178"/>
    </row>
    <row r="982">
      <c r="A982" s="178"/>
      <c r="B982" s="178"/>
      <c r="C982" s="178"/>
      <c r="D982" s="178"/>
      <c r="E982" s="178"/>
    </row>
    <row r="983">
      <c r="A983" s="178"/>
      <c r="B983" s="178"/>
      <c r="C983" s="178"/>
      <c r="D983" s="178"/>
      <c r="E983" s="178"/>
    </row>
    <row r="984">
      <c r="A984" s="178"/>
      <c r="B984" s="178"/>
      <c r="C984" s="178"/>
      <c r="D984" s="178"/>
      <c r="E984" s="178"/>
    </row>
    <row r="985">
      <c r="A985" s="178"/>
      <c r="B985" s="178"/>
      <c r="C985" s="178"/>
      <c r="D985" s="178"/>
      <c r="E985" s="178"/>
    </row>
    <row r="986">
      <c r="A986" s="178"/>
      <c r="B986" s="178"/>
      <c r="C986" s="178"/>
      <c r="D986" s="178"/>
      <c r="E986" s="178"/>
    </row>
    <row r="987">
      <c r="A987" s="178"/>
      <c r="B987" s="178"/>
      <c r="C987" s="178"/>
      <c r="D987" s="178"/>
      <c r="E987" s="178"/>
    </row>
    <row r="988">
      <c r="A988" s="178"/>
      <c r="B988" s="178"/>
      <c r="C988" s="178"/>
      <c r="D988" s="178"/>
      <c r="E988" s="178"/>
    </row>
    <row r="989">
      <c r="A989" s="178"/>
      <c r="B989" s="178"/>
      <c r="C989" s="178"/>
      <c r="D989" s="178"/>
      <c r="E989" s="178"/>
    </row>
    <row r="990">
      <c r="A990" s="178"/>
      <c r="B990" s="178"/>
      <c r="C990" s="178"/>
      <c r="D990" s="178"/>
      <c r="E990" s="178"/>
    </row>
    <row r="991">
      <c r="A991" s="178"/>
      <c r="B991" s="178"/>
      <c r="C991" s="178"/>
      <c r="D991" s="178"/>
      <c r="E991" s="178"/>
    </row>
    <row r="992">
      <c r="A992" s="178"/>
      <c r="B992" s="178"/>
      <c r="C992" s="178"/>
      <c r="D992" s="178"/>
      <c r="E992" s="178"/>
    </row>
    <row r="993">
      <c r="A993" s="178"/>
      <c r="B993" s="178"/>
      <c r="C993" s="178"/>
      <c r="D993" s="178"/>
      <c r="E993" s="178"/>
    </row>
    <row r="994">
      <c r="A994" s="178"/>
      <c r="B994" s="178"/>
      <c r="C994" s="178"/>
      <c r="D994" s="178"/>
      <c r="E994" s="178"/>
    </row>
    <row r="995">
      <c r="A995" s="178"/>
      <c r="B995" s="178"/>
      <c r="C995" s="178"/>
      <c r="D995" s="178"/>
      <c r="E995" s="178"/>
    </row>
    <row r="996">
      <c r="A996" s="178"/>
      <c r="B996" s="178"/>
      <c r="C996" s="178"/>
      <c r="D996" s="178"/>
      <c r="E996" s="178"/>
    </row>
    <row r="997">
      <c r="A997" s="178"/>
      <c r="B997" s="178"/>
      <c r="C997" s="178"/>
      <c r="D997" s="178"/>
      <c r="E997" s="178"/>
    </row>
    <row r="998">
      <c r="A998" s="178"/>
      <c r="B998" s="178"/>
      <c r="C998" s="178"/>
      <c r="D998" s="178"/>
      <c r="E998" s="178"/>
    </row>
    <row r="999">
      <c r="A999" s="178"/>
      <c r="B999" s="178"/>
      <c r="C999" s="178"/>
      <c r="D999" s="178"/>
      <c r="E999" s="178"/>
    </row>
    <row r="1000">
      <c r="A1000" s="178"/>
      <c r="B1000" s="178"/>
      <c r="C1000" s="178"/>
      <c r="D1000" s="178"/>
      <c r="E1000" s="178"/>
    </row>
  </sheetData>
  <mergeCells count="1">
    <mergeCell ref="G8:H8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40.63"/>
    <col customWidth="1" min="3" max="3" width="12.0"/>
    <col customWidth="1" min="4" max="4" width="36.0"/>
    <col customWidth="1" min="5" max="5" width="10.38"/>
    <col customWidth="1" min="7" max="7" width="76.8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23"/>
      <c r="G1" s="80" t="s">
        <v>5</v>
      </c>
      <c r="H1" s="81">
        <f>SUM(H2,H3)</f>
        <v>30</v>
      </c>
    </row>
    <row r="2">
      <c r="A2" s="145" t="s">
        <v>708</v>
      </c>
      <c r="B2" s="167" t="s">
        <v>37</v>
      </c>
      <c r="C2" s="167" t="s">
        <v>199</v>
      </c>
      <c r="D2" s="167">
        <v>89.0</v>
      </c>
      <c r="E2" s="168">
        <v>0.25</v>
      </c>
      <c r="G2" s="82" t="s">
        <v>9</v>
      </c>
      <c r="H2" s="82">
        <v>18.0</v>
      </c>
    </row>
    <row r="3">
      <c r="A3" s="119" t="s">
        <v>709</v>
      </c>
      <c r="B3" s="167" t="s">
        <v>7</v>
      </c>
      <c r="C3" s="167" t="s">
        <v>8</v>
      </c>
      <c r="D3" s="170">
        <v>9.0</v>
      </c>
      <c r="E3" s="168">
        <v>0.25</v>
      </c>
      <c r="G3" s="82" t="s">
        <v>13</v>
      </c>
      <c r="H3" s="82">
        <v>12.0</v>
      </c>
    </row>
    <row r="4">
      <c r="A4" s="145" t="s">
        <v>710</v>
      </c>
      <c r="B4" s="146" t="s">
        <v>97</v>
      </c>
      <c r="C4" s="146" t="s">
        <v>12</v>
      </c>
      <c r="D4" s="73">
        <v>8.0</v>
      </c>
      <c r="E4" s="168">
        <v>0.25</v>
      </c>
      <c r="F4" s="23"/>
      <c r="G4" s="93"/>
      <c r="H4" s="93"/>
    </row>
    <row r="5">
      <c r="A5" s="145" t="s">
        <v>711</v>
      </c>
      <c r="B5" s="73" t="s">
        <v>15</v>
      </c>
      <c r="C5" s="73" t="s">
        <v>16</v>
      </c>
      <c r="D5" s="73">
        <v>5.0</v>
      </c>
      <c r="E5" s="168">
        <v>0.25</v>
      </c>
      <c r="F5" s="23"/>
      <c r="G5" s="93"/>
      <c r="H5" s="93"/>
    </row>
    <row r="6">
      <c r="A6" s="145" t="s">
        <v>712</v>
      </c>
      <c r="B6" s="73" t="s">
        <v>18</v>
      </c>
      <c r="C6" s="73" t="s">
        <v>19</v>
      </c>
      <c r="D6" s="73">
        <v>44.0</v>
      </c>
      <c r="E6" s="168">
        <v>0.25</v>
      </c>
      <c r="F6" s="23"/>
      <c r="G6" s="23"/>
      <c r="H6" s="23"/>
    </row>
    <row r="7">
      <c r="A7" s="145" t="s">
        <v>713</v>
      </c>
      <c r="B7" s="73" t="s">
        <v>22</v>
      </c>
      <c r="C7" s="73" t="s">
        <v>23</v>
      </c>
      <c r="D7" s="73">
        <v>6.0</v>
      </c>
      <c r="E7" s="168">
        <v>0.25</v>
      </c>
      <c r="F7" s="23"/>
      <c r="G7" s="23"/>
      <c r="H7" s="23"/>
    </row>
    <row r="8">
      <c r="A8" s="145" t="s">
        <v>714</v>
      </c>
      <c r="B8" s="73" t="s">
        <v>326</v>
      </c>
      <c r="C8" s="73" t="s">
        <v>289</v>
      </c>
      <c r="D8" s="73">
        <v>18.0</v>
      </c>
      <c r="E8" s="168">
        <v>0.25</v>
      </c>
      <c r="F8" s="23"/>
      <c r="G8" s="83"/>
    </row>
    <row r="9">
      <c r="A9" s="145" t="s">
        <v>715</v>
      </c>
      <c r="B9" s="73" t="s">
        <v>27</v>
      </c>
      <c r="C9" s="73" t="s">
        <v>28</v>
      </c>
      <c r="D9" s="73">
        <v>13.0</v>
      </c>
      <c r="E9" s="150">
        <v>0.2708333333333333</v>
      </c>
      <c r="F9" s="23"/>
      <c r="G9" s="84" t="s">
        <v>20</v>
      </c>
      <c r="H9" s="82">
        <v>3.0</v>
      </c>
    </row>
    <row r="10">
      <c r="A10" s="149" t="s">
        <v>716</v>
      </c>
      <c r="B10" s="73" t="s">
        <v>31</v>
      </c>
      <c r="C10" s="73" t="s">
        <v>32</v>
      </c>
      <c r="D10" s="73">
        <v>15.0</v>
      </c>
      <c r="E10" s="150">
        <v>0.2708333333333333</v>
      </c>
      <c r="F10" s="23"/>
      <c r="G10" s="75" t="s">
        <v>717</v>
      </c>
      <c r="H10" s="84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145" t="s">
        <v>718</v>
      </c>
      <c r="B11" s="73" t="s">
        <v>34</v>
      </c>
      <c r="C11" s="73" t="s">
        <v>35</v>
      </c>
      <c r="D11" s="73">
        <v>7.0</v>
      </c>
      <c r="E11" s="150">
        <v>0.2708333333333333</v>
      </c>
      <c r="F11" s="23"/>
      <c r="G11" s="140" t="s">
        <v>653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145" t="s">
        <v>719</v>
      </c>
      <c r="B12" s="73" t="s">
        <v>318</v>
      </c>
      <c r="C12" s="73" t="s">
        <v>319</v>
      </c>
      <c r="D12" s="73">
        <v>101.0</v>
      </c>
      <c r="E12" s="150">
        <v>0.2916666666666667</v>
      </c>
    </row>
    <row r="13">
      <c r="A13" s="145" t="s">
        <v>720</v>
      </c>
      <c r="B13" s="73" t="s">
        <v>672</v>
      </c>
      <c r="C13" s="73" t="s">
        <v>218</v>
      </c>
      <c r="D13" s="73">
        <v>86.0</v>
      </c>
      <c r="E13" s="150">
        <v>0.2916666666666667</v>
      </c>
    </row>
    <row r="14">
      <c r="A14" s="145" t="s">
        <v>721</v>
      </c>
      <c r="B14" s="73" t="s">
        <v>264</v>
      </c>
      <c r="C14" s="73" t="s">
        <v>224</v>
      </c>
      <c r="D14" s="73">
        <v>49.0</v>
      </c>
      <c r="E14" s="150">
        <v>0.2916666666666667</v>
      </c>
      <c r="F14" s="23"/>
      <c r="G14" s="23"/>
      <c r="H14" s="23"/>
    </row>
    <row r="15">
      <c r="A15" s="145" t="s">
        <v>722</v>
      </c>
      <c r="B15" s="73" t="s">
        <v>264</v>
      </c>
      <c r="C15" s="73" t="s">
        <v>224</v>
      </c>
      <c r="D15" s="73">
        <v>99.0</v>
      </c>
      <c r="E15" s="150">
        <v>0.2916666666666667</v>
      </c>
    </row>
    <row r="16">
      <c r="A16" s="145" t="s">
        <v>723</v>
      </c>
      <c r="B16" s="73" t="s">
        <v>44</v>
      </c>
      <c r="C16" s="73" t="s">
        <v>203</v>
      </c>
      <c r="D16" s="73">
        <v>91.0</v>
      </c>
      <c r="E16" s="150">
        <v>0.2916666666666667</v>
      </c>
      <c r="F16" s="23"/>
      <c r="G16" s="23"/>
      <c r="H16" s="23"/>
    </row>
    <row r="17">
      <c r="A17" s="145" t="s">
        <v>724</v>
      </c>
      <c r="B17" s="73" t="s">
        <v>48</v>
      </c>
      <c r="C17" s="73" t="s">
        <v>49</v>
      </c>
      <c r="D17" s="73">
        <v>17.0</v>
      </c>
      <c r="E17" s="150">
        <v>0.2916666666666667</v>
      </c>
      <c r="F17" s="23"/>
      <c r="G17" s="23"/>
      <c r="H17" s="23"/>
    </row>
    <row r="18">
      <c r="A18" s="145" t="s">
        <v>725</v>
      </c>
      <c r="B18" s="73" t="s">
        <v>51</v>
      </c>
      <c r="C18" s="73" t="s">
        <v>52</v>
      </c>
      <c r="D18" s="73">
        <v>35.0</v>
      </c>
      <c r="E18" s="150">
        <v>0.2916666666666667</v>
      </c>
      <c r="F18" s="23"/>
      <c r="G18" s="23"/>
      <c r="H18" s="23"/>
    </row>
    <row r="19">
      <c r="A19" s="145" t="s">
        <v>726</v>
      </c>
      <c r="B19" s="73" t="s">
        <v>54</v>
      </c>
      <c r="C19" s="73" t="s">
        <v>55</v>
      </c>
      <c r="D19" s="73">
        <v>33.0</v>
      </c>
      <c r="E19" s="150">
        <v>0.2916666666666667</v>
      </c>
      <c r="F19" s="23"/>
      <c r="G19" s="23"/>
      <c r="H19" s="23"/>
    </row>
    <row r="20">
      <c r="A20" s="145" t="s">
        <v>727</v>
      </c>
      <c r="B20" s="73" t="s">
        <v>118</v>
      </c>
      <c r="C20" s="73" t="s">
        <v>58</v>
      </c>
      <c r="D20" s="73">
        <v>19.0</v>
      </c>
      <c r="E20" s="150">
        <v>0.2916666666666667</v>
      </c>
      <c r="F20" s="23"/>
      <c r="G20" s="23"/>
      <c r="H20" s="23"/>
    </row>
    <row r="21">
      <c r="A21" s="145" t="s">
        <v>728</v>
      </c>
      <c r="B21" s="73" t="s">
        <v>61</v>
      </c>
      <c r="C21" s="73" t="s">
        <v>62</v>
      </c>
      <c r="D21" s="73">
        <v>38.0</v>
      </c>
      <c r="E21" s="150">
        <v>0.2916666666666667</v>
      </c>
      <c r="F21" s="23"/>
      <c r="G21" s="23"/>
      <c r="H21" s="23"/>
    </row>
    <row r="22">
      <c r="A22" s="106" t="s">
        <v>729</v>
      </c>
      <c r="B22" s="73" t="s">
        <v>121</v>
      </c>
      <c r="C22" s="73" t="s">
        <v>122</v>
      </c>
      <c r="D22" s="73">
        <v>14.0</v>
      </c>
      <c r="E22" s="150">
        <v>0.2916666666666667</v>
      </c>
      <c r="F22" s="23"/>
      <c r="G22" s="23"/>
      <c r="H22" s="23"/>
    </row>
    <row r="23">
      <c r="A23" s="179" t="s">
        <v>730</v>
      </c>
      <c r="B23" s="157" t="s">
        <v>37</v>
      </c>
      <c r="C23" s="157" t="s">
        <v>199</v>
      </c>
      <c r="D23" s="157">
        <v>113.0</v>
      </c>
      <c r="E23" s="153">
        <v>0.2916666666666667</v>
      </c>
      <c r="F23" s="23"/>
      <c r="G23" s="23"/>
      <c r="H23" s="23"/>
    </row>
    <row r="24">
      <c r="A24" s="119" t="s">
        <v>731</v>
      </c>
      <c r="B24" s="73" t="s">
        <v>124</v>
      </c>
      <c r="C24" s="73" t="s">
        <v>69</v>
      </c>
      <c r="D24" s="73">
        <v>32.0</v>
      </c>
      <c r="E24" s="150">
        <v>0.3125</v>
      </c>
      <c r="F24" s="23"/>
      <c r="G24" s="23"/>
      <c r="H24" s="23"/>
    </row>
    <row r="25">
      <c r="A25" s="180" t="s">
        <v>732</v>
      </c>
      <c r="B25" s="73" t="s">
        <v>71</v>
      </c>
      <c r="C25" s="73" t="s">
        <v>72</v>
      </c>
      <c r="D25" s="73">
        <v>12.0</v>
      </c>
      <c r="E25" s="150">
        <v>0.3125</v>
      </c>
      <c r="F25" s="23"/>
      <c r="G25" s="23"/>
      <c r="H25" s="23"/>
    </row>
    <row r="26">
      <c r="A26" s="119" t="s">
        <v>733</v>
      </c>
      <c r="B26" s="146" t="s">
        <v>75</v>
      </c>
      <c r="C26" s="146" t="s">
        <v>76</v>
      </c>
      <c r="D26" s="146">
        <v>28.0</v>
      </c>
      <c r="E26" s="150">
        <v>0.3125</v>
      </c>
      <c r="F26" s="23"/>
      <c r="G26" s="23"/>
      <c r="H26" s="23"/>
    </row>
    <row r="27">
      <c r="A27" s="119" t="s">
        <v>734</v>
      </c>
      <c r="B27" s="73" t="s">
        <v>399</v>
      </c>
      <c r="C27" s="73" t="s">
        <v>157</v>
      </c>
      <c r="D27" s="73" t="s">
        <v>25</v>
      </c>
      <c r="E27" s="150">
        <v>0.3125</v>
      </c>
      <c r="F27" s="23"/>
      <c r="G27" s="23"/>
      <c r="H27" s="23"/>
    </row>
    <row r="28">
      <c r="A28" s="119" t="s">
        <v>735</v>
      </c>
      <c r="B28" s="73" t="s">
        <v>159</v>
      </c>
      <c r="C28" s="73" t="s">
        <v>79</v>
      </c>
      <c r="D28" s="73" t="s">
        <v>25</v>
      </c>
      <c r="E28" s="150">
        <v>0.3125</v>
      </c>
      <c r="F28" s="23"/>
      <c r="G28" s="23"/>
      <c r="H28" s="23"/>
    </row>
    <row r="29">
      <c r="A29" s="145" t="s">
        <v>736</v>
      </c>
      <c r="B29" s="146" t="s">
        <v>81</v>
      </c>
      <c r="C29" s="146" t="s">
        <v>82</v>
      </c>
      <c r="D29" s="146">
        <v>49.0</v>
      </c>
      <c r="E29" s="150">
        <v>0.3125</v>
      </c>
      <c r="F29" s="23"/>
      <c r="G29" s="23"/>
      <c r="H29" s="23"/>
    </row>
    <row r="30">
      <c r="A30" s="145" t="s">
        <v>737</v>
      </c>
      <c r="B30" s="146" t="s">
        <v>385</v>
      </c>
      <c r="C30" s="146" t="s">
        <v>207</v>
      </c>
      <c r="D30" s="146">
        <v>94.0</v>
      </c>
      <c r="E30" s="150">
        <v>0.375</v>
      </c>
      <c r="F30" s="23"/>
      <c r="G30" s="23"/>
      <c r="H30" s="23"/>
    </row>
    <row r="31">
      <c r="A31" s="119" t="s">
        <v>738</v>
      </c>
      <c r="B31" s="146" t="s">
        <v>563</v>
      </c>
      <c r="C31" s="146" t="s">
        <v>292</v>
      </c>
      <c r="D31" s="146">
        <v>112.0</v>
      </c>
      <c r="E31" s="150">
        <v>0.4375</v>
      </c>
      <c r="F31" s="23"/>
      <c r="G31" s="23"/>
      <c r="H31" s="23"/>
    </row>
    <row r="32">
      <c r="A32" s="106" t="s">
        <v>739</v>
      </c>
      <c r="B32" s="167" t="s">
        <v>84</v>
      </c>
      <c r="C32" s="167" t="s">
        <v>193</v>
      </c>
      <c r="D32" s="167" t="s">
        <v>167</v>
      </c>
      <c r="E32" s="181">
        <v>0.6666666666666666</v>
      </c>
      <c r="F32" s="23"/>
      <c r="G32" s="23"/>
      <c r="H32" s="23"/>
    </row>
    <row r="33">
      <c r="A33" s="119" t="s">
        <v>740</v>
      </c>
      <c r="B33" s="167" t="s">
        <v>318</v>
      </c>
      <c r="C33" s="167" t="s">
        <v>319</v>
      </c>
      <c r="D33" s="167">
        <v>100.0</v>
      </c>
      <c r="E33" s="181">
        <v>0.6666666666666666</v>
      </c>
      <c r="F33" s="23"/>
      <c r="G33" s="23"/>
      <c r="H33" s="23"/>
    </row>
    <row r="34">
      <c r="A34" s="156" t="s">
        <v>741</v>
      </c>
      <c r="B34" s="157" t="s">
        <v>742</v>
      </c>
      <c r="C34" s="157" t="s">
        <v>261</v>
      </c>
      <c r="D34" s="157">
        <v>16.0</v>
      </c>
      <c r="E34" s="153">
        <v>0.20833333333333334</v>
      </c>
      <c r="F34" s="23"/>
      <c r="G34" s="23"/>
      <c r="H34" s="23"/>
    </row>
    <row r="35">
      <c r="A35" s="172"/>
      <c r="B35" s="173"/>
      <c r="C35" s="173"/>
      <c r="D35" s="173"/>
      <c r="E35" s="166"/>
      <c r="F35" s="23"/>
      <c r="G35" s="23"/>
      <c r="H35" s="23"/>
    </row>
    <row r="36">
      <c r="A36" s="172"/>
      <c r="B36" s="172"/>
      <c r="C36" s="172"/>
      <c r="D36" s="172"/>
      <c r="E36" s="166"/>
    </row>
    <row r="37">
      <c r="A37" s="172"/>
      <c r="B37" s="172"/>
      <c r="C37" s="172"/>
      <c r="D37" s="172"/>
      <c r="E37" s="166"/>
      <c r="F37" s="23"/>
      <c r="G37" s="23"/>
      <c r="H37" s="23"/>
    </row>
    <row r="38">
      <c r="A38" s="174"/>
      <c r="B38" s="110"/>
      <c r="C38" s="110"/>
      <c r="D38" s="110"/>
      <c r="E38" s="111"/>
    </row>
    <row r="39">
      <c r="A39" s="174"/>
      <c r="B39" s="110"/>
      <c r="C39" s="110"/>
      <c r="D39" s="110"/>
      <c r="E39" s="111"/>
    </row>
    <row r="40">
      <c r="A40" s="175"/>
      <c r="B40" s="110"/>
      <c r="C40" s="110"/>
      <c r="D40" s="110"/>
      <c r="E40" s="111"/>
    </row>
    <row r="41">
      <c r="A41" s="176"/>
      <c r="B41" s="110"/>
      <c r="C41" s="110"/>
      <c r="D41" s="110"/>
      <c r="E41" s="111"/>
    </row>
    <row r="42">
      <c r="A42" s="177"/>
      <c r="B42" s="110"/>
      <c r="C42" s="110"/>
      <c r="D42" s="110"/>
      <c r="E42" s="111"/>
    </row>
    <row r="43">
      <c r="A43" s="174"/>
      <c r="B43" s="110"/>
      <c r="C43" s="110"/>
      <c r="D43" s="110"/>
      <c r="E43" s="111"/>
    </row>
    <row r="44">
      <c r="A44" s="174"/>
      <c r="B44" s="110"/>
      <c r="C44" s="110"/>
      <c r="D44" s="110"/>
      <c r="E44" s="111"/>
    </row>
    <row r="45">
      <c r="A45" s="174"/>
      <c r="B45" s="110"/>
      <c r="C45" s="110"/>
      <c r="D45" s="110"/>
      <c r="E45" s="111"/>
    </row>
    <row r="46">
      <c r="A46" s="174"/>
      <c r="B46" s="110"/>
      <c r="C46" s="110"/>
      <c r="D46" s="110"/>
      <c r="E46" s="111"/>
    </row>
    <row r="47">
      <c r="A47" s="174"/>
      <c r="B47" s="110"/>
      <c r="C47" s="110"/>
      <c r="D47" s="110"/>
      <c r="E47" s="111"/>
    </row>
    <row r="48">
      <c r="A48" s="174"/>
      <c r="B48" s="110"/>
      <c r="C48" s="110"/>
      <c r="D48" s="110"/>
      <c r="E48" s="111"/>
    </row>
    <row r="49">
      <c r="A49" s="177"/>
      <c r="B49" s="110"/>
      <c r="C49" s="110"/>
      <c r="D49" s="110"/>
      <c r="E49" s="111"/>
    </row>
    <row r="50">
      <c r="A50" s="174"/>
      <c r="B50" s="110"/>
      <c r="C50" s="110"/>
      <c r="D50" s="110"/>
      <c r="E50" s="111"/>
    </row>
    <row r="51">
      <c r="A51" s="174"/>
      <c r="B51" s="110"/>
      <c r="C51" s="110"/>
      <c r="D51" s="110"/>
      <c r="E51" s="111"/>
    </row>
    <row r="52">
      <c r="A52" s="178"/>
      <c r="B52" s="178"/>
      <c r="C52" s="178"/>
      <c r="D52" s="178"/>
      <c r="E52" s="178"/>
    </row>
    <row r="53">
      <c r="A53" s="178"/>
      <c r="B53" s="178"/>
      <c r="C53" s="178"/>
      <c r="D53" s="178"/>
      <c r="E53" s="178"/>
    </row>
    <row r="54">
      <c r="A54" s="178"/>
      <c r="B54" s="178"/>
      <c r="C54" s="178"/>
      <c r="D54" s="178"/>
      <c r="E54" s="178"/>
    </row>
    <row r="55">
      <c r="A55" s="178"/>
      <c r="B55" s="178"/>
      <c r="C55" s="178"/>
      <c r="D55" s="178"/>
      <c r="E55" s="178"/>
    </row>
    <row r="56">
      <c r="A56" s="178"/>
      <c r="B56" s="178"/>
      <c r="C56" s="178"/>
      <c r="D56" s="178"/>
      <c r="E56" s="178"/>
    </row>
    <row r="57">
      <c r="A57" s="178"/>
      <c r="B57" s="178"/>
      <c r="C57" s="178"/>
      <c r="D57" s="178"/>
      <c r="E57" s="178"/>
    </row>
    <row r="58">
      <c r="A58" s="178"/>
      <c r="B58" s="178"/>
      <c r="C58" s="178"/>
      <c r="D58" s="178"/>
      <c r="E58" s="178"/>
    </row>
    <row r="59">
      <c r="A59" s="178"/>
      <c r="B59" s="178"/>
      <c r="C59" s="178"/>
      <c r="D59" s="178"/>
      <c r="E59" s="178"/>
    </row>
    <row r="60">
      <c r="A60" s="178"/>
      <c r="B60" s="178"/>
      <c r="C60" s="178"/>
      <c r="D60" s="178"/>
      <c r="E60" s="178"/>
    </row>
    <row r="61">
      <c r="A61" s="178"/>
      <c r="B61" s="178"/>
      <c r="C61" s="178"/>
      <c r="D61" s="178"/>
      <c r="E61" s="178"/>
    </row>
    <row r="62">
      <c r="A62" s="178"/>
      <c r="B62" s="178"/>
      <c r="C62" s="178"/>
      <c r="D62" s="178"/>
      <c r="E62" s="178"/>
    </row>
    <row r="63">
      <c r="A63" s="178"/>
      <c r="B63" s="178"/>
      <c r="C63" s="178"/>
      <c r="D63" s="178"/>
      <c r="E63" s="178"/>
    </row>
    <row r="64">
      <c r="A64" s="178"/>
      <c r="B64" s="178"/>
      <c r="C64" s="178"/>
      <c r="D64" s="178"/>
      <c r="E64" s="178"/>
    </row>
    <row r="65">
      <c r="A65" s="178"/>
      <c r="B65" s="178"/>
      <c r="C65" s="178"/>
      <c r="D65" s="178"/>
      <c r="E65" s="178"/>
    </row>
    <row r="66">
      <c r="A66" s="178"/>
      <c r="B66" s="178"/>
      <c r="C66" s="178"/>
      <c r="D66" s="178"/>
      <c r="E66" s="178"/>
    </row>
    <row r="67">
      <c r="A67" s="178"/>
      <c r="B67" s="178"/>
      <c r="C67" s="178"/>
      <c r="D67" s="178"/>
      <c r="E67" s="178"/>
    </row>
    <row r="68">
      <c r="A68" s="178"/>
      <c r="B68" s="178"/>
      <c r="C68" s="178"/>
      <c r="D68" s="178"/>
      <c r="E68" s="178"/>
    </row>
    <row r="69">
      <c r="A69" s="178"/>
      <c r="B69" s="178"/>
      <c r="C69" s="178"/>
      <c r="D69" s="178"/>
      <c r="E69" s="178"/>
    </row>
    <row r="70">
      <c r="A70" s="178"/>
      <c r="B70" s="178"/>
      <c r="C70" s="178"/>
      <c r="D70" s="178"/>
      <c r="E70" s="178"/>
    </row>
    <row r="71">
      <c r="A71" s="178"/>
      <c r="B71" s="178"/>
      <c r="C71" s="178"/>
      <c r="D71" s="178"/>
      <c r="E71" s="178"/>
    </row>
    <row r="72">
      <c r="A72" s="178"/>
      <c r="B72" s="178"/>
      <c r="C72" s="178"/>
      <c r="D72" s="178"/>
      <c r="E72" s="178"/>
    </row>
    <row r="73">
      <c r="A73" s="178"/>
      <c r="B73" s="178"/>
      <c r="C73" s="178"/>
      <c r="D73" s="178"/>
      <c r="E73" s="178"/>
    </row>
    <row r="74">
      <c r="A74" s="178"/>
      <c r="B74" s="178"/>
      <c r="C74" s="178"/>
      <c r="D74" s="178"/>
      <c r="E74" s="178"/>
    </row>
    <row r="75">
      <c r="A75" s="178"/>
      <c r="B75" s="178"/>
      <c r="C75" s="178"/>
      <c r="D75" s="178"/>
      <c r="E75" s="178"/>
    </row>
    <row r="76">
      <c r="A76" s="178"/>
      <c r="B76" s="178"/>
      <c r="C76" s="178"/>
      <c r="D76" s="178"/>
      <c r="E76" s="178"/>
    </row>
    <row r="77">
      <c r="A77" s="178"/>
      <c r="B77" s="178"/>
      <c r="C77" s="178"/>
      <c r="D77" s="178"/>
      <c r="E77" s="178"/>
    </row>
    <row r="78">
      <c r="A78" s="178"/>
      <c r="B78" s="178"/>
      <c r="C78" s="178"/>
      <c r="D78" s="178"/>
      <c r="E78" s="178"/>
    </row>
    <row r="79">
      <c r="A79" s="178"/>
      <c r="B79" s="178"/>
      <c r="C79" s="178"/>
      <c r="D79" s="178"/>
      <c r="E79" s="178"/>
    </row>
    <row r="80">
      <c r="A80" s="178"/>
      <c r="B80" s="178"/>
      <c r="C80" s="178"/>
      <c r="D80" s="178"/>
      <c r="E80" s="178"/>
    </row>
    <row r="81">
      <c r="A81" s="178"/>
      <c r="B81" s="178"/>
      <c r="C81" s="178"/>
      <c r="D81" s="178"/>
      <c r="E81" s="178"/>
    </row>
    <row r="82">
      <c r="A82" s="178"/>
      <c r="B82" s="178"/>
      <c r="C82" s="178"/>
      <c r="D82" s="178"/>
      <c r="E82" s="178"/>
    </row>
    <row r="83">
      <c r="A83" s="178"/>
      <c r="B83" s="178"/>
      <c r="C83" s="178"/>
      <c r="D83" s="178"/>
      <c r="E83" s="178"/>
    </row>
    <row r="84">
      <c r="A84" s="178"/>
      <c r="B84" s="178"/>
      <c r="C84" s="178"/>
      <c r="D84" s="178"/>
      <c r="E84" s="178"/>
    </row>
    <row r="85">
      <c r="A85" s="178"/>
      <c r="B85" s="178"/>
      <c r="C85" s="178"/>
      <c r="D85" s="178"/>
      <c r="E85" s="178"/>
    </row>
    <row r="86">
      <c r="A86" s="178"/>
      <c r="B86" s="178"/>
      <c r="C86" s="178"/>
      <c r="D86" s="178"/>
      <c r="E86" s="178"/>
    </row>
    <row r="87">
      <c r="A87" s="178"/>
      <c r="B87" s="178"/>
      <c r="C87" s="178"/>
      <c r="D87" s="178"/>
      <c r="E87" s="178"/>
    </row>
    <row r="88">
      <c r="A88" s="178"/>
      <c r="B88" s="178"/>
      <c r="C88" s="178"/>
      <c r="D88" s="178"/>
      <c r="E88" s="178"/>
    </row>
    <row r="89">
      <c r="A89" s="178"/>
      <c r="B89" s="178"/>
      <c r="C89" s="178"/>
      <c r="D89" s="178"/>
      <c r="E89" s="178"/>
    </row>
    <row r="90">
      <c r="A90" s="178"/>
      <c r="B90" s="178"/>
      <c r="C90" s="178"/>
      <c r="D90" s="178"/>
      <c r="E90" s="178"/>
    </row>
    <row r="91">
      <c r="A91" s="178"/>
      <c r="B91" s="178"/>
      <c r="C91" s="178"/>
      <c r="D91" s="178"/>
      <c r="E91" s="178"/>
    </row>
    <row r="92">
      <c r="A92" s="178"/>
      <c r="B92" s="178"/>
      <c r="C92" s="178"/>
      <c r="D92" s="178"/>
      <c r="E92" s="178"/>
    </row>
    <row r="93">
      <c r="A93" s="178"/>
      <c r="B93" s="178"/>
      <c r="C93" s="178"/>
      <c r="D93" s="178"/>
      <c r="E93" s="178"/>
    </row>
    <row r="94">
      <c r="A94" s="178"/>
      <c r="B94" s="178"/>
      <c r="C94" s="178"/>
      <c r="D94" s="178"/>
      <c r="E94" s="178"/>
    </row>
    <row r="95">
      <c r="A95" s="178"/>
      <c r="B95" s="178"/>
      <c r="C95" s="178"/>
      <c r="D95" s="178"/>
      <c r="E95" s="178"/>
    </row>
    <row r="96">
      <c r="A96" s="178"/>
      <c r="B96" s="178"/>
      <c r="C96" s="178"/>
      <c r="D96" s="178"/>
      <c r="E96" s="178"/>
    </row>
    <row r="97">
      <c r="A97" s="178"/>
      <c r="B97" s="178"/>
      <c r="C97" s="178"/>
      <c r="D97" s="178"/>
      <c r="E97" s="178"/>
    </row>
    <row r="98">
      <c r="A98" s="178"/>
      <c r="B98" s="178"/>
      <c r="C98" s="178"/>
      <c r="D98" s="178"/>
      <c r="E98" s="178"/>
    </row>
    <row r="99">
      <c r="A99" s="178"/>
      <c r="B99" s="178"/>
      <c r="C99" s="178"/>
      <c r="D99" s="178"/>
      <c r="E99" s="178"/>
    </row>
    <row r="100">
      <c r="A100" s="178"/>
      <c r="B100" s="178"/>
      <c r="C100" s="178"/>
      <c r="D100" s="178"/>
      <c r="E100" s="178"/>
    </row>
    <row r="101">
      <c r="A101" s="178"/>
      <c r="B101" s="178"/>
      <c r="C101" s="178"/>
      <c r="D101" s="178"/>
      <c r="E101" s="178"/>
    </row>
    <row r="102">
      <c r="A102" s="178"/>
      <c r="B102" s="178"/>
      <c r="C102" s="178"/>
      <c r="D102" s="178"/>
      <c r="E102" s="178"/>
    </row>
    <row r="103">
      <c r="A103" s="178"/>
      <c r="B103" s="178"/>
      <c r="C103" s="178"/>
      <c r="D103" s="178"/>
      <c r="E103" s="178"/>
    </row>
    <row r="104">
      <c r="A104" s="178"/>
      <c r="B104" s="178"/>
      <c r="C104" s="178"/>
      <c r="D104" s="178"/>
      <c r="E104" s="178"/>
    </row>
    <row r="105">
      <c r="A105" s="178"/>
      <c r="B105" s="178"/>
      <c r="C105" s="178"/>
      <c r="D105" s="178"/>
      <c r="E105" s="178"/>
    </row>
    <row r="106">
      <c r="A106" s="178"/>
      <c r="B106" s="178"/>
      <c r="C106" s="178"/>
      <c r="D106" s="178"/>
      <c r="E106" s="178"/>
    </row>
    <row r="107">
      <c r="A107" s="178"/>
      <c r="B107" s="178"/>
      <c r="C107" s="178"/>
      <c r="D107" s="178"/>
      <c r="E107" s="178"/>
    </row>
    <row r="108">
      <c r="A108" s="178"/>
      <c r="B108" s="178"/>
      <c r="C108" s="178"/>
      <c r="D108" s="178"/>
      <c r="E108" s="178"/>
    </row>
    <row r="109">
      <c r="A109" s="178"/>
      <c r="B109" s="178"/>
      <c r="C109" s="178"/>
      <c r="D109" s="178"/>
      <c r="E109" s="178"/>
    </row>
    <row r="110">
      <c r="A110" s="178"/>
      <c r="B110" s="178"/>
      <c r="C110" s="178"/>
      <c r="D110" s="178"/>
      <c r="E110" s="178"/>
    </row>
    <row r="111">
      <c r="A111" s="178"/>
      <c r="B111" s="178"/>
      <c r="C111" s="178"/>
      <c r="D111" s="178"/>
      <c r="E111" s="178"/>
    </row>
    <row r="112">
      <c r="A112" s="178"/>
      <c r="B112" s="178"/>
      <c r="C112" s="178"/>
      <c r="D112" s="178"/>
      <c r="E112" s="178"/>
    </row>
    <row r="113">
      <c r="A113" s="178"/>
      <c r="B113" s="178"/>
      <c r="C113" s="178"/>
      <c r="D113" s="178"/>
      <c r="E113" s="178"/>
    </row>
    <row r="114">
      <c r="A114" s="178"/>
      <c r="B114" s="178"/>
      <c r="C114" s="178"/>
      <c r="D114" s="178"/>
      <c r="E114" s="178"/>
    </row>
    <row r="115">
      <c r="A115" s="178"/>
      <c r="B115" s="178"/>
      <c r="C115" s="178"/>
      <c r="D115" s="178"/>
      <c r="E115" s="178"/>
    </row>
    <row r="116">
      <c r="A116" s="178"/>
      <c r="B116" s="178"/>
      <c r="C116" s="178"/>
      <c r="D116" s="178"/>
      <c r="E116" s="178"/>
    </row>
    <row r="117">
      <c r="A117" s="178"/>
      <c r="B117" s="178"/>
      <c r="C117" s="178"/>
      <c r="D117" s="178"/>
      <c r="E117" s="178"/>
    </row>
    <row r="118">
      <c r="A118" s="178"/>
      <c r="B118" s="178"/>
      <c r="C118" s="178"/>
      <c r="D118" s="178"/>
      <c r="E118" s="178"/>
    </row>
    <row r="119">
      <c r="A119" s="178"/>
      <c r="B119" s="178"/>
      <c r="C119" s="178"/>
      <c r="D119" s="178"/>
      <c r="E119" s="178"/>
    </row>
    <row r="120">
      <c r="A120" s="178"/>
      <c r="B120" s="178"/>
      <c r="C120" s="178"/>
      <c r="D120" s="178"/>
      <c r="E120" s="178"/>
    </row>
    <row r="121">
      <c r="A121" s="178"/>
      <c r="B121" s="178"/>
      <c r="C121" s="178"/>
      <c r="D121" s="178"/>
      <c r="E121" s="178"/>
    </row>
    <row r="122">
      <c r="A122" s="178"/>
      <c r="B122" s="178"/>
      <c r="C122" s="178"/>
      <c r="D122" s="178"/>
      <c r="E122" s="178"/>
    </row>
    <row r="123">
      <c r="A123" s="178"/>
      <c r="B123" s="178"/>
      <c r="C123" s="178"/>
      <c r="D123" s="178"/>
      <c r="E123" s="178"/>
    </row>
    <row r="124">
      <c r="A124" s="178"/>
      <c r="B124" s="178"/>
      <c r="C124" s="178"/>
      <c r="D124" s="178"/>
      <c r="E124" s="178"/>
    </row>
    <row r="125">
      <c r="A125" s="178"/>
      <c r="B125" s="178"/>
      <c r="C125" s="178"/>
      <c r="D125" s="178"/>
      <c r="E125" s="178"/>
    </row>
    <row r="126">
      <c r="A126" s="178"/>
      <c r="B126" s="178"/>
      <c r="C126" s="178"/>
      <c r="D126" s="178"/>
      <c r="E126" s="178"/>
    </row>
    <row r="127">
      <c r="A127" s="178"/>
      <c r="B127" s="178"/>
      <c r="C127" s="178"/>
      <c r="D127" s="178"/>
      <c r="E127" s="178"/>
    </row>
    <row r="128">
      <c r="A128" s="178"/>
      <c r="B128" s="178"/>
      <c r="C128" s="178"/>
      <c r="D128" s="178"/>
      <c r="E128" s="178"/>
    </row>
    <row r="129">
      <c r="A129" s="178"/>
      <c r="B129" s="178"/>
      <c r="C129" s="178"/>
      <c r="D129" s="178"/>
      <c r="E129" s="178"/>
    </row>
    <row r="130">
      <c r="A130" s="178"/>
      <c r="B130" s="178"/>
      <c r="C130" s="178"/>
      <c r="D130" s="178"/>
      <c r="E130" s="178"/>
    </row>
    <row r="131">
      <c r="A131" s="178"/>
      <c r="B131" s="178"/>
      <c r="C131" s="178"/>
      <c r="D131" s="178"/>
      <c r="E131" s="178"/>
    </row>
    <row r="132">
      <c r="A132" s="178"/>
      <c r="B132" s="178"/>
      <c r="C132" s="178"/>
      <c r="D132" s="178"/>
      <c r="E132" s="178"/>
    </row>
    <row r="133">
      <c r="A133" s="178"/>
      <c r="B133" s="178"/>
      <c r="C133" s="178"/>
      <c r="D133" s="178"/>
      <c r="E133" s="178"/>
    </row>
    <row r="134">
      <c r="A134" s="178"/>
      <c r="B134" s="178"/>
      <c r="C134" s="178"/>
      <c r="D134" s="178"/>
      <c r="E134" s="178"/>
    </row>
    <row r="135">
      <c r="A135" s="178"/>
      <c r="B135" s="178"/>
      <c r="C135" s="178"/>
      <c r="D135" s="178"/>
      <c r="E135" s="178"/>
    </row>
    <row r="136">
      <c r="A136" s="178"/>
      <c r="B136" s="178"/>
      <c r="C136" s="178"/>
      <c r="D136" s="178"/>
      <c r="E136" s="178"/>
    </row>
    <row r="137">
      <c r="A137" s="178"/>
      <c r="B137" s="178"/>
      <c r="C137" s="178"/>
      <c r="D137" s="178"/>
      <c r="E137" s="178"/>
    </row>
    <row r="138">
      <c r="A138" s="178"/>
      <c r="B138" s="178"/>
      <c r="C138" s="178"/>
      <c r="D138" s="178"/>
      <c r="E138" s="178"/>
    </row>
    <row r="139">
      <c r="A139" s="178"/>
      <c r="B139" s="178"/>
      <c r="C139" s="178"/>
      <c r="D139" s="178"/>
      <c r="E139" s="178"/>
    </row>
    <row r="140">
      <c r="A140" s="178"/>
      <c r="B140" s="178"/>
      <c r="C140" s="178"/>
      <c r="D140" s="178"/>
      <c r="E140" s="178"/>
    </row>
    <row r="141">
      <c r="A141" s="178"/>
      <c r="B141" s="178"/>
      <c r="C141" s="178"/>
      <c r="D141" s="178"/>
      <c r="E141" s="178"/>
    </row>
    <row r="142">
      <c r="A142" s="178"/>
      <c r="B142" s="178"/>
      <c r="C142" s="178"/>
      <c r="D142" s="178"/>
      <c r="E142" s="178"/>
    </row>
    <row r="143">
      <c r="A143" s="178"/>
      <c r="B143" s="178"/>
      <c r="C143" s="178"/>
      <c r="D143" s="178"/>
      <c r="E143" s="178"/>
    </row>
    <row r="144">
      <c r="A144" s="178"/>
      <c r="B144" s="178"/>
      <c r="C144" s="178"/>
      <c r="D144" s="178"/>
      <c r="E144" s="178"/>
    </row>
    <row r="145">
      <c r="A145" s="178"/>
      <c r="B145" s="178"/>
      <c r="C145" s="178"/>
      <c r="D145" s="178"/>
      <c r="E145" s="178"/>
    </row>
    <row r="146">
      <c r="A146" s="178"/>
      <c r="B146" s="178"/>
      <c r="C146" s="178"/>
      <c r="D146" s="178"/>
      <c r="E146" s="178"/>
    </row>
    <row r="147">
      <c r="A147" s="178"/>
      <c r="B147" s="178"/>
      <c r="C147" s="178"/>
      <c r="D147" s="178"/>
      <c r="E147" s="178"/>
    </row>
    <row r="148">
      <c r="A148" s="178"/>
      <c r="B148" s="178"/>
      <c r="C148" s="178"/>
      <c r="D148" s="178"/>
      <c r="E148" s="178"/>
    </row>
    <row r="149">
      <c r="A149" s="178"/>
      <c r="B149" s="178"/>
      <c r="C149" s="178"/>
      <c r="D149" s="178"/>
      <c r="E149" s="178"/>
    </row>
    <row r="150">
      <c r="A150" s="178"/>
      <c r="B150" s="178"/>
      <c r="C150" s="178"/>
      <c r="D150" s="178"/>
      <c r="E150" s="178"/>
    </row>
    <row r="151">
      <c r="A151" s="178"/>
      <c r="B151" s="178"/>
      <c r="C151" s="178"/>
      <c r="D151" s="178"/>
      <c r="E151" s="178"/>
    </row>
    <row r="152">
      <c r="A152" s="178"/>
      <c r="B152" s="178"/>
      <c r="C152" s="178"/>
      <c r="D152" s="178"/>
      <c r="E152" s="178"/>
    </row>
    <row r="153">
      <c r="A153" s="178"/>
      <c r="B153" s="178"/>
      <c r="C153" s="178"/>
      <c r="D153" s="178"/>
      <c r="E153" s="178"/>
    </row>
    <row r="154">
      <c r="A154" s="178"/>
      <c r="B154" s="178"/>
      <c r="C154" s="178"/>
      <c r="D154" s="178"/>
      <c r="E154" s="178"/>
    </row>
    <row r="155">
      <c r="A155" s="178"/>
      <c r="B155" s="178"/>
      <c r="C155" s="178"/>
      <c r="D155" s="178"/>
      <c r="E155" s="178"/>
    </row>
    <row r="156">
      <c r="A156" s="178"/>
      <c r="B156" s="178"/>
      <c r="C156" s="178"/>
      <c r="D156" s="178"/>
      <c r="E156" s="178"/>
    </row>
    <row r="157">
      <c r="A157" s="178"/>
      <c r="B157" s="178"/>
      <c r="C157" s="178"/>
      <c r="D157" s="178"/>
      <c r="E157" s="178"/>
    </row>
    <row r="158">
      <c r="A158" s="178"/>
      <c r="B158" s="178"/>
      <c r="C158" s="178"/>
      <c r="D158" s="178"/>
      <c r="E158" s="178"/>
    </row>
    <row r="159">
      <c r="A159" s="178"/>
      <c r="B159" s="178"/>
      <c r="C159" s="178"/>
      <c r="D159" s="178"/>
      <c r="E159" s="178"/>
    </row>
    <row r="160">
      <c r="A160" s="178"/>
      <c r="B160" s="178"/>
      <c r="C160" s="178"/>
      <c r="D160" s="178"/>
      <c r="E160" s="178"/>
    </row>
    <row r="161">
      <c r="A161" s="178"/>
      <c r="B161" s="178"/>
      <c r="C161" s="178"/>
      <c r="D161" s="178"/>
      <c r="E161" s="178"/>
    </row>
    <row r="162">
      <c r="A162" s="178"/>
      <c r="B162" s="178"/>
      <c r="C162" s="178"/>
      <c r="D162" s="178"/>
      <c r="E162" s="178"/>
    </row>
    <row r="163">
      <c r="A163" s="178"/>
      <c r="B163" s="178"/>
      <c r="C163" s="178"/>
      <c r="D163" s="178"/>
      <c r="E163" s="178"/>
    </row>
    <row r="164">
      <c r="A164" s="178"/>
      <c r="B164" s="178"/>
      <c r="C164" s="178"/>
      <c r="D164" s="178"/>
      <c r="E164" s="178"/>
    </row>
    <row r="165">
      <c r="A165" s="178"/>
      <c r="B165" s="178"/>
      <c r="C165" s="178"/>
      <c r="D165" s="178"/>
      <c r="E165" s="178"/>
    </row>
    <row r="166">
      <c r="A166" s="178"/>
      <c r="B166" s="178"/>
      <c r="C166" s="178"/>
      <c r="D166" s="178"/>
      <c r="E166" s="178"/>
    </row>
    <row r="167">
      <c r="A167" s="178"/>
      <c r="B167" s="178"/>
      <c r="C167" s="178"/>
      <c r="D167" s="178"/>
      <c r="E167" s="178"/>
    </row>
    <row r="168">
      <c r="A168" s="178"/>
      <c r="B168" s="178"/>
      <c r="C168" s="178"/>
      <c r="D168" s="178"/>
      <c r="E168" s="178"/>
    </row>
    <row r="169">
      <c r="A169" s="178"/>
      <c r="B169" s="178"/>
      <c r="C169" s="178"/>
      <c r="D169" s="178"/>
      <c r="E169" s="178"/>
    </row>
    <row r="170">
      <c r="A170" s="178"/>
      <c r="B170" s="178"/>
      <c r="C170" s="178"/>
      <c r="D170" s="178"/>
      <c r="E170" s="178"/>
    </row>
    <row r="171">
      <c r="A171" s="178"/>
      <c r="B171" s="178"/>
      <c r="C171" s="178"/>
      <c r="D171" s="178"/>
      <c r="E171" s="178"/>
    </row>
    <row r="172">
      <c r="A172" s="178"/>
      <c r="B172" s="178"/>
      <c r="C172" s="178"/>
      <c r="D172" s="178"/>
      <c r="E172" s="178"/>
    </row>
    <row r="173">
      <c r="A173" s="178"/>
      <c r="B173" s="178"/>
      <c r="C173" s="178"/>
      <c r="D173" s="178"/>
      <c r="E173" s="178"/>
    </row>
    <row r="174">
      <c r="A174" s="178"/>
      <c r="B174" s="178"/>
      <c r="C174" s="178"/>
      <c r="D174" s="178"/>
      <c r="E174" s="178"/>
    </row>
    <row r="175">
      <c r="A175" s="178"/>
      <c r="B175" s="178"/>
      <c r="C175" s="178"/>
      <c r="D175" s="178"/>
      <c r="E175" s="178"/>
    </row>
    <row r="176">
      <c r="A176" s="178"/>
      <c r="B176" s="178"/>
      <c r="C176" s="178"/>
      <c r="D176" s="178"/>
      <c r="E176" s="178"/>
    </row>
    <row r="177">
      <c r="A177" s="178"/>
      <c r="B177" s="178"/>
      <c r="C177" s="178"/>
      <c r="D177" s="178"/>
      <c r="E177" s="178"/>
    </row>
    <row r="178">
      <c r="A178" s="178"/>
      <c r="B178" s="178"/>
      <c r="C178" s="178"/>
      <c r="D178" s="178"/>
      <c r="E178" s="178"/>
    </row>
    <row r="179">
      <c r="A179" s="178"/>
      <c r="B179" s="178"/>
      <c r="C179" s="178"/>
      <c r="D179" s="178"/>
      <c r="E179" s="178"/>
    </row>
    <row r="180">
      <c r="A180" s="178"/>
      <c r="B180" s="178"/>
      <c r="C180" s="178"/>
      <c r="D180" s="178"/>
      <c r="E180" s="178"/>
    </row>
    <row r="181">
      <c r="A181" s="178"/>
      <c r="B181" s="178"/>
      <c r="C181" s="178"/>
      <c r="D181" s="178"/>
      <c r="E181" s="178"/>
    </row>
    <row r="182">
      <c r="A182" s="178"/>
      <c r="B182" s="178"/>
      <c r="C182" s="178"/>
      <c r="D182" s="178"/>
      <c r="E182" s="178"/>
    </row>
    <row r="183">
      <c r="A183" s="178"/>
      <c r="B183" s="178"/>
      <c r="C183" s="178"/>
      <c r="D183" s="178"/>
      <c r="E183" s="178"/>
    </row>
    <row r="184">
      <c r="A184" s="178"/>
      <c r="B184" s="178"/>
      <c r="C184" s="178"/>
      <c r="D184" s="178"/>
      <c r="E184" s="178"/>
    </row>
    <row r="185">
      <c r="A185" s="178"/>
      <c r="B185" s="178"/>
      <c r="C185" s="178"/>
      <c r="D185" s="178"/>
      <c r="E185" s="178"/>
    </row>
    <row r="186">
      <c r="A186" s="178"/>
      <c r="B186" s="178"/>
      <c r="C186" s="178"/>
      <c r="D186" s="178"/>
      <c r="E186" s="178"/>
    </row>
    <row r="187">
      <c r="A187" s="178"/>
      <c r="B187" s="178"/>
      <c r="C187" s="178"/>
      <c r="D187" s="178"/>
      <c r="E187" s="178"/>
    </row>
    <row r="188">
      <c r="A188" s="178"/>
      <c r="B188" s="178"/>
      <c r="C188" s="178"/>
      <c r="D188" s="178"/>
      <c r="E188" s="178"/>
    </row>
    <row r="189">
      <c r="A189" s="178"/>
      <c r="B189" s="178"/>
      <c r="C189" s="178"/>
      <c r="D189" s="178"/>
      <c r="E189" s="178"/>
    </row>
    <row r="190">
      <c r="A190" s="178"/>
      <c r="B190" s="178"/>
      <c r="C190" s="178"/>
      <c r="D190" s="178"/>
      <c r="E190" s="178"/>
    </row>
    <row r="191">
      <c r="A191" s="178"/>
      <c r="B191" s="178"/>
      <c r="C191" s="178"/>
      <c r="D191" s="178"/>
      <c r="E191" s="178"/>
    </row>
    <row r="192">
      <c r="A192" s="178"/>
      <c r="B192" s="178"/>
      <c r="C192" s="178"/>
      <c r="D192" s="178"/>
      <c r="E192" s="178"/>
    </row>
    <row r="193">
      <c r="A193" s="178"/>
      <c r="B193" s="178"/>
      <c r="C193" s="178"/>
      <c r="D193" s="178"/>
      <c r="E193" s="178"/>
    </row>
    <row r="194">
      <c r="A194" s="178"/>
      <c r="B194" s="178"/>
      <c r="C194" s="178"/>
      <c r="D194" s="178"/>
      <c r="E194" s="178"/>
    </row>
    <row r="195">
      <c r="A195" s="178"/>
      <c r="B195" s="178"/>
      <c r="C195" s="178"/>
      <c r="D195" s="178"/>
      <c r="E195" s="178"/>
    </row>
    <row r="196">
      <c r="A196" s="178"/>
      <c r="B196" s="178"/>
      <c r="C196" s="178"/>
      <c r="D196" s="178"/>
      <c r="E196" s="178"/>
    </row>
    <row r="197">
      <c r="A197" s="178"/>
      <c r="B197" s="178"/>
      <c r="C197" s="178"/>
      <c r="D197" s="178"/>
      <c r="E197" s="178"/>
    </row>
    <row r="198">
      <c r="A198" s="178"/>
      <c r="B198" s="178"/>
      <c r="C198" s="178"/>
      <c r="D198" s="178"/>
      <c r="E198" s="178"/>
    </row>
    <row r="199">
      <c r="A199" s="178"/>
      <c r="B199" s="178"/>
      <c r="C199" s="178"/>
      <c r="D199" s="178"/>
      <c r="E199" s="178"/>
    </row>
    <row r="200">
      <c r="A200" s="178"/>
      <c r="B200" s="178"/>
      <c r="C200" s="178"/>
      <c r="D200" s="178"/>
      <c r="E200" s="178"/>
    </row>
    <row r="201">
      <c r="A201" s="178"/>
      <c r="B201" s="178"/>
      <c r="C201" s="178"/>
      <c r="D201" s="178"/>
      <c r="E201" s="178"/>
    </row>
    <row r="202">
      <c r="A202" s="178"/>
      <c r="B202" s="178"/>
      <c r="C202" s="178"/>
      <c r="D202" s="178"/>
      <c r="E202" s="178"/>
    </row>
    <row r="203">
      <c r="A203" s="178"/>
      <c r="B203" s="178"/>
      <c r="C203" s="178"/>
      <c r="D203" s="178"/>
      <c r="E203" s="178"/>
    </row>
    <row r="204">
      <c r="A204" s="178"/>
      <c r="B204" s="178"/>
      <c r="C204" s="178"/>
      <c r="D204" s="178"/>
      <c r="E204" s="178"/>
    </row>
    <row r="205">
      <c r="A205" s="178"/>
      <c r="B205" s="178"/>
      <c r="C205" s="178"/>
      <c r="D205" s="178"/>
      <c r="E205" s="178"/>
    </row>
    <row r="206">
      <c r="A206" s="178"/>
      <c r="B206" s="178"/>
      <c r="C206" s="178"/>
      <c r="D206" s="178"/>
      <c r="E206" s="178"/>
    </row>
    <row r="207">
      <c r="A207" s="178"/>
      <c r="B207" s="178"/>
      <c r="C207" s="178"/>
      <c r="D207" s="178"/>
      <c r="E207" s="178"/>
    </row>
    <row r="208">
      <c r="A208" s="178"/>
      <c r="B208" s="178"/>
      <c r="C208" s="178"/>
      <c r="D208" s="178"/>
      <c r="E208" s="178"/>
    </row>
    <row r="209">
      <c r="A209" s="178"/>
      <c r="B209" s="178"/>
      <c r="C209" s="178"/>
      <c r="D209" s="178"/>
      <c r="E209" s="178"/>
    </row>
    <row r="210">
      <c r="A210" s="178"/>
      <c r="B210" s="178"/>
      <c r="C210" s="178"/>
      <c r="D210" s="178"/>
      <c r="E210" s="178"/>
    </row>
    <row r="211">
      <c r="A211" s="178"/>
      <c r="B211" s="178"/>
      <c r="C211" s="178"/>
      <c r="D211" s="178"/>
      <c r="E211" s="178"/>
    </row>
    <row r="212">
      <c r="A212" s="178"/>
      <c r="B212" s="178"/>
      <c r="C212" s="178"/>
      <c r="D212" s="178"/>
      <c r="E212" s="178"/>
    </row>
    <row r="213">
      <c r="A213" s="178"/>
      <c r="B213" s="178"/>
      <c r="C213" s="178"/>
      <c r="D213" s="178"/>
      <c r="E213" s="178"/>
    </row>
    <row r="214">
      <c r="A214" s="178"/>
      <c r="B214" s="178"/>
      <c r="C214" s="178"/>
      <c r="D214" s="178"/>
      <c r="E214" s="178"/>
    </row>
    <row r="215">
      <c r="A215" s="178"/>
      <c r="B215" s="178"/>
      <c r="C215" s="178"/>
      <c r="D215" s="178"/>
      <c r="E215" s="178"/>
    </row>
    <row r="216">
      <c r="A216" s="178"/>
      <c r="B216" s="178"/>
      <c r="C216" s="178"/>
      <c r="D216" s="178"/>
      <c r="E216" s="178"/>
    </row>
    <row r="217">
      <c r="A217" s="178"/>
      <c r="B217" s="178"/>
      <c r="C217" s="178"/>
      <c r="D217" s="178"/>
      <c r="E217" s="178"/>
    </row>
    <row r="218">
      <c r="A218" s="178"/>
      <c r="B218" s="178"/>
      <c r="C218" s="178"/>
      <c r="D218" s="178"/>
      <c r="E218" s="178"/>
    </row>
    <row r="219">
      <c r="A219" s="178"/>
      <c r="B219" s="178"/>
      <c r="C219" s="178"/>
      <c r="D219" s="178"/>
      <c r="E219" s="178"/>
    </row>
    <row r="220">
      <c r="A220" s="178"/>
      <c r="B220" s="178"/>
      <c r="C220" s="178"/>
      <c r="D220" s="178"/>
      <c r="E220" s="178"/>
    </row>
    <row r="221">
      <c r="A221" s="178"/>
      <c r="B221" s="178"/>
      <c r="C221" s="178"/>
      <c r="D221" s="178"/>
      <c r="E221" s="178"/>
    </row>
    <row r="222">
      <c r="A222" s="178"/>
      <c r="B222" s="178"/>
      <c r="C222" s="178"/>
      <c r="D222" s="178"/>
      <c r="E222" s="178"/>
    </row>
    <row r="223">
      <c r="A223" s="178"/>
      <c r="B223" s="178"/>
      <c r="C223" s="178"/>
      <c r="D223" s="178"/>
      <c r="E223" s="178"/>
    </row>
    <row r="224">
      <c r="A224" s="178"/>
      <c r="B224" s="178"/>
      <c r="C224" s="178"/>
      <c r="D224" s="178"/>
      <c r="E224" s="178"/>
    </row>
    <row r="225">
      <c r="A225" s="178"/>
      <c r="B225" s="178"/>
      <c r="C225" s="178"/>
      <c r="D225" s="178"/>
      <c r="E225" s="178"/>
    </row>
    <row r="226">
      <c r="A226" s="178"/>
      <c r="B226" s="178"/>
      <c r="C226" s="178"/>
      <c r="D226" s="178"/>
      <c r="E226" s="178"/>
    </row>
    <row r="227">
      <c r="A227" s="178"/>
      <c r="B227" s="178"/>
      <c r="C227" s="178"/>
      <c r="D227" s="178"/>
      <c r="E227" s="178"/>
    </row>
    <row r="228">
      <c r="A228" s="178"/>
      <c r="B228" s="178"/>
      <c r="C228" s="178"/>
      <c r="D228" s="178"/>
      <c r="E228" s="178"/>
    </row>
    <row r="229">
      <c r="A229" s="178"/>
      <c r="B229" s="178"/>
      <c r="C229" s="178"/>
      <c r="D229" s="178"/>
      <c r="E229" s="178"/>
    </row>
    <row r="230">
      <c r="A230" s="178"/>
      <c r="B230" s="178"/>
      <c r="C230" s="178"/>
      <c r="D230" s="178"/>
      <c r="E230" s="178"/>
    </row>
    <row r="231">
      <c r="A231" s="178"/>
      <c r="B231" s="178"/>
      <c r="C231" s="178"/>
      <c r="D231" s="178"/>
      <c r="E231" s="178"/>
    </row>
    <row r="232">
      <c r="A232" s="178"/>
      <c r="B232" s="178"/>
      <c r="C232" s="178"/>
      <c r="D232" s="178"/>
      <c r="E232" s="178"/>
    </row>
    <row r="233">
      <c r="A233" s="178"/>
      <c r="B233" s="178"/>
      <c r="C233" s="178"/>
      <c r="D233" s="178"/>
      <c r="E233" s="178"/>
    </row>
    <row r="234">
      <c r="A234" s="178"/>
      <c r="B234" s="178"/>
      <c r="C234" s="178"/>
      <c r="D234" s="178"/>
      <c r="E234" s="178"/>
    </row>
    <row r="235">
      <c r="A235" s="178"/>
      <c r="B235" s="178"/>
      <c r="C235" s="178"/>
      <c r="D235" s="178"/>
      <c r="E235" s="178"/>
    </row>
    <row r="236">
      <c r="A236" s="178"/>
      <c r="B236" s="178"/>
      <c r="C236" s="178"/>
      <c r="D236" s="178"/>
      <c r="E236" s="178"/>
    </row>
    <row r="237">
      <c r="A237" s="178"/>
      <c r="B237" s="178"/>
      <c r="C237" s="178"/>
      <c r="D237" s="178"/>
      <c r="E237" s="178"/>
    </row>
    <row r="238">
      <c r="A238" s="178"/>
      <c r="B238" s="178"/>
      <c r="C238" s="178"/>
      <c r="D238" s="178"/>
      <c r="E238" s="178"/>
    </row>
    <row r="239">
      <c r="A239" s="178"/>
      <c r="B239" s="178"/>
      <c r="C239" s="178"/>
      <c r="D239" s="178"/>
      <c r="E239" s="178"/>
    </row>
    <row r="240">
      <c r="A240" s="178"/>
      <c r="B240" s="178"/>
      <c r="C240" s="178"/>
      <c r="D240" s="178"/>
      <c r="E240" s="178"/>
    </row>
    <row r="241">
      <c r="A241" s="178"/>
      <c r="B241" s="178"/>
      <c r="C241" s="178"/>
      <c r="D241" s="178"/>
      <c r="E241" s="178"/>
    </row>
    <row r="242">
      <c r="A242" s="178"/>
      <c r="B242" s="178"/>
      <c r="C242" s="178"/>
      <c r="D242" s="178"/>
      <c r="E242" s="178"/>
    </row>
    <row r="243">
      <c r="A243" s="178"/>
      <c r="B243" s="178"/>
      <c r="C243" s="178"/>
      <c r="D243" s="178"/>
      <c r="E243" s="178"/>
    </row>
    <row r="244">
      <c r="A244" s="178"/>
      <c r="B244" s="178"/>
      <c r="C244" s="178"/>
      <c r="D244" s="178"/>
      <c r="E244" s="178"/>
    </row>
    <row r="245">
      <c r="A245" s="178"/>
      <c r="B245" s="178"/>
      <c r="C245" s="178"/>
      <c r="D245" s="178"/>
      <c r="E245" s="178"/>
    </row>
    <row r="246">
      <c r="A246" s="178"/>
      <c r="B246" s="178"/>
      <c r="C246" s="178"/>
      <c r="D246" s="178"/>
      <c r="E246" s="178"/>
    </row>
    <row r="247">
      <c r="A247" s="178"/>
      <c r="B247" s="178"/>
      <c r="C247" s="178"/>
      <c r="D247" s="178"/>
      <c r="E247" s="178"/>
    </row>
    <row r="248">
      <c r="A248" s="178"/>
      <c r="B248" s="178"/>
      <c r="C248" s="178"/>
      <c r="D248" s="178"/>
      <c r="E248" s="178"/>
    </row>
    <row r="249">
      <c r="A249" s="178"/>
      <c r="B249" s="178"/>
      <c r="C249" s="178"/>
      <c r="D249" s="178"/>
      <c r="E249" s="178"/>
    </row>
    <row r="250">
      <c r="A250" s="178"/>
      <c r="B250" s="178"/>
      <c r="C250" s="178"/>
      <c r="D250" s="178"/>
      <c r="E250" s="178"/>
    </row>
    <row r="251">
      <c r="A251" s="178"/>
      <c r="B251" s="178"/>
      <c r="C251" s="178"/>
      <c r="D251" s="178"/>
      <c r="E251" s="178"/>
    </row>
    <row r="252">
      <c r="A252" s="178"/>
      <c r="B252" s="178"/>
      <c r="C252" s="178"/>
      <c r="D252" s="178"/>
      <c r="E252" s="178"/>
    </row>
    <row r="253">
      <c r="A253" s="178"/>
      <c r="B253" s="178"/>
      <c r="C253" s="178"/>
      <c r="D253" s="178"/>
      <c r="E253" s="178"/>
    </row>
    <row r="254">
      <c r="A254" s="178"/>
      <c r="B254" s="178"/>
      <c r="C254" s="178"/>
      <c r="D254" s="178"/>
      <c r="E254" s="178"/>
    </row>
    <row r="255">
      <c r="A255" s="178"/>
      <c r="B255" s="178"/>
      <c r="C255" s="178"/>
      <c r="D255" s="178"/>
      <c r="E255" s="178"/>
    </row>
    <row r="256">
      <c r="A256" s="178"/>
      <c r="B256" s="178"/>
      <c r="C256" s="178"/>
      <c r="D256" s="178"/>
      <c r="E256" s="178"/>
    </row>
    <row r="257">
      <c r="A257" s="178"/>
      <c r="B257" s="178"/>
      <c r="C257" s="178"/>
      <c r="D257" s="178"/>
      <c r="E257" s="178"/>
    </row>
    <row r="258">
      <c r="A258" s="178"/>
      <c r="B258" s="178"/>
      <c r="C258" s="178"/>
      <c r="D258" s="178"/>
      <c r="E258" s="178"/>
    </row>
    <row r="259">
      <c r="A259" s="178"/>
      <c r="B259" s="178"/>
      <c r="C259" s="178"/>
      <c r="D259" s="178"/>
      <c r="E259" s="178"/>
    </row>
    <row r="260">
      <c r="A260" s="178"/>
      <c r="B260" s="178"/>
      <c r="C260" s="178"/>
      <c r="D260" s="178"/>
      <c r="E260" s="178"/>
    </row>
    <row r="261">
      <c r="A261" s="178"/>
      <c r="B261" s="178"/>
      <c r="C261" s="178"/>
      <c r="D261" s="178"/>
      <c r="E261" s="178"/>
    </row>
    <row r="262">
      <c r="A262" s="178"/>
      <c r="B262" s="178"/>
      <c r="C262" s="178"/>
      <c r="D262" s="178"/>
      <c r="E262" s="178"/>
    </row>
    <row r="263">
      <c r="A263" s="178"/>
      <c r="B263" s="178"/>
      <c r="C263" s="178"/>
      <c r="D263" s="178"/>
      <c r="E263" s="178"/>
    </row>
    <row r="264">
      <c r="A264" s="178"/>
      <c r="B264" s="178"/>
      <c r="C264" s="178"/>
      <c r="D264" s="178"/>
      <c r="E264" s="178"/>
    </row>
    <row r="265">
      <c r="A265" s="178"/>
      <c r="B265" s="178"/>
      <c r="C265" s="178"/>
      <c r="D265" s="178"/>
      <c r="E265" s="178"/>
    </row>
    <row r="266">
      <c r="A266" s="178"/>
      <c r="B266" s="178"/>
      <c r="C266" s="178"/>
      <c r="D266" s="178"/>
      <c r="E266" s="178"/>
    </row>
    <row r="267">
      <c r="A267" s="178"/>
      <c r="B267" s="178"/>
      <c r="C267" s="178"/>
      <c r="D267" s="178"/>
      <c r="E267" s="178"/>
    </row>
    <row r="268">
      <c r="A268" s="178"/>
      <c r="B268" s="178"/>
      <c r="C268" s="178"/>
      <c r="D268" s="178"/>
      <c r="E268" s="178"/>
    </row>
    <row r="269">
      <c r="A269" s="178"/>
      <c r="B269" s="178"/>
      <c r="C269" s="178"/>
      <c r="D269" s="178"/>
      <c r="E269" s="178"/>
    </row>
    <row r="270">
      <c r="A270" s="178"/>
      <c r="B270" s="178"/>
      <c r="C270" s="178"/>
      <c r="D270" s="178"/>
      <c r="E270" s="178"/>
    </row>
    <row r="271">
      <c r="A271" s="178"/>
      <c r="B271" s="178"/>
      <c r="C271" s="178"/>
      <c r="D271" s="178"/>
      <c r="E271" s="178"/>
    </row>
    <row r="272">
      <c r="A272" s="178"/>
      <c r="B272" s="178"/>
      <c r="C272" s="178"/>
      <c r="D272" s="178"/>
      <c r="E272" s="178"/>
    </row>
    <row r="273">
      <c r="A273" s="178"/>
      <c r="B273" s="178"/>
      <c r="C273" s="178"/>
      <c r="D273" s="178"/>
      <c r="E273" s="178"/>
    </row>
    <row r="274">
      <c r="A274" s="178"/>
      <c r="B274" s="178"/>
      <c r="C274" s="178"/>
      <c r="D274" s="178"/>
      <c r="E274" s="178"/>
    </row>
    <row r="275">
      <c r="A275" s="178"/>
      <c r="B275" s="178"/>
      <c r="C275" s="178"/>
      <c r="D275" s="178"/>
      <c r="E275" s="178"/>
    </row>
    <row r="276">
      <c r="A276" s="178"/>
      <c r="B276" s="178"/>
      <c r="C276" s="178"/>
      <c r="D276" s="178"/>
      <c r="E276" s="178"/>
    </row>
    <row r="277">
      <c r="A277" s="178"/>
      <c r="B277" s="178"/>
      <c r="C277" s="178"/>
      <c r="D277" s="178"/>
      <c r="E277" s="178"/>
    </row>
    <row r="278">
      <c r="A278" s="178"/>
      <c r="B278" s="178"/>
      <c r="C278" s="178"/>
      <c r="D278" s="178"/>
      <c r="E278" s="178"/>
    </row>
    <row r="279">
      <c r="A279" s="178"/>
      <c r="B279" s="178"/>
      <c r="C279" s="178"/>
      <c r="D279" s="178"/>
      <c r="E279" s="178"/>
    </row>
    <row r="280">
      <c r="A280" s="178"/>
      <c r="B280" s="178"/>
      <c r="C280" s="178"/>
      <c r="D280" s="178"/>
      <c r="E280" s="178"/>
    </row>
    <row r="281">
      <c r="A281" s="178"/>
      <c r="B281" s="178"/>
      <c r="C281" s="178"/>
      <c r="D281" s="178"/>
      <c r="E281" s="178"/>
    </row>
    <row r="282">
      <c r="A282" s="178"/>
      <c r="B282" s="178"/>
      <c r="C282" s="178"/>
      <c r="D282" s="178"/>
      <c r="E282" s="178"/>
    </row>
    <row r="283">
      <c r="A283" s="178"/>
      <c r="B283" s="178"/>
      <c r="C283" s="178"/>
      <c r="D283" s="178"/>
      <c r="E283" s="178"/>
    </row>
    <row r="284">
      <c r="A284" s="178"/>
      <c r="B284" s="178"/>
      <c r="C284" s="178"/>
      <c r="D284" s="178"/>
      <c r="E284" s="178"/>
    </row>
    <row r="285">
      <c r="A285" s="178"/>
      <c r="B285" s="178"/>
      <c r="C285" s="178"/>
      <c r="D285" s="178"/>
      <c r="E285" s="178"/>
    </row>
    <row r="286">
      <c r="A286" s="178"/>
      <c r="B286" s="178"/>
      <c r="C286" s="178"/>
      <c r="D286" s="178"/>
      <c r="E286" s="178"/>
    </row>
    <row r="287">
      <c r="A287" s="178"/>
      <c r="B287" s="178"/>
      <c r="C287" s="178"/>
      <c r="D287" s="178"/>
      <c r="E287" s="178"/>
    </row>
    <row r="288">
      <c r="A288" s="178"/>
      <c r="B288" s="178"/>
      <c r="C288" s="178"/>
      <c r="D288" s="178"/>
      <c r="E288" s="178"/>
    </row>
    <row r="289">
      <c r="A289" s="178"/>
      <c r="B289" s="178"/>
      <c r="C289" s="178"/>
      <c r="D289" s="178"/>
      <c r="E289" s="178"/>
    </row>
    <row r="290">
      <c r="A290" s="178"/>
      <c r="B290" s="178"/>
      <c r="C290" s="178"/>
      <c r="D290" s="178"/>
      <c r="E290" s="178"/>
    </row>
    <row r="291">
      <c r="A291" s="178"/>
      <c r="B291" s="178"/>
      <c r="C291" s="178"/>
      <c r="D291" s="178"/>
      <c r="E291" s="178"/>
    </row>
    <row r="292">
      <c r="A292" s="178"/>
      <c r="B292" s="178"/>
      <c r="C292" s="178"/>
      <c r="D292" s="178"/>
      <c r="E292" s="178"/>
    </row>
    <row r="293">
      <c r="A293" s="178"/>
      <c r="B293" s="178"/>
      <c r="C293" s="178"/>
      <c r="D293" s="178"/>
      <c r="E293" s="178"/>
    </row>
    <row r="294">
      <c r="A294" s="178"/>
      <c r="B294" s="178"/>
      <c r="C294" s="178"/>
      <c r="D294" s="178"/>
      <c r="E294" s="178"/>
    </row>
    <row r="295">
      <c r="A295" s="178"/>
      <c r="B295" s="178"/>
      <c r="C295" s="178"/>
      <c r="D295" s="178"/>
      <c r="E295" s="178"/>
    </row>
    <row r="296">
      <c r="A296" s="178"/>
      <c r="B296" s="178"/>
      <c r="C296" s="178"/>
      <c r="D296" s="178"/>
      <c r="E296" s="178"/>
    </row>
    <row r="297">
      <c r="A297" s="178"/>
      <c r="B297" s="178"/>
      <c r="C297" s="178"/>
      <c r="D297" s="178"/>
      <c r="E297" s="178"/>
    </row>
    <row r="298">
      <c r="A298" s="178"/>
      <c r="B298" s="178"/>
      <c r="C298" s="178"/>
      <c r="D298" s="178"/>
      <c r="E298" s="178"/>
    </row>
    <row r="299">
      <c r="A299" s="178"/>
      <c r="B299" s="178"/>
      <c r="C299" s="178"/>
      <c r="D299" s="178"/>
      <c r="E299" s="178"/>
    </row>
    <row r="300">
      <c r="A300" s="178"/>
      <c r="B300" s="178"/>
      <c r="C300" s="178"/>
      <c r="D300" s="178"/>
      <c r="E300" s="178"/>
    </row>
    <row r="301">
      <c r="A301" s="178"/>
      <c r="B301" s="178"/>
      <c r="C301" s="178"/>
      <c r="D301" s="178"/>
      <c r="E301" s="178"/>
    </row>
    <row r="302">
      <c r="A302" s="178"/>
      <c r="B302" s="178"/>
      <c r="C302" s="178"/>
      <c r="D302" s="178"/>
      <c r="E302" s="178"/>
    </row>
    <row r="303">
      <c r="A303" s="178"/>
      <c r="B303" s="178"/>
      <c r="C303" s="178"/>
      <c r="D303" s="178"/>
      <c r="E303" s="178"/>
    </row>
    <row r="304">
      <c r="A304" s="178"/>
      <c r="B304" s="178"/>
      <c r="C304" s="178"/>
      <c r="D304" s="178"/>
      <c r="E304" s="178"/>
    </row>
    <row r="305">
      <c r="A305" s="178"/>
      <c r="B305" s="178"/>
      <c r="C305" s="178"/>
      <c r="D305" s="178"/>
      <c r="E305" s="178"/>
    </row>
    <row r="306">
      <c r="A306" s="178"/>
      <c r="B306" s="178"/>
      <c r="C306" s="178"/>
      <c r="D306" s="178"/>
      <c r="E306" s="178"/>
    </row>
    <row r="307">
      <c r="A307" s="178"/>
      <c r="B307" s="178"/>
      <c r="C307" s="178"/>
      <c r="D307" s="178"/>
      <c r="E307" s="178"/>
    </row>
    <row r="308">
      <c r="A308" s="178"/>
      <c r="B308" s="178"/>
      <c r="C308" s="178"/>
      <c r="D308" s="178"/>
      <c r="E308" s="178"/>
    </row>
    <row r="309">
      <c r="A309" s="178"/>
      <c r="B309" s="178"/>
      <c r="C309" s="178"/>
      <c r="D309" s="178"/>
      <c r="E309" s="178"/>
    </row>
    <row r="310">
      <c r="A310" s="178"/>
      <c r="B310" s="178"/>
      <c r="C310" s="178"/>
      <c r="D310" s="178"/>
      <c r="E310" s="178"/>
    </row>
    <row r="311">
      <c r="A311" s="178"/>
      <c r="B311" s="178"/>
      <c r="C311" s="178"/>
      <c r="D311" s="178"/>
      <c r="E311" s="178"/>
    </row>
    <row r="312">
      <c r="A312" s="178"/>
      <c r="B312" s="178"/>
      <c r="C312" s="178"/>
      <c r="D312" s="178"/>
      <c r="E312" s="178"/>
    </row>
    <row r="313">
      <c r="A313" s="178"/>
      <c r="B313" s="178"/>
      <c r="C313" s="178"/>
      <c r="D313" s="178"/>
      <c r="E313" s="178"/>
    </row>
    <row r="314">
      <c r="A314" s="178"/>
      <c r="B314" s="178"/>
      <c r="C314" s="178"/>
      <c r="D314" s="178"/>
      <c r="E314" s="178"/>
    </row>
    <row r="315">
      <c r="A315" s="178"/>
      <c r="B315" s="178"/>
      <c r="C315" s="178"/>
      <c r="D315" s="178"/>
      <c r="E315" s="178"/>
    </row>
    <row r="316">
      <c r="A316" s="178"/>
      <c r="B316" s="178"/>
      <c r="C316" s="178"/>
      <c r="D316" s="178"/>
      <c r="E316" s="178"/>
    </row>
    <row r="317">
      <c r="A317" s="178"/>
      <c r="B317" s="178"/>
      <c r="C317" s="178"/>
      <c r="D317" s="178"/>
      <c r="E317" s="178"/>
    </row>
    <row r="318">
      <c r="A318" s="178"/>
      <c r="B318" s="178"/>
      <c r="C318" s="178"/>
      <c r="D318" s="178"/>
      <c r="E318" s="178"/>
    </row>
    <row r="319">
      <c r="A319" s="178"/>
      <c r="B319" s="178"/>
      <c r="C319" s="178"/>
      <c r="D319" s="178"/>
      <c r="E319" s="178"/>
    </row>
    <row r="320">
      <c r="A320" s="178"/>
      <c r="B320" s="178"/>
      <c r="C320" s="178"/>
      <c r="D320" s="178"/>
      <c r="E320" s="178"/>
    </row>
    <row r="321">
      <c r="A321" s="178"/>
      <c r="B321" s="178"/>
      <c r="C321" s="178"/>
      <c r="D321" s="178"/>
      <c r="E321" s="178"/>
    </row>
    <row r="322">
      <c r="A322" s="178"/>
      <c r="B322" s="178"/>
      <c r="C322" s="178"/>
      <c r="D322" s="178"/>
      <c r="E322" s="178"/>
    </row>
    <row r="323">
      <c r="A323" s="178"/>
      <c r="B323" s="178"/>
      <c r="C323" s="178"/>
      <c r="D323" s="178"/>
      <c r="E323" s="178"/>
    </row>
    <row r="324">
      <c r="A324" s="178"/>
      <c r="B324" s="178"/>
      <c r="C324" s="178"/>
      <c r="D324" s="178"/>
      <c r="E324" s="178"/>
    </row>
    <row r="325">
      <c r="A325" s="178"/>
      <c r="B325" s="178"/>
      <c r="C325" s="178"/>
      <c r="D325" s="178"/>
      <c r="E325" s="178"/>
    </row>
    <row r="326">
      <c r="A326" s="178"/>
      <c r="B326" s="178"/>
      <c r="C326" s="178"/>
      <c r="D326" s="178"/>
      <c r="E326" s="178"/>
    </row>
    <row r="327">
      <c r="A327" s="178"/>
      <c r="B327" s="178"/>
      <c r="C327" s="178"/>
      <c r="D327" s="178"/>
      <c r="E327" s="178"/>
    </row>
    <row r="328">
      <c r="A328" s="178"/>
      <c r="B328" s="178"/>
      <c r="C328" s="178"/>
      <c r="D328" s="178"/>
      <c r="E328" s="178"/>
    </row>
    <row r="329">
      <c r="A329" s="178"/>
      <c r="B329" s="178"/>
      <c r="C329" s="178"/>
      <c r="D329" s="178"/>
      <c r="E329" s="178"/>
    </row>
    <row r="330">
      <c r="A330" s="178"/>
      <c r="B330" s="178"/>
      <c r="C330" s="178"/>
      <c r="D330" s="178"/>
      <c r="E330" s="178"/>
    </row>
    <row r="331">
      <c r="A331" s="178"/>
      <c r="B331" s="178"/>
      <c r="C331" s="178"/>
      <c r="D331" s="178"/>
      <c r="E331" s="178"/>
    </row>
    <row r="332">
      <c r="A332" s="178"/>
      <c r="B332" s="178"/>
      <c r="C332" s="178"/>
      <c r="D332" s="178"/>
      <c r="E332" s="178"/>
    </row>
    <row r="333">
      <c r="A333" s="178"/>
      <c r="B333" s="178"/>
      <c r="C333" s="178"/>
      <c r="D333" s="178"/>
      <c r="E333" s="178"/>
    </row>
    <row r="334">
      <c r="A334" s="178"/>
      <c r="B334" s="178"/>
      <c r="C334" s="178"/>
      <c r="D334" s="178"/>
      <c r="E334" s="178"/>
    </row>
    <row r="335">
      <c r="A335" s="178"/>
      <c r="B335" s="178"/>
      <c r="C335" s="178"/>
      <c r="D335" s="178"/>
      <c r="E335" s="178"/>
    </row>
    <row r="336">
      <c r="A336" s="178"/>
      <c r="B336" s="178"/>
      <c r="C336" s="178"/>
      <c r="D336" s="178"/>
      <c r="E336" s="178"/>
    </row>
    <row r="337">
      <c r="A337" s="178"/>
      <c r="B337" s="178"/>
      <c r="C337" s="178"/>
      <c r="D337" s="178"/>
      <c r="E337" s="178"/>
    </row>
    <row r="338">
      <c r="A338" s="178"/>
      <c r="B338" s="178"/>
      <c r="C338" s="178"/>
      <c r="D338" s="178"/>
      <c r="E338" s="178"/>
    </row>
    <row r="339">
      <c r="A339" s="178"/>
      <c r="B339" s="178"/>
      <c r="C339" s="178"/>
      <c r="D339" s="178"/>
      <c r="E339" s="178"/>
    </row>
    <row r="340">
      <c r="A340" s="178"/>
      <c r="B340" s="178"/>
      <c r="C340" s="178"/>
      <c r="D340" s="178"/>
      <c r="E340" s="178"/>
    </row>
    <row r="341">
      <c r="A341" s="178"/>
      <c r="B341" s="178"/>
      <c r="C341" s="178"/>
      <c r="D341" s="178"/>
      <c r="E341" s="178"/>
    </row>
    <row r="342">
      <c r="A342" s="178"/>
      <c r="B342" s="178"/>
      <c r="C342" s="178"/>
      <c r="D342" s="178"/>
      <c r="E342" s="178"/>
    </row>
    <row r="343">
      <c r="A343" s="178"/>
      <c r="B343" s="178"/>
      <c r="C343" s="178"/>
      <c r="D343" s="178"/>
      <c r="E343" s="178"/>
    </row>
    <row r="344">
      <c r="A344" s="178"/>
      <c r="B344" s="178"/>
      <c r="C344" s="178"/>
      <c r="D344" s="178"/>
      <c r="E344" s="178"/>
    </row>
    <row r="345">
      <c r="A345" s="178"/>
      <c r="B345" s="178"/>
      <c r="C345" s="178"/>
      <c r="D345" s="178"/>
      <c r="E345" s="178"/>
    </row>
    <row r="346">
      <c r="A346" s="178"/>
      <c r="B346" s="178"/>
      <c r="C346" s="178"/>
      <c r="D346" s="178"/>
      <c r="E346" s="178"/>
    </row>
    <row r="347">
      <c r="A347" s="178"/>
      <c r="B347" s="178"/>
      <c r="C347" s="178"/>
      <c r="D347" s="178"/>
      <c r="E347" s="178"/>
    </row>
    <row r="348">
      <c r="A348" s="178"/>
      <c r="B348" s="178"/>
      <c r="C348" s="178"/>
      <c r="D348" s="178"/>
      <c r="E348" s="178"/>
    </row>
    <row r="349">
      <c r="A349" s="178"/>
      <c r="B349" s="178"/>
      <c r="C349" s="178"/>
      <c r="D349" s="178"/>
      <c r="E349" s="178"/>
    </row>
    <row r="350">
      <c r="A350" s="178"/>
      <c r="B350" s="178"/>
      <c r="C350" s="178"/>
      <c r="D350" s="178"/>
      <c r="E350" s="178"/>
    </row>
    <row r="351">
      <c r="A351" s="178"/>
      <c r="B351" s="178"/>
      <c r="C351" s="178"/>
      <c r="D351" s="178"/>
      <c r="E351" s="178"/>
    </row>
    <row r="352">
      <c r="A352" s="178"/>
      <c r="B352" s="178"/>
      <c r="C352" s="178"/>
      <c r="D352" s="178"/>
      <c r="E352" s="178"/>
    </row>
    <row r="353">
      <c r="A353" s="178"/>
      <c r="B353" s="178"/>
      <c r="C353" s="178"/>
      <c r="D353" s="178"/>
      <c r="E353" s="178"/>
    </row>
    <row r="354">
      <c r="A354" s="178"/>
      <c r="B354" s="178"/>
      <c r="C354" s="178"/>
      <c r="D354" s="178"/>
      <c r="E354" s="178"/>
    </row>
    <row r="355">
      <c r="A355" s="178"/>
      <c r="B355" s="178"/>
      <c r="C355" s="178"/>
      <c r="D355" s="178"/>
      <c r="E355" s="178"/>
    </row>
    <row r="356">
      <c r="A356" s="178"/>
      <c r="B356" s="178"/>
      <c r="C356" s="178"/>
      <c r="D356" s="178"/>
      <c r="E356" s="178"/>
    </row>
    <row r="357">
      <c r="A357" s="178"/>
      <c r="B357" s="178"/>
      <c r="C357" s="178"/>
      <c r="D357" s="178"/>
      <c r="E357" s="178"/>
    </row>
    <row r="358">
      <c r="A358" s="178"/>
      <c r="B358" s="178"/>
      <c r="C358" s="178"/>
      <c r="D358" s="178"/>
      <c r="E358" s="178"/>
    </row>
    <row r="359">
      <c r="A359" s="178"/>
      <c r="B359" s="178"/>
      <c r="C359" s="178"/>
      <c r="D359" s="178"/>
      <c r="E359" s="178"/>
    </row>
    <row r="360">
      <c r="A360" s="178"/>
      <c r="B360" s="178"/>
      <c r="C360" s="178"/>
      <c r="D360" s="178"/>
      <c r="E360" s="178"/>
    </row>
    <row r="361">
      <c r="A361" s="178"/>
      <c r="B361" s="178"/>
      <c r="C361" s="178"/>
      <c r="D361" s="178"/>
      <c r="E361" s="178"/>
    </row>
    <row r="362">
      <c r="A362" s="178"/>
      <c r="B362" s="178"/>
      <c r="C362" s="178"/>
      <c r="D362" s="178"/>
      <c r="E362" s="178"/>
    </row>
    <row r="363">
      <c r="A363" s="178"/>
      <c r="B363" s="178"/>
      <c r="C363" s="178"/>
      <c r="D363" s="178"/>
      <c r="E363" s="178"/>
    </row>
    <row r="364">
      <c r="A364" s="178"/>
      <c r="B364" s="178"/>
      <c r="C364" s="178"/>
      <c r="D364" s="178"/>
      <c r="E364" s="178"/>
    </row>
    <row r="365">
      <c r="A365" s="178"/>
      <c r="B365" s="178"/>
      <c r="C365" s="178"/>
      <c r="D365" s="178"/>
      <c r="E365" s="178"/>
    </row>
    <row r="366">
      <c r="A366" s="178"/>
      <c r="B366" s="178"/>
      <c r="C366" s="178"/>
      <c r="D366" s="178"/>
      <c r="E366" s="178"/>
    </row>
    <row r="367">
      <c r="A367" s="178"/>
      <c r="B367" s="178"/>
      <c r="C367" s="178"/>
      <c r="D367" s="178"/>
      <c r="E367" s="178"/>
    </row>
    <row r="368">
      <c r="A368" s="178"/>
      <c r="B368" s="178"/>
      <c r="C368" s="178"/>
      <c r="D368" s="178"/>
      <c r="E368" s="178"/>
    </row>
    <row r="369">
      <c r="A369" s="178"/>
      <c r="B369" s="178"/>
      <c r="C369" s="178"/>
      <c r="D369" s="178"/>
      <c r="E369" s="178"/>
    </row>
    <row r="370">
      <c r="A370" s="178"/>
      <c r="B370" s="178"/>
      <c r="C370" s="178"/>
      <c r="D370" s="178"/>
      <c r="E370" s="178"/>
    </row>
    <row r="371">
      <c r="A371" s="178"/>
      <c r="B371" s="178"/>
      <c r="C371" s="178"/>
      <c r="D371" s="178"/>
      <c r="E371" s="178"/>
    </row>
    <row r="372">
      <c r="A372" s="178"/>
      <c r="B372" s="178"/>
      <c r="C372" s="178"/>
      <c r="D372" s="178"/>
      <c r="E372" s="178"/>
    </row>
    <row r="373">
      <c r="A373" s="178"/>
      <c r="B373" s="178"/>
      <c r="C373" s="178"/>
      <c r="D373" s="178"/>
      <c r="E373" s="178"/>
    </row>
    <row r="374">
      <c r="A374" s="178"/>
      <c r="B374" s="178"/>
      <c r="C374" s="178"/>
      <c r="D374" s="178"/>
      <c r="E374" s="178"/>
    </row>
    <row r="375">
      <c r="A375" s="178"/>
      <c r="B375" s="178"/>
      <c r="C375" s="178"/>
      <c r="D375" s="178"/>
      <c r="E375" s="178"/>
    </row>
    <row r="376">
      <c r="A376" s="178"/>
      <c r="B376" s="178"/>
      <c r="C376" s="178"/>
      <c r="D376" s="178"/>
      <c r="E376" s="178"/>
    </row>
    <row r="377">
      <c r="A377" s="178"/>
      <c r="B377" s="178"/>
      <c r="C377" s="178"/>
      <c r="D377" s="178"/>
      <c r="E377" s="178"/>
    </row>
    <row r="378">
      <c r="A378" s="178"/>
      <c r="B378" s="178"/>
      <c r="C378" s="178"/>
      <c r="D378" s="178"/>
      <c r="E378" s="178"/>
    </row>
    <row r="379">
      <c r="A379" s="178"/>
      <c r="B379" s="178"/>
      <c r="C379" s="178"/>
      <c r="D379" s="178"/>
      <c r="E379" s="178"/>
    </row>
    <row r="380">
      <c r="A380" s="178"/>
      <c r="B380" s="178"/>
      <c r="C380" s="178"/>
      <c r="D380" s="178"/>
      <c r="E380" s="178"/>
    </row>
    <row r="381">
      <c r="A381" s="178"/>
      <c r="B381" s="178"/>
      <c r="C381" s="178"/>
      <c r="D381" s="178"/>
      <c r="E381" s="178"/>
    </row>
    <row r="382">
      <c r="A382" s="178"/>
      <c r="B382" s="178"/>
      <c r="C382" s="178"/>
      <c r="D382" s="178"/>
      <c r="E382" s="178"/>
    </row>
    <row r="383">
      <c r="A383" s="178"/>
      <c r="B383" s="178"/>
      <c r="C383" s="178"/>
      <c r="D383" s="178"/>
      <c r="E383" s="178"/>
    </row>
    <row r="384">
      <c r="A384" s="178"/>
      <c r="B384" s="178"/>
      <c r="C384" s="178"/>
      <c r="D384" s="178"/>
      <c r="E384" s="178"/>
    </row>
    <row r="385">
      <c r="A385" s="178"/>
      <c r="B385" s="178"/>
      <c r="C385" s="178"/>
      <c r="D385" s="178"/>
      <c r="E385" s="178"/>
    </row>
    <row r="386">
      <c r="A386" s="178"/>
      <c r="B386" s="178"/>
      <c r="C386" s="178"/>
      <c r="D386" s="178"/>
      <c r="E386" s="178"/>
    </row>
    <row r="387">
      <c r="A387" s="178"/>
      <c r="B387" s="178"/>
      <c r="C387" s="178"/>
      <c r="D387" s="178"/>
      <c r="E387" s="178"/>
    </row>
    <row r="388">
      <c r="A388" s="178"/>
      <c r="B388" s="178"/>
      <c r="C388" s="178"/>
      <c r="D388" s="178"/>
      <c r="E388" s="178"/>
    </row>
    <row r="389">
      <c r="A389" s="178"/>
      <c r="B389" s="178"/>
      <c r="C389" s="178"/>
      <c r="D389" s="178"/>
      <c r="E389" s="178"/>
    </row>
    <row r="390">
      <c r="A390" s="178"/>
      <c r="B390" s="178"/>
      <c r="C390" s="178"/>
      <c r="D390" s="178"/>
      <c r="E390" s="178"/>
    </row>
    <row r="391">
      <c r="A391" s="178"/>
      <c r="B391" s="178"/>
      <c r="C391" s="178"/>
      <c r="D391" s="178"/>
      <c r="E391" s="178"/>
    </row>
    <row r="392">
      <c r="A392" s="178"/>
      <c r="B392" s="178"/>
      <c r="C392" s="178"/>
      <c r="D392" s="178"/>
      <c r="E392" s="178"/>
    </row>
    <row r="393">
      <c r="A393" s="178"/>
      <c r="B393" s="178"/>
      <c r="C393" s="178"/>
      <c r="D393" s="178"/>
      <c r="E393" s="178"/>
    </row>
    <row r="394">
      <c r="A394" s="178"/>
      <c r="B394" s="178"/>
      <c r="C394" s="178"/>
      <c r="D394" s="178"/>
      <c r="E394" s="178"/>
    </row>
    <row r="395">
      <c r="A395" s="178"/>
      <c r="B395" s="178"/>
      <c r="C395" s="178"/>
      <c r="D395" s="178"/>
      <c r="E395" s="178"/>
    </row>
    <row r="396">
      <c r="A396" s="178"/>
      <c r="B396" s="178"/>
      <c r="C396" s="178"/>
      <c r="D396" s="178"/>
      <c r="E396" s="178"/>
    </row>
    <row r="397">
      <c r="A397" s="178"/>
      <c r="B397" s="178"/>
      <c r="C397" s="178"/>
      <c r="D397" s="178"/>
      <c r="E397" s="178"/>
    </row>
    <row r="398">
      <c r="A398" s="178"/>
      <c r="B398" s="178"/>
      <c r="C398" s="178"/>
      <c r="D398" s="178"/>
      <c r="E398" s="178"/>
    </row>
    <row r="399">
      <c r="A399" s="178"/>
      <c r="B399" s="178"/>
      <c r="C399" s="178"/>
      <c r="D399" s="178"/>
      <c r="E399" s="178"/>
    </row>
    <row r="400">
      <c r="A400" s="178"/>
      <c r="B400" s="178"/>
      <c r="C400" s="178"/>
      <c r="D400" s="178"/>
      <c r="E400" s="178"/>
    </row>
    <row r="401">
      <c r="A401" s="178"/>
      <c r="B401" s="178"/>
      <c r="C401" s="178"/>
      <c r="D401" s="178"/>
      <c r="E401" s="178"/>
    </row>
    <row r="402">
      <c r="A402" s="178"/>
      <c r="B402" s="178"/>
      <c r="C402" s="178"/>
      <c r="D402" s="178"/>
      <c r="E402" s="178"/>
    </row>
    <row r="403">
      <c r="A403" s="178"/>
      <c r="B403" s="178"/>
      <c r="C403" s="178"/>
      <c r="D403" s="178"/>
      <c r="E403" s="178"/>
    </row>
    <row r="404">
      <c r="A404" s="178"/>
      <c r="B404" s="178"/>
      <c r="C404" s="178"/>
      <c r="D404" s="178"/>
      <c r="E404" s="178"/>
    </row>
    <row r="405">
      <c r="A405" s="178"/>
      <c r="B405" s="178"/>
      <c r="C405" s="178"/>
      <c r="D405" s="178"/>
      <c r="E405" s="178"/>
    </row>
    <row r="406">
      <c r="A406" s="178"/>
      <c r="B406" s="178"/>
      <c r="C406" s="178"/>
      <c r="D406" s="178"/>
      <c r="E406" s="178"/>
    </row>
    <row r="407">
      <c r="A407" s="178"/>
      <c r="B407" s="178"/>
      <c r="C407" s="178"/>
      <c r="D407" s="178"/>
      <c r="E407" s="178"/>
    </row>
    <row r="408">
      <c r="A408" s="178"/>
      <c r="B408" s="178"/>
      <c r="C408" s="178"/>
      <c r="D408" s="178"/>
      <c r="E408" s="178"/>
    </row>
    <row r="409">
      <c r="A409" s="178"/>
      <c r="B409" s="178"/>
      <c r="C409" s="178"/>
      <c r="D409" s="178"/>
      <c r="E409" s="178"/>
    </row>
    <row r="410">
      <c r="A410" s="178"/>
      <c r="B410" s="178"/>
      <c r="C410" s="178"/>
      <c r="D410" s="178"/>
      <c r="E410" s="178"/>
    </row>
    <row r="411">
      <c r="A411" s="178"/>
      <c r="B411" s="178"/>
      <c r="C411" s="178"/>
      <c r="D411" s="178"/>
      <c r="E411" s="178"/>
    </row>
    <row r="412">
      <c r="A412" s="178"/>
      <c r="B412" s="178"/>
      <c r="C412" s="178"/>
      <c r="D412" s="178"/>
      <c r="E412" s="178"/>
    </row>
    <row r="413">
      <c r="A413" s="178"/>
      <c r="B413" s="178"/>
      <c r="C413" s="178"/>
      <c r="D413" s="178"/>
      <c r="E413" s="178"/>
    </row>
    <row r="414">
      <c r="A414" s="178"/>
      <c r="B414" s="178"/>
      <c r="C414" s="178"/>
      <c r="D414" s="178"/>
      <c r="E414" s="178"/>
    </row>
    <row r="415">
      <c r="A415" s="178"/>
      <c r="B415" s="178"/>
      <c r="C415" s="178"/>
      <c r="D415" s="178"/>
      <c r="E415" s="178"/>
    </row>
    <row r="416">
      <c r="A416" s="178"/>
      <c r="B416" s="178"/>
      <c r="C416" s="178"/>
      <c r="D416" s="178"/>
      <c r="E416" s="178"/>
    </row>
    <row r="417">
      <c r="A417" s="178"/>
      <c r="B417" s="178"/>
      <c r="C417" s="178"/>
      <c r="D417" s="178"/>
      <c r="E417" s="178"/>
    </row>
    <row r="418">
      <c r="A418" s="178"/>
      <c r="B418" s="178"/>
      <c r="C418" s="178"/>
      <c r="D418" s="178"/>
      <c r="E418" s="178"/>
    </row>
    <row r="419">
      <c r="A419" s="178"/>
      <c r="B419" s="178"/>
      <c r="C419" s="178"/>
      <c r="D419" s="178"/>
      <c r="E419" s="178"/>
    </row>
    <row r="420">
      <c r="A420" s="178"/>
      <c r="B420" s="178"/>
      <c r="C420" s="178"/>
      <c r="D420" s="178"/>
      <c r="E420" s="178"/>
    </row>
    <row r="421">
      <c r="A421" s="178"/>
      <c r="B421" s="178"/>
      <c r="C421" s="178"/>
      <c r="D421" s="178"/>
      <c r="E421" s="178"/>
    </row>
    <row r="422">
      <c r="A422" s="178"/>
      <c r="B422" s="178"/>
      <c r="C422" s="178"/>
      <c r="D422" s="178"/>
      <c r="E422" s="178"/>
    </row>
    <row r="423">
      <c r="A423" s="178"/>
      <c r="B423" s="178"/>
      <c r="C423" s="178"/>
      <c r="D423" s="178"/>
      <c r="E423" s="178"/>
    </row>
    <row r="424">
      <c r="A424" s="178"/>
      <c r="B424" s="178"/>
      <c r="C424" s="178"/>
      <c r="D424" s="178"/>
      <c r="E424" s="178"/>
    </row>
    <row r="425">
      <c r="A425" s="178"/>
      <c r="B425" s="178"/>
      <c r="C425" s="178"/>
      <c r="D425" s="178"/>
      <c r="E425" s="178"/>
    </row>
    <row r="426">
      <c r="A426" s="178"/>
      <c r="B426" s="178"/>
      <c r="C426" s="178"/>
      <c r="D426" s="178"/>
      <c r="E426" s="178"/>
    </row>
    <row r="427">
      <c r="A427" s="178"/>
      <c r="B427" s="178"/>
      <c r="C427" s="178"/>
      <c r="D427" s="178"/>
      <c r="E427" s="178"/>
    </row>
    <row r="428">
      <c r="A428" s="178"/>
      <c r="B428" s="178"/>
      <c r="C428" s="178"/>
      <c r="D428" s="178"/>
      <c r="E428" s="178"/>
    </row>
    <row r="429">
      <c r="A429" s="178"/>
      <c r="B429" s="178"/>
      <c r="C429" s="178"/>
      <c r="D429" s="178"/>
      <c r="E429" s="178"/>
    </row>
    <row r="430">
      <c r="A430" s="178"/>
      <c r="B430" s="178"/>
      <c r="C430" s="178"/>
      <c r="D430" s="178"/>
      <c r="E430" s="178"/>
    </row>
    <row r="431">
      <c r="A431" s="178"/>
      <c r="B431" s="178"/>
      <c r="C431" s="178"/>
      <c r="D431" s="178"/>
      <c r="E431" s="178"/>
    </row>
    <row r="432">
      <c r="A432" s="178"/>
      <c r="B432" s="178"/>
      <c r="C432" s="178"/>
      <c r="D432" s="178"/>
      <c r="E432" s="178"/>
    </row>
    <row r="433">
      <c r="A433" s="178"/>
      <c r="B433" s="178"/>
      <c r="C433" s="178"/>
      <c r="D433" s="178"/>
      <c r="E433" s="178"/>
    </row>
    <row r="434">
      <c r="A434" s="178"/>
      <c r="B434" s="178"/>
      <c r="C434" s="178"/>
      <c r="D434" s="178"/>
      <c r="E434" s="178"/>
    </row>
    <row r="435">
      <c r="A435" s="178"/>
      <c r="B435" s="178"/>
      <c r="C435" s="178"/>
      <c r="D435" s="178"/>
      <c r="E435" s="178"/>
    </row>
    <row r="436">
      <c r="A436" s="178"/>
      <c r="B436" s="178"/>
      <c r="C436" s="178"/>
      <c r="D436" s="178"/>
      <c r="E436" s="178"/>
    </row>
    <row r="437">
      <c r="A437" s="178"/>
      <c r="B437" s="178"/>
      <c r="C437" s="178"/>
      <c r="D437" s="178"/>
      <c r="E437" s="178"/>
    </row>
    <row r="438">
      <c r="A438" s="178"/>
      <c r="B438" s="178"/>
      <c r="C438" s="178"/>
      <c r="D438" s="178"/>
      <c r="E438" s="178"/>
    </row>
    <row r="439">
      <c r="A439" s="178"/>
      <c r="B439" s="178"/>
      <c r="C439" s="178"/>
      <c r="D439" s="178"/>
      <c r="E439" s="178"/>
    </row>
    <row r="440">
      <c r="A440" s="178"/>
      <c r="B440" s="178"/>
      <c r="C440" s="178"/>
      <c r="D440" s="178"/>
      <c r="E440" s="178"/>
    </row>
    <row r="441">
      <c r="A441" s="178"/>
      <c r="B441" s="178"/>
      <c r="C441" s="178"/>
      <c r="D441" s="178"/>
      <c r="E441" s="178"/>
    </row>
    <row r="442">
      <c r="A442" s="178"/>
      <c r="B442" s="178"/>
      <c r="C442" s="178"/>
      <c r="D442" s="178"/>
      <c r="E442" s="178"/>
    </row>
    <row r="443">
      <c r="A443" s="178"/>
      <c r="B443" s="178"/>
      <c r="C443" s="178"/>
      <c r="D443" s="178"/>
      <c r="E443" s="178"/>
    </row>
    <row r="444">
      <c r="A444" s="178"/>
      <c r="B444" s="178"/>
      <c r="C444" s="178"/>
      <c r="D444" s="178"/>
      <c r="E444" s="178"/>
    </row>
    <row r="445">
      <c r="A445" s="178"/>
      <c r="B445" s="178"/>
      <c r="C445" s="178"/>
      <c r="D445" s="178"/>
      <c r="E445" s="178"/>
    </row>
    <row r="446">
      <c r="A446" s="178"/>
      <c r="B446" s="178"/>
      <c r="C446" s="178"/>
      <c r="D446" s="178"/>
      <c r="E446" s="178"/>
    </row>
    <row r="447">
      <c r="A447" s="178"/>
      <c r="B447" s="178"/>
      <c r="C447" s="178"/>
      <c r="D447" s="178"/>
      <c r="E447" s="178"/>
    </row>
    <row r="448">
      <c r="A448" s="178"/>
      <c r="B448" s="178"/>
      <c r="C448" s="178"/>
      <c r="D448" s="178"/>
      <c r="E448" s="178"/>
    </row>
    <row r="449">
      <c r="A449" s="178"/>
      <c r="B449" s="178"/>
      <c r="C449" s="178"/>
      <c r="D449" s="178"/>
      <c r="E449" s="178"/>
    </row>
    <row r="450">
      <c r="A450" s="178"/>
      <c r="B450" s="178"/>
      <c r="C450" s="178"/>
      <c r="D450" s="178"/>
      <c r="E450" s="178"/>
    </row>
    <row r="451">
      <c r="A451" s="178"/>
      <c r="B451" s="178"/>
      <c r="C451" s="178"/>
      <c r="D451" s="178"/>
      <c r="E451" s="178"/>
    </row>
    <row r="452">
      <c r="A452" s="178"/>
      <c r="B452" s="178"/>
      <c r="C452" s="178"/>
      <c r="D452" s="178"/>
      <c r="E452" s="178"/>
    </row>
    <row r="453">
      <c r="A453" s="178"/>
      <c r="B453" s="178"/>
      <c r="C453" s="178"/>
      <c r="D453" s="178"/>
      <c r="E453" s="178"/>
    </row>
    <row r="454">
      <c r="A454" s="178"/>
      <c r="B454" s="178"/>
      <c r="C454" s="178"/>
      <c r="D454" s="178"/>
      <c r="E454" s="178"/>
    </row>
    <row r="455">
      <c r="A455" s="178"/>
      <c r="B455" s="178"/>
      <c r="C455" s="178"/>
      <c r="D455" s="178"/>
      <c r="E455" s="178"/>
    </row>
    <row r="456">
      <c r="A456" s="178"/>
      <c r="B456" s="178"/>
      <c r="C456" s="178"/>
      <c r="D456" s="178"/>
      <c r="E456" s="178"/>
    </row>
    <row r="457">
      <c r="A457" s="178"/>
      <c r="B457" s="178"/>
      <c r="C457" s="178"/>
      <c r="D457" s="178"/>
      <c r="E457" s="178"/>
    </row>
    <row r="458">
      <c r="A458" s="178"/>
      <c r="B458" s="178"/>
      <c r="C458" s="178"/>
      <c r="D458" s="178"/>
      <c r="E458" s="178"/>
    </row>
    <row r="459">
      <c r="A459" s="178"/>
      <c r="B459" s="178"/>
      <c r="C459" s="178"/>
      <c r="D459" s="178"/>
      <c r="E459" s="178"/>
    </row>
    <row r="460">
      <c r="A460" s="178"/>
      <c r="B460" s="178"/>
      <c r="C460" s="178"/>
      <c r="D460" s="178"/>
      <c r="E460" s="178"/>
    </row>
    <row r="461">
      <c r="A461" s="178"/>
      <c r="B461" s="178"/>
      <c r="C461" s="178"/>
      <c r="D461" s="178"/>
      <c r="E461" s="178"/>
    </row>
    <row r="462">
      <c r="A462" s="178"/>
      <c r="B462" s="178"/>
      <c r="C462" s="178"/>
      <c r="D462" s="178"/>
      <c r="E462" s="178"/>
    </row>
    <row r="463">
      <c r="A463" s="178"/>
      <c r="B463" s="178"/>
      <c r="C463" s="178"/>
      <c r="D463" s="178"/>
      <c r="E463" s="178"/>
    </row>
    <row r="464">
      <c r="A464" s="178"/>
      <c r="B464" s="178"/>
      <c r="C464" s="178"/>
      <c r="D464" s="178"/>
      <c r="E464" s="178"/>
    </row>
    <row r="465">
      <c r="A465" s="178"/>
      <c r="B465" s="178"/>
      <c r="C465" s="178"/>
      <c r="D465" s="178"/>
      <c r="E465" s="178"/>
    </row>
    <row r="466">
      <c r="A466" s="178"/>
      <c r="B466" s="178"/>
      <c r="C466" s="178"/>
      <c r="D466" s="178"/>
      <c r="E466" s="178"/>
    </row>
    <row r="467">
      <c r="A467" s="178"/>
      <c r="B467" s="178"/>
      <c r="C467" s="178"/>
      <c r="D467" s="178"/>
      <c r="E467" s="178"/>
    </row>
    <row r="468">
      <c r="A468" s="178"/>
      <c r="B468" s="178"/>
      <c r="C468" s="178"/>
      <c r="D468" s="178"/>
      <c r="E468" s="178"/>
    </row>
    <row r="469">
      <c r="A469" s="178"/>
      <c r="B469" s="178"/>
      <c r="C469" s="178"/>
      <c r="D469" s="178"/>
      <c r="E469" s="178"/>
    </row>
    <row r="470">
      <c r="A470" s="178"/>
      <c r="B470" s="178"/>
      <c r="C470" s="178"/>
      <c r="D470" s="178"/>
      <c r="E470" s="178"/>
    </row>
    <row r="471">
      <c r="A471" s="178"/>
      <c r="B471" s="178"/>
      <c r="C471" s="178"/>
      <c r="D471" s="178"/>
      <c r="E471" s="178"/>
    </row>
    <row r="472">
      <c r="A472" s="178"/>
      <c r="B472" s="178"/>
      <c r="C472" s="178"/>
      <c r="D472" s="178"/>
      <c r="E472" s="178"/>
    </row>
    <row r="473">
      <c r="A473" s="178"/>
      <c r="B473" s="178"/>
      <c r="C473" s="178"/>
      <c r="D473" s="178"/>
      <c r="E473" s="178"/>
    </row>
    <row r="474">
      <c r="A474" s="178"/>
      <c r="B474" s="178"/>
      <c r="C474" s="178"/>
      <c r="D474" s="178"/>
      <c r="E474" s="178"/>
    </row>
    <row r="475">
      <c r="A475" s="178"/>
      <c r="B475" s="178"/>
      <c r="C475" s="178"/>
      <c r="D475" s="178"/>
      <c r="E475" s="178"/>
    </row>
    <row r="476">
      <c r="A476" s="178"/>
      <c r="B476" s="178"/>
      <c r="C476" s="178"/>
      <c r="D476" s="178"/>
      <c r="E476" s="178"/>
    </row>
    <row r="477">
      <c r="A477" s="178"/>
      <c r="B477" s="178"/>
      <c r="C477" s="178"/>
      <c r="D477" s="178"/>
      <c r="E477" s="178"/>
    </row>
    <row r="478">
      <c r="A478" s="178"/>
      <c r="B478" s="178"/>
      <c r="C478" s="178"/>
      <c r="D478" s="178"/>
      <c r="E478" s="178"/>
    </row>
    <row r="479">
      <c r="A479" s="178"/>
      <c r="B479" s="178"/>
      <c r="C479" s="178"/>
      <c r="D479" s="178"/>
      <c r="E479" s="178"/>
    </row>
    <row r="480">
      <c r="A480" s="178"/>
      <c r="B480" s="178"/>
      <c r="C480" s="178"/>
      <c r="D480" s="178"/>
      <c r="E480" s="178"/>
    </row>
    <row r="481">
      <c r="A481" s="178"/>
      <c r="B481" s="178"/>
      <c r="C481" s="178"/>
      <c r="D481" s="178"/>
      <c r="E481" s="178"/>
    </row>
    <row r="482">
      <c r="A482" s="178"/>
      <c r="B482" s="178"/>
      <c r="C482" s="178"/>
      <c r="D482" s="178"/>
      <c r="E482" s="178"/>
    </row>
    <row r="483">
      <c r="A483" s="178"/>
      <c r="B483" s="178"/>
      <c r="C483" s="178"/>
      <c r="D483" s="178"/>
      <c r="E483" s="178"/>
    </row>
    <row r="484">
      <c r="A484" s="178"/>
      <c r="B484" s="178"/>
      <c r="C484" s="178"/>
      <c r="D484" s="178"/>
      <c r="E484" s="178"/>
    </row>
    <row r="485">
      <c r="A485" s="178"/>
      <c r="B485" s="178"/>
      <c r="C485" s="178"/>
      <c r="D485" s="178"/>
      <c r="E485" s="178"/>
    </row>
    <row r="486">
      <c r="A486" s="178"/>
      <c r="B486" s="178"/>
      <c r="C486" s="178"/>
      <c r="D486" s="178"/>
      <c r="E486" s="178"/>
    </row>
    <row r="487">
      <c r="A487" s="178"/>
      <c r="B487" s="178"/>
      <c r="C487" s="178"/>
      <c r="D487" s="178"/>
      <c r="E487" s="178"/>
    </row>
    <row r="488">
      <c r="A488" s="178"/>
      <c r="B488" s="178"/>
      <c r="C488" s="178"/>
      <c r="D488" s="178"/>
      <c r="E488" s="178"/>
    </row>
    <row r="489">
      <c r="A489" s="178"/>
      <c r="B489" s="178"/>
      <c r="C489" s="178"/>
      <c r="D489" s="178"/>
      <c r="E489" s="178"/>
    </row>
    <row r="490">
      <c r="A490" s="178"/>
      <c r="B490" s="178"/>
      <c r="C490" s="178"/>
      <c r="D490" s="178"/>
      <c r="E490" s="178"/>
    </row>
    <row r="491">
      <c r="A491" s="178"/>
      <c r="B491" s="178"/>
      <c r="C491" s="178"/>
      <c r="D491" s="178"/>
      <c r="E491" s="178"/>
    </row>
    <row r="492">
      <c r="A492" s="178"/>
      <c r="B492" s="178"/>
      <c r="C492" s="178"/>
      <c r="D492" s="178"/>
      <c r="E492" s="178"/>
    </row>
    <row r="493">
      <c r="A493" s="178"/>
      <c r="B493" s="178"/>
      <c r="C493" s="178"/>
      <c r="D493" s="178"/>
      <c r="E493" s="178"/>
    </row>
    <row r="494">
      <c r="A494" s="178"/>
      <c r="B494" s="178"/>
      <c r="C494" s="178"/>
      <c r="D494" s="178"/>
      <c r="E494" s="178"/>
    </row>
    <row r="495">
      <c r="A495" s="178"/>
      <c r="B495" s="178"/>
      <c r="C495" s="178"/>
      <c r="D495" s="178"/>
      <c r="E495" s="178"/>
    </row>
    <row r="496">
      <c r="A496" s="178"/>
      <c r="B496" s="178"/>
      <c r="C496" s="178"/>
      <c r="D496" s="178"/>
      <c r="E496" s="178"/>
    </row>
    <row r="497">
      <c r="A497" s="178"/>
      <c r="B497" s="178"/>
      <c r="C497" s="178"/>
      <c r="D497" s="178"/>
      <c r="E497" s="178"/>
    </row>
    <row r="498">
      <c r="A498" s="178"/>
      <c r="B498" s="178"/>
      <c r="C498" s="178"/>
      <c r="D498" s="178"/>
      <c r="E498" s="178"/>
    </row>
    <row r="499">
      <c r="A499" s="178"/>
      <c r="B499" s="178"/>
      <c r="C499" s="178"/>
      <c r="D499" s="178"/>
      <c r="E499" s="178"/>
    </row>
    <row r="500">
      <c r="A500" s="178"/>
      <c r="B500" s="178"/>
      <c r="C500" s="178"/>
      <c r="D500" s="178"/>
      <c r="E500" s="178"/>
    </row>
    <row r="501">
      <c r="A501" s="178"/>
      <c r="B501" s="178"/>
      <c r="C501" s="178"/>
      <c r="D501" s="178"/>
      <c r="E501" s="178"/>
    </row>
    <row r="502">
      <c r="A502" s="178"/>
      <c r="B502" s="178"/>
      <c r="C502" s="178"/>
      <c r="D502" s="178"/>
      <c r="E502" s="178"/>
    </row>
    <row r="503">
      <c r="A503" s="178"/>
      <c r="B503" s="178"/>
      <c r="C503" s="178"/>
      <c r="D503" s="178"/>
      <c r="E503" s="178"/>
    </row>
    <row r="504">
      <c r="A504" s="178"/>
      <c r="B504" s="178"/>
      <c r="C504" s="178"/>
      <c r="D504" s="178"/>
      <c r="E504" s="178"/>
    </row>
    <row r="505">
      <c r="A505" s="178"/>
      <c r="B505" s="178"/>
      <c r="C505" s="178"/>
      <c r="D505" s="178"/>
      <c r="E505" s="178"/>
    </row>
    <row r="506">
      <c r="A506" s="178"/>
      <c r="B506" s="178"/>
      <c r="C506" s="178"/>
      <c r="D506" s="178"/>
      <c r="E506" s="178"/>
    </row>
    <row r="507">
      <c r="A507" s="178"/>
      <c r="B507" s="178"/>
      <c r="C507" s="178"/>
      <c r="D507" s="178"/>
      <c r="E507" s="178"/>
    </row>
    <row r="508">
      <c r="A508" s="178"/>
      <c r="B508" s="178"/>
      <c r="C508" s="178"/>
      <c r="D508" s="178"/>
      <c r="E508" s="178"/>
    </row>
    <row r="509">
      <c r="A509" s="178"/>
      <c r="B509" s="178"/>
      <c r="C509" s="178"/>
      <c r="D509" s="178"/>
      <c r="E509" s="178"/>
    </row>
    <row r="510">
      <c r="A510" s="178"/>
      <c r="B510" s="178"/>
      <c r="C510" s="178"/>
      <c r="D510" s="178"/>
      <c r="E510" s="178"/>
    </row>
    <row r="511">
      <c r="A511" s="178"/>
      <c r="B511" s="178"/>
      <c r="C511" s="178"/>
      <c r="D511" s="178"/>
      <c r="E511" s="178"/>
    </row>
    <row r="512">
      <c r="A512" s="178"/>
      <c r="B512" s="178"/>
      <c r="C512" s="178"/>
      <c r="D512" s="178"/>
      <c r="E512" s="178"/>
    </row>
    <row r="513">
      <c r="A513" s="178"/>
      <c r="B513" s="178"/>
      <c r="C513" s="178"/>
      <c r="D513" s="178"/>
      <c r="E513" s="178"/>
    </row>
    <row r="514">
      <c r="A514" s="178"/>
      <c r="B514" s="178"/>
      <c r="C514" s="178"/>
      <c r="D514" s="178"/>
      <c r="E514" s="178"/>
    </row>
    <row r="515">
      <c r="A515" s="178"/>
      <c r="B515" s="178"/>
      <c r="C515" s="178"/>
      <c r="D515" s="178"/>
      <c r="E515" s="178"/>
    </row>
    <row r="516">
      <c r="A516" s="178"/>
      <c r="B516" s="178"/>
      <c r="C516" s="178"/>
      <c r="D516" s="178"/>
      <c r="E516" s="178"/>
    </row>
    <row r="517">
      <c r="A517" s="178"/>
      <c r="B517" s="178"/>
      <c r="C517" s="178"/>
      <c r="D517" s="178"/>
      <c r="E517" s="178"/>
    </row>
    <row r="518">
      <c r="A518" s="178"/>
      <c r="B518" s="178"/>
      <c r="C518" s="178"/>
      <c r="D518" s="178"/>
      <c r="E518" s="178"/>
    </row>
    <row r="519">
      <c r="A519" s="178"/>
      <c r="B519" s="178"/>
      <c r="C519" s="178"/>
      <c r="D519" s="178"/>
      <c r="E519" s="178"/>
    </row>
    <row r="520">
      <c r="A520" s="178"/>
      <c r="B520" s="178"/>
      <c r="C520" s="178"/>
      <c r="D520" s="178"/>
      <c r="E520" s="178"/>
    </row>
    <row r="521">
      <c r="A521" s="178"/>
      <c r="B521" s="178"/>
      <c r="C521" s="178"/>
      <c r="D521" s="178"/>
      <c r="E521" s="178"/>
    </row>
    <row r="522">
      <c r="A522" s="178"/>
      <c r="B522" s="178"/>
      <c r="C522" s="178"/>
      <c r="D522" s="178"/>
      <c r="E522" s="178"/>
    </row>
    <row r="523">
      <c r="A523" s="178"/>
      <c r="B523" s="178"/>
      <c r="C523" s="178"/>
      <c r="D523" s="178"/>
      <c r="E523" s="178"/>
    </row>
    <row r="524">
      <c r="A524" s="178"/>
      <c r="B524" s="178"/>
      <c r="C524" s="178"/>
      <c r="D524" s="178"/>
      <c r="E524" s="178"/>
    </row>
    <row r="525">
      <c r="A525" s="178"/>
      <c r="B525" s="178"/>
      <c r="C525" s="178"/>
      <c r="D525" s="178"/>
      <c r="E525" s="178"/>
    </row>
    <row r="526">
      <c r="A526" s="178"/>
      <c r="B526" s="178"/>
      <c r="C526" s="178"/>
      <c r="D526" s="178"/>
      <c r="E526" s="178"/>
    </row>
    <row r="527">
      <c r="A527" s="178"/>
      <c r="B527" s="178"/>
      <c r="C527" s="178"/>
      <c r="D527" s="178"/>
      <c r="E527" s="178"/>
    </row>
    <row r="528">
      <c r="A528" s="178"/>
      <c r="B528" s="178"/>
      <c r="C528" s="178"/>
      <c r="D528" s="178"/>
      <c r="E528" s="178"/>
    </row>
    <row r="529">
      <c r="A529" s="178"/>
      <c r="B529" s="178"/>
      <c r="C529" s="178"/>
      <c r="D529" s="178"/>
      <c r="E529" s="178"/>
    </row>
    <row r="530">
      <c r="A530" s="178"/>
      <c r="B530" s="178"/>
      <c r="C530" s="178"/>
      <c r="D530" s="178"/>
      <c r="E530" s="178"/>
    </row>
    <row r="531">
      <c r="A531" s="178"/>
      <c r="B531" s="178"/>
      <c r="C531" s="178"/>
      <c r="D531" s="178"/>
      <c r="E531" s="178"/>
    </row>
    <row r="532">
      <c r="A532" s="178"/>
      <c r="B532" s="178"/>
      <c r="C532" s="178"/>
      <c r="D532" s="178"/>
      <c r="E532" s="178"/>
    </row>
    <row r="533">
      <c r="A533" s="178"/>
      <c r="B533" s="178"/>
      <c r="C533" s="178"/>
      <c r="D533" s="178"/>
      <c r="E533" s="178"/>
    </row>
    <row r="534">
      <c r="A534" s="178"/>
      <c r="B534" s="178"/>
      <c r="C534" s="178"/>
      <c r="D534" s="178"/>
      <c r="E534" s="178"/>
    </row>
    <row r="535">
      <c r="A535" s="178"/>
      <c r="B535" s="178"/>
      <c r="C535" s="178"/>
      <c r="D535" s="178"/>
      <c r="E535" s="178"/>
    </row>
    <row r="536">
      <c r="A536" s="178"/>
      <c r="B536" s="178"/>
      <c r="C536" s="178"/>
      <c r="D536" s="178"/>
      <c r="E536" s="178"/>
    </row>
    <row r="537">
      <c r="A537" s="178"/>
      <c r="B537" s="178"/>
      <c r="C537" s="178"/>
      <c r="D537" s="178"/>
      <c r="E537" s="178"/>
    </row>
    <row r="538">
      <c r="A538" s="178"/>
      <c r="B538" s="178"/>
      <c r="C538" s="178"/>
      <c r="D538" s="178"/>
      <c r="E538" s="178"/>
    </row>
    <row r="539">
      <c r="A539" s="178"/>
      <c r="B539" s="178"/>
      <c r="C539" s="178"/>
      <c r="D539" s="178"/>
      <c r="E539" s="178"/>
    </row>
    <row r="540">
      <c r="A540" s="178"/>
      <c r="B540" s="178"/>
      <c r="C540" s="178"/>
      <c r="D540" s="178"/>
      <c r="E540" s="178"/>
    </row>
    <row r="541">
      <c r="A541" s="178"/>
      <c r="B541" s="178"/>
      <c r="C541" s="178"/>
      <c r="D541" s="178"/>
      <c r="E541" s="178"/>
    </row>
    <row r="542">
      <c r="A542" s="178"/>
      <c r="B542" s="178"/>
      <c r="C542" s="178"/>
      <c r="D542" s="178"/>
      <c r="E542" s="178"/>
    </row>
    <row r="543">
      <c r="A543" s="178"/>
      <c r="B543" s="178"/>
      <c r="C543" s="178"/>
      <c r="D543" s="178"/>
      <c r="E543" s="178"/>
    </row>
    <row r="544">
      <c r="A544" s="178"/>
      <c r="B544" s="178"/>
      <c r="C544" s="178"/>
      <c r="D544" s="178"/>
      <c r="E544" s="178"/>
    </row>
    <row r="545">
      <c r="A545" s="178"/>
      <c r="B545" s="178"/>
      <c r="C545" s="178"/>
      <c r="D545" s="178"/>
      <c r="E545" s="178"/>
    </row>
    <row r="546">
      <c r="A546" s="178"/>
      <c r="B546" s="178"/>
      <c r="C546" s="178"/>
      <c r="D546" s="178"/>
      <c r="E546" s="178"/>
    </row>
    <row r="547">
      <c r="A547" s="178"/>
      <c r="B547" s="178"/>
      <c r="C547" s="178"/>
      <c r="D547" s="178"/>
      <c r="E547" s="178"/>
    </row>
    <row r="548">
      <c r="A548" s="178"/>
      <c r="B548" s="178"/>
      <c r="C548" s="178"/>
      <c r="D548" s="178"/>
      <c r="E548" s="178"/>
    </row>
    <row r="549">
      <c r="A549" s="178"/>
      <c r="B549" s="178"/>
      <c r="C549" s="178"/>
      <c r="D549" s="178"/>
      <c r="E549" s="178"/>
    </row>
    <row r="550">
      <c r="A550" s="178"/>
      <c r="B550" s="178"/>
      <c r="C550" s="178"/>
      <c r="D550" s="178"/>
      <c r="E550" s="178"/>
    </row>
    <row r="551">
      <c r="A551" s="178"/>
      <c r="B551" s="178"/>
      <c r="C551" s="178"/>
      <c r="D551" s="178"/>
      <c r="E551" s="178"/>
    </row>
    <row r="552">
      <c r="A552" s="178"/>
      <c r="B552" s="178"/>
      <c r="C552" s="178"/>
      <c r="D552" s="178"/>
      <c r="E552" s="178"/>
    </row>
    <row r="553">
      <c r="A553" s="178"/>
      <c r="B553" s="178"/>
      <c r="C553" s="178"/>
      <c r="D553" s="178"/>
      <c r="E553" s="178"/>
    </row>
    <row r="554">
      <c r="A554" s="178"/>
      <c r="B554" s="178"/>
      <c r="C554" s="178"/>
      <c r="D554" s="178"/>
      <c r="E554" s="178"/>
    </row>
    <row r="555">
      <c r="A555" s="178"/>
      <c r="B555" s="178"/>
      <c r="C555" s="178"/>
      <c r="D555" s="178"/>
      <c r="E555" s="178"/>
    </row>
    <row r="556">
      <c r="A556" s="178"/>
      <c r="B556" s="178"/>
      <c r="C556" s="178"/>
      <c r="D556" s="178"/>
      <c r="E556" s="178"/>
    </row>
    <row r="557">
      <c r="A557" s="178"/>
      <c r="B557" s="178"/>
      <c r="C557" s="178"/>
      <c r="D557" s="178"/>
      <c r="E557" s="178"/>
    </row>
    <row r="558">
      <c r="A558" s="178"/>
      <c r="B558" s="178"/>
      <c r="C558" s="178"/>
      <c r="D558" s="178"/>
      <c r="E558" s="178"/>
    </row>
    <row r="559">
      <c r="A559" s="178"/>
      <c r="B559" s="178"/>
      <c r="C559" s="178"/>
      <c r="D559" s="178"/>
      <c r="E559" s="178"/>
    </row>
    <row r="560">
      <c r="A560" s="178"/>
      <c r="B560" s="178"/>
      <c r="C560" s="178"/>
      <c r="D560" s="178"/>
      <c r="E560" s="178"/>
    </row>
    <row r="561">
      <c r="A561" s="178"/>
      <c r="B561" s="178"/>
      <c r="C561" s="178"/>
      <c r="D561" s="178"/>
      <c r="E561" s="178"/>
    </row>
    <row r="562">
      <c r="A562" s="178"/>
      <c r="B562" s="178"/>
      <c r="C562" s="178"/>
      <c r="D562" s="178"/>
      <c r="E562" s="178"/>
    </row>
    <row r="563">
      <c r="A563" s="178"/>
      <c r="B563" s="178"/>
      <c r="C563" s="178"/>
      <c r="D563" s="178"/>
      <c r="E563" s="178"/>
    </row>
    <row r="564">
      <c r="A564" s="178"/>
      <c r="B564" s="178"/>
      <c r="C564" s="178"/>
      <c r="D564" s="178"/>
      <c r="E564" s="178"/>
    </row>
    <row r="565">
      <c r="A565" s="178"/>
      <c r="B565" s="178"/>
      <c r="C565" s="178"/>
      <c r="D565" s="178"/>
      <c r="E565" s="178"/>
    </row>
    <row r="566">
      <c r="A566" s="178"/>
      <c r="B566" s="178"/>
      <c r="C566" s="178"/>
      <c r="D566" s="178"/>
      <c r="E566" s="178"/>
    </row>
    <row r="567">
      <c r="A567" s="178"/>
      <c r="B567" s="178"/>
      <c r="C567" s="178"/>
      <c r="D567" s="178"/>
      <c r="E567" s="178"/>
    </row>
    <row r="568">
      <c r="A568" s="178"/>
      <c r="B568" s="178"/>
      <c r="C568" s="178"/>
      <c r="D568" s="178"/>
      <c r="E568" s="178"/>
    </row>
    <row r="569">
      <c r="A569" s="178"/>
      <c r="B569" s="178"/>
      <c r="C569" s="178"/>
      <c r="D569" s="178"/>
      <c r="E569" s="178"/>
    </row>
    <row r="570">
      <c r="A570" s="178"/>
      <c r="B570" s="178"/>
      <c r="C570" s="178"/>
      <c r="D570" s="178"/>
      <c r="E570" s="178"/>
    </row>
    <row r="571">
      <c r="A571" s="178"/>
      <c r="B571" s="178"/>
      <c r="C571" s="178"/>
      <c r="D571" s="178"/>
      <c r="E571" s="178"/>
    </row>
    <row r="572">
      <c r="A572" s="178"/>
      <c r="B572" s="178"/>
      <c r="C572" s="178"/>
      <c r="D572" s="178"/>
      <c r="E572" s="178"/>
    </row>
    <row r="573">
      <c r="A573" s="178"/>
      <c r="B573" s="178"/>
      <c r="C573" s="178"/>
      <c r="D573" s="178"/>
      <c r="E573" s="178"/>
    </row>
    <row r="574">
      <c r="A574" s="178"/>
      <c r="B574" s="178"/>
      <c r="C574" s="178"/>
      <c r="D574" s="178"/>
      <c r="E574" s="178"/>
    </row>
    <row r="575">
      <c r="A575" s="178"/>
      <c r="B575" s="178"/>
      <c r="C575" s="178"/>
      <c r="D575" s="178"/>
      <c r="E575" s="178"/>
    </row>
    <row r="576">
      <c r="A576" s="178"/>
      <c r="B576" s="178"/>
      <c r="C576" s="178"/>
      <c r="D576" s="178"/>
      <c r="E576" s="178"/>
    </row>
    <row r="577">
      <c r="A577" s="178"/>
      <c r="B577" s="178"/>
      <c r="C577" s="178"/>
      <c r="D577" s="178"/>
      <c r="E577" s="178"/>
    </row>
    <row r="578">
      <c r="A578" s="178"/>
      <c r="B578" s="178"/>
      <c r="C578" s="178"/>
      <c r="D578" s="178"/>
      <c r="E578" s="178"/>
    </row>
    <row r="579">
      <c r="A579" s="178"/>
      <c r="B579" s="178"/>
      <c r="C579" s="178"/>
      <c r="D579" s="178"/>
      <c r="E579" s="178"/>
    </row>
    <row r="580">
      <c r="A580" s="178"/>
      <c r="B580" s="178"/>
      <c r="C580" s="178"/>
      <c r="D580" s="178"/>
      <c r="E580" s="178"/>
    </row>
    <row r="581">
      <c r="A581" s="178"/>
      <c r="B581" s="178"/>
      <c r="C581" s="178"/>
      <c r="D581" s="178"/>
      <c r="E581" s="178"/>
    </row>
    <row r="582">
      <c r="A582" s="178"/>
      <c r="B582" s="178"/>
      <c r="C582" s="178"/>
      <c r="D582" s="178"/>
      <c r="E582" s="178"/>
    </row>
    <row r="583">
      <c r="A583" s="178"/>
      <c r="B583" s="178"/>
      <c r="C583" s="178"/>
      <c r="D583" s="178"/>
      <c r="E583" s="178"/>
    </row>
    <row r="584">
      <c r="A584" s="178"/>
      <c r="B584" s="178"/>
      <c r="C584" s="178"/>
      <c r="D584" s="178"/>
      <c r="E584" s="178"/>
    </row>
    <row r="585">
      <c r="A585" s="178"/>
      <c r="B585" s="178"/>
      <c r="C585" s="178"/>
      <c r="D585" s="178"/>
      <c r="E585" s="178"/>
    </row>
    <row r="586">
      <c r="A586" s="178"/>
      <c r="B586" s="178"/>
      <c r="C586" s="178"/>
      <c r="D586" s="178"/>
      <c r="E586" s="178"/>
    </row>
    <row r="587">
      <c r="A587" s="178"/>
      <c r="B587" s="178"/>
      <c r="C587" s="178"/>
      <c r="D587" s="178"/>
      <c r="E587" s="178"/>
    </row>
    <row r="588">
      <c r="A588" s="178"/>
      <c r="B588" s="178"/>
      <c r="C588" s="178"/>
      <c r="D588" s="178"/>
      <c r="E588" s="178"/>
    </row>
    <row r="589">
      <c r="A589" s="178"/>
      <c r="B589" s="178"/>
      <c r="C589" s="178"/>
      <c r="D589" s="178"/>
      <c r="E589" s="178"/>
    </row>
    <row r="590">
      <c r="A590" s="178"/>
      <c r="B590" s="178"/>
      <c r="C590" s="178"/>
      <c r="D590" s="178"/>
      <c r="E590" s="178"/>
    </row>
    <row r="591">
      <c r="A591" s="178"/>
      <c r="B591" s="178"/>
      <c r="C591" s="178"/>
      <c r="D591" s="178"/>
      <c r="E591" s="178"/>
    </row>
    <row r="592">
      <c r="A592" s="178"/>
      <c r="B592" s="178"/>
      <c r="C592" s="178"/>
      <c r="D592" s="178"/>
      <c r="E592" s="178"/>
    </row>
    <row r="593">
      <c r="A593" s="178"/>
      <c r="B593" s="178"/>
      <c r="C593" s="178"/>
      <c r="D593" s="178"/>
      <c r="E593" s="178"/>
    </row>
    <row r="594">
      <c r="A594" s="178"/>
      <c r="B594" s="178"/>
      <c r="C594" s="178"/>
      <c r="D594" s="178"/>
      <c r="E594" s="178"/>
    </row>
    <row r="595">
      <c r="A595" s="178"/>
      <c r="B595" s="178"/>
      <c r="C595" s="178"/>
      <c r="D595" s="178"/>
      <c r="E595" s="178"/>
    </row>
    <row r="596">
      <c r="A596" s="178"/>
      <c r="B596" s="178"/>
      <c r="C596" s="178"/>
      <c r="D596" s="178"/>
      <c r="E596" s="178"/>
    </row>
    <row r="597">
      <c r="A597" s="178"/>
      <c r="B597" s="178"/>
      <c r="C597" s="178"/>
      <c r="D597" s="178"/>
      <c r="E597" s="178"/>
    </row>
    <row r="598">
      <c r="A598" s="178"/>
      <c r="B598" s="178"/>
      <c r="C598" s="178"/>
      <c r="D598" s="178"/>
      <c r="E598" s="178"/>
    </row>
    <row r="599">
      <c r="A599" s="178"/>
      <c r="B599" s="178"/>
      <c r="C599" s="178"/>
      <c r="D599" s="178"/>
      <c r="E599" s="178"/>
    </row>
    <row r="600">
      <c r="A600" s="178"/>
      <c r="B600" s="178"/>
      <c r="C600" s="178"/>
      <c r="D600" s="178"/>
      <c r="E600" s="178"/>
    </row>
    <row r="601">
      <c r="A601" s="178"/>
      <c r="B601" s="178"/>
      <c r="C601" s="178"/>
      <c r="D601" s="178"/>
      <c r="E601" s="178"/>
    </row>
    <row r="602">
      <c r="A602" s="178"/>
      <c r="B602" s="178"/>
      <c r="C602" s="178"/>
      <c r="D602" s="178"/>
      <c r="E602" s="178"/>
    </row>
    <row r="603">
      <c r="A603" s="178"/>
      <c r="B603" s="178"/>
      <c r="C603" s="178"/>
      <c r="D603" s="178"/>
      <c r="E603" s="178"/>
    </row>
    <row r="604">
      <c r="A604" s="178"/>
      <c r="B604" s="178"/>
      <c r="C604" s="178"/>
      <c r="D604" s="178"/>
      <c r="E604" s="178"/>
    </row>
    <row r="605">
      <c r="A605" s="178"/>
      <c r="B605" s="178"/>
      <c r="C605" s="178"/>
      <c r="D605" s="178"/>
      <c r="E605" s="178"/>
    </row>
    <row r="606">
      <c r="A606" s="178"/>
      <c r="B606" s="178"/>
      <c r="C606" s="178"/>
      <c r="D606" s="178"/>
      <c r="E606" s="178"/>
    </row>
    <row r="607">
      <c r="A607" s="178"/>
      <c r="B607" s="178"/>
      <c r="C607" s="178"/>
      <c r="D607" s="178"/>
      <c r="E607" s="178"/>
    </row>
    <row r="608">
      <c r="A608" s="178"/>
      <c r="B608" s="178"/>
      <c r="C608" s="178"/>
      <c r="D608" s="178"/>
      <c r="E608" s="178"/>
    </row>
    <row r="609">
      <c r="A609" s="178"/>
      <c r="B609" s="178"/>
      <c r="C609" s="178"/>
      <c r="D609" s="178"/>
      <c r="E609" s="178"/>
    </row>
    <row r="610">
      <c r="A610" s="178"/>
      <c r="B610" s="178"/>
      <c r="C610" s="178"/>
      <c r="D610" s="178"/>
      <c r="E610" s="178"/>
    </row>
    <row r="611">
      <c r="A611" s="178"/>
      <c r="B611" s="178"/>
      <c r="C611" s="178"/>
      <c r="D611" s="178"/>
      <c r="E611" s="178"/>
    </row>
    <row r="612">
      <c r="A612" s="178"/>
      <c r="B612" s="178"/>
      <c r="C612" s="178"/>
      <c r="D612" s="178"/>
      <c r="E612" s="178"/>
    </row>
    <row r="613">
      <c r="A613" s="178"/>
      <c r="B613" s="178"/>
      <c r="C613" s="178"/>
      <c r="D613" s="178"/>
      <c r="E613" s="178"/>
    </row>
    <row r="614">
      <c r="A614" s="178"/>
      <c r="B614" s="178"/>
      <c r="C614" s="178"/>
      <c r="D614" s="178"/>
      <c r="E614" s="178"/>
    </row>
    <row r="615">
      <c r="A615" s="178"/>
      <c r="B615" s="178"/>
      <c r="C615" s="178"/>
      <c r="D615" s="178"/>
      <c r="E615" s="178"/>
    </row>
    <row r="616">
      <c r="A616" s="178"/>
      <c r="B616" s="178"/>
      <c r="C616" s="178"/>
      <c r="D616" s="178"/>
      <c r="E616" s="178"/>
    </row>
    <row r="617">
      <c r="A617" s="178"/>
      <c r="B617" s="178"/>
      <c r="C617" s="178"/>
      <c r="D617" s="178"/>
      <c r="E617" s="178"/>
    </row>
    <row r="618">
      <c r="A618" s="178"/>
      <c r="B618" s="178"/>
      <c r="C618" s="178"/>
      <c r="D618" s="178"/>
      <c r="E618" s="178"/>
    </row>
    <row r="619">
      <c r="A619" s="178"/>
      <c r="B619" s="178"/>
      <c r="C619" s="178"/>
      <c r="D619" s="178"/>
      <c r="E619" s="178"/>
    </row>
    <row r="620">
      <c r="A620" s="178"/>
      <c r="B620" s="178"/>
      <c r="C620" s="178"/>
      <c r="D620" s="178"/>
      <c r="E620" s="178"/>
    </row>
    <row r="621">
      <c r="A621" s="178"/>
      <c r="B621" s="178"/>
      <c r="C621" s="178"/>
      <c r="D621" s="178"/>
      <c r="E621" s="178"/>
    </row>
    <row r="622">
      <c r="A622" s="178"/>
      <c r="B622" s="178"/>
      <c r="C622" s="178"/>
      <c r="D622" s="178"/>
      <c r="E622" s="178"/>
    </row>
    <row r="623">
      <c r="A623" s="178"/>
      <c r="B623" s="178"/>
      <c r="C623" s="178"/>
      <c r="D623" s="178"/>
      <c r="E623" s="178"/>
    </row>
    <row r="624">
      <c r="A624" s="178"/>
      <c r="B624" s="178"/>
      <c r="C624" s="178"/>
      <c r="D624" s="178"/>
      <c r="E624" s="178"/>
    </row>
    <row r="625">
      <c r="A625" s="178"/>
      <c r="B625" s="178"/>
      <c r="C625" s="178"/>
      <c r="D625" s="178"/>
      <c r="E625" s="178"/>
    </row>
    <row r="626">
      <c r="A626" s="178"/>
      <c r="B626" s="178"/>
      <c r="C626" s="178"/>
      <c r="D626" s="178"/>
      <c r="E626" s="178"/>
    </row>
    <row r="627">
      <c r="A627" s="178"/>
      <c r="B627" s="178"/>
      <c r="C627" s="178"/>
      <c r="D627" s="178"/>
      <c r="E627" s="178"/>
    </row>
    <row r="628">
      <c r="A628" s="178"/>
      <c r="B628" s="178"/>
      <c r="C628" s="178"/>
      <c r="D628" s="178"/>
      <c r="E628" s="178"/>
    </row>
    <row r="629">
      <c r="A629" s="178"/>
      <c r="B629" s="178"/>
      <c r="C629" s="178"/>
      <c r="D629" s="178"/>
      <c r="E629" s="178"/>
    </row>
    <row r="630">
      <c r="A630" s="178"/>
      <c r="B630" s="178"/>
      <c r="C630" s="178"/>
      <c r="D630" s="178"/>
      <c r="E630" s="178"/>
    </row>
    <row r="631">
      <c r="A631" s="178"/>
      <c r="B631" s="178"/>
      <c r="C631" s="178"/>
      <c r="D631" s="178"/>
      <c r="E631" s="178"/>
    </row>
    <row r="632">
      <c r="A632" s="178"/>
      <c r="B632" s="178"/>
      <c r="C632" s="178"/>
      <c r="D632" s="178"/>
      <c r="E632" s="178"/>
    </row>
    <row r="633">
      <c r="A633" s="178"/>
      <c r="B633" s="178"/>
      <c r="C633" s="178"/>
      <c r="D633" s="178"/>
      <c r="E633" s="178"/>
    </row>
    <row r="634">
      <c r="A634" s="178"/>
      <c r="B634" s="178"/>
      <c r="C634" s="178"/>
      <c r="D634" s="178"/>
      <c r="E634" s="178"/>
    </row>
    <row r="635">
      <c r="A635" s="178"/>
      <c r="B635" s="178"/>
      <c r="C635" s="178"/>
      <c r="D635" s="178"/>
      <c r="E635" s="178"/>
    </row>
    <row r="636">
      <c r="A636" s="178"/>
      <c r="B636" s="178"/>
      <c r="C636" s="178"/>
      <c r="D636" s="178"/>
      <c r="E636" s="178"/>
    </row>
    <row r="637">
      <c r="A637" s="178"/>
      <c r="B637" s="178"/>
      <c r="C637" s="178"/>
      <c r="D637" s="178"/>
      <c r="E637" s="178"/>
    </row>
    <row r="638">
      <c r="A638" s="178"/>
      <c r="B638" s="178"/>
      <c r="C638" s="178"/>
      <c r="D638" s="178"/>
      <c r="E638" s="178"/>
    </row>
    <row r="639">
      <c r="A639" s="178"/>
      <c r="B639" s="178"/>
      <c r="C639" s="178"/>
      <c r="D639" s="178"/>
      <c r="E639" s="178"/>
    </row>
    <row r="640">
      <c r="A640" s="178"/>
      <c r="B640" s="178"/>
      <c r="C640" s="178"/>
      <c r="D640" s="178"/>
      <c r="E640" s="178"/>
    </row>
    <row r="641">
      <c r="A641" s="178"/>
      <c r="B641" s="178"/>
      <c r="C641" s="178"/>
      <c r="D641" s="178"/>
      <c r="E641" s="178"/>
    </row>
    <row r="642">
      <c r="A642" s="178"/>
      <c r="B642" s="178"/>
      <c r="C642" s="178"/>
      <c r="D642" s="178"/>
      <c r="E642" s="178"/>
    </row>
    <row r="643">
      <c r="A643" s="178"/>
      <c r="B643" s="178"/>
      <c r="C643" s="178"/>
      <c r="D643" s="178"/>
      <c r="E643" s="178"/>
    </row>
    <row r="644">
      <c r="A644" s="178"/>
      <c r="B644" s="178"/>
      <c r="C644" s="178"/>
      <c r="D644" s="178"/>
      <c r="E644" s="178"/>
    </row>
    <row r="645">
      <c r="A645" s="178"/>
      <c r="B645" s="178"/>
      <c r="C645" s="178"/>
      <c r="D645" s="178"/>
      <c r="E645" s="178"/>
    </row>
    <row r="646">
      <c r="A646" s="178"/>
      <c r="B646" s="178"/>
      <c r="C646" s="178"/>
      <c r="D646" s="178"/>
      <c r="E646" s="178"/>
    </row>
    <row r="647">
      <c r="A647" s="178"/>
      <c r="B647" s="178"/>
      <c r="C647" s="178"/>
      <c r="D647" s="178"/>
      <c r="E647" s="178"/>
    </row>
    <row r="648">
      <c r="A648" s="178"/>
      <c r="B648" s="178"/>
      <c r="C648" s="178"/>
      <c r="D648" s="178"/>
      <c r="E648" s="178"/>
    </row>
    <row r="649">
      <c r="A649" s="178"/>
      <c r="B649" s="178"/>
      <c r="C649" s="178"/>
      <c r="D649" s="178"/>
      <c r="E649" s="178"/>
    </row>
    <row r="650">
      <c r="A650" s="178"/>
      <c r="B650" s="178"/>
      <c r="C650" s="178"/>
      <c r="D650" s="178"/>
      <c r="E650" s="178"/>
    </row>
    <row r="651">
      <c r="A651" s="178"/>
      <c r="B651" s="178"/>
      <c r="C651" s="178"/>
      <c r="D651" s="178"/>
      <c r="E651" s="178"/>
    </row>
    <row r="652">
      <c r="A652" s="178"/>
      <c r="B652" s="178"/>
      <c r="C652" s="178"/>
      <c r="D652" s="178"/>
      <c r="E652" s="178"/>
    </row>
    <row r="653">
      <c r="A653" s="178"/>
      <c r="B653" s="178"/>
      <c r="C653" s="178"/>
      <c r="D653" s="178"/>
      <c r="E653" s="178"/>
    </row>
    <row r="654">
      <c r="A654" s="178"/>
      <c r="B654" s="178"/>
      <c r="C654" s="178"/>
      <c r="D654" s="178"/>
      <c r="E654" s="178"/>
    </row>
    <row r="655">
      <c r="A655" s="178"/>
      <c r="B655" s="178"/>
      <c r="C655" s="178"/>
      <c r="D655" s="178"/>
      <c r="E655" s="178"/>
    </row>
    <row r="656">
      <c r="A656" s="178"/>
      <c r="B656" s="178"/>
      <c r="C656" s="178"/>
      <c r="D656" s="178"/>
      <c r="E656" s="178"/>
    </row>
    <row r="657">
      <c r="A657" s="178"/>
      <c r="B657" s="178"/>
      <c r="C657" s="178"/>
      <c r="D657" s="178"/>
      <c r="E657" s="178"/>
    </row>
    <row r="658">
      <c r="A658" s="178"/>
      <c r="B658" s="178"/>
      <c r="C658" s="178"/>
      <c r="D658" s="178"/>
      <c r="E658" s="178"/>
    </row>
    <row r="659">
      <c r="A659" s="178"/>
      <c r="B659" s="178"/>
      <c r="C659" s="178"/>
      <c r="D659" s="178"/>
      <c r="E659" s="178"/>
    </row>
    <row r="660">
      <c r="A660" s="178"/>
      <c r="B660" s="178"/>
      <c r="C660" s="178"/>
      <c r="D660" s="178"/>
      <c r="E660" s="178"/>
    </row>
    <row r="661">
      <c r="A661" s="178"/>
      <c r="B661" s="178"/>
      <c r="C661" s="178"/>
      <c r="D661" s="178"/>
      <c r="E661" s="178"/>
    </row>
    <row r="662">
      <c r="A662" s="178"/>
      <c r="B662" s="178"/>
      <c r="C662" s="178"/>
      <c r="D662" s="178"/>
      <c r="E662" s="178"/>
    </row>
    <row r="663">
      <c r="A663" s="178"/>
      <c r="B663" s="178"/>
      <c r="C663" s="178"/>
      <c r="D663" s="178"/>
      <c r="E663" s="178"/>
    </row>
    <row r="664">
      <c r="A664" s="178"/>
      <c r="B664" s="178"/>
      <c r="C664" s="178"/>
      <c r="D664" s="178"/>
      <c r="E664" s="178"/>
    </row>
    <row r="665">
      <c r="A665" s="178"/>
      <c r="B665" s="178"/>
      <c r="C665" s="178"/>
      <c r="D665" s="178"/>
      <c r="E665" s="178"/>
    </row>
    <row r="666">
      <c r="A666" s="178"/>
      <c r="B666" s="178"/>
      <c r="C666" s="178"/>
      <c r="D666" s="178"/>
      <c r="E666" s="178"/>
    </row>
    <row r="667">
      <c r="A667" s="178"/>
      <c r="B667" s="178"/>
      <c r="C667" s="178"/>
      <c r="D667" s="178"/>
      <c r="E667" s="178"/>
    </row>
    <row r="668">
      <c r="A668" s="178"/>
      <c r="B668" s="178"/>
      <c r="C668" s="178"/>
      <c r="D668" s="178"/>
      <c r="E668" s="178"/>
    </row>
    <row r="669">
      <c r="A669" s="178"/>
      <c r="B669" s="178"/>
      <c r="C669" s="178"/>
      <c r="D669" s="178"/>
      <c r="E669" s="178"/>
    </row>
    <row r="670">
      <c r="A670" s="178"/>
      <c r="B670" s="178"/>
      <c r="C670" s="178"/>
      <c r="D670" s="178"/>
      <c r="E670" s="178"/>
    </row>
    <row r="671">
      <c r="A671" s="178"/>
      <c r="B671" s="178"/>
      <c r="C671" s="178"/>
      <c r="D671" s="178"/>
      <c r="E671" s="178"/>
    </row>
    <row r="672">
      <c r="A672" s="178"/>
      <c r="B672" s="178"/>
      <c r="C672" s="178"/>
      <c r="D672" s="178"/>
      <c r="E672" s="178"/>
    </row>
    <row r="673">
      <c r="A673" s="178"/>
      <c r="B673" s="178"/>
      <c r="C673" s="178"/>
      <c r="D673" s="178"/>
      <c r="E673" s="178"/>
    </row>
    <row r="674">
      <c r="A674" s="178"/>
      <c r="B674" s="178"/>
      <c r="C674" s="178"/>
      <c r="D674" s="178"/>
      <c r="E674" s="178"/>
    </row>
    <row r="675">
      <c r="A675" s="178"/>
      <c r="B675" s="178"/>
      <c r="C675" s="178"/>
      <c r="D675" s="178"/>
      <c r="E675" s="178"/>
    </row>
    <row r="676">
      <c r="A676" s="178"/>
      <c r="B676" s="178"/>
      <c r="C676" s="178"/>
      <c r="D676" s="178"/>
      <c r="E676" s="178"/>
    </row>
    <row r="677">
      <c r="A677" s="178"/>
      <c r="B677" s="178"/>
      <c r="C677" s="178"/>
      <c r="D677" s="178"/>
      <c r="E677" s="178"/>
    </row>
    <row r="678">
      <c r="A678" s="178"/>
      <c r="B678" s="178"/>
      <c r="C678" s="178"/>
      <c r="D678" s="178"/>
      <c r="E678" s="178"/>
    </row>
    <row r="679">
      <c r="A679" s="178"/>
      <c r="B679" s="178"/>
      <c r="C679" s="178"/>
      <c r="D679" s="178"/>
      <c r="E679" s="178"/>
    </row>
    <row r="680">
      <c r="A680" s="178"/>
      <c r="B680" s="178"/>
      <c r="C680" s="178"/>
      <c r="D680" s="178"/>
      <c r="E680" s="178"/>
    </row>
    <row r="681">
      <c r="A681" s="178"/>
      <c r="B681" s="178"/>
      <c r="C681" s="178"/>
      <c r="D681" s="178"/>
      <c r="E681" s="178"/>
    </row>
    <row r="682">
      <c r="A682" s="178"/>
      <c r="B682" s="178"/>
      <c r="C682" s="178"/>
      <c r="D682" s="178"/>
      <c r="E682" s="178"/>
    </row>
    <row r="683">
      <c r="A683" s="178"/>
      <c r="B683" s="178"/>
      <c r="C683" s="178"/>
      <c r="D683" s="178"/>
      <c r="E683" s="178"/>
    </row>
    <row r="684">
      <c r="A684" s="178"/>
      <c r="B684" s="178"/>
      <c r="C684" s="178"/>
      <c r="D684" s="178"/>
      <c r="E684" s="178"/>
    </row>
    <row r="685">
      <c r="A685" s="178"/>
      <c r="B685" s="178"/>
      <c r="C685" s="178"/>
      <c r="D685" s="178"/>
      <c r="E685" s="178"/>
    </row>
    <row r="686">
      <c r="A686" s="178"/>
      <c r="B686" s="178"/>
      <c r="C686" s="178"/>
      <c r="D686" s="178"/>
      <c r="E686" s="178"/>
    </row>
    <row r="687">
      <c r="A687" s="178"/>
      <c r="B687" s="178"/>
      <c r="C687" s="178"/>
      <c r="D687" s="178"/>
      <c r="E687" s="178"/>
    </row>
    <row r="688">
      <c r="A688" s="178"/>
      <c r="B688" s="178"/>
      <c r="C688" s="178"/>
      <c r="D688" s="178"/>
      <c r="E688" s="178"/>
    </row>
    <row r="689">
      <c r="A689" s="178"/>
      <c r="B689" s="178"/>
      <c r="C689" s="178"/>
      <c r="D689" s="178"/>
      <c r="E689" s="178"/>
    </row>
    <row r="690">
      <c r="A690" s="178"/>
      <c r="B690" s="178"/>
      <c r="C690" s="178"/>
      <c r="D690" s="178"/>
      <c r="E690" s="178"/>
    </row>
    <row r="691">
      <c r="A691" s="178"/>
      <c r="B691" s="178"/>
      <c r="C691" s="178"/>
      <c r="D691" s="178"/>
      <c r="E691" s="178"/>
    </row>
    <row r="692">
      <c r="A692" s="178"/>
      <c r="B692" s="178"/>
      <c r="C692" s="178"/>
      <c r="D692" s="178"/>
      <c r="E692" s="178"/>
    </row>
    <row r="693">
      <c r="A693" s="178"/>
      <c r="B693" s="178"/>
      <c r="C693" s="178"/>
      <c r="D693" s="178"/>
      <c r="E693" s="178"/>
    </row>
    <row r="694">
      <c r="A694" s="178"/>
      <c r="B694" s="178"/>
      <c r="C694" s="178"/>
      <c r="D694" s="178"/>
      <c r="E694" s="178"/>
    </row>
    <row r="695">
      <c r="A695" s="178"/>
      <c r="B695" s="178"/>
      <c r="C695" s="178"/>
      <c r="D695" s="178"/>
      <c r="E695" s="178"/>
    </row>
    <row r="696">
      <c r="A696" s="178"/>
      <c r="B696" s="178"/>
      <c r="C696" s="178"/>
      <c r="D696" s="178"/>
      <c r="E696" s="178"/>
    </row>
    <row r="697">
      <c r="A697" s="178"/>
      <c r="B697" s="178"/>
      <c r="C697" s="178"/>
      <c r="D697" s="178"/>
      <c r="E697" s="178"/>
    </row>
    <row r="698">
      <c r="A698" s="178"/>
      <c r="B698" s="178"/>
      <c r="C698" s="178"/>
      <c r="D698" s="178"/>
      <c r="E698" s="178"/>
    </row>
    <row r="699">
      <c r="A699" s="178"/>
      <c r="B699" s="178"/>
      <c r="C699" s="178"/>
      <c r="D699" s="178"/>
      <c r="E699" s="178"/>
    </row>
    <row r="700">
      <c r="A700" s="178"/>
      <c r="B700" s="178"/>
      <c r="C700" s="178"/>
      <c r="D700" s="178"/>
      <c r="E700" s="178"/>
    </row>
    <row r="701">
      <c r="A701" s="178"/>
      <c r="B701" s="178"/>
      <c r="C701" s="178"/>
      <c r="D701" s="178"/>
      <c r="E701" s="178"/>
    </row>
    <row r="702">
      <c r="A702" s="178"/>
      <c r="B702" s="178"/>
      <c r="C702" s="178"/>
      <c r="D702" s="178"/>
      <c r="E702" s="178"/>
    </row>
    <row r="703">
      <c r="A703" s="178"/>
      <c r="B703" s="178"/>
      <c r="C703" s="178"/>
      <c r="D703" s="178"/>
      <c r="E703" s="178"/>
    </row>
    <row r="704">
      <c r="A704" s="178"/>
      <c r="B704" s="178"/>
      <c r="C704" s="178"/>
      <c r="D704" s="178"/>
      <c r="E704" s="178"/>
    </row>
    <row r="705">
      <c r="A705" s="178"/>
      <c r="B705" s="178"/>
      <c r="C705" s="178"/>
      <c r="D705" s="178"/>
      <c r="E705" s="178"/>
    </row>
    <row r="706">
      <c r="A706" s="178"/>
      <c r="B706" s="178"/>
      <c r="C706" s="178"/>
      <c r="D706" s="178"/>
      <c r="E706" s="178"/>
    </row>
    <row r="707">
      <c r="A707" s="178"/>
      <c r="B707" s="178"/>
      <c r="C707" s="178"/>
      <c r="D707" s="178"/>
      <c r="E707" s="178"/>
    </row>
    <row r="708">
      <c r="A708" s="178"/>
      <c r="B708" s="178"/>
      <c r="C708" s="178"/>
      <c r="D708" s="178"/>
      <c r="E708" s="178"/>
    </row>
    <row r="709">
      <c r="A709" s="178"/>
      <c r="B709" s="178"/>
      <c r="C709" s="178"/>
      <c r="D709" s="178"/>
      <c r="E709" s="178"/>
    </row>
    <row r="710">
      <c r="A710" s="178"/>
      <c r="B710" s="178"/>
      <c r="C710" s="178"/>
      <c r="D710" s="178"/>
      <c r="E710" s="178"/>
    </row>
    <row r="711">
      <c r="A711" s="178"/>
      <c r="B711" s="178"/>
      <c r="C711" s="178"/>
      <c r="D711" s="178"/>
      <c r="E711" s="178"/>
    </row>
    <row r="712">
      <c r="A712" s="178"/>
      <c r="B712" s="178"/>
      <c r="C712" s="178"/>
      <c r="D712" s="178"/>
      <c r="E712" s="178"/>
    </row>
    <row r="713">
      <c r="A713" s="178"/>
      <c r="B713" s="178"/>
      <c r="C713" s="178"/>
      <c r="D713" s="178"/>
      <c r="E713" s="178"/>
    </row>
    <row r="714">
      <c r="A714" s="178"/>
      <c r="B714" s="178"/>
      <c r="C714" s="178"/>
      <c r="D714" s="178"/>
      <c r="E714" s="178"/>
    </row>
    <row r="715">
      <c r="A715" s="178"/>
      <c r="B715" s="178"/>
      <c r="C715" s="178"/>
      <c r="D715" s="178"/>
      <c r="E715" s="178"/>
    </row>
    <row r="716">
      <c r="A716" s="178"/>
      <c r="B716" s="178"/>
      <c r="C716" s="178"/>
      <c r="D716" s="178"/>
      <c r="E716" s="178"/>
    </row>
    <row r="717">
      <c r="A717" s="178"/>
      <c r="B717" s="178"/>
      <c r="C717" s="178"/>
      <c r="D717" s="178"/>
      <c r="E717" s="178"/>
    </row>
    <row r="718">
      <c r="A718" s="178"/>
      <c r="B718" s="178"/>
      <c r="C718" s="178"/>
      <c r="D718" s="178"/>
      <c r="E718" s="178"/>
    </row>
    <row r="719">
      <c r="A719" s="178"/>
      <c r="B719" s="178"/>
      <c r="C719" s="178"/>
      <c r="D719" s="178"/>
      <c r="E719" s="178"/>
    </row>
    <row r="720">
      <c r="A720" s="178"/>
      <c r="B720" s="178"/>
      <c r="C720" s="178"/>
      <c r="D720" s="178"/>
      <c r="E720" s="178"/>
    </row>
    <row r="721">
      <c r="A721" s="178"/>
      <c r="B721" s="178"/>
      <c r="C721" s="178"/>
      <c r="D721" s="178"/>
      <c r="E721" s="178"/>
    </row>
    <row r="722">
      <c r="A722" s="178"/>
      <c r="B722" s="178"/>
      <c r="C722" s="178"/>
      <c r="D722" s="178"/>
      <c r="E722" s="178"/>
    </row>
    <row r="723">
      <c r="A723" s="178"/>
      <c r="B723" s="178"/>
      <c r="C723" s="178"/>
      <c r="D723" s="178"/>
      <c r="E723" s="178"/>
    </row>
    <row r="724">
      <c r="A724" s="178"/>
      <c r="B724" s="178"/>
      <c r="C724" s="178"/>
      <c r="D724" s="178"/>
      <c r="E724" s="178"/>
    </row>
    <row r="725">
      <c r="A725" s="178"/>
      <c r="B725" s="178"/>
      <c r="C725" s="178"/>
      <c r="D725" s="178"/>
      <c r="E725" s="178"/>
    </row>
    <row r="726">
      <c r="A726" s="178"/>
      <c r="B726" s="178"/>
      <c r="C726" s="178"/>
      <c r="D726" s="178"/>
      <c r="E726" s="178"/>
    </row>
    <row r="727">
      <c r="A727" s="178"/>
      <c r="B727" s="178"/>
      <c r="C727" s="178"/>
      <c r="D727" s="178"/>
      <c r="E727" s="178"/>
    </row>
    <row r="728">
      <c r="A728" s="178"/>
      <c r="B728" s="178"/>
      <c r="C728" s="178"/>
      <c r="D728" s="178"/>
      <c r="E728" s="178"/>
    </row>
    <row r="729">
      <c r="A729" s="178"/>
      <c r="B729" s="178"/>
      <c r="C729" s="178"/>
      <c r="D729" s="178"/>
      <c r="E729" s="178"/>
    </row>
    <row r="730">
      <c r="A730" s="178"/>
      <c r="B730" s="178"/>
      <c r="C730" s="178"/>
      <c r="D730" s="178"/>
      <c r="E730" s="178"/>
    </row>
    <row r="731">
      <c r="A731" s="178"/>
      <c r="B731" s="178"/>
      <c r="C731" s="178"/>
      <c r="D731" s="178"/>
      <c r="E731" s="178"/>
    </row>
    <row r="732">
      <c r="A732" s="178"/>
      <c r="B732" s="178"/>
      <c r="C732" s="178"/>
      <c r="D732" s="178"/>
      <c r="E732" s="178"/>
    </row>
    <row r="733">
      <c r="A733" s="178"/>
      <c r="B733" s="178"/>
      <c r="C733" s="178"/>
      <c r="D733" s="178"/>
      <c r="E733" s="178"/>
    </row>
    <row r="734">
      <c r="A734" s="178"/>
      <c r="B734" s="178"/>
      <c r="C734" s="178"/>
      <c r="D734" s="178"/>
      <c r="E734" s="178"/>
    </row>
    <row r="735">
      <c r="A735" s="178"/>
      <c r="B735" s="178"/>
      <c r="C735" s="178"/>
      <c r="D735" s="178"/>
      <c r="E735" s="178"/>
    </row>
    <row r="736">
      <c r="A736" s="178"/>
      <c r="B736" s="178"/>
      <c r="C736" s="178"/>
      <c r="D736" s="178"/>
      <c r="E736" s="178"/>
    </row>
    <row r="737">
      <c r="A737" s="178"/>
      <c r="B737" s="178"/>
      <c r="C737" s="178"/>
      <c r="D737" s="178"/>
      <c r="E737" s="178"/>
    </row>
    <row r="738">
      <c r="A738" s="178"/>
      <c r="B738" s="178"/>
      <c r="C738" s="178"/>
      <c r="D738" s="178"/>
      <c r="E738" s="178"/>
    </row>
    <row r="739">
      <c r="A739" s="178"/>
      <c r="B739" s="178"/>
      <c r="C739" s="178"/>
      <c r="D739" s="178"/>
      <c r="E739" s="178"/>
    </row>
    <row r="740">
      <c r="A740" s="178"/>
      <c r="B740" s="178"/>
      <c r="C740" s="178"/>
      <c r="D740" s="178"/>
      <c r="E740" s="178"/>
    </row>
    <row r="741">
      <c r="A741" s="178"/>
      <c r="B741" s="178"/>
      <c r="C741" s="178"/>
      <c r="D741" s="178"/>
      <c r="E741" s="178"/>
    </row>
    <row r="742">
      <c r="A742" s="178"/>
      <c r="B742" s="178"/>
      <c r="C742" s="178"/>
      <c r="D742" s="178"/>
      <c r="E742" s="178"/>
    </row>
    <row r="743">
      <c r="A743" s="178"/>
      <c r="B743" s="178"/>
      <c r="C743" s="178"/>
      <c r="D743" s="178"/>
      <c r="E743" s="178"/>
    </row>
    <row r="744">
      <c r="A744" s="178"/>
      <c r="B744" s="178"/>
      <c r="C744" s="178"/>
      <c r="D744" s="178"/>
      <c r="E744" s="178"/>
    </row>
    <row r="745">
      <c r="A745" s="178"/>
      <c r="B745" s="178"/>
      <c r="C745" s="178"/>
      <c r="D745" s="178"/>
      <c r="E745" s="178"/>
    </row>
    <row r="746">
      <c r="A746" s="178"/>
      <c r="B746" s="178"/>
      <c r="C746" s="178"/>
      <c r="D746" s="178"/>
      <c r="E746" s="178"/>
    </row>
    <row r="747">
      <c r="A747" s="178"/>
      <c r="B747" s="178"/>
      <c r="C747" s="178"/>
      <c r="D747" s="178"/>
      <c r="E747" s="178"/>
    </row>
    <row r="748">
      <c r="A748" s="178"/>
      <c r="B748" s="178"/>
      <c r="C748" s="178"/>
      <c r="D748" s="178"/>
      <c r="E748" s="178"/>
    </row>
    <row r="749">
      <c r="A749" s="178"/>
      <c r="B749" s="178"/>
      <c r="C749" s="178"/>
      <c r="D749" s="178"/>
      <c r="E749" s="178"/>
    </row>
    <row r="750">
      <c r="A750" s="178"/>
      <c r="B750" s="178"/>
      <c r="C750" s="178"/>
      <c r="D750" s="178"/>
      <c r="E750" s="178"/>
    </row>
    <row r="751">
      <c r="A751" s="178"/>
      <c r="B751" s="178"/>
      <c r="C751" s="178"/>
      <c r="D751" s="178"/>
      <c r="E751" s="178"/>
    </row>
    <row r="752">
      <c r="A752" s="178"/>
      <c r="B752" s="178"/>
      <c r="C752" s="178"/>
      <c r="D752" s="178"/>
      <c r="E752" s="178"/>
    </row>
    <row r="753">
      <c r="A753" s="178"/>
      <c r="B753" s="178"/>
      <c r="C753" s="178"/>
      <c r="D753" s="178"/>
      <c r="E753" s="178"/>
    </row>
    <row r="754">
      <c r="A754" s="178"/>
      <c r="B754" s="178"/>
      <c r="C754" s="178"/>
      <c r="D754" s="178"/>
      <c r="E754" s="178"/>
    </row>
    <row r="755">
      <c r="A755" s="178"/>
      <c r="B755" s="178"/>
      <c r="C755" s="178"/>
      <c r="D755" s="178"/>
      <c r="E755" s="178"/>
    </row>
    <row r="756">
      <c r="A756" s="178"/>
      <c r="B756" s="178"/>
      <c r="C756" s="178"/>
      <c r="D756" s="178"/>
      <c r="E756" s="178"/>
    </row>
    <row r="757">
      <c r="A757" s="178"/>
      <c r="B757" s="178"/>
      <c r="C757" s="178"/>
      <c r="D757" s="178"/>
      <c r="E757" s="178"/>
    </row>
    <row r="758">
      <c r="A758" s="178"/>
      <c r="B758" s="178"/>
      <c r="C758" s="178"/>
      <c r="D758" s="178"/>
      <c r="E758" s="178"/>
    </row>
    <row r="759">
      <c r="A759" s="178"/>
      <c r="B759" s="178"/>
      <c r="C759" s="178"/>
      <c r="D759" s="178"/>
      <c r="E759" s="178"/>
    </row>
    <row r="760">
      <c r="A760" s="178"/>
      <c r="B760" s="178"/>
      <c r="C760" s="178"/>
      <c r="D760" s="178"/>
      <c r="E760" s="178"/>
    </row>
    <row r="761">
      <c r="A761" s="178"/>
      <c r="B761" s="178"/>
      <c r="C761" s="178"/>
      <c r="D761" s="178"/>
      <c r="E761" s="178"/>
    </row>
    <row r="762">
      <c r="A762" s="178"/>
      <c r="B762" s="178"/>
      <c r="C762" s="178"/>
      <c r="D762" s="178"/>
      <c r="E762" s="178"/>
    </row>
    <row r="763">
      <c r="A763" s="178"/>
      <c r="B763" s="178"/>
      <c r="C763" s="178"/>
      <c r="D763" s="178"/>
      <c r="E763" s="178"/>
    </row>
    <row r="764">
      <c r="A764" s="178"/>
      <c r="B764" s="178"/>
      <c r="C764" s="178"/>
      <c r="D764" s="178"/>
      <c r="E764" s="178"/>
    </row>
    <row r="765">
      <c r="A765" s="178"/>
      <c r="B765" s="178"/>
      <c r="C765" s="178"/>
      <c r="D765" s="178"/>
      <c r="E765" s="178"/>
    </row>
    <row r="766">
      <c r="A766" s="178"/>
      <c r="B766" s="178"/>
      <c r="C766" s="178"/>
      <c r="D766" s="178"/>
      <c r="E766" s="178"/>
    </row>
    <row r="767">
      <c r="A767" s="178"/>
      <c r="B767" s="178"/>
      <c r="C767" s="178"/>
      <c r="D767" s="178"/>
      <c r="E767" s="178"/>
    </row>
    <row r="768">
      <c r="A768" s="178"/>
      <c r="B768" s="178"/>
      <c r="C768" s="178"/>
      <c r="D768" s="178"/>
      <c r="E768" s="178"/>
    </row>
    <row r="769">
      <c r="A769" s="178"/>
      <c r="B769" s="178"/>
      <c r="C769" s="178"/>
      <c r="D769" s="178"/>
      <c r="E769" s="178"/>
    </row>
    <row r="770">
      <c r="A770" s="178"/>
      <c r="B770" s="178"/>
      <c r="C770" s="178"/>
      <c r="D770" s="178"/>
      <c r="E770" s="178"/>
    </row>
    <row r="771">
      <c r="A771" s="178"/>
      <c r="B771" s="178"/>
      <c r="C771" s="178"/>
      <c r="D771" s="178"/>
      <c r="E771" s="178"/>
    </row>
    <row r="772">
      <c r="A772" s="178"/>
      <c r="B772" s="178"/>
      <c r="C772" s="178"/>
      <c r="D772" s="178"/>
      <c r="E772" s="178"/>
    </row>
    <row r="773">
      <c r="A773" s="178"/>
      <c r="B773" s="178"/>
      <c r="C773" s="178"/>
      <c r="D773" s="178"/>
      <c r="E773" s="178"/>
    </row>
    <row r="774">
      <c r="A774" s="178"/>
      <c r="B774" s="178"/>
      <c r="C774" s="178"/>
      <c r="D774" s="178"/>
      <c r="E774" s="178"/>
    </row>
    <row r="775">
      <c r="A775" s="178"/>
      <c r="B775" s="178"/>
      <c r="C775" s="178"/>
      <c r="D775" s="178"/>
      <c r="E775" s="178"/>
    </row>
    <row r="776">
      <c r="A776" s="178"/>
      <c r="B776" s="178"/>
      <c r="C776" s="178"/>
      <c r="D776" s="178"/>
      <c r="E776" s="178"/>
    </row>
    <row r="777">
      <c r="A777" s="178"/>
      <c r="B777" s="178"/>
      <c r="C777" s="178"/>
      <c r="D777" s="178"/>
      <c r="E777" s="178"/>
    </row>
    <row r="778">
      <c r="A778" s="178"/>
      <c r="B778" s="178"/>
      <c r="C778" s="178"/>
      <c r="D778" s="178"/>
      <c r="E778" s="178"/>
    </row>
    <row r="779">
      <c r="A779" s="178"/>
      <c r="B779" s="178"/>
      <c r="C779" s="178"/>
      <c r="D779" s="178"/>
      <c r="E779" s="178"/>
    </row>
    <row r="780">
      <c r="A780" s="178"/>
      <c r="B780" s="178"/>
      <c r="C780" s="178"/>
      <c r="D780" s="178"/>
      <c r="E780" s="178"/>
    </row>
    <row r="781">
      <c r="A781" s="178"/>
      <c r="B781" s="178"/>
      <c r="C781" s="178"/>
      <c r="D781" s="178"/>
      <c r="E781" s="178"/>
    </row>
    <row r="782">
      <c r="A782" s="178"/>
      <c r="B782" s="178"/>
      <c r="C782" s="178"/>
      <c r="D782" s="178"/>
      <c r="E782" s="178"/>
    </row>
    <row r="783">
      <c r="A783" s="178"/>
      <c r="B783" s="178"/>
      <c r="C783" s="178"/>
      <c r="D783" s="178"/>
      <c r="E783" s="178"/>
    </row>
    <row r="784">
      <c r="A784" s="178"/>
      <c r="B784" s="178"/>
      <c r="C784" s="178"/>
      <c r="D784" s="178"/>
      <c r="E784" s="178"/>
    </row>
    <row r="785">
      <c r="A785" s="178"/>
      <c r="B785" s="178"/>
      <c r="C785" s="178"/>
      <c r="D785" s="178"/>
      <c r="E785" s="178"/>
    </row>
    <row r="786">
      <c r="A786" s="178"/>
      <c r="B786" s="178"/>
      <c r="C786" s="178"/>
      <c r="D786" s="178"/>
      <c r="E786" s="178"/>
    </row>
    <row r="787">
      <c r="A787" s="178"/>
      <c r="B787" s="178"/>
      <c r="C787" s="178"/>
      <c r="D787" s="178"/>
      <c r="E787" s="178"/>
    </row>
    <row r="788">
      <c r="A788" s="178"/>
      <c r="B788" s="178"/>
      <c r="C788" s="178"/>
      <c r="D788" s="178"/>
      <c r="E788" s="178"/>
    </row>
    <row r="789">
      <c r="A789" s="178"/>
      <c r="B789" s="178"/>
      <c r="C789" s="178"/>
      <c r="D789" s="178"/>
      <c r="E789" s="178"/>
    </row>
    <row r="790">
      <c r="A790" s="178"/>
      <c r="B790" s="178"/>
      <c r="C790" s="178"/>
      <c r="D790" s="178"/>
      <c r="E790" s="178"/>
    </row>
    <row r="791">
      <c r="A791" s="178"/>
      <c r="B791" s="178"/>
      <c r="C791" s="178"/>
      <c r="D791" s="178"/>
      <c r="E791" s="178"/>
    </row>
    <row r="792">
      <c r="A792" s="178"/>
      <c r="B792" s="178"/>
      <c r="C792" s="178"/>
      <c r="D792" s="178"/>
      <c r="E792" s="178"/>
    </row>
    <row r="793">
      <c r="A793" s="178"/>
      <c r="B793" s="178"/>
      <c r="C793" s="178"/>
      <c r="D793" s="178"/>
      <c r="E793" s="178"/>
    </row>
    <row r="794">
      <c r="A794" s="178"/>
      <c r="B794" s="178"/>
      <c r="C794" s="178"/>
      <c r="D794" s="178"/>
      <c r="E794" s="178"/>
    </row>
    <row r="795">
      <c r="A795" s="178"/>
      <c r="B795" s="178"/>
      <c r="C795" s="178"/>
      <c r="D795" s="178"/>
      <c r="E795" s="178"/>
    </row>
    <row r="796">
      <c r="A796" s="178"/>
      <c r="B796" s="178"/>
      <c r="C796" s="178"/>
      <c r="D796" s="178"/>
      <c r="E796" s="178"/>
    </row>
    <row r="797">
      <c r="A797" s="178"/>
      <c r="B797" s="178"/>
      <c r="C797" s="178"/>
      <c r="D797" s="178"/>
      <c r="E797" s="178"/>
    </row>
    <row r="798">
      <c r="A798" s="178"/>
      <c r="B798" s="178"/>
      <c r="C798" s="178"/>
      <c r="D798" s="178"/>
      <c r="E798" s="178"/>
    </row>
    <row r="799">
      <c r="A799" s="178"/>
      <c r="B799" s="178"/>
      <c r="C799" s="178"/>
      <c r="D799" s="178"/>
      <c r="E799" s="178"/>
    </row>
    <row r="800">
      <c r="A800" s="178"/>
      <c r="B800" s="178"/>
      <c r="C800" s="178"/>
      <c r="D800" s="178"/>
      <c r="E800" s="178"/>
    </row>
    <row r="801">
      <c r="A801" s="178"/>
      <c r="B801" s="178"/>
      <c r="C801" s="178"/>
      <c r="D801" s="178"/>
      <c r="E801" s="178"/>
    </row>
    <row r="802">
      <c r="A802" s="178"/>
      <c r="B802" s="178"/>
      <c r="C802" s="178"/>
      <c r="D802" s="178"/>
      <c r="E802" s="178"/>
    </row>
    <row r="803">
      <c r="A803" s="178"/>
      <c r="B803" s="178"/>
      <c r="C803" s="178"/>
      <c r="D803" s="178"/>
      <c r="E803" s="178"/>
    </row>
    <row r="804">
      <c r="A804" s="178"/>
      <c r="B804" s="178"/>
      <c r="C804" s="178"/>
      <c r="D804" s="178"/>
      <c r="E804" s="178"/>
    </row>
    <row r="805">
      <c r="A805" s="178"/>
      <c r="B805" s="178"/>
      <c r="C805" s="178"/>
      <c r="D805" s="178"/>
      <c r="E805" s="178"/>
    </row>
    <row r="806">
      <c r="A806" s="178"/>
      <c r="B806" s="178"/>
      <c r="C806" s="178"/>
      <c r="D806" s="178"/>
      <c r="E806" s="178"/>
    </row>
    <row r="807">
      <c r="A807" s="178"/>
      <c r="B807" s="178"/>
      <c r="C807" s="178"/>
      <c r="D807" s="178"/>
      <c r="E807" s="178"/>
    </row>
    <row r="808">
      <c r="A808" s="178"/>
      <c r="B808" s="178"/>
      <c r="C808" s="178"/>
      <c r="D808" s="178"/>
      <c r="E808" s="178"/>
    </row>
    <row r="809">
      <c r="A809" s="178"/>
      <c r="B809" s="178"/>
      <c r="C809" s="178"/>
      <c r="D809" s="178"/>
      <c r="E809" s="178"/>
    </row>
    <row r="810">
      <c r="A810" s="178"/>
      <c r="B810" s="178"/>
      <c r="C810" s="178"/>
      <c r="D810" s="178"/>
      <c r="E810" s="178"/>
    </row>
    <row r="811">
      <c r="A811" s="178"/>
      <c r="B811" s="178"/>
      <c r="C811" s="178"/>
      <c r="D811" s="178"/>
      <c r="E811" s="178"/>
    </row>
    <row r="812">
      <c r="A812" s="178"/>
      <c r="B812" s="178"/>
      <c r="C812" s="178"/>
      <c r="D812" s="178"/>
      <c r="E812" s="178"/>
    </row>
    <row r="813">
      <c r="A813" s="178"/>
      <c r="B813" s="178"/>
      <c r="C813" s="178"/>
      <c r="D813" s="178"/>
      <c r="E813" s="178"/>
    </row>
    <row r="814">
      <c r="A814" s="178"/>
      <c r="B814" s="178"/>
      <c r="C814" s="178"/>
      <c r="D814" s="178"/>
      <c r="E814" s="178"/>
    </row>
    <row r="815">
      <c r="A815" s="178"/>
      <c r="B815" s="178"/>
      <c r="C815" s="178"/>
      <c r="D815" s="178"/>
      <c r="E815" s="178"/>
    </row>
    <row r="816">
      <c r="A816" s="178"/>
      <c r="B816" s="178"/>
      <c r="C816" s="178"/>
      <c r="D816" s="178"/>
      <c r="E816" s="178"/>
    </row>
    <row r="817">
      <c r="A817" s="178"/>
      <c r="B817" s="178"/>
      <c r="C817" s="178"/>
      <c r="D817" s="178"/>
      <c r="E817" s="178"/>
    </row>
    <row r="818">
      <c r="A818" s="178"/>
      <c r="B818" s="178"/>
      <c r="C818" s="178"/>
      <c r="D818" s="178"/>
      <c r="E818" s="178"/>
    </row>
    <row r="819">
      <c r="A819" s="178"/>
      <c r="B819" s="178"/>
      <c r="C819" s="178"/>
      <c r="D819" s="178"/>
      <c r="E819" s="178"/>
    </row>
    <row r="820">
      <c r="A820" s="178"/>
      <c r="B820" s="178"/>
      <c r="C820" s="178"/>
      <c r="D820" s="178"/>
      <c r="E820" s="178"/>
    </row>
    <row r="821">
      <c r="A821" s="178"/>
      <c r="B821" s="178"/>
      <c r="C821" s="178"/>
      <c r="D821" s="178"/>
      <c r="E821" s="178"/>
    </row>
    <row r="822">
      <c r="A822" s="178"/>
      <c r="B822" s="178"/>
      <c r="C822" s="178"/>
      <c r="D822" s="178"/>
      <c r="E822" s="178"/>
    </row>
    <row r="823">
      <c r="A823" s="178"/>
      <c r="B823" s="178"/>
      <c r="C823" s="178"/>
      <c r="D823" s="178"/>
      <c r="E823" s="178"/>
    </row>
    <row r="824">
      <c r="A824" s="178"/>
      <c r="B824" s="178"/>
      <c r="C824" s="178"/>
      <c r="D824" s="178"/>
      <c r="E824" s="178"/>
    </row>
    <row r="825">
      <c r="A825" s="178"/>
      <c r="B825" s="178"/>
      <c r="C825" s="178"/>
      <c r="D825" s="178"/>
      <c r="E825" s="178"/>
    </row>
    <row r="826">
      <c r="A826" s="178"/>
      <c r="B826" s="178"/>
      <c r="C826" s="178"/>
      <c r="D826" s="178"/>
      <c r="E826" s="178"/>
    </row>
    <row r="827">
      <c r="A827" s="178"/>
      <c r="B827" s="178"/>
      <c r="C827" s="178"/>
      <c r="D827" s="178"/>
      <c r="E827" s="178"/>
    </row>
    <row r="828">
      <c r="A828" s="178"/>
      <c r="B828" s="178"/>
      <c r="C828" s="178"/>
      <c r="D828" s="178"/>
      <c r="E828" s="178"/>
    </row>
    <row r="829">
      <c r="A829" s="178"/>
      <c r="B829" s="178"/>
      <c r="C829" s="178"/>
      <c r="D829" s="178"/>
      <c r="E829" s="178"/>
    </row>
    <row r="830">
      <c r="A830" s="178"/>
      <c r="B830" s="178"/>
      <c r="C830" s="178"/>
      <c r="D830" s="178"/>
      <c r="E830" s="178"/>
    </row>
    <row r="831">
      <c r="A831" s="178"/>
      <c r="B831" s="178"/>
      <c r="C831" s="178"/>
      <c r="D831" s="178"/>
      <c r="E831" s="178"/>
    </row>
    <row r="832">
      <c r="A832" s="178"/>
      <c r="B832" s="178"/>
      <c r="C832" s="178"/>
      <c r="D832" s="178"/>
      <c r="E832" s="178"/>
    </row>
    <row r="833">
      <c r="A833" s="178"/>
      <c r="B833" s="178"/>
      <c r="C833" s="178"/>
      <c r="D833" s="178"/>
      <c r="E833" s="178"/>
    </row>
    <row r="834">
      <c r="A834" s="178"/>
      <c r="B834" s="178"/>
      <c r="C834" s="178"/>
      <c r="D834" s="178"/>
      <c r="E834" s="178"/>
    </row>
    <row r="835">
      <c r="A835" s="178"/>
      <c r="B835" s="178"/>
      <c r="C835" s="178"/>
      <c r="D835" s="178"/>
      <c r="E835" s="178"/>
    </row>
    <row r="836">
      <c r="A836" s="178"/>
      <c r="B836" s="178"/>
      <c r="C836" s="178"/>
      <c r="D836" s="178"/>
      <c r="E836" s="178"/>
    </row>
    <row r="837">
      <c r="A837" s="178"/>
      <c r="B837" s="178"/>
      <c r="C837" s="178"/>
      <c r="D837" s="178"/>
      <c r="E837" s="178"/>
    </row>
    <row r="838">
      <c r="A838" s="178"/>
      <c r="B838" s="178"/>
      <c r="C838" s="178"/>
      <c r="D838" s="178"/>
      <c r="E838" s="178"/>
    </row>
    <row r="839">
      <c r="A839" s="178"/>
      <c r="B839" s="178"/>
      <c r="C839" s="178"/>
      <c r="D839" s="178"/>
      <c r="E839" s="178"/>
    </row>
    <row r="840">
      <c r="A840" s="178"/>
      <c r="B840" s="178"/>
      <c r="C840" s="178"/>
      <c r="D840" s="178"/>
      <c r="E840" s="178"/>
    </row>
    <row r="841">
      <c r="A841" s="178"/>
      <c r="B841" s="178"/>
      <c r="C841" s="178"/>
      <c r="D841" s="178"/>
      <c r="E841" s="178"/>
    </row>
    <row r="842">
      <c r="A842" s="178"/>
      <c r="B842" s="178"/>
      <c r="C842" s="178"/>
      <c r="D842" s="178"/>
      <c r="E842" s="178"/>
    </row>
    <row r="843">
      <c r="A843" s="178"/>
      <c r="B843" s="178"/>
      <c r="C843" s="178"/>
      <c r="D843" s="178"/>
      <c r="E843" s="178"/>
    </row>
    <row r="844">
      <c r="A844" s="178"/>
      <c r="B844" s="178"/>
      <c r="C844" s="178"/>
      <c r="D844" s="178"/>
      <c r="E844" s="178"/>
    </row>
    <row r="845">
      <c r="A845" s="178"/>
      <c r="B845" s="178"/>
      <c r="C845" s="178"/>
      <c r="D845" s="178"/>
      <c r="E845" s="178"/>
    </row>
    <row r="846">
      <c r="A846" s="178"/>
      <c r="B846" s="178"/>
      <c r="C846" s="178"/>
      <c r="D846" s="178"/>
      <c r="E846" s="178"/>
    </row>
    <row r="847">
      <c r="A847" s="178"/>
      <c r="B847" s="178"/>
      <c r="C847" s="178"/>
      <c r="D847" s="178"/>
      <c r="E847" s="178"/>
    </row>
    <row r="848">
      <c r="A848" s="178"/>
      <c r="B848" s="178"/>
      <c r="C848" s="178"/>
      <c r="D848" s="178"/>
      <c r="E848" s="178"/>
    </row>
    <row r="849">
      <c r="A849" s="178"/>
      <c r="B849" s="178"/>
      <c r="C849" s="178"/>
      <c r="D849" s="178"/>
      <c r="E849" s="178"/>
    </row>
    <row r="850">
      <c r="A850" s="178"/>
      <c r="B850" s="178"/>
      <c r="C850" s="178"/>
      <c r="D850" s="178"/>
      <c r="E850" s="178"/>
    </row>
    <row r="851">
      <c r="A851" s="178"/>
      <c r="B851" s="178"/>
      <c r="C851" s="178"/>
      <c r="D851" s="178"/>
      <c r="E851" s="178"/>
    </row>
    <row r="852">
      <c r="A852" s="178"/>
      <c r="B852" s="178"/>
      <c r="C852" s="178"/>
      <c r="D852" s="178"/>
      <c r="E852" s="178"/>
    </row>
    <row r="853">
      <c r="A853" s="178"/>
      <c r="B853" s="178"/>
      <c r="C853" s="178"/>
      <c r="D853" s="178"/>
      <c r="E853" s="178"/>
    </row>
    <row r="854">
      <c r="A854" s="178"/>
      <c r="B854" s="178"/>
      <c r="C854" s="178"/>
      <c r="D854" s="178"/>
      <c r="E854" s="178"/>
    </row>
    <row r="855">
      <c r="A855" s="178"/>
      <c r="B855" s="178"/>
      <c r="C855" s="178"/>
      <c r="D855" s="178"/>
      <c r="E855" s="178"/>
    </row>
    <row r="856">
      <c r="A856" s="178"/>
      <c r="B856" s="178"/>
      <c r="C856" s="178"/>
      <c r="D856" s="178"/>
      <c r="E856" s="178"/>
    </row>
    <row r="857">
      <c r="A857" s="178"/>
      <c r="B857" s="178"/>
      <c r="C857" s="178"/>
      <c r="D857" s="178"/>
      <c r="E857" s="178"/>
    </row>
    <row r="858">
      <c r="A858" s="178"/>
      <c r="B858" s="178"/>
      <c r="C858" s="178"/>
      <c r="D858" s="178"/>
      <c r="E858" s="178"/>
    </row>
    <row r="859">
      <c r="A859" s="178"/>
      <c r="B859" s="178"/>
      <c r="C859" s="178"/>
      <c r="D859" s="178"/>
      <c r="E859" s="178"/>
    </row>
    <row r="860">
      <c r="A860" s="178"/>
      <c r="B860" s="178"/>
      <c r="C860" s="178"/>
      <c r="D860" s="178"/>
      <c r="E860" s="178"/>
    </row>
    <row r="861">
      <c r="A861" s="178"/>
      <c r="B861" s="178"/>
      <c r="C861" s="178"/>
      <c r="D861" s="178"/>
      <c r="E861" s="178"/>
    </row>
    <row r="862">
      <c r="A862" s="178"/>
      <c r="B862" s="178"/>
      <c r="C862" s="178"/>
      <c r="D862" s="178"/>
      <c r="E862" s="178"/>
    </row>
    <row r="863">
      <c r="A863" s="178"/>
      <c r="B863" s="178"/>
      <c r="C863" s="178"/>
      <c r="D863" s="178"/>
      <c r="E863" s="178"/>
    </row>
    <row r="864">
      <c r="A864" s="178"/>
      <c r="B864" s="178"/>
      <c r="C864" s="178"/>
      <c r="D864" s="178"/>
      <c r="E864" s="178"/>
    </row>
    <row r="865">
      <c r="A865" s="178"/>
      <c r="B865" s="178"/>
      <c r="C865" s="178"/>
      <c r="D865" s="178"/>
      <c r="E865" s="178"/>
    </row>
    <row r="866">
      <c r="A866" s="178"/>
      <c r="B866" s="178"/>
      <c r="C866" s="178"/>
      <c r="D866" s="178"/>
      <c r="E866" s="178"/>
    </row>
    <row r="867">
      <c r="A867" s="178"/>
      <c r="B867" s="178"/>
      <c r="C867" s="178"/>
      <c r="D867" s="178"/>
      <c r="E867" s="178"/>
    </row>
    <row r="868">
      <c r="A868" s="178"/>
      <c r="B868" s="178"/>
      <c r="C868" s="178"/>
      <c r="D868" s="178"/>
      <c r="E868" s="178"/>
    </row>
    <row r="869">
      <c r="A869" s="178"/>
      <c r="B869" s="178"/>
      <c r="C869" s="178"/>
      <c r="D869" s="178"/>
      <c r="E869" s="178"/>
    </row>
    <row r="870">
      <c r="A870" s="178"/>
      <c r="B870" s="178"/>
      <c r="C870" s="178"/>
      <c r="D870" s="178"/>
      <c r="E870" s="178"/>
    </row>
    <row r="871">
      <c r="A871" s="178"/>
      <c r="B871" s="178"/>
      <c r="C871" s="178"/>
      <c r="D871" s="178"/>
      <c r="E871" s="178"/>
    </row>
    <row r="872">
      <c r="A872" s="178"/>
      <c r="B872" s="178"/>
      <c r="C872" s="178"/>
      <c r="D872" s="178"/>
      <c r="E872" s="178"/>
    </row>
    <row r="873">
      <c r="A873" s="178"/>
      <c r="B873" s="178"/>
      <c r="C873" s="178"/>
      <c r="D873" s="178"/>
      <c r="E873" s="178"/>
    </row>
    <row r="874">
      <c r="A874" s="178"/>
      <c r="B874" s="178"/>
      <c r="C874" s="178"/>
      <c r="D874" s="178"/>
      <c r="E874" s="178"/>
    </row>
    <row r="875">
      <c r="A875" s="178"/>
      <c r="B875" s="178"/>
      <c r="C875" s="178"/>
      <c r="D875" s="178"/>
      <c r="E875" s="178"/>
    </row>
    <row r="876">
      <c r="A876" s="178"/>
      <c r="B876" s="178"/>
      <c r="C876" s="178"/>
      <c r="D876" s="178"/>
      <c r="E876" s="178"/>
    </row>
    <row r="877">
      <c r="A877" s="178"/>
      <c r="B877" s="178"/>
      <c r="C877" s="178"/>
      <c r="D877" s="178"/>
      <c r="E877" s="178"/>
    </row>
    <row r="878">
      <c r="A878" s="178"/>
      <c r="B878" s="178"/>
      <c r="C878" s="178"/>
      <c r="D878" s="178"/>
      <c r="E878" s="178"/>
    </row>
    <row r="879">
      <c r="A879" s="178"/>
      <c r="B879" s="178"/>
      <c r="C879" s="178"/>
      <c r="D879" s="178"/>
      <c r="E879" s="178"/>
    </row>
    <row r="880">
      <c r="A880" s="178"/>
      <c r="B880" s="178"/>
      <c r="C880" s="178"/>
      <c r="D880" s="178"/>
      <c r="E880" s="178"/>
    </row>
    <row r="881">
      <c r="A881" s="178"/>
      <c r="B881" s="178"/>
      <c r="C881" s="178"/>
      <c r="D881" s="178"/>
      <c r="E881" s="178"/>
    </row>
    <row r="882">
      <c r="A882" s="178"/>
      <c r="B882" s="178"/>
      <c r="C882" s="178"/>
      <c r="D882" s="178"/>
      <c r="E882" s="178"/>
    </row>
    <row r="883">
      <c r="A883" s="178"/>
      <c r="B883" s="178"/>
      <c r="C883" s="178"/>
      <c r="D883" s="178"/>
      <c r="E883" s="178"/>
    </row>
    <row r="884">
      <c r="A884" s="178"/>
      <c r="B884" s="178"/>
      <c r="C884" s="178"/>
      <c r="D884" s="178"/>
      <c r="E884" s="178"/>
    </row>
    <row r="885">
      <c r="A885" s="178"/>
      <c r="B885" s="178"/>
      <c r="C885" s="178"/>
      <c r="D885" s="178"/>
      <c r="E885" s="178"/>
    </row>
    <row r="886">
      <c r="A886" s="178"/>
      <c r="B886" s="178"/>
      <c r="C886" s="178"/>
      <c r="D886" s="178"/>
      <c r="E886" s="178"/>
    </row>
    <row r="887">
      <c r="A887" s="178"/>
      <c r="B887" s="178"/>
      <c r="C887" s="178"/>
      <c r="D887" s="178"/>
      <c r="E887" s="178"/>
    </row>
    <row r="888">
      <c r="A888" s="178"/>
      <c r="B888" s="178"/>
      <c r="C888" s="178"/>
      <c r="D888" s="178"/>
      <c r="E888" s="178"/>
    </row>
    <row r="889">
      <c r="A889" s="178"/>
      <c r="B889" s="178"/>
      <c r="C889" s="178"/>
      <c r="D889" s="178"/>
      <c r="E889" s="178"/>
    </row>
    <row r="890">
      <c r="A890" s="178"/>
      <c r="B890" s="178"/>
      <c r="C890" s="178"/>
      <c r="D890" s="178"/>
      <c r="E890" s="178"/>
    </row>
    <row r="891">
      <c r="A891" s="178"/>
      <c r="B891" s="178"/>
      <c r="C891" s="178"/>
      <c r="D891" s="178"/>
      <c r="E891" s="178"/>
    </row>
    <row r="892">
      <c r="A892" s="178"/>
      <c r="B892" s="178"/>
      <c r="C892" s="178"/>
      <c r="D892" s="178"/>
      <c r="E892" s="178"/>
    </row>
    <row r="893">
      <c r="A893" s="178"/>
      <c r="B893" s="178"/>
      <c r="C893" s="178"/>
      <c r="D893" s="178"/>
      <c r="E893" s="178"/>
    </row>
    <row r="894">
      <c r="A894" s="178"/>
      <c r="B894" s="178"/>
      <c r="C894" s="178"/>
      <c r="D894" s="178"/>
      <c r="E894" s="178"/>
    </row>
    <row r="895">
      <c r="A895" s="178"/>
      <c r="B895" s="178"/>
      <c r="C895" s="178"/>
      <c r="D895" s="178"/>
      <c r="E895" s="178"/>
    </row>
    <row r="896">
      <c r="A896" s="178"/>
      <c r="B896" s="178"/>
      <c r="C896" s="178"/>
      <c r="D896" s="178"/>
      <c r="E896" s="178"/>
    </row>
    <row r="897">
      <c r="A897" s="178"/>
      <c r="B897" s="178"/>
      <c r="C897" s="178"/>
      <c r="D897" s="178"/>
      <c r="E897" s="178"/>
    </row>
    <row r="898">
      <c r="A898" s="178"/>
      <c r="B898" s="178"/>
      <c r="C898" s="178"/>
      <c r="D898" s="178"/>
      <c r="E898" s="178"/>
    </row>
    <row r="899">
      <c r="A899" s="178"/>
      <c r="B899" s="178"/>
      <c r="C899" s="178"/>
      <c r="D899" s="178"/>
      <c r="E899" s="178"/>
    </row>
    <row r="900">
      <c r="A900" s="178"/>
      <c r="B900" s="178"/>
      <c r="C900" s="178"/>
      <c r="D900" s="178"/>
      <c r="E900" s="178"/>
    </row>
    <row r="901">
      <c r="A901" s="178"/>
      <c r="B901" s="178"/>
      <c r="C901" s="178"/>
      <c r="D901" s="178"/>
      <c r="E901" s="178"/>
    </row>
    <row r="902">
      <c r="A902" s="178"/>
      <c r="B902" s="178"/>
      <c r="C902" s="178"/>
      <c r="D902" s="178"/>
      <c r="E902" s="178"/>
    </row>
    <row r="903">
      <c r="A903" s="178"/>
      <c r="B903" s="178"/>
      <c r="C903" s="178"/>
      <c r="D903" s="178"/>
      <c r="E903" s="178"/>
    </row>
    <row r="904">
      <c r="A904" s="178"/>
      <c r="B904" s="178"/>
      <c r="C904" s="178"/>
      <c r="D904" s="178"/>
      <c r="E904" s="178"/>
    </row>
    <row r="905">
      <c r="A905" s="178"/>
      <c r="B905" s="178"/>
      <c r="C905" s="178"/>
      <c r="D905" s="178"/>
      <c r="E905" s="178"/>
    </row>
    <row r="906">
      <c r="A906" s="178"/>
      <c r="B906" s="178"/>
      <c r="C906" s="178"/>
      <c r="D906" s="178"/>
      <c r="E906" s="178"/>
    </row>
    <row r="907">
      <c r="A907" s="178"/>
      <c r="B907" s="178"/>
      <c r="C907" s="178"/>
      <c r="D907" s="178"/>
      <c r="E907" s="178"/>
    </row>
    <row r="908">
      <c r="A908" s="178"/>
      <c r="B908" s="178"/>
      <c r="C908" s="178"/>
      <c r="D908" s="178"/>
      <c r="E908" s="178"/>
    </row>
    <row r="909">
      <c r="A909" s="178"/>
      <c r="B909" s="178"/>
      <c r="C909" s="178"/>
      <c r="D909" s="178"/>
      <c r="E909" s="178"/>
    </row>
    <row r="910">
      <c r="A910" s="178"/>
      <c r="B910" s="178"/>
      <c r="C910" s="178"/>
      <c r="D910" s="178"/>
      <c r="E910" s="178"/>
    </row>
    <row r="911">
      <c r="A911" s="178"/>
      <c r="B911" s="178"/>
      <c r="C911" s="178"/>
      <c r="D911" s="178"/>
      <c r="E911" s="178"/>
    </row>
    <row r="912">
      <c r="A912" s="178"/>
      <c r="B912" s="178"/>
      <c r="C912" s="178"/>
      <c r="D912" s="178"/>
      <c r="E912" s="178"/>
    </row>
    <row r="913">
      <c r="A913" s="178"/>
      <c r="B913" s="178"/>
      <c r="C913" s="178"/>
      <c r="D913" s="178"/>
      <c r="E913" s="178"/>
    </row>
    <row r="914">
      <c r="A914" s="178"/>
      <c r="B914" s="178"/>
      <c r="C914" s="178"/>
      <c r="D914" s="178"/>
      <c r="E914" s="178"/>
    </row>
    <row r="915">
      <c r="A915" s="178"/>
      <c r="B915" s="178"/>
      <c r="C915" s="178"/>
      <c r="D915" s="178"/>
      <c r="E915" s="178"/>
    </row>
    <row r="916">
      <c r="A916" s="178"/>
      <c r="B916" s="178"/>
      <c r="C916" s="178"/>
      <c r="D916" s="178"/>
      <c r="E916" s="178"/>
    </row>
    <row r="917">
      <c r="A917" s="178"/>
      <c r="B917" s="178"/>
      <c r="C917" s="178"/>
      <c r="D917" s="178"/>
      <c r="E917" s="178"/>
    </row>
    <row r="918">
      <c r="A918" s="178"/>
      <c r="B918" s="178"/>
      <c r="C918" s="178"/>
      <c r="D918" s="178"/>
      <c r="E918" s="178"/>
    </row>
    <row r="919">
      <c r="A919" s="178"/>
      <c r="B919" s="178"/>
      <c r="C919" s="178"/>
      <c r="D919" s="178"/>
      <c r="E919" s="178"/>
    </row>
    <row r="920">
      <c r="A920" s="178"/>
      <c r="B920" s="178"/>
      <c r="C920" s="178"/>
      <c r="D920" s="178"/>
      <c r="E920" s="178"/>
    </row>
    <row r="921">
      <c r="A921" s="178"/>
      <c r="B921" s="178"/>
      <c r="C921" s="178"/>
      <c r="D921" s="178"/>
      <c r="E921" s="178"/>
    </row>
    <row r="922">
      <c r="A922" s="178"/>
      <c r="B922" s="178"/>
      <c r="C922" s="178"/>
      <c r="D922" s="178"/>
      <c r="E922" s="178"/>
    </row>
    <row r="923">
      <c r="A923" s="178"/>
      <c r="B923" s="178"/>
      <c r="C923" s="178"/>
      <c r="D923" s="178"/>
      <c r="E923" s="178"/>
    </row>
    <row r="924">
      <c r="A924" s="178"/>
      <c r="B924" s="178"/>
      <c r="C924" s="178"/>
      <c r="D924" s="178"/>
      <c r="E924" s="178"/>
    </row>
    <row r="925">
      <c r="A925" s="178"/>
      <c r="B925" s="178"/>
      <c r="C925" s="178"/>
      <c r="D925" s="178"/>
      <c r="E925" s="178"/>
    </row>
    <row r="926">
      <c r="A926" s="178"/>
      <c r="B926" s="178"/>
      <c r="C926" s="178"/>
      <c r="D926" s="178"/>
      <c r="E926" s="178"/>
    </row>
    <row r="927">
      <c r="A927" s="178"/>
      <c r="B927" s="178"/>
      <c r="C927" s="178"/>
      <c r="D927" s="178"/>
      <c r="E927" s="178"/>
    </row>
    <row r="928">
      <c r="A928" s="178"/>
      <c r="B928" s="178"/>
      <c r="C928" s="178"/>
      <c r="D928" s="178"/>
      <c r="E928" s="178"/>
    </row>
    <row r="929">
      <c r="A929" s="178"/>
      <c r="B929" s="178"/>
      <c r="C929" s="178"/>
      <c r="D929" s="178"/>
      <c r="E929" s="178"/>
    </row>
    <row r="930">
      <c r="A930" s="178"/>
      <c r="B930" s="178"/>
      <c r="C930" s="178"/>
      <c r="D930" s="178"/>
      <c r="E930" s="178"/>
    </row>
    <row r="931">
      <c r="A931" s="178"/>
      <c r="B931" s="178"/>
      <c r="C931" s="178"/>
      <c r="D931" s="178"/>
      <c r="E931" s="178"/>
    </row>
    <row r="932">
      <c r="A932" s="178"/>
      <c r="B932" s="178"/>
      <c r="C932" s="178"/>
      <c r="D932" s="178"/>
      <c r="E932" s="178"/>
    </row>
    <row r="933">
      <c r="A933" s="178"/>
      <c r="B933" s="178"/>
      <c r="C933" s="178"/>
      <c r="D933" s="178"/>
      <c r="E933" s="178"/>
    </row>
    <row r="934">
      <c r="A934" s="178"/>
      <c r="B934" s="178"/>
      <c r="C934" s="178"/>
      <c r="D934" s="178"/>
      <c r="E934" s="178"/>
    </row>
    <row r="935">
      <c r="A935" s="178"/>
      <c r="B935" s="178"/>
      <c r="C935" s="178"/>
      <c r="D935" s="178"/>
      <c r="E935" s="178"/>
    </row>
    <row r="936">
      <c r="A936" s="178"/>
      <c r="B936" s="178"/>
      <c r="C936" s="178"/>
      <c r="D936" s="178"/>
      <c r="E936" s="178"/>
    </row>
    <row r="937">
      <c r="A937" s="178"/>
      <c r="B937" s="178"/>
      <c r="C937" s="178"/>
      <c r="D937" s="178"/>
      <c r="E937" s="178"/>
    </row>
    <row r="938">
      <c r="A938" s="178"/>
      <c r="B938" s="178"/>
      <c r="C938" s="178"/>
      <c r="D938" s="178"/>
      <c r="E938" s="178"/>
    </row>
    <row r="939">
      <c r="A939" s="178"/>
      <c r="B939" s="178"/>
      <c r="C939" s="178"/>
      <c r="D939" s="178"/>
      <c r="E939" s="178"/>
    </row>
    <row r="940">
      <c r="A940" s="178"/>
      <c r="B940" s="178"/>
      <c r="C940" s="178"/>
      <c r="D940" s="178"/>
      <c r="E940" s="178"/>
    </row>
    <row r="941">
      <c r="A941" s="178"/>
      <c r="B941" s="178"/>
      <c r="C941" s="178"/>
      <c r="D941" s="178"/>
      <c r="E941" s="178"/>
    </row>
    <row r="942">
      <c r="A942" s="178"/>
      <c r="B942" s="178"/>
      <c r="C942" s="178"/>
      <c r="D942" s="178"/>
      <c r="E942" s="178"/>
    </row>
    <row r="943">
      <c r="A943" s="178"/>
      <c r="B943" s="178"/>
      <c r="C943" s="178"/>
      <c r="D943" s="178"/>
      <c r="E943" s="178"/>
    </row>
    <row r="944">
      <c r="A944" s="178"/>
      <c r="B944" s="178"/>
      <c r="C944" s="178"/>
      <c r="D944" s="178"/>
      <c r="E944" s="178"/>
    </row>
    <row r="945">
      <c r="A945" s="178"/>
      <c r="B945" s="178"/>
      <c r="C945" s="178"/>
      <c r="D945" s="178"/>
      <c r="E945" s="178"/>
    </row>
    <row r="946">
      <c r="A946" s="178"/>
      <c r="B946" s="178"/>
      <c r="C946" s="178"/>
      <c r="D946" s="178"/>
      <c r="E946" s="178"/>
    </row>
    <row r="947">
      <c r="A947" s="178"/>
      <c r="B947" s="178"/>
      <c r="C947" s="178"/>
      <c r="D947" s="178"/>
      <c r="E947" s="178"/>
    </row>
    <row r="948">
      <c r="A948" s="178"/>
      <c r="B948" s="178"/>
      <c r="C948" s="178"/>
      <c r="D948" s="178"/>
      <c r="E948" s="178"/>
    </row>
    <row r="949">
      <c r="A949" s="178"/>
      <c r="B949" s="178"/>
      <c r="C949" s="178"/>
      <c r="D949" s="178"/>
      <c r="E949" s="178"/>
    </row>
    <row r="950">
      <c r="A950" s="178"/>
      <c r="B950" s="178"/>
      <c r="C950" s="178"/>
      <c r="D950" s="178"/>
      <c r="E950" s="178"/>
    </row>
    <row r="951">
      <c r="A951" s="178"/>
      <c r="B951" s="178"/>
      <c r="C951" s="178"/>
      <c r="D951" s="178"/>
      <c r="E951" s="178"/>
    </row>
    <row r="952">
      <c r="A952" s="178"/>
      <c r="B952" s="178"/>
      <c r="C952" s="178"/>
      <c r="D952" s="178"/>
      <c r="E952" s="178"/>
    </row>
    <row r="953">
      <c r="A953" s="178"/>
      <c r="B953" s="178"/>
      <c r="C953" s="178"/>
      <c r="D953" s="178"/>
      <c r="E953" s="178"/>
    </row>
    <row r="954">
      <c r="A954" s="178"/>
      <c r="B954" s="178"/>
      <c r="C954" s="178"/>
      <c r="D954" s="178"/>
      <c r="E954" s="178"/>
    </row>
    <row r="955">
      <c r="A955" s="178"/>
      <c r="B955" s="178"/>
      <c r="C955" s="178"/>
      <c r="D955" s="178"/>
      <c r="E955" s="178"/>
    </row>
    <row r="956">
      <c r="A956" s="178"/>
      <c r="B956" s="178"/>
      <c r="C956" s="178"/>
      <c r="D956" s="178"/>
      <c r="E956" s="178"/>
    </row>
    <row r="957">
      <c r="A957" s="178"/>
      <c r="B957" s="178"/>
      <c r="C957" s="178"/>
      <c r="D957" s="178"/>
      <c r="E957" s="178"/>
    </row>
    <row r="958">
      <c r="A958" s="178"/>
      <c r="B958" s="178"/>
      <c r="C958" s="178"/>
      <c r="D958" s="178"/>
      <c r="E958" s="178"/>
    </row>
    <row r="959">
      <c r="A959" s="178"/>
      <c r="B959" s="178"/>
      <c r="C959" s="178"/>
      <c r="D959" s="178"/>
      <c r="E959" s="178"/>
    </row>
    <row r="960">
      <c r="A960" s="178"/>
      <c r="B960" s="178"/>
      <c r="C960" s="178"/>
      <c r="D960" s="178"/>
      <c r="E960" s="178"/>
    </row>
    <row r="961">
      <c r="A961" s="178"/>
      <c r="B961" s="178"/>
      <c r="C961" s="178"/>
      <c r="D961" s="178"/>
      <c r="E961" s="178"/>
    </row>
    <row r="962">
      <c r="A962" s="178"/>
      <c r="B962" s="178"/>
      <c r="C962" s="178"/>
      <c r="D962" s="178"/>
      <c r="E962" s="178"/>
    </row>
    <row r="963">
      <c r="A963" s="178"/>
      <c r="B963" s="178"/>
      <c r="C963" s="178"/>
      <c r="D963" s="178"/>
      <c r="E963" s="178"/>
    </row>
    <row r="964">
      <c r="A964" s="178"/>
      <c r="B964" s="178"/>
      <c r="C964" s="178"/>
      <c r="D964" s="178"/>
      <c r="E964" s="178"/>
    </row>
    <row r="965">
      <c r="A965" s="178"/>
      <c r="B965" s="178"/>
      <c r="C965" s="178"/>
      <c r="D965" s="178"/>
      <c r="E965" s="178"/>
    </row>
    <row r="966">
      <c r="A966" s="178"/>
      <c r="B966" s="178"/>
      <c r="C966" s="178"/>
      <c r="D966" s="178"/>
      <c r="E966" s="178"/>
    </row>
    <row r="967">
      <c r="A967" s="178"/>
      <c r="B967" s="178"/>
      <c r="C967" s="178"/>
      <c r="D967" s="178"/>
      <c r="E967" s="178"/>
    </row>
    <row r="968">
      <c r="A968" s="178"/>
      <c r="B968" s="178"/>
      <c r="C968" s="178"/>
      <c r="D968" s="178"/>
      <c r="E968" s="178"/>
    </row>
    <row r="969">
      <c r="A969" s="178"/>
      <c r="B969" s="178"/>
      <c r="C969" s="178"/>
      <c r="D969" s="178"/>
      <c r="E969" s="178"/>
    </row>
    <row r="970">
      <c r="A970" s="178"/>
      <c r="B970" s="178"/>
      <c r="C970" s="178"/>
      <c r="D970" s="178"/>
      <c r="E970" s="178"/>
    </row>
    <row r="971">
      <c r="A971" s="178"/>
      <c r="B971" s="178"/>
      <c r="C971" s="178"/>
      <c r="D971" s="178"/>
      <c r="E971" s="178"/>
    </row>
    <row r="972">
      <c r="A972" s="178"/>
      <c r="B972" s="178"/>
      <c r="C972" s="178"/>
      <c r="D972" s="178"/>
      <c r="E972" s="178"/>
    </row>
    <row r="973">
      <c r="A973" s="178"/>
      <c r="B973" s="178"/>
      <c r="C973" s="178"/>
      <c r="D973" s="178"/>
      <c r="E973" s="178"/>
    </row>
    <row r="974">
      <c r="A974" s="178"/>
      <c r="B974" s="178"/>
      <c r="C974" s="178"/>
      <c r="D974" s="178"/>
      <c r="E974" s="178"/>
    </row>
    <row r="975">
      <c r="A975" s="178"/>
      <c r="B975" s="178"/>
      <c r="C975" s="178"/>
      <c r="D975" s="178"/>
      <c r="E975" s="178"/>
    </row>
    <row r="976">
      <c r="A976" s="178"/>
      <c r="B976" s="178"/>
      <c r="C976" s="178"/>
      <c r="D976" s="178"/>
      <c r="E976" s="178"/>
    </row>
    <row r="977">
      <c r="A977" s="178"/>
      <c r="B977" s="178"/>
      <c r="C977" s="178"/>
      <c r="D977" s="178"/>
      <c r="E977" s="178"/>
    </row>
    <row r="978">
      <c r="A978" s="178"/>
      <c r="B978" s="178"/>
      <c r="C978" s="178"/>
      <c r="D978" s="178"/>
      <c r="E978" s="178"/>
    </row>
    <row r="979">
      <c r="A979" s="178"/>
      <c r="B979" s="178"/>
      <c r="C979" s="178"/>
      <c r="D979" s="178"/>
      <c r="E979" s="178"/>
    </row>
    <row r="980">
      <c r="A980" s="178"/>
      <c r="B980" s="178"/>
      <c r="C980" s="178"/>
      <c r="D980" s="178"/>
      <c r="E980" s="178"/>
    </row>
    <row r="981">
      <c r="A981" s="178"/>
      <c r="B981" s="178"/>
      <c r="C981" s="178"/>
      <c r="D981" s="178"/>
      <c r="E981" s="178"/>
    </row>
    <row r="982">
      <c r="A982" s="178"/>
      <c r="B982" s="178"/>
      <c r="C982" s="178"/>
      <c r="D982" s="178"/>
      <c r="E982" s="178"/>
    </row>
    <row r="983">
      <c r="A983" s="178"/>
      <c r="B983" s="178"/>
      <c r="C983" s="178"/>
      <c r="D983" s="178"/>
      <c r="E983" s="178"/>
    </row>
    <row r="984">
      <c r="A984" s="178"/>
      <c r="B984" s="178"/>
      <c r="C984" s="178"/>
      <c r="D984" s="178"/>
      <c r="E984" s="178"/>
    </row>
    <row r="985">
      <c r="A985" s="178"/>
      <c r="B985" s="178"/>
      <c r="C985" s="178"/>
      <c r="D985" s="178"/>
      <c r="E985" s="178"/>
    </row>
    <row r="986">
      <c r="A986" s="178"/>
      <c r="B986" s="178"/>
      <c r="C986" s="178"/>
      <c r="D986" s="178"/>
      <c r="E986" s="178"/>
    </row>
    <row r="987">
      <c r="A987" s="178"/>
      <c r="B987" s="178"/>
      <c r="C987" s="178"/>
      <c r="D987" s="178"/>
      <c r="E987" s="178"/>
    </row>
    <row r="988">
      <c r="A988" s="178"/>
      <c r="B988" s="178"/>
      <c r="C988" s="178"/>
      <c r="D988" s="178"/>
      <c r="E988" s="178"/>
    </row>
    <row r="989">
      <c r="A989" s="178"/>
      <c r="B989" s="178"/>
      <c r="C989" s="178"/>
      <c r="D989" s="178"/>
      <c r="E989" s="178"/>
    </row>
    <row r="990">
      <c r="A990" s="178"/>
      <c r="B990" s="178"/>
      <c r="C990" s="178"/>
      <c r="D990" s="178"/>
      <c r="E990" s="178"/>
    </row>
    <row r="991">
      <c r="A991" s="178"/>
      <c r="B991" s="178"/>
      <c r="C991" s="178"/>
      <c r="D991" s="178"/>
      <c r="E991" s="178"/>
    </row>
    <row r="992">
      <c r="A992" s="178"/>
      <c r="B992" s="178"/>
      <c r="C992" s="178"/>
      <c r="D992" s="178"/>
      <c r="E992" s="178"/>
    </row>
    <row r="993">
      <c r="A993" s="178"/>
      <c r="B993" s="178"/>
      <c r="C993" s="178"/>
      <c r="D993" s="178"/>
      <c r="E993" s="178"/>
    </row>
    <row r="994">
      <c r="A994" s="178"/>
      <c r="B994" s="178"/>
      <c r="C994" s="178"/>
      <c r="D994" s="178"/>
      <c r="E994" s="178"/>
    </row>
    <row r="995">
      <c r="A995" s="178"/>
      <c r="B995" s="178"/>
      <c r="C995" s="178"/>
      <c r="D995" s="178"/>
      <c r="E995" s="178"/>
    </row>
    <row r="996">
      <c r="A996" s="178"/>
      <c r="B996" s="178"/>
      <c r="C996" s="178"/>
      <c r="D996" s="178"/>
      <c r="E996" s="178"/>
    </row>
    <row r="997">
      <c r="A997" s="178"/>
      <c r="B997" s="178"/>
      <c r="C997" s="178"/>
      <c r="D997" s="178"/>
      <c r="E997" s="178"/>
    </row>
    <row r="998">
      <c r="A998" s="178"/>
      <c r="B998" s="178"/>
      <c r="C998" s="178"/>
      <c r="D998" s="178"/>
      <c r="E998" s="178"/>
    </row>
    <row r="999">
      <c r="A999" s="178"/>
      <c r="B999" s="178"/>
      <c r="C999" s="178"/>
      <c r="D999" s="178"/>
      <c r="E999" s="178"/>
    </row>
    <row r="1000">
      <c r="A1000" s="178"/>
      <c r="B1000" s="178"/>
      <c r="C1000" s="178"/>
      <c r="D1000" s="178"/>
      <c r="E1000" s="178"/>
    </row>
  </sheetData>
  <mergeCells count="1">
    <mergeCell ref="G8:H8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40.63"/>
    <col customWidth="1" min="3" max="3" width="12.0"/>
    <col customWidth="1" min="4" max="4" width="36.0"/>
    <col customWidth="1" min="5" max="5" width="10.38"/>
    <col customWidth="1" min="7" max="7" width="76.8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178"/>
      <c r="G1" s="80" t="s">
        <v>5</v>
      </c>
      <c r="H1" s="81">
        <f>SUM(H2,H3)</f>
        <v>23</v>
      </c>
    </row>
    <row r="2">
      <c r="A2" s="182" t="s">
        <v>743</v>
      </c>
      <c r="B2" s="167" t="s">
        <v>264</v>
      </c>
      <c r="C2" s="167" t="s">
        <v>224</v>
      </c>
      <c r="D2" s="167">
        <v>98.0</v>
      </c>
      <c r="E2" s="168">
        <v>0.25</v>
      </c>
      <c r="F2" s="178"/>
      <c r="G2" s="82" t="s">
        <v>9</v>
      </c>
      <c r="H2" s="82">
        <v>15.0</v>
      </c>
    </row>
    <row r="3">
      <c r="A3" s="169" t="s">
        <v>744</v>
      </c>
      <c r="B3" s="167" t="s">
        <v>7</v>
      </c>
      <c r="C3" s="167" t="s">
        <v>8</v>
      </c>
      <c r="D3" s="170">
        <v>29.0</v>
      </c>
      <c r="E3" s="168">
        <v>0.25</v>
      </c>
      <c r="F3" s="178"/>
      <c r="G3" s="82" t="s">
        <v>13</v>
      </c>
      <c r="H3" s="82">
        <v>8.0</v>
      </c>
    </row>
    <row r="4">
      <c r="A4" s="149" t="s">
        <v>745</v>
      </c>
      <c r="B4" s="73" t="s">
        <v>15</v>
      </c>
      <c r="C4" s="73" t="s">
        <v>16</v>
      </c>
      <c r="D4" s="73">
        <v>20.0</v>
      </c>
      <c r="E4" s="168">
        <v>0.25</v>
      </c>
      <c r="F4" s="178"/>
      <c r="G4" s="93"/>
      <c r="H4" s="93"/>
    </row>
    <row r="5">
      <c r="A5" s="149" t="s">
        <v>746</v>
      </c>
      <c r="B5" s="73" t="s">
        <v>22</v>
      </c>
      <c r="C5" s="73" t="s">
        <v>23</v>
      </c>
      <c r="D5" s="73">
        <v>27.0</v>
      </c>
      <c r="E5" s="168">
        <v>0.25</v>
      </c>
      <c r="F5" s="178"/>
      <c r="G5" s="93"/>
      <c r="H5" s="93"/>
    </row>
    <row r="6">
      <c r="A6" s="149" t="s">
        <v>747</v>
      </c>
      <c r="B6" s="73" t="s">
        <v>18</v>
      </c>
      <c r="C6" s="73" t="s">
        <v>19</v>
      </c>
      <c r="D6" s="73">
        <v>16.0</v>
      </c>
      <c r="E6" s="168">
        <v>0.25</v>
      </c>
      <c r="F6" s="178"/>
      <c r="G6" s="178"/>
      <c r="H6" s="178"/>
    </row>
    <row r="7">
      <c r="A7" s="149" t="s">
        <v>748</v>
      </c>
      <c r="B7" s="73" t="s">
        <v>27</v>
      </c>
      <c r="C7" s="73" t="s">
        <v>49</v>
      </c>
      <c r="D7" s="73">
        <v>15.0</v>
      </c>
      <c r="E7" s="168">
        <v>0.375</v>
      </c>
      <c r="F7" s="178"/>
      <c r="G7" s="178"/>
      <c r="H7" s="178"/>
    </row>
    <row r="8">
      <c r="A8" s="149" t="s">
        <v>749</v>
      </c>
      <c r="B8" s="73" t="s">
        <v>31</v>
      </c>
      <c r="C8" s="73" t="s">
        <v>32</v>
      </c>
      <c r="D8" s="73">
        <v>33.0</v>
      </c>
      <c r="E8" s="168">
        <v>0.25</v>
      </c>
      <c r="F8" s="178"/>
      <c r="G8" s="183"/>
    </row>
    <row r="9">
      <c r="A9" s="149" t="s">
        <v>750</v>
      </c>
      <c r="B9" s="73" t="s">
        <v>34</v>
      </c>
      <c r="C9" s="73" t="s">
        <v>35</v>
      </c>
      <c r="D9" s="73">
        <v>6.0</v>
      </c>
      <c r="E9" s="150">
        <v>0.2708333333333333</v>
      </c>
      <c r="F9" s="178"/>
      <c r="G9" s="82" t="s">
        <v>20</v>
      </c>
      <c r="H9" s="82">
        <v>10.0</v>
      </c>
    </row>
    <row r="10">
      <c r="A10" s="149" t="s">
        <v>751</v>
      </c>
      <c r="B10" s="73" t="s">
        <v>752</v>
      </c>
      <c r="C10" s="73" t="s">
        <v>218</v>
      </c>
      <c r="D10" s="73">
        <v>110.0</v>
      </c>
      <c r="E10" s="150">
        <v>0.2708333333333333</v>
      </c>
      <c r="F10" s="178"/>
      <c r="G10" s="82" t="s">
        <v>753</v>
      </c>
      <c r="H10" s="82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149" t="s">
        <v>754</v>
      </c>
      <c r="B11" s="73" t="s">
        <v>318</v>
      </c>
      <c r="C11" s="73" t="s">
        <v>319</v>
      </c>
      <c r="D11" s="73" t="s">
        <v>167</v>
      </c>
      <c r="E11" s="150">
        <v>0.2708333333333333</v>
      </c>
      <c r="F11" s="178"/>
      <c r="G11" s="184" t="s">
        <v>653</v>
      </c>
      <c r="H11" s="178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149" t="s">
        <v>755</v>
      </c>
      <c r="B12" s="73" t="s">
        <v>37</v>
      </c>
      <c r="C12" s="73" t="s">
        <v>199</v>
      </c>
      <c r="D12" s="73" t="s">
        <v>167</v>
      </c>
      <c r="E12" s="150">
        <v>0.2916666666666667</v>
      </c>
      <c r="F12" s="178"/>
      <c r="G12" s="178"/>
      <c r="H12" s="178"/>
    </row>
    <row r="13">
      <c r="A13" s="149" t="s">
        <v>756</v>
      </c>
      <c r="B13" s="73" t="s">
        <v>752</v>
      </c>
      <c r="C13" s="73" t="s">
        <v>218</v>
      </c>
      <c r="D13" s="73">
        <v>47.0</v>
      </c>
      <c r="E13" s="150">
        <v>0.2916666666666667</v>
      </c>
      <c r="F13" s="178"/>
      <c r="G13" s="178"/>
      <c r="H13" s="178"/>
    </row>
    <row r="14">
      <c r="A14" s="149" t="s">
        <v>757</v>
      </c>
      <c r="B14" s="73" t="s">
        <v>264</v>
      </c>
      <c r="C14" s="73" t="s">
        <v>224</v>
      </c>
      <c r="D14" s="73" t="s">
        <v>167</v>
      </c>
      <c r="E14" s="150">
        <v>0.2916666666666667</v>
      </c>
      <c r="F14" s="178"/>
      <c r="G14" s="178"/>
      <c r="H14" s="178"/>
    </row>
    <row r="15">
      <c r="A15" s="149" t="s">
        <v>758</v>
      </c>
      <c r="B15" s="73" t="s">
        <v>563</v>
      </c>
      <c r="C15" s="73" t="s">
        <v>292</v>
      </c>
      <c r="D15" s="73">
        <v>114.0</v>
      </c>
      <c r="E15" s="150">
        <v>0.2916666666666667</v>
      </c>
      <c r="F15" s="178"/>
      <c r="G15" s="178"/>
      <c r="H15" s="178"/>
    </row>
    <row r="16">
      <c r="A16" s="149" t="s">
        <v>759</v>
      </c>
      <c r="B16" s="73" t="s">
        <v>563</v>
      </c>
      <c r="C16" s="73" t="s">
        <v>292</v>
      </c>
      <c r="D16" s="73">
        <v>102.0</v>
      </c>
      <c r="E16" s="150">
        <v>0.2916666666666667</v>
      </c>
      <c r="F16" s="178"/>
      <c r="G16" s="178"/>
      <c r="H16" s="178"/>
    </row>
    <row r="17">
      <c r="A17" s="170" t="s">
        <v>760</v>
      </c>
      <c r="B17" s="167" t="s">
        <v>84</v>
      </c>
      <c r="C17" s="167" t="s">
        <v>193</v>
      </c>
      <c r="D17" s="167">
        <v>96.0</v>
      </c>
      <c r="E17" s="181">
        <v>0.2916666666666667</v>
      </c>
      <c r="F17" s="178"/>
      <c r="G17" s="178"/>
      <c r="H17" s="178"/>
    </row>
    <row r="18">
      <c r="A18" s="185" t="s">
        <v>761</v>
      </c>
      <c r="B18" s="73" t="s">
        <v>752</v>
      </c>
      <c r="C18" s="73" t="s">
        <v>762</v>
      </c>
      <c r="D18" s="73">
        <v>87.0</v>
      </c>
      <c r="E18" s="150">
        <v>0.2916666666666667</v>
      </c>
      <c r="F18" s="178"/>
      <c r="G18" s="178"/>
      <c r="H18" s="178"/>
    </row>
    <row r="19">
      <c r="A19" s="169" t="s">
        <v>763</v>
      </c>
      <c r="B19" s="73" t="s">
        <v>48</v>
      </c>
      <c r="C19" s="73" t="s">
        <v>49</v>
      </c>
      <c r="D19" s="73">
        <v>17.0</v>
      </c>
      <c r="E19" s="150">
        <v>0.2916666666666667</v>
      </c>
      <c r="F19" s="178"/>
      <c r="G19" s="178"/>
      <c r="H19" s="178"/>
    </row>
    <row r="20">
      <c r="A20" s="169" t="s">
        <v>764</v>
      </c>
      <c r="B20" s="73" t="s">
        <v>51</v>
      </c>
      <c r="C20" s="73" t="s">
        <v>52</v>
      </c>
      <c r="D20" s="73">
        <v>25.0</v>
      </c>
      <c r="E20" s="150">
        <v>0.2916666666666667</v>
      </c>
      <c r="F20" s="178"/>
      <c r="G20" s="178"/>
      <c r="H20" s="178"/>
    </row>
    <row r="21">
      <c r="A21" s="169" t="s">
        <v>765</v>
      </c>
      <c r="B21" s="73" t="s">
        <v>61</v>
      </c>
      <c r="C21" s="73" t="s">
        <v>62</v>
      </c>
      <c r="D21" s="73" t="s">
        <v>25</v>
      </c>
      <c r="E21" s="150">
        <v>0.2916666666666667</v>
      </c>
      <c r="F21" s="178"/>
      <c r="G21" s="178"/>
      <c r="H21" s="178"/>
    </row>
    <row r="22">
      <c r="A22" s="146" t="s">
        <v>766</v>
      </c>
      <c r="B22" s="167" t="s">
        <v>84</v>
      </c>
      <c r="C22" s="167" t="s">
        <v>193</v>
      </c>
      <c r="D22" s="167" t="s">
        <v>167</v>
      </c>
      <c r="E22" s="181">
        <v>0.2916666666666667</v>
      </c>
      <c r="F22" s="178"/>
      <c r="G22" s="178"/>
      <c r="H22" s="178"/>
    </row>
    <row r="23">
      <c r="A23" s="169" t="s">
        <v>767</v>
      </c>
      <c r="B23" s="73" t="s">
        <v>54</v>
      </c>
      <c r="C23" s="73" t="s">
        <v>122</v>
      </c>
      <c r="D23" s="73">
        <v>38.0</v>
      </c>
      <c r="E23" s="150">
        <v>0.2916666666666667</v>
      </c>
      <c r="F23" s="178"/>
      <c r="G23" s="178"/>
      <c r="H23" s="178"/>
    </row>
    <row r="24">
      <c r="A24" s="169" t="s">
        <v>768</v>
      </c>
      <c r="B24" s="167" t="s">
        <v>118</v>
      </c>
      <c r="C24" s="167" t="s">
        <v>58</v>
      </c>
      <c r="D24" s="167" t="s">
        <v>25</v>
      </c>
      <c r="E24" s="181">
        <v>0.2916666666666667</v>
      </c>
      <c r="F24" s="178"/>
      <c r="G24" s="178"/>
      <c r="H24" s="178"/>
    </row>
    <row r="25">
      <c r="A25" s="149" t="s">
        <v>769</v>
      </c>
      <c r="B25" s="73" t="s">
        <v>118</v>
      </c>
      <c r="C25" s="73" t="s">
        <v>58</v>
      </c>
      <c r="D25" s="73" t="s">
        <v>25</v>
      </c>
      <c r="E25" s="150">
        <v>0.3125</v>
      </c>
      <c r="F25" s="178"/>
      <c r="G25" s="178"/>
      <c r="H25" s="178"/>
    </row>
    <row r="26">
      <c r="A26" s="149" t="s">
        <v>770</v>
      </c>
      <c r="B26" s="73" t="s">
        <v>68</v>
      </c>
      <c r="C26" s="73" t="s">
        <v>69</v>
      </c>
      <c r="D26" s="73">
        <v>32.0</v>
      </c>
      <c r="E26" s="150">
        <v>0.3125</v>
      </c>
      <c r="F26" s="178"/>
      <c r="G26" s="178"/>
      <c r="H26" s="178"/>
    </row>
    <row r="27">
      <c r="A27" s="169" t="s">
        <v>771</v>
      </c>
      <c r="B27" s="146" t="s">
        <v>71</v>
      </c>
      <c r="C27" s="146" t="s">
        <v>72</v>
      </c>
      <c r="D27" s="146">
        <v>44.0</v>
      </c>
      <c r="E27" s="150">
        <v>0.3125</v>
      </c>
      <c r="F27" s="178"/>
      <c r="G27" s="178"/>
      <c r="H27" s="178"/>
    </row>
    <row r="28">
      <c r="A28" s="169" t="s">
        <v>772</v>
      </c>
      <c r="B28" s="73" t="s">
        <v>75</v>
      </c>
      <c r="C28" s="73" t="s">
        <v>76</v>
      </c>
      <c r="D28" s="73">
        <v>49.0</v>
      </c>
      <c r="E28" s="150">
        <v>0.3125</v>
      </c>
      <c r="F28" s="178"/>
      <c r="G28" s="178"/>
      <c r="H28" s="178"/>
    </row>
    <row r="29">
      <c r="A29" s="169" t="s">
        <v>773</v>
      </c>
      <c r="B29" s="73" t="s">
        <v>399</v>
      </c>
      <c r="C29" s="73" t="s">
        <v>157</v>
      </c>
      <c r="D29" s="73" t="s">
        <v>25</v>
      </c>
      <c r="E29" s="150">
        <v>0.3125</v>
      </c>
      <c r="F29" s="178"/>
      <c r="G29" s="178"/>
      <c r="H29" s="178"/>
    </row>
    <row r="30">
      <c r="A30" s="169" t="s">
        <v>774</v>
      </c>
      <c r="B30" s="146" t="s">
        <v>78</v>
      </c>
      <c r="C30" s="146" t="s">
        <v>79</v>
      </c>
      <c r="D30" s="146" t="s">
        <v>25</v>
      </c>
      <c r="E30" s="150">
        <v>0.3125</v>
      </c>
      <c r="F30" s="178"/>
      <c r="G30" s="178"/>
      <c r="H30" s="178"/>
    </row>
    <row r="31">
      <c r="A31" s="169" t="s">
        <v>775</v>
      </c>
      <c r="B31" s="146" t="s">
        <v>81</v>
      </c>
      <c r="C31" s="146" t="s">
        <v>82</v>
      </c>
      <c r="D31" s="146">
        <v>49.0</v>
      </c>
      <c r="E31" s="150">
        <v>0.375</v>
      </c>
      <c r="F31" s="178"/>
      <c r="G31" s="178"/>
      <c r="H31" s="178"/>
    </row>
    <row r="32">
      <c r="A32" s="169" t="s">
        <v>776</v>
      </c>
      <c r="B32" s="146" t="s">
        <v>81</v>
      </c>
      <c r="C32" s="146" t="s">
        <v>82</v>
      </c>
      <c r="D32" s="146">
        <v>49.0</v>
      </c>
      <c r="E32" s="150">
        <v>0.4375</v>
      </c>
      <c r="F32" s="178"/>
      <c r="G32" s="178"/>
      <c r="H32" s="178"/>
    </row>
    <row r="33">
      <c r="A33" s="169" t="s">
        <v>777</v>
      </c>
      <c r="B33" s="167" t="s">
        <v>486</v>
      </c>
      <c r="C33" s="167" t="s">
        <v>462</v>
      </c>
      <c r="D33" s="167">
        <v>13.0</v>
      </c>
      <c r="E33" s="181">
        <v>0.6666666666666666</v>
      </c>
      <c r="F33" s="178"/>
      <c r="G33" s="178"/>
      <c r="H33" s="178"/>
    </row>
    <row r="34">
      <c r="A34" s="169" t="s">
        <v>778</v>
      </c>
      <c r="B34" s="167" t="s">
        <v>498</v>
      </c>
      <c r="C34" s="167" t="s">
        <v>211</v>
      </c>
      <c r="D34" s="167">
        <v>23.0</v>
      </c>
      <c r="E34" s="181">
        <v>0.3194444444444444</v>
      </c>
      <c r="F34" s="178"/>
      <c r="G34" s="178"/>
      <c r="H34" s="178"/>
    </row>
    <row r="35">
      <c r="A35" s="169" t="s">
        <v>779</v>
      </c>
      <c r="B35" s="167" t="s">
        <v>326</v>
      </c>
      <c r="C35" s="167" t="s">
        <v>289</v>
      </c>
      <c r="D35" s="167" t="s">
        <v>25</v>
      </c>
      <c r="E35" s="181">
        <v>0.375</v>
      </c>
      <c r="F35" s="178"/>
      <c r="G35" s="178"/>
      <c r="H35" s="178"/>
    </row>
    <row r="36">
      <c r="A36" s="169"/>
      <c r="B36" s="170"/>
      <c r="C36" s="170"/>
      <c r="D36" s="170"/>
      <c r="E36" s="186"/>
      <c r="F36" s="178"/>
      <c r="G36" s="178"/>
      <c r="H36" s="178"/>
    </row>
    <row r="37">
      <c r="A37" s="169"/>
      <c r="B37" s="170"/>
      <c r="C37" s="170"/>
      <c r="D37" s="170"/>
      <c r="E37" s="186"/>
      <c r="F37" s="178"/>
      <c r="G37" s="178"/>
      <c r="H37" s="178"/>
    </row>
    <row r="38">
      <c r="A38" s="170"/>
      <c r="B38" s="73"/>
      <c r="C38" s="73"/>
      <c r="D38" s="73"/>
      <c r="E38" s="186"/>
      <c r="F38" s="178"/>
      <c r="G38" s="178"/>
      <c r="H38" s="178"/>
    </row>
    <row r="39">
      <c r="A39" s="174"/>
      <c r="B39" s="110"/>
      <c r="C39" s="110"/>
      <c r="D39" s="110"/>
      <c r="E39" s="111"/>
    </row>
    <row r="40">
      <c r="A40" s="175"/>
      <c r="B40" s="110"/>
      <c r="C40" s="110"/>
      <c r="D40" s="110"/>
      <c r="E40" s="111"/>
    </row>
    <row r="41">
      <c r="A41" s="176"/>
      <c r="B41" s="110"/>
      <c r="C41" s="110"/>
      <c r="D41" s="110"/>
      <c r="E41" s="111"/>
    </row>
    <row r="42">
      <c r="A42" s="177"/>
      <c r="B42" s="110"/>
      <c r="C42" s="110"/>
      <c r="D42" s="110"/>
      <c r="E42" s="111"/>
    </row>
    <row r="43">
      <c r="A43" s="174"/>
      <c r="B43" s="110"/>
      <c r="C43" s="110"/>
      <c r="D43" s="110"/>
      <c r="E43" s="111"/>
    </row>
    <row r="44">
      <c r="A44" s="174"/>
      <c r="B44" s="110"/>
      <c r="C44" s="110"/>
      <c r="D44" s="110"/>
      <c r="E44" s="111"/>
    </row>
    <row r="45">
      <c r="A45" s="174"/>
      <c r="B45" s="110"/>
      <c r="C45" s="110"/>
      <c r="D45" s="110"/>
      <c r="E45" s="111"/>
    </row>
    <row r="46">
      <c r="A46" s="174"/>
      <c r="B46" s="110"/>
      <c r="C46" s="110"/>
      <c r="D46" s="110"/>
      <c r="E46" s="111"/>
    </row>
    <row r="47">
      <c r="A47" s="174"/>
      <c r="B47" s="110"/>
      <c r="C47" s="110"/>
      <c r="D47" s="110"/>
      <c r="E47" s="111"/>
    </row>
    <row r="48">
      <c r="A48" s="174"/>
      <c r="B48" s="110"/>
      <c r="C48" s="110"/>
      <c r="D48" s="110"/>
      <c r="E48" s="111"/>
    </row>
    <row r="49">
      <c r="A49" s="177"/>
      <c r="B49" s="110"/>
      <c r="C49" s="110"/>
      <c r="D49" s="110"/>
      <c r="E49" s="111"/>
    </row>
    <row r="50">
      <c r="A50" s="174"/>
      <c r="B50" s="110"/>
      <c r="C50" s="110"/>
      <c r="D50" s="110"/>
      <c r="E50" s="111"/>
    </row>
    <row r="51">
      <c r="A51" s="174"/>
      <c r="B51" s="110"/>
      <c r="C51" s="110"/>
      <c r="D51" s="110"/>
      <c r="E51" s="111"/>
    </row>
    <row r="52">
      <c r="A52" s="178"/>
      <c r="B52" s="178"/>
      <c r="C52" s="178"/>
      <c r="D52" s="178"/>
      <c r="E52" s="178"/>
    </row>
    <row r="53">
      <c r="A53" s="178"/>
      <c r="B53" s="178"/>
      <c r="C53" s="178"/>
      <c r="D53" s="178"/>
      <c r="E53" s="178"/>
    </row>
    <row r="54">
      <c r="A54" s="178"/>
      <c r="B54" s="178"/>
      <c r="C54" s="178"/>
      <c r="D54" s="178"/>
      <c r="E54" s="178"/>
    </row>
    <row r="55">
      <c r="A55" s="178"/>
      <c r="B55" s="178"/>
      <c r="C55" s="178"/>
      <c r="D55" s="178"/>
      <c r="E55" s="178"/>
    </row>
    <row r="56">
      <c r="A56" s="178"/>
      <c r="B56" s="178"/>
      <c r="C56" s="178"/>
      <c r="D56" s="178"/>
      <c r="E56" s="178"/>
    </row>
    <row r="57">
      <c r="A57" s="178"/>
      <c r="B57" s="178"/>
      <c r="C57" s="178"/>
      <c r="D57" s="178"/>
      <c r="E57" s="178"/>
    </row>
    <row r="58">
      <c r="A58" s="178"/>
      <c r="B58" s="178"/>
      <c r="C58" s="178"/>
      <c r="D58" s="178"/>
      <c r="E58" s="178"/>
    </row>
    <row r="59">
      <c r="A59" s="178"/>
      <c r="B59" s="178"/>
      <c r="C59" s="178"/>
      <c r="D59" s="178"/>
      <c r="E59" s="178"/>
    </row>
    <row r="60">
      <c r="A60" s="178"/>
      <c r="B60" s="178"/>
      <c r="C60" s="178"/>
      <c r="D60" s="178"/>
      <c r="E60" s="178"/>
    </row>
    <row r="61">
      <c r="A61" s="178"/>
      <c r="B61" s="178"/>
      <c r="C61" s="178"/>
      <c r="D61" s="178"/>
      <c r="E61" s="178"/>
    </row>
    <row r="62">
      <c r="A62" s="178"/>
      <c r="B62" s="178"/>
      <c r="C62" s="178"/>
      <c r="D62" s="178"/>
      <c r="E62" s="178"/>
    </row>
    <row r="63">
      <c r="A63" s="178"/>
      <c r="B63" s="178"/>
      <c r="C63" s="178"/>
      <c r="D63" s="178"/>
      <c r="E63" s="178"/>
    </row>
    <row r="64">
      <c r="A64" s="178"/>
      <c r="B64" s="178"/>
      <c r="C64" s="178"/>
      <c r="D64" s="178"/>
      <c r="E64" s="178"/>
    </row>
    <row r="65">
      <c r="A65" s="178"/>
      <c r="B65" s="178"/>
      <c r="C65" s="178"/>
      <c r="D65" s="178"/>
      <c r="E65" s="178"/>
    </row>
    <row r="66">
      <c r="A66" s="178"/>
      <c r="B66" s="178"/>
      <c r="C66" s="178"/>
      <c r="D66" s="178"/>
      <c r="E66" s="178"/>
    </row>
    <row r="67">
      <c r="A67" s="178"/>
      <c r="B67" s="178"/>
      <c r="C67" s="178"/>
      <c r="D67" s="178"/>
      <c r="E67" s="178"/>
    </row>
    <row r="68">
      <c r="A68" s="178"/>
      <c r="B68" s="178"/>
      <c r="C68" s="178"/>
      <c r="D68" s="178"/>
      <c r="E68" s="178"/>
    </row>
    <row r="69">
      <c r="A69" s="178"/>
      <c r="B69" s="178"/>
      <c r="C69" s="178"/>
      <c r="D69" s="178"/>
      <c r="E69" s="178"/>
    </row>
    <row r="70">
      <c r="A70" s="178"/>
      <c r="B70" s="178"/>
      <c r="C70" s="178"/>
      <c r="D70" s="178"/>
      <c r="E70" s="178"/>
    </row>
    <row r="71">
      <c r="A71" s="178"/>
      <c r="B71" s="178"/>
      <c r="C71" s="178"/>
      <c r="D71" s="178"/>
      <c r="E71" s="178"/>
    </row>
    <row r="72">
      <c r="A72" s="178"/>
      <c r="B72" s="178"/>
      <c r="C72" s="178"/>
      <c r="D72" s="178"/>
      <c r="E72" s="178"/>
    </row>
    <row r="73">
      <c r="A73" s="178"/>
      <c r="B73" s="178"/>
      <c r="C73" s="178"/>
      <c r="D73" s="178"/>
      <c r="E73" s="178"/>
    </row>
    <row r="74">
      <c r="A74" s="178"/>
      <c r="B74" s="178"/>
      <c r="C74" s="178"/>
      <c r="D74" s="178"/>
      <c r="E74" s="178"/>
    </row>
    <row r="75">
      <c r="A75" s="178"/>
      <c r="B75" s="178"/>
      <c r="C75" s="178"/>
      <c r="D75" s="178"/>
      <c r="E75" s="178"/>
    </row>
    <row r="76">
      <c r="A76" s="178"/>
      <c r="B76" s="178"/>
      <c r="C76" s="178"/>
      <c r="D76" s="178"/>
      <c r="E76" s="178"/>
    </row>
    <row r="77">
      <c r="A77" s="178"/>
      <c r="B77" s="178"/>
      <c r="C77" s="178"/>
      <c r="D77" s="178"/>
      <c r="E77" s="178"/>
    </row>
    <row r="78">
      <c r="A78" s="178"/>
      <c r="B78" s="178"/>
      <c r="C78" s="178"/>
      <c r="D78" s="178"/>
      <c r="E78" s="178"/>
    </row>
    <row r="79">
      <c r="A79" s="178"/>
      <c r="B79" s="178"/>
      <c r="C79" s="178"/>
      <c r="D79" s="178"/>
      <c r="E79" s="178"/>
    </row>
    <row r="80">
      <c r="A80" s="178"/>
      <c r="B80" s="178"/>
      <c r="C80" s="178"/>
      <c r="D80" s="178"/>
      <c r="E80" s="178"/>
    </row>
    <row r="81">
      <c r="A81" s="178"/>
      <c r="B81" s="178"/>
      <c r="C81" s="178"/>
      <c r="D81" s="178"/>
      <c r="E81" s="178"/>
    </row>
    <row r="82">
      <c r="A82" s="178"/>
      <c r="B82" s="178"/>
      <c r="C82" s="178"/>
      <c r="D82" s="178"/>
      <c r="E82" s="178"/>
    </row>
    <row r="83">
      <c r="A83" s="178"/>
      <c r="B83" s="178"/>
      <c r="C83" s="178"/>
      <c r="D83" s="178"/>
      <c r="E83" s="178"/>
    </row>
    <row r="84">
      <c r="A84" s="178"/>
      <c r="B84" s="178"/>
      <c r="C84" s="178"/>
      <c r="D84" s="178"/>
      <c r="E84" s="178"/>
    </row>
    <row r="85">
      <c r="A85" s="178"/>
      <c r="B85" s="178"/>
      <c r="C85" s="178"/>
      <c r="D85" s="178"/>
      <c r="E85" s="178"/>
    </row>
    <row r="86">
      <c r="A86" s="178"/>
      <c r="B86" s="178"/>
      <c r="C86" s="178"/>
      <c r="D86" s="178"/>
      <c r="E86" s="178"/>
    </row>
    <row r="87">
      <c r="A87" s="178"/>
      <c r="B87" s="178"/>
      <c r="C87" s="178"/>
      <c r="D87" s="178"/>
      <c r="E87" s="178"/>
    </row>
    <row r="88">
      <c r="A88" s="178"/>
      <c r="B88" s="178"/>
      <c r="C88" s="178"/>
      <c r="D88" s="178"/>
      <c r="E88" s="178"/>
    </row>
    <row r="89">
      <c r="A89" s="178"/>
      <c r="B89" s="178"/>
      <c r="C89" s="178"/>
      <c r="D89" s="178"/>
      <c r="E89" s="178"/>
    </row>
    <row r="90">
      <c r="A90" s="178"/>
      <c r="B90" s="178"/>
      <c r="C90" s="178"/>
      <c r="D90" s="178"/>
      <c r="E90" s="178"/>
    </row>
    <row r="91">
      <c r="A91" s="178"/>
      <c r="B91" s="178"/>
      <c r="C91" s="178"/>
      <c r="D91" s="178"/>
      <c r="E91" s="178"/>
    </row>
    <row r="92">
      <c r="A92" s="178"/>
      <c r="B92" s="178"/>
      <c r="C92" s="178"/>
      <c r="D92" s="178"/>
      <c r="E92" s="178"/>
    </row>
    <row r="93">
      <c r="A93" s="178"/>
      <c r="B93" s="178"/>
      <c r="C93" s="178"/>
      <c r="D93" s="178"/>
      <c r="E93" s="178"/>
    </row>
    <row r="94">
      <c r="A94" s="178"/>
      <c r="B94" s="178"/>
      <c r="C94" s="178"/>
      <c r="D94" s="178"/>
      <c r="E94" s="178"/>
    </row>
    <row r="95">
      <c r="A95" s="178"/>
      <c r="B95" s="178"/>
      <c r="C95" s="178"/>
      <c r="D95" s="178"/>
      <c r="E95" s="178"/>
    </row>
    <row r="96">
      <c r="A96" s="178"/>
      <c r="B96" s="178"/>
      <c r="C96" s="178"/>
      <c r="D96" s="178"/>
      <c r="E96" s="178"/>
    </row>
    <row r="97">
      <c r="A97" s="178"/>
      <c r="B97" s="178"/>
      <c r="C97" s="178"/>
      <c r="D97" s="178"/>
      <c r="E97" s="178"/>
    </row>
    <row r="98">
      <c r="A98" s="178"/>
      <c r="B98" s="178"/>
      <c r="C98" s="178"/>
      <c r="D98" s="178"/>
      <c r="E98" s="178"/>
    </row>
    <row r="99">
      <c r="A99" s="178"/>
      <c r="B99" s="178"/>
      <c r="C99" s="178"/>
      <c r="D99" s="178"/>
      <c r="E99" s="178"/>
    </row>
    <row r="100">
      <c r="A100" s="178"/>
      <c r="B100" s="178"/>
      <c r="C100" s="178"/>
      <c r="D100" s="178"/>
      <c r="E100" s="178"/>
    </row>
    <row r="101">
      <c r="A101" s="178"/>
      <c r="B101" s="178"/>
      <c r="C101" s="178"/>
      <c r="D101" s="178"/>
      <c r="E101" s="178"/>
    </row>
    <row r="102">
      <c r="A102" s="178"/>
      <c r="B102" s="178"/>
      <c r="C102" s="178"/>
      <c r="D102" s="178"/>
      <c r="E102" s="178"/>
    </row>
    <row r="103">
      <c r="A103" s="178"/>
      <c r="B103" s="178"/>
      <c r="C103" s="178"/>
      <c r="D103" s="178"/>
      <c r="E103" s="178"/>
    </row>
    <row r="104">
      <c r="A104" s="178"/>
      <c r="B104" s="178"/>
      <c r="C104" s="178"/>
      <c r="D104" s="178"/>
      <c r="E104" s="178"/>
    </row>
    <row r="105">
      <c r="A105" s="178"/>
      <c r="B105" s="178"/>
      <c r="C105" s="178"/>
      <c r="D105" s="178"/>
      <c r="E105" s="178"/>
    </row>
    <row r="106">
      <c r="A106" s="178"/>
      <c r="B106" s="178"/>
      <c r="C106" s="178"/>
      <c r="D106" s="178"/>
      <c r="E106" s="178"/>
    </row>
    <row r="107">
      <c r="A107" s="178"/>
      <c r="B107" s="178"/>
      <c r="C107" s="178"/>
      <c r="D107" s="178"/>
      <c r="E107" s="178"/>
    </row>
    <row r="108">
      <c r="A108" s="178"/>
      <c r="B108" s="178"/>
      <c r="C108" s="178"/>
      <c r="D108" s="178"/>
      <c r="E108" s="178"/>
    </row>
    <row r="109">
      <c r="A109" s="178"/>
      <c r="B109" s="178"/>
      <c r="C109" s="178"/>
      <c r="D109" s="178"/>
      <c r="E109" s="178"/>
    </row>
    <row r="110">
      <c r="A110" s="178"/>
      <c r="B110" s="178"/>
      <c r="C110" s="178"/>
      <c r="D110" s="178"/>
      <c r="E110" s="178"/>
    </row>
    <row r="111">
      <c r="A111" s="178"/>
      <c r="B111" s="178"/>
      <c r="C111" s="178"/>
      <c r="D111" s="178"/>
      <c r="E111" s="178"/>
    </row>
    <row r="112">
      <c r="A112" s="178"/>
      <c r="B112" s="178"/>
      <c r="C112" s="178"/>
      <c r="D112" s="178"/>
      <c r="E112" s="178"/>
    </row>
    <row r="113">
      <c r="A113" s="178"/>
      <c r="B113" s="178"/>
      <c r="C113" s="178"/>
      <c r="D113" s="178"/>
      <c r="E113" s="178"/>
    </row>
    <row r="114">
      <c r="A114" s="178"/>
      <c r="B114" s="178"/>
      <c r="C114" s="178"/>
      <c r="D114" s="178"/>
      <c r="E114" s="178"/>
    </row>
    <row r="115">
      <c r="A115" s="178"/>
      <c r="B115" s="178"/>
      <c r="C115" s="178"/>
      <c r="D115" s="178"/>
      <c r="E115" s="178"/>
    </row>
    <row r="116">
      <c r="A116" s="178"/>
      <c r="B116" s="178"/>
      <c r="C116" s="178"/>
      <c r="D116" s="178"/>
      <c r="E116" s="178"/>
    </row>
    <row r="117">
      <c r="A117" s="178"/>
      <c r="B117" s="178"/>
      <c r="C117" s="178"/>
      <c r="D117" s="178"/>
      <c r="E117" s="178"/>
    </row>
    <row r="118">
      <c r="A118" s="178"/>
      <c r="B118" s="178"/>
      <c r="C118" s="178"/>
      <c r="D118" s="178"/>
      <c r="E118" s="178"/>
    </row>
    <row r="119">
      <c r="A119" s="178"/>
      <c r="B119" s="178"/>
      <c r="C119" s="178"/>
      <c r="D119" s="178"/>
      <c r="E119" s="178"/>
    </row>
    <row r="120">
      <c r="A120" s="178"/>
      <c r="B120" s="178"/>
      <c r="C120" s="178"/>
      <c r="D120" s="178"/>
      <c r="E120" s="178"/>
    </row>
    <row r="121">
      <c r="A121" s="178"/>
      <c r="B121" s="178"/>
      <c r="C121" s="178"/>
      <c r="D121" s="178"/>
      <c r="E121" s="178"/>
    </row>
    <row r="122">
      <c r="A122" s="178"/>
      <c r="B122" s="178"/>
      <c r="C122" s="178"/>
      <c r="D122" s="178"/>
      <c r="E122" s="178"/>
    </row>
    <row r="123">
      <c r="A123" s="178"/>
      <c r="B123" s="178"/>
      <c r="C123" s="178"/>
      <c r="D123" s="178"/>
      <c r="E123" s="178"/>
    </row>
    <row r="124">
      <c r="A124" s="178"/>
      <c r="B124" s="178"/>
      <c r="C124" s="178"/>
      <c r="D124" s="178"/>
      <c r="E124" s="178"/>
    </row>
    <row r="125">
      <c r="A125" s="178"/>
      <c r="B125" s="178"/>
      <c r="C125" s="178"/>
      <c r="D125" s="178"/>
      <c r="E125" s="178"/>
    </row>
    <row r="126">
      <c r="A126" s="178"/>
      <c r="B126" s="178"/>
      <c r="C126" s="178"/>
      <c r="D126" s="178"/>
      <c r="E126" s="178"/>
    </row>
    <row r="127">
      <c r="A127" s="178"/>
      <c r="B127" s="178"/>
      <c r="C127" s="178"/>
      <c r="D127" s="178"/>
      <c r="E127" s="178"/>
    </row>
    <row r="128">
      <c r="A128" s="178"/>
      <c r="B128" s="178"/>
      <c r="C128" s="178"/>
      <c r="D128" s="178"/>
      <c r="E128" s="178"/>
    </row>
    <row r="129">
      <c r="A129" s="178"/>
      <c r="B129" s="178"/>
      <c r="C129" s="178"/>
      <c r="D129" s="178"/>
      <c r="E129" s="178"/>
    </row>
    <row r="130">
      <c r="A130" s="178"/>
      <c r="B130" s="178"/>
      <c r="C130" s="178"/>
      <c r="D130" s="178"/>
      <c r="E130" s="178"/>
    </row>
    <row r="131">
      <c r="A131" s="178"/>
      <c r="B131" s="178"/>
      <c r="C131" s="178"/>
      <c r="D131" s="178"/>
      <c r="E131" s="178"/>
    </row>
    <row r="132">
      <c r="A132" s="178"/>
      <c r="B132" s="178"/>
      <c r="C132" s="178"/>
      <c r="D132" s="178"/>
      <c r="E132" s="178"/>
    </row>
    <row r="133">
      <c r="A133" s="178"/>
      <c r="B133" s="178"/>
      <c r="C133" s="178"/>
      <c r="D133" s="178"/>
      <c r="E133" s="178"/>
    </row>
    <row r="134">
      <c r="A134" s="178"/>
      <c r="B134" s="178"/>
      <c r="C134" s="178"/>
      <c r="D134" s="178"/>
      <c r="E134" s="178"/>
    </row>
    <row r="135">
      <c r="A135" s="178"/>
      <c r="B135" s="178"/>
      <c r="C135" s="178"/>
      <c r="D135" s="178"/>
      <c r="E135" s="178"/>
    </row>
    <row r="136">
      <c r="A136" s="178"/>
      <c r="B136" s="178"/>
      <c r="C136" s="178"/>
      <c r="D136" s="178"/>
      <c r="E136" s="178"/>
    </row>
    <row r="137">
      <c r="A137" s="178"/>
      <c r="B137" s="178"/>
      <c r="C137" s="178"/>
      <c r="D137" s="178"/>
      <c r="E137" s="178"/>
    </row>
    <row r="138">
      <c r="A138" s="178"/>
      <c r="B138" s="178"/>
      <c r="C138" s="178"/>
      <c r="D138" s="178"/>
      <c r="E138" s="178"/>
    </row>
    <row r="139">
      <c r="A139" s="178"/>
      <c r="B139" s="178"/>
      <c r="C139" s="178"/>
      <c r="D139" s="178"/>
      <c r="E139" s="178"/>
    </row>
    <row r="140">
      <c r="A140" s="178"/>
      <c r="B140" s="178"/>
      <c r="C140" s="178"/>
      <c r="D140" s="178"/>
      <c r="E140" s="178"/>
    </row>
    <row r="141">
      <c r="A141" s="178"/>
      <c r="B141" s="178"/>
      <c r="C141" s="178"/>
      <c r="D141" s="178"/>
      <c r="E141" s="178"/>
    </row>
    <row r="142">
      <c r="A142" s="178"/>
      <c r="B142" s="178"/>
      <c r="C142" s="178"/>
      <c r="D142" s="178"/>
      <c r="E142" s="178"/>
    </row>
    <row r="143">
      <c r="A143" s="178"/>
      <c r="B143" s="178"/>
      <c r="C143" s="178"/>
      <c r="D143" s="178"/>
      <c r="E143" s="178"/>
    </row>
    <row r="144">
      <c r="A144" s="178"/>
      <c r="B144" s="178"/>
      <c r="C144" s="178"/>
      <c r="D144" s="178"/>
      <c r="E144" s="178"/>
    </row>
    <row r="145">
      <c r="A145" s="178"/>
      <c r="B145" s="178"/>
      <c r="C145" s="178"/>
      <c r="D145" s="178"/>
      <c r="E145" s="178"/>
    </row>
    <row r="146">
      <c r="A146" s="178"/>
      <c r="B146" s="178"/>
      <c r="C146" s="178"/>
      <c r="D146" s="178"/>
      <c r="E146" s="178"/>
    </row>
    <row r="147">
      <c r="A147" s="178"/>
      <c r="B147" s="178"/>
      <c r="C147" s="178"/>
      <c r="D147" s="178"/>
      <c r="E147" s="178"/>
    </row>
    <row r="148">
      <c r="A148" s="178"/>
      <c r="B148" s="178"/>
      <c r="C148" s="178"/>
      <c r="D148" s="178"/>
      <c r="E148" s="178"/>
    </row>
    <row r="149">
      <c r="A149" s="178"/>
      <c r="B149" s="178"/>
      <c r="C149" s="178"/>
      <c r="D149" s="178"/>
      <c r="E149" s="178"/>
    </row>
    <row r="150">
      <c r="A150" s="178"/>
      <c r="B150" s="178"/>
      <c r="C150" s="178"/>
      <c r="D150" s="178"/>
      <c r="E150" s="178"/>
    </row>
    <row r="151">
      <c r="A151" s="178"/>
      <c r="B151" s="178"/>
      <c r="C151" s="178"/>
      <c r="D151" s="178"/>
      <c r="E151" s="178"/>
    </row>
    <row r="152">
      <c r="A152" s="178"/>
      <c r="B152" s="178"/>
      <c r="C152" s="178"/>
      <c r="D152" s="178"/>
      <c r="E152" s="178"/>
    </row>
    <row r="153">
      <c r="A153" s="178"/>
      <c r="B153" s="178"/>
      <c r="C153" s="178"/>
      <c r="D153" s="178"/>
      <c r="E153" s="178"/>
    </row>
    <row r="154">
      <c r="A154" s="178"/>
      <c r="B154" s="178"/>
      <c r="C154" s="178"/>
      <c r="D154" s="178"/>
      <c r="E154" s="178"/>
    </row>
    <row r="155">
      <c r="A155" s="178"/>
      <c r="B155" s="178"/>
      <c r="C155" s="178"/>
      <c r="D155" s="178"/>
      <c r="E155" s="178"/>
    </row>
    <row r="156">
      <c r="A156" s="178"/>
      <c r="B156" s="178"/>
      <c r="C156" s="178"/>
      <c r="D156" s="178"/>
      <c r="E156" s="178"/>
    </row>
    <row r="157">
      <c r="A157" s="178"/>
      <c r="B157" s="178"/>
      <c r="C157" s="178"/>
      <c r="D157" s="178"/>
      <c r="E157" s="178"/>
    </row>
    <row r="158">
      <c r="A158" s="178"/>
      <c r="B158" s="178"/>
      <c r="C158" s="178"/>
      <c r="D158" s="178"/>
      <c r="E158" s="178"/>
    </row>
    <row r="159">
      <c r="A159" s="178"/>
      <c r="B159" s="178"/>
      <c r="C159" s="178"/>
      <c r="D159" s="178"/>
      <c r="E159" s="178"/>
    </row>
    <row r="160">
      <c r="A160" s="178"/>
      <c r="B160" s="178"/>
      <c r="C160" s="178"/>
      <c r="D160" s="178"/>
      <c r="E160" s="178"/>
    </row>
    <row r="161">
      <c r="A161" s="178"/>
      <c r="B161" s="178"/>
      <c r="C161" s="178"/>
      <c r="D161" s="178"/>
      <c r="E161" s="178"/>
    </row>
    <row r="162">
      <c r="A162" s="178"/>
      <c r="B162" s="178"/>
      <c r="C162" s="178"/>
      <c r="D162" s="178"/>
      <c r="E162" s="178"/>
    </row>
    <row r="163">
      <c r="A163" s="178"/>
      <c r="B163" s="178"/>
      <c r="C163" s="178"/>
      <c r="D163" s="178"/>
      <c r="E163" s="178"/>
    </row>
    <row r="164">
      <c r="A164" s="178"/>
      <c r="B164" s="178"/>
      <c r="C164" s="178"/>
      <c r="D164" s="178"/>
      <c r="E164" s="178"/>
    </row>
    <row r="165">
      <c r="A165" s="178"/>
      <c r="B165" s="178"/>
      <c r="C165" s="178"/>
      <c r="D165" s="178"/>
      <c r="E165" s="178"/>
    </row>
    <row r="166">
      <c r="A166" s="178"/>
      <c r="B166" s="178"/>
      <c r="C166" s="178"/>
      <c r="D166" s="178"/>
      <c r="E166" s="178"/>
    </row>
    <row r="167">
      <c r="A167" s="178"/>
      <c r="B167" s="178"/>
      <c r="C167" s="178"/>
      <c r="D167" s="178"/>
      <c r="E167" s="178"/>
    </row>
    <row r="168">
      <c r="A168" s="178"/>
      <c r="B168" s="178"/>
      <c r="C168" s="178"/>
      <c r="D168" s="178"/>
      <c r="E168" s="178"/>
    </row>
    <row r="169">
      <c r="A169" s="178"/>
      <c r="B169" s="178"/>
      <c r="C169" s="178"/>
      <c r="D169" s="178"/>
      <c r="E169" s="178"/>
    </row>
    <row r="170">
      <c r="A170" s="178"/>
      <c r="B170" s="178"/>
      <c r="C170" s="178"/>
      <c r="D170" s="178"/>
      <c r="E170" s="178"/>
    </row>
    <row r="171">
      <c r="A171" s="178"/>
      <c r="B171" s="178"/>
      <c r="C171" s="178"/>
      <c r="D171" s="178"/>
      <c r="E171" s="178"/>
    </row>
    <row r="172">
      <c r="A172" s="178"/>
      <c r="B172" s="178"/>
      <c r="C172" s="178"/>
      <c r="D172" s="178"/>
      <c r="E172" s="178"/>
    </row>
    <row r="173">
      <c r="A173" s="178"/>
      <c r="B173" s="178"/>
      <c r="C173" s="178"/>
      <c r="D173" s="178"/>
      <c r="E173" s="178"/>
    </row>
    <row r="174">
      <c r="A174" s="178"/>
      <c r="B174" s="178"/>
      <c r="C174" s="178"/>
      <c r="D174" s="178"/>
      <c r="E174" s="178"/>
    </row>
    <row r="175">
      <c r="A175" s="178"/>
      <c r="B175" s="178"/>
      <c r="C175" s="178"/>
      <c r="D175" s="178"/>
      <c r="E175" s="178"/>
    </row>
    <row r="176">
      <c r="A176" s="178"/>
      <c r="B176" s="178"/>
      <c r="C176" s="178"/>
      <c r="D176" s="178"/>
      <c r="E176" s="178"/>
    </row>
    <row r="177">
      <c r="A177" s="178"/>
      <c r="B177" s="178"/>
      <c r="C177" s="178"/>
      <c r="D177" s="178"/>
      <c r="E177" s="178"/>
    </row>
    <row r="178">
      <c r="A178" s="178"/>
      <c r="B178" s="178"/>
      <c r="C178" s="178"/>
      <c r="D178" s="178"/>
      <c r="E178" s="178"/>
    </row>
    <row r="179">
      <c r="A179" s="178"/>
      <c r="B179" s="178"/>
      <c r="C179" s="178"/>
      <c r="D179" s="178"/>
      <c r="E179" s="178"/>
    </row>
    <row r="180">
      <c r="A180" s="178"/>
      <c r="B180" s="178"/>
      <c r="C180" s="178"/>
      <c r="D180" s="178"/>
      <c r="E180" s="178"/>
    </row>
    <row r="181">
      <c r="A181" s="178"/>
      <c r="B181" s="178"/>
      <c r="C181" s="178"/>
      <c r="D181" s="178"/>
      <c r="E181" s="178"/>
    </row>
    <row r="182">
      <c r="A182" s="178"/>
      <c r="B182" s="178"/>
      <c r="C182" s="178"/>
      <c r="D182" s="178"/>
      <c r="E182" s="178"/>
    </row>
    <row r="183">
      <c r="A183" s="178"/>
      <c r="B183" s="178"/>
      <c r="C183" s="178"/>
      <c r="D183" s="178"/>
      <c r="E183" s="178"/>
    </row>
    <row r="184">
      <c r="A184" s="178"/>
      <c r="B184" s="178"/>
      <c r="C184" s="178"/>
      <c r="D184" s="178"/>
      <c r="E184" s="178"/>
    </row>
    <row r="185">
      <c r="A185" s="178"/>
      <c r="B185" s="178"/>
      <c r="C185" s="178"/>
      <c r="D185" s="178"/>
      <c r="E185" s="178"/>
    </row>
    <row r="186">
      <c r="A186" s="178"/>
      <c r="B186" s="178"/>
      <c r="C186" s="178"/>
      <c r="D186" s="178"/>
      <c r="E186" s="178"/>
    </row>
    <row r="187">
      <c r="A187" s="178"/>
      <c r="B187" s="178"/>
      <c r="C187" s="178"/>
      <c r="D187" s="178"/>
      <c r="E187" s="178"/>
    </row>
    <row r="188">
      <c r="A188" s="178"/>
      <c r="B188" s="178"/>
      <c r="C188" s="178"/>
      <c r="D188" s="178"/>
      <c r="E188" s="178"/>
    </row>
    <row r="189">
      <c r="A189" s="178"/>
      <c r="B189" s="178"/>
      <c r="C189" s="178"/>
      <c r="D189" s="178"/>
      <c r="E189" s="178"/>
    </row>
    <row r="190">
      <c r="A190" s="178"/>
      <c r="B190" s="178"/>
      <c r="C190" s="178"/>
      <c r="D190" s="178"/>
      <c r="E190" s="178"/>
    </row>
    <row r="191">
      <c r="A191" s="178"/>
      <c r="B191" s="178"/>
      <c r="C191" s="178"/>
      <c r="D191" s="178"/>
      <c r="E191" s="178"/>
    </row>
    <row r="192">
      <c r="A192" s="178"/>
      <c r="B192" s="178"/>
      <c r="C192" s="178"/>
      <c r="D192" s="178"/>
      <c r="E192" s="178"/>
    </row>
    <row r="193">
      <c r="A193" s="178"/>
      <c r="B193" s="178"/>
      <c r="C193" s="178"/>
      <c r="D193" s="178"/>
      <c r="E193" s="178"/>
    </row>
    <row r="194">
      <c r="A194" s="178"/>
      <c r="B194" s="178"/>
      <c r="C194" s="178"/>
      <c r="D194" s="178"/>
      <c r="E194" s="178"/>
    </row>
    <row r="195">
      <c r="A195" s="178"/>
      <c r="B195" s="178"/>
      <c r="C195" s="178"/>
      <c r="D195" s="178"/>
      <c r="E195" s="178"/>
    </row>
    <row r="196">
      <c r="A196" s="178"/>
      <c r="B196" s="178"/>
      <c r="C196" s="178"/>
      <c r="D196" s="178"/>
      <c r="E196" s="178"/>
    </row>
    <row r="197">
      <c r="A197" s="178"/>
      <c r="B197" s="178"/>
      <c r="C197" s="178"/>
      <c r="D197" s="178"/>
      <c r="E197" s="178"/>
    </row>
    <row r="198">
      <c r="A198" s="178"/>
      <c r="B198" s="178"/>
      <c r="C198" s="178"/>
      <c r="D198" s="178"/>
      <c r="E198" s="178"/>
    </row>
    <row r="199">
      <c r="A199" s="178"/>
      <c r="B199" s="178"/>
      <c r="C199" s="178"/>
      <c r="D199" s="178"/>
      <c r="E199" s="178"/>
    </row>
    <row r="200">
      <c r="A200" s="178"/>
      <c r="B200" s="178"/>
      <c r="C200" s="178"/>
      <c r="D200" s="178"/>
      <c r="E200" s="178"/>
    </row>
    <row r="201">
      <c r="A201" s="178"/>
      <c r="B201" s="178"/>
      <c r="C201" s="178"/>
      <c r="D201" s="178"/>
      <c r="E201" s="178"/>
    </row>
    <row r="202">
      <c r="A202" s="178"/>
      <c r="B202" s="178"/>
      <c r="C202" s="178"/>
      <c r="D202" s="178"/>
      <c r="E202" s="178"/>
    </row>
    <row r="203">
      <c r="A203" s="178"/>
      <c r="B203" s="178"/>
      <c r="C203" s="178"/>
      <c r="D203" s="178"/>
      <c r="E203" s="178"/>
    </row>
    <row r="204">
      <c r="A204" s="178"/>
      <c r="B204" s="178"/>
      <c r="C204" s="178"/>
      <c r="D204" s="178"/>
      <c r="E204" s="178"/>
    </row>
    <row r="205">
      <c r="A205" s="178"/>
      <c r="B205" s="178"/>
      <c r="C205" s="178"/>
      <c r="D205" s="178"/>
      <c r="E205" s="178"/>
    </row>
    <row r="206">
      <c r="A206" s="178"/>
      <c r="B206" s="178"/>
      <c r="C206" s="178"/>
      <c r="D206" s="178"/>
      <c r="E206" s="178"/>
    </row>
    <row r="207">
      <c r="A207" s="178"/>
      <c r="B207" s="178"/>
      <c r="C207" s="178"/>
      <c r="D207" s="178"/>
      <c r="E207" s="178"/>
    </row>
    <row r="208">
      <c r="A208" s="178"/>
      <c r="B208" s="178"/>
      <c r="C208" s="178"/>
      <c r="D208" s="178"/>
      <c r="E208" s="178"/>
    </row>
    <row r="209">
      <c r="A209" s="178"/>
      <c r="B209" s="178"/>
      <c r="C209" s="178"/>
      <c r="D209" s="178"/>
      <c r="E209" s="178"/>
    </row>
    <row r="210">
      <c r="A210" s="178"/>
      <c r="B210" s="178"/>
      <c r="C210" s="178"/>
      <c r="D210" s="178"/>
      <c r="E210" s="178"/>
    </row>
    <row r="211">
      <c r="A211" s="178"/>
      <c r="B211" s="178"/>
      <c r="C211" s="178"/>
      <c r="D211" s="178"/>
      <c r="E211" s="178"/>
    </row>
    <row r="212">
      <c r="A212" s="178"/>
      <c r="B212" s="178"/>
      <c r="C212" s="178"/>
      <c r="D212" s="178"/>
      <c r="E212" s="178"/>
    </row>
    <row r="213">
      <c r="A213" s="178"/>
      <c r="B213" s="178"/>
      <c r="C213" s="178"/>
      <c r="D213" s="178"/>
      <c r="E213" s="178"/>
    </row>
    <row r="214">
      <c r="A214" s="178"/>
      <c r="B214" s="178"/>
      <c r="C214" s="178"/>
      <c r="D214" s="178"/>
      <c r="E214" s="178"/>
    </row>
    <row r="215">
      <c r="A215" s="178"/>
      <c r="B215" s="178"/>
      <c r="C215" s="178"/>
      <c r="D215" s="178"/>
      <c r="E215" s="178"/>
    </row>
    <row r="216">
      <c r="A216" s="178"/>
      <c r="B216" s="178"/>
      <c r="C216" s="178"/>
      <c r="D216" s="178"/>
      <c r="E216" s="178"/>
    </row>
    <row r="217">
      <c r="A217" s="178"/>
      <c r="B217" s="178"/>
      <c r="C217" s="178"/>
      <c r="D217" s="178"/>
      <c r="E217" s="178"/>
    </row>
    <row r="218">
      <c r="A218" s="178"/>
      <c r="B218" s="178"/>
      <c r="C218" s="178"/>
      <c r="D218" s="178"/>
      <c r="E218" s="178"/>
    </row>
    <row r="219">
      <c r="A219" s="178"/>
      <c r="B219" s="178"/>
      <c r="C219" s="178"/>
      <c r="D219" s="178"/>
      <c r="E219" s="178"/>
    </row>
    <row r="220">
      <c r="A220" s="178"/>
      <c r="B220" s="178"/>
      <c r="C220" s="178"/>
      <c r="D220" s="178"/>
      <c r="E220" s="178"/>
    </row>
    <row r="221">
      <c r="A221" s="178"/>
      <c r="B221" s="178"/>
      <c r="C221" s="178"/>
      <c r="D221" s="178"/>
      <c r="E221" s="178"/>
    </row>
    <row r="222">
      <c r="A222" s="178"/>
      <c r="B222" s="178"/>
      <c r="C222" s="178"/>
      <c r="D222" s="178"/>
      <c r="E222" s="178"/>
    </row>
    <row r="223">
      <c r="A223" s="178"/>
      <c r="B223" s="178"/>
      <c r="C223" s="178"/>
      <c r="D223" s="178"/>
      <c r="E223" s="178"/>
    </row>
    <row r="224">
      <c r="A224" s="178"/>
      <c r="B224" s="178"/>
      <c r="C224" s="178"/>
      <c r="D224" s="178"/>
      <c r="E224" s="178"/>
    </row>
    <row r="225">
      <c r="A225" s="178"/>
      <c r="B225" s="178"/>
      <c r="C225" s="178"/>
      <c r="D225" s="178"/>
      <c r="E225" s="178"/>
    </row>
    <row r="226">
      <c r="A226" s="178"/>
      <c r="B226" s="178"/>
      <c r="C226" s="178"/>
      <c r="D226" s="178"/>
      <c r="E226" s="178"/>
    </row>
    <row r="227">
      <c r="A227" s="178"/>
      <c r="B227" s="178"/>
      <c r="C227" s="178"/>
      <c r="D227" s="178"/>
      <c r="E227" s="178"/>
    </row>
    <row r="228">
      <c r="A228" s="178"/>
      <c r="B228" s="178"/>
      <c r="C228" s="178"/>
      <c r="D228" s="178"/>
      <c r="E228" s="178"/>
    </row>
    <row r="229">
      <c r="A229" s="178"/>
      <c r="B229" s="178"/>
      <c r="C229" s="178"/>
      <c r="D229" s="178"/>
      <c r="E229" s="178"/>
    </row>
    <row r="230">
      <c r="A230" s="178"/>
      <c r="B230" s="178"/>
      <c r="C230" s="178"/>
      <c r="D230" s="178"/>
      <c r="E230" s="178"/>
    </row>
    <row r="231">
      <c r="A231" s="178"/>
      <c r="B231" s="178"/>
      <c r="C231" s="178"/>
      <c r="D231" s="178"/>
      <c r="E231" s="178"/>
    </row>
    <row r="232">
      <c r="A232" s="178"/>
      <c r="B232" s="178"/>
      <c r="C232" s="178"/>
      <c r="D232" s="178"/>
      <c r="E232" s="178"/>
    </row>
    <row r="233">
      <c r="A233" s="178"/>
      <c r="B233" s="178"/>
      <c r="C233" s="178"/>
      <c r="D233" s="178"/>
      <c r="E233" s="178"/>
    </row>
    <row r="234">
      <c r="A234" s="178"/>
      <c r="B234" s="178"/>
      <c r="C234" s="178"/>
      <c r="D234" s="178"/>
      <c r="E234" s="178"/>
    </row>
    <row r="235">
      <c r="A235" s="178"/>
      <c r="B235" s="178"/>
      <c r="C235" s="178"/>
      <c r="D235" s="178"/>
      <c r="E235" s="178"/>
    </row>
    <row r="236">
      <c r="A236" s="178"/>
      <c r="B236" s="178"/>
      <c r="C236" s="178"/>
      <c r="D236" s="178"/>
      <c r="E236" s="178"/>
    </row>
    <row r="237">
      <c r="A237" s="178"/>
      <c r="B237" s="178"/>
      <c r="C237" s="178"/>
      <c r="D237" s="178"/>
      <c r="E237" s="178"/>
    </row>
    <row r="238">
      <c r="A238" s="178"/>
      <c r="B238" s="178"/>
      <c r="C238" s="178"/>
      <c r="D238" s="178"/>
      <c r="E238" s="178"/>
    </row>
    <row r="239">
      <c r="A239" s="178"/>
      <c r="B239" s="178"/>
      <c r="C239" s="178"/>
      <c r="D239" s="178"/>
      <c r="E239" s="178"/>
    </row>
    <row r="240">
      <c r="A240" s="178"/>
      <c r="B240" s="178"/>
      <c r="C240" s="178"/>
      <c r="D240" s="178"/>
      <c r="E240" s="178"/>
    </row>
    <row r="241">
      <c r="A241" s="178"/>
      <c r="B241" s="178"/>
      <c r="C241" s="178"/>
      <c r="D241" s="178"/>
      <c r="E241" s="178"/>
    </row>
    <row r="242">
      <c r="A242" s="178"/>
      <c r="B242" s="178"/>
      <c r="C242" s="178"/>
      <c r="D242" s="178"/>
      <c r="E242" s="178"/>
    </row>
    <row r="243">
      <c r="A243" s="178"/>
      <c r="B243" s="178"/>
      <c r="C243" s="178"/>
      <c r="D243" s="178"/>
      <c r="E243" s="178"/>
    </row>
    <row r="244">
      <c r="A244" s="178"/>
      <c r="B244" s="178"/>
      <c r="C244" s="178"/>
      <c r="D244" s="178"/>
      <c r="E244" s="178"/>
    </row>
    <row r="245">
      <c r="A245" s="178"/>
      <c r="B245" s="178"/>
      <c r="C245" s="178"/>
      <c r="D245" s="178"/>
      <c r="E245" s="178"/>
    </row>
    <row r="246">
      <c r="A246" s="178"/>
      <c r="B246" s="178"/>
      <c r="C246" s="178"/>
      <c r="D246" s="178"/>
      <c r="E246" s="178"/>
    </row>
    <row r="247">
      <c r="A247" s="178"/>
      <c r="B247" s="178"/>
      <c r="C247" s="178"/>
      <c r="D247" s="178"/>
      <c r="E247" s="178"/>
    </row>
    <row r="248">
      <c r="A248" s="178"/>
      <c r="B248" s="178"/>
      <c r="C248" s="178"/>
      <c r="D248" s="178"/>
      <c r="E248" s="178"/>
    </row>
    <row r="249">
      <c r="A249" s="178"/>
      <c r="B249" s="178"/>
      <c r="C249" s="178"/>
      <c r="D249" s="178"/>
      <c r="E249" s="178"/>
    </row>
    <row r="250">
      <c r="A250" s="178"/>
      <c r="B250" s="178"/>
      <c r="C250" s="178"/>
      <c r="D250" s="178"/>
      <c r="E250" s="178"/>
    </row>
    <row r="251">
      <c r="A251" s="178"/>
      <c r="B251" s="178"/>
      <c r="C251" s="178"/>
      <c r="D251" s="178"/>
      <c r="E251" s="178"/>
    </row>
    <row r="252">
      <c r="A252" s="178"/>
      <c r="B252" s="178"/>
      <c r="C252" s="178"/>
      <c r="D252" s="178"/>
      <c r="E252" s="178"/>
    </row>
    <row r="253">
      <c r="A253" s="178"/>
      <c r="B253" s="178"/>
      <c r="C253" s="178"/>
      <c r="D253" s="178"/>
      <c r="E253" s="178"/>
    </row>
    <row r="254">
      <c r="A254" s="178"/>
      <c r="B254" s="178"/>
      <c r="C254" s="178"/>
      <c r="D254" s="178"/>
      <c r="E254" s="178"/>
    </row>
    <row r="255">
      <c r="A255" s="178"/>
      <c r="B255" s="178"/>
      <c r="C255" s="178"/>
      <c r="D255" s="178"/>
      <c r="E255" s="178"/>
    </row>
    <row r="256">
      <c r="A256" s="178"/>
      <c r="B256" s="178"/>
      <c r="C256" s="178"/>
      <c r="D256" s="178"/>
      <c r="E256" s="178"/>
    </row>
    <row r="257">
      <c r="A257" s="178"/>
      <c r="B257" s="178"/>
      <c r="C257" s="178"/>
      <c r="D257" s="178"/>
      <c r="E257" s="178"/>
    </row>
    <row r="258">
      <c r="A258" s="178"/>
      <c r="B258" s="178"/>
      <c r="C258" s="178"/>
      <c r="D258" s="178"/>
      <c r="E258" s="178"/>
    </row>
    <row r="259">
      <c r="A259" s="178"/>
      <c r="B259" s="178"/>
      <c r="C259" s="178"/>
      <c r="D259" s="178"/>
      <c r="E259" s="178"/>
    </row>
    <row r="260">
      <c r="A260" s="178"/>
      <c r="B260" s="178"/>
      <c r="C260" s="178"/>
      <c r="D260" s="178"/>
      <c r="E260" s="178"/>
    </row>
    <row r="261">
      <c r="A261" s="178"/>
      <c r="B261" s="178"/>
      <c r="C261" s="178"/>
      <c r="D261" s="178"/>
      <c r="E261" s="178"/>
    </row>
    <row r="262">
      <c r="A262" s="178"/>
      <c r="B262" s="178"/>
      <c r="C262" s="178"/>
      <c r="D262" s="178"/>
      <c r="E262" s="178"/>
    </row>
    <row r="263">
      <c r="A263" s="178"/>
      <c r="B263" s="178"/>
      <c r="C263" s="178"/>
      <c r="D263" s="178"/>
      <c r="E263" s="178"/>
    </row>
    <row r="264">
      <c r="A264" s="178"/>
      <c r="B264" s="178"/>
      <c r="C264" s="178"/>
      <c r="D264" s="178"/>
      <c r="E264" s="178"/>
    </row>
    <row r="265">
      <c r="A265" s="178"/>
      <c r="B265" s="178"/>
      <c r="C265" s="178"/>
      <c r="D265" s="178"/>
      <c r="E265" s="178"/>
    </row>
    <row r="266">
      <c r="A266" s="178"/>
      <c r="B266" s="178"/>
      <c r="C266" s="178"/>
      <c r="D266" s="178"/>
      <c r="E266" s="178"/>
    </row>
    <row r="267">
      <c r="A267" s="178"/>
      <c r="B267" s="178"/>
      <c r="C267" s="178"/>
      <c r="D267" s="178"/>
      <c r="E267" s="178"/>
    </row>
    <row r="268">
      <c r="A268" s="178"/>
      <c r="B268" s="178"/>
      <c r="C268" s="178"/>
      <c r="D268" s="178"/>
      <c r="E268" s="178"/>
    </row>
    <row r="269">
      <c r="A269" s="178"/>
      <c r="B269" s="178"/>
      <c r="C269" s="178"/>
      <c r="D269" s="178"/>
      <c r="E269" s="178"/>
    </row>
    <row r="270">
      <c r="A270" s="178"/>
      <c r="B270" s="178"/>
      <c r="C270" s="178"/>
      <c r="D270" s="178"/>
      <c r="E270" s="178"/>
    </row>
    <row r="271">
      <c r="A271" s="178"/>
      <c r="B271" s="178"/>
      <c r="C271" s="178"/>
      <c r="D271" s="178"/>
      <c r="E271" s="178"/>
    </row>
    <row r="272">
      <c r="A272" s="178"/>
      <c r="B272" s="178"/>
      <c r="C272" s="178"/>
      <c r="D272" s="178"/>
      <c r="E272" s="178"/>
    </row>
    <row r="273">
      <c r="A273" s="178"/>
      <c r="B273" s="178"/>
      <c r="C273" s="178"/>
      <c r="D273" s="178"/>
      <c r="E273" s="178"/>
    </row>
    <row r="274">
      <c r="A274" s="178"/>
      <c r="B274" s="178"/>
      <c r="C274" s="178"/>
      <c r="D274" s="178"/>
      <c r="E274" s="178"/>
    </row>
    <row r="275">
      <c r="A275" s="178"/>
      <c r="B275" s="178"/>
      <c r="C275" s="178"/>
      <c r="D275" s="178"/>
      <c r="E275" s="178"/>
    </row>
    <row r="276">
      <c r="A276" s="178"/>
      <c r="B276" s="178"/>
      <c r="C276" s="178"/>
      <c r="D276" s="178"/>
      <c r="E276" s="178"/>
    </row>
    <row r="277">
      <c r="A277" s="178"/>
      <c r="B277" s="178"/>
      <c r="C277" s="178"/>
      <c r="D277" s="178"/>
      <c r="E277" s="178"/>
    </row>
    <row r="278">
      <c r="A278" s="178"/>
      <c r="B278" s="178"/>
      <c r="C278" s="178"/>
      <c r="D278" s="178"/>
      <c r="E278" s="178"/>
    </row>
    <row r="279">
      <c r="A279" s="178"/>
      <c r="B279" s="178"/>
      <c r="C279" s="178"/>
      <c r="D279" s="178"/>
      <c r="E279" s="178"/>
    </row>
    <row r="280">
      <c r="A280" s="178"/>
      <c r="B280" s="178"/>
      <c r="C280" s="178"/>
      <c r="D280" s="178"/>
      <c r="E280" s="178"/>
    </row>
    <row r="281">
      <c r="A281" s="178"/>
      <c r="B281" s="178"/>
      <c r="C281" s="178"/>
      <c r="D281" s="178"/>
      <c r="E281" s="178"/>
    </row>
    <row r="282">
      <c r="A282" s="178"/>
      <c r="B282" s="178"/>
      <c r="C282" s="178"/>
      <c r="D282" s="178"/>
      <c r="E282" s="178"/>
    </row>
    <row r="283">
      <c r="A283" s="178"/>
      <c r="B283" s="178"/>
      <c r="C283" s="178"/>
      <c r="D283" s="178"/>
      <c r="E283" s="178"/>
    </row>
    <row r="284">
      <c r="A284" s="178"/>
      <c r="B284" s="178"/>
      <c r="C284" s="178"/>
      <c r="D284" s="178"/>
      <c r="E284" s="178"/>
    </row>
    <row r="285">
      <c r="A285" s="178"/>
      <c r="B285" s="178"/>
      <c r="C285" s="178"/>
      <c r="D285" s="178"/>
      <c r="E285" s="178"/>
    </row>
    <row r="286">
      <c r="A286" s="178"/>
      <c r="B286" s="178"/>
      <c r="C286" s="178"/>
      <c r="D286" s="178"/>
      <c r="E286" s="178"/>
    </row>
    <row r="287">
      <c r="A287" s="178"/>
      <c r="B287" s="178"/>
      <c r="C287" s="178"/>
      <c r="D287" s="178"/>
      <c r="E287" s="178"/>
    </row>
    <row r="288">
      <c r="A288" s="178"/>
      <c r="B288" s="178"/>
      <c r="C288" s="178"/>
      <c r="D288" s="178"/>
      <c r="E288" s="178"/>
    </row>
    <row r="289">
      <c r="A289" s="178"/>
      <c r="B289" s="178"/>
      <c r="C289" s="178"/>
      <c r="D289" s="178"/>
      <c r="E289" s="178"/>
    </row>
    <row r="290">
      <c r="A290" s="178"/>
      <c r="B290" s="178"/>
      <c r="C290" s="178"/>
      <c r="D290" s="178"/>
      <c r="E290" s="178"/>
    </row>
    <row r="291">
      <c r="A291" s="178"/>
      <c r="B291" s="178"/>
      <c r="C291" s="178"/>
      <c r="D291" s="178"/>
      <c r="E291" s="178"/>
    </row>
    <row r="292">
      <c r="A292" s="178"/>
      <c r="B292" s="178"/>
      <c r="C292" s="178"/>
      <c r="D292" s="178"/>
      <c r="E292" s="178"/>
    </row>
    <row r="293">
      <c r="A293" s="178"/>
      <c r="B293" s="178"/>
      <c r="C293" s="178"/>
      <c r="D293" s="178"/>
      <c r="E293" s="178"/>
    </row>
    <row r="294">
      <c r="A294" s="178"/>
      <c r="B294" s="178"/>
      <c r="C294" s="178"/>
      <c r="D294" s="178"/>
      <c r="E294" s="178"/>
    </row>
    <row r="295">
      <c r="A295" s="178"/>
      <c r="B295" s="178"/>
      <c r="C295" s="178"/>
      <c r="D295" s="178"/>
      <c r="E295" s="178"/>
    </row>
    <row r="296">
      <c r="A296" s="178"/>
      <c r="B296" s="178"/>
      <c r="C296" s="178"/>
      <c r="D296" s="178"/>
      <c r="E296" s="178"/>
    </row>
    <row r="297">
      <c r="A297" s="178"/>
      <c r="B297" s="178"/>
      <c r="C297" s="178"/>
      <c r="D297" s="178"/>
      <c r="E297" s="178"/>
    </row>
    <row r="298">
      <c r="A298" s="178"/>
      <c r="B298" s="178"/>
      <c r="C298" s="178"/>
      <c r="D298" s="178"/>
      <c r="E298" s="178"/>
    </row>
    <row r="299">
      <c r="A299" s="178"/>
      <c r="B299" s="178"/>
      <c r="C299" s="178"/>
      <c r="D299" s="178"/>
      <c r="E299" s="178"/>
    </row>
    <row r="300">
      <c r="A300" s="178"/>
      <c r="B300" s="178"/>
      <c r="C300" s="178"/>
      <c r="D300" s="178"/>
      <c r="E300" s="178"/>
    </row>
    <row r="301">
      <c r="A301" s="178"/>
      <c r="B301" s="178"/>
      <c r="C301" s="178"/>
      <c r="D301" s="178"/>
      <c r="E301" s="178"/>
    </row>
    <row r="302">
      <c r="A302" s="178"/>
      <c r="B302" s="178"/>
      <c r="C302" s="178"/>
      <c r="D302" s="178"/>
      <c r="E302" s="178"/>
    </row>
    <row r="303">
      <c r="A303" s="178"/>
      <c r="B303" s="178"/>
      <c r="C303" s="178"/>
      <c r="D303" s="178"/>
      <c r="E303" s="178"/>
    </row>
    <row r="304">
      <c r="A304" s="178"/>
      <c r="B304" s="178"/>
      <c r="C304" s="178"/>
      <c r="D304" s="178"/>
      <c r="E304" s="178"/>
    </row>
    <row r="305">
      <c r="A305" s="178"/>
      <c r="B305" s="178"/>
      <c r="C305" s="178"/>
      <c r="D305" s="178"/>
      <c r="E305" s="178"/>
    </row>
    <row r="306">
      <c r="A306" s="178"/>
      <c r="B306" s="178"/>
      <c r="C306" s="178"/>
      <c r="D306" s="178"/>
      <c r="E306" s="178"/>
    </row>
    <row r="307">
      <c r="A307" s="178"/>
      <c r="B307" s="178"/>
      <c r="C307" s="178"/>
      <c r="D307" s="178"/>
      <c r="E307" s="178"/>
    </row>
    <row r="308">
      <c r="A308" s="178"/>
      <c r="B308" s="178"/>
      <c r="C308" s="178"/>
      <c r="D308" s="178"/>
      <c r="E308" s="178"/>
    </row>
    <row r="309">
      <c r="A309" s="178"/>
      <c r="B309" s="178"/>
      <c r="C309" s="178"/>
      <c r="D309" s="178"/>
      <c r="E309" s="178"/>
    </row>
    <row r="310">
      <c r="A310" s="178"/>
      <c r="B310" s="178"/>
      <c r="C310" s="178"/>
      <c r="D310" s="178"/>
      <c r="E310" s="178"/>
    </row>
    <row r="311">
      <c r="A311" s="178"/>
      <c r="B311" s="178"/>
      <c r="C311" s="178"/>
      <c r="D311" s="178"/>
      <c r="E311" s="178"/>
    </row>
    <row r="312">
      <c r="A312" s="178"/>
      <c r="B312" s="178"/>
      <c r="C312" s="178"/>
      <c r="D312" s="178"/>
      <c r="E312" s="178"/>
    </row>
    <row r="313">
      <c r="A313" s="178"/>
      <c r="B313" s="178"/>
      <c r="C313" s="178"/>
      <c r="D313" s="178"/>
      <c r="E313" s="178"/>
    </row>
    <row r="314">
      <c r="A314" s="178"/>
      <c r="B314" s="178"/>
      <c r="C314" s="178"/>
      <c r="D314" s="178"/>
      <c r="E314" s="178"/>
    </row>
    <row r="315">
      <c r="A315" s="178"/>
      <c r="B315" s="178"/>
      <c r="C315" s="178"/>
      <c r="D315" s="178"/>
      <c r="E315" s="178"/>
    </row>
    <row r="316">
      <c r="A316" s="178"/>
      <c r="B316" s="178"/>
      <c r="C316" s="178"/>
      <c r="D316" s="178"/>
      <c r="E316" s="178"/>
    </row>
    <row r="317">
      <c r="A317" s="178"/>
      <c r="B317" s="178"/>
      <c r="C317" s="178"/>
      <c r="D317" s="178"/>
      <c r="E317" s="178"/>
    </row>
    <row r="318">
      <c r="A318" s="178"/>
      <c r="B318" s="178"/>
      <c r="C318" s="178"/>
      <c r="D318" s="178"/>
      <c r="E318" s="178"/>
    </row>
    <row r="319">
      <c r="A319" s="178"/>
      <c r="B319" s="178"/>
      <c r="C319" s="178"/>
      <c r="D319" s="178"/>
      <c r="E319" s="178"/>
    </row>
    <row r="320">
      <c r="A320" s="178"/>
      <c r="B320" s="178"/>
      <c r="C320" s="178"/>
      <c r="D320" s="178"/>
      <c r="E320" s="178"/>
    </row>
    <row r="321">
      <c r="A321" s="178"/>
      <c r="B321" s="178"/>
      <c r="C321" s="178"/>
      <c r="D321" s="178"/>
      <c r="E321" s="178"/>
    </row>
    <row r="322">
      <c r="A322" s="178"/>
      <c r="B322" s="178"/>
      <c r="C322" s="178"/>
      <c r="D322" s="178"/>
      <c r="E322" s="178"/>
    </row>
    <row r="323">
      <c r="A323" s="178"/>
      <c r="B323" s="178"/>
      <c r="C323" s="178"/>
      <c r="D323" s="178"/>
      <c r="E323" s="178"/>
    </row>
    <row r="324">
      <c r="A324" s="178"/>
      <c r="B324" s="178"/>
      <c r="C324" s="178"/>
      <c r="D324" s="178"/>
      <c r="E324" s="178"/>
    </row>
    <row r="325">
      <c r="A325" s="178"/>
      <c r="B325" s="178"/>
      <c r="C325" s="178"/>
      <c r="D325" s="178"/>
      <c r="E325" s="178"/>
    </row>
    <row r="326">
      <c r="A326" s="178"/>
      <c r="B326" s="178"/>
      <c r="C326" s="178"/>
      <c r="D326" s="178"/>
      <c r="E326" s="178"/>
    </row>
    <row r="327">
      <c r="A327" s="178"/>
      <c r="B327" s="178"/>
      <c r="C327" s="178"/>
      <c r="D327" s="178"/>
      <c r="E327" s="178"/>
    </row>
    <row r="328">
      <c r="A328" s="178"/>
      <c r="B328" s="178"/>
      <c r="C328" s="178"/>
      <c r="D328" s="178"/>
      <c r="E328" s="178"/>
    </row>
    <row r="329">
      <c r="A329" s="178"/>
      <c r="B329" s="178"/>
      <c r="C329" s="178"/>
      <c r="D329" s="178"/>
      <c r="E329" s="178"/>
    </row>
    <row r="330">
      <c r="A330" s="178"/>
      <c r="B330" s="178"/>
      <c r="C330" s="178"/>
      <c r="D330" s="178"/>
      <c r="E330" s="178"/>
    </row>
    <row r="331">
      <c r="A331" s="178"/>
      <c r="B331" s="178"/>
      <c r="C331" s="178"/>
      <c r="D331" s="178"/>
      <c r="E331" s="178"/>
    </row>
    <row r="332">
      <c r="A332" s="178"/>
      <c r="B332" s="178"/>
      <c r="C332" s="178"/>
      <c r="D332" s="178"/>
      <c r="E332" s="178"/>
    </row>
    <row r="333">
      <c r="A333" s="178"/>
      <c r="B333" s="178"/>
      <c r="C333" s="178"/>
      <c r="D333" s="178"/>
      <c r="E333" s="178"/>
    </row>
    <row r="334">
      <c r="A334" s="178"/>
      <c r="B334" s="178"/>
      <c r="C334" s="178"/>
      <c r="D334" s="178"/>
      <c r="E334" s="178"/>
    </row>
    <row r="335">
      <c r="A335" s="178"/>
      <c r="B335" s="178"/>
      <c r="C335" s="178"/>
      <c r="D335" s="178"/>
      <c r="E335" s="178"/>
    </row>
    <row r="336">
      <c r="A336" s="178"/>
      <c r="B336" s="178"/>
      <c r="C336" s="178"/>
      <c r="D336" s="178"/>
      <c r="E336" s="178"/>
    </row>
    <row r="337">
      <c r="A337" s="178"/>
      <c r="B337" s="178"/>
      <c r="C337" s="178"/>
      <c r="D337" s="178"/>
      <c r="E337" s="178"/>
    </row>
    <row r="338">
      <c r="A338" s="178"/>
      <c r="B338" s="178"/>
      <c r="C338" s="178"/>
      <c r="D338" s="178"/>
      <c r="E338" s="178"/>
    </row>
    <row r="339">
      <c r="A339" s="178"/>
      <c r="B339" s="178"/>
      <c r="C339" s="178"/>
      <c r="D339" s="178"/>
      <c r="E339" s="178"/>
    </row>
    <row r="340">
      <c r="A340" s="178"/>
      <c r="B340" s="178"/>
      <c r="C340" s="178"/>
      <c r="D340" s="178"/>
      <c r="E340" s="178"/>
    </row>
    <row r="341">
      <c r="A341" s="178"/>
      <c r="B341" s="178"/>
      <c r="C341" s="178"/>
      <c r="D341" s="178"/>
      <c r="E341" s="178"/>
    </row>
    <row r="342">
      <c r="A342" s="178"/>
      <c r="B342" s="178"/>
      <c r="C342" s="178"/>
      <c r="D342" s="178"/>
      <c r="E342" s="178"/>
    </row>
    <row r="343">
      <c r="A343" s="178"/>
      <c r="B343" s="178"/>
      <c r="C343" s="178"/>
      <c r="D343" s="178"/>
      <c r="E343" s="178"/>
    </row>
    <row r="344">
      <c r="A344" s="178"/>
      <c r="B344" s="178"/>
      <c r="C344" s="178"/>
      <c r="D344" s="178"/>
      <c r="E344" s="178"/>
    </row>
    <row r="345">
      <c r="A345" s="178"/>
      <c r="B345" s="178"/>
      <c r="C345" s="178"/>
      <c r="D345" s="178"/>
      <c r="E345" s="178"/>
    </row>
    <row r="346">
      <c r="A346" s="178"/>
      <c r="B346" s="178"/>
      <c r="C346" s="178"/>
      <c r="D346" s="178"/>
      <c r="E346" s="178"/>
    </row>
    <row r="347">
      <c r="A347" s="178"/>
      <c r="B347" s="178"/>
      <c r="C347" s="178"/>
      <c r="D347" s="178"/>
      <c r="E347" s="178"/>
    </row>
    <row r="348">
      <c r="A348" s="178"/>
      <c r="B348" s="178"/>
      <c r="C348" s="178"/>
      <c r="D348" s="178"/>
      <c r="E348" s="178"/>
    </row>
    <row r="349">
      <c r="A349" s="178"/>
      <c r="B349" s="178"/>
      <c r="C349" s="178"/>
      <c r="D349" s="178"/>
      <c r="E349" s="178"/>
    </row>
    <row r="350">
      <c r="A350" s="178"/>
      <c r="B350" s="178"/>
      <c r="C350" s="178"/>
      <c r="D350" s="178"/>
      <c r="E350" s="178"/>
    </row>
    <row r="351">
      <c r="A351" s="178"/>
      <c r="B351" s="178"/>
      <c r="C351" s="178"/>
      <c r="D351" s="178"/>
      <c r="E351" s="178"/>
    </row>
    <row r="352">
      <c r="A352" s="178"/>
      <c r="B352" s="178"/>
      <c r="C352" s="178"/>
      <c r="D352" s="178"/>
      <c r="E352" s="178"/>
    </row>
    <row r="353">
      <c r="A353" s="178"/>
      <c r="B353" s="178"/>
      <c r="C353" s="178"/>
      <c r="D353" s="178"/>
      <c r="E353" s="178"/>
    </row>
    <row r="354">
      <c r="A354" s="178"/>
      <c r="B354" s="178"/>
      <c r="C354" s="178"/>
      <c r="D354" s="178"/>
      <c r="E354" s="178"/>
    </row>
    <row r="355">
      <c r="A355" s="178"/>
      <c r="B355" s="178"/>
      <c r="C355" s="178"/>
      <c r="D355" s="178"/>
      <c r="E355" s="178"/>
    </row>
    <row r="356">
      <c r="A356" s="178"/>
      <c r="B356" s="178"/>
      <c r="C356" s="178"/>
      <c r="D356" s="178"/>
      <c r="E356" s="178"/>
    </row>
    <row r="357">
      <c r="A357" s="178"/>
      <c r="B357" s="178"/>
      <c r="C357" s="178"/>
      <c r="D357" s="178"/>
      <c r="E357" s="178"/>
    </row>
    <row r="358">
      <c r="A358" s="178"/>
      <c r="B358" s="178"/>
      <c r="C358" s="178"/>
      <c r="D358" s="178"/>
      <c r="E358" s="178"/>
    </row>
    <row r="359">
      <c r="A359" s="178"/>
      <c r="B359" s="178"/>
      <c r="C359" s="178"/>
      <c r="D359" s="178"/>
      <c r="E359" s="178"/>
    </row>
    <row r="360">
      <c r="A360" s="178"/>
      <c r="B360" s="178"/>
      <c r="C360" s="178"/>
      <c r="D360" s="178"/>
      <c r="E360" s="178"/>
    </row>
    <row r="361">
      <c r="A361" s="178"/>
      <c r="B361" s="178"/>
      <c r="C361" s="178"/>
      <c r="D361" s="178"/>
      <c r="E361" s="178"/>
    </row>
    <row r="362">
      <c r="A362" s="178"/>
      <c r="B362" s="178"/>
      <c r="C362" s="178"/>
      <c r="D362" s="178"/>
      <c r="E362" s="178"/>
    </row>
    <row r="363">
      <c r="A363" s="178"/>
      <c r="B363" s="178"/>
      <c r="C363" s="178"/>
      <c r="D363" s="178"/>
      <c r="E363" s="178"/>
    </row>
    <row r="364">
      <c r="A364" s="178"/>
      <c r="B364" s="178"/>
      <c r="C364" s="178"/>
      <c r="D364" s="178"/>
      <c r="E364" s="178"/>
    </row>
    <row r="365">
      <c r="A365" s="178"/>
      <c r="B365" s="178"/>
      <c r="C365" s="178"/>
      <c r="D365" s="178"/>
      <c r="E365" s="178"/>
    </row>
    <row r="366">
      <c r="A366" s="178"/>
      <c r="B366" s="178"/>
      <c r="C366" s="178"/>
      <c r="D366" s="178"/>
      <c r="E366" s="178"/>
    </row>
    <row r="367">
      <c r="A367" s="178"/>
      <c r="B367" s="178"/>
      <c r="C367" s="178"/>
      <c r="D367" s="178"/>
      <c r="E367" s="178"/>
    </row>
    <row r="368">
      <c r="A368" s="178"/>
      <c r="B368" s="178"/>
      <c r="C368" s="178"/>
      <c r="D368" s="178"/>
      <c r="E368" s="178"/>
    </row>
    <row r="369">
      <c r="A369" s="178"/>
      <c r="B369" s="178"/>
      <c r="C369" s="178"/>
      <c r="D369" s="178"/>
      <c r="E369" s="178"/>
    </row>
    <row r="370">
      <c r="A370" s="178"/>
      <c r="B370" s="178"/>
      <c r="C370" s="178"/>
      <c r="D370" s="178"/>
      <c r="E370" s="178"/>
    </row>
    <row r="371">
      <c r="A371" s="178"/>
      <c r="B371" s="178"/>
      <c r="C371" s="178"/>
      <c r="D371" s="178"/>
      <c r="E371" s="178"/>
    </row>
    <row r="372">
      <c r="A372" s="178"/>
      <c r="B372" s="178"/>
      <c r="C372" s="178"/>
      <c r="D372" s="178"/>
      <c r="E372" s="178"/>
    </row>
    <row r="373">
      <c r="A373" s="178"/>
      <c r="B373" s="178"/>
      <c r="C373" s="178"/>
      <c r="D373" s="178"/>
      <c r="E373" s="178"/>
    </row>
    <row r="374">
      <c r="A374" s="178"/>
      <c r="B374" s="178"/>
      <c r="C374" s="178"/>
      <c r="D374" s="178"/>
      <c r="E374" s="178"/>
    </row>
    <row r="375">
      <c r="A375" s="178"/>
      <c r="B375" s="178"/>
      <c r="C375" s="178"/>
      <c r="D375" s="178"/>
      <c r="E375" s="178"/>
    </row>
    <row r="376">
      <c r="A376" s="178"/>
      <c r="B376" s="178"/>
      <c r="C376" s="178"/>
      <c r="D376" s="178"/>
      <c r="E376" s="178"/>
    </row>
    <row r="377">
      <c r="A377" s="178"/>
      <c r="B377" s="178"/>
      <c r="C377" s="178"/>
      <c r="D377" s="178"/>
      <c r="E377" s="178"/>
    </row>
    <row r="378">
      <c r="A378" s="178"/>
      <c r="B378" s="178"/>
      <c r="C378" s="178"/>
      <c r="D378" s="178"/>
      <c r="E378" s="178"/>
    </row>
    <row r="379">
      <c r="A379" s="178"/>
      <c r="B379" s="178"/>
      <c r="C379" s="178"/>
      <c r="D379" s="178"/>
      <c r="E379" s="178"/>
    </row>
    <row r="380">
      <c r="A380" s="178"/>
      <c r="B380" s="178"/>
      <c r="C380" s="178"/>
      <c r="D380" s="178"/>
      <c r="E380" s="178"/>
    </row>
    <row r="381">
      <c r="A381" s="178"/>
      <c r="B381" s="178"/>
      <c r="C381" s="178"/>
      <c r="D381" s="178"/>
      <c r="E381" s="178"/>
    </row>
    <row r="382">
      <c r="A382" s="178"/>
      <c r="B382" s="178"/>
      <c r="C382" s="178"/>
      <c r="D382" s="178"/>
      <c r="E382" s="178"/>
    </row>
    <row r="383">
      <c r="A383" s="178"/>
      <c r="B383" s="178"/>
      <c r="C383" s="178"/>
      <c r="D383" s="178"/>
      <c r="E383" s="178"/>
    </row>
    <row r="384">
      <c r="A384" s="178"/>
      <c r="B384" s="178"/>
      <c r="C384" s="178"/>
      <c r="D384" s="178"/>
      <c r="E384" s="178"/>
    </row>
    <row r="385">
      <c r="A385" s="178"/>
      <c r="B385" s="178"/>
      <c r="C385" s="178"/>
      <c r="D385" s="178"/>
      <c r="E385" s="178"/>
    </row>
    <row r="386">
      <c r="A386" s="178"/>
      <c r="B386" s="178"/>
      <c r="C386" s="178"/>
      <c r="D386" s="178"/>
      <c r="E386" s="178"/>
    </row>
    <row r="387">
      <c r="A387" s="178"/>
      <c r="B387" s="178"/>
      <c r="C387" s="178"/>
      <c r="D387" s="178"/>
      <c r="E387" s="178"/>
    </row>
    <row r="388">
      <c r="A388" s="178"/>
      <c r="B388" s="178"/>
      <c r="C388" s="178"/>
      <c r="D388" s="178"/>
      <c r="E388" s="178"/>
    </row>
    <row r="389">
      <c r="A389" s="178"/>
      <c r="B389" s="178"/>
      <c r="C389" s="178"/>
      <c r="D389" s="178"/>
      <c r="E389" s="178"/>
    </row>
    <row r="390">
      <c r="A390" s="178"/>
      <c r="B390" s="178"/>
      <c r="C390" s="178"/>
      <c r="D390" s="178"/>
      <c r="E390" s="178"/>
    </row>
    <row r="391">
      <c r="A391" s="178"/>
      <c r="B391" s="178"/>
      <c r="C391" s="178"/>
      <c r="D391" s="178"/>
      <c r="E391" s="178"/>
    </row>
    <row r="392">
      <c r="A392" s="178"/>
      <c r="B392" s="178"/>
      <c r="C392" s="178"/>
      <c r="D392" s="178"/>
      <c r="E392" s="178"/>
    </row>
    <row r="393">
      <c r="A393" s="178"/>
      <c r="B393" s="178"/>
      <c r="C393" s="178"/>
      <c r="D393" s="178"/>
      <c r="E393" s="178"/>
    </row>
    <row r="394">
      <c r="A394" s="178"/>
      <c r="B394" s="178"/>
      <c r="C394" s="178"/>
      <c r="D394" s="178"/>
      <c r="E394" s="178"/>
    </row>
    <row r="395">
      <c r="A395" s="178"/>
      <c r="B395" s="178"/>
      <c r="C395" s="178"/>
      <c r="D395" s="178"/>
      <c r="E395" s="178"/>
    </row>
    <row r="396">
      <c r="A396" s="178"/>
      <c r="B396" s="178"/>
      <c r="C396" s="178"/>
      <c r="D396" s="178"/>
      <c r="E396" s="178"/>
    </row>
    <row r="397">
      <c r="A397" s="178"/>
      <c r="B397" s="178"/>
      <c r="C397" s="178"/>
      <c r="D397" s="178"/>
      <c r="E397" s="178"/>
    </row>
    <row r="398">
      <c r="A398" s="178"/>
      <c r="B398" s="178"/>
      <c r="C398" s="178"/>
      <c r="D398" s="178"/>
      <c r="E398" s="178"/>
    </row>
    <row r="399">
      <c r="A399" s="178"/>
      <c r="B399" s="178"/>
      <c r="C399" s="178"/>
      <c r="D399" s="178"/>
      <c r="E399" s="178"/>
    </row>
    <row r="400">
      <c r="A400" s="178"/>
      <c r="B400" s="178"/>
      <c r="C400" s="178"/>
      <c r="D400" s="178"/>
      <c r="E400" s="178"/>
    </row>
    <row r="401">
      <c r="A401" s="178"/>
      <c r="B401" s="178"/>
      <c r="C401" s="178"/>
      <c r="D401" s="178"/>
      <c r="E401" s="178"/>
    </row>
    <row r="402">
      <c r="A402" s="178"/>
      <c r="B402" s="178"/>
      <c r="C402" s="178"/>
      <c r="D402" s="178"/>
      <c r="E402" s="178"/>
    </row>
    <row r="403">
      <c r="A403" s="178"/>
      <c r="B403" s="178"/>
      <c r="C403" s="178"/>
      <c r="D403" s="178"/>
      <c r="E403" s="178"/>
    </row>
    <row r="404">
      <c r="A404" s="178"/>
      <c r="B404" s="178"/>
      <c r="C404" s="178"/>
      <c r="D404" s="178"/>
      <c r="E404" s="178"/>
    </row>
    <row r="405">
      <c r="A405" s="178"/>
      <c r="B405" s="178"/>
      <c r="C405" s="178"/>
      <c r="D405" s="178"/>
      <c r="E405" s="178"/>
    </row>
    <row r="406">
      <c r="A406" s="178"/>
      <c r="B406" s="178"/>
      <c r="C406" s="178"/>
      <c r="D406" s="178"/>
      <c r="E406" s="178"/>
    </row>
    <row r="407">
      <c r="A407" s="178"/>
      <c r="B407" s="178"/>
      <c r="C407" s="178"/>
      <c r="D407" s="178"/>
      <c r="E407" s="178"/>
    </row>
    <row r="408">
      <c r="A408" s="178"/>
      <c r="B408" s="178"/>
      <c r="C408" s="178"/>
      <c r="D408" s="178"/>
      <c r="E408" s="178"/>
    </row>
    <row r="409">
      <c r="A409" s="178"/>
      <c r="B409" s="178"/>
      <c r="C409" s="178"/>
      <c r="D409" s="178"/>
      <c r="E409" s="178"/>
    </row>
    <row r="410">
      <c r="A410" s="178"/>
      <c r="B410" s="178"/>
      <c r="C410" s="178"/>
      <c r="D410" s="178"/>
      <c r="E410" s="178"/>
    </row>
    <row r="411">
      <c r="A411" s="178"/>
      <c r="B411" s="178"/>
      <c r="C411" s="178"/>
      <c r="D411" s="178"/>
      <c r="E411" s="178"/>
    </row>
    <row r="412">
      <c r="A412" s="178"/>
      <c r="B412" s="178"/>
      <c r="C412" s="178"/>
      <c r="D412" s="178"/>
      <c r="E412" s="178"/>
    </row>
    <row r="413">
      <c r="A413" s="178"/>
      <c r="B413" s="178"/>
      <c r="C413" s="178"/>
      <c r="D413" s="178"/>
      <c r="E413" s="178"/>
    </row>
    <row r="414">
      <c r="A414" s="178"/>
      <c r="B414" s="178"/>
      <c r="C414" s="178"/>
      <c r="D414" s="178"/>
      <c r="E414" s="178"/>
    </row>
    <row r="415">
      <c r="A415" s="178"/>
      <c r="B415" s="178"/>
      <c r="C415" s="178"/>
      <c r="D415" s="178"/>
      <c r="E415" s="178"/>
    </row>
    <row r="416">
      <c r="A416" s="178"/>
      <c r="B416" s="178"/>
      <c r="C416" s="178"/>
      <c r="D416" s="178"/>
      <c r="E416" s="178"/>
    </row>
    <row r="417">
      <c r="A417" s="178"/>
      <c r="B417" s="178"/>
      <c r="C417" s="178"/>
      <c r="D417" s="178"/>
      <c r="E417" s="178"/>
    </row>
    <row r="418">
      <c r="A418" s="178"/>
      <c r="B418" s="178"/>
      <c r="C418" s="178"/>
      <c r="D418" s="178"/>
      <c r="E418" s="178"/>
    </row>
    <row r="419">
      <c r="A419" s="178"/>
      <c r="B419" s="178"/>
      <c r="C419" s="178"/>
      <c r="D419" s="178"/>
      <c r="E419" s="178"/>
    </row>
    <row r="420">
      <c r="A420" s="178"/>
      <c r="B420" s="178"/>
      <c r="C420" s="178"/>
      <c r="D420" s="178"/>
      <c r="E420" s="178"/>
    </row>
    <row r="421">
      <c r="A421" s="178"/>
      <c r="B421" s="178"/>
      <c r="C421" s="178"/>
      <c r="D421" s="178"/>
      <c r="E421" s="178"/>
    </row>
    <row r="422">
      <c r="A422" s="178"/>
      <c r="B422" s="178"/>
      <c r="C422" s="178"/>
      <c r="D422" s="178"/>
      <c r="E422" s="178"/>
    </row>
    <row r="423">
      <c r="A423" s="178"/>
      <c r="B423" s="178"/>
      <c r="C423" s="178"/>
      <c r="D423" s="178"/>
      <c r="E423" s="178"/>
    </row>
    <row r="424">
      <c r="A424" s="178"/>
      <c r="B424" s="178"/>
      <c r="C424" s="178"/>
      <c r="D424" s="178"/>
      <c r="E424" s="178"/>
    </row>
    <row r="425">
      <c r="A425" s="178"/>
      <c r="B425" s="178"/>
      <c r="C425" s="178"/>
      <c r="D425" s="178"/>
      <c r="E425" s="178"/>
    </row>
    <row r="426">
      <c r="A426" s="178"/>
      <c r="B426" s="178"/>
      <c r="C426" s="178"/>
      <c r="D426" s="178"/>
      <c r="E426" s="178"/>
    </row>
    <row r="427">
      <c r="A427" s="178"/>
      <c r="B427" s="178"/>
      <c r="C427" s="178"/>
      <c r="D427" s="178"/>
      <c r="E427" s="178"/>
    </row>
    <row r="428">
      <c r="A428" s="178"/>
      <c r="B428" s="178"/>
      <c r="C428" s="178"/>
      <c r="D428" s="178"/>
      <c r="E428" s="178"/>
    </row>
    <row r="429">
      <c r="A429" s="178"/>
      <c r="B429" s="178"/>
      <c r="C429" s="178"/>
      <c r="D429" s="178"/>
      <c r="E429" s="178"/>
    </row>
    <row r="430">
      <c r="A430" s="178"/>
      <c r="B430" s="178"/>
      <c r="C430" s="178"/>
      <c r="D430" s="178"/>
      <c r="E430" s="178"/>
    </row>
    <row r="431">
      <c r="A431" s="178"/>
      <c r="B431" s="178"/>
      <c r="C431" s="178"/>
      <c r="D431" s="178"/>
      <c r="E431" s="178"/>
    </row>
    <row r="432">
      <c r="A432" s="178"/>
      <c r="B432" s="178"/>
      <c r="C432" s="178"/>
      <c r="D432" s="178"/>
      <c r="E432" s="178"/>
    </row>
    <row r="433">
      <c r="A433" s="178"/>
      <c r="B433" s="178"/>
      <c r="C433" s="178"/>
      <c r="D433" s="178"/>
      <c r="E433" s="178"/>
    </row>
    <row r="434">
      <c r="A434" s="178"/>
      <c r="B434" s="178"/>
      <c r="C434" s="178"/>
      <c r="D434" s="178"/>
      <c r="E434" s="178"/>
    </row>
    <row r="435">
      <c r="A435" s="178"/>
      <c r="B435" s="178"/>
      <c r="C435" s="178"/>
      <c r="D435" s="178"/>
      <c r="E435" s="178"/>
    </row>
    <row r="436">
      <c r="A436" s="178"/>
      <c r="B436" s="178"/>
      <c r="C436" s="178"/>
      <c r="D436" s="178"/>
      <c r="E436" s="178"/>
    </row>
    <row r="437">
      <c r="A437" s="178"/>
      <c r="B437" s="178"/>
      <c r="C437" s="178"/>
      <c r="D437" s="178"/>
      <c r="E437" s="178"/>
    </row>
    <row r="438">
      <c r="A438" s="178"/>
      <c r="B438" s="178"/>
      <c r="C438" s="178"/>
      <c r="D438" s="178"/>
      <c r="E438" s="178"/>
    </row>
    <row r="439">
      <c r="A439" s="178"/>
      <c r="B439" s="178"/>
      <c r="C439" s="178"/>
      <c r="D439" s="178"/>
      <c r="E439" s="178"/>
    </row>
    <row r="440">
      <c r="A440" s="178"/>
      <c r="B440" s="178"/>
      <c r="C440" s="178"/>
      <c r="D440" s="178"/>
      <c r="E440" s="178"/>
    </row>
    <row r="441">
      <c r="A441" s="178"/>
      <c r="B441" s="178"/>
      <c r="C441" s="178"/>
      <c r="D441" s="178"/>
      <c r="E441" s="178"/>
    </row>
    <row r="442">
      <c r="A442" s="178"/>
      <c r="B442" s="178"/>
      <c r="C442" s="178"/>
      <c r="D442" s="178"/>
      <c r="E442" s="178"/>
    </row>
    <row r="443">
      <c r="A443" s="178"/>
      <c r="B443" s="178"/>
      <c r="C443" s="178"/>
      <c r="D443" s="178"/>
      <c r="E443" s="178"/>
    </row>
    <row r="444">
      <c r="A444" s="178"/>
      <c r="B444" s="178"/>
      <c r="C444" s="178"/>
      <c r="D444" s="178"/>
      <c r="E444" s="178"/>
    </row>
    <row r="445">
      <c r="A445" s="178"/>
      <c r="B445" s="178"/>
      <c r="C445" s="178"/>
      <c r="D445" s="178"/>
      <c r="E445" s="178"/>
    </row>
    <row r="446">
      <c r="A446" s="178"/>
      <c r="B446" s="178"/>
      <c r="C446" s="178"/>
      <c r="D446" s="178"/>
      <c r="E446" s="178"/>
    </row>
    <row r="447">
      <c r="A447" s="178"/>
      <c r="B447" s="178"/>
      <c r="C447" s="178"/>
      <c r="D447" s="178"/>
      <c r="E447" s="178"/>
    </row>
    <row r="448">
      <c r="A448" s="178"/>
      <c r="B448" s="178"/>
      <c r="C448" s="178"/>
      <c r="D448" s="178"/>
      <c r="E448" s="178"/>
    </row>
    <row r="449">
      <c r="A449" s="178"/>
      <c r="B449" s="178"/>
      <c r="C449" s="178"/>
      <c r="D449" s="178"/>
      <c r="E449" s="178"/>
    </row>
    <row r="450">
      <c r="A450" s="178"/>
      <c r="B450" s="178"/>
      <c r="C450" s="178"/>
      <c r="D450" s="178"/>
      <c r="E450" s="178"/>
    </row>
    <row r="451">
      <c r="A451" s="178"/>
      <c r="B451" s="178"/>
      <c r="C451" s="178"/>
      <c r="D451" s="178"/>
      <c r="E451" s="178"/>
    </row>
    <row r="452">
      <c r="A452" s="178"/>
      <c r="B452" s="178"/>
      <c r="C452" s="178"/>
      <c r="D452" s="178"/>
      <c r="E452" s="178"/>
    </row>
    <row r="453">
      <c r="A453" s="178"/>
      <c r="B453" s="178"/>
      <c r="C453" s="178"/>
      <c r="D453" s="178"/>
      <c r="E453" s="178"/>
    </row>
    <row r="454">
      <c r="A454" s="178"/>
      <c r="B454" s="178"/>
      <c r="C454" s="178"/>
      <c r="D454" s="178"/>
      <c r="E454" s="178"/>
    </row>
    <row r="455">
      <c r="A455" s="178"/>
      <c r="B455" s="178"/>
      <c r="C455" s="178"/>
      <c r="D455" s="178"/>
      <c r="E455" s="178"/>
    </row>
    <row r="456">
      <c r="A456" s="178"/>
      <c r="B456" s="178"/>
      <c r="C456" s="178"/>
      <c r="D456" s="178"/>
      <c r="E456" s="178"/>
    </row>
    <row r="457">
      <c r="A457" s="178"/>
      <c r="B457" s="178"/>
      <c r="C457" s="178"/>
      <c r="D457" s="178"/>
      <c r="E457" s="178"/>
    </row>
    <row r="458">
      <c r="A458" s="178"/>
      <c r="B458" s="178"/>
      <c r="C458" s="178"/>
      <c r="D458" s="178"/>
      <c r="E458" s="178"/>
    </row>
    <row r="459">
      <c r="A459" s="178"/>
      <c r="B459" s="178"/>
      <c r="C459" s="178"/>
      <c r="D459" s="178"/>
      <c r="E459" s="178"/>
    </row>
    <row r="460">
      <c r="A460" s="178"/>
      <c r="B460" s="178"/>
      <c r="C460" s="178"/>
      <c r="D460" s="178"/>
      <c r="E460" s="178"/>
    </row>
    <row r="461">
      <c r="A461" s="178"/>
      <c r="B461" s="178"/>
      <c r="C461" s="178"/>
      <c r="D461" s="178"/>
      <c r="E461" s="178"/>
    </row>
    <row r="462">
      <c r="A462" s="178"/>
      <c r="B462" s="178"/>
      <c r="C462" s="178"/>
      <c r="D462" s="178"/>
      <c r="E462" s="178"/>
    </row>
    <row r="463">
      <c r="A463" s="178"/>
      <c r="B463" s="178"/>
      <c r="C463" s="178"/>
      <c r="D463" s="178"/>
      <c r="E463" s="178"/>
    </row>
    <row r="464">
      <c r="A464" s="178"/>
      <c r="B464" s="178"/>
      <c r="C464" s="178"/>
      <c r="D464" s="178"/>
      <c r="E464" s="178"/>
    </row>
    <row r="465">
      <c r="A465" s="178"/>
      <c r="B465" s="178"/>
      <c r="C465" s="178"/>
      <c r="D465" s="178"/>
      <c r="E465" s="178"/>
    </row>
    <row r="466">
      <c r="A466" s="178"/>
      <c r="B466" s="178"/>
      <c r="C466" s="178"/>
      <c r="D466" s="178"/>
      <c r="E466" s="178"/>
    </row>
    <row r="467">
      <c r="A467" s="178"/>
      <c r="B467" s="178"/>
      <c r="C467" s="178"/>
      <c r="D467" s="178"/>
      <c r="E467" s="178"/>
    </row>
    <row r="468">
      <c r="A468" s="178"/>
      <c r="B468" s="178"/>
      <c r="C468" s="178"/>
      <c r="D468" s="178"/>
      <c r="E468" s="178"/>
    </row>
    <row r="469">
      <c r="A469" s="178"/>
      <c r="B469" s="178"/>
      <c r="C469" s="178"/>
      <c r="D469" s="178"/>
      <c r="E469" s="178"/>
    </row>
    <row r="470">
      <c r="A470" s="178"/>
      <c r="B470" s="178"/>
      <c r="C470" s="178"/>
      <c r="D470" s="178"/>
      <c r="E470" s="178"/>
    </row>
    <row r="471">
      <c r="A471" s="178"/>
      <c r="B471" s="178"/>
      <c r="C471" s="178"/>
      <c r="D471" s="178"/>
      <c r="E471" s="178"/>
    </row>
    <row r="472">
      <c r="A472" s="178"/>
      <c r="B472" s="178"/>
      <c r="C472" s="178"/>
      <c r="D472" s="178"/>
      <c r="E472" s="178"/>
    </row>
    <row r="473">
      <c r="A473" s="178"/>
      <c r="B473" s="178"/>
      <c r="C473" s="178"/>
      <c r="D473" s="178"/>
      <c r="E473" s="178"/>
    </row>
    <row r="474">
      <c r="A474" s="178"/>
      <c r="B474" s="178"/>
      <c r="C474" s="178"/>
      <c r="D474" s="178"/>
      <c r="E474" s="178"/>
    </row>
    <row r="475">
      <c r="A475" s="178"/>
      <c r="B475" s="178"/>
      <c r="C475" s="178"/>
      <c r="D475" s="178"/>
      <c r="E475" s="178"/>
    </row>
    <row r="476">
      <c r="A476" s="178"/>
      <c r="B476" s="178"/>
      <c r="C476" s="178"/>
      <c r="D476" s="178"/>
      <c r="E476" s="178"/>
    </row>
    <row r="477">
      <c r="A477" s="178"/>
      <c r="B477" s="178"/>
      <c r="C477" s="178"/>
      <c r="D477" s="178"/>
      <c r="E477" s="178"/>
    </row>
    <row r="478">
      <c r="A478" s="178"/>
      <c r="B478" s="178"/>
      <c r="C478" s="178"/>
      <c r="D478" s="178"/>
      <c r="E478" s="178"/>
    </row>
    <row r="479">
      <c r="A479" s="178"/>
      <c r="B479" s="178"/>
      <c r="C479" s="178"/>
      <c r="D479" s="178"/>
      <c r="E479" s="178"/>
    </row>
    <row r="480">
      <c r="A480" s="178"/>
      <c r="B480" s="178"/>
      <c r="C480" s="178"/>
      <c r="D480" s="178"/>
      <c r="E480" s="178"/>
    </row>
    <row r="481">
      <c r="A481" s="178"/>
      <c r="B481" s="178"/>
      <c r="C481" s="178"/>
      <c r="D481" s="178"/>
      <c r="E481" s="178"/>
    </row>
    <row r="482">
      <c r="A482" s="178"/>
      <c r="B482" s="178"/>
      <c r="C482" s="178"/>
      <c r="D482" s="178"/>
      <c r="E482" s="178"/>
    </row>
    <row r="483">
      <c r="A483" s="178"/>
      <c r="B483" s="178"/>
      <c r="C483" s="178"/>
      <c r="D483" s="178"/>
      <c r="E483" s="178"/>
    </row>
    <row r="484">
      <c r="A484" s="178"/>
      <c r="B484" s="178"/>
      <c r="C484" s="178"/>
      <c r="D484" s="178"/>
      <c r="E484" s="178"/>
    </row>
    <row r="485">
      <c r="A485" s="178"/>
      <c r="B485" s="178"/>
      <c r="C485" s="178"/>
      <c r="D485" s="178"/>
      <c r="E485" s="178"/>
    </row>
    <row r="486">
      <c r="A486" s="178"/>
      <c r="B486" s="178"/>
      <c r="C486" s="178"/>
      <c r="D486" s="178"/>
      <c r="E486" s="178"/>
    </row>
    <row r="487">
      <c r="A487" s="178"/>
      <c r="B487" s="178"/>
      <c r="C487" s="178"/>
      <c r="D487" s="178"/>
      <c r="E487" s="178"/>
    </row>
    <row r="488">
      <c r="A488" s="178"/>
      <c r="B488" s="178"/>
      <c r="C488" s="178"/>
      <c r="D488" s="178"/>
      <c r="E488" s="178"/>
    </row>
    <row r="489">
      <c r="A489" s="178"/>
      <c r="B489" s="178"/>
      <c r="C489" s="178"/>
      <c r="D489" s="178"/>
      <c r="E489" s="178"/>
    </row>
    <row r="490">
      <c r="A490" s="178"/>
      <c r="B490" s="178"/>
      <c r="C490" s="178"/>
      <c r="D490" s="178"/>
      <c r="E490" s="178"/>
    </row>
    <row r="491">
      <c r="A491" s="178"/>
      <c r="B491" s="178"/>
      <c r="C491" s="178"/>
      <c r="D491" s="178"/>
      <c r="E491" s="178"/>
    </row>
    <row r="492">
      <c r="A492" s="178"/>
      <c r="B492" s="178"/>
      <c r="C492" s="178"/>
      <c r="D492" s="178"/>
      <c r="E492" s="178"/>
    </row>
    <row r="493">
      <c r="A493" s="178"/>
      <c r="B493" s="178"/>
      <c r="C493" s="178"/>
      <c r="D493" s="178"/>
      <c r="E493" s="178"/>
    </row>
    <row r="494">
      <c r="A494" s="178"/>
      <c r="B494" s="178"/>
      <c r="C494" s="178"/>
      <c r="D494" s="178"/>
      <c r="E494" s="178"/>
    </row>
    <row r="495">
      <c r="A495" s="178"/>
      <c r="B495" s="178"/>
      <c r="C495" s="178"/>
      <c r="D495" s="178"/>
      <c r="E495" s="178"/>
    </row>
    <row r="496">
      <c r="A496" s="178"/>
      <c r="B496" s="178"/>
      <c r="C496" s="178"/>
      <c r="D496" s="178"/>
      <c r="E496" s="178"/>
    </row>
    <row r="497">
      <c r="A497" s="178"/>
      <c r="B497" s="178"/>
      <c r="C497" s="178"/>
      <c r="D497" s="178"/>
      <c r="E497" s="178"/>
    </row>
    <row r="498">
      <c r="A498" s="178"/>
      <c r="B498" s="178"/>
      <c r="C498" s="178"/>
      <c r="D498" s="178"/>
      <c r="E498" s="178"/>
    </row>
    <row r="499">
      <c r="A499" s="178"/>
      <c r="B499" s="178"/>
      <c r="C499" s="178"/>
      <c r="D499" s="178"/>
      <c r="E499" s="178"/>
    </row>
    <row r="500">
      <c r="A500" s="178"/>
      <c r="B500" s="178"/>
      <c r="C500" s="178"/>
      <c r="D500" s="178"/>
      <c r="E500" s="178"/>
    </row>
    <row r="501">
      <c r="A501" s="178"/>
      <c r="B501" s="178"/>
      <c r="C501" s="178"/>
      <c r="D501" s="178"/>
      <c r="E501" s="178"/>
    </row>
    <row r="502">
      <c r="A502" s="178"/>
      <c r="B502" s="178"/>
      <c r="C502" s="178"/>
      <c r="D502" s="178"/>
      <c r="E502" s="178"/>
    </row>
    <row r="503">
      <c r="A503" s="178"/>
      <c r="B503" s="178"/>
      <c r="C503" s="178"/>
      <c r="D503" s="178"/>
      <c r="E503" s="178"/>
    </row>
    <row r="504">
      <c r="A504" s="178"/>
      <c r="B504" s="178"/>
      <c r="C504" s="178"/>
      <c r="D504" s="178"/>
      <c r="E504" s="178"/>
    </row>
    <row r="505">
      <c r="A505" s="178"/>
      <c r="B505" s="178"/>
      <c r="C505" s="178"/>
      <c r="D505" s="178"/>
      <c r="E505" s="178"/>
    </row>
    <row r="506">
      <c r="A506" s="178"/>
      <c r="B506" s="178"/>
      <c r="C506" s="178"/>
      <c r="D506" s="178"/>
      <c r="E506" s="178"/>
    </row>
    <row r="507">
      <c r="A507" s="178"/>
      <c r="B507" s="178"/>
      <c r="C507" s="178"/>
      <c r="D507" s="178"/>
      <c r="E507" s="178"/>
    </row>
    <row r="508">
      <c r="A508" s="178"/>
      <c r="B508" s="178"/>
      <c r="C508" s="178"/>
      <c r="D508" s="178"/>
      <c r="E508" s="178"/>
    </row>
    <row r="509">
      <c r="A509" s="178"/>
      <c r="B509" s="178"/>
      <c r="C509" s="178"/>
      <c r="D509" s="178"/>
      <c r="E509" s="178"/>
    </row>
    <row r="510">
      <c r="A510" s="178"/>
      <c r="B510" s="178"/>
      <c r="C510" s="178"/>
      <c r="D510" s="178"/>
      <c r="E510" s="178"/>
    </row>
    <row r="511">
      <c r="A511" s="178"/>
      <c r="B511" s="178"/>
      <c r="C511" s="178"/>
      <c r="D511" s="178"/>
      <c r="E511" s="178"/>
    </row>
    <row r="512">
      <c r="A512" s="178"/>
      <c r="B512" s="178"/>
      <c r="C512" s="178"/>
      <c r="D512" s="178"/>
      <c r="E512" s="178"/>
    </row>
    <row r="513">
      <c r="A513" s="178"/>
      <c r="B513" s="178"/>
      <c r="C513" s="178"/>
      <c r="D513" s="178"/>
      <c r="E513" s="178"/>
    </row>
    <row r="514">
      <c r="A514" s="178"/>
      <c r="B514" s="178"/>
      <c r="C514" s="178"/>
      <c r="D514" s="178"/>
      <c r="E514" s="178"/>
    </row>
    <row r="515">
      <c r="A515" s="178"/>
      <c r="B515" s="178"/>
      <c r="C515" s="178"/>
      <c r="D515" s="178"/>
      <c r="E515" s="178"/>
    </row>
    <row r="516">
      <c r="A516" s="178"/>
      <c r="B516" s="178"/>
      <c r="C516" s="178"/>
      <c r="D516" s="178"/>
      <c r="E516" s="178"/>
    </row>
    <row r="517">
      <c r="A517" s="178"/>
      <c r="B517" s="178"/>
      <c r="C517" s="178"/>
      <c r="D517" s="178"/>
      <c r="E517" s="178"/>
    </row>
    <row r="518">
      <c r="A518" s="178"/>
      <c r="B518" s="178"/>
      <c r="C518" s="178"/>
      <c r="D518" s="178"/>
      <c r="E518" s="178"/>
    </row>
    <row r="519">
      <c r="A519" s="178"/>
      <c r="B519" s="178"/>
      <c r="C519" s="178"/>
      <c r="D519" s="178"/>
      <c r="E519" s="178"/>
    </row>
    <row r="520">
      <c r="A520" s="178"/>
      <c r="B520" s="178"/>
      <c r="C520" s="178"/>
      <c r="D520" s="178"/>
      <c r="E520" s="178"/>
    </row>
    <row r="521">
      <c r="A521" s="178"/>
      <c r="B521" s="178"/>
      <c r="C521" s="178"/>
      <c r="D521" s="178"/>
      <c r="E521" s="178"/>
    </row>
    <row r="522">
      <c r="A522" s="178"/>
      <c r="B522" s="178"/>
      <c r="C522" s="178"/>
      <c r="D522" s="178"/>
      <c r="E522" s="178"/>
    </row>
    <row r="523">
      <c r="A523" s="178"/>
      <c r="B523" s="178"/>
      <c r="C523" s="178"/>
      <c r="D523" s="178"/>
      <c r="E523" s="178"/>
    </row>
    <row r="524">
      <c r="A524" s="178"/>
      <c r="B524" s="178"/>
      <c r="C524" s="178"/>
      <c r="D524" s="178"/>
      <c r="E524" s="178"/>
    </row>
    <row r="525">
      <c r="A525" s="178"/>
      <c r="B525" s="178"/>
      <c r="C525" s="178"/>
      <c r="D525" s="178"/>
      <c r="E525" s="178"/>
    </row>
    <row r="526">
      <c r="A526" s="178"/>
      <c r="B526" s="178"/>
      <c r="C526" s="178"/>
      <c r="D526" s="178"/>
      <c r="E526" s="178"/>
    </row>
    <row r="527">
      <c r="A527" s="178"/>
      <c r="B527" s="178"/>
      <c r="C527" s="178"/>
      <c r="D527" s="178"/>
      <c r="E527" s="178"/>
    </row>
    <row r="528">
      <c r="A528" s="178"/>
      <c r="B528" s="178"/>
      <c r="C528" s="178"/>
      <c r="D528" s="178"/>
      <c r="E528" s="178"/>
    </row>
    <row r="529">
      <c r="A529" s="178"/>
      <c r="B529" s="178"/>
      <c r="C529" s="178"/>
      <c r="D529" s="178"/>
      <c r="E529" s="178"/>
    </row>
    <row r="530">
      <c r="A530" s="178"/>
      <c r="B530" s="178"/>
      <c r="C530" s="178"/>
      <c r="D530" s="178"/>
      <c r="E530" s="178"/>
    </row>
    <row r="531">
      <c r="A531" s="178"/>
      <c r="B531" s="178"/>
      <c r="C531" s="178"/>
      <c r="D531" s="178"/>
      <c r="E531" s="178"/>
    </row>
    <row r="532">
      <c r="A532" s="178"/>
      <c r="B532" s="178"/>
      <c r="C532" s="178"/>
      <c r="D532" s="178"/>
      <c r="E532" s="178"/>
    </row>
    <row r="533">
      <c r="A533" s="178"/>
      <c r="B533" s="178"/>
      <c r="C533" s="178"/>
      <c r="D533" s="178"/>
      <c r="E533" s="178"/>
    </row>
    <row r="534">
      <c r="A534" s="178"/>
      <c r="B534" s="178"/>
      <c r="C534" s="178"/>
      <c r="D534" s="178"/>
      <c r="E534" s="178"/>
    </row>
    <row r="535">
      <c r="A535" s="178"/>
      <c r="B535" s="178"/>
      <c r="C535" s="178"/>
      <c r="D535" s="178"/>
      <c r="E535" s="178"/>
    </row>
    <row r="536">
      <c r="A536" s="178"/>
      <c r="B536" s="178"/>
      <c r="C536" s="178"/>
      <c r="D536" s="178"/>
      <c r="E536" s="178"/>
    </row>
    <row r="537">
      <c r="A537" s="178"/>
      <c r="B537" s="178"/>
      <c r="C537" s="178"/>
      <c r="D537" s="178"/>
      <c r="E537" s="178"/>
    </row>
    <row r="538">
      <c r="A538" s="178"/>
      <c r="B538" s="178"/>
      <c r="C538" s="178"/>
      <c r="D538" s="178"/>
      <c r="E538" s="178"/>
    </row>
    <row r="539">
      <c r="A539" s="178"/>
      <c r="B539" s="178"/>
      <c r="C539" s="178"/>
      <c r="D539" s="178"/>
      <c r="E539" s="178"/>
    </row>
    <row r="540">
      <c r="A540" s="178"/>
      <c r="B540" s="178"/>
      <c r="C540" s="178"/>
      <c r="D540" s="178"/>
      <c r="E540" s="178"/>
    </row>
    <row r="541">
      <c r="A541" s="178"/>
      <c r="B541" s="178"/>
      <c r="C541" s="178"/>
      <c r="D541" s="178"/>
      <c r="E541" s="178"/>
    </row>
    <row r="542">
      <c r="A542" s="178"/>
      <c r="B542" s="178"/>
      <c r="C542" s="178"/>
      <c r="D542" s="178"/>
      <c r="E542" s="178"/>
    </row>
    <row r="543">
      <c r="A543" s="178"/>
      <c r="B543" s="178"/>
      <c r="C543" s="178"/>
      <c r="D543" s="178"/>
      <c r="E543" s="178"/>
    </row>
    <row r="544">
      <c r="A544" s="178"/>
      <c r="B544" s="178"/>
      <c r="C544" s="178"/>
      <c r="D544" s="178"/>
      <c r="E544" s="178"/>
    </row>
    <row r="545">
      <c r="A545" s="178"/>
      <c r="B545" s="178"/>
      <c r="C545" s="178"/>
      <c r="D545" s="178"/>
      <c r="E545" s="178"/>
    </row>
    <row r="546">
      <c r="A546" s="178"/>
      <c r="B546" s="178"/>
      <c r="C546" s="178"/>
      <c r="D546" s="178"/>
      <c r="E546" s="178"/>
    </row>
    <row r="547">
      <c r="A547" s="178"/>
      <c r="B547" s="178"/>
      <c r="C547" s="178"/>
      <c r="D547" s="178"/>
      <c r="E547" s="178"/>
    </row>
    <row r="548">
      <c r="A548" s="178"/>
      <c r="B548" s="178"/>
      <c r="C548" s="178"/>
      <c r="D548" s="178"/>
      <c r="E548" s="178"/>
    </row>
    <row r="549">
      <c r="A549" s="178"/>
      <c r="B549" s="178"/>
      <c r="C549" s="178"/>
      <c r="D549" s="178"/>
      <c r="E549" s="178"/>
    </row>
    <row r="550">
      <c r="A550" s="178"/>
      <c r="B550" s="178"/>
      <c r="C550" s="178"/>
      <c r="D550" s="178"/>
      <c r="E550" s="178"/>
    </row>
    <row r="551">
      <c r="A551" s="178"/>
      <c r="B551" s="178"/>
      <c r="C551" s="178"/>
      <c r="D551" s="178"/>
      <c r="E551" s="178"/>
    </row>
    <row r="552">
      <c r="A552" s="178"/>
      <c r="B552" s="178"/>
      <c r="C552" s="178"/>
      <c r="D552" s="178"/>
      <c r="E552" s="178"/>
    </row>
    <row r="553">
      <c r="A553" s="178"/>
      <c r="B553" s="178"/>
      <c r="C553" s="178"/>
      <c r="D553" s="178"/>
      <c r="E553" s="178"/>
    </row>
    <row r="554">
      <c r="A554" s="178"/>
      <c r="B554" s="178"/>
      <c r="C554" s="178"/>
      <c r="D554" s="178"/>
      <c r="E554" s="178"/>
    </row>
    <row r="555">
      <c r="A555" s="178"/>
      <c r="B555" s="178"/>
      <c r="C555" s="178"/>
      <c r="D555" s="178"/>
      <c r="E555" s="178"/>
    </row>
    <row r="556">
      <c r="A556" s="178"/>
      <c r="B556" s="178"/>
      <c r="C556" s="178"/>
      <c r="D556" s="178"/>
      <c r="E556" s="178"/>
    </row>
    <row r="557">
      <c r="A557" s="178"/>
      <c r="B557" s="178"/>
      <c r="C557" s="178"/>
      <c r="D557" s="178"/>
      <c r="E557" s="178"/>
    </row>
    <row r="558">
      <c r="A558" s="178"/>
      <c r="B558" s="178"/>
      <c r="C558" s="178"/>
      <c r="D558" s="178"/>
      <c r="E558" s="178"/>
    </row>
    <row r="559">
      <c r="A559" s="178"/>
      <c r="B559" s="178"/>
      <c r="C559" s="178"/>
      <c r="D559" s="178"/>
      <c r="E559" s="178"/>
    </row>
    <row r="560">
      <c r="A560" s="178"/>
      <c r="B560" s="178"/>
      <c r="C560" s="178"/>
      <c r="D560" s="178"/>
      <c r="E560" s="178"/>
    </row>
    <row r="561">
      <c r="A561" s="178"/>
      <c r="B561" s="178"/>
      <c r="C561" s="178"/>
      <c r="D561" s="178"/>
      <c r="E561" s="178"/>
    </row>
    <row r="562">
      <c r="A562" s="178"/>
      <c r="B562" s="178"/>
      <c r="C562" s="178"/>
      <c r="D562" s="178"/>
      <c r="E562" s="178"/>
    </row>
    <row r="563">
      <c r="A563" s="178"/>
      <c r="B563" s="178"/>
      <c r="C563" s="178"/>
      <c r="D563" s="178"/>
      <c r="E563" s="178"/>
    </row>
    <row r="564">
      <c r="A564" s="178"/>
      <c r="B564" s="178"/>
      <c r="C564" s="178"/>
      <c r="D564" s="178"/>
      <c r="E564" s="178"/>
    </row>
    <row r="565">
      <c r="A565" s="178"/>
      <c r="B565" s="178"/>
      <c r="C565" s="178"/>
      <c r="D565" s="178"/>
      <c r="E565" s="178"/>
    </row>
    <row r="566">
      <c r="A566" s="178"/>
      <c r="B566" s="178"/>
      <c r="C566" s="178"/>
      <c r="D566" s="178"/>
      <c r="E566" s="178"/>
    </row>
    <row r="567">
      <c r="A567" s="178"/>
      <c r="B567" s="178"/>
      <c r="C567" s="178"/>
      <c r="D567" s="178"/>
      <c r="E567" s="178"/>
    </row>
    <row r="568">
      <c r="A568" s="178"/>
      <c r="B568" s="178"/>
      <c r="C568" s="178"/>
      <c r="D568" s="178"/>
      <c r="E568" s="178"/>
    </row>
    <row r="569">
      <c r="A569" s="178"/>
      <c r="B569" s="178"/>
      <c r="C569" s="178"/>
      <c r="D569" s="178"/>
      <c r="E569" s="178"/>
    </row>
    <row r="570">
      <c r="A570" s="178"/>
      <c r="B570" s="178"/>
      <c r="C570" s="178"/>
      <c r="D570" s="178"/>
      <c r="E570" s="178"/>
    </row>
    <row r="571">
      <c r="A571" s="178"/>
      <c r="B571" s="178"/>
      <c r="C571" s="178"/>
      <c r="D571" s="178"/>
      <c r="E571" s="178"/>
    </row>
    <row r="572">
      <c r="A572" s="178"/>
      <c r="B572" s="178"/>
      <c r="C572" s="178"/>
      <c r="D572" s="178"/>
      <c r="E572" s="178"/>
    </row>
    <row r="573">
      <c r="A573" s="178"/>
      <c r="B573" s="178"/>
      <c r="C573" s="178"/>
      <c r="D573" s="178"/>
      <c r="E573" s="178"/>
    </row>
    <row r="574">
      <c r="A574" s="178"/>
      <c r="B574" s="178"/>
      <c r="C574" s="178"/>
      <c r="D574" s="178"/>
      <c r="E574" s="178"/>
    </row>
    <row r="575">
      <c r="A575" s="178"/>
      <c r="B575" s="178"/>
      <c r="C575" s="178"/>
      <c r="D575" s="178"/>
      <c r="E575" s="178"/>
    </row>
    <row r="576">
      <c r="A576" s="178"/>
      <c r="B576" s="178"/>
      <c r="C576" s="178"/>
      <c r="D576" s="178"/>
      <c r="E576" s="178"/>
    </row>
    <row r="577">
      <c r="A577" s="178"/>
      <c r="B577" s="178"/>
      <c r="C577" s="178"/>
      <c r="D577" s="178"/>
      <c r="E577" s="178"/>
    </row>
    <row r="578">
      <c r="A578" s="178"/>
      <c r="B578" s="178"/>
      <c r="C578" s="178"/>
      <c r="D578" s="178"/>
      <c r="E578" s="178"/>
    </row>
    <row r="579">
      <c r="A579" s="178"/>
      <c r="B579" s="178"/>
      <c r="C579" s="178"/>
      <c r="D579" s="178"/>
      <c r="E579" s="178"/>
    </row>
    <row r="580">
      <c r="A580" s="178"/>
      <c r="B580" s="178"/>
      <c r="C580" s="178"/>
      <c r="D580" s="178"/>
      <c r="E580" s="178"/>
    </row>
    <row r="581">
      <c r="A581" s="178"/>
      <c r="B581" s="178"/>
      <c r="C581" s="178"/>
      <c r="D581" s="178"/>
      <c r="E581" s="178"/>
    </row>
    <row r="582">
      <c r="A582" s="178"/>
      <c r="B582" s="178"/>
      <c r="C582" s="178"/>
      <c r="D582" s="178"/>
      <c r="E582" s="178"/>
    </row>
    <row r="583">
      <c r="A583" s="178"/>
      <c r="B583" s="178"/>
      <c r="C583" s="178"/>
      <c r="D583" s="178"/>
      <c r="E583" s="178"/>
    </row>
    <row r="584">
      <c r="A584" s="178"/>
      <c r="B584" s="178"/>
      <c r="C584" s="178"/>
      <c r="D584" s="178"/>
      <c r="E584" s="178"/>
    </row>
    <row r="585">
      <c r="A585" s="178"/>
      <c r="B585" s="178"/>
      <c r="C585" s="178"/>
      <c r="D585" s="178"/>
      <c r="E585" s="178"/>
    </row>
    <row r="586">
      <c r="A586" s="178"/>
      <c r="B586" s="178"/>
      <c r="C586" s="178"/>
      <c r="D586" s="178"/>
      <c r="E586" s="178"/>
    </row>
    <row r="587">
      <c r="A587" s="178"/>
      <c r="B587" s="178"/>
      <c r="C587" s="178"/>
      <c r="D587" s="178"/>
      <c r="E587" s="178"/>
    </row>
    <row r="588">
      <c r="A588" s="178"/>
      <c r="B588" s="178"/>
      <c r="C588" s="178"/>
      <c r="D588" s="178"/>
      <c r="E588" s="178"/>
    </row>
    <row r="589">
      <c r="A589" s="178"/>
      <c r="B589" s="178"/>
      <c r="C589" s="178"/>
      <c r="D589" s="178"/>
      <c r="E589" s="178"/>
    </row>
    <row r="590">
      <c r="A590" s="178"/>
      <c r="B590" s="178"/>
      <c r="C590" s="178"/>
      <c r="D590" s="178"/>
      <c r="E590" s="178"/>
    </row>
    <row r="591">
      <c r="A591" s="178"/>
      <c r="B591" s="178"/>
      <c r="C591" s="178"/>
      <c r="D591" s="178"/>
      <c r="E591" s="178"/>
    </row>
    <row r="592">
      <c r="A592" s="178"/>
      <c r="B592" s="178"/>
      <c r="C592" s="178"/>
      <c r="D592" s="178"/>
      <c r="E592" s="178"/>
    </row>
    <row r="593">
      <c r="A593" s="178"/>
      <c r="B593" s="178"/>
      <c r="C593" s="178"/>
      <c r="D593" s="178"/>
      <c r="E593" s="178"/>
    </row>
    <row r="594">
      <c r="A594" s="178"/>
      <c r="B594" s="178"/>
      <c r="C594" s="178"/>
      <c r="D594" s="178"/>
      <c r="E594" s="178"/>
    </row>
    <row r="595">
      <c r="A595" s="178"/>
      <c r="B595" s="178"/>
      <c r="C595" s="178"/>
      <c r="D595" s="178"/>
      <c r="E595" s="178"/>
    </row>
    <row r="596">
      <c r="A596" s="178"/>
      <c r="B596" s="178"/>
      <c r="C596" s="178"/>
      <c r="D596" s="178"/>
      <c r="E596" s="178"/>
    </row>
    <row r="597">
      <c r="A597" s="178"/>
      <c r="B597" s="178"/>
      <c r="C597" s="178"/>
      <c r="D597" s="178"/>
      <c r="E597" s="178"/>
    </row>
    <row r="598">
      <c r="A598" s="178"/>
      <c r="B598" s="178"/>
      <c r="C598" s="178"/>
      <c r="D598" s="178"/>
      <c r="E598" s="178"/>
    </row>
    <row r="599">
      <c r="A599" s="178"/>
      <c r="B599" s="178"/>
      <c r="C599" s="178"/>
      <c r="D599" s="178"/>
      <c r="E599" s="178"/>
    </row>
    <row r="600">
      <c r="A600" s="178"/>
      <c r="B600" s="178"/>
      <c r="C600" s="178"/>
      <c r="D600" s="178"/>
      <c r="E600" s="178"/>
    </row>
    <row r="601">
      <c r="A601" s="178"/>
      <c r="B601" s="178"/>
      <c r="C601" s="178"/>
      <c r="D601" s="178"/>
      <c r="E601" s="178"/>
    </row>
    <row r="602">
      <c r="A602" s="178"/>
      <c r="B602" s="178"/>
      <c r="C602" s="178"/>
      <c r="D602" s="178"/>
      <c r="E602" s="178"/>
    </row>
    <row r="603">
      <c r="A603" s="178"/>
      <c r="B603" s="178"/>
      <c r="C603" s="178"/>
      <c r="D603" s="178"/>
      <c r="E603" s="178"/>
    </row>
    <row r="604">
      <c r="A604" s="178"/>
      <c r="B604" s="178"/>
      <c r="C604" s="178"/>
      <c r="D604" s="178"/>
      <c r="E604" s="178"/>
    </row>
    <row r="605">
      <c r="A605" s="178"/>
      <c r="B605" s="178"/>
      <c r="C605" s="178"/>
      <c r="D605" s="178"/>
      <c r="E605" s="178"/>
    </row>
    <row r="606">
      <c r="A606" s="178"/>
      <c r="B606" s="178"/>
      <c r="C606" s="178"/>
      <c r="D606" s="178"/>
      <c r="E606" s="178"/>
    </row>
    <row r="607">
      <c r="A607" s="178"/>
      <c r="B607" s="178"/>
      <c r="C607" s="178"/>
      <c r="D607" s="178"/>
      <c r="E607" s="178"/>
    </row>
    <row r="608">
      <c r="A608" s="178"/>
      <c r="B608" s="178"/>
      <c r="C608" s="178"/>
      <c r="D608" s="178"/>
      <c r="E608" s="178"/>
    </row>
    <row r="609">
      <c r="A609" s="178"/>
      <c r="B609" s="178"/>
      <c r="C609" s="178"/>
      <c r="D609" s="178"/>
      <c r="E609" s="178"/>
    </row>
    <row r="610">
      <c r="A610" s="178"/>
      <c r="B610" s="178"/>
      <c r="C610" s="178"/>
      <c r="D610" s="178"/>
      <c r="E610" s="178"/>
    </row>
    <row r="611">
      <c r="A611" s="178"/>
      <c r="B611" s="178"/>
      <c r="C611" s="178"/>
      <c r="D611" s="178"/>
      <c r="E611" s="178"/>
    </row>
    <row r="612">
      <c r="A612" s="178"/>
      <c r="B612" s="178"/>
      <c r="C612" s="178"/>
      <c r="D612" s="178"/>
      <c r="E612" s="178"/>
    </row>
    <row r="613">
      <c r="A613" s="178"/>
      <c r="B613" s="178"/>
      <c r="C613" s="178"/>
      <c r="D613" s="178"/>
      <c r="E613" s="178"/>
    </row>
    <row r="614">
      <c r="A614" s="178"/>
      <c r="B614" s="178"/>
      <c r="C614" s="178"/>
      <c r="D614" s="178"/>
      <c r="E614" s="178"/>
    </row>
    <row r="615">
      <c r="A615" s="178"/>
      <c r="B615" s="178"/>
      <c r="C615" s="178"/>
      <c r="D615" s="178"/>
      <c r="E615" s="178"/>
    </row>
    <row r="616">
      <c r="A616" s="178"/>
      <c r="B616" s="178"/>
      <c r="C616" s="178"/>
      <c r="D616" s="178"/>
      <c r="E616" s="178"/>
    </row>
    <row r="617">
      <c r="A617" s="178"/>
      <c r="B617" s="178"/>
      <c r="C617" s="178"/>
      <c r="D617" s="178"/>
      <c r="E617" s="178"/>
    </row>
    <row r="618">
      <c r="A618" s="178"/>
      <c r="B618" s="178"/>
      <c r="C618" s="178"/>
      <c r="D618" s="178"/>
      <c r="E618" s="178"/>
    </row>
    <row r="619">
      <c r="A619" s="178"/>
      <c r="B619" s="178"/>
      <c r="C619" s="178"/>
      <c r="D619" s="178"/>
      <c r="E619" s="178"/>
    </row>
    <row r="620">
      <c r="A620" s="178"/>
      <c r="B620" s="178"/>
      <c r="C620" s="178"/>
      <c r="D620" s="178"/>
      <c r="E620" s="178"/>
    </row>
    <row r="621">
      <c r="A621" s="178"/>
      <c r="B621" s="178"/>
      <c r="C621" s="178"/>
      <c r="D621" s="178"/>
      <c r="E621" s="178"/>
    </row>
    <row r="622">
      <c r="A622" s="178"/>
      <c r="B622" s="178"/>
      <c r="C622" s="178"/>
      <c r="D622" s="178"/>
      <c r="E622" s="178"/>
    </row>
    <row r="623">
      <c r="A623" s="178"/>
      <c r="B623" s="178"/>
      <c r="C623" s="178"/>
      <c r="D623" s="178"/>
      <c r="E623" s="178"/>
    </row>
    <row r="624">
      <c r="A624" s="178"/>
      <c r="B624" s="178"/>
      <c r="C624" s="178"/>
      <c r="D624" s="178"/>
      <c r="E624" s="178"/>
    </row>
    <row r="625">
      <c r="A625" s="178"/>
      <c r="B625" s="178"/>
      <c r="C625" s="178"/>
      <c r="D625" s="178"/>
      <c r="E625" s="178"/>
    </row>
    <row r="626">
      <c r="A626" s="178"/>
      <c r="B626" s="178"/>
      <c r="C626" s="178"/>
      <c r="D626" s="178"/>
      <c r="E626" s="178"/>
    </row>
    <row r="627">
      <c r="A627" s="178"/>
      <c r="B627" s="178"/>
      <c r="C627" s="178"/>
      <c r="D627" s="178"/>
      <c r="E627" s="178"/>
    </row>
    <row r="628">
      <c r="A628" s="178"/>
      <c r="B628" s="178"/>
      <c r="C628" s="178"/>
      <c r="D628" s="178"/>
      <c r="E628" s="178"/>
    </row>
    <row r="629">
      <c r="A629" s="178"/>
      <c r="B629" s="178"/>
      <c r="C629" s="178"/>
      <c r="D629" s="178"/>
      <c r="E629" s="178"/>
    </row>
    <row r="630">
      <c r="A630" s="178"/>
      <c r="B630" s="178"/>
      <c r="C630" s="178"/>
      <c r="D630" s="178"/>
      <c r="E630" s="178"/>
    </row>
    <row r="631">
      <c r="A631" s="178"/>
      <c r="B631" s="178"/>
      <c r="C631" s="178"/>
      <c r="D631" s="178"/>
      <c r="E631" s="178"/>
    </row>
    <row r="632">
      <c r="A632" s="178"/>
      <c r="B632" s="178"/>
      <c r="C632" s="178"/>
      <c r="D632" s="178"/>
      <c r="E632" s="178"/>
    </row>
    <row r="633">
      <c r="A633" s="178"/>
      <c r="B633" s="178"/>
      <c r="C633" s="178"/>
      <c r="D633" s="178"/>
      <c r="E633" s="178"/>
    </row>
    <row r="634">
      <c r="A634" s="178"/>
      <c r="B634" s="178"/>
      <c r="C634" s="178"/>
      <c r="D634" s="178"/>
      <c r="E634" s="178"/>
    </row>
    <row r="635">
      <c r="A635" s="178"/>
      <c r="B635" s="178"/>
      <c r="C635" s="178"/>
      <c r="D635" s="178"/>
      <c r="E635" s="178"/>
    </row>
    <row r="636">
      <c r="A636" s="178"/>
      <c r="B636" s="178"/>
      <c r="C636" s="178"/>
      <c r="D636" s="178"/>
      <c r="E636" s="178"/>
    </row>
    <row r="637">
      <c r="A637" s="178"/>
      <c r="B637" s="178"/>
      <c r="C637" s="178"/>
      <c r="D637" s="178"/>
      <c r="E637" s="178"/>
    </row>
    <row r="638">
      <c r="A638" s="178"/>
      <c r="B638" s="178"/>
      <c r="C638" s="178"/>
      <c r="D638" s="178"/>
      <c r="E638" s="178"/>
    </row>
    <row r="639">
      <c r="A639" s="178"/>
      <c r="B639" s="178"/>
      <c r="C639" s="178"/>
      <c r="D639" s="178"/>
      <c r="E639" s="178"/>
    </row>
    <row r="640">
      <c r="A640" s="178"/>
      <c r="B640" s="178"/>
      <c r="C640" s="178"/>
      <c r="D640" s="178"/>
      <c r="E640" s="178"/>
    </row>
    <row r="641">
      <c r="A641" s="178"/>
      <c r="B641" s="178"/>
      <c r="C641" s="178"/>
      <c r="D641" s="178"/>
      <c r="E641" s="178"/>
    </row>
    <row r="642">
      <c r="A642" s="178"/>
      <c r="B642" s="178"/>
      <c r="C642" s="178"/>
      <c r="D642" s="178"/>
      <c r="E642" s="178"/>
    </row>
    <row r="643">
      <c r="A643" s="178"/>
      <c r="B643" s="178"/>
      <c r="C643" s="178"/>
      <c r="D643" s="178"/>
      <c r="E643" s="178"/>
    </row>
    <row r="644">
      <c r="A644" s="178"/>
      <c r="B644" s="178"/>
      <c r="C644" s="178"/>
      <c r="D644" s="178"/>
      <c r="E644" s="178"/>
    </row>
    <row r="645">
      <c r="A645" s="178"/>
      <c r="B645" s="178"/>
      <c r="C645" s="178"/>
      <c r="D645" s="178"/>
      <c r="E645" s="178"/>
    </row>
    <row r="646">
      <c r="A646" s="178"/>
      <c r="B646" s="178"/>
      <c r="C646" s="178"/>
      <c r="D646" s="178"/>
      <c r="E646" s="178"/>
    </row>
    <row r="647">
      <c r="A647" s="178"/>
      <c r="B647" s="178"/>
      <c r="C647" s="178"/>
      <c r="D647" s="178"/>
      <c r="E647" s="178"/>
    </row>
    <row r="648">
      <c r="A648" s="178"/>
      <c r="B648" s="178"/>
      <c r="C648" s="178"/>
      <c r="D648" s="178"/>
      <c r="E648" s="178"/>
    </row>
    <row r="649">
      <c r="A649" s="178"/>
      <c r="B649" s="178"/>
      <c r="C649" s="178"/>
      <c r="D649" s="178"/>
      <c r="E649" s="178"/>
    </row>
    <row r="650">
      <c r="A650" s="178"/>
      <c r="B650" s="178"/>
      <c r="C650" s="178"/>
      <c r="D650" s="178"/>
      <c r="E650" s="178"/>
    </row>
    <row r="651">
      <c r="A651" s="178"/>
      <c r="B651" s="178"/>
      <c r="C651" s="178"/>
      <c r="D651" s="178"/>
      <c r="E651" s="178"/>
    </row>
    <row r="652">
      <c r="A652" s="178"/>
      <c r="B652" s="178"/>
      <c r="C652" s="178"/>
      <c r="D652" s="178"/>
      <c r="E652" s="178"/>
    </row>
    <row r="653">
      <c r="A653" s="178"/>
      <c r="B653" s="178"/>
      <c r="C653" s="178"/>
      <c r="D653" s="178"/>
      <c r="E653" s="178"/>
    </row>
    <row r="654">
      <c r="A654" s="178"/>
      <c r="B654" s="178"/>
      <c r="C654" s="178"/>
      <c r="D654" s="178"/>
      <c r="E654" s="178"/>
    </row>
    <row r="655">
      <c r="A655" s="178"/>
      <c r="B655" s="178"/>
      <c r="C655" s="178"/>
      <c r="D655" s="178"/>
      <c r="E655" s="178"/>
    </row>
    <row r="656">
      <c r="A656" s="178"/>
      <c r="B656" s="178"/>
      <c r="C656" s="178"/>
      <c r="D656" s="178"/>
      <c r="E656" s="178"/>
    </row>
    <row r="657">
      <c r="A657" s="178"/>
      <c r="B657" s="178"/>
      <c r="C657" s="178"/>
      <c r="D657" s="178"/>
      <c r="E657" s="178"/>
    </row>
    <row r="658">
      <c r="A658" s="178"/>
      <c r="B658" s="178"/>
      <c r="C658" s="178"/>
      <c r="D658" s="178"/>
      <c r="E658" s="178"/>
    </row>
    <row r="659">
      <c r="A659" s="178"/>
      <c r="B659" s="178"/>
      <c r="C659" s="178"/>
      <c r="D659" s="178"/>
      <c r="E659" s="178"/>
    </row>
    <row r="660">
      <c r="A660" s="178"/>
      <c r="B660" s="178"/>
      <c r="C660" s="178"/>
      <c r="D660" s="178"/>
      <c r="E660" s="178"/>
    </row>
    <row r="661">
      <c r="A661" s="178"/>
      <c r="B661" s="178"/>
      <c r="C661" s="178"/>
      <c r="D661" s="178"/>
      <c r="E661" s="178"/>
    </row>
    <row r="662">
      <c r="A662" s="178"/>
      <c r="B662" s="178"/>
      <c r="C662" s="178"/>
      <c r="D662" s="178"/>
      <c r="E662" s="178"/>
    </row>
    <row r="663">
      <c r="A663" s="178"/>
      <c r="B663" s="178"/>
      <c r="C663" s="178"/>
      <c r="D663" s="178"/>
      <c r="E663" s="178"/>
    </row>
    <row r="664">
      <c r="A664" s="178"/>
      <c r="B664" s="178"/>
      <c r="C664" s="178"/>
      <c r="D664" s="178"/>
      <c r="E664" s="178"/>
    </row>
    <row r="665">
      <c r="A665" s="178"/>
      <c r="B665" s="178"/>
      <c r="C665" s="178"/>
      <c r="D665" s="178"/>
      <c r="E665" s="178"/>
    </row>
    <row r="666">
      <c r="A666" s="178"/>
      <c r="B666" s="178"/>
      <c r="C666" s="178"/>
      <c r="D666" s="178"/>
      <c r="E666" s="178"/>
    </row>
    <row r="667">
      <c r="A667" s="178"/>
      <c r="B667" s="178"/>
      <c r="C667" s="178"/>
      <c r="D667" s="178"/>
      <c r="E667" s="178"/>
    </row>
    <row r="668">
      <c r="A668" s="178"/>
      <c r="B668" s="178"/>
      <c r="C668" s="178"/>
      <c r="D668" s="178"/>
      <c r="E668" s="178"/>
    </row>
    <row r="669">
      <c r="A669" s="178"/>
      <c r="B669" s="178"/>
      <c r="C669" s="178"/>
      <c r="D669" s="178"/>
      <c r="E669" s="178"/>
    </row>
    <row r="670">
      <c r="A670" s="178"/>
      <c r="B670" s="178"/>
      <c r="C670" s="178"/>
      <c r="D670" s="178"/>
      <c r="E670" s="178"/>
    </row>
    <row r="671">
      <c r="A671" s="178"/>
      <c r="B671" s="178"/>
      <c r="C671" s="178"/>
      <c r="D671" s="178"/>
      <c r="E671" s="178"/>
    </row>
    <row r="672">
      <c r="A672" s="178"/>
      <c r="B672" s="178"/>
      <c r="C672" s="178"/>
      <c r="D672" s="178"/>
      <c r="E672" s="178"/>
    </row>
    <row r="673">
      <c r="A673" s="178"/>
      <c r="B673" s="178"/>
      <c r="C673" s="178"/>
      <c r="D673" s="178"/>
      <c r="E673" s="178"/>
    </row>
    <row r="674">
      <c r="A674" s="178"/>
      <c r="B674" s="178"/>
      <c r="C674" s="178"/>
      <c r="D674" s="178"/>
      <c r="E674" s="178"/>
    </row>
    <row r="675">
      <c r="A675" s="178"/>
      <c r="B675" s="178"/>
      <c r="C675" s="178"/>
      <c r="D675" s="178"/>
      <c r="E675" s="178"/>
    </row>
    <row r="676">
      <c r="A676" s="178"/>
      <c r="B676" s="178"/>
      <c r="C676" s="178"/>
      <c r="D676" s="178"/>
      <c r="E676" s="178"/>
    </row>
    <row r="677">
      <c r="A677" s="178"/>
      <c r="B677" s="178"/>
      <c r="C677" s="178"/>
      <c r="D677" s="178"/>
      <c r="E677" s="178"/>
    </row>
    <row r="678">
      <c r="A678" s="178"/>
      <c r="B678" s="178"/>
      <c r="C678" s="178"/>
      <c r="D678" s="178"/>
      <c r="E678" s="178"/>
    </row>
    <row r="679">
      <c r="A679" s="178"/>
      <c r="B679" s="178"/>
      <c r="C679" s="178"/>
      <c r="D679" s="178"/>
      <c r="E679" s="178"/>
    </row>
    <row r="680">
      <c r="A680" s="178"/>
      <c r="B680" s="178"/>
      <c r="C680" s="178"/>
      <c r="D680" s="178"/>
      <c r="E680" s="178"/>
    </row>
    <row r="681">
      <c r="A681" s="178"/>
      <c r="B681" s="178"/>
      <c r="C681" s="178"/>
      <c r="D681" s="178"/>
      <c r="E681" s="178"/>
    </row>
    <row r="682">
      <c r="A682" s="178"/>
      <c r="B682" s="178"/>
      <c r="C682" s="178"/>
      <c r="D682" s="178"/>
      <c r="E682" s="178"/>
    </row>
    <row r="683">
      <c r="A683" s="178"/>
      <c r="B683" s="178"/>
      <c r="C683" s="178"/>
      <c r="D683" s="178"/>
      <c r="E683" s="178"/>
    </row>
    <row r="684">
      <c r="A684" s="178"/>
      <c r="B684" s="178"/>
      <c r="C684" s="178"/>
      <c r="D684" s="178"/>
      <c r="E684" s="178"/>
    </row>
    <row r="685">
      <c r="A685" s="178"/>
      <c r="B685" s="178"/>
      <c r="C685" s="178"/>
      <c r="D685" s="178"/>
      <c r="E685" s="178"/>
    </row>
    <row r="686">
      <c r="A686" s="178"/>
      <c r="B686" s="178"/>
      <c r="C686" s="178"/>
      <c r="D686" s="178"/>
      <c r="E686" s="178"/>
    </row>
    <row r="687">
      <c r="A687" s="178"/>
      <c r="B687" s="178"/>
      <c r="C687" s="178"/>
      <c r="D687" s="178"/>
      <c r="E687" s="178"/>
    </row>
    <row r="688">
      <c r="A688" s="178"/>
      <c r="B688" s="178"/>
      <c r="C688" s="178"/>
      <c r="D688" s="178"/>
      <c r="E688" s="178"/>
    </row>
    <row r="689">
      <c r="A689" s="178"/>
      <c r="B689" s="178"/>
      <c r="C689" s="178"/>
      <c r="D689" s="178"/>
      <c r="E689" s="178"/>
    </row>
    <row r="690">
      <c r="A690" s="178"/>
      <c r="B690" s="178"/>
      <c r="C690" s="178"/>
      <c r="D690" s="178"/>
      <c r="E690" s="178"/>
    </row>
    <row r="691">
      <c r="A691" s="178"/>
      <c r="B691" s="178"/>
      <c r="C691" s="178"/>
      <c r="D691" s="178"/>
      <c r="E691" s="178"/>
    </row>
    <row r="692">
      <c r="A692" s="178"/>
      <c r="B692" s="178"/>
      <c r="C692" s="178"/>
      <c r="D692" s="178"/>
      <c r="E692" s="178"/>
    </row>
    <row r="693">
      <c r="A693" s="178"/>
      <c r="B693" s="178"/>
      <c r="C693" s="178"/>
      <c r="D693" s="178"/>
      <c r="E693" s="178"/>
    </row>
    <row r="694">
      <c r="A694" s="178"/>
      <c r="B694" s="178"/>
      <c r="C694" s="178"/>
      <c r="D694" s="178"/>
      <c r="E694" s="178"/>
    </row>
    <row r="695">
      <c r="A695" s="178"/>
      <c r="B695" s="178"/>
      <c r="C695" s="178"/>
      <c r="D695" s="178"/>
      <c r="E695" s="178"/>
    </row>
    <row r="696">
      <c r="A696" s="178"/>
      <c r="B696" s="178"/>
      <c r="C696" s="178"/>
      <c r="D696" s="178"/>
      <c r="E696" s="178"/>
    </row>
    <row r="697">
      <c r="A697" s="178"/>
      <c r="B697" s="178"/>
      <c r="C697" s="178"/>
      <c r="D697" s="178"/>
      <c r="E697" s="178"/>
    </row>
    <row r="698">
      <c r="A698" s="178"/>
      <c r="B698" s="178"/>
      <c r="C698" s="178"/>
      <c r="D698" s="178"/>
      <c r="E698" s="178"/>
    </row>
    <row r="699">
      <c r="A699" s="178"/>
      <c r="B699" s="178"/>
      <c r="C699" s="178"/>
      <c r="D699" s="178"/>
      <c r="E699" s="178"/>
    </row>
    <row r="700">
      <c r="A700" s="178"/>
      <c r="B700" s="178"/>
      <c r="C700" s="178"/>
      <c r="D700" s="178"/>
      <c r="E700" s="178"/>
    </row>
    <row r="701">
      <c r="A701" s="178"/>
      <c r="B701" s="178"/>
      <c r="C701" s="178"/>
      <c r="D701" s="178"/>
      <c r="E701" s="178"/>
    </row>
    <row r="702">
      <c r="A702" s="178"/>
      <c r="B702" s="178"/>
      <c r="C702" s="178"/>
      <c r="D702" s="178"/>
      <c r="E702" s="178"/>
    </row>
    <row r="703">
      <c r="A703" s="178"/>
      <c r="B703" s="178"/>
      <c r="C703" s="178"/>
      <c r="D703" s="178"/>
      <c r="E703" s="178"/>
    </row>
    <row r="704">
      <c r="A704" s="178"/>
      <c r="B704" s="178"/>
      <c r="C704" s="178"/>
      <c r="D704" s="178"/>
      <c r="E704" s="178"/>
    </row>
    <row r="705">
      <c r="A705" s="178"/>
      <c r="B705" s="178"/>
      <c r="C705" s="178"/>
      <c r="D705" s="178"/>
      <c r="E705" s="178"/>
    </row>
    <row r="706">
      <c r="A706" s="178"/>
      <c r="B706" s="178"/>
      <c r="C706" s="178"/>
      <c r="D706" s="178"/>
      <c r="E706" s="178"/>
    </row>
    <row r="707">
      <c r="A707" s="178"/>
      <c r="B707" s="178"/>
      <c r="C707" s="178"/>
      <c r="D707" s="178"/>
      <c r="E707" s="178"/>
    </row>
    <row r="708">
      <c r="A708" s="178"/>
      <c r="B708" s="178"/>
      <c r="C708" s="178"/>
      <c r="D708" s="178"/>
      <c r="E708" s="178"/>
    </row>
    <row r="709">
      <c r="A709" s="178"/>
      <c r="B709" s="178"/>
      <c r="C709" s="178"/>
      <c r="D709" s="178"/>
      <c r="E709" s="178"/>
    </row>
    <row r="710">
      <c r="A710" s="178"/>
      <c r="B710" s="178"/>
      <c r="C710" s="178"/>
      <c r="D710" s="178"/>
      <c r="E710" s="178"/>
    </row>
    <row r="711">
      <c r="A711" s="178"/>
      <c r="B711" s="178"/>
      <c r="C711" s="178"/>
      <c r="D711" s="178"/>
      <c r="E711" s="178"/>
    </row>
    <row r="712">
      <c r="A712" s="178"/>
      <c r="B712" s="178"/>
      <c r="C712" s="178"/>
      <c r="D712" s="178"/>
      <c r="E712" s="178"/>
    </row>
    <row r="713">
      <c r="A713" s="178"/>
      <c r="B713" s="178"/>
      <c r="C713" s="178"/>
      <c r="D713" s="178"/>
      <c r="E713" s="178"/>
    </row>
    <row r="714">
      <c r="A714" s="178"/>
      <c r="B714" s="178"/>
      <c r="C714" s="178"/>
      <c r="D714" s="178"/>
      <c r="E714" s="178"/>
    </row>
    <row r="715">
      <c r="A715" s="178"/>
      <c r="B715" s="178"/>
      <c r="C715" s="178"/>
      <c r="D715" s="178"/>
      <c r="E715" s="178"/>
    </row>
    <row r="716">
      <c r="A716" s="178"/>
      <c r="B716" s="178"/>
      <c r="C716" s="178"/>
      <c r="D716" s="178"/>
      <c r="E716" s="178"/>
    </row>
    <row r="717">
      <c r="A717" s="178"/>
      <c r="B717" s="178"/>
      <c r="C717" s="178"/>
      <c r="D717" s="178"/>
      <c r="E717" s="178"/>
    </row>
    <row r="718">
      <c r="A718" s="178"/>
      <c r="B718" s="178"/>
      <c r="C718" s="178"/>
      <c r="D718" s="178"/>
      <c r="E718" s="178"/>
    </row>
    <row r="719">
      <c r="A719" s="178"/>
      <c r="B719" s="178"/>
      <c r="C719" s="178"/>
      <c r="D719" s="178"/>
      <c r="E719" s="178"/>
    </row>
    <row r="720">
      <c r="A720" s="178"/>
      <c r="B720" s="178"/>
      <c r="C720" s="178"/>
      <c r="D720" s="178"/>
      <c r="E720" s="178"/>
    </row>
    <row r="721">
      <c r="A721" s="178"/>
      <c r="B721" s="178"/>
      <c r="C721" s="178"/>
      <c r="D721" s="178"/>
      <c r="E721" s="178"/>
    </row>
    <row r="722">
      <c r="A722" s="178"/>
      <c r="B722" s="178"/>
      <c r="C722" s="178"/>
      <c r="D722" s="178"/>
      <c r="E722" s="178"/>
    </row>
    <row r="723">
      <c r="A723" s="178"/>
      <c r="B723" s="178"/>
      <c r="C723" s="178"/>
      <c r="D723" s="178"/>
      <c r="E723" s="178"/>
    </row>
    <row r="724">
      <c r="A724" s="178"/>
      <c r="B724" s="178"/>
      <c r="C724" s="178"/>
      <c r="D724" s="178"/>
      <c r="E724" s="178"/>
    </row>
    <row r="725">
      <c r="A725" s="178"/>
      <c r="B725" s="178"/>
      <c r="C725" s="178"/>
      <c r="D725" s="178"/>
      <c r="E725" s="178"/>
    </row>
    <row r="726">
      <c r="A726" s="178"/>
      <c r="B726" s="178"/>
      <c r="C726" s="178"/>
      <c r="D726" s="178"/>
      <c r="E726" s="178"/>
    </row>
    <row r="727">
      <c r="A727" s="178"/>
      <c r="B727" s="178"/>
      <c r="C727" s="178"/>
      <c r="D727" s="178"/>
      <c r="E727" s="178"/>
    </row>
    <row r="728">
      <c r="A728" s="178"/>
      <c r="B728" s="178"/>
      <c r="C728" s="178"/>
      <c r="D728" s="178"/>
      <c r="E728" s="178"/>
    </row>
    <row r="729">
      <c r="A729" s="178"/>
      <c r="B729" s="178"/>
      <c r="C729" s="178"/>
      <c r="D729" s="178"/>
      <c r="E729" s="178"/>
    </row>
    <row r="730">
      <c r="A730" s="178"/>
      <c r="B730" s="178"/>
      <c r="C730" s="178"/>
      <c r="D730" s="178"/>
      <c r="E730" s="178"/>
    </row>
    <row r="731">
      <c r="A731" s="178"/>
      <c r="B731" s="178"/>
      <c r="C731" s="178"/>
      <c r="D731" s="178"/>
      <c r="E731" s="178"/>
    </row>
    <row r="732">
      <c r="A732" s="178"/>
      <c r="B732" s="178"/>
      <c r="C732" s="178"/>
      <c r="D732" s="178"/>
      <c r="E732" s="178"/>
    </row>
    <row r="733">
      <c r="A733" s="178"/>
      <c r="B733" s="178"/>
      <c r="C733" s="178"/>
      <c r="D733" s="178"/>
      <c r="E733" s="178"/>
    </row>
    <row r="734">
      <c r="A734" s="178"/>
      <c r="B734" s="178"/>
      <c r="C734" s="178"/>
      <c r="D734" s="178"/>
      <c r="E734" s="178"/>
    </row>
    <row r="735">
      <c r="A735" s="178"/>
      <c r="B735" s="178"/>
      <c r="C735" s="178"/>
      <c r="D735" s="178"/>
      <c r="E735" s="178"/>
    </row>
    <row r="736">
      <c r="A736" s="178"/>
      <c r="B736" s="178"/>
      <c r="C736" s="178"/>
      <c r="D736" s="178"/>
      <c r="E736" s="178"/>
    </row>
    <row r="737">
      <c r="A737" s="178"/>
      <c r="B737" s="178"/>
      <c r="C737" s="178"/>
      <c r="D737" s="178"/>
      <c r="E737" s="178"/>
    </row>
    <row r="738">
      <c r="A738" s="178"/>
      <c r="B738" s="178"/>
      <c r="C738" s="178"/>
      <c r="D738" s="178"/>
      <c r="E738" s="178"/>
    </row>
    <row r="739">
      <c r="A739" s="178"/>
      <c r="B739" s="178"/>
      <c r="C739" s="178"/>
      <c r="D739" s="178"/>
      <c r="E739" s="178"/>
    </row>
    <row r="740">
      <c r="A740" s="178"/>
      <c r="B740" s="178"/>
      <c r="C740" s="178"/>
      <c r="D740" s="178"/>
      <c r="E740" s="178"/>
    </row>
    <row r="741">
      <c r="A741" s="178"/>
      <c r="B741" s="178"/>
      <c r="C741" s="178"/>
      <c r="D741" s="178"/>
      <c r="E741" s="178"/>
    </row>
    <row r="742">
      <c r="A742" s="178"/>
      <c r="B742" s="178"/>
      <c r="C742" s="178"/>
      <c r="D742" s="178"/>
      <c r="E742" s="178"/>
    </row>
    <row r="743">
      <c r="A743" s="178"/>
      <c r="B743" s="178"/>
      <c r="C743" s="178"/>
      <c r="D743" s="178"/>
      <c r="E743" s="178"/>
    </row>
    <row r="744">
      <c r="A744" s="178"/>
      <c r="B744" s="178"/>
      <c r="C744" s="178"/>
      <c r="D744" s="178"/>
      <c r="E744" s="178"/>
    </row>
    <row r="745">
      <c r="A745" s="178"/>
      <c r="B745" s="178"/>
      <c r="C745" s="178"/>
      <c r="D745" s="178"/>
      <c r="E745" s="178"/>
    </row>
    <row r="746">
      <c r="A746" s="178"/>
      <c r="B746" s="178"/>
      <c r="C746" s="178"/>
      <c r="D746" s="178"/>
      <c r="E746" s="178"/>
    </row>
    <row r="747">
      <c r="A747" s="178"/>
      <c r="B747" s="178"/>
      <c r="C747" s="178"/>
      <c r="D747" s="178"/>
      <c r="E747" s="178"/>
    </row>
    <row r="748">
      <c r="A748" s="178"/>
      <c r="B748" s="178"/>
      <c r="C748" s="178"/>
      <c r="D748" s="178"/>
      <c r="E748" s="178"/>
    </row>
    <row r="749">
      <c r="A749" s="178"/>
      <c r="B749" s="178"/>
      <c r="C749" s="178"/>
      <c r="D749" s="178"/>
      <c r="E749" s="178"/>
    </row>
    <row r="750">
      <c r="A750" s="178"/>
      <c r="B750" s="178"/>
      <c r="C750" s="178"/>
      <c r="D750" s="178"/>
      <c r="E750" s="178"/>
    </row>
    <row r="751">
      <c r="A751" s="178"/>
      <c r="B751" s="178"/>
      <c r="C751" s="178"/>
      <c r="D751" s="178"/>
      <c r="E751" s="178"/>
    </row>
    <row r="752">
      <c r="A752" s="178"/>
      <c r="B752" s="178"/>
      <c r="C752" s="178"/>
      <c r="D752" s="178"/>
      <c r="E752" s="178"/>
    </row>
    <row r="753">
      <c r="A753" s="178"/>
      <c r="B753" s="178"/>
      <c r="C753" s="178"/>
      <c r="D753" s="178"/>
      <c r="E753" s="178"/>
    </row>
    <row r="754">
      <c r="A754" s="178"/>
      <c r="B754" s="178"/>
      <c r="C754" s="178"/>
      <c r="D754" s="178"/>
      <c r="E754" s="178"/>
    </row>
    <row r="755">
      <c r="A755" s="178"/>
      <c r="B755" s="178"/>
      <c r="C755" s="178"/>
      <c r="D755" s="178"/>
      <c r="E755" s="178"/>
    </row>
    <row r="756">
      <c r="A756" s="178"/>
      <c r="B756" s="178"/>
      <c r="C756" s="178"/>
      <c r="D756" s="178"/>
      <c r="E756" s="178"/>
    </row>
    <row r="757">
      <c r="A757" s="178"/>
      <c r="B757" s="178"/>
      <c r="C757" s="178"/>
      <c r="D757" s="178"/>
      <c r="E757" s="178"/>
    </row>
    <row r="758">
      <c r="A758" s="178"/>
      <c r="B758" s="178"/>
      <c r="C758" s="178"/>
      <c r="D758" s="178"/>
      <c r="E758" s="178"/>
    </row>
    <row r="759">
      <c r="A759" s="178"/>
      <c r="B759" s="178"/>
      <c r="C759" s="178"/>
      <c r="D759" s="178"/>
      <c r="E759" s="178"/>
    </row>
    <row r="760">
      <c r="A760" s="178"/>
      <c r="B760" s="178"/>
      <c r="C760" s="178"/>
      <c r="D760" s="178"/>
      <c r="E760" s="178"/>
    </row>
    <row r="761">
      <c r="A761" s="178"/>
      <c r="B761" s="178"/>
      <c r="C761" s="178"/>
      <c r="D761" s="178"/>
      <c r="E761" s="178"/>
    </row>
    <row r="762">
      <c r="A762" s="178"/>
      <c r="B762" s="178"/>
      <c r="C762" s="178"/>
      <c r="D762" s="178"/>
      <c r="E762" s="178"/>
    </row>
    <row r="763">
      <c r="A763" s="178"/>
      <c r="B763" s="178"/>
      <c r="C763" s="178"/>
      <c r="D763" s="178"/>
      <c r="E763" s="178"/>
    </row>
    <row r="764">
      <c r="A764" s="178"/>
      <c r="B764" s="178"/>
      <c r="C764" s="178"/>
      <c r="D764" s="178"/>
      <c r="E764" s="178"/>
    </row>
    <row r="765">
      <c r="A765" s="178"/>
      <c r="B765" s="178"/>
      <c r="C765" s="178"/>
      <c r="D765" s="178"/>
      <c r="E765" s="178"/>
    </row>
    <row r="766">
      <c r="A766" s="178"/>
      <c r="B766" s="178"/>
      <c r="C766" s="178"/>
      <c r="D766" s="178"/>
      <c r="E766" s="178"/>
    </row>
    <row r="767">
      <c r="A767" s="178"/>
      <c r="B767" s="178"/>
      <c r="C767" s="178"/>
      <c r="D767" s="178"/>
      <c r="E767" s="178"/>
    </row>
    <row r="768">
      <c r="A768" s="178"/>
      <c r="B768" s="178"/>
      <c r="C768" s="178"/>
      <c r="D768" s="178"/>
      <c r="E768" s="178"/>
    </row>
    <row r="769">
      <c r="A769" s="178"/>
      <c r="B769" s="178"/>
      <c r="C769" s="178"/>
      <c r="D769" s="178"/>
      <c r="E769" s="178"/>
    </row>
    <row r="770">
      <c r="A770" s="178"/>
      <c r="B770" s="178"/>
      <c r="C770" s="178"/>
      <c r="D770" s="178"/>
      <c r="E770" s="178"/>
    </row>
    <row r="771">
      <c r="A771" s="178"/>
      <c r="B771" s="178"/>
      <c r="C771" s="178"/>
      <c r="D771" s="178"/>
      <c r="E771" s="178"/>
    </row>
    <row r="772">
      <c r="A772" s="178"/>
      <c r="B772" s="178"/>
      <c r="C772" s="178"/>
      <c r="D772" s="178"/>
      <c r="E772" s="178"/>
    </row>
    <row r="773">
      <c r="A773" s="178"/>
      <c r="B773" s="178"/>
      <c r="C773" s="178"/>
      <c r="D773" s="178"/>
      <c r="E773" s="178"/>
    </row>
    <row r="774">
      <c r="A774" s="178"/>
      <c r="B774" s="178"/>
      <c r="C774" s="178"/>
      <c r="D774" s="178"/>
      <c r="E774" s="178"/>
    </row>
    <row r="775">
      <c r="A775" s="178"/>
      <c r="B775" s="178"/>
      <c r="C775" s="178"/>
      <c r="D775" s="178"/>
      <c r="E775" s="178"/>
    </row>
    <row r="776">
      <c r="A776" s="178"/>
      <c r="B776" s="178"/>
      <c r="C776" s="178"/>
      <c r="D776" s="178"/>
      <c r="E776" s="178"/>
    </row>
    <row r="777">
      <c r="A777" s="178"/>
      <c r="B777" s="178"/>
      <c r="C777" s="178"/>
      <c r="D777" s="178"/>
      <c r="E777" s="178"/>
    </row>
    <row r="778">
      <c r="A778" s="178"/>
      <c r="B778" s="178"/>
      <c r="C778" s="178"/>
      <c r="D778" s="178"/>
      <c r="E778" s="178"/>
    </row>
    <row r="779">
      <c r="A779" s="178"/>
      <c r="B779" s="178"/>
      <c r="C779" s="178"/>
      <c r="D779" s="178"/>
      <c r="E779" s="178"/>
    </row>
    <row r="780">
      <c r="A780" s="178"/>
      <c r="B780" s="178"/>
      <c r="C780" s="178"/>
      <c r="D780" s="178"/>
      <c r="E780" s="178"/>
    </row>
    <row r="781">
      <c r="A781" s="178"/>
      <c r="B781" s="178"/>
      <c r="C781" s="178"/>
      <c r="D781" s="178"/>
      <c r="E781" s="178"/>
    </row>
    <row r="782">
      <c r="A782" s="178"/>
      <c r="B782" s="178"/>
      <c r="C782" s="178"/>
      <c r="D782" s="178"/>
      <c r="E782" s="178"/>
    </row>
    <row r="783">
      <c r="A783" s="178"/>
      <c r="B783" s="178"/>
      <c r="C783" s="178"/>
      <c r="D783" s="178"/>
      <c r="E783" s="178"/>
    </row>
    <row r="784">
      <c r="A784" s="178"/>
      <c r="B784" s="178"/>
      <c r="C784" s="178"/>
      <c r="D784" s="178"/>
      <c r="E784" s="178"/>
    </row>
    <row r="785">
      <c r="A785" s="178"/>
      <c r="B785" s="178"/>
      <c r="C785" s="178"/>
      <c r="D785" s="178"/>
      <c r="E785" s="178"/>
    </row>
    <row r="786">
      <c r="A786" s="178"/>
      <c r="B786" s="178"/>
      <c r="C786" s="178"/>
      <c r="D786" s="178"/>
      <c r="E786" s="178"/>
    </row>
    <row r="787">
      <c r="A787" s="178"/>
      <c r="B787" s="178"/>
      <c r="C787" s="178"/>
      <c r="D787" s="178"/>
      <c r="E787" s="178"/>
    </row>
    <row r="788">
      <c r="A788" s="178"/>
      <c r="B788" s="178"/>
      <c r="C788" s="178"/>
      <c r="D788" s="178"/>
      <c r="E788" s="178"/>
    </row>
    <row r="789">
      <c r="A789" s="178"/>
      <c r="B789" s="178"/>
      <c r="C789" s="178"/>
      <c r="D789" s="178"/>
      <c r="E789" s="178"/>
    </row>
    <row r="790">
      <c r="A790" s="178"/>
      <c r="B790" s="178"/>
      <c r="C790" s="178"/>
      <c r="D790" s="178"/>
      <c r="E790" s="178"/>
    </row>
    <row r="791">
      <c r="A791" s="178"/>
      <c r="B791" s="178"/>
      <c r="C791" s="178"/>
      <c r="D791" s="178"/>
      <c r="E791" s="178"/>
    </row>
    <row r="792">
      <c r="A792" s="178"/>
      <c r="B792" s="178"/>
      <c r="C792" s="178"/>
      <c r="D792" s="178"/>
      <c r="E792" s="178"/>
    </row>
    <row r="793">
      <c r="A793" s="178"/>
      <c r="B793" s="178"/>
      <c r="C793" s="178"/>
      <c r="D793" s="178"/>
      <c r="E793" s="178"/>
    </row>
    <row r="794">
      <c r="A794" s="178"/>
      <c r="B794" s="178"/>
      <c r="C794" s="178"/>
      <c r="D794" s="178"/>
      <c r="E794" s="178"/>
    </row>
    <row r="795">
      <c r="A795" s="178"/>
      <c r="B795" s="178"/>
      <c r="C795" s="178"/>
      <c r="D795" s="178"/>
      <c r="E795" s="178"/>
    </row>
    <row r="796">
      <c r="A796" s="178"/>
      <c r="B796" s="178"/>
      <c r="C796" s="178"/>
      <c r="D796" s="178"/>
      <c r="E796" s="178"/>
    </row>
    <row r="797">
      <c r="A797" s="178"/>
      <c r="B797" s="178"/>
      <c r="C797" s="178"/>
      <c r="D797" s="178"/>
      <c r="E797" s="178"/>
    </row>
    <row r="798">
      <c r="A798" s="178"/>
      <c r="B798" s="178"/>
      <c r="C798" s="178"/>
      <c r="D798" s="178"/>
      <c r="E798" s="178"/>
    </row>
    <row r="799">
      <c r="A799" s="178"/>
      <c r="B799" s="178"/>
      <c r="C799" s="178"/>
      <c r="D799" s="178"/>
      <c r="E799" s="178"/>
    </row>
    <row r="800">
      <c r="A800" s="178"/>
      <c r="B800" s="178"/>
      <c r="C800" s="178"/>
      <c r="D800" s="178"/>
      <c r="E800" s="178"/>
    </row>
    <row r="801">
      <c r="A801" s="178"/>
      <c r="B801" s="178"/>
      <c r="C801" s="178"/>
      <c r="D801" s="178"/>
      <c r="E801" s="178"/>
    </row>
    <row r="802">
      <c r="A802" s="178"/>
      <c r="B802" s="178"/>
      <c r="C802" s="178"/>
      <c r="D802" s="178"/>
      <c r="E802" s="178"/>
    </row>
    <row r="803">
      <c r="A803" s="178"/>
      <c r="B803" s="178"/>
      <c r="C803" s="178"/>
      <c r="D803" s="178"/>
      <c r="E803" s="178"/>
    </row>
    <row r="804">
      <c r="A804" s="178"/>
      <c r="B804" s="178"/>
      <c r="C804" s="178"/>
      <c r="D804" s="178"/>
      <c r="E804" s="178"/>
    </row>
    <row r="805">
      <c r="A805" s="178"/>
      <c r="B805" s="178"/>
      <c r="C805" s="178"/>
      <c r="D805" s="178"/>
      <c r="E805" s="178"/>
    </row>
    <row r="806">
      <c r="A806" s="178"/>
      <c r="B806" s="178"/>
      <c r="C806" s="178"/>
      <c r="D806" s="178"/>
      <c r="E806" s="178"/>
    </row>
    <row r="807">
      <c r="A807" s="178"/>
      <c r="B807" s="178"/>
      <c r="C807" s="178"/>
      <c r="D807" s="178"/>
      <c r="E807" s="178"/>
    </row>
    <row r="808">
      <c r="A808" s="178"/>
      <c r="B808" s="178"/>
      <c r="C808" s="178"/>
      <c r="D808" s="178"/>
      <c r="E808" s="178"/>
    </row>
    <row r="809">
      <c r="A809" s="178"/>
      <c r="B809" s="178"/>
      <c r="C809" s="178"/>
      <c r="D809" s="178"/>
      <c r="E809" s="178"/>
    </row>
    <row r="810">
      <c r="A810" s="178"/>
      <c r="B810" s="178"/>
      <c r="C810" s="178"/>
      <c r="D810" s="178"/>
      <c r="E810" s="178"/>
    </row>
    <row r="811">
      <c r="A811" s="178"/>
      <c r="B811" s="178"/>
      <c r="C811" s="178"/>
      <c r="D811" s="178"/>
      <c r="E811" s="178"/>
    </row>
    <row r="812">
      <c r="A812" s="178"/>
      <c r="B812" s="178"/>
      <c r="C812" s="178"/>
      <c r="D812" s="178"/>
      <c r="E812" s="178"/>
    </row>
    <row r="813">
      <c r="A813" s="178"/>
      <c r="B813" s="178"/>
      <c r="C813" s="178"/>
      <c r="D813" s="178"/>
      <c r="E813" s="178"/>
    </row>
    <row r="814">
      <c r="A814" s="178"/>
      <c r="B814" s="178"/>
      <c r="C814" s="178"/>
      <c r="D814" s="178"/>
      <c r="E814" s="178"/>
    </row>
    <row r="815">
      <c r="A815" s="178"/>
      <c r="B815" s="178"/>
      <c r="C815" s="178"/>
      <c r="D815" s="178"/>
      <c r="E815" s="178"/>
    </row>
    <row r="816">
      <c r="A816" s="178"/>
      <c r="B816" s="178"/>
      <c r="C816" s="178"/>
      <c r="D816" s="178"/>
      <c r="E816" s="178"/>
    </row>
    <row r="817">
      <c r="A817" s="178"/>
      <c r="B817" s="178"/>
      <c r="C817" s="178"/>
      <c r="D817" s="178"/>
      <c r="E817" s="178"/>
    </row>
    <row r="818">
      <c r="A818" s="178"/>
      <c r="B818" s="178"/>
      <c r="C818" s="178"/>
      <c r="D818" s="178"/>
      <c r="E818" s="178"/>
    </row>
    <row r="819">
      <c r="A819" s="178"/>
      <c r="B819" s="178"/>
      <c r="C819" s="178"/>
      <c r="D819" s="178"/>
      <c r="E819" s="178"/>
    </row>
    <row r="820">
      <c r="A820" s="178"/>
      <c r="B820" s="178"/>
      <c r="C820" s="178"/>
      <c r="D820" s="178"/>
      <c r="E820" s="178"/>
    </row>
    <row r="821">
      <c r="A821" s="178"/>
      <c r="B821" s="178"/>
      <c r="C821" s="178"/>
      <c r="D821" s="178"/>
      <c r="E821" s="178"/>
    </row>
    <row r="822">
      <c r="A822" s="178"/>
      <c r="B822" s="178"/>
      <c r="C822" s="178"/>
      <c r="D822" s="178"/>
      <c r="E822" s="178"/>
    </row>
    <row r="823">
      <c r="A823" s="178"/>
      <c r="B823" s="178"/>
      <c r="C823" s="178"/>
      <c r="D823" s="178"/>
      <c r="E823" s="178"/>
    </row>
    <row r="824">
      <c r="A824" s="178"/>
      <c r="B824" s="178"/>
      <c r="C824" s="178"/>
      <c r="D824" s="178"/>
      <c r="E824" s="178"/>
    </row>
    <row r="825">
      <c r="A825" s="178"/>
      <c r="B825" s="178"/>
      <c r="C825" s="178"/>
      <c r="D825" s="178"/>
      <c r="E825" s="178"/>
    </row>
    <row r="826">
      <c r="A826" s="178"/>
      <c r="B826" s="178"/>
      <c r="C826" s="178"/>
      <c r="D826" s="178"/>
      <c r="E826" s="178"/>
    </row>
    <row r="827">
      <c r="A827" s="178"/>
      <c r="B827" s="178"/>
      <c r="C827" s="178"/>
      <c r="D827" s="178"/>
      <c r="E827" s="178"/>
    </row>
    <row r="828">
      <c r="A828" s="178"/>
      <c r="B828" s="178"/>
      <c r="C828" s="178"/>
      <c r="D828" s="178"/>
      <c r="E828" s="178"/>
    </row>
    <row r="829">
      <c r="A829" s="178"/>
      <c r="B829" s="178"/>
      <c r="C829" s="178"/>
      <c r="D829" s="178"/>
      <c r="E829" s="178"/>
    </row>
    <row r="830">
      <c r="A830" s="178"/>
      <c r="B830" s="178"/>
      <c r="C830" s="178"/>
      <c r="D830" s="178"/>
      <c r="E830" s="178"/>
    </row>
    <row r="831">
      <c r="A831" s="178"/>
      <c r="B831" s="178"/>
      <c r="C831" s="178"/>
      <c r="D831" s="178"/>
      <c r="E831" s="178"/>
    </row>
    <row r="832">
      <c r="A832" s="178"/>
      <c r="B832" s="178"/>
      <c r="C832" s="178"/>
      <c r="D832" s="178"/>
      <c r="E832" s="178"/>
    </row>
    <row r="833">
      <c r="A833" s="178"/>
      <c r="B833" s="178"/>
      <c r="C833" s="178"/>
      <c r="D833" s="178"/>
      <c r="E833" s="178"/>
    </row>
    <row r="834">
      <c r="A834" s="178"/>
      <c r="B834" s="178"/>
      <c r="C834" s="178"/>
      <c r="D834" s="178"/>
      <c r="E834" s="178"/>
    </row>
    <row r="835">
      <c r="A835" s="178"/>
      <c r="B835" s="178"/>
      <c r="C835" s="178"/>
      <c r="D835" s="178"/>
      <c r="E835" s="178"/>
    </row>
    <row r="836">
      <c r="A836" s="178"/>
      <c r="B836" s="178"/>
      <c r="C836" s="178"/>
      <c r="D836" s="178"/>
      <c r="E836" s="178"/>
    </row>
    <row r="837">
      <c r="A837" s="178"/>
      <c r="B837" s="178"/>
      <c r="C837" s="178"/>
      <c r="D837" s="178"/>
      <c r="E837" s="178"/>
    </row>
    <row r="838">
      <c r="A838" s="178"/>
      <c r="B838" s="178"/>
      <c r="C838" s="178"/>
      <c r="D838" s="178"/>
      <c r="E838" s="178"/>
    </row>
    <row r="839">
      <c r="A839" s="178"/>
      <c r="B839" s="178"/>
      <c r="C839" s="178"/>
      <c r="D839" s="178"/>
      <c r="E839" s="178"/>
    </row>
    <row r="840">
      <c r="A840" s="178"/>
      <c r="B840" s="178"/>
      <c r="C840" s="178"/>
      <c r="D840" s="178"/>
      <c r="E840" s="178"/>
    </row>
    <row r="841">
      <c r="A841" s="178"/>
      <c r="B841" s="178"/>
      <c r="C841" s="178"/>
      <c r="D841" s="178"/>
      <c r="E841" s="178"/>
    </row>
    <row r="842">
      <c r="A842" s="178"/>
      <c r="B842" s="178"/>
      <c r="C842" s="178"/>
      <c r="D842" s="178"/>
      <c r="E842" s="178"/>
    </row>
    <row r="843">
      <c r="A843" s="178"/>
      <c r="B843" s="178"/>
      <c r="C843" s="178"/>
      <c r="D843" s="178"/>
      <c r="E843" s="178"/>
    </row>
    <row r="844">
      <c r="A844" s="178"/>
      <c r="B844" s="178"/>
      <c r="C844" s="178"/>
      <c r="D844" s="178"/>
      <c r="E844" s="178"/>
    </row>
    <row r="845">
      <c r="A845" s="178"/>
      <c r="B845" s="178"/>
      <c r="C845" s="178"/>
      <c r="D845" s="178"/>
      <c r="E845" s="178"/>
    </row>
    <row r="846">
      <c r="A846" s="178"/>
      <c r="B846" s="178"/>
      <c r="C846" s="178"/>
      <c r="D846" s="178"/>
      <c r="E846" s="178"/>
    </row>
    <row r="847">
      <c r="A847" s="178"/>
      <c r="B847" s="178"/>
      <c r="C847" s="178"/>
      <c r="D847" s="178"/>
      <c r="E847" s="178"/>
    </row>
    <row r="848">
      <c r="A848" s="178"/>
      <c r="B848" s="178"/>
      <c r="C848" s="178"/>
      <c r="D848" s="178"/>
      <c r="E848" s="178"/>
    </row>
    <row r="849">
      <c r="A849" s="178"/>
      <c r="B849" s="178"/>
      <c r="C849" s="178"/>
      <c r="D849" s="178"/>
      <c r="E849" s="178"/>
    </row>
    <row r="850">
      <c r="A850" s="178"/>
      <c r="B850" s="178"/>
      <c r="C850" s="178"/>
      <c r="D850" s="178"/>
      <c r="E850" s="178"/>
    </row>
    <row r="851">
      <c r="A851" s="178"/>
      <c r="B851" s="178"/>
      <c r="C851" s="178"/>
      <c r="D851" s="178"/>
      <c r="E851" s="178"/>
    </row>
    <row r="852">
      <c r="A852" s="178"/>
      <c r="B852" s="178"/>
      <c r="C852" s="178"/>
      <c r="D852" s="178"/>
      <c r="E852" s="178"/>
    </row>
    <row r="853">
      <c r="A853" s="178"/>
      <c r="B853" s="178"/>
      <c r="C853" s="178"/>
      <c r="D853" s="178"/>
      <c r="E853" s="178"/>
    </row>
    <row r="854">
      <c r="A854" s="178"/>
      <c r="B854" s="178"/>
      <c r="C854" s="178"/>
      <c r="D854" s="178"/>
      <c r="E854" s="178"/>
    </row>
    <row r="855">
      <c r="A855" s="178"/>
      <c r="B855" s="178"/>
      <c r="C855" s="178"/>
      <c r="D855" s="178"/>
      <c r="E855" s="178"/>
    </row>
    <row r="856">
      <c r="A856" s="178"/>
      <c r="B856" s="178"/>
      <c r="C856" s="178"/>
      <c r="D856" s="178"/>
      <c r="E856" s="178"/>
    </row>
    <row r="857">
      <c r="A857" s="178"/>
      <c r="B857" s="178"/>
      <c r="C857" s="178"/>
      <c r="D857" s="178"/>
      <c r="E857" s="178"/>
    </row>
    <row r="858">
      <c r="A858" s="178"/>
      <c r="B858" s="178"/>
      <c r="C858" s="178"/>
      <c r="D858" s="178"/>
      <c r="E858" s="178"/>
    </row>
    <row r="859">
      <c r="A859" s="178"/>
      <c r="B859" s="178"/>
      <c r="C859" s="178"/>
      <c r="D859" s="178"/>
      <c r="E859" s="178"/>
    </row>
    <row r="860">
      <c r="A860" s="178"/>
      <c r="B860" s="178"/>
      <c r="C860" s="178"/>
      <c r="D860" s="178"/>
      <c r="E860" s="178"/>
    </row>
    <row r="861">
      <c r="A861" s="178"/>
      <c r="B861" s="178"/>
      <c r="C861" s="178"/>
      <c r="D861" s="178"/>
      <c r="E861" s="178"/>
    </row>
    <row r="862">
      <c r="A862" s="178"/>
      <c r="B862" s="178"/>
      <c r="C862" s="178"/>
      <c r="D862" s="178"/>
      <c r="E862" s="178"/>
    </row>
    <row r="863">
      <c r="A863" s="178"/>
      <c r="B863" s="178"/>
      <c r="C863" s="178"/>
      <c r="D863" s="178"/>
      <c r="E863" s="178"/>
    </row>
    <row r="864">
      <c r="A864" s="178"/>
      <c r="B864" s="178"/>
      <c r="C864" s="178"/>
      <c r="D864" s="178"/>
      <c r="E864" s="178"/>
    </row>
    <row r="865">
      <c r="A865" s="178"/>
      <c r="B865" s="178"/>
      <c r="C865" s="178"/>
      <c r="D865" s="178"/>
      <c r="E865" s="178"/>
    </row>
    <row r="866">
      <c r="A866" s="178"/>
      <c r="B866" s="178"/>
      <c r="C866" s="178"/>
      <c r="D866" s="178"/>
      <c r="E866" s="178"/>
    </row>
    <row r="867">
      <c r="A867" s="178"/>
      <c r="B867" s="178"/>
      <c r="C867" s="178"/>
      <c r="D867" s="178"/>
      <c r="E867" s="178"/>
    </row>
    <row r="868">
      <c r="A868" s="178"/>
      <c r="B868" s="178"/>
      <c r="C868" s="178"/>
      <c r="D868" s="178"/>
      <c r="E868" s="178"/>
    </row>
    <row r="869">
      <c r="A869" s="178"/>
      <c r="B869" s="178"/>
      <c r="C869" s="178"/>
      <c r="D869" s="178"/>
      <c r="E869" s="178"/>
    </row>
    <row r="870">
      <c r="A870" s="178"/>
      <c r="B870" s="178"/>
      <c r="C870" s="178"/>
      <c r="D870" s="178"/>
      <c r="E870" s="178"/>
    </row>
    <row r="871">
      <c r="A871" s="178"/>
      <c r="B871" s="178"/>
      <c r="C871" s="178"/>
      <c r="D871" s="178"/>
      <c r="E871" s="178"/>
    </row>
    <row r="872">
      <c r="A872" s="178"/>
      <c r="B872" s="178"/>
      <c r="C872" s="178"/>
      <c r="D872" s="178"/>
      <c r="E872" s="178"/>
    </row>
    <row r="873">
      <c r="A873" s="178"/>
      <c r="B873" s="178"/>
      <c r="C873" s="178"/>
      <c r="D873" s="178"/>
      <c r="E873" s="178"/>
    </row>
    <row r="874">
      <c r="A874" s="178"/>
      <c r="B874" s="178"/>
      <c r="C874" s="178"/>
      <c r="D874" s="178"/>
      <c r="E874" s="178"/>
    </row>
    <row r="875">
      <c r="A875" s="178"/>
      <c r="B875" s="178"/>
      <c r="C875" s="178"/>
      <c r="D875" s="178"/>
      <c r="E875" s="178"/>
    </row>
    <row r="876">
      <c r="A876" s="178"/>
      <c r="B876" s="178"/>
      <c r="C876" s="178"/>
      <c r="D876" s="178"/>
      <c r="E876" s="178"/>
    </row>
    <row r="877">
      <c r="A877" s="178"/>
      <c r="B877" s="178"/>
      <c r="C877" s="178"/>
      <c r="D877" s="178"/>
      <c r="E877" s="178"/>
    </row>
    <row r="878">
      <c r="A878" s="178"/>
      <c r="B878" s="178"/>
      <c r="C878" s="178"/>
      <c r="D878" s="178"/>
      <c r="E878" s="178"/>
    </row>
    <row r="879">
      <c r="A879" s="178"/>
      <c r="B879" s="178"/>
      <c r="C879" s="178"/>
      <c r="D879" s="178"/>
      <c r="E879" s="178"/>
    </row>
    <row r="880">
      <c r="A880" s="178"/>
      <c r="B880" s="178"/>
      <c r="C880" s="178"/>
      <c r="D880" s="178"/>
      <c r="E880" s="178"/>
    </row>
    <row r="881">
      <c r="A881" s="178"/>
      <c r="B881" s="178"/>
      <c r="C881" s="178"/>
      <c r="D881" s="178"/>
      <c r="E881" s="178"/>
    </row>
    <row r="882">
      <c r="A882" s="178"/>
      <c r="B882" s="178"/>
      <c r="C882" s="178"/>
      <c r="D882" s="178"/>
      <c r="E882" s="178"/>
    </row>
    <row r="883">
      <c r="A883" s="178"/>
      <c r="B883" s="178"/>
      <c r="C883" s="178"/>
      <c r="D883" s="178"/>
      <c r="E883" s="178"/>
    </row>
    <row r="884">
      <c r="A884" s="178"/>
      <c r="B884" s="178"/>
      <c r="C884" s="178"/>
      <c r="D884" s="178"/>
      <c r="E884" s="178"/>
    </row>
    <row r="885">
      <c r="A885" s="178"/>
      <c r="B885" s="178"/>
      <c r="C885" s="178"/>
      <c r="D885" s="178"/>
      <c r="E885" s="178"/>
    </row>
    <row r="886">
      <c r="A886" s="178"/>
      <c r="B886" s="178"/>
      <c r="C886" s="178"/>
      <c r="D886" s="178"/>
      <c r="E886" s="178"/>
    </row>
    <row r="887">
      <c r="A887" s="178"/>
      <c r="B887" s="178"/>
      <c r="C887" s="178"/>
      <c r="D887" s="178"/>
      <c r="E887" s="178"/>
    </row>
    <row r="888">
      <c r="A888" s="178"/>
      <c r="B888" s="178"/>
      <c r="C888" s="178"/>
      <c r="D888" s="178"/>
      <c r="E888" s="178"/>
    </row>
    <row r="889">
      <c r="A889" s="178"/>
      <c r="B889" s="178"/>
      <c r="C889" s="178"/>
      <c r="D889" s="178"/>
      <c r="E889" s="178"/>
    </row>
    <row r="890">
      <c r="A890" s="178"/>
      <c r="B890" s="178"/>
      <c r="C890" s="178"/>
      <c r="D890" s="178"/>
      <c r="E890" s="178"/>
    </row>
    <row r="891">
      <c r="A891" s="178"/>
      <c r="B891" s="178"/>
      <c r="C891" s="178"/>
      <c r="D891" s="178"/>
      <c r="E891" s="178"/>
    </row>
    <row r="892">
      <c r="A892" s="178"/>
      <c r="B892" s="178"/>
      <c r="C892" s="178"/>
      <c r="D892" s="178"/>
      <c r="E892" s="178"/>
    </row>
    <row r="893">
      <c r="A893" s="178"/>
      <c r="B893" s="178"/>
      <c r="C893" s="178"/>
      <c r="D893" s="178"/>
      <c r="E893" s="178"/>
    </row>
    <row r="894">
      <c r="A894" s="178"/>
      <c r="B894" s="178"/>
      <c r="C894" s="178"/>
      <c r="D894" s="178"/>
      <c r="E894" s="178"/>
    </row>
    <row r="895">
      <c r="A895" s="178"/>
      <c r="B895" s="178"/>
      <c r="C895" s="178"/>
      <c r="D895" s="178"/>
      <c r="E895" s="178"/>
    </row>
    <row r="896">
      <c r="A896" s="178"/>
      <c r="B896" s="178"/>
      <c r="C896" s="178"/>
      <c r="D896" s="178"/>
      <c r="E896" s="178"/>
    </row>
    <row r="897">
      <c r="A897" s="178"/>
      <c r="B897" s="178"/>
      <c r="C897" s="178"/>
      <c r="D897" s="178"/>
      <c r="E897" s="178"/>
    </row>
    <row r="898">
      <c r="A898" s="178"/>
      <c r="B898" s="178"/>
      <c r="C898" s="178"/>
      <c r="D898" s="178"/>
      <c r="E898" s="178"/>
    </row>
    <row r="899">
      <c r="A899" s="178"/>
      <c r="B899" s="178"/>
      <c r="C899" s="178"/>
      <c r="D899" s="178"/>
      <c r="E899" s="178"/>
    </row>
    <row r="900">
      <c r="A900" s="178"/>
      <c r="B900" s="178"/>
      <c r="C900" s="178"/>
      <c r="D900" s="178"/>
      <c r="E900" s="178"/>
    </row>
    <row r="901">
      <c r="A901" s="178"/>
      <c r="B901" s="178"/>
      <c r="C901" s="178"/>
      <c r="D901" s="178"/>
      <c r="E901" s="178"/>
    </row>
    <row r="902">
      <c r="A902" s="178"/>
      <c r="B902" s="178"/>
      <c r="C902" s="178"/>
      <c r="D902" s="178"/>
      <c r="E902" s="178"/>
    </row>
    <row r="903">
      <c r="A903" s="178"/>
      <c r="B903" s="178"/>
      <c r="C903" s="178"/>
      <c r="D903" s="178"/>
      <c r="E903" s="178"/>
    </row>
    <row r="904">
      <c r="A904" s="178"/>
      <c r="B904" s="178"/>
      <c r="C904" s="178"/>
      <c r="D904" s="178"/>
      <c r="E904" s="178"/>
    </row>
    <row r="905">
      <c r="A905" s="178"/>
      <c r="B905" s="178"/>
      <c r="C905" s="178"/>
      <c r="D905" s="178"/>
      <c r="E905" s="178"/>
    </row>
    <row r="906">
      <c r="A906" s="178"/>
      <c r="B906" s="178"/>
      <c r="C906" s="178"/>
      <c r="D906" s="178"/>
      <c r="E906" s="178"/>
    </row>
    <row r="907">
      <c r="A907" s="178"/>
      <c r="B907" s="178"/>
      <c r="C907" s="178"/>
      <c r="D907" s="178"/>
      <c r="E907" s="178"/>
    </row>
    <row r="908">
      <c r="A908" s="178"/>
      <c r="B908" s="178"/>
      <c r="C908" s="178"/>
      <c r="D908" s="178"/>
      <c r="E908" s="178"/>
    </row>
    <row r="909">
      <c r="A909" s="178"/>
      <c r="B909" s="178"/>
      <c r="C909" s="178"/>
      <c r="D909" s="178"/>
      <c r="E909" s="178"/>
    </row>
    <row r="910">
      <c r="A910" s="178"/>
      <c r="B910" s="178"/>
      <c r="C910" s="178"/>
      <c r="D910" s="178"/>
      <c r="E910" s="178"/>
    </row>
    <row r="911">
      <c r="A911" s="178"/>
      <c r="B911" s="178"/>
      <c r="C911" s="178"/>
      <c r="D911" s="178"/>
      <c r="E911" s="178"/>
    </row>
    <row r="912">
      <c r="A912" s="178"/>
      <c r="B912" s="178"/>
      <c r="C912" s="178"/>
      <c r="D912" s="178"/>
      <c r="E912" s="178"/>
    </row>
    <row r="913">
      <c r="A913" s="178"/>
      <c r="B913" s="178"/>
      <c r="C913" s="178"/>
      <c r="D913" s="178"/>
      <c r="E913" s="178"/>
    </row>
    <row r="914">
      <c r="A914" s="178"/>
      <c r="B914" s="178"/>
      <c r="C914" s="178"/>
      <c r="D914" s="178"/>
      <c r="E914" s="178"/>
    </row>
    <row r="915">
      <c r="A915" s="178"/>
      <c r="B915" s="178"/>
      <c r="C915" s="178"/>
      <c r="D915" s="178"/>
      <c r="E915" s="178"/>
    </row>
    <row r="916">
      <c r="A916" s="178"/>
      <c r="B916" s="178"/>
      <c r="C916" s="178"/>
      <c r="D916" s="178"/>
      <c r="E916" s="178"/>
    </row>
    <row r="917">
      <c r="A917" s="178"/>
      <c r="B917" s="178"/>
      <c r="C917" s="178"/>
      <c r="D917" s="178"/>
      <c r="E917" s="178"/>
    </row>
    <row r="918">
      <c r="A918" s="178"/>
      <c r="B918" s="178"/>
      <c r="C918" s="178"/>
      <c r="D918" s="178"/>
      <c r="E918" s="178"/>
    </row>
    <row r="919">
      <c r="A919" s="178"/>
      <c r="B919" s="178"/>
      <c r="C919" s="178"/>
      <c r="D919" s="178"/>
      <c r="E919" s="178"/>
    </row>
    <row r="920">
      <c r="A920" s="178"/>
      <c r="B920" s="178"/>
      <c r="C920" s="178"/>
      <c r="D920" s="178"/>
      <c r="E920" s="178"/>
    </row>
    <row r="921">
      <c r="A921" s="178"/>
      <c r="B921" s="178"/>
      <c r="C921" s="178"/>
      <c r="D921" s="178"/>
      <c r="E921" s="178"/>
    </row>
    <row r="922">
      <c r="A922" s="178"/>
      <c r="B922" s="178"/>
      <c r="C922" s="178"/>
      <c r="D922" s="178"/>
      <c r="E922" s="178"/>
    </row>
    <row r="923">
      <c r="A923" s="178"/>
      <c r="B923" s="178"/>
      <c r="C923" s="178"/>
      <c r="D923" s="178"/>
      <c r="E923" s="178"/>
    </row>
    <row r="924">
      <c r="A924" s="178"/>
      <c r="B924" s="178"/>
      <c r="C924" s="178"/>
      <c r="D924" s="178"/>
      <c r="E924" s="178"/>
    </row>
    <row r="925">
      <c r="A925" s="178"/>
      <c r="B925" s="178"/>
      <c r="C925" s="178"/>
      <c r="D925" s="178"/>
      <c r="E925" s="178"/>
    </row>
    <row r="926">
      <c r="A926" s="178"/>
      <c r="B926" s="178"/>
      <c r="C926" s="178"/>
      <c r="D926" s="178"/>
      <c r="E926" s="178"/>
    </row>
    <row r="927">
      <c r="A927" s="178"/>
      <c r="B927" s="178"/>
      <c r="C927" s="178"/>
      <c r="D927" s="178"/>
      <c r="E927" s="178"/>
    </row>
    <row r="928">
      <c r="A928" s="178"/>
      <c r="B928" s="178"/>
      <c r="C928" s="178"/>
      <c r="D928" s="178"/>
      <c r="E928" s="178"/>
    </row>
    <row r="929">
      <c r="A929" s="178"/>
      <c r="B929" s="178"/>
      <c r="C929" s="178"/>
      <c r="D929" s="178"/>
      <c r="E929" s="178"/>
    </row>
    <row r="930">
      <c r="A930" s="178"/>
      <c r="B930" s="178"/>
      <c r="C930" s="178"/>
      <c r="D930" s="178"/>
      <c r="E930" s="178"/>
    </row>
    <row r="931">
      <c r="A931" s="178"/>
      <c r="B931" s="178"/>
      <c r="C931" s="178"/>
      <c r="D931" s="178"/>
      <c r="E931" s="178"/>
    </row>
    <row r="932">
      <c r="A932" s="178"/>
      <c r="B932" s="178"/>
      <c r="C932" s="178"/>
      <c r="D932" s="178"/>
      <c r="E932" s="178"/>
    </row>
    <row r="933">
      <c r="A933" s="178"/>
      <c r="B933" s="178"/>
      <c r="C933" s="178"/>
      <c r="D933" s="178"/>
      <c r="E933" s="178"/>
    </row>
    <row r="934">
      <c r="A934" s="178"/>
      <c r="B934" s="178"/>
      <c r="C934" s="178"/>
      <c r="D934" s="178"/>
      <c r="E934" s="178"/>
    </row>
    <row r="935">
      <c r="A935" s="178"/>
      <c r="B935" s="178"/>
      <c r="C935" s="178"/>
      <c r="D935" s="178"/>
      <c r="E935" s="178"/>
    </row>
    <row r="936">
      <c r="A936" s="178"/>
      <c r="B936" s="178"/>
      <c r="C936" s="178"/>
      <c r="D936" s="178"/>
      <c r="E936" s="178"/>
    </row>
    <row r="937">
      <c r="A937" s="178"/>
      <c r="B937" s="178"/>
      <c r="C937" s="178"/>
      <c r="D937" s="178"/>
      <c r="E937" s="178"/>
    </row>
    <row r="938">
      <c r="A938" s="178"/>
      <c r="B938" s="178"/>
      <c r="C938" s="178"/>
      <c r="D938" s="178"/>
      <c r="E938" s="178"/>
    </row>
    <row r="939">
      <c r="A939" s="178"/>
      <c r="B939" s="178"/>
      <c r="C939" s="178"/>
      <c r="D939" s="178"/>
      <c r="E939" s="178"/>
    </row>
    <row r="940">
      <c r="A940" s="178"/>
      <c r="B940" s="178"/>
      <c r="C940" s="178"/>
      <c r="D940" s="178"/>
      <c r="E940" s="178"/>
    </row>
    <row r="941">
      <c r="A941" s="178"/>
      <c r="B941" s="178"/>
      <c r="C941" s="178"/>
      <c r="D941" s="178"/>
      <c r="E941" s="178"/>
    </row>
    <row r="942">
      <c r="A942" s="178"/>
      <c r="B942" s="178"/>
      <c r="C942" s="178"/>
      <c r="D942" s="178"/>
      <c r="E942" s="178"/>
    </row>
    <row r="943">
      <c r="A943" s="178"/>
      <c r="B943" s="178"/>
      <c r="C943" s="178"/>
      <c r="D943" s="178"/>
      <c r="E943" s="178"/>
    </row>
    <row r="944">
      <c r="A944" s="178"/>
      <c r="B944" s="178"/>
      <c r="C944" s="178"/>
      <c r="D944" s="178"/>
      <c r="E944" s="178"/>
    </row>
    <row r="945">
      <c r="A945" s="178"/>
      <c r="B945" s="178"/>
      <c r="C945" s="178"/>
      <c r="D945" s="178"/>
      <c r="E945" s="178"/>
    </row>
    <row r="946">
      <c r="A946" s="178"/>
      <c r="B946" s="178"/>
      <c r="C946" s="178"/>
      <c r="D946" s="178"/>
      <c r="E946" s="178"/>
    </row>
    <row r="947">
      <c r="A947" s="178"/>
      <c r="B947" s="178"/>
      <c r="C947" s="178"/>
      <c r="D947" s="178"/>
      <c r="E947" s="178"/>
    </row>
    <row r="948">
      <c r="A948" s="178"/>
      <c r="B948" s="178"/>
      <c r="C948" s="178"/>
      <c r="D948" s="178"/>
      <c r="E948" s="178"/>
    </row>
    <row r="949">
      <c r="A949" s="178"/>
      <c r="B949" s="178"/>
      <c r="C949" s="178"/>
      <c r="D949" s="178"/>
      <c r="E949" s="178"/>
    </row>
    <row r="950">
      <c r="A950" s="178"/>
      <c r="B950" s="178"/>
      <c r="C950" s="178"/>
      <c r="D950" s="178"/>
      <c r="E950" s="178"/>
    </row>
    <row r="951">
      <c r="A951" s="178"/>
      <c r="B951" s="178"/>
      <c r="C951" s="178"/>
      <c r="D951" s="178"/>
      <c r="E951" s="178"/>
    </row>
    <row r="952">
      <c r="A952" s="178"/>
      <c r="B952" s="178"/>
      <c r="C952" s="178"/>
      <c r="D952" s="178"/>
      <c r="E952" s="178"/>
    </row>
    <row r="953">
      <c r="A953" s="178"/>
      <c r="B953" s="178"/>
      <c r="C953" s="178"/>
      <c r="D953" s="178"/>
      <c r="E953" s="178"/>
    </row>
    <row r="954">
      <c r="A954" s="178"/>
      <c r="B954" s="178"/>
      <c r="C954" s="178"/>
      <c r="D954" s="178"/>
      <c r="E954" s="178"/>
    </row>
    <row r="955">
      <c r="A955" s="178"/>
      <c r="B955" s="178"/>
      <c r="C955" s="178"/>
      <c r="D955" s="178"/>
      <c r="E955" s="178"/>
    </row>
    <row r="956">
      <c r="A956" s="178"/>
      <c r="B956" s="178"/>
      <c r="C956" s="178"/>
      <c r="D956" s="178"/>
      <c r="E956" s="178"/>
    </row>
    <row r="957">
      <c r="A957" s="178"/>
      <c r="B957" s="178"/>
      <c r="C957" s="178"/>
      <c r="D957" s="178"/>
      <c r="E957" s="178"/>
    </row>
    <row r="958">
      <c r="A958" s="178"/>
      <c r="B958" s="178"/>
      <c r="C958" s="178"/>
      <c r="D958" s="178"/>
      <c r="E958" s="178"/>
    </row>
    <row r="959">
      <c r="A959" s="178"/>
      <c r="B959" s="178"/>
      <c r="C959" s="178"/>
      <c r="D959" s="178"/>
      <c r="E959" s="178"/>
    </row>
    <row r="960">
      <c r="A960" s="178"/>
      <c r="B960" s="178"/>
      <c r="C960" s="178"/>
      <c r="D960" s="178"/>
      <c r="E960" s="178"/>
    </row>
    <row r="961">
      <c r="A961" s="178"/>
      <c r="B961" s="178"/>
      <c r="C961" s="178"/>
      <c r="D961" s="178"/>
      <c r="E961" s="178"/>
    </row>
    <row r="962">
      <c r="A962" s="178"/>
      <c r="B962" s="178"/>
      <c r="C962" s="178"/>
      <c r="D962" s="178"/>
      <c r="E962" s="178"/>
    </row>
    <row r="963">
      <c r="A963" s="178"/>
      <c r="B963" s="178"/>
      <c r="C963" s="178"/>
      <c r="D963" s="178"/>
      <c r="E963" s="178"/>
    </row>
    <row r="964">
      <c r="A964" s="178"/>
      <c r="B964" s="178"/>
      <c r="C964" s="178"/>
      <c r="D964" s="178"/>
      <c r="E964" s="178"/>
    </row>
    <row r="965">
      <c r="A965" s="178"/>
      <c r="B965" s="178"/>
      <c r="C965" s="178"/>
      <c r="D965" s="178"/>
      <c r="E965" s="178"/>
    </row>
    <row r="966">
      <c r="A966" s="178"/>
      <c r="B966" s="178"/>
      <c r="C966" s="178"/>
      <c r="D966" s="178"/>
      <c r="E966" s="178"/>
    </row>
    <row r="967">
      <c r="A967" s="178"/>
      <c r="B967" s="178"/>
      <c r="C967" s="178"/>
      <c r="D967" s="178"/>
      <c r="E967" s="178"/>
    </row>
    <row r="968">
      <c r="A968" s="178"/>
      <c r="B968" s="178"/>
      <c r="C968" s="178"/>
      <c r="D968" s="178"/>
      <c r="E968" s="178"/>
    </row>
    <row r="969">
      <c r="A969" s="178"/>
      <c r="B969" s="178"/>
      <c r="C969" s="178"/>
      <c r="D969" s="178"/>
      <c r="E969" s="178"/>
    </row>
    <row r="970">
      <c r="A970" s="178"/>
      <c r="B970" s="178"/>
      <c r="C970" s="178"/>
      <c r="D970" s="178"/>
      <c r="E970" s="178"/>
    </row>
    <row r="971">
      <c r="A971" s="178"/>
      <c r="B971" s="178"/>
      <c r="C971" s="178"/>
      <c r="D971" s="178"/>
      <c r="E971" s="178"/>
    </row>
    <row r="972">
      <c r="A972" s="178"/>
      <c r="B972" s="178"/>
      <c r="C972" s="178"/>
      <c r="D972" s="178"/>
      <c r="E972" s="178"/>
    </row>
    <row r="973">
      <c r="A973" s="178"/>
      <c r="B973" s="178"/>
      <c r="C973" s="178"/>
      <c r="D973" s="178"/>
      <c r="E973" s="178"/>
    </row>
    <row r="974">
      <c r="A974" s="178"/>
      <c r="B974" s="178"/>
      <c r="C974" s="178"/>
      <c r="D974" s="178"/>
      <c r="E974" s="178"/>
    </row>
    <row r="975">
      <c r="A975" s="178"/>
      <c r="B975" s="178"/>
      <c r="C975" s="178"/>
      <c r="D975" s="178"/>
      <c r="E975" s="178"/>
    </row>
    <row r="976">
      <c r="A976" s="178"/>
      <c r="B976" s="178"/>
      <c r="C976" s="178"/>
      <c r="D976" s="178"/>
      <c r="E976" s="178"/>
    </row>
    <row r="977">
      <c r="A977" s="178"/>
      <c r="B977" s="178"/>
      <c r="C977" s="178"/>
      <c r="D977" s="178"/>
      <c r="E977" s="178"/>
    </row>
    <row r="978">
      <c r="A978" s="178"/>
      <c r="B978" s="178"/>
      <c r="C978" s="178"/>
      <c r="D978" s="178"/>
      <c r="E978" s="178"/>
    </row>
    <row r="979">
      <c r="A979" s="178"/>
      <c r="B979" s="178"/>
      <c r="C979" s="178"/>
      <c r="D979" s="178"/>
      <c r="E979" s="178"/>
    </row>
    <row r="980">
      <c r="A980" s="178"/>
      <c r="B980" s="178"/>
      <c r="C980" s="178"/>
      <c r="D980" s="178"/>
      <c r="E980" s="178"/>
    </row>
    <row r="981">
      <c r="A981" s="178"/>
      <c r="B981" s="178"/>
      <c r="C981" s="178"/>
      <c r="D981" s="178"/>
      <c r="E981" s="178"/>
    </row>
    <row r="982">
      <c r="A982" s="178"/>
      <c r="B982" s="178"/>
      <c r="C982" s="178"/>
      <c r="D982" s="178"/>
      <c r="E982" s="178"/>
    </row>
    <row r="983">
      <c r="A983" s="178"/>
      <c r="B983" s="178"/>
      <c r="C983" s="178"/>
      <c r="D983" s="178"/>
      <c r="E983" s="178"/>
    </row>
    <row r="984">
      <c r="A984" s="178"/>
      <c r="B984" s="178"/>
      <c r="C984" s="178"/>
      <c r="D984" s="178"/>
      <c r="E984" s="178"/>
    </row>
    <row r="985">
      <c r="A985" s="178"/>
      <c r="B985" s="178"/>
      <c r="C985" s="178"/>
      <c r="D985" s="178"/>
      <c r="E985" s="178"/>
    </row>
    <row r="986">
      <c r="A986" s="178"/>
      <c r="B986" s="178"/>
      <c r="C986" s="178"/>
      <c r="D986" s="178"/>
      <c r="E986" s="178"/>
    </row>
    <row r="987">
      <c r="A987" s="178"/>
      <c r="B987" s="178"/>
      <c r="C987" s="178"/>
      <c r="D987" s="178"/>
      <c r="E987" s="178"/>
    </row>
    <row r="988">
      <c r="A988" s="178"/>
      <c r="B988" s="178"/>
      <c r="C988" s="178"/>
      <c r="D988" s="178"/>
      <c r="E988" s="178"/>
    </row>
    <row r="989">
      <c r="A989" s="178"/>
      <c r="B989" s="178"/>
      <c r="C989" s="178"/>
      <c r="D989" s="178"/>
      <c r="E989" s="178"/>
    </row>
    <row r="990">
      <c r="A990" s="178"/>
      <c r="B990" s="178"/>
      <c r="C990" s="178"/>
      <c r="D990" s="178"/>
      <c r="E990" s="178"/>
    </row>
    <row r="991">
      <c r="A991" s="178"/>
      <c r="B991" s="178"/>
      <c r="C991" s="178"/>
      <c r="D991" s="178"/>
      <c r="E991" s="178"/>
    </row>
    <row r="992">
      <c r="A992" s="178"/>
      <c r="B992" s="178"/>
      <c r="C992" s="178"/>
      <c r="D992" s="178"/>
      <c r="E992" s="178"/>
    </row>
    <row r="993">
      <c r="A993" s="178"/>
      <c r="B993" s="178"/>
      <c r="C993" s="178"/>
      <c r="D993" s="178"/>
      <c r="E993" s="178"/>
    </row>
    <row r="994">
      <c r="A994" s="178"/>
      <c r="B994" s="178"/>
      <c r="C994" s="178"/>
      <c r="D994" s="178"/>
      <c r="E994" s="178"/>
    </row>
    <row r="995">
      <c r="A995" s="178"/>
      <c r="B995" s="178"/>
      <c r="C995" s="178"/>
      <c r="D995" s="178"/>
      <c r="E995" s="178"/>
    </row>
    <row r="996">
      <c r="A996" s="178"/>
      <c r="B996" s="178"/>
      <c r="C996" s="178"/>
      <c r="D996" s="178"/>
      <c r="E996" s="178"/>
    </row>
    <row r="997">
      <c r="A997" s="178"/>
      <c r="B997" s="178"/>
      <c r="C997" s="178"/>
      <c r="D997" s="178"/>
      <c r="E997" s="178"/>
    </row>
    <row r="998">
      <c r="A998" s="178"/>
      <c r="B998" s="178"/>
      <c r="C998" s="178"/>
      <c r="D998" s="178"/>
      <c r="E998" s="178"/>
    </row>
    <row r="999">
      <c r="A999" s="178"/>
      <c r="B999" s="178"/>
      <c r="C999" s="178"/>
      <c r="D999" s="178"/>
      <c r="E999" s="178"/>
    </row>
    <row r="1000">
      <c r="A1000" s="178"/>
      <c r="B1000" s="178"/>
      <c r="C1000" s="178"/>
      <c r="D1000" s="178"/>
      <c r="E1000" s="178"/>
    </row>
  </sheetData>
  <mergeCells count="1">
    <mergeCell ref="G8:H8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40.63"/>
    <col customWidth="1" min="3" max="3" width="12.0"/>
    <col customWidth="1" min="4" max="4" width="36.0"/>
    <col customWidth="1" min="5" max="5" width="10.38"/>
    <col customWidth="1" min="7" max="7" width="76.8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178"/>
      <c r="G1" s="80" t="s">
        <v>5</v>
      </c>
      <c r="H1" s="81">
        <f>SUM(H2,H3)</f>
        <v>20</v>
      </c>
    </row>
    <row r="2">
      <c r="A2" s="182" t="s">
        <v>780</v>
      </c>
      <c r="B2" s="167" t="s">
        <v>231</v>
      </c>
      <c r="C2" s="167" t="s">
        <v>218</v>
      </c>
      <c r="D2" s="167">
        <v>86.0</v>
      </c>
      <c r="E2" s="168">
        <v>0.16666666666666666</v>
      </c>
      <c r="F2" s="178"/>
      <c r="G2" s="82" t="s">
        <v>9</v>
      </c>
      <c r="H2" s="82">
        <v>10.0</v>
      </c>
    </row>
    <row r="3">
      <c r="A3" s="169" t="s">
        <v>781</v>
      </c>
      <c r="B3" s="167" t="s">
        <v>318</v>
      </c>
      <c r="C3" s="167" t="s">
        <v>319</v>
      </c>
      <c r="D3" s="170">
        <v>100.0</v>
      </c>
      <c r="E3" s="168">
        <v>0.25</v>
      </c>
      <c r="F3" s="178"/>
      <c r="G3" s="82" t="s">
        <v>13</v>
      </c>
      <c r="H3" s="82">
        <v>10.0</v>
      </c>
    </row>
    <row r="4">
      <c r="A4" s="149" t="s">
        <v>782</v>
      </c>
      <c r="B4" s="73" t="s">
        <v>84</v>
      </c>
      <c r="C4" s="73" t="s">
        <v>193</v>
      </c>
      <c r="D4" s="73">
        <v>113.0</v>
      </c>
      <c r="E4" s="168">
        <v>0.25</v>
      </c>
      <c r="F4" s="178"/>
      <c r="G4" s="93"/>
      <c r="H4" s="93"/>
    </row>
    <row r="5">
      <c r="A5" s="149" t="s">
        <v>783</v>
      </c>
      <c r="B5" s="73" t="s">
        <v>84</v>
      </c>
      <c r="C5" s="73" t="s">
        <v>193</v>
      </c>
      <c r="D5" s="73">
        <v>96.0</v>
      </c>
      <c r="E5" s="168">
        <v>0.25</v>
      </c>
      <c r="F5" s="178"/>
      <c r="G5" s="93"/>
      <c r="H5" s="93"/>
    </row>
    <row r="6">
      <c r="A6" s="149" t="s">
        <v>784</v>
      </c>
      <c r="B6" s="73" t="s">
        <v>34</v>
      </c>
      <c r="C6" s="73" t="s">
        <v>35</v>
      </c>
      <c r="D6" s="73">
        <v>6.0</v>
      </c>
      <c r="E6" s="168">
        <v>0.2708333333333333</v>
      </c>
      <c r="F6" s="178"/>
      <c r="G6" s="178"/>
      <c r="H6" s="178"/>
    </row>
    <row r="7">
      <c r="A7" s="149" t="s">
        <v>785</v>
      </c>
      <c r="B7" s="73" t="s">
        <v>231</v>
      </c>
      <c r="C7" s="73" t="s">
        <v>218</v>
      </c>
      <c r="D7" s="73">
        <v>87.0</v>
      </c>
      <c r="E7" s="168">
        <v>0.2916666666666667</v>
      </c>
      <c r="F7" s="178"/>
      <c r="G7" s="178"/>
      <c r="H7" s="178"/>
    </row>
    <row r="8">
      <c r="A8" s="149" t="s">
        <v>786</v>
      </c>
      <c r="B8" s="73" t="s">
        <v>264</v>
      </c>
      <c r="C8" s="73" t="s">
        <v>224</v>
      </c>
      <c r="D8" s="73">
        <v>5.0</v>
      </c>
      <c r="E8" s="168">
        <v>0.2916666666666667</v>
      </c>
      <c r="F8" s="178"/>
      <c r="G8" s="183"/>
    </row>
    <row r="9">
      <c r="A9" s="149" t="s">
        <v>787</v>
      </c>
      <c r="B9" s="73" t="s">
        <v>563</v>
      </c>
      <c r="C9" s="73" t="s">
        <v>292</v>
      </c>
      <c r="D9" s="73">
        <v>102.0</v>
      </c>
      <c r="E9" s="168">
        <v>0.2916666666666667</v>
      </c>
      <c r="F9" s="178"/>
      <c r="G9" s="82" t="s">
        <v>20</v>
      </c>
      <c r="H9" s="82">
        <v>5.0</v>
      </c>
    </row>
    <row r="10">
      <c r="A10" s="149" t="s">
        <v>788</v>
      </c>
      <c r="B10" s="73" t="s">
        <v>563</v>
      </c>
      <c r="C10" s="73" t="s">
        <v>292</v>
      </c>
      <c r="D10" s="73">
        <v>25.0</v>
      </c>
      <c r="E10" s="168">
        <v>0.2916666666666667</v>
      </c>
      <c r="F10" s="178"/>
      <c r="G10" s="84" t="s">
        <v>789</v>
      </c>
      <c r="H10" s="82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149" t="s">
        <v>790</v>
      </c>
      <c r="B11" s="73" t="s">
        <v>84</v>
      </c>
      <c r="C11" s="73" t="s">
        <v>193</v>
      </c>
      <c r="D11" s="73">
        <v>97.0</v>
      </c>
      <c r="E11" s="168">
        <v>0.2916666666666667</v>
      </c>
      <c r="F11" s="178"/>
      <c r="G11" s="187" t="s">
        <v>653</v>
      </c>
      <c r="H11" s="178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149" t="s">
        <v>791</v>
      </c>
      <c r="B12" s="73" t="s">
        <v>51</v>
      </c>
      <c r="C12" s="73" t="s">
        <v>52</v>
      </c>
      <c r="D12" s="73">
        <v>27.0</v>
      </c>
      <c r="E12" s="168">
        <v>0.2916666666666667</v>
      </c>
      <c r="F12" s="178"/>
      <c r="G12" s="178"/>
      <c r="H12" s="178"/>
    </row>
    <row r="13">
      <c r="A13" s="149" t="s">
        <v>792</v>
      </c>
      <c r="B13" s="73" t="s">
        <v>61</v>
      </c>
      <c r="C13" s="73" t="s">
        <v>62</v>
      </c>
      <c r="D13" s="73">
        <v>35.0</v>
      </c>
      <c r="E13" s="168">
        <v>0.2916666666666667</v>
      </c>
      <c r="F13" s="178"/>
      <c r="G13" s="178"/>
      <c r="H13" s="178"/>
    </row>
    <row r="14">
      <c r="A14" s="149" t="s">
        <v>793</v>
      </c>
      <c r="B14" s="73" t="s">
        <v>54</v>
      </c>
      <c r="C14" s="73" t="s">
        <v>55</v>
      </c>
      <c r="D14" s="73" t="s">
        <v>25</v>
      </c>
      <c r="E14" s="168">
        <v>0.2916666666666667</v>
      </c>
      <c r="F14" s="178"/>
      <c r="G14" s="178"/>
      <c r="H14" s="178"/>
    </row>
    <row r="15">
      <c r="A15" s="149" t="s">
        <v>794</v>
      </c>
      <c r="B15" s="73" t="s">
        <v>61</v>
      </c>
      <c r="C15" s="73" t="s">
        <v>62</v>
      </c>
      <c r="D15" s="73">
        <v>17.0</v>
      </c>
      <c r="E15" s="168">
        <v>0.2916666666666667</v>
      </c>
      <c r="F15" s="178"/>
      <c r="G15" s="178"/>
      <c r="H15" s="178"/>
    </row>
    <row r="16">
      <c r="A16" s="188" t="s">
        <v>795</v>
      </c>
      <c r="B16" s="73" t="s">
        <v>121</v>
      </c>
      <c r="C16" s="73" t="s">
        <v>122</v>
      </c>
      <c r="D16" s="73">
        <v>15.0</v>
      </c>
      <c r="E16" s="168">
        <v>0.2916666666666667</v>
      </c>
      <c r="F16" s="178"/>
      <c r="G16" s="178"/>
      <c r="H16" s="178"/>
    </row>
    <row r="17">
      <c r="A17" s="169" t="s">
        <v>796</v>
      </c>
      <c r="B17" s="167" t="s">
        <v>124</v>
      </c>
      <c r="C17" s="167" t="s">
        <v>69</v>
      </c>
      <c r="D17" s="167">
        <v>34.0</v>
      </c>
      <c r="E17" s="181">
        <v>0.3125</v>
      </c>
      <c r="F17" s="178"/>
      <c r="G17" s="178"/>
      <c r="H17" s="178"/>
    </row>
    <row r="18">
      <c r="A18" s="169" t="s">
        <v>797</v>
      </c>
      <c r="B18" s="73" t="s">
        <v>71</v>
      </c>
      <c r="C18" s="73" t="s">
        <v>72</v>
      </c>
      <c r="D18" s="73" t="s">
        <v>25</v>
      </c>
      <c r="E18" s="181">
        <v>0.3125</v>
      </c>
      <c r="F18" s="178"/>
      <c r="G18" s="178"/>
      <c r="H18" s="178"/>
    </row>
    <row r="19">
      <c r="A19" s="169" t="s">
        <v>798</v>
      </c>
      <c r="B19" s="73" t="s">
        <v>75</v>
      </c>
      <c r="C19" s="73" t="s">
        <v>76</v>
      </c>
      <c r="D19" s="73">
        <v>28.0</v>
      </c>
      <c r="E19" s="181">
        <v>0.3125</v>
      </c>
      <c r="F19" s="178"/>
      <c r="G19" s="178"/>
      <c r="H19" s="178"/>
    </row>
    <row r="20">
      <c r="A20" s="169" t="s">
        <v>799</v>
      </c>
      <c r="B20" s="73" t="s">
        <v>399</v>
      </c>
      <c r="C20" s="73" t="s">
        <v>157</v>
      </c>
      <c r="D20" s="73">
        <v>29.0</v>
      </c>
      <c r="E20" s="181">
        <v>0.3125</v>
      </c>
      <c r="F20" s="178"/>
      <c r="G20" s="178"/>
      <c r="H20" s="178"/>
    </row>
    <row r="21">
      <c r="A21" s="169" t="s">
        <v>800</v>
      </c>
      <c r="B21" s="73" t="s">
        <v>486</v>
      </c>
      <c r="C21" s="73" t="s">
        <v>462</v>
      </c>
      <c r="D21" s="73" t="s">
        <v>25</v>
      </c>
      <c r="E21" s="181">
        <v>0.3125</v>
      </c>
      <c r="F21" s="178"/>
      <c r="G21" s="178"/>
      <c r="H21" s="178"/>
    </row>
    <row r="22">
      <c r="A22" s="189" t="s">
        <v>801</v>
      </c>
      <c r="B22" s="73" t="s">
        <v>633</v>
      </c>
      <c r="C22" s="167" t="s">
        <v>634</v>
      </c>
      <c r="D22" s="167">
        <v>45.0</v>
      </c>
      <c r="E22" s="181">
        <v>0.3333333333333333</v>
      </c>
      <c r="F22" s="178"/>
      <c r="G22" s="178"/>
      <c r="H22" s="178"/>
    </row>
    <row r="23">
      <c r="A23" s="189" t="s">
        <v>802</v>
      </c>
      <c r="B23" s="167" t="s">
        <v>593</v>
      </c>
      <c r="C23" s="73" t="s">
        <v>594</v>
      </c>
      <c r="D23" s="73">
        <v>39.0</v>
      </c>
      <c r="E23" s="150">
        <v>0.375</v>
      </c>
      <c r="F23" s="178"/>
      <c r="G23" s="178"/>
      <c r="H23" s="178"/>
    </row>
    <row r="24">
      <c r="A24" s="149" t="s">
        <v>803</v>
      </c>
      <c r="B24" s="73" t="s">
        <v>37</v>
      </c>
      <c r="C24" s="167" t="s">
        <v>199</v>
      </c>
      <c r="D24" s="167">
        <v>89.0</v>
      </c>
      <c r="E24" s="181">
        <v>0.375</v>
      </c>
      <c r="F24" s="178"/>
      <c r="G24" s="178"/>
      <c r="H24" s="178"/>
    </row>
    <row r="25">
      <c r="A25" s="149" t="s">
        <v>804</v>
      </c>
      <c r="B25" s="73" t="s">
        <v>44</v>
      </c>
      <c r="C25" s="73" t="s">
        <v>203</v>
      </c>
      <c r="D25" s="73" t="s">
        <v>167</v>
      </c>
      <c r="E25" s="150">
        <v>0.375</v>
      </c>
      <c r="F25" s="178"/>
      <c r="G25" s="178"/>
      <c r="H25" s="178"/>
    </row>
    <row r="26">
      <c r="A26" s="169" t="s">
        <v>805</v>
      </c>
      <c r="B26" s="73" t="s">
        <v>37</v>
      </c>
      <c r="C26" s="73" t="s">
        <v>199</v>
      </c>
      <c r="D26" s="73" t="s">
        <v>167</v>
      </c>
      <c r="E26" s="150">
        <v>0.4166666666666667</v>
      </c>
      <c r="F26" s="178"/>
      <c r="G26" s="178"/>
      <c r="H26" s="178"/>
    </row>
    <row r="27">
      <c r="A27" s="190"/>
      <c r="B27" s="177"/>
      <c r="C27" s="177"/>
      <c r="D27" s="177"/>
      <c r="E27" s="191"/>
      <c r="F27" s="178"/>
      <c r="G27" s="178"/>
      <c r="H27" s="178"/>
    </row>
    <row r="28">
      <c r="A28" s="192"/>
      <c r="B28" s="110"/>
      <c r="C28" s="110"/>
      <c r="D28" s="110"/>
      <c r="E28" s="191"/>
      <c r="F28" s="178"/>
      <c r="G28" s="178"/>
      <c r="H28" s="178"/>
    </row>
    <row r="29">
      <c r="A29" s="192"/>
      <c r="B29" s="110"/>
      <c r="C29" s="110"/>
      <c r="D29" s="110"/>
      <c r="E29" s="191"/>
      <c r="F29" s="178"/>
      <c r="G29" s="178"/>
      <c r="H29" s="178"/>
    </row>
    <row r="30">
      <c r="A30" s="192"/>
      <c r="B30" s="177"/>
      <c r="C30" s="177"/>
      <c r="D30" s="177"/>
      <c r="E30" s="191"/>
      <c r="F30" s="178"/>
      <c r="G30" s="178"/>
      <c r="H30" s="178"/>
    </row>
    <row r="31">
      <c r="A31" s="192"/>
      <c r="B31" s="177"/>
      <c r="C31" s="177"/>
      <c r="D31" s="177"/>
      <c r="E31" s="191"/>
      <c r="F31" s="178"/>
      <c r="G31" s="178"/>
      <c r="H31" s="178"/>
    </row>
    <row r="32">
      <c r="A32" s="192"/>
      <c r="B32" s="177"/>
      <c r="C32" s="177"/>
      <c r="D32" s="177"/>
      <c r="E32" s="191"/>
      <c r="F32" s="178"/>
      <c r="G32" s="178"/>
      <c r="H32" s="178"/>
    </row>
    <row r="33">
      <c r="A33" s="192"/>
      <c r="B33" s="193"/>
      <c r="C33" s="193"/>
      <c r="D33" s="193"/>
      <c r="E33" s="194"/>
      <c r="F33" s="178"/>
      <c r="G33" s="178"/>
      <c r="H33" s="178"/>
    </row>
    <row r="34">
      <c r="A34" s="192"/>
      <c r="B34" s="193"/>
      <c r="C34" s="193"/>
      <c r="D34" s="193"/>
      <c r="E34" s="194"/>
      <c r="F34" s="178"/>
      <c r="G34" s="178"/>
      <c r="H34" s="178"/>
    </row>
    <row r="35">
      <c r="A35" s="192"/>
      <c r="B35" s="193"/>
      <c r="C35" s="193"/>
      <c r="D35" s="193"/>
      <c r="E35" s="194"/>
      <c r="F35" s="178"/>
      <c r="G35" s="178"/>
      <c r="H35" s="178"/>
    </row>
    <row r="36">
      <c r="A36" s="192"/>
      <c r="B36" s="195"/>
      <c r="C36" s="195"/>
      <c r="D36" s="195"/>
      <c r="E36" s="196"/>
      <c r="F36" s="178"/>
      <c r="G36" s="178"/>
      <c r="H36" s="178"/>
    </row>
    <row r="37">
      <c r="A37" s="192"/>
      <c r="B37" s="195"/>
      <c r="C37" s="195"/>
      <c r="D37" s="195"/>
      <c r="E37" s="196"/>
      <c r="F37" s="178"/>
      <c r="G37" s="178"/>
      <c r="H37" s="178"/>
    </row>
    <row r="38">
      <c r="A38" s="195"/>
      <c r="B38" s="110"/>
      <c r="C38" s="110"/>
      <c r="D38" s="110"/>
      <c r="E38" s="196"/>
      <c r="F38" s="178"/>
      <c r="G38" s="178"/>
      <c r="H38" s="178"/>
    </row>
    <row r="39">
      <c r="A39" s="174"/>
      <c r="B39" s="110"/>
      <c r="C39" s="110"/>
      <c r="D39" s="110"/>
      <c r="E39" s="111"/>
    </row>
    <row r="40">
      <c r="A40" s="175"/>
      <c r="B40" s="110"/>
      <c r="C40" s="110"/>
      <c r="D40" s="110"/>
      <c r="E40" s="111"/>
    </row>
    <row r="41">
      <c r="A41" s="176"/>
      <c r="B41" s="110"/>
      <c r="C41" s="110"/>
      <c r="D41" s="110"/>
      <c r="E41" s="111"/>
    </row>
    <row r="42">
      <c r="A42" s="177"/>
      <c r="B42" s="110"/>
      <c r="C42" s="110"/>
      <c r="D42" s="110"/>
      <c r="E42" s="111"/>
    </row>
    <row r="43">
      <c r="A43" s="174"/>
      <c r="B43" s="110"/>
      <c r="C43" s="110"/>
      <c r="D43" s="110"/>
      <c r="E43" s="111"/>
    </row>
    <row r="44">
      <c r="A44" s="174"/>
      <c r="B44" s="110"/>
      <c r="C44" s="110"/>
      <c r="D44" s="110"/>
      <c r="E44" s="111"/>
    </row>
    <row r="45">
      <c r="A45" s="174"/>
      <c r="B45" s="110"/>
      <c r="C45" s="110"/>
      <c r="D45" s="110"/>
      <c r="E45" s="111"/>
    </row>
    <row r="46">
      <c r="A46" s="174"/>
      <c r="B46" s="110"/>
      <c r="C46" s="110"/>
      <c r="D46" s="110"/>
      <c r="E46" s="111"/>
    </row>
    <row r="47">
      <c r="A47" s="174"/>
      <c r="B47" s="110"/>
      <c r="C47" s="110"/>
      <c r="D47" s="110"/>
      <c r="E47" s="111"/>
    </row>
    <row r="48">
      <c r="A48" s="174"/>
      <c r="B48" s="110"/>
      <c r="C48" s="110"/>
      <c r="D48" s="110"/>
      <c r="E48" s="111"/>
    </row>
    <row r="49">
      <c r="A49" s="177"/>
      <c r="B49" s="110"/>
      <c r="C49" s="110"/>
      <c r="D49" s="110"/>
      <c r="E49" s="111"/>
    </row>
    <row r="50">
      <c r="A50" s="174"/>
      <c r="B50" s="110"/>
      <c r="C50" s="110"/>
      <c r="D50" s="110"/>
      <c r="E50" s="111"/>
    </row>
    <row r="51">
      <c r="A51" s="174"/>
      <c r="B51" s="110"/>
      <c r="C51" s="110"/>
      <c r="D51" s="110"/>
      <c r="E51" s="111"/>
    </row>
    <row r="52">
      <c r="A52" s="178"/>
      <c r="B52" s="178"/>
      <c r="C52" s="178"/>
      <c r="D52" s="178"/>
      <c r="E52" s="178"/>
    </row>
    <row r="53">
      <c r="A53" s="178"/>
      <c r="B53" s="178"/>
      <c r="C53" s="178"/>
      <c r="D53" s="178"/>
      <c r="E53" s="178"/>
    </row>
    <row r="54">
      <c r="A54" s="178"/>
      <c r="B54" s="178"/>
      <c r="C54" s="178"/>
      <c r="D54" s="178"/>
      <c r="E54" s="178"/>
    </row>
    <row r="55">
      <c r="A55" s="178"/>
      <c r="B55" s="178"/>
      <c r="C55" s="178"/>
      <c r="D55" s="178"/>
      <c r="E55" s="178"/>
    </row>
    <row r="56">
      <c r="A56" s="178"/>
      <c r="B56" s="178"/>
      <c r="C56" s="178"/>
      <c r="D56" s="178"/>
      <c r="E56" s="178"/>
    </row>
    <row r="57">
      <c r="A57" s="178"/>
      <c r="B57" s="178"/>
      <c r="C57" s="178"/>
      <c r="D57" s="178"/>
      <c r="E57" s="178"/>
    </row>
    <row r="58">
      <c r="A58" s="178"/>
      <c r="B58" s="178"/>
      <c r="C58" s="178"/>
      <c r="D58" s="178"/>
      <c r="E58" s="178"/>
    </row>
    <row r="59">
      <c r="A59" s="178"/>
      <c r="B59" s="178"/>
      <c r="C59" s="178"/>
      <c r="D59" s="178"/>
      <c r="E59" s="178"/>
    </row>
    <row r="60">
      <c r="A60" s="178"/>
      <c r="B60" s="178"/>
      <c r="C60" s="178"/>
      <c r="D60" s="178"/>
      <c r="E60" s="178"/>
    </row>
    <row r="61">
      <c r="A61" s="178"/>
      <c r="B61" s="178"/>
      <c r="C61" s="178"/>
      <c r="D61" s="178"/>
      <c r="E61" s="178"/>
    </row>
    <row r="62">
      <c r="A62" s="178"/>
      <c r="B62" s="178"/>
      <c r="C62" s="178"/>
      <c r="D62" s="178"/>
      <c r="E62" s="178"/>
    </row>
    <row r="63">
      <c r="A63" s="178"/>
      <c r="B63" s="178"/>
      <c r="C63" s="178"/>
      <c r="D63" s="178"/>
      <c r="E63" s="178"/>
    </row>
    <row r="64">
      <c r="A64" s="178"/>
      <c r="B64" s="178"/>
      <c r="C64" s="178"/>
      <c r="D64" s="178"/>
      <c r="E64" s="178"/>
    </row>
    <row r="65">
      <c r="A65" s="178"/>
      <c r="B65" s="178"/>
      <c r="C65" s="178"/>
      <c r="D65" s="178"/>
      <c r="E65" s="178"/>
    </row>
    <row r="66">
      <c r="A66" s="178"/>
      <c r="B66" s="178"/>
      <c r="C66" s="178"/>
      <c r="D66" s="178"/>
      <c r="E66" s="178"/>
    </row>
    <row r="67">
      <c r="A67" s="178"/>
      <c r="B67" s="178"/>
      <c r="C67" s="178"/>
      <c r="D67" s="178"/>
      <c r="E67" s="178"/>
    </row>
    <row r="68">
      <c r="A68" s="178"/>
      <c r="B68" s="178"/>
      <c r="C68" s="178"/>
      <c r="D68" s="178"/>
      <c r="E68" s="178"/>
    </row>
    <row r="69">
      <c r="A69" s="178"/>
      <c r="B69" s="178"/>
      <c r="C69" s="178"/>
      <c r="D69" s="178"/>
      <c r="E69" s="178"/>
    </row>
    <row r="70">
      <c r="A70" s="178"/>
      <c r="B70" s="178"/>
      <c r="C70" s="178"/>
      <c r="D70" s="178"/>
      <c r="E70" s="178"/>
    </row>
    <row r="71">
      <c r="A71" s="178"/>
      <c r="B71" s="178"/>
      <c r="C71" s="178"/>
      <c r="D71" s="178"/>
      <c r="E71" s="178"/>
    </row>
    <row r="72">
      <c r="A72" s="178"/>
      <c r="B72" s="178"/>
      <c r="C72" s="178"/>
      <c r="D72" s="178"/>
      <c r="E72" s="178"/>
    </row>
    <row r="73">
      <c r="A73" s="178"/>
      <c r="B73" s="178"/>
      <c r="C73" s="178"/>
      <c r="D73" s="178"/>
      <c r="E73" s="178"/>
    </row>
    <row r="74">
      <c r="A74" s="178"/>
      <c r="B74" s="178"/>
      <c r="C74" s="178"/>
      <c r="D74" s="178"/>
      <c r="E74" s="178"/>
    </row>
    <row r="75">
      <c r="A75" s="178"/>
      <c r="B75" s="178"/>
      <c r="C75" s="178"/>
      <c r="D75" s="178"/>
      <c r="E75" s="178"/>
    </row>
    <row r="76">
      <c r="A76" s="178"/>
      <c r="B76" s="178"/>
      <c r="C76" s="178"/>
      <c r="D76" s="178"/>
      <c r="E76" s="178"/>
    </row>
    <row r="77">
      <c r="A77" s="178"/>
      <c r="B77" s="178"/>
      <c r="C77" s="178"/>
      <c r="D77" s="178"/>
      <c r="E77" s="178"/>
    </row>
    <row r="78">
      <c r="A78" s="178"/>
      <c r="B78" s="178"/>
      <c r="C78" s="178"/>
      <c r="D78" s="178"/>
      <c r="E78" s="178"/>
    </row>
    <row r="79">
      <c r="A79" s="178"/>
      <c r="B79" s="178"/>
      <c r="C79" s="178"/>
      <c r="D79" s="178"/>
      <c r="E79" s="178"/>
    </row>
    <row r="80">
      <c r="A80" s="178"/>
      <c r="B80" s="178"/>
      <c r="C80" s="178"/>
      <c r="D80" s="178"/>
      <c r="E80" s="178"/>
    </row>
    <row r="81">
      <c r="A81" s="178"/>
      <c r="B81" s="178"/>
      <c r="C81" s="178"/>
      <c r="D81" s="178"/>
      <c r="E81" s="178"/>
    </row>
    <row r="82">
      <c r="A82" s="178"/>
      <c r="B82" s="178"/>
      <c r="C82" s="178"/>
      <c r="D82" s="178"/>
      <c r="E82" s="178"/>
    </row>
    <row r="83">
      <c r="A83" s="178"/>
      <c r="B83" s="178"/>
      <c r="C83" s="178"/>
      <c r="D83" s="178"/>
      <c r="E83" s="178"/>
    </row>
    <row r="84">
      <c r="A84" s="178"/>
      <c r="B84" s="178"/>
      <c r="C84" s="178"/>
      <c r="D84" s="178"/>
      <c r="E84" s="178"/>
    </row>
    <row r="85">
      <c r="A85" s="178"/>
      <c r="B85" s="178"/>
      <c r="C85" s="178"/>
      <c r="D85" s="178"/>
      <c r="E85" s="178"/>
    </row>
    <row r="86">
      <c r="A86" s="178"/>
      <c r="B86" s="178"/>
      <c r="C86" s="178"/>
      <c r="D86" s="178"/>
      <c r="E86" s="178"/>
    </row>
    <row r="87">
      <c r="A87" s="178"/>
      <c r="B87" s="178"/>
      <c r="C87" s="178"/>
      <c r="D87" s="178"/>
      <c r="E87" s="178"/>
    </row>
    <row r="88">
      <c r="A88" s="178"/>
      <c r="B88" s="178"/>
      <c r="C88" s="178"/>
      <c r="D88" s="178"/>
      <c r="E88" s="178"/>
    </row>
    <row r="89">
      <c r="A89" s="178"/>
      <c r="B89" s="178"/>
      <c r="C89" s="178"/>
      <c r="D89" s="178"/>
      <c r="E89" s="178"/>
    </row>
    <row r="90">
      <c r="A90" s="178"/>
      <c r="B90" s="178"/>
      <c r="C90" s="178"/>
      <c r="D90" s="178"/>
      <c r="E90" s="178"/>
    </row>
    <row r="91">
      <c r="A91" s="178"/>
      <c r="B91" s="178"/>
      <c r="C91" s="178"/>
      <c r="D91" s="178"/>
      <c r="E91" s="178"/>
    </row>
    <row r="92">
      <c r="A92" s="178"/>
      <c r="B92" s="178"/>
      <c r="C92" s="178"/>
      <c r="D92" s="178"/>
      <c r="E92" s="178"/>
    </row>
    <row r="93">
      <c r="A93" s="178"/>
      <c r="B93" s="178"/>
      <c r="C93" s="178"/>
      <c r="D93" s="178"/>
      <c r="E93" s="178"/>
    </row>
    <row r="94">
      <c r="A94" s="178"/>
      <c r="B94" s="178"/>
      <c r="C94" s="178"/>
      <c r="D94" s="178"/>
      <c r="E94" s="178"/>
    </row>
    <row r="95">
      <c r="A95" s="178"/>
      <c r="B95" s="178"/>
      <c r="C95" s="178"/>
      <c r="D95" s="178"/>
      <c r="E95" s="178"/>
    </row>
    <row r="96">
      <c r="A96" s="178"/>
      <c r="B96" s="178"/>
      <c r="C96" s="178"/>
      <c r="D96" s="178"/>
      <c r="E96" s="178"/>
    </row>
    <row r="97">
      <c r="A97" s="178"/>
      <c r="B97" s="178"/>
      <c r="C97" s="178"/>
      <c r="D97" s="178"/>
      <c r="E97" s="178"/>
    </row>
    <row r="98">
      <c r="A98" s="178"/>
      <c r="B98" s="178"/>
      <c r="C98" s="178"/>
      <c r="D98" s="178"/>
      <c r="E98" s="178"/>
    </row>
    <row r="99">
      <c r="A99" s="178"/>
      <c r="B99" s="178"/>
      <c r="C99" s="178"/>
      <c r="D99" s="178"/>
      <c r="E99" s="178"/>
    </row>
    <row r="100">
      <c r="A100" s="178"/>
      <c r="B100" s="178"/>
      <c r="C100" s="178"/>
      <c r="D100" s="178"/>
      <c r="E100" s="178"/>
    </row>
    <row r="101">
      <c r="A101" s="178"/>
      <c r="B101" s="178"/>
      <c r="C101" s="178"/>
      <c r="D101" s="178"/>
      <c r="E101" s="178"/>
    </row>
    <row r="102">
      <c r="A102" s="178"/>
      <c r="B102" s="178"/>
      <c r="C102" s="178"/>
      <c r="D102" s="178"/>
      <c r="E102" s="178"/>
    </row>
    <row r="103">
      <c r="A103" s="178"/>
      <c r="B103" s="178"/>
      <c r="C103" s="178"/>
      <c r="D103" s="178"/>
      <c r="E103" s="178"/>
    </row>
    <row r="104">
      <c r="A104" s="178"/>
      <c r="B104" s="178"/>
      <c r="C104" s="178"/>
      <c r="D104" s="178"/>
      <c r="E104" s="178"/>
    </row>
    <row r="105">
      <c r="A105" s="178"/>
      <c r="B105" s="178"/>
      <c r="C105" s="178"/>
      <c r="D105" s="178"/>
      <c r="E105" s="178"/>
    </row>
    <row r="106">
      <c r="A106" s="178"/>
      <c r="B106" s="178"/>
      <c r="C106" s="178"/>
      <c r="D106" s="178"/>
      <c r="E106" s="178"/>
    </row>
    <row r="107">
      <c r="A107" s="178"/>
      <c r="B107" s="178"/>
      <c r="C107" s="178"/>
      <c r="D107" s="178"/>
      <c r="E107" s="178"/>
    </row>
    <row r="108">
      <c r="A108" s="178"/>
      <c r="B108" s="178"/>
      <c r="C108" s="178"/>
      <c r="D108" s="178"/>
      <c r="E108" s="178"/>
    </row>
    <row r="109">
      <c r="A109" s="178"/>
      <c r="B109" s="178"/>
      <c r="C109" s="178"/>
      <c r="D109" s="178"/>
      <c r="E109" s="178"/>
    </row>
    <row r="110">
      <c r="A110" s="178"/>
      <c r="B110" s="178"/>
      <c r="C110" s="178"/>
      <c r="D110" s="178"/>
      <c r="E110" s="178"/>
    </row>
    <row r="111">
      <c r="A111" s="178"/>
      <c r="B111" s="178"/>
      <c r="C111" s="178"/>
      <c r="D111" s="178"/>
      <c r="E111" s="178"/>
    </row>
    <row r="112">
      <c r="A112" s="178"/>
      <c r="B112" s="178"/>
      <c r="C112" s="178"/>
      <c r="D112" s="178"/>
      <c r="E112" s="178"/>
    </row>
    <row r="113">
      <c r="A113" s="178"/>
      <c r="B113" s="178"/>
      <c r="C113" s="178"/>
      <c r="D113" s="178"/>
      <c r="E113" s="178"/>
    </row>
    <row r="114">
      <c r="A114" s="178"/>
      <c r="B114" s="178"/>
      <c r="C114" s="178"/>
      <c r="D114" s="178"/>
      <c r="E114" s="178"/>
    </row>
    <row r="115">
      <c r="A115" s="178"/>
      <c r="B115" s="178"/>
      <c r="C115" s="178"/>
      <c r="D115" s="178"/>
      <c r="E115" s="178"/>
    </row>
    <row r="116">
      <c r="A116" s="178"/>
      <c r="B116" s="178"/>
      <c r="C116" s="178"/>
      <c r="D116" s="178"/>
      <c r="E116" s="178"/>
    </row>
    <row r="117">
      <c r="A117" s="178"/>
      <c r="B117" s="178"/>
      <c r="C117" s="178"/>
      <c r="D117" s="178"/>
      <c r="E117" s="178"/>
    </row>
    <row r="118">
      <c r="A118" s="178"/>
      <c r="B118" s="178"/>
      <c r="C118" s="178"/>
      <c r="D118" s="178"/>
      <c r="E118" s="178"/>
    </row>
    <row r="119">
      <c r="A119" s="178"/>
      <c r="B119" s="178"/>
      <c r="C119" s="178"/>
      <c r="D119" s="178"/>
      <c r="E119" s="178"/>
    </row>
    <row r="120">
      <c r="A120" s="178"/>
      <c r="B120" s="178"/>
      <c r="C120" s="178"/>
      <c r="D120" s="178"/>
      <c r="E120" s="178"/>
    </row>
    <row r="121">
      <c r="A121" s="178"/>
      <c r="B121" s="178"/>
      <c r="C121" s="178"/>
      <c r="D121" s="178"/>
      <c r="E121" s="178"/>
    </row>
    <row r="122">
      <c r="A122" s="178"/>
      <c r="B122" s="178"/>
      <c r="C122" s="178"/>
      <c r="D122" s="178"/>
      <c r="E122" s="178"/>
    </row>
    <row r="123">
      <c r="A123" s="178"/>
      <c r="B123" s="178"/>
      <c r="C123" s="178"/>
      <c r="D123" s="178"/>
      <c r="E123" s="178"/>
    </row>
    <row r="124">
      <c r="A124" s="178"/>
      <c r="B124" s="178"/>
      <c r="C124" s="178"/>
      <c r="D124" s="178"/>
      <c r="E124" s="178"/>
    </row>
    <row r="125">
      <c r="A125" s="178"/>
      <c r="B125" s="178"/>
      <c r="C125" s="178"/>
      <c r="D125" s="178"/>
      <c r="E125" s="178"/>
    </row>
    <row r="126">
      <c r="A126" s="178"/>
      <c r="B126" s="178"/>
      <c r="C126" s="178"/>
      <c r="D126" s="178"/>
      <c r="E126" s="178"/>
    </row>
    <row r="127">
      <c r="A127" s="178"/>
      <c r="B127" s="178"/>
      <c r="C127" s="178"/>
      <c r="D127" s="178"/>
      <c r="E127" s="178"/>
    </row>
    <row r="128">
      <c r="A128" s="178"/>
      <c r="B128" s="178"/>
      <c r="C128" s="178"/>
      <c r="D128" s="178"/>
      <c r="E128" s="178"/>
    </row>
    <row r="129">
      <c r="A129" s="178"/>
      <c r="B129" s="178"/>
      <c r="C129" s="178"/>
      <c r="D129" s="178"/>
      <c r="E129" s="178"/>
    </row>
    <row r="130">
      <c r="A130" s="178"/>
      <c r="B130" s="178"/>
      <c r="C130" s="178"/>
      <c r="D130" s="178"/>
      <c r="E130" s="178"/>
    </row>
    <row r="131">
      <c r="A131" s="178"/>
      <c r="B131" s="178"/>
      <c r="C131" s="178"/>
      <c r="D131" s="178"/>
      <c r="E131" s="178"/>
    </row>
    <row r="132">
      <c r="A132" s="178"/>
      <c r="B132" s="178"/>
      <c r="C132" s="178"/>
      <c r="D132" s="178"/>
      <c r="E132" s="178"/>
    </row>
    <row r="133">
      <c r="A133" s="178"/>
      <c r="B133" s="178"/>
      <c r="C133" s="178"/>
      <c r="D133" s="178"/>
      <c r="E133" s="178"/>
    </row>
    <row r="134">
      <c r="A134" s="178"/>
      <c r="B134" s="178"/>
      <c r="C134" s="178"/>
      <c r="D134" s="178"/>
      <c r="E134" s="178"/>
    </row>
    <row r="135">
      <c r="A135" s="178"/>
      <c r="B135" s="178"/>
      <c r="C135" s="178"/>
      <c r="D135" s="178"/>
      <c r="E135" s="178"/>
    </row>
    <row r="136">
      <c r="A136" s="178"/>
      <c r="B136" s="178"/>
      <c r="C136" s="178"/>
      <c r="D136" s="178"/>
      <c r="E136" s="178"/>
    </row>
    <row r="137">
      <c r="A137" s="178"/>
      <c r="B137" s="178"/>
      <c r="C137" s="178"/>
      <c r="D137" s="178"/>
      <c r="E137" s="178"/>
    </row>
    <row r="138">
      <c r="A138" s="178"/>
      <c r="B138" s="178"/>
      <c r="C138" s="178"/>
      <c r="D138" s="178"/>
      <c r="E138" s="178"/>
    </row>
    <row r="139">
      <c r="A139" s="178"/>
      <c r="B139" s="178"/>
      <c r="C139" s="178"/>
      <c r="D139" s="178"/>
      <c r="E139" s="178"/>
    </row>
    <row r="140">
      <c r="A140" s="178"/>
      <c r="B140" s="178"/>
      <c r="C140" s="178"/>
      <c r="D140" s="178"/>
      <c r="E140" s="178"/>
    </row>
    <row r="141">
      <c r="A141" s="178"/>
      <c r="B141" s="178"/>
      <c r="C141" s="178"/>
      <c r="D141" s="178"/>
      <c r="E141" s="178"/>
    </row>
    <row r="142">
      <c r="A142" s="178"/>
      <c r="B142" s="178"/>
      <c r="C142" s="178"/>
      <c r="D142" s="178"/>
      <c r="E142" s="178"/>
    </row>
    <row r="143">
      <c r="A143" s="178"/>
      <c r="B143" s="178"/>
      <c r="C143" s="178"/>
      <c r="D143" s="178"/>
      <c r="E143" s="178"/>
    </row>
    <row r="144">
      <c r="A144" s="178"/>
      <c r="B144" s="178"/>
      <c r="C144" s="178"/>
      <c r="D144" s="178"/>
      <c r="E144" s="178"/>
    </row>
    <row r="145">
      <c r="A145" s="178"/>
      <c r="B145" s="178"/>
      <c r="C145" s="178"/>
      <c r="D145" s="178"/>
      <c r="E145" s="178"/>
    </row>
    <row r="146">
      <c r="A146" s="178"/>
      <c r="B146" s="178"/>
      <c r="C146" s="178"/>
      <c r="D146" s="178"/>
      <c r="E146" s="178"/>
    </row>
    <row r="147">
      <c r="A147" s="178"/>
      <c r="B147" s="178"/>
      <c r="C147" s="178"/>
      <c r="D147" s="178"/>
      <c r="E147" s="178"/>
    </row>
    <row r="148">
      <c r="A148" s="178"/>
      <c r="B148" s="178"/>
      <c r="C148" s="178"/>
      <c r="D148" s="178"/>
      <c r="E148" s="178"/>
    </row>
    <row r="149">
      <c r="A149" s="178"/>
      <c r="B149" s="178"/>
      <c r="C149" s="178"/>
      <c r="D149" s="178"/>
      <c r="E149" s="178"/>
    </row>
    <row r="150">
      <c r="A150" s="178"/>
      <c r="B150" s="178"/>
      <c r="C150" s="178"/>
      <c r="D150" s="178"/>
      <c r="E150" s="178"/>
    </row>
    <row r="151">
      <c r="A151" s="178"/>
      <c r="B151" s="178"/>
      <c r="C151" s="178"/>
      <c r="D151" s="178"/>
      <c r="E151" s="178"/>
    </row>
    <row r="152">
      <c r="A152" s="178"/>
      <c r="B152" s="178"/>
      <c r="C152" s="178"/>
      <c r="D152" s="178"/>
      <c r="E152" s="178"/>
    </row>
    <row r="153">
      <c r="A153" s="178"/>
      <c r="B153" s="178"/>
      <c r="C153" s="178"/>
      <c r="D153" s="178"/>
      <c r="E153" s="178"/>
    </row>
    <row r="154">
      <c r="A154" s="178"/>
      <c r="B154" s="178"/>
      <c r="C154" s="178"/>
      <c r="D154" s="178"/>
      <c r="E154" s="178"/>
    </row>
    <row r="155">
      <c r="A155" s="178"/>
      <c r="B155" s="178"/>
      <c r="C155" s="178"/>
      <c r="D155" s="178"/>
      <c r="E155" s="178"/>
    </row>
    <row r="156">
      <c r="A156" s="178"/>
      <c r="B156" s="178"/>
      <c r="C156" s="178"/>
      <c r="D156" s="178"/>
      <c r="E156" s="178"/>
    </row>
    <row r="157">
      <c r="A157" s="178"/>
      <c r="B157" s="178"/>
      <c r="C157" s="178"/>
      <c r="D157" s="178"/>
      <c r="E157" s="178"/>
    </row>
    <row r="158">
      <c r="A158" s="178"/>
      <c r="B158" s="178"/>
      <c r="C158" s="178"/>
      <c r="D158" s="178"/>
      <c r="E158" s="178"/>
    </row>
    <row r="159">
      <c r="A159" s="178"/>
      <c r="B159" s="178"/>
      <c r="C159" s="178"/>
      <c r="D159" s="178"/>
      <c r="E159" s="178"/>
    </row>
    <row r="160">
      <c r="A160" s="178"/>
      <c r="B160" s="178"/>
      <c r="C160" s="178"/>
      <c r="D160" s="178"/>
      <c r="E160" s="178"/>
    </row>
    <row r="161">
      <c r="A161" s="178"/>
      <c r="B161" s="178"/>
      <c r="C161" s="178"/>
      <c r="D161" s="178"/>
      <c r="E161" s="178"/>
    </row>
    <row r="162">
      <c r="A162" s="178"/>
      <c r="B162" s="178"/>
      <c r="C162" s="178"/>
      <c r="D162" s="178"/>
      <c r="E162" s="178"/>
    </row>
    <row r="163">
      <c r="A163" s="178"/>
      <c r="B163" s="178"/>
      <c r="C163" s="178"/>
      <c r="D163" s="178"/>
      <c r="E163" s="178"/>
    </row>
    <row r="164">
      <c r="A164" s="178"/>
      <c r="B164" s="178"/>
      <c r="C164" s="178"/>
      <c r="D164" s="178"/>
      <c r="E164" s="178"/>
    </row>
    <row r="165">
      <c r="A165" s="178"/>
      <c r="B165" s="178"/>
      <c r="C165" s="178"/>
      <c r="D165" s="178"/>
      <c r="E165" s="178"/>
    </row>
    <row r="166">
      <c r="A166" s="178"/>
      <c r="B166" s="178"/>
      <c r="C166" s="178"/>
      <c r="D166" s="178"/>
      <c r="E166" s="178"/>
    </row>
    <row r="167">
      <c r="A167" s="178"/>
      <c r="B167" s="178"/>
      <c r="C167" s="178"/>
      <c r="D167" s="178"/>
      <c r="E167" s="178"/>
    </row>
    <row r="168">
      <c r="A168" s="178"/>
      <c r="B168" s="178"/>
      <c r="C168" s="178"/>
      <c r="D168" s="178"/>
      <c r="E168" s="178"/>
    </row>
    <row r="169">
      <c r="A169" s="178"/>
      <c r="B169" s="178"/>
      <c r="C169" s="178"/>
      <c r="D169" s="178"/>
      <c r="E169" s="178"/>
    </row>
    <row r="170">
      <c r="A170" s="178"/>
      <c r="B170" s="178"/>
      <c r="C170" s="178"/>
      <c r="D170" s="178"/>
      <c r="E170" s="178"/>
    </row>
    <row r="171">
      <c r="A171" s="178"/>
      <c r="B171" s="178"/>
      <c r="C171" s="178"/>
      <c r="D171" s="178"/>
      <c r="E171" s="178"/>
    </row>
    <row r="172">
      <c r="A172" s="178"/>
      <c r="B172" s="178"/>
      <c r="C172" s="178"/>
      <c r="D172" s="178"/>
      <c r="E172" s="178"/>
    </row>
    <row r="173">
      <c r="A173" s="178"/>
      <c r="B173" s="178"/>
      <c r="C173" s="178"/>
      <c r="D173" s="178"/>
      <c r="E173" s="178"/>
    </row>
    <row r="174">
      <c r="A174" s="178"/>
      <c r="B174" s="178"/>
      <c r="C174" s="178"/>
      <c r="D174" s="178"/>
      <c r="E174" s="178"/>
    </row>
    <row r="175">
      <c r="A175" s="178"/>
      <c r="B175" s="178"/>
      <c r="C175" s="178"/>
      <c r="D175" s="178"/>
      <c r="E175" s="178"/>
    </row>
    <row r="176">
      <c r="A176" s="178"/>
      <c r="B176" s="178"/>
      <c r="C176" s="178"/>
      <c r="D176" s="178"/>
      <c r="E176" s="178"/>
    </row>
    <row r="177">
      <c r="A177" s="178"/>
      <c r="B177" s="178"/>
      <c r="C177" s="178"/>
      <c r="D177" s="178"/>
      <c r="E177" s="178"/>
    </row>
    <row r="178">
      <c r="A178" s="178"/>
      <c r="B178" s="178"/>
      <c r="C178" s="178"/>
      <c r="D178" s="178"/>
      <c r="E178" s="178"/>
    </row>
    <row r="179">
      <c r="A179" s="178"/>
      <c r="B179" s="178"/>
      <c r="C179" s="178"/>
      <c r="D179" s="178"/>
      <c r="E179" s="178"/>
    </row>
    <row r="180">
      <c r="A180" s="178"/>
      <c r="B180" s="178"/>
      <c r="C180" s="178"/>
      <c r="D180" s="178"/>
      <c r="E180" s="178"/>
    </row>
    <row r="181">
      <c r="A181" s="178"/>
      <c r="B181" s="178"/>
      <c r="C181" s="178"/>
      <c r="D181" s="178"/>
      <c r="E181" s="178"/>
    </row>
    <row r="182">
      <c r="A182" s="178"/>
      <c r="B182" s="178"/>
      <c r="C182" s="178"/>
      <c r="D182" s="178"/>
      <c r="E182" s="178"/>
    </row>
    <row r="183">
      <c r="A183" s="178"/>
      <c r="B183" s="178"/>
      <c r="C183" s="178"/>
      <c r="D183" s="178"/>
      <c r="E183" s="178"/>
    </row>
    <row r="184">
      <c r="A184" s="178"/>
      <c r="B184" s="178"/>
      <c r="C184" s="178"/>
      <c r="D184" s="178"/>
      <c r="E184" s="178"/>
    </row>
    <row r="185">
      <c r="A185" s="178"/>
      <c r="B185" s="178"/>
      <c r="C185" s="178"/>
      <c r="D185" s="178"/>
      <c r="E185" s="178"/>
    </row>
    <row r="186">
      <c r="A186" s="178"/>
      <c r="B186" s="178"/>
      <c r="C186" s="178"/>
      <c r="D186" s="178"/>
      <c r="E186" s="178"/>
    </row>
    <row r="187">
      <c r="A187" s="178"/>
      <c r="B187" s="178"/>
      <c r="C187" s="178"/>
      <c r="D187" s="178"/>
      <c r="E187" s="178"/>
    </row>
    <row r="188">
      <c r="A188" s="178"/>
      <c r="B188" s="178"/>
      <c r="C188" s="178"/>
      <c r="D188" s="178"/>
      <c r="E188" s="178"/>
    </row>
    <row r="189">
      <c r="A189" s="178"/>
      <c r="B189" s="178"/>
      <c r="C189" s="178"/>
      <c r="D189" s="178"/>
      <c r="E189" s="178"/>
    </row>
    <row r="190">
      <c r="A190" s="178"/>
      <c r="B190" s="178"/>
      <c r="C190" s="178"/>
      <c r="D190" s="178"/>
      <c r="E190" s="178"/>
    </row>
    <row r="191">
      <c r="A191" s="178"/>
      <c r="B191" s="178"/>
      <c r="C191" s="178"/>
      <c r="D191" s="178"/>
      <c r="E191" s="178"/>
    </row>
    <row r="192">
      <c r="A192" s="178"/>
      <c r="B192" s="178"/>
      <c r="C192" s="178"/>
      <c r="D192" s="178"/>
      <c r="E192" s="178"/>
    </row>
    <row r="193">
      <c r="A193" s="178"/>
      <c r="B193" s="178"/>
      <c r="C193" s="178"/>
      <c r="D193" s="178"/>
      <c r="E193" s="178"/>
    </row>
    <row r="194">
      <c r="A194" s="178"/>
      <c r="B194" s="178"/>
      <c r="C194" s="178"/>
      <c r="D194" s="178"/>
      <c r="E194" s="178"/>
    </row>
    <row r="195">
      <c r="A195" s="178"/>
      <c r="B195" s="178"/>
      <c r="C195" s="178"/>
      <c r="D195" s="178"/>
      <c r="E195" s="178"/>
    </row>
    <row r="196">
      <c r="A196" s="178"/>
      <c r="B196" s="178"/>
      <c r="C196" s="178"/>
      <c r="D196" s="178"/>
      <c r="E196" s="178"/>
    </row>
    <row r="197">
      <c r="A197" s="178"/>
      <c r="B197" s="178"/>
      <c r="C197" s="178"/>
      <c r="D197" s="178"/>
      <c r="E197" s="178"/>
    </row>
    <row r="198">
      <c r="A198" s="178"/>
      <c r="B198" s="178"/>
      <c r="C198" s="178"/>
      <c r="D198" s="178"/>
      <c r="E198" s="178"/>
    </row>
    <row r="199">
      <c r="A199" s="178"/>
      <c r="B199" s="178"/>
      <c r="C199" s="178"/>
      <c r="D199" s="178"/>
      <c r="E199" s="178"/>
    </row>
    <row r="200">
      <c r="A200" s="178"/>
      <c r="B200" s="178"/>
      <c r="C200" s="178"/>
      <c r="D200" s="178"/>
      <c r="E200" s="178"/>
    </row>
    <row r="201">
      <c r="A201" s="178"/>
      <c r="B201" s="178"/>
      <c r="C201" s="178"/>
      <c r="D201" s="178"/>
      <c r="E201" s="178"/>
    </row>
    <row r="202">
      <c r="A202" s="178"/>
      <c r="B202" s="178"/>
      <c r="C202" s="178"/>
      <c r="D202" s="178"/>
      <c r="E202" s="178"/>
    </row>
    <row r="203">
      <c r="A203" s="178"/>
      <c r="B203" s="178"/>
      <c r="C203" s="178"/>
      <c r="D203" s="178"/>
      <c r="E203" s="178"/>
    </row>
    <row r="204">
      <c r="A204" s="178"/>
      <c r="B204" s="178"/>
      <c r="C204" s="178"/>
      <c r="D204" s="178"/>
      <c r="E204" s="178"/>
    </row>
    <row r="205">
      <c r="A205" s="178"/>
      <c r="B205" s="178"/>
      <c r="C205" s="178"/>
      <c r="D205" s="178"/>
      <c r="E205" s="178"/>
    </row>
    <row r="206">
      <c r="A206" s="178"/>
      <c r="B206" s="178"/>
      <c r="C206" s="178"/>
      <c r="D206" s="178"/>
      <c r="E206" s="178"/>
    </row>
    <row r="207">
      <c r="A207" s="178"/>
      <c r="B207" s="178"/>
      <c r="C207" s="178"/>
      <c r="D207" s="178"/>
      <c r="E207" s="178"/>
    </row>
    <row r="208">
      <c r="A208" s="178"/>
      <c r="B208" s="178"/>
      <c r="C208" s="178"/>
      <c r="D208" s="178"/>
      <c r="E208" s="178"/>
    </row>
    <row r="209">
      <c r="A209" s="178"/>
      <c r="B209" s="178"/>
      <c r="C209" s="178"/>
      <c r="D209" s="178"/>
      <c r="E209" s="178"/>
    </row>
    <row r="210">
      <c r="A210" s="178"/>
      <c r="B210" s="178"/>
      <c r="C210" s="178"/>
      <c r="D210" s="178"/>
      <c r="E210" s="178"/>
    </row>
    <row r="211">
      <c r="A211" s="178"/>
      <c r="B211" s="178"/>
      <c r="C211" s="178"/>
      <c r="D211" s="178"/>
      <c r="E211" s="178"/>
    </row>
    <row r="212">
      <c r="A212" s="178"/>
      <c r="B212" s="178"/>
      <c r="C212" s="178"/>
      <c r="D212" s="178"/>
      <c r="E212" s="178"/>
    </row>
    <row r="213">
      <c r="A213" s="178"/>
      <c r="B213" s="178"/>
      <c r="C213" s="178"/>
      <c r="D213" s="178"/>
      <c r="E213" s="178"/>
    </row>
    <row r="214">
      <c r="A214" s="178"/>
      <c r="B214" s="178"/>
      <c r="C214" s="178"/>
      <c r="D214" s="178"/>
      <c r="E214" s="178"/>
    </row>
    <row r="215">
      <c r="A215" s="178"/>
      <c r="B215" s="178"/>
      <c r="C215" s="178"/>
      <c r="D215" s="178"/>
      <c r="E215" s="178"/>
    </row>
    <row r="216">
      <c r="A216" s="178"/>
      <c r="B216" s="178"/>
      <c r="C216" s="178"/>
      <c r="D216" s="178"/>
      <c r="E216" s="178"/>
    </row>
    <row r="217">
      <c r="A217" s="178"/>
      <c r="B217" s="178"/>
      <c r="C217" s="178"/>
      <c r="D217" s="178"/>
      <c r="E217" s="178"/>
    </row>
    <row r="218">
      <c r="A218" s="178"/>
      <c r="B218" s="178"/>
      <c r="C218" s="178"/>
      <c r="D218" s="178"/>
      <c r="E218" s="178"/>
    </row>
    <row r="219">
      <c r="A219" s="178"/>
      <c r="B219" s="178"/>
      <c r="C219" s="178"/>
      <c r="D219" s="178"/>
      <c r="E219" s="178"/>
    </row>
    <row r="220">
      <c r="A220" s="178"/>
      <c r="B220" s="178"/>
      <c r="C220" s="178"/>
      <c r="D220" s="178"/>
      <c r="E220" s="178"/>
    </row>
    <row r="221">
      <c r="A221" s="178"/>
      <c r="B221" s="178"/>
      <c r="C221" s="178"/>
      <c r="D221" s="178"/>
      <c r="E221" s="178"/>
    </row>
    <row r="222">
      <c r="A222" s="178"/>
      <c r="B222" s="178"/>
      <c r="C222" s="178"/>
      <c r="D222" s="178"/>
      <c r="E222" s="178"/>
    </row>
    <row r="223">
      <c r="A223" s="178"/>
      <c r="B223" s="178"/>
      <c r="C223" s="178"/>
      <c r="D223" s="178"/>
      <c r="E223" s="178"/>
    </row>
    <row r="224">
      <c r="A224" s="178"/>
      <c r="B224" s="178"/>
      <c r="C224" s="178"/>
      <c r="D224" s="178"/>
      <c r="E224" s="178"/>
    </row>
    <row r="225">
      <c r="A225" s="178"/>
      <c r="B225" s="178"/>
      <c r="C225" s="178"/>
      <c r="D225" s="178"/>
      <c r="E225" s="178"/>
    </row>
    <row r="226">
      <c r="A226" s="178"/>
      <c r="B226" s="178"/>
      <c r="C226" s="178"/>
      <c r="D226" s="178"/>
      <c r="E226" s="178"/>
    </row>
    <row r="227">
      <c r="A227" s="178"/>
      <c r="B227" s="178"/>
      <c r="C227" s="178"/>
      <c r="D227" s="178"/>
      <c r="E227" s="178"/>
    </row>
    <row r="228">
      <c r="A228" s="178"/>
      <c r="B228" s="178"/>
      <c r="C228" s="178"/>
      <c r="D228" s="178"/>
      <c r="E228" s="178"/>
    </row>
    <row r="229">
      <c r="A229" s="178"/>
      <c r="B229" s="178"/>
      <c r="C229" s="178"/>
      <c r="D229" s="178"/>
      <c r="E229" s="178"/>
    </row>
    <row r="230">
      <c r="A230" s="178"/>
      <c r="B230" s="178"/>
      <c r="C230" s="178"/>
      <c r="D230" s="178"/>
      <c r="E230" s="178"/>
    </row>
    <row r="231">
      <c r="A231" s="178"/>
      <c r="B231" s="178"/>
      <c r="C231" s="178"/>
      <c r="D231" s="178"/>
      <c r="E231" s="178"/>
    </row>
    <row r="232">
      <c r="A232" s="178"/>
      <c r="B232" s="178"/>
      <c r="C232" s="178"/>
      <c r="D232" s="178"/>
      <c r="E232" s="178"/>
    </row>
    <row r="233">
      <c r="A233" s="178"/>
      <c r="B233" s="178"/>
      <c r="C233" s="178"/>
      <c r="D233" s="178"/>
      <c r="E233" s="178"/>
    </row>
    <row r="234">
      <c r="A234" s="178"/>
      <c r="B234" s="178"/>
      <c r="C234" s="178"/>
      <c r="D234" s="178"/>
      <c r="E234" s="178"/>
    </row>
    <row r="235">
      <c r="A235" s="178"/>
      <c r="B235" s="178"/>
      <c r="C235" s="178"/>
      <c r="D235" s="178"/>
      <c r="E235" s="178"/>
    </row>
    <row r="236">
      <c r="A236" s="178"/>
      <c r="B236" s="178"/>
      <c r="C236" s="178"/>
      <c r="D236" s="178"/>
      <c r="E236" s="178"/>
    </row>
    <row r="237">
      <c r="A237" s="178"/>
      <c r="B237" s="178"/>
      <c r="C237" s="178"/>
      <c r="D237" s="178"/>
      <c r="E237" s="178"/>
    </row>
    <row r="238">
      <c r="A238" s="178"/>
      <c r="B238" s="178"/>
      <c r="C238" s="178"/>
      <c r="D238" s="178"/>
      <c r="E238" s="178"/>
    </row>
    <row r="239">
      <c r="A239" s="178"/>
      <c r="B239" s="178"/>
      <c r="C239" s="178"/>
      <c r="D239" s="178"/>
      <c r="E239" s="178"/>
    </row>
    <row r="240">
      <c r="A240" s="178"/>
      <c r="B240" s="178"/>
      <c r="C240" s="178"/>
      <c r="D240" s="178"/>
      <c r="E240" s="178"/>
    </row>
    <row r="241">
      <c r="A241" s="178"/>
      <c r="B241" s="178"/>
      <c r="C241" s="178"/>
      <c r="D241" s="178"/>
      <c r="E241" s="178"/>
    </row>
    <row r="242">
      <c r="A242" s="178"/>
      <c r="B242" s="178"/>
      <c r="C242" s="178"/>
      <c r="D242" s="178"/>
      <c r="E242" s="178"/>
    </row>
    <row r="243">
      <c r="A243" s="178"/>
      <c r="B243" s="178"/>
      <c r="C243" s="178"/>
      <c r="D243" s="178"/>
      <c r="E243" s="178"/>
    </row>
    <row r="244">
      <c r="A244" s="178"/>
      <c r="B244" s="178"/>
      <c r="C244" s="178"/>
      <c r="D244" s="178"/>
      <c r="E244" s="178"/>
    </row>
    <row r="245">
      <c r="A245" s="178"/>
      <c r="B245" s="178"/>
      <c r="C245" s="178"/>
      <c r="D245" s="178"/>
      <c r="E245" s="178"/>
    </row>
    <row r="246">
      <c r="A246" s="178"/>
      <c r="B246" s="178"/>
      <c r="C246" s="178"/>
      <c r="D246" s="178"/>
      <c r="E246" s="178"/>
    </row>
    <row r="247">
      <c r="A247" s="178"/>
      <c r="B247" s="178"/>
      <c r="C247" s="178"/>
      <c r="D247" s="178"/>
      <c r="E247" s="178"/>
    </row>
    <row r="248">
      <c r="A248" s="178"/>
      <c r="B248" s="178"/>
      <c r="C248" s="178"/>
      <c r="D248" s="178"/>
      <c r="E248" s="178"/>
    </row>
    <row r="249">
      <c r="A249" s="178"/>
      <c r="B249" s="178"/>
      <c r="C249" s="178"/>
      <c r="D249" s="178"/>
      <c r="E249" s="178"/>
    </row>
    <row r="250">
      <c r="A250" s="178"/>
      <c r="B250" s="178"/>
      <c r="C250" s="178"/>
      <c r="D250" s="178"/>
      <c r="E250" s="178"/>
    </row>
    <row r="251">
      <c r="A251" s="178"/>
      <c r="B251" s="178"/>
      <c r="C251" s="178"/>
      <c r="D251" s="178"/>
      <c r="E251" s="178"/>
    </row>
    <row r="252">
      <c r="A252" s="178"/>
      <c r="B252" s="178"/>
      <c r="C252" s="178"/>
      <c r="D252" s="178"/>
      <c r="E252" s="178"/>
    </row>
    <row r="253">
      <c r="A253" s="178"/>
      <c r="B253" s="178"/>
      <c r="C253" s="178"/>
      <c r="D253" s="178"/>
      <c r="E253" s="178"/>
    </row>
    <row r="254">
      <c r="A254" s="178"/>
      <c r="B254" s="178"/>
      <c r="C254" s="178"/>
      <c r="D254" s="178"/>
      <c r="E254" s="178"/>
    </row>
    <row r="255">
      <c r="A255" s="178"/>
      <c r="B255" s="178"/>
      <c r="C255" s="178"/>
      <c r="D255" s="178"/>
      <c r="E255" s="178"/>
    </row>
    <row r="256">
      <c r="A256" s="178"/>
      <c r="B256" s="178"/>
      <c r="C256" s="178"/>
      <c r="D256" s="178"/>
      <c r="E256" s="178"/>
    </row>
    <row r="257">
      <c r="A257" s="178"/>
      <c r="B257" s="178"/>
      <c r="C257" s="178"/>
      <c r="D257" s="178"/>
      <c r="E257" s="178"/>
    </row>
    <row r="258">
      <c r="A258" s="178"/>
      <c r="B258" s="178"/>
      <c r="C258" s="178"/>
      <c r="D258" s="178"/>
      <c r="E258" s="178"/>
    </row>
    <row r="259">
      <c r="A259" s="178"/>
      <c r="B259" s="178"/>
      <c r="C259" s="178"/>
      <c r="D259" s="178"/>
      <c r="E259" s="178"/>
    </row>
    <row r="260">
      <c r="A260" s="178"/>
      <c r="B260" s="178"/>
      <c r="C260" s="178"/>
      <c r="D260" s="178"/>
      <c r="E260" s="178"/>
    </row>
    <row r="261">
      <c r="A261" s="178"/>
      <c r="B261" s="178"/>
      <c r="C261" s="178"/>
      <c r="D261" s="178"/>
      <c r="E261" s="178"/>
    </row>
    <row r="262">
      <c r="A262" s="178"/>
      <c r="B262" s="178"/>
      <c r="C262" s="178"/>
      <c r="D262" s="178"/>
      <c r="E262" s="178"/>
    </row>
    <row r="263">
      <c r="A263" s="178"/>
      <c r="B263" s="178"/>
      <c r="C263" s="178"/>
      <c r="D263" s="178"/>
      <c r="E263" s="178"/>
    </row>
    <row r="264">
      <c r="A264" s="178"/>
      <c r="B264" s="178"/>
      <c r="C264" s="178"/>
      <c r="D264" s="178"/>
      <c r="E264" s="178"/>
    </row>
    <row r="265">
      <c r="A265" s="178"/>
      <c r="B265" s="178"/>
      <c r="C265" s="178"/>
      <c r="D265" s="178"/>
      <c r="E265" s="178"/>
    </row>
    <row r="266">
      <c r="A266" s="178"/>
      <c r="B266" s="178"/>
      <c r="C266" s="178"/>
      <c r="D266" s="178"/>
      <c r="E266" s="178"/>
    </row>
    <row r="267">
      <c r="A267" s="178"/>
      <c r="B267" s="178"/>
      <c r="C267" s="178"/>
      <c r="D267" s="178"/>
      <c r="E267" s="178"/>
    </row>
    <row r="268">
      <c r="A268" s="178"/>
      <c r="B268" s="178"/>
      <c r="C268" s="178"/>
      <c r="D268" s="178"/>
      <c r="E268" s="178"/>
    </row>
    <row r="269">
      <c r="A269" s="178"/>
      <c r="B269" s="178"/>
      <c r="C269" s="178"/>
      <c r="D269" s="178"/>
      <c r="E269" s="178"/>
    </row>
    <row r="270">
      <c r="A270" s="178"/>
      <c r="B270" s="178"/>
      <c r="C270" s="178"/>
      <c r="D270" s="178"/>
      <c r="E270" s="178"/>
    </row>
    <row r="271">
      <c r="A271" s="178"/>
      <c r="B271" s="178"/>
      <c r="C271" s="178"/>
      <c r="D271" s="178"/>
      <c r="E271" s="178"/>
    </row>
    <row r="272">
      <c r="A272" s="178"/>
      <c r="B272" s="178"/>
      <c r="C272" s="178"/>
      <c r="D272" s="178"/>
      <c r="E272" s="178"/>
    </row>
    <row r="273">
      <c r="A273" s="178"/>
      <c r="B273" s="178"/>
      <c r="C273" s="178"/>
      <c r="D273" s="178"/>
      <c r="E273" s="178"/>
    </row>
    <row r="274">
      <c r="A274" s="178"/>
      <c r="B274" s="178"/>
      <c r="C274" s="178"/>
      <c r="D274" s="178"/>
      <c r="E274" s="178"/>
    </row>
    <row r="275">
      <c r="A275" s="178"/>
      <c r="B275" s="178"/>
      <c r="C275" s="178"/>
      <c r="D275" s="178"/>
      <c r="E275" s="178"/>
    </row>
    <row r="276">
      <c r="A276" s="178"/>
      <c r="B276" s="178"/>
      <c r="C276" s="178"/>
      <c r="D276" s="178"/>
      <c r="E276" s="178"/>
    </row>
    <row r="277">
      <c r="A277" s="178"/>
      <c r="B277" s="178"/>
      <c r="C277" s="178"/>
      <c r="D277" s="178"/>
      <c r="E277" s="178"/>
    </row>
    <row r="278">
      <c r="A278" s="178"/>
      <c r="B278" s="178"/>
      <c r="C278" s="178"/>
      <c r="D278" s="178"/>
      <c r="E278" s="178"/>
    </row>
    <row r="279">
      <c r="A279" s="178"/>
      <c r="B279" s="178"/>
      <c r="C279" s="178"/>
      <c r="D279" s="178"/>
      <c r="E279" s="178"/>
    </row>
    <row r="280">
      <c r="A280" s="178"/>
      <c r="B280" s="178"/>
      <c r="C280" s="178"/>
      <c r="D280" s="178"/>
      <c r="E280" s="178"/>
    </row>
    <row r="281">
      <c r="A281" s="178"/>
      <c r="B281" s="178"/>
      <c r="C281" s="178"/>
      <c r="D281" s="178"/>
      <c r="E281" s="178"/>
    </row>
    <row r="282">
      <c r="A282" s="178"/>
      <c r="B282" s="178"/>
      <c r="C282" s="178"/>
      <c r="D282" s="178"/>
      <c r="E282" s="178"/>
    </row>
    <row r="283">
      <c r="A283" s="178"/>
      <c r="B283" s="178"/>
      <c r="C283" s="178"/>
      <c r="D283" s="178"/>
      <c r="E283" s="178"/>
    </row>
    <row r="284">
      <c r="A284" s="178"/>
      <c r="B284" s="178"/>
      <c r="C284" s="178"/>
      <c r="D284" s="178"/>
      <c r="E284" s="178"/>
    </row>
    <row r="285">
      <c r="A285" s="178"/>
      <c r="B285" s="178"/>
      <c r="C285" s="178"/>
      <c r="D285" s="178"/>
      <c r="E285" s="178"/>
    </row>
    <row r="286">
      <c r="A286" s="178"/>
      <c r="B286" s="178"/>
      <c r="C286" s="178"/>
      <c r="D286" s="178"/>
      <c r="E286" s="178"/>
    </row>
    <row r="287">
      <c r="A287" s="178"/>
      <c r="B287" s="178"/>
      <c r="C287" s="178"/>
      <c r="D287" s="178"/>
      <c r="E287" s="178"/>
    </row>
    <row r="288">
      <c r="A288" s="178"/>
      <c r="B288" s="178"/>
      <c r="C288" s="178"/>
      <c r="D288" s="178"/>
      <c r="E288" s="178"/>
    </row>
    <row r="289">
      <c r="A289" s="178"/>
      <c r="B289" s="178"/>
      <c r="C289" s="178"/>
      <c r="D289" s="178"/>
      <c r="E289" s="178"/>
    </row>
    <row r="290">
      <c r="A290" s="178"/>
      <c r="B290" s="178"/>
      <c r="C290" s="178"/>
      <c r="D290" s="178"/>
      <c r="E290" s="178"/>
    </row>
    <row r="291">
      <c r="A291" s="178"/>
      <c r="B291" s="178"/>
      <c r="C291" s="178"/>
      <c r="D291" s="178"/>
      <c r="E291" s="178"/>
    </row>
    <row r="292">
      <c r="A292" s="178"/>
      <c r="B292" s="178"/>
      <c r="C292" s="178"/>
      <c r="D292" s="178"/>
      <c r="E292" s="178"/>
    </row>
    <row r="293">
      <c r="A293" s="178"/>
      <c r="B293" s="178"/>
      <c r="C293" s="178"/>
      <c r="D293" s="178"/>
      <c r="E293" s="178"/>
    </row>
    <row r="294">
      <c r="A294" s="178"/>
      <c r="B294" s="178"/>
      <c r="C294" s="178"/>
      <c r="D294" s="178"/>
      <c r="E294" s="178"/>
    </row>
    <row r="295">
      <c r="A295" s="178"/>
      <c r="B295" s="178"/>
      <c r="C295" s="178"/>
      <c r="D295" s="178"/>
      <c r="E295" s="178"/>
    </row>
    <row r="296">
      <c r="A296" s="178"/>
      <c r="B296" s="178"/>
      <c r="C296" s="178"/>
      <c r="D296" s="178"/>
      <c r="E296" s="178"/>
    </row>
    <row r="297">
      <c r="A297" s="178"/>
      <c r="B297" s="178"/>
      <c r="C297" s="178"/>
      <c r="D297" s="178"/>
      <c r="E297" s="178"/>
    </row>
    <row r="298">
      <c r="A298" s="178"/>
      <c r="B298" s="178"/>
      <c r="C298" s="178"/>
      <c r="D298" s="178"/>
      <c r="E298" s="178"/>
    </row>
    <row r="299">
      <c r="A299" s="178"/>
      <c r="B299" s="178"/>
      <c r="C299" s="178"/>
      <c r="D299" s="178"/>
      <c r="E299" s="178"/>
    </row>
    <row r="300">
      <c r="A300" s="178"/>
      <c r="B300" s="178"/>
      <c r="C300" s="178"/>
      <c r="D300" s="178"/>
      <c r="E300" s="178"/>
    </row>
    <row r="301">
      <c r="A301" s="178"/>
      <c r="B301" s="178"/>
      <c r="C301" s="178"/>
      <c r="D301" s="178"/>
      <c r="E301" s="178"/>
    </row>
    <row r="302">
      <c r="A302" s="178"/>
      <c r="B302" s="178"/>
      <c r="C302" s="178"/>
      <c r="D302" s="178"/>
      <c r="E302" s="178"/>
    </row>
    <row r="303">
      <c r="A303" s="178"/>
      <c r="B303" s="178"/>
      <c r="C303" s="178"/>
      <c r="D303" s="178"/>
      <c r="E303" s="178"/>
    </row>
    <row r="304">
      <c r="A304" s="178"/>
      <c r="B304" s="178"/>
      <c r="C304" s="178"/>
      <c r="D304" s="178"/>
      <c r="E304" s="178"/>
    </row>
    <row r="305">
      <c r="A305" s="178"/>
      <c r="B305" s="178"/>
      <c r="C305" s="178"/>
      <c r="D305" s="178"/>
      <c r="E305" s="178"/>
    </row>
    <row r="306">
      <c r="A306" s="178"/>
      <c r="B306" s="178"/>
      <c r="C306" s="178"/>
      <c r="D306" s="178"/>
      <c r="E306" s="178"/>
    </row>
    <row r="307">
      <c r="A307" s="178"/>
      <c r="B307" s="178"/>
      <c r="C307" s="178"/>
      <c r="D307" s="178"/>
      <c r="E307" s="178"/>
    </row>
    <row r="308">
      <c r="A308" s="178"/>
      <c r="B308" s="178"/>
      <c r="C308" s="178"/>
      <c r="D308" s="178"/>
      <c r="E308" s="178"/>
    </row>
    <row r="309">
      <c r="A309" s="178"/>
      <c r="B309" s="178"/>
      <c r="C309" s="178"/>
      <c r="D309" s="178"/>
      <c r="E309" s="178"/>
    </row>
    <row r="310">
      <c r="A310" s="178"/>
      <c r="B310" s="178"/>
      <c r="C310" s="178"/>
      <c r="D310" s="178"/>
      <c r="E310" s="178"/>
    </row>
    <row r="311">
      <c r="A311" s="178"/>
      <c r="B311" s="178"/>
      <c r="C311" s="178"/>
      <c r="D311" s="178"/>
      <c r="E311" s="178"/>
    </row>
    <row r="312">
      <c r="A312" s="178"/>
      <c r="B312" s="178"/>
      <c r="C312" s="178"/>
      <c r="D312" s="178"/>
      <c r="E312" s="178"/>
    </row>
    <row r="313">
      <c r="A313" s="178"/>
      <c r="B313" s="178"/>
      <c r="C313" s="178"/>
      <c r="D313" s="178"/>
      <c r="E313" s="178"/>
    </row>
    <row r="314">
      <c r="A314" s="178"/>
      <c r="B314" s="178"/>
      <c r="C314" s="178"/>
      <c r="D314" s="178"/>
      <c r="E314" s="178"/>
    </row>
    <row r="315">
      <c r="A315" s="178"/>
      <c r="B315" s="178"/>
      <c r="C315" s="178"/>
      <c r="D315" s="178"/>
      <c r="E315" s="178"/>
    </row>
    <row r="316">
      <c r="A316" s="178"/>
      <c r="B316" s="178"/>
      <c r="C316" s="178"/>
      <c r="D316" s="178"/>
      <c r="E316" s="178"/>
    </row>
    <row r="317">
      <c r="A317" s="178"/>
      <c r="B317" s="178"/>
      <c r="C317" s="178"/>
      <c r="D317" s="178"/>
      <c r="E317" s="178"/>
    </row>
    <row r="318">
      <c r="A318" s="178"/>
      <c r="B318" s="178"/>
      <c r="C318" s="178"/>
      <c r="D318" s="178"/>
      <c r="E318" s="178"/>
    </row>
    <row r="319">
      <c r="A319" s="178"/>
      <c r="B319" s="178"/>
      <c r="C319" s="178"/>
      <c r="D319" s="178"/>
      <c r="E319" s="178"/>
    </row>
    <row r="320">
      <c r="A320" s="178"/>
      <c r="B320" s="178"/>
      <c r="C320" s="178"/>
      <c r="D320" s="178"/>
      <c r="E320" s="178"/>
    </row>
    <row r="321">
      <c r="A321" s="178"/>
      <c r="B321" s="178"/>
      <c r="C321" s="178"/>
      <c r="D321" s="178"/>
      <c r="E321" s="178"/>
    </row>
    <row r="322">
      <c r="A322" s="178"/>
      <c r="B322" s="178"/>
      <c r="C322" s="178"/>
      <c r="D322" s="178"/>
      <c r="E322" s="178"/>
    </row>
    <row r="323">
      <c r="A323" s="178"/>
      <c r="B323" s="178"/>
      <c r="C323" s="178"/>
      <c r="D323" s="178"/>
      <c r="E323" s="178"/>
    </row>
    <row r="324">
      <c r="A324" s="178"/>
      <c r="B324" s="178"/>
      <c r="C324" s="178"/>
      <c r="D324" s="178"/>
      <c r="E324" s="178"/>
    </row>
    <row r="325">
      <c r="A325" s="178"/>
      <c r="B325" s="178"/>
      <c r="C325" s="178"/>
      <c r="D325" s="178"/>
      <c r="E325" s="178"/>
    </row>
    <row r="326">
      <c r="A326" s="178"/>
      <c r="B326" s="178"/>
      <c r="C326" s="178"/>
      <c r="D326" s="178"/>
      <c r="E326" s="178"/>
    </row>
    <row r="327">
      <c r="A327" s="178"/>
      <c r="B327" s="178"/>
      <c r="C327" s="178"/>
      <c r="D327" s="178"/>
      <c r="E327" s="178"/>
    </row>
    <row r="328">
      <c r="A328" s="178"/>
      <c r="B328" s="178"/>
      <c r="C328" s="178"/>
      <c r="D328" s="178"/>
      <c r="E328" s="178"/>
    </row>
    <row r="329">
      <c r="A329" s="178"/>
      <c r="B329" s="178"/>
      <c r="C329" s="178"/>
      <c r="D329" s="178"/>
      <c r="E329" s="178"/>
    </row>
    <row r="330">
      <c r="A330" s="178"/>
      <c r="B330" s="178"/>
      <c r="C330" s="178"/>
      <c r="D330" s="178"/>
      <c r="E330" s="178"/>
    </row>
    <row r="331">
      <c r="A331" s="178"/>
      <c r="B331" s="178"/>
      <c r="C331" s="178"/>
      <c r="D331" s="178"/>
      <c r="E331" s="178"/>
    </row>
    <row r="332">
      <c r="A332" s="178"/>
      <c r="B332" s="178"/>
      <c r="C332" s="178"/>
      <c r="D332" s="178"/>
      <c r="E332" s="178"/>
    </row>
    <row r="333">
      <c r="A333" s="178"/>
      <c r="B333" s="178"/>
      <c r="C333" s="178"/>
      <c r="D333" s="178"/>
      <c r="E333" s="178"/>
    </row>
    <row r="334">
      <c r="A334" s="178"/>
      <c r="B334" s="178"/>
      <c r="C334" s="178"/>
      <c r="D334" s="178"/>
      <c r="E334" s="178"/>
    </row>
    <row r="335">
      <c r="A335" s="178"/>
      <c r="B335" s="178"/>
      <c r="C335" s="178"/>
      <c r="D335" s="178"/>
      <c r="E335" s="178"/>
    </row>
    <row r="336">
      <c r="A336" s="178"/>
      <c r="B336" s="178"/>
      <c r="C336" s="178"/>
      <c r="D336" s="178"/>
      <c r="E336" s="178"/>
    </row>
    <row r="337">
      <c r="A337" s="178"/>
      <c r="B337" s="178"/>
      <c r="C337" s="178"/>
      <c r="D337" s="178"/>
      <c r="E337" s="178"/>
    </row>
    <row r="338">
      <c r="A338" s="178"/>
      <c r="B338" s="178"/>
      <c r="C338" s="178"/>
      <c r="D338" s="178"/>
      <c r="E338" s="178"/>
    </row>
    <row r="339">
      <c r="A339" s="178"/>
      <c r="B339" s="178"/>
      <c r="C339" s="178"/>
      <c r="D339" s="178"/>
      <c r="E339" s="178"/>
    </row>
    <row r="340">
      <c r="A340" s="178"/>
      <c r="B340" s="178"/>
      <c r="C340" s="178"/>
      <c r="D340" s="178"/>
      <c r="E340" s="178"/>
    </row>
    <row r="341">
      <c r="A341" s="178"/>
      <c r="B341" s="178"/>
      <c r="C341" s="178"/>
      <c r="D341" s="178"/>
      <c r="E341" s="178"/>
    </row>
    <row r="342">
      <c r="A342" s="178"/>
      <c r="B342" s="178"/>
      <c r="C342" s="178"/>
      <c r="D342" s="178"/>
      <c r="E342" s="178"/>
    </row>
    <row r="343">
      <c r="A343" s="178"/>
      <c r="B343" s="178"/>
      <c r="C343" s="178"/>
      <c r="D343" s="178"/>
      <c r="E343" s="178"/>
    </row>
    <row r="344">
      <c r="A344" s="178"/>
      <c r="B344" s="178"/>
      <c r="C344" s="178"/>
      <c r="D344" s="178"/>
      <c r="E344" s="178"/>
    </row>
    <row r="345">
      <c r="A345" s="178"/>
      <c r="B345" s="178"/>
      <c r="C345" s="178"/>
      <c r="D345" s="178"/>
      <c r="E345" s="178"/>
    </row>
    <row r="346">
      <c r="A346" s="178"/>
      <c r="B346" s="178"/>
      <c r="C346" s="178"/>
      <c r="D346" s="178"/>
      <c r="E346" s="178"/>
    </row>
    <row r="347">
      <c r="A347" s="178"/>
      <c r="B347" s="178"/>
      <c r="C347" s="178"/>
      <c r="D347" s="178"/>
      <c r="E347" s="178"/>
    </row>
    <row r="348">
      <c r="A348" s="178"/>
      <c r="B348" s="178"/>
      <c r="C348" s="178"/>
      <c r="D348" s="178"/>
      <c r="E348" s="178"/>
    </row>
    <row r="349">
      <c r="A349" s="178"/>
      <c r="B349" s="178"/>
      <c r="C349" s="178"/>
      <c r="D349" s="178"/>
      <c r="E349" s="178"/>
    </row>
    <row r="350">
      <c r="A350" s="178"/>
      <c r="B350" s="178"/>
      <c r="C350" s="178"/>
      <c r="D350" s="178"/>
      <c r="E350" s="178"/>
    </row>
    <row r="351">
      <c r="A351" s="178"/>
      <c r="B351" s="178"/>
      <c r="C351" s="178"/>
      <c r="D351" s="178"/>
      <c r="E351" s="178"/>
    </row>
    <row r="352">
      <c r="A352" s="178"/>
      <c r="B352" s="178"/>
      <c r="C352" s="178"/>
      <c r="D352" s="178"/>
      <c r="E352" s="178"/>
    </row>
    <row r="353">
      <c r="A353" s="178"/>
      <c r="B353" s="178"/>
      <c r="C353" s="178"/>
      <c r="D353" s="178"/>
      <c r="E353" s="178"/>
    </row>
    <row r="354">
      <c r="A354" s="178"/>
      <c r="B354" s="178"/>
      <c r="C354" s="178"/>
      <c r="D354" s="178"/>
      <c r="E354" s="178"/>
    </row>
    <row r="355">
      <c r="A355" s="178"/>
      <c r="B355" s="178"/>
      <c r="C355" s="178"/>
      <c r="D355" s="178"/>
      <c r="E355" s="178"/>
    </row>
    <row r="356">
      <c r="A356" s="178"/>
      <c r="B356" s="178"/>
      <c r="C356" s="178"/>
      <c r="D356" s="178"/>
      <c r="E356" s="178"/>
    </row>
    <row r="357">
      <c r="A357" s="178"/>
      <c r="B357" s="178"/>
      <c r="C357" s="178"/>
      <c r="D357" s="178"/>
      <c r="E357" s="178"/>
    </row>
    <row r="358">
      <c r="A358" s="178"/>
      <c r="B358" s="178"/>
      <c r="C358" s="178"/>
      <c r="D358" s="178"/>
      <c r="E358" s="178"/>
    </row>
    <row r="359">
      <c r="A359" s="178"/>
      <c r="B359" s="178"/>
      <c r="C359" s="178"/>
      <c r="D359" s="178"/>
      <c r="E359" s="178"/>
    </row>
    <row r="360">
      <c r="A360" s="178"/>
      <c r="B360" s="178"/>
      <c r="C360" s="178"/>
      <c r="D360" s="178"/>
      <c r="E360" s="178"/>
    </row>
    <row r="361">
      <c r="A361" s="178"/>
      <c r="B361" s="178"/>
      <c r="C361" s="178"/>
      <c r="D361" s="178"/>
      <c r="E361" s="178"/>
    </row>
    <row r="362">
      <c r="A362" s="178"/>
      <c r="B362" s="178"/>
      <c r="C362" s="178"/>
      <c r="D362" s="178"/>
      <c r="E362" s="178"/>
    </row>
    <row r="363">
      <c r="A363" s="178"/>
      <c r="B363" s="178"/>
      <c r="C363" s="178"/>
      <c r="D363" s="178"/>
      <c r="E363" s="178"/>
    </row>
    <row r="364">
      <c r="A364" s="178"/>
      <c r="B364" s="178"/>
      <c r="C364" s="178"/>
      <c r="D364" s="178"/>
      <c r="E364" s="178"/>
    </row>
    <row r="365">
      <c r="A365" s="178"/>
      <c r="B365" s="178"/>
      <c r="C365" s="178"/>
      <c r="D365" s="178"/>
      <c r="E365" s="178"/>
    </row>
    <row r="366">
      <c r="A366" s="178"/>
      <c r="B366" s="178"/>
      <c r="C366" s="178"/>
      <c r="D366" s="178"/>
      <c r="E366" s="178"/>
    </row>
    <row r="367">
      <c r="A367" s="178"/>
      <c r="B367" s="178"/>
      <c r="C367" s="178"/>
      <c r="D367" s="178"/>
      <c r="E367" s="178"/>
    </row>
    <row r="368">
      <c r="A368" s="178"/>
      <c r="B368" s="178"/>
      <c r="C368" s="178"/>
      <c r="D368" s="178"/>
      <c r="E368" s="178"/>
    </row>
    <row r="369">
      <c r="A369" s="178"/>
      <c r="B369" s="178"/>
      <c r="C369" s="178"/>
      <c r="D369" s="178"/>
      <c r="E369" s="178"/>
    </row>
    <row r="370">
      <c r="A370" s="178"/>
      <c r="B370" s="178"/>
      <c r="C370" s="178"/>
      <c r="D370" s="178"/>
      <c r="E370" s="178"/>
    </row>
    <row r="371">
      <c r="A371" s="178"/>
      <c r="B371" s="178"/>
      <c r="C371" s="178"/>
      <c r="D371" s="178"/>
      <c r="E371" s="178"/>
    </row>
    <row r="372">
      <c r="A372" s="178"/>
      <c r="B372" s="178"/>
      <c r="C372" s="178"/>
      <c r="D372" s="178"/>
      <c r="E372" s="178"/>
    </row>
    <row r="373">
      <c r="A373" s="178"/>
      <c r="B373" s="178"/>
      <c r="C373" s="178"/>
      <c r="D373" s="178"/>
      <c r="E373" s="178"/>
    </row>
    <row r="374">
      <c r="A374" s="178"/>
      <c r="B374" s="178"/>
      <c r="C374" s="178"/>
      <c r="D374" s="178"/>
      <c r="E374" s="178"/>
    </row>
    <row r="375">
      <c r="A375" s="178"/>
      <c r="B375" s="178"/>
      <c r="C375" s="178"/>
      <c r="D375" s="178"/>
      <c r="E375" s="178"/>
    </row>
    <row r="376">
      <c r="A376" s="178"/>
      <c r="B376" s="178"/>
      <c r="C376" s="178"/>
      <c r="D376" s="178"/>
      <c r="E376" s="178"/>
    </row>
    <row r="377">
      <c r="A377" s="178"/>
      <c r="B377" s="178"/>
      <c r="C377" s="178"/>
      <c r="D377" s="178"/>
      <c r="E377" s="178"/>
    </row>
    <row r="378">
      <c r="A378" s="178"/>
      <c r="B378" s="178"/>
      <c r="C378" s="178"/>
      <c r="D378" s="178"/>
      <c r="E378" s="178"/>
    </row>
    <row r="379">
      <c r="A379" s="178"/>
      <c r="B379" s="178"/>
      <c r="C379" s="178"/>
      <c r="D379" s="178"/>
      <c r="E379" s="178"/>
    </row>
    <row r="380">
      <c r="A380" s="178"/>
      <c r="B380" s="178"/>
      <c r="C380" s="178"/>
      <c r="D380" s="178"/>
      <c r="E380" s="178"/>
    </row>
    <row r="381">
      <c r="A381" s="178"/>
      <c r="B381" s="178"/>
      <c r="C381" s="178"/>
      <c r="D381" s="178"/>
      <c r="E381" s="178"/>
    </row>
    <row r="382">
      <c r="A382" s="178"/>
      <c r="B382" s="178"/>
      <c r="C382" s="178"/>
      <c r="D382" s="178"/>
      <c r="E382" s="178"/>
    </row>
    <row r="383">
      <c r="A383" s="178"/>
      <c r="B383" s="178"/>
      <c r="C383" s="178"/>
      <c r="D383" s="178"/>
      <c r="E383" s="178"/>
    </row>
    <row r="384">
      <c r="A384" s="178"/>
      <c r="B384" s="178"/>
      <c r="C384" s="178"/>
      <c r="D384" s="178"/>
      <c r="E384" s="178"/>
    </row>
    <row r="385">
      <c r="A385" s="178"/>
      <c r="B385" s="178"/>
      <c r="C385" s="178"/>
      <c r="D385" s="178"/>
      <c r="E385" s="178"/>
    </row>
    <row r="386">
      <c r="A386" s="178"/>
      <c r="B386" s="178"/>
      <c r="C386" s="178"/>
      <c r="D386" s="178"/>
      <c r="E386" s="178"/>
    </row>
    <row r="387">
      <c r="A387" s="178"/>
      <c r="B387" s="178"/>
      <c r="C387" s="178"/>
      <c r="D387" s="178"/>
      <c r="E387" s="178"/>
    </row>
    <row r="388">
      <c r="A388" s="178"/>
      <c r="B388" s="178"/>
      <c r="C388" s="178"/>
      <c r="D388" s="178"/>
      <c r="E388" s="178"/>
    </row>
    <row r="389">
      <c r="A389" s="178"/>
      <c r="B389" s="178"/>
      <c r="C389" s="178"/>
      <c r="D389" s="178"/>
      <c r="E389" s="178"/>
    </row>
    <row r="390">
      <c r="A390" s="178"/>
      <c r="B390" s="178"/>
      <c r="C390" s="178"/>
      <c r="D390" s="178"/>
      <c r="E390" s="178"/>
    </row>
    <row r="391">
      <c r="A391" s="178"/>
      <c r="B391" s="178"/>
      <c r="C391" s="178"/>
      <c r="D391" s="178"/>
      <c r="E391" s="178"/>
    </row>
    <row r="392">
      <c r="A392" s="178"/>
      <c r="B392" s="178"/>
      <c r="C392" s="178"/>
      <c r="D392" s="178"/>
      <c r="E392" s="178"/>
    </row>
    <row r="393">
      <c r="A393" s="178"/>
      <c r="B393" s="178"/>
      <c r="C393" s="178"/>
      <c r="D393" s="178"/>
      <c r="E393" s="178"/>
    </row>
    <row r="394">
      <c r="A394" s="178"/>
      <c r="B394" s="178"/>
      <c r="C394" s="178"/>
      <c r="D394" s="178"/>
      <c r="E394" s="178"/>
    </row>
    <row r="395">
      <c r="A395" s="178"/>
      <c r="B395" s="178"/>
      <c r="C395" s="178"/>
      <c r="D395" s="178"/>
      <c r="E395" s="178"/>
    </row>
    <row r="396">
      <c r="A396" s="178"/>
      <c r="B396" s="178"/>
      <c r="C396" s="178"/>
      <c r="D396" s="178"/>
      <c r="E396" s="178"/>
    </row>
    <row r="397">
      <c r="A397" s="178"/>
      <c r="B397" s="178"/>
      <c r="C397" s="178"/>
      <c r="D397" s="178"/>
      <c r="E397" s="178"/>
    </row>
    <row r="398">
      <c r="A398" s="178"/>
      <c r="B398" s="178"/>
      <c r="C398" s="178"/>
      <c r="D398" s="178"/>
      <c r="E398" s="178"/>
    </row>
    <row r="399">
      <c r="A399" s="178"/>
      <c r="B399" s="178"/>
      <c r="C399" s="178"/>
      <c r="D399" s="178"/>
      <c r="E399" s="178"/>
    </row>
    <row r="400">
      <c r="A400" s="178"/>
      <c r="B400" s="178"/>
      <c r="C400" s="178"/>
      <c r="D400" s="178"/>
      <c r="E400" s="178"/>
    </row>
    <row r="401">
      <c r="A401" s="178"/>
      <c r="B401" s="178"/>
      <c r="C401" s="178"/>
      <c r="D401" s="178"/>
      <c r="E401" s="178"/>
    </row>
    <row r="402">
      <c r="A402" s="178"/>
      <c r="B402" s="178"/>
      <c r="C402" s="178"/>
      <c r="D402" s="178"/>
      <c r="E402" s="178"/>
    </row>
    <row r="403">
      <c r="A403" s="178"/>
      <c r="B403" s="178"/>
      <c r="C403" s="178"/>
      <c r="D403" s="178"/>
      <c r="E403" s="178"/>
    </row>
    <row r="404">
      <c r="A404" s="178"/>
      <c r="B404" s="178"/>
      <c r="C404" s="178"/>
      <c r="D404" s="178"/>
      <c r="E404" s="178"/>
    </row>
    <row r="405">
      <c r="A405" s="178"/>
      <c r="B405" s="178"/>
      <c r="C405" s="178"/>
      <c r="D405" s="178"/>
      <c r="E405" s="178"/>
    </row>
    <row r="406">
      <c r="A406" s="178"/>
      <c r="B406" s="178"/>
      <c r="C406" s="178"/>
      <c r="D406" s="178"/>
      <c r="E406" s="178"/>
    </row>
    <row r="407">
      <c r="A407" s="178"/>
      <c r="B407" s="178"/>
      <c r="C407" s="178"/>
      <c r="D407" s="178"/>
      <c r="E407" s="178"/>
    </row>
    <row r="408">
      <c r="A408" s="178"/>
      <c r="B408" s="178"/>
      <c r="C408" s="178"/>
      <c r="D408" s="178"/>
      <c r="E408" s="178"/>
    </row>
    <row r="409">
      <c r="A409" s="178"/>
      <c r="B409" s="178"/>
      <c r="C409" s="178"/>
      <c r="D409" s="178"/>
      <c r="E409" s="178"/>
    </row>
    <row r="410">
      <c r="A410" s="178"/>
      <c r="B410" s="178"/>
      <c r="C410" s="178"/>
      <c r="D410" s="178"/>
      <c r="E410" s="178"/>
    </row>
    <row r="411">
      <c r="A411" s="178"/>
      <c r="B411" s="178"/>
      <c r="C411" s="178"/>
      <c r="D411" s="178"/>
      <c r="E411" s="178"/>
    </row>
    <row r="412">
      <c r="A412" s="178"/>
      <c r="B412" s="178"/>
      <c r="C412" s="178"/>
      <c r="D412" s="178"/>
      <c r="E412" s="178"/>
    </row>
    <row r="413">
      <c r="A413" s="178"/>
      <c r="B413" s="178"/>
      <c r="C413" s="178"/>
      <c r="D413" s="178"/>
      <c r="E413" s="178"/>
    </row>
    <row r="414">
      <c r="A414" s="178"/>
      <c r="B414" s="178"/>
      <c r="C414" s="178"/>
      <c r="D414" s="178"/>
      <c r="E414" s="178"/>
    </row>
    <row r="415">
      <c r="A415" s="178"/>
      <c r="B415" s="178"/>
      <c r="C415" s="178"/>
      <c r="D415" s="178"/>
      <c r="E415" s="178"/>
    </row>
    <row r="416">
      <c r="A416" s="178"/>
      <c r="B416" s="178"/>
      <c r="C416" s="178"/>
      <c r="D416" s="178"/>
      <c r="E416" s="178"/>
    </row>
    <row r="417">
      <c r="A417" s="178"/>
      <c r="B417" s="178"/>
      <c r="C417" s="178"/>
      <c r="D417" s="178"/>
      <c r="E417" s="178"/>
    </row>
    <row r="418">
      <c r="A418" s="178"/>
      <c r="B418" s="178"/>
      <c r="C418" s="178"/>
      <c r="D418" s="178"/>
      <c r="E418" s="178"/>
    </row>
    <row r="419">
      <c r="A419" s="178"/>
      <c r="B419" s="178"/>
      <c r="C419" s="178"/>
      <c r="D419" s="178"/>
      <c r="E419" s="178"/>
    </row>
    <row r="420">
      <c r="A420" s="178"/>
      <c r="B420" s="178"/>
      <c r="C420" s="178"/>
      <c r="D420" s="178"/>
      <c r="E420" s="178"/>
    </row>
    <row r="421">
      <c r="A421" s="178"/>
      <c r="B421" s="178"/>
      <c r="C421" s="178"/>
      <c r="D421" s="178"/>
      <c r="E421" s="178"/>
    </row>
    <row r="422">
      <c r="A422" s="178"/>
      <c r="B422" s="178"/>
      <c r="C422" s="178"/>
      <c r="D422" s="178"/>
      <c r="E422" s="178"/>
    </row>
    <row r="423">
      <c r="A423" s="178"/>
      <c r="B423" s="178"/>
      <c r="C423" s="178"/>
      <c r="D423" s="178"/>
      <c r="E423" s="178"/>
    </row>
    <row r="424">
      <c r="A424" s="178"/>
      <c r="B424" s="178"/>
      <c r="C424" s="178"/>
      <c r="D424" s="178"/>
      <c r="E424" s="178"/>
    </row>
    <row r="425">
      <c r="A425" s="178"/>
      <c r="B425" s="178"/>
      <c r="C425" s="178"/>
      <c r="D425" s="178"/>
      <c r="E425" s="178"/>
    </row>
    <row r="426">
      <c r="A426" s="178"/>
      <c r="B426" s="178"/>
      <c r="C426" s="178"/>
      <c r="D426" s="178"/>
      <c r="E426" s="178"/>
    </row>
    <row r="427">
      <c r="A427" s="178"/>
      <c r="B427" s="178"/>
      <c r="C427" s="178"/>
      <c r="D427" s="178"/>
      <c r="E427" s="178"/>
    </row>
    <row r="428">
      <c r="A428" s="178"/>
      <c r="B428" s="178"/>
      <c r="C428" s="178"/>
      <c r="D428" s="178"/>
      <c r="E428" s="178"/>
    </row>
    <row r="429">
      <c r="A429" s="178"/>
      <c r="B429" s="178"/>
      <c r="C429" s="178"/>
      <c r="D429" s="178"/>
      <c r="E429" s="178"/>
    </row>
    <row r="430">
      <c r="A430" s="178"/>
      <c r="B430" s="178"/>
      <c r="C430" s="178"/>
      <c r="D430" s="178"/>
      <c r="E430" s="178"/>
    </row>
    <row r="431">
      <c r="A431" s="178"/>
      <c r="B431" s="178"/>
      <c r="C431" s="178"/>
      <c r="D431" s="178"/>
      <c r="E431" s="178"/>
    </row>
    <row r="432">
      <c r="A432" s="178"/>
      <c r="B432" s="178"/>
      <c r="C432" s="178"/>
      <c r="D432" s="178"/>
      <c r="E432" s="178"/>
    </row>
    <row r="433">
      <c r="A433" s="178"/>
      <c r="B433" s="178"/>
      <c r="C433" s="178"/>
      <c r="D433" s="178"/>
      <c r="E433" s="178"/>
    </row>
    <row r="434">
      <c r="A434" s="178"/>
      <c r="B434" s="178"/>
      <c r="C434" s="178"/>
      <c r="D434" s="178"/>
      <c r="E434" s="178"/>
    </row>
    <row r="435">
      <c r="A435" s="178"/>
      <c r="B435" s="178"/>
      <c r="C435" s="178"/>
      <c r="D435" s="178"/>
      <c r="E435" s="178"/>
    </row>
    <row r="436">
      <c r="A436" s="178"/>
      <c r="B436" s="178"/>
      <c r="C436" s="178"/>
      <c r="D436" s="178"/>
      <c r="E436" s="178"/>
    </row>
    <row r="437">
      <c r="A437" s="178"/>
      <c r="B437" s="178"/>
      <c r="C437" s="178"/>
      <c r="D437" s="178"/>
      <c r="E437" s="178"/>
    </row>
    <row r="438">
      <c r="A438" s="178"/>
      <c r="B438" s="178"/>
      <c r="C438" s="178"/>
      <c r="D438" s="178"/>
      <c r="E438" s="178"/>
    </row>
    <row r="439">
      <c r="A439" s="178"/>
      <c r="B439" s="178"/>
      <c r="C439" s="178"/>
      <c r="D439" s="178"/>
      <c r="E439" s="178"/>
    </row>
    <row r="440">
      <c r="A440" s="178"/>
      <c r="B440" s="178"/>
      <c r="C440" s="178"/>
      <c r="D440" s="178"/>
      <c r="E440" s="178"/>
    </row>
    <row r="441">
      <c r="A441" s="178"/>
      <c r="B441" s="178"/>
      <c r="C441" s="178"/>
      <c r="D441" s="178"/>
      <c r="E441" s="178"/>
    </row>
    <row r="442">
      <c r="A442" s="178"/>
      <c r="B442" s="178"/>
      <c r="C442" s="178"/>
      <c r="D442" s="178"/>
      <c r="E442" s="178"/>
    </row>
    <row r="443">
      <c r="A443" s="178"/>
      <c r="B443" s="178"/>
      <c r="C443" s="178"/>
      <c r="D443" s="178"/>
      <c r="E443" s="178"/>
    </row>
    <row r="444">
      <c r="A444" s="178"/>
      <c r="B444" s="178"/>
      <c r="C444" s="178"/>
      <c r="D444" s="178"/>
      <c r="E444" s="178"/>
    </row>
    <row r="445">
      <c r="A445" s="178"/>
      <c r="B445" s="178"/>
      <c r="C445" s="178"/>
      <c r="D445" s="178"/>
      <c r="E445" s="178"/>
    </row>
    <row r="446">
      <c r="A446" s="178"/>
      <c r="B446" s="178"/>
      <c r="C446" s="178"/>
      <c r="D446" s="178"/>
      <c r="E446" s="178"/>
    </row>
    <row r="447">
      <c r="A447" s="178"/>
      <c r="B447" s="178"/>
      <c r="C447" s="178"/>
      <c r="D447" s="178"/>
      <c r="E447" s="178"/>
    </row>
    <row r="448">
      <c r="A448" s="178"/>
      <c r="B448" s="178"/>
      <c r="C448" s="178"/>
      <c r="D448" s="178"/>
      <c r="E448" s="178"/>
    </row>
    <row r="449">
      <c r="A449" s="178"/>
      <c r="B449" s="178"/>
      <c r="C449" s="178"/>
      <c r="D449" s="178"/>
      <c r="E449" s="178"/>
    </row>
    <row r="450">
      <c r="A450" s="178"/>
      <c r="B450" s="178"/>
      <c r="C450" s="178"/>
      <c r="D450" s="178"/>
      <c r="E450" s="178"/>
    </row>
    <row r="451">
      <c r="A451" s="178"/>
      <c r="B451" s="178"/>
      <c r="C451" s="178"/>
      <c r="D451" s="178"/>
      <c r="E451" s="178"/>
    </row>
    <row r="452">
      <c r="A452" s="178"/>
      <c r="B452" s="178"/>
      <c r="C452" s="178"/>
      <c r="D452" s="178"/>
      <c r="E452" s="178"/>
    </row>
    <row r="453">
      <c r="A453" s="178"/>
      <c r="B453" s="178"/>
      <c r="C453" s="178"/>
      <c r="D453" s="178"/>
      <c r="E453" s="178"/>
    </row>
    <row r="454">
      <c r="A454" s="178"/>
      <c r="B454" s="178"/>
      <c r="C454" s="178"/>
      <c r="D454" s="178"/>
      <c r="E454" s="178"/>
    </row>
    <row r="455">
      <c r="A455" s="178"/>
      <c r="B455" s="178"/>
      <c r="C455" s="178"/>
      <c r="D455" s="178"/>
      <c r="E455" s="178"/>
    </row>
    <row r="456">
      <c r="A456" s="178"/>
      <c r="B456" s="178"/>
      <c r="C456" s="178"/>
      <c r="D456" s="178"/>
      <c r="E456" s="178"/>
    </row>
    <row r="457">
      <c r="A457" s="178"/>
      <c r="B457" s="178"/>
      <c r="C457" s="178"/>
      <c r="D457" s="178"/>
      <c r="E457" s="178"/>
    </row>
    <row r="458">
      <c r="A458" s="178"/>
      <c r="B458" s="178"/>
      <c r="C458" s="178"/>
      <c r="D458" s="178"/>
      <c r="E458" s="178"/>
    </row>
    <row r="459">
      <c r="A459" s="178"/>
      <c r="B459" s="178"/>
      <c r="C459" s="178"/>
      <c r="D459" s="178"/>
      <c r="E459" s="178"/>
    </row>
    <row r="460">
      <c r="A460" s="178"/>
      <c r="B460" s="178"/>
      <c r="C460" s="178"/>
      <c r="D460" s="178"/>
      <c r="E460" s="178"/>
    </row>
    <row r="461">
      <c r="A461" s="178"/>
      <c r="B461" s="178"/>
      <c r="C461" s="178"/>
      <c r="D461" s="178"/>
      <c r="E461" s="178"/>
    </row>
    <row r="462">
      <c r="A462" s="178"/>
      <c r="B462" s="178"/>
      <c r="C462" s="178"/>
      <c r="D462" s="178"/>
      <c r="E462" s="178"/>
    </row>
    <row r="463">
      <c r="A463" s="178"/>
      <c r="B463" s="178"/>
      <c r="C463" s="178"/>
      <c r="D463" s="178"/>
      <c r="E463" s="178"/>
    </row>
    <row r="464">
      <c r="A464" s="178"/>
      <c r="B464" s="178"/>
      <c r="C464" s="178"/>
      <c r="D464" s="178"/>
      <c r="E464" s="178"/>
    </row>
    <row r="465">
      <c r="A465" s="178"/>
      <c r="B465" s="178"/>
      <c r="C465" s="178"/>
      <c r="D465" s="178"/>
      <c r="E465" s="178"/>
    </row>
    <row r="466">
      <c r="A466" s="178"/>
      <c r="B466" s="178"/>
      <c r="C466" s="178"/>
      <c r="D466" s="178"/>
      <c r="E466" s="178"/>
    </row>
    <row r="467">
      <c r="A467" s="178"/>
      <c r="B467" s="178"/>
      <c r="C467" s="178"/>
      <c r="D467" s="178"/>
      <c r="E467" s="178"/>
    </row>
    <row r="468">
      <c r="A468" s="178"/>
      <c r="B468" s="178"/>
      <c r="C468" s="178"/>
      <c r="D468" s="178"/>
      <c r="E468" s="178"/>
    </row>
    <row r="469">
      <c r="A469" s="178"/>
      <c r="B469" s="178"/>
      <c r="C469" s="178"/>
      <c r="D469" s="178"/>
      <c r="E469" s="178"/>
    </row>
    <row r="470">
      <c r="A470" s="178"/>
      <c r="B470" s="178"/>
      <c r="C470" s="178"/>
      <c r="D470" s="178"/>
      <c r="E470" s="178"/>
    </row>
    <row r="471">
      <c r="A471" s="178"/>
      <c r="B471" s="178"/>
      <c r="C471" s="178"/>
      <c r="D471" s="178"/>
      <c r="E471" s="178"/>
    </row>
    <row r="472">
      <c r="A472" s="178"/>
      <c r="B472" s="178"/>
      <c r="C472" s="178"/>
      <c r="D472" s="178"/>
      <c r="E472" s="178"/>
    </row>
    <row r="473">
      <c r="A473" s="178"/>
      <c r="B473" s="178"/>
      <c r="C473" s="178"/>
      <c r="D473" s="178"/>
      <c r="E473" s="178"/>
    </row>
    <row r="474">
      <c r="A474" s="178"/>
      <c r="B474" s="178"/>
      <c r="C474" s="178"/>
      <c r="D474" s="178"/>
      <c r="E474" s="178"/>
    </row>
    <row r="475">
      <c r="A475" s="178"/>
      <c r="B475" s="178"/>
      <c r="C475" s="178"/>
      <c r="D475" s="178"/>
      <c r="E475" s="178"/>
    </row>
    <row r="476">
      <c r="A476" s="178"/>
      <c r="B476" s="178"/>
      <c r="C476" s="178"/>
      <c r="D476" s="178"/>
      <c r="E476" s="178"/>
    </row>
    <row r="477">
      <c r="A477" s="178"/>
      <c r="B477" s="178"/>
      <c r="C477" s="178"/>
      <c r="D477" s="178"/>
      <c r="E477" s="178"/>
    </row>
    <row r="478">
      <c r="A478" s="178"/>
      <c r="B478" s="178"/>
      <c r="C478" s="178"/>
      <c r="D478" s="178"/>
      <c r="E478" s="178"/>
    </row>
    <row r="479">
      <c r="A479" s="178"/>
      <c r="B479" s="178"/>
      <c r="C479" s="178"/>
      <c r="D479" s="178"/>
      <c r="E479" s="178"/>
    </row>
    <row r="480">
      <c r="A480" s="178"/>
      <c r="B480" s="178"/>
      <c r="C480" s="178"/>
      <c r="D480" s="178"/>
      <c r="E480" s="178"/>
    </row>
    <row r="481">
      <c r="A481" s="178"/>
      <c r="B481" s="178"/>
      <c r="C481" s="178"/>
      <c r="D481" s="178"/>
      <c r="E481" s="178"/>
    </row>
    <row r="482">
      <c r="A482" s="178"/>
      <c r="B482" s="178"/>
      <c r="C482" s="178"/>
      <c r="D482" s="178"/>
      <c r="E482" s="178"/>
    </row>
    <row r="483">
      <c r="A483" s="178"/>
      <c r="B483" s="178"/>
      <c r="C483" s="178"/>
      <c r="D483" s="178"/>
      <c r="E483" s="178"/>
    </row>
    <row r="484">
      <c r="A484" s="178"/>
      <c r="B484" s="178"/>
      <c r="C484" s="178"/>
      <c r="D484" s="178"/>
      <c r="E484" s="178"/>
    </row>
    <row r="485">
      <c r="A485" s="178"/>
      <c r="B485" s="178"/>
      <c r="C485" s="178"/>
      <c r="D485" s="178"/>
      <c r="E485" s="178"/>
    </row>
    <row r="486">
      <c r="A486" s="178"/>
      <c r="B486" s="178"/>
      <c r="C486" s="178"/>
      <c r="D486" s="178"/>
      <c r="E486" s="178"/>
    </row>
    <row r="487">
      <c r="A487" s="178"/>
      <c r="B487" s="178"/>
      <c r="C487" s="178"/>
      <c r="D487" s="178"/>
      <c r="E487" s="178"/>
    </row>
    <row r="488">
      <c r="A488" s="178"/>
      <c r="B488" s="178"/>
      <c r="C488" s="178"/>
      <c r="D488" s="178"/>
      <c r="E488" s="178"/>
    </row>
    <row r="489">
      <c r="A489" s="178"/>
      <c r="B489" s="178"/>
      <c r="C489" s="178"/>
      <c r="D489" s="178"/>
      <c r="E489" s="178"/>
    </row>
    <row r="490">
      <c r="A490" s="178"/>
      <c r="B490" s="178"/>
      <c r="C490" s="178"/>
      <c r="D490" s="178"/>
      <c r="E490" s="178"/>
    </row>
    <row r="491">
      <c r="A491" s="178"/>
      <c r="B491" s="178"/>
      <c r="C491" s="178"/>
      <c r="D491" s="178"/>
      <c r="E491" s="178"/>
    </row>
    <row r="492">
      <c r="A492" s="178"/>
      <c r="B492" s="178"/>
      <c r="C492" s="178"/>
      <c r="D492" s="178"/>
      <c r="E492" s="178"/>
    </row>
    <row r="493">
      <c r="A493" s="178"/>
      <c r="B493" s="178"/>
      <c r="C493" s="178"/>
      <c r="D493" s="178"/>
      <c r="E493" s="178"/>
    </row>
    <row r="494">
      <c r="A494" s="178"/>
      <c r="B494" s="178"/>
      <c r="C494" s="178"/>
      <c r="D494" s="178"/>
      <c r="E494" s="178"/>
    </row>
    <row r="495">
      <c r="A495" s="178"/>
      <c r="B495" s="178"/>
      <c r="C495" s="178"/>
      <c r="D495" s="178"/>
      <c r="E495" s="178"/>
    </row>
    <row r="496">
      <c r="A496" s="178"/>
      <c r="B496" s="178"/>
      <c r="C496" s="178"/>
      <c r="D496" s="178"/>
      <c r="E496" s="178"/>
    </row>
    <row r="497">
      <c r="A497" s="178"/>
      <c r="B497" s="178"/>
      <c r="C497" s="178"/>
      <c r="D497" s="178"/>
      <c r="E497" s="178"/>
    </row>
    <row r="498">
      <c r="A498" s="178"/>
      <c r="B498" s="178"/>
      <c r="C498" s="178"/>
      <c r="D498" s="178"/>
      <c r="E498" s="178"/>
    </row>
    <row r="499">
      <c r="A499" s="178"/>
      <c r="B499" s="178"/>
      <c r="C499" s="178"/>
      <c r="D499" s="178"/>
      <c r="E499" s="178"/>
    </row>
    <row r="500">
      <c r="A500" s="178"/>
      <c r="B500" s="178"/>
      <c r="C500" s="178"/>
      <c r="D500" s="178"/>
      <c r="E500" s="178"/>
    </row>
    <row r="501">
      <c r="A501" s="178"/>
      <c r="B501" s="178"/>
      <c r="C501" s="178"/>
      <c r="D501" s="178"/>
      <c r="E501" s="178"/>
    </row>
    <row r="502">
      <c r="A502" s="178"/>
      <c r="B502" s="178"/>
      <c r="C502" s="178"/>
      <c r="D502" s="178"/>
      <c r="E502" s="178"/>
    </row>
    <row r="503">
      <c r="A503" s="178"/>
      <c r="B503" s="178"/>
      <c r="C503" s="178"/>
      <c r="D503" s="178"/>
      <c r="E503" s="178"/>
    </row>
    <row r="504">
      <c r="A504" s="178"/>
      <c r="B504" s="178"/>
      <c r="C504" s="178"/>
      <c r="D504" s="178"/>
      <c r="E504" s="178"/>
    </row>
    <row r="505">
      <c r="A505" s="178"/>
      <c r="B505" s="178"/>
      <c r="C505" s="178"/>
      <c r="D505" s="178"/>
      <c r="E505" s="178"/>
    </row>
    <row r="506">
      <c r="A506" s="178"/>
      <c r="B506" s="178"/>
      <c r="C506" s="178"/>
      <c r="D506" s="178"/>
      <c r="E506" s="178"/>
    </row>
    <row r="507">
      <c r="A507" s="178"/>
      <c r="B507" s="178"/>
      <c r="C507" s="178"/>
      <c r="D507" s="178"/>
      <c r="E507" s="178"/>
    </row>
    <row r="508">
      <c r="A508" s="178"/>
      <c r="B508" s="178"/>
      <c r="C508" s="178"/>
      <c r="D508" s="178"/>
      <c r="E508" s="178"/>
    </row>
    <row r="509">
      <c r="A509" s="178"/>
      <c r="B509" s="178"/>
      <c r="C509" s="178"/>
      <c r="D509" s="178"/>
      <c r="E509" s="178"/>
    </row>
    <row r="510">
      <c r="A510" s="178"/>
      <c r="B510" s="178"/>
      <c r="C510" s="178"/>
      <c r="D510" s="178"/>
      <c r="E510" s="178"/>
    </row>
    <row r="511">
      <c r="A511" s="178"/>
      <c r="B511" s="178"/>
      <c r="C511" s="178"/>
      <c r="D511" s="178"/>
      <c r="E511" s="178"/>
    </row>
    <row r="512">
      <c r="A512" s="178"/>
      <c r="B512" s="178"/>
      <c r="C512" s="178"/>
      <c r="D512" s="178"/>
      <c r="E512" s="178"/>
    </row>
    <row r="513">
      <c r="A513" s="178"/>
      <c r="B513" s="178"/>
      <c r="C513" s="178"/>
      <c r="D513" s="178"/>
      <c r="E513" s="178"/>
    </row>
    <row r="514">
      <c r="A514" s="178"/>
      <c r="B514" s="178"/>
      <c r="C514" s="178"/>
      <c r="D514" s="178"/>
      <c r="E514" s="178"/>
    </row>
    <row r="515">
      <c r="A515" s="178"/>
      <c r="B515" s="178"/>
      <c r="C515" s="178"/>
      <c r="D515" s="178"/>
      <c r="E515" s="178"/>
    </row>
    <row r="516">
      <c r="A516" s="178"/>
      <c r="B516" s="178"/>
      <c r="C516" s="178"/>
      <c r="D516" s="178"/>
      <c r="E516" s="178"/>
    </row>
    <row r="517">
      <c r="A517" s="178"/>
      <c r="B517" s="178"/>
      <c r="C517" s="178"/>
      <c r="D517" s="178"/>
      <c r="E517" s="178"/>
    </row>
    <row r="518">
      <c r="A518" s="178"/>
      <c r="B518" s="178"/>
      <c r="C518" s="178"/>
      <c r="D518" s="178"/>
      <c r="E518" s="178"/>
    </row>
    <row r="519">
      <c r="A519" s="178"/>
      <c r="B519" s="178"/>
      <c r="C519" s="178"/>
      <c r="D519" s="178"/>
      <c r="E519" s="178"/>
    </row>
    <row r="520">
      <c r="A520" s="178"/>
      <c r="B520" s="178"/>
      <c r="C520" s="178"/>
      <c r="D520" s="178"/>
      <c r="E520" s="178"/>
    </row>
    <row r="521">
      <c r="A521" s="178"/>
      <c r="B521" s="178"/>
      <c r="C521" s="178"/>
      <c r="D521" s="178"/>
      <c r="E521" s="178"/>
    </row>
    <row r="522">
      <c r="A522" s="178"/>
      <c r="B522" s="178"/>
      <c r="C522" s="178"/>
      <c r="D522" s="178"/>
      <c r="E522" s="178"/>
    </row>
    <row r="523">
      <c r="A523" s="178"/>
      <c r="B523" s="178"/>
      <c r="C523" s="178"/>
      <c r="D523" s="178"/>
      <c r="E523" s="178"/>
    </row>
    <row r="524">
      <c r="A524" s="178"/>
      <c r="B524" s="178"/>
      <c r="C524" s="178"/>
      <c r="D524" s="178"/>
      <c r="E524" s="178"/>
    </row>
    <row r="525">
      <c r="A525" s="178"/>
      <c r="B525" s="178"/>
      <c r="C525" s="178"/>
      <c r="D525" s="178"/>
      <c r="E525" s="178"/>
    </row>
    <row r="526">
      <c r="A526" s="178"/>
      <c r="B526" s="178"/>
      <c r="C526" s="178"/>
      <c r="D526" s="178"/>
      <c r="E526" s="178"/>
    </row>
    <row r="527">
      <c r="A527" s="178"/>
      <c r="B527" s="178"/>
      <c r="C527" s="178"/>
      <c r="D527" s="178"/>
      <c r="E527" s="178"/>
    </row>
    <row r="528">
      <c r="A528" s="178"/>
      <c r="B528" s="178"/>
      <c r="C528" s="178"/>
      <c r="D528" s="178"/>
      <c r="E528" s="178"/>
    </row>
    <row r="529">
      <c r="A529" s="178"/>
      <c r="B529" s="178"/>
      <c r="C529" s="178"/>
      <c r="D529" s="178"/>
      <c r="E529" s="178"/>
    </row>
    <row r="530">
      <c r="A530" s="178"/>
      <c r="B530" s="178"/>
      <c r="C530" s="178"/>
      <c r="D530" s="178"/>
      <c r="E530" s="178"/>
    </row>
    <row r="531">
      <c r="A531" s="178"/>
      <c r="B531" s="178"/>
      <c r="C531" s="178"/>
      <c r="D531" s="178"/>
      <c r="E531" s="178"/>
    </row>
    <row r="532">
      <c r="A532" s="178"/>
      <c r="B532" s="178"/>
      <c r="C532" s="178"/>
      <c r="D532" s="178"/>
      <c r="E532" s="178"/>
    </row>
    <row r="533">
      <c r="A533" s="178"/>
      <c r="B533" s="178"/>
      <c r="C533" s="178"/>
      <c r="D533" s="178"/>
      <c r="E533" s="178"/>
    </row>
    <row r="534">
      <c r="A534" s="178"/>
      <c r="B534" s="178"/>
      <c r="C534" s="178"/>
      <c r="D534" s="178"/>
      <c r="E534" s="178"/>
    </row>
    <row r="535">
      <c r="A535" s="178"/>
      <c r="B535" s="178"/>
      <c r="C535" s="178"/>
      <c r="D535" s="178"/>
      <c r="E535" s="178"/>
    </row>
    <row r="536">
      <c r="A536" s="178"/>
      <c r="B536" s="178"/>
      <c r="C536" s="178"/>
      <c r="D536" s="178"/>
      <c r="E536" s="178"/>
    </row>
    <row r="537">
      <c r="A537" s="178"/>
      <c r="B537" s="178"/>
      <c r="C537" s="178"/>
      <c r="D537" s="178"/>
      <c r="E537" s="178"/>
    </row>
    <row r="538">
      <c r="A538" s="178"/>
      <c r="B538" s="178"/>
      <c r="C538" s="178"/>
      <c r="D538" s="178"/>
      <c r="E538" s="178"/>
    </row>
    <row r="539">
      <c r="A539" s="178"/>
      <c r="B539" s="178"/>
      <c r="C539" s="178"/>
      <c r="D539" s="178"/>
      <c r="E539" s="178"/>
    </row>
    <row r="540">
      <c r="A540" s="178"/>
      <c r="B540" s="178"/>
      <c r="C540" s="178"/>
      <c r="D540" s="178"/>
      <c r="E540" s="178"/>
    </row>
    <row r="541">
      <c r="A541" s="178"/>
      <c r="B541" s="178"/>
      <c r="C541" s="178"/>
      <c r="D541" s="178"/>
      <c r="E541" s="178"/>
    </row>
    <row r="542">
      <c r="A542" s="178"/>
      <c r="B542" s="178"/>
      <c r="C542" s="178"/>
      <c r="D542" s="178"/>
      <c r="E542" s="178"/>
    </row>
    <row r="543">
      <c r="A543" s="178"/>
      <c r="B543" s="178"/>
      <c r="C543" s="178"/>
      <c r="D543" s="178"/>
      <c r="E543" s="178"/>
    </row>
    <row r="544">
      <c r="A544" s="178"/>
      <c r="B544" s="178"/>
      <c r="C544" s="178"/>
      <c r="D544" s="178"/>
      <c r="E544" s="178"/>
    </row>
    <row r="545">
      <c r="A545" s="178"/>
      <c r="B545" s="178"/>
      <c r="C545" s="178"/>
      <c r="D545" s="178"/>
      <c r="E545" s="178"/>
    </row>
    <row r="546">
      <c r="A546" s="178"/>
      <c r="B546" s="178"/>
      <c r="C546" s="178"/>
      <c r="D546" s="178"/>
      <c r="E546" s="178"/>
    </row>
    <row r="547">
      <c r="A547" s="178"/>
      <c r="B547" s="178"/>
      <c r="C547" s="178"/>
      <c r="D547" s="178"/>
      <c r="E547" s="178"/>
    </row>
    <row r="548">
      <c r="A548" s="178"/>
      <c r="B548" s="178"/>
      <c r="C548" s="178"/>
      <c r="D548" s="178"/>
      <c r="E548" s="178"/>
    </row>
    <row r="549">
      <c r="A549" s="178"/>
      <c r="B549" s="178"/>
      <c r="C549" s="178"/>
      <c r="D549" s="178"/>
      <c r="E549" s="178"/>
    </row>
    <row r="550">
      <c r="A550" s="178"/>
      <c r="B550" s="178"/>
      <c r="C550" s="178"/>
      <c r="D550" s="178"/>
      <c r="E550" s="178"/>
    </row>
    <row r="551">
      <c r="A551" s="178"/>
      <c r="B551" s="178"/>
      <c r="C551" s="178"/>
      <c r="D551" s="178"/>
      <c r="E551" s="178"/>
    </row>
    <row r="552">
      <c r="A552" s="178"/>
      <c r="B552" s="178"/>
      <c r="C552" s="178"/>
      <c r="D552" s="178"/>
      <c r="E552" s="178"/>
    </row>
    <row r="553">
      <c r="A553" s="178"/>
      <c r="B553" s="178"/>
      <c r="C553" s="178"/>
      <c r="D553" s="178"/>
      <c r="E553" s="178"/>
    </row>
    <row r="554">
      <c r="A554" s="178"/>
      <c r="B554" s="178"/>
      <c r="C554" s="178"/>
      <c r="D554" s="178"/>
      <c r="E554" s="178"/>
    </row>
    <row r="555">
      <c r="A555" s="178"/>
      <c r="B555" s="178"/>
      <c r="C555" s="178"/>
      <c r="D555" s="178"/>
      <c r="E555" s="178"/>
    </row>
    <row r="556">
      <c r="A556" s="178"/>
      <c r="B556" s="178"/>
      <c r="C556" s="178"/>
      <c r="D556" s="178"/>
      <c r="E556" s="178"/>
    </row>
    <row r="557">
      <c r="A557" s="178"/>
      <c r="B557" s="178"/>
      <c r="C557" s="178"/>
      <c r="D557" s="178"/>
      <c r="E557" s="178"/>
    </row>
    <row r="558">
      <c r="A558" s="178"/>
      <c r="B558" s="178"/>
      <c r="C558" s="178"/>
      <c r="D558" s="178"/>
      <c r="E558" s="178"/>
    </row>
    <row r="559">
      <c r="A559" s="178"/>
      <c r="B559" s="178"/>
      <c r="C559" s="178"/>
      <c r="D559" s="178"/>
      <c r="E559" s="178"/>
    </row>
    <row r="560">
      <c r="A560" s="178"/>
      <c r="B560" s="178"/>
      <c r="C560" s="178"/>
      <c r="D560" s="178"/>
      <c r="E560" s="178"/>
    </row>
    <row r="561">
      <c r="A561" s="178"/>
      <c r="B561" s="178"/>
      <c r="C561" s="178"/>
      <c r="D561" s="178"/>
      <c r="E561" s="178"/>
    </row>
    <row r="562">
      <c r="A562" s="178"/>
      <c r="B562" s="178"/>
      <c r="C562" s="178"/>
      <c r="D562" s="178"/>
      <c r="E562" s="178"/>
    </row>
    <row r="563">
      <c r="A563" s="178"/>
      <c r="B563" s="178"/>
      <c r="C563" s="178"/>
      <c r="D563" s="178"/>
      <c r="E563" s="178"/>
    </row>
    <row r="564">
      <c r="A564" s="178"/>
      <c r="B564" s="178"/>
      <c r="C564" s="178"/>
      <c r="D564" s="178"/>
      <c r="E564" s="178"/>
    </row>
    <row r="565">
      <c r="A565" s="178"/>
      <c r="B565" s="178"/>
      <c r="C565" s="178"/>
      <c r="D565" s="178"/>
      <c r="E565" s="178"/>
    </row>
    <row r="566">
      <c r="A566" s="178"/>
      <c r="B566" s="178"/>
      <c r="C566" s="178"/>
      <c r="D566" s="178"/>
      <c r="E566" s="178"/>
    </row>
    <row r="567">
      <c r="A567" s="178"/>
      <c r="B567" s="178"/>
      <c r="C567" s="178"/>
      <c r="D567" s="178"/>
      <c r="E567" s="178"/>
    </row>
    <row r="568">
      <c r="A568" s="178"/>
      <c r="B568" s="178"/>
      <c r="C568" s="178"/>
      <c r="D568" s="178"/>
      <c r="E568" s="178"/>
    </row>
    <row r="569">
      <c r="A569" s="178"/>
      <c r="B569" s="178"/>
      <c r="C569" s="178"/>
      <c r="D569" s="178"/>
      <c r="E569" s="178"/>
    </row>
    <row r="570">
      <c r="A570" s="178"/>
      <c r="B570" s="178"/>
      <c r="C570" s="178"/>
      <c r="D570" s="178"/>
      <c r="E570" s="178"/>
    </row>
    <row r="571">
      <c r="A571" s="178"/>
      <c r="B571" s="178"/>
      <c r="C571" s="178"/>
      <c r="D571" s="178"/>
      <c r="E571" s="178"/>
    </row>
    <row r="572">
      <c r="A572" s="178"/>
      <c r="B572" s="178"/>
      <c r="C572" s="178"/>
      <c r="D572" s="178"/>
      <c r="E572" s="178"/>
    </row>
    <row r="573">
      <c r="A573" s="178"/>
      <c r="B573" s="178"/>
      <c r="C573" s="178"/>
      <c r="D573" s="178"/>
      <c r="E573" s="178"/>
    </row>
    <row r="574">
      <c r="A574" s="178"/>
      <c r="B574" s="178"/>
      <c r="C574" s="178"/>
      <c r="D574" s="178"/>
      <c r="E574" s="178"/>
    </row>
    <row r="575">
      <c r="A575" s="178"/>
      <c r="B575" s="178"/>
      <c r="C575" s="178"/>
      <c r="D575" s="178"/>
      <c r="E575" s="178"/>
    </row>
    <row r="576">
      <c r="A576" s="178"/>
      <c r="B576" s="178"/>
      <c r="C576" s="178"/>
      <c r="D576" s="178"/>
      <c r="E576" s="178"/>
    </row>
    <row r="577">
      <c r="A577" s="178"/>
      <c r="B577" s="178"/>
      <c r="C577" s="178"/>
      <c r="D577" s="178"/>
      <c r="E577" s="178"/>
    </row>
    <row r="578">
      <c r="A578" s="178"/>
      <c r="B578" s="178"/>
      <c r="C578" s="178"/>
      <c r="D578" s="178"/>
      <c r="E578" s="178"/>
    </row>
    <row r="579">
      <c r="A579" s="178"/>
      <c r="B579" s="178"/>
      <c r="C579" s="178"/>
      <c r="D579" s="178"/>
      <c r="E579" s="178"/>
    </row>
    <row r="580">
      <c r="A580" s="178"/>
      <c r="B580" s="178"/>
      <c r="C580" s="178"/>
      <c r="D580" s="178"/>
      <c r="E580" s="178"/>
    </row>
    <row r="581">
      <c r="A581" s="178"/>
      <c r="B581" s="178"/>
      <c r="C581" s="178"/>
      <c r="D581" s="178"/>
      <c r="E581" s="178"/>
    </row>
    <row r="582">
      <c r="A582" s="178"/>
      <c r="B582" s="178"/>
      <c r="C582" s="178"/>
      <c r="D582" s="178"/>
      <c r="E582" s="178"/>
    </row>
    <row r="583">
      <c r="A583" s="178"/>
      <c r="B583" s="178"/>
      <c r="C583" s="178"/>
      <c r="D583" s="178"/>
      <c r="E583" s="178"/>
    </row>
    <row r="584">
      <c r="A584" s="178"/>
      <c r="B584" s="178"/>
      <c r="C584" s="178"/>
      <c r="D584" s="178"/>
      <c r="E584" s="178"/>
    </row>
    <row r="585">
      <c r="A585" s="178"/>
      <c r="B585" s="178"/>
      <c r="C585" s="178"/>
      <c r="D585" s="178"/>
      <c r="E585" s="178"/>
    </row>
    <row r="586">
      <c r="A586" s="178"/>
      <c r="B586" s="178"/>
      <c r="C586" s="178"/>
      <c r="D586" s="178"/>
      <c r="E586" s="178"/>
    </row>
    <row r="587">
      <c r="A587" s="178"/>
      <c r="B587" s="178"/>
      <c r="C587" s="178"/>
      <c r="D587" s="178"/>
      <c r="E587" s="178"/>
    </row>
    <row r="588">
      <c r="A588" s="178"/>
      <c r="B588" s="178"/>
      <c r="C588" s="178"/>
      <c r="D588" s="178"/>
      <c r="E588" s="178"/>
    </row>
    <row r="589">
      <c r="A589" s="178"/>
      <c r="B589" s="178"/>
      <c r="C589" s="178"/>
      <c r="D589" s="178"/>
      <c r="E589" s="178"/>
    </row>
    <row r="590">
      <c r="A590" s="178"/>
      <c r="B590" s="178"/>
      <c r="C590" s="178"/>
      <c r="D590" s="178"/>
      <c r="E590" s="178"/>
    </row>
    <row r="591">
      <c r="A591" s="178"/>
      <c r="B591" s="178"/>
      <c r="C591" s="178"/>
      <c r="D591" s="178"/>
      <c r="E591" s="178"/>
    </row>
    <row r="592">
      <c r="A592" s="178"/>
      <c r="B592" s="178"/>
      <c r="C592" s="178"/>
      <c r="D592" s="178"/>
      <c r="E592" s="178"/>
    </row>
    <row r="593">
      <c r="A593" s="178"/>
      <c r="B593" s="178"/>
      <c r="C593" s="178"/>
      <c r="D593" s="178"/>
      <c r="E593" s="178"/>
    </row>
    <row r="594">
      <c r="A594" s="178"/>
      <c r="B594" s="178"/>
      <c r="C594" s="178"/>
      <c r="D594" s="178"/>
      <c r="E594" s="178"/>
    </row>
    <row r="595">
      <c r="A595" s="178"/>
      <c r="B595" s="178"/>
      <c r="C595" s="178"/>
      <c r="D595" s="178"/>
      <c r="E595" s="178"/>
    </row>
    <row r="596">
      <c r="A596" s="178"/>
      <c r="B596" s="178"/>
      <c r="C596" s="178"/>
      <c r="D596" s="178"/>
      <c r="E596" s="178"/>
    </row>
    <row r="597">
      <c r="A597" s="178"/>
      <c r="B597" s="178"/>
      <c r="C597" s="178"/>
      <c r="D597" s="178"/>
      <c r="E597" s="178"/>
    </row>
    <row r="598">
      <c r="A598" s="178"/>
      <c r="B598" s="178"/>
      <c r="C598" s="178"/>
      <c r="D598" s="178"/>
      <c r="E598" s="178"/>
    </row>
    <row r="599">
      <c r="A599" s="178"/>
      <c r="B599" s="178"/>
      <c r="C599" s="178"/>
      <c r="D599" s="178"/>
      <c r="E599" s="178"/>
    </row>
    <row r="600">
      <c r="A600" s="178"/>
      <c r="B600" s="178"/>
      <c r="C600" s="178"/>
      <c r="D600" s="178"/>
      <c r="E600" s="178"/>
    </row>
    <row r="601">
      <c r="A601" s="178"/>
      <c r="B601" s="178"/>
      <c r="C601" s="178"/>
      <c r="D601" s="178"/>
      <c r="E601" s="178"/>
    </row>
    <row r="602">
      <c r="A602" s="178"/>
      <c r="B602" s="178"/>
      <c r="C602" s="178"/>
      <c r="D602" s="178"/>
      <c r="E602" s="178"/>
    </row>
    <row r="603">
      <c r="A603" s="178"/>
      <c r="B603" s="178"/>
      <c r="C603" s="178"/>
      <c r="D603" s="178"/>
      <c r="E603" s="178"/>
    </row>
    <row r="604">
      <c r="A604" s="178"/>
      <c r="B604" s="178"/>
      <c r="C604" s="178"/>
      <c r="D604" s="178"/>
      <c r="E604" s="178"/>
    </row>
    <row r="605">
      <c r="A605" s="178"/>
      <c r="B605" s="178"/>
      <c r="C605" s="178"/>
      <c r="D605" s="178"/>
      <c r="E605" s="178"/>
    </row>
    <row r="606">
      <c r="A606" s="178"/>
      <c r="B606" s="178"/>
      <c r="C606" s="178"/>
      <c r="D606" s="178"/>
      <c r="E606" s="178"/>
    </row>
    <row r="607">
      <c r="A607" s="178"/>
      <c r="B607" s="178"/>
      <c r="C607" s="178"/>
      <c r="D607" s="178"/>
      <c r="E607" s="178"/>
    </row>
    <row r="608">
      <c r="A608" s="178"/>
      <c r="B608" s="178"/>
      <c r="C608" s="178"/>
      <c r="D608" s="178"/>
      <c r="E608" s="178"/>
    </row>
    <row r="609">
      <c r="A609" s="178"/>
      <c r="B609" s="178"/>
      <c r="C609" s="178"/>
      <c r="D609" s="178"/>
      <c r="E609" s="178"/>
    </row>
    <row r="610">
      <c r="A610" s="178"/>
      <c r="B610" s="178"/>
      <c r="C610" s="178"/>
      <c r="D610" s="178"/>
      <c r="E610" s="178"/>
    </row>
    <row r="611">
      <c r="A611" s="178"/>
      <c r="B611" s="178"/>
      <c r="C611" s="178"/>
      <c r="D611" s="178"/>
      <c r="E611" s="178"/>
    </row>
    <row r="612">
      <c r="A612" s="178"/>
      <c r="B612" s="178"/>
      <c r="C612" s="178"/>
      <c r="D612" s="178"/>
      <c r="E612" s="178"/>
    </row>
    <row r="613">
      <c r="A613" s="178"/>
      <c r="B613" s="178"/>
      <c r="C613" s="178"/>
      <c r="D613" s="178"/>
      <c r="E613" s="178"/>
    </row>
    <row r="614">
      <c r="A614" s="178"/>
      <c r="B614" s="178"/>
      <c r="C614" s="178"/>
      <c r="D614" s="178"/>
      <c r="E614" s="178"/>
    </row>
    <row r="615">
      <c r="A615" s="178"/>
      <c r="B615" s="178"/>
      <c r="C615" s="178"/>
      <c r="D615" s="178"/>
      <c r="E615" s="178"/>
    </row>
    <row r="616">
      <c r="A616" s="178"/>
      <c r="B616" s="178"/>
      <c r="C616" s="178"/>
      <c r="D616" s="178"/>
      <c r="E616" s="178"/>
    </row>
    <row r="617">
      <c r="A617" s="178"/>
      <c r="B617" s="178"/>
      <c r="C617" s="178"/>
      <c r="D617" s="178"/>
      <c r="E617" s="178"/>
    </row>
    <row r="618">
      <c r="A618" s="178"/>
      <c r="B618" s="178"/>
      <c r="C618" s="178"/>
      <c r="D618" s="178"/>
      <c r="E618" s="178"/>
    </row>
    <row r="619">
      <c r="A619" s="178"/>
      <c r="B619" s="178"/>
      <c r="C619" s="178"/>
      <c r="D619" s="178"/>
      <c r="E619" s="178"/>
    </row>
    <row r="620">
      <c r="A620" s="178"/>
      <c r="B620" s="178"/>
      <c r="C620" s="178"/>
      <c r="D620" s="178"/>
      <c r="E620" s="178"/>
    </row>
    <row r="621">
      <c r="A621" s="178"/>
      <c r="B621" s="178"/>
      <c r="C621" s="178"/>
      <c r="D621" s="178"/>
      <c r="E621" s="178"/>
    </row>
    <row r="622">
      <c r="A622" s="178"/>
      <c r="B622" s="178"/>
      <c r="C622" s="178"/>
      <c r="D622" s="178"/>
      <c r="E622" s="178"/>
    </row>
    <row r="623">
      <c r="A623" s="178"/>
      <c r="B623" s="178"/>
      <c r="C623" s="178"/>
      <c r="D623" s="178"/>
      <c r="E623" s="178"/>
    </row>
    <row r="624">
      <c r="A624" s="178"/>
      <c r="B624" s="178"/>
      <c r="C624" s="178"/>
      <c r="D624" s="178"/>
      <c r="E624" s="178"/>
    </row>
    <row r="625">
      <c r="A625" s="178"/>
      <c r="B625" s="178"/>
      <c r="C625" s="178"/>
      <c r="D625" s="178"/>
      <c r="E625" s="178"/>
    </row>
    <row r="626">
      <c r="A626" s="178"/>
      <c r="B626" s="178"/>
      <c r="C626" s="178"/>
      <c r="D626" s="178"/>
      <c r="E626" s="178"/>
    </row>
    <row r="627">
      <c r="A627" s="178"/>
      <c r="B627" s="178"/>
      <c r="C627" s="178"/>
      <c r="D627" s="178"/>
      <c r="E627" s="178"/>
    </row>
    <row r="628">
      <c r="A628" s="178"/>
      <c r="B628" s="178"/>
      <c r="C628" s="178"/>
      <c r="D628" s="178"/>
      <c r="E628" s="178"/>
    </row>
    <row r="629">
      <c r="A629" s="178"/>
      <c r="B629" s="178"/>
      <c r="C629" s="178"/>
      <c r="D629" s="178"/>
      <c r="E629" s="178"/>
    </row>
    <row r="630">
      <c r="A630" s="178"/>
      <c r="B630" s="178"/>
      <c r="C630" s="178"/>
      <c r="D630" s="178"/>
      <c r="E630" s="178"/>
    </row>
    <row r="631">
      <c r="A631" s="178"/>
      <c r="B631" s="178"/>
      <c r="C631" s="178"/>
      <c r="D631" s="178"/>
      <c r="E631" s="178"/>
    </row>
    <row r="632">
      <c r="A632" s="178"/>
      <c r="B632" s="178"/>
      <c r="C632" s="178"/>
      <c r="D632" s="178"/>
      <c r="E632" s="178"/>
    </row>
    <row r="633">
      <c r="A633" s="178"/>
      <c r="B633" s="178"/>
      <c r="C633" s="178"/>
      <c r="D633" s="178"/>
      <c r="E633" s="178"/>
    </row>
    <row r="634">
      <c r="A634" s="178"/>
      <c r="B634" s="178"/>
      <c r="C634" s="178"/>
      <c r="D634" s="178"/>
      <c r="E634" s="178"/>
    </row>
    <row r="635">
      <c r="A635" s="178"/>
      <c r="B635" s="178"/>
      <c r="C635" s="178"/>
      <c r="D635" s="178"/>
      <c r="E635" s="178"/>
    </row>
    <row r="636">
      <c r="A636" s="178"/>
      <c r="B636" s="178"/>
      <c r="C636" s="178"/>
      <c r="D636" s="178"/>
      <c r="E636" s="178"/>
    </row>
    <row r="637">
      <c r="A637" s="178"/>
      <c r="B637" s="178"/>
      <c r="C637" s="178"/>
      <c r="D637" s="178"/>
      <c r="E637" s="178"/>
    </row>
    <row r="638">
      <c r="A638" s="178"/>
      <c r="B638" s="178"/>
      <c r="C638" s="178"/>
      <c r="D638" s="178"/>
      <c r="E638" s="178"/>
    </row>
    <row r="639">
      <c r="A639" s="178"/>
      <c r="B639" s="178"/>
      <c r="C639" s="178"/>
      <c r="D639" s="178"/>
      <c r="E639" s="178"/>
    </row>
    <row r="640">
      <c r="A640" s="178"/>
      <c r="B640" s="178"/>
      <c r="C640" s="178"/>
      <c r="D640" s="178"/>
      <c r="E640" s="178"/>
    </row>
    <row r="641">
      <c r="A641" s="178"/>
      <c r="B641" s="178"/>
      <c r="C641" s="178"/>
      <c r="D641" s="178"/>
      <c r="E641" s="178"/>
    </row>
    <row r="642">
      <c r="A642" s="178"/>
      <c r="B642" s="178"/>
      <c r="C642" s="178"/>
      <c r="D642" s="178"/>
      <c r="E642" s="178"/>
    </row>
    <row r="643">
      <c r="A643" s="178"/>
      <c r="B643" s="178"/>
      <c r="C643" s="178"/>
      <c r="D643" s="178"/>
      <c r="E643" s="178"/>
    </row>
    <row r="644">
      <c r="A644" s="178"/>
      <c r="B644" s="178"/>
      <c r="C644" s="178"/>
      <c r="D644" s="178"/>
      <c r="E644" s="178"/>
    </row>
    <row r="645">
      <c r="A645" s="178"/>
      <c r="B645" s="178"/>
      <c r="C645" s="178"/>
      <c r="D645" s="178"/>
      <c r="E645" s="178"/>
    </row>
    <row r="646">
      <c r="A646" s="178"/>
      <c r="B646" s="178"/>
      <c r="C646" s="178"/>
      <c r="D646" s="178"/>
      <c r="E646" s="178"/>
    </row>
    <row r="647">
      <c r="A647" s="178"/>
      <c r="B647" s="178"/>
      <c r="C647" s="178"/>
      <c r="D647" s="178"/>
      <c r="E647" s="178"/>
    </row>
    <row r="648">
      <c r="A648" s="178"/>
      <c r="B648" s="178"/>
      <c r="C648" s="178"/>
      <c r="D648" s="178"/>
      <c r="E648" s="178"/>
    </row>
    <row r="649">
      <c r="A649" s="178"/>
      <c r="B649" s="178"/>
      <c r="C649" s="178"/>
      <c r="D649" s="178"/>
      <c r="E649" s="178"/>
    </row>
    <row r="650">
      <c r="A650" s="178"/>
      <c r="B650" s="178"/>
      <c r="C650" s="178"/>
      <c r="D650" s="178"/>
      <c r="E650" s="178"/>
    </row>
    <row r="651">
      <c r="A651" s="178"/>
      <c r="B651" s="178"/>
      <c r="C651" s="178"/>
      <c r="D651" s="178"/>
      <c r="E651" s="178"/>
    </row>
    <row r="652">
      <c r="A652" s="178"/>
      <c r="B652" s="178"/>
      <c r="C652" s="178"/>
      <c r="D652" s="178"/>
      <c r="E652" s="178"/>
    </row>
    <row r="653">
      <c r="A653" s="178"/>
      <c r="B653" s="178"/>
      <c r="C653" s="178"/>
      <c r="D653" s="178"/>
      <c r="E653" s="178"/>
    </row>
    <row r="654">
      <c r="A654" s="178"/>
      <c r="B654" s="178"/>
      <c r="C654" s="178"/>
      <c r="D654" s="178"/>
      <c r="E654" s="178"/>
    </row>
    <row r="655">
      <c r="A655" s="178"/>
      <c r="B655" s="178"/>
      <c r="C655" s="178"/>
      <c r="D655" s="178"/>
      <c r="E655" s="178"/>
    </row>
    <row r="656">
      <c r="A656" s="178"/>
      <c r="B656" s="178"/>
      <c r="C656" s="178"/>
      <c r="D656" s="178"/>
      <c r="E656" s="178"/>
    </row>
    <row r="657">
      <c r="A657" s="178"/>
      <c r="B657" s="178"/>
      <c r="C657" s="178"/>
      <c r="D657" s="178"/>
      <c r="E657" s="178"/>
    </row>
    <row r="658">
      <c r="A658" s="178"/>
      <c r="B658" s="178"/>
      <c r="C658" s="178"/>
      <c r="D658" s="178"/>
      <c r="E658" s="178"/>
    </row>
    <row r="659">
      <c r="A659" s="178"/>
      <c r="B659" s="178"/>
      <c r="C659" s="178"/>
      <c r="D659" s="178"/>
      <c r="E659" s="178"/>
    </row>
    <row r="660">
      <c r="A660" s="178"/>
      <c r="B660" s="178"/>
      <c r="C660" s="178"/>
      <c r="D660" s="178"/>
      <c r="E660" s="178"/>
    </row>
    <row r="661">
      <c r="A661" s="178"/>
      <c r="B661" s="178"/>
      <c r="C661" s="178"/>
      <c r="D661" s="178"/>
      <c r="E661" s="178"/>
    </row>
    <row r="662">
      <c r="A662" s="178"/>
      <c r="B662" s="178"/>
      <c r="C662" s="178"/>
      <c r="D662" s="178"/>
      <c r="E662" s="178"/>
    </row>
    <row r="663">
      <c r="A663" s="178"/>
      <c r="B663" s="178"/>
      <c r="C663" s="178"/>
      <c r="D663" s="178"/>
      <c r="E663" s="178"/>
    </row>
    <row r="664">
      <c r="A664" s="178"/>
      <c r="B664" s="178"/>
      <c r="C664" s="178"/>
      <c r="D664" s="178"/>
      <c r="E664" s="178"/>
    </row>
    <row r="665">
      <c r="A665" s="178"/>
      <c r="B665" s="178"/>
      <c r="C665" s="178"/>
      <c r="D665" s="178"/>
      <c r="E665" s="178"/>
    </row>
    <row r="666">
      <c r="A666" s="178"/>
      <c r="B666" s="178"/>
      <c r="C666" s="178"/>
      <c r="D666" s="178"/>
      <c r="E666" s="178"/>
    </row>
    <row r="667">
      <c r="A667" s="178"/>
      <c r="B667" s="178"/>
      <c r="C667" s="178"/>
      <c r="D667" s="178"/>
      <c r="E667" s="178"/>
    </row>
    <row r="668">
      <c r="A668" s="178"/>
      <c r="B668" s="178"/>
      <c r="C668" s="178"/>
      <c r="D668" s="178"/>
      <c r="E668" s="178"/>
    </row>
    <row r="669">
      <c r="A669" s="178"/>
      <c r="B669" s="178"/>
      <c r="C669" s="178"/>
      <c r="D669" s="178"/>
      <c r="E669" s="178"/>
    </row>
    <row r="670">
      <c r="A670" s="178"/>
      <c r="B670" s="178"/>
      <c r="C670" s="178"/>
      <c r="D670" s="178"/>
      <c r="E670" s="178"/>
    </row>
    <row r="671">
      <c r="A671" s="178"/>
      <c r="B671" s="178"/>
      <c r="C671" s="178"/>
      <c r="D671" s="178"/>
      <c r="E671" s="178"/>
    </row>
    <row r="672">
      <c r="A672" s="178"/>
      <c r="B672" s="178"/>
      <c r="C672" s="178"/>
      <c r="D672" s="178"/>
      <c r="E672" s="178"/>
    </row>
    <row r="673">
      <c r="A673" s="178"/>
      <c r="B673" s="178"/>
      <c r="C673" s="178"/>
      <c r="D673" s="178"/>
      <c r="E673" s="178"/>
    </row>
    <row r="674">
      <c r="A674" s="178"/>
      <c r="B674" s="178"/>
      <c r="C674" s="178"/>
      <c r="D674" s="178"/>
      <c r="E674" s="178"/>
    </row>
    <row r="675">
      <c r="A675" s="178"/>
      <c r="B675" s="178"/>
      <c r="C675" s="178"/>
      <c r="D675" s="178"/>
      <c r="E675" s="178"/>
    </row>
    <row r="676">
      <c r="A676" s="178"/>
      <c r="B676" s="178"/>
      <c r="C676" s="178"/>
      <c r="D676" s="178"/>
      <c r="E676" s="178"/>
    </row>
    <row r="677">
      <c r="A677" s="178"/>
      <c r="B677" s="178"/>
      <c r="C677" s="178"/>
      <c r="D677" s="178"/>
      <c r="E677" s="178"/>
    </row>
    <row r="678">
      <c r="A678" s="178"/>
      <c r="B678" s="178"/>
      <c r="C678" s="178"/>
      <c r="D678" s="178"/>
      <c r="E678" s="178"/>
    </row>
    <row r="679">
      <c r="A679" s="178"/>
      <c r="B679" s="178"/>
      <c r="C679" s="178"/>
      <c r="D679" s="178"/>
      <c r="E679" s="178"/>
    </row>
    <row r="680">
      <c r="A680" s="178"/>
      <c r="B680" s="178"/>
      <c r="C680" s="178"/>
      <c r="D680" s="178"/>
      <c r="E680" s="178"/>
    </row>
    <row r="681">
      <c r="A681" s="178"/>
      <c r="B681" s="178"/>
      <c r="C681" s="178"/>
      <c r="D681" s="178"/>
      <c r="E681" s="178"/>
    </row>
    <row r="682">
      <c r="A682" s="178"/>
      <c r="B682" s="178"/>
      <c r="C682" s="178"/>
      <c r="D682" s="178"/>
      <c r="E682" s="178"/>
    </row>
    <row r="683">
      <c r="A683" s="178"/>
      <c r="B683" s="178"/>
      <c r="C683" s="178"/>
      <c r="D683" s="178"/>
      <c r="E683" s="178"/>
    </row>
    <row r="684">
      <c r="A684" s="178"/>
      <c r="B684" s="178"/>
      <c r="C684" s="178"/>
      <c r="D684" s="178"/>
      <c r="E684" s="178"/>
    </row>
    <row r="685">
      <c r="A685" s="178"/>
      <c r="B685" s="178"/>
      <c r="C685" s="178"/>
      <c r="D685" s="178"/>
      <c r="E685" s="178"/>
    </row>
    <row r="686">
      <c r="A686" s="178"/>
      <c r="B686" s="178"/>
      <c r="C686" s="178"/>
      <c r="D686" s="178"/>
      <c r="E686" s="178"/>
    </row>
    <row r="687">
      <c r="A687" s="178"/>
      <c r="B687" s="178"/>
      <c r="C687" s="178"/>
      <c r="D687" s="178"/>
      <c r="E687" s="178"/>
    </row>
    <row r="688">
      <c r="A688" s="178"/>
      <c r="B688" s="178"/>
      <c r="C688" s="178"/>
      <c r="D688" s="178"/>
      <c r="E688" s="178"/>
    </row>
    <row r="689">
      <c r="A689" s="178"/>
      <c r="B689" s="178"/>
      <c r="C689" s="178"/>
      <c r="D689" s="178"/>
      <c r="E689" s="178"/>
    </row>
    <row r="690">
      <c r="A690" s="178"/>
      <c r="B690" s="178"/>
      <c r="C690" s="178"/>
      <c r="D690" s="178"/>
      <c r="E690" s="178"/>
    </row>
    <row r="691">
      <c r="A691" s="178"/>
      <c r="B691" s="178"/>
      <c r="C691" s="178"/>
      <c r="D691" s="178"/>
      <c r="E691" s="178"/>
    </row>
    <row r="692">
      <c r="A692" s="178"/>
      <c r="B692" s="178"/>
      <c r="C692" s="178"/>
      <c r="D692" s="178"/>
      <c r="E692" s="178"/>
    </row>
    <row r="693">
      <c r="A693" s="178"/>
      <c r="B693" s="178"/>
      <c r="C693" s="178"/>
      <c r="D693" s="178"/>
      <c r="E693" s="178"/>
    </row>
    <row r="694">
      <c r="A694" s="178"/>
      <c r="B694" s="178"/>
      <c r="C694" s="178"/>
      <c r="D694" s="178"/>
      <c r="E694" s="178"/>
    </row>
    <row r="695">
      <c r="A695" s="178"/>
      <c r="B695" s="178"/>
      <c r="C695" s="178"/>
      <c r="D695" s="178"/>
      <c r="E695" s="178"/>
    </row>
    <row r="696">
      <c r="A696" s="178"/>
      <c r="B696" s="178"/>
      <c r="C696" s="178"/>
      <c r="D696" s="178"/>
      <c r="E696" s="178"/>
    </row>
    <row r="697">
      <c r="A697" s="178"/>
      <c r="B697" s="178"/>
      <c r="C697" s="178"/>
      <c r="D697" s="178"/>
      <c r="E697" s="178"/>
    </row>
    <row r="698">
      <c r="A698" s="178"/>
      <c r="B698" s="178"/>
      <c r="C698" s="178"/>
      <c r="D698" s="178"/>
      <c r="E698" s="178"/>
    </row>
    <row r="699">
      <c r="A699" s="178"/>
      <c r="B699" s="178"/>
      <c r="C699" s="178"/>
      <c r="D699" s="178"/>
      <c r="E699" s="178"/>
    </row>
    <row r="700">
      <c r="A700" s="178"/>
      <c r="B700" s="178"/>
      <c r="C700" s="178"/>
      <c r="D700" s="178"/>
      <c r="E700" s="178"/>
    </row>
    <row r="701">
      <c r="A701" s="178"/>
      <c r="B701" s="178"/>
      <c r="C701" s="178"/>
      <c r="D701" s="178"/>
      <c r="E701" s="178"/>
    </row>
    <row r="702">
      <c r="A702" s="178"/>
      <c r="B702" s="178"/>
      <c r="C702" s="178"/>
      <c r="D702" s="178"/>
      <c r="E702" s="178"/>
    </row>
    <row r="703">
      <c r="A703" s="178"/>
      <c r="B703" s="178"/>
      <c r="C703" s="178"/>
      <c r="D703" s="178"/>
      <c r="E703" s="178"/>
    </row>
    <row r="704">
      <c r="A704" s="178"/>
      <c r="B704" s="178"/>
      <c r="C704" s="178"/>
      <c r="D704" s="178"/>
      <c r="E704" s="178"/>
    </row>
    <row r="705">
      <c r="A705" s="178"/>
      <c r="B705" s="178"/>
      <c r="C705" s="178"/>
      <c r="D705" s="178"/>
      <c r="E705" s="178"/>
    </row>
    <row r="706">
      <c r="A706" s="178"/>
      <c r="B706" s="178"/>
      <c r="C706" s="178"/>
      <c r="D706" s="178"/>
      <c r="E706" s="178"/>
    </row>
    <row r="707">
      <c r="A707" s="178"/>
      <c r="B707" s="178"/>
      <c r="C707" s="178"/>
      <c r="D707" s="178"/>
      <c r="E707" s="178"/>
    </row>
    <row r="708">
      <c r="A708" s="178"/>
      <c r="B708" s="178"/>
      <c r="C708" s="178"/>
      <c r="D708" s="178"/>
      <c r="E708" s="178"/>
    </row>
    <row r="709">
      <c r="A709" s="178"/>
      <c r="B709" s="178"/>
      <c r="C709" s="178"/>
      <c r="D709" s="178"/>
      <c r="E709" s="178"/>
    </row>
    <row r="710">
      <c r="A710" s="178"/>
      <c r="B710" s="178"/>
      <c r="C710" s="178"/>
      <c r="D710" s="178"/>
      <c r="E710" s="178"/>
    </row>
    <row r="711">
      <c r="A711" s="178"/>
      <c r="B711" s="178"/>
      <c r="C711" s="178"/>
      <c r="D711" s="178"/>
      <c r="E711" s="178"/>
    </row>
    <row r="712">
      <c r="A712" s="178"/>
      <c r="B712" s="178"/>
      <c r="C712" s="178"/>
      <c r="D712" s="178"/>
      <c r="E712" s="178"/>
    </row>
    <row r="713">
      <c r="A713" s="178"/>
      <c r="B713" s="178"/>
      <c r="C713" s="178"/>
      <c r="D713" s="178"/>
      <c r="E713" s="178"/>
    </row>
    <row r="714">
      <c r="A714" s="178"/>
      <c r="B714" s="178"/>
      <c r="C714" s="178"/>
      <c r="D714" s="178"/>
      <c r="E714" s="178"/>
    </row>
    <row r="715">
      <c r="A715" s="178"/>
      <c r="B715" s="178"/>
      <c r="C715" s="178"/>
      <c r="D715" s="178"/>
      <c r="E715" s="178"/>
    </row>
    <row r="716">
      <c r="A716" s="178"/>
      <c r="B716" s="178"/>
      <c r="C716" s="178"/>
      <c r="D716" s="178"/>
      <c r="E716" s="178"/>
    </row>
    <row r="717">
      <c r="A717" s="178"/>
      <c r="B717" s="178"/>
      <c r="C717" s="178"/>
      <c r="D717" s="178"/>
      <c r="E717" s="178"/>
    </row>
    <row r="718">
      <c r="A718" s="178"/>
      <c r="B718" s="178"/>
      <c r="C718" s="178"/>
      <c r="D718" s="178"/>
      <c r="E718" s="178"/>
    </row>
    <row r="719">
      <c r="A719" s="178"/>
      <c r="B719" s="178"/>
      <c r="C719" s="178"/>
      <c r="D719" s="178"/>
      <c r="E719" s="178"/>
    </row>
    <row r="720">
      <c r="A720" s="178"/>
      <c r="B720" s="178"/>
      <c r="C720" s="178"/>
      <c r="D720" s="178"/>
      <c r="E720" s="178"/>
    </row>
    <row r="721">
      <c r="A721" s="178"/>
      <c r="B721" s="178"/>
      <c r="C721" s="178"/>
      <c r="D721" s="178"/>
      <c r="E721" s="178"/>
    </row>
    <row r="722">
      <c r="A722" s="178"/>
      <c r="B722" s="178"/>
      <c r="C722" s="178"/>
      <c r="D722" s="178"/>
      <c r="E722" s="178"/>
    </row>
    <row r="723">
      <c r="A723" s="178"/>
      <c r="B723" s="178"/>
      <c r="C723" s="178"/>
      <c r="D723" s="178"/>
      <c r="E723" s="178"/>
    </row>
    <row r="724">
      <c r="A724" s="178"/>
      <c r="B724" s="178"/>
      <c r="C724" s="178"/>
      <c r="D724" s="178"/>
      <c r="E724" s="178"/>
    </row>
    <row r="725">
      <c r="A725" s="178"/>
      <c r="B725" s="178"/>
      <c r="C725" s="178"/>
      <c r="D725" s="178"/>
      <c r="E725" s="178"/>
    </row>
    <row r="726">
      <c r="A726" s="178"/>
      <c r="B726" s="178"/>
      <c r="C726" s="178"/>
      <c r="D726" s="178"/>
      <c r="E726" s="178"/>
    </row>
    <row r="727">
      <c r="A727" s="178"/>
      <c r="B727" s="178"/>
      <c r="C727" s="178"/>
      <c r="D727" s="178"/>
      <c r="E727" s="178"/>
    </row>
    <row r="728">
      <c r="A728" s="178"/>
      <c r="B728" s="178"/>
      <c r="C728" s="178"/>
      <c r="D728" s="178"/>
      <c r="E728" s="178"/>
    </row>
    <row r="729">
      <c r="A729" s="178"/>
      <c r="B729" s="178"/>
      <c r="C729" s="178"/>
      <c r="D729" s="178"/>
      <c r="E729" s="178"/>
    </row>
    <row r="730">
      <c r="A730" s="178"/>
      <c r="B730" s="178"/>
      <c r="C730" s="178"/>
      <c r="D730" s="178"/>
      <c r="E730" s="178"/>
    </row>
    <row r="731">
      <c r="A731" s="178"/>
      <c r="B731" s="178"/>
      <c r="C731" s="178"/>
      <c r="D731" s="178"/>
      <c r="E731" s="178"/>
    </row>
    <row r="732">
      <c r="A732" s="178"/>
      <c r="B732" s="178"/>
      <c r="C732" s="178"/>
      <c r="D732" s="178"/>
      <c r="E732" s="178"/>
    </row>
    <row r="733">
      <c r="A733" s="178"/>
      <c r="B733" s="178"/>
      <c r="C733" s="178"/>
      <c r="D733" s="178"/>
      <c r="E733" s="178"/>
    </row>
    <row r="734">
      <c r="A734" s="178"/>
      <c r="B734" s="178"/>
      <c r="C734" s="178"/>
      <c r="D734" s="178"/>
      <c r="E734" s="178"/>
    </row>
    <row r="735">
      <c r="A735" s="178"/>
      <c r="B735" s="178"/>
      <c r="C735" s="178"/>
      <c r="D735" s="178"/>
      <c r="E735" s="178"/>
    </row>
    <row r="736">
      <c r="A736" s="178"/>
      <c r="B736" s="178"/>
      <c r="C736" s="178"/>
      <c r="D736" s="178"/>
      <c r="E736" s="178"/>
    </row>
    <row r="737">
      <c r="A737" s="178"/>
      <c r="B737" s="178"/>
      <c r="C737" s="178"/>
      <c r="D737" s="178"/>
      <c r="E737" s="178"/>
    </row>
    <row r="738">
      <c r="A738" s="178"/>
      <c r="B738" s="178"/>
      <c r="C738" s="178"/>
      <c r="D738" s="178"/>
      <c r="E738" s="178"/>
    </row>
    <row r="739">
      <c r="A739" s="178"/>
      <c r="B739" s="178"/>
      <c r="C739" s="178"/>
      <c r="D739" s="178"/>
      <c r="E739" s="178"/>
    </row>
    <row r="740">
      <c r="A740" s="178"/>
      <c r="B740" s="178"/>
      <c r="C740" s="178"/>
      <c r="D740" s="178"/>
      <c r="E740" s="178"/>
    </row>
    <row r="741">
      <c r="A741" s="178"/>
      <c r="B741" s="178"/>
      <c r="C741" s="178"/>
      <c r="D741" s="178"/>
      <c r="E741" s="178"/>
    </row>
    <row r="742">
      <c r="A742" s="178"/>
      <c r="B742" s="178"/>
      <c r="C742" s="178"/>
      <c r="D742" s="178"/>
      <c r="E742" s="178"/>
    </row>
    <row r="743">
      <c r="A743" s="178"/>
      <c r="B743" s="178"/>
      <c r="C743" s="178"/>
      <c r="D743" s="178"/>
      <c r="E743" s="178"/>
    </row>
    <row r="744">
      <c r="A744" s="178"/>
      <c r="B744" s="178"/>
      <c r="C744" s="178"/>
      <c r="D744" s="178"/>
      <c r="E744" s="178"/>
    </row>
    <row r="745">
      <c r="A745" s="178"/>
      <c r="B745" s="178"/>
      <c r="C745" s="178"/>
      <c r="D745" s="178"/>
      <c r="E745" s="178"/>
    </row>
    <row r="746">
      <c r="A746" s="178"/>
      <c r="B746" s="178"/>
      <c r="C746" s="178"/>
      <c r="D746" s="178"/>
      <c r="E746" s="178"/>
    </row>
    <row r="747">
      <c r="A747" s="178"/>
      <c r="B747" s="178"/>
      <c r="C747" s="178"/>
      <c r="D747" s="178"/>
      <c r="E747" s="178"/>
    </row>
    <row r="748">
      <c r="A748" s="178"/>
      <c r="B748" s="178"/>
      <c r="C748" s="178"/>
      <c r="D748" s="178"/>
      <c r="E748" s="178"/>
    </row>
    <row r="749">
      <c r="A749" s="178"/>
      <c r="B749" s="178"/>
      <c r="C749" s="178"/>
      <c r="D749" s="178"/>
      <c r="E749" s="178"/>
    </row>
    <row r="750">
      <c r="A750" s="178"/>
      <c r="B750" s="178"/>
      <c r="C750" s="178"/>
      <c r="D750" s="178"/>
      <c r="E750" s="178"/>
    </row>
    <row r="751">
      <c r="A751" s="178"/>
      <c r="B751" s="178"/>
      <c r="C751" s="178"/>
      <c r="D751" s="178"/>
      <c r="E751" s="178"/>
    </row>
    <row r="752">
      <c r="A752" s="178"/>
      <c r="B752" s="178"/>
      <c r="C752" s="178"/>
      <c r="D752" s="178"/>
      <c r="E752" s="178"/>
    </row>
    <row r="753">
      <c r="A753" s="178"/>
      <c r="B753" s="178"/>
      <c r="C753" s="178"/>
      <c r="D753" s="178"/>
      <c r="E753" s="178"/>
    </row>
    <row r="754">
      <c r="A754" s="178"/>
      <c r="B754" s="178"/>
      <c r="C754" s="178"/>
      <c r="D754" s="178"/>
      <c r="E754" s="178"/>
    </row>
    <row r="755">
      <c r="A755" s="178"/>
      <c r="B755" s="178"/>
      <c r="C755" s="178"/>
      <c r="D755" s="178"/>
      <c r="E755" s="178"/>
    </row>
    <row r="756">
      <c r="A756" s="178"/>
      <c r="B756" s="178"/>
      <c r="C756" s="178"/>
      <c r="D756" s="178"/>
      <c r="E756" s="178"/>
    </row>
    <row r="757">
      <c r="A757" s="178"/>
      <c r="B757" s="178"/>
      <c r="C757" s="178"/>
      <c r="D757" s="178"/>
      <c r="E757" s="178"/>
    </row>
    <row r="758">
      <c r="A758" s="178"/>
      <c r="B758" s="178"/>
      <c r="C758" s="178"/>
      <c r="D758" s="178"/>
      <c r="E758" s="178"/>
    </row>
    <row r="759">
      <c r="A759" s="178"/>
      <c r="B759" s="178"/>
      <c r="C759" s="178"/>
      <c r="D759" s="178"/>
      <c r="E759" s="178"/>
    </row>
    <row r="760">
      <c r="A760" s="178"/>
      <c r="B760" s="178"/>
      <c r="C760" s="178"/>
      <c r="D760" s="178"/>
      <c r="E760" s="178"/>
    </row>
    <row r="761">
      <c r="A761" s="178"/>
      <c r="B761" s="178"/>
      <c r="C761" s="178"/>
      <c r="D761" s="178"/>
      <c r="E761" s="178"/>
    </row>
    <row r="762">
      <c r="A762" s="178"/>
      <c r="B762" s="178"/>
      <c r="C762" s="178"/>
      <c r="D762" s="178"/>
      <c r="E762" s="178"/>
    </row>
    <row r="763">
      <c r="A763" s="178"/>
      <c r="B763" s="178"/>
      <c r="C763" s="178"/>
      <c r="D763" s="178"/>
      <c r="E763" s="178"/>
    </row>
    <row r="764">
      <c r="A764" s="178"/>
      <c r="B764" s="178"/>
      <c r="C764" s="178"/>
      <c r="D764" s="178"/>
      <c r="E764" s="178"/>
    </row>
    <row r="765">
      <c r="A765" s="178"/>
      <c r="B765" s="178"/>
      <c r="C765" s="178"/>
      <c r="D765" s="178"/>
      <c r="E765" s="178"/>
    </row>
    <row r="766">
      <c r="A766" s="178"/>
      <c r="B766" s="178"/>
      <c r="C766" s="178"/>
      <c r="D766" s="178"/>
      <c r="E766" s="178"/>
    </row>
    <row r="767">
      <c r="A767" s="178"/>
      <c r="B767" s="178"/>
      <c r="C767" s="178"/>
      <c r="D767" s="178"/>
      <c r="E767" s="178"/>
    </row>
    <row r="768">
      <c r="A768" s="178"/>
      <c r="B768" s="178"/>
      <c r="C768" s="178"/>
      <c r="D768" s="178"/>
      <c r="E768" s="178"/>
    </row>
    <row r="769">
      <c r="A769" s="178"/>
      <c r="B769" s="178"/>
      <c r="C769" s="178"/>
      <c r="D769" s="178"/>
      <c r="E769" s="178"/>
    </row>
    <row r="770">
      <c r="A770" s="178"/>
      <c r="B770" s="178"/>
      <c r="C770" s="178"/>
      <c r="D770" s="178"/>
      <c r="E770" s="178"/>
    </row>
    <row r="771">
      <c r="A771" s="178"/>
      <c r="B771" s="178"/>
      <c r="C771" s="178"/>
      <c r="D771" s="178"/>
      <c r="E771" s="178"/>
    </row>
    <row r="772">
      <c r="A772" s="178"/>
      <c r="B772" s="178"/>
      <c r="C772" s="178"/>
      <c r="D772" s="178"/>
      <c r="E772" s="178"/>
    </row>
    <row r="773">
      <c r="A773" s="178"/>
      <c r="B773" s="178"/>
      <c r="C773" s="178"/>
      <c r="D773" s="178"/>
      <c r="E773" s="178"/>
    </row>
    <row r="774">
      <c r="A774" s="178"/>
      <c r="B774" s="178"/>
      <c r="C774" s="178"/>
      <c r="D774" s="178"/>
      <c r="E774" s="178"/>
    </row>
    <row r="775">
      <c r="A775" s="178"/>
      <c r="B775" s="178"/>
      <c r="C775" s="178"/>
      <c r="D775" s="178"/>
      <c r="E775" s="178"/>
    </row>
    <row r="776">
      <c r="A776" s="178"/>
      <c r="B776" s="178"/>
      <c r="C776" s="178"/>
      <c r="D776" s="178"/>
      <c r="E776" s="178"/>
    </row>
    <row r="777">
      <c r="A777" s="178"/>
      <c r="B777" s="178"/>
      <c r="C777" s="178"/>
      <c r="D777" s="178"/>
      <c r="E777" s="178"/>
    </row>
    <row r="778">
      <c r="A778" s="178"/>
      <c r="B778" s="178"/>
      <c r="C778" s="178"/>
      <c r="D778" s="178"/>
      <c r="E778" s="178"/>
    </row>
    <row r="779">
      <c r="A779" s="178"/>
      <c r="B779" s="178"/>
      <c r="C779" s="178"/>
      <c r="D779" s="178"/>
      <c r="E779" s="178"/>
    </row>
    <row r="780">
      <c r="A780" s="178"/>
      <c r="B780" s="178"/>
      <c r="C780" s="178"/>
      <c r="D780" s="178"/>
      <c r="E780" s="178"/>
    </row>
    <row r="781">
      <c r="A781" s="178"/>
      <c r="B781" s="178"/>
      <c r="C781" s="178"/>
      <c r="D781" s="178"/>
      <c r="E781" s="178"/>
    </row>
    <row r="782">
      <c r="A782" s="178"/>
      <c r="B782" s="178"/>
      <c r="C782" s="178"/>
      <c r="D782" s="178"/>
      <c r="E782" s="178"/>
    </row>
    <row r="783">
      <c r="A783" s="178"/>
      <c r="B783" s="178"/>
      <c r="C783" s="178"/>
      <c r="D783" s="178"/>
      <c r="E783" s="178"/>
    </row>
    <row r="784">
      <c r="A784" s="178"/>
      <c r="B784" s="178"/>
      <c r="C784" s="178"/>
      <c r="D784" s="178"/>
      <c r="E784" s="178"/>
    </row>
    <row r="785">
      <c r="A785" s="178"/>
      <c r="B785" s="178"/>
      <c r="C785" s="178"/>
      <c r="D785" s="178"/>
      <c r="E785" s="178"/>
    </row>
    <row r="786">
      <c r="A786" s="178"/>
      <c r="B786" s="178"/>
      <c r="C786" s="178"/>
      <c r="D786" s="178"/>
      <c r="E786" s="178"/>
    </row>
    <row r="787">
      <c r="A787" s="178"/>
      <c r="B787" s="178"/>
      <c r="C787" s="178"/>
      <c r="D787" s="178"/>
      <c r="E787" s="178"/>
    </row>
    <row r="788">
      <c r="A788" s="178"/>
      <c r="B788" s="178"/>
      <c r="C788" s="178"/>
      <c r="D788" s="178"/>
      <c r="E788" s="178"/>
    </row>
    <row r="789">
      <c r="A789" s="178"/>
      <c r="B789" s="178"/>
      <c r="C789" s="178"/>
      <c r="D789" s="178"/>
      <c r="E789" s="178"/>
    </row>
    <row r="790">
      <c r="A790" s="178"/>
      <c r="B790" s="178"/>
      <c r="C790" s="178"/>
      <c r="D790" s="178"/>
      <c r="E790" s="178"/>
    </row>
    <row r="791">
      <c r="A791" s="178"/>
      <c r="B791" s="178"/>
      <c r="C791" s="178"/>
      <c r="D791" s="178"/>
      <c r="E791" s="178"/>
    </row>
    <row r="792">
      <c r="A792" s="178"/>
      <c r="B792" s="178"/>
      <c r="C792" s="178"/>
      <c r="D792" s="178"/>
      <c r="E792" s="178"/>
    </row>
    <row r="793">
      <c r="A793" s="178"/>
      <c r="B793" s="178"/>
      <c r="C793" s="178"/>
      <c r="D793" s="178"/>
      <c r="E793" s="178"/>
    </row>
    <row r="794">
      <c r="A794" s="178"/>
      <c r="B794" s="178"/>
      <c r="C794" s="178"/>
      <c r="D794" s="178"/>
      <c r="E794" s="178"/>
    </row>
    <row r="795">
      <c r="A795" s="178"/>
      <c r="B795" s="178"/>
      <c r="C795" s="178"/>
      <c r="D795" s="178"/>
      <c r="E795" s="178"/>
    </row>
    <row r="796">
      <c r="A796" s="178"/>
      <c r="B796" s="178"/>
      <c r="C796" s="178"/>
      <c r="D796" s="178"/>
      <c r="E796" s="178"/>
    </row>
    <row r="797">
      <c r="A797" s="178"/>
      <c r="B797" s="178"/>
      <c r="C797" s="178"/>
      <c r="D797" s="178"/>
      <c r="E797" s="178"/>
    </row>
    <row r="798">
      <c r="A798" s="178"/>
      <c r="B798" s="178"/>
      <c r="C798" s="178"/>
      <c r="D798" s="178"/>
      <c r="E798" s="178"/>
    </row>
    <row r="799">
      <c r="A799" s="178"/>
      <c r="B799" s="178"/>
      <c r="C799" s="178"/>
      <c r="D799" s="178"/>
      <c r="E799" s="178"/>
    </row>
    <row r="800">
      <c r="A800" s="178"/>
      <c r="B800" s="178"/>
      <c r="C800" s="178"/>
      <c r="D800" s="178"/>
      <c r="E800" s="178"/>
    </row>
    <row r="801">
      <c r="A801" s="178"/>
      <c r="B801" s="178"/>
      <c r="C801" s="178"/>
      <c r="D801" s="178"/>
      <c r="E801" s="178"/>
    </row>
    <row r="802">
      <c r="A802" s="178"/>
      <c r="B802" s="178"/>
      <c r="C802" s="178"/>
      <c r="D802" s="178"/>
      <c r="E802" s="178"/>
    </row>
    <row r="803">
      <c r="A803" s="178"/>
      <c r="B803" s="178"/>
      <c r="C803" s="178"/>
      <c r="D803" s="178"/>
      <c r="E803" s="178"/>
    </row>
    <row r="804">
      <c r="A804" s="178"/>
      <c r="B804" s="178"/>
      <c r="C804" s="178"/>
      <c r="D804" s="178"/>
      <c r="E804" s="178"/>
    </row>
    <row r="805">
      <c r="A805" s="178"/>
      <c r="B805" s="178"/>
      <c r="C805" s="178"/>
      <c r="D805" s="178"/>
      <c r="E805" s="178"/>
    </row>
    <row r="806">
      <c r="A806" s="178"/>
      <c r="B806" s="178"/>
      <c r="C806" s="178"/>
      <c r="D806" s="178"/>
      <c r="E806" s="178"/>
    </row>
    <row r="807">
      <c r="A807" s="178"/>
      <c r="B807" s="178"/>
      <c r="C807" s="178"/>
      <c r="D807" s="178"/>
      <c r="E807" s="178"/>
    </row>
    <row r="808">
      <c r="A808" s="178"/>
      <c r="B808" s="178"/>
      <c r="C808" s="178"/>
      <c r="D808" s="178"/>
      <c r="E808" s="178"/>
    </row>
    <row r="809">
      <c r="A809" s="178"/>
      <c r="B809" s="178"/>
      <c r="C809" s="178"/>
      <c r="D809" s="178"/>
      <c r="E809" s="178"/>
    </row>
    <row r="810">
      <c r="A810" s="178"/>
      <c r="B810" s="178"/>
      <c r="C810" s="178"/>
      <c r="D810" s="178"/>
      <c r="E810" s="178"/>
    </row>
    <row r="811">
      <c r="A811" s="178"/>
      <c r="B811" s="178"/>
      <c r="C811" s="178"/>
      <c r="D811" s="178"/>
      <c r="E811" s="178"/>
    </row>
    <row r="812">
      <c r="A812" s="178"/>
      <c r="B812" s="178"/>
      <c r="C812" s="178"/>
      <c r="D812" s="178"/>
      <c r="E812" s="178"/>
    </row>
    <row r="813">
      <c r="A813" s="178"/>
      <c r="B813" s="178"/>
      <c r="C813" s="178"/>
      <c r="D813" s="178"/>
      <c r="E813" s="178"/>
    </row>
    <row r="814">
      <c r="A814" s="178"/>
      <c r="B814" s="178"/>
      <c r="C814" s="178"/>
      <c r="D814" s="178"/>
      <c r="E814" s="178"/>
    </row>
    <row r="815">
      <c r="A815" s="178"/>
      <c r="B815" s="178"/>
      <c r="C815" s="178"/>
      <c r="D815" s="178"/>
      <c r="E815" s="178"/>
    </row>
    <row r="816">
      <c r="A816" s="178"/>
      <c r="B816" s="178"/>
      <c r="C816" s="178"/>
      <c r="D816" s="178"/>
      <c r="E816" s="178"/>
    </row>
    <row r="817">
      <c r="A817" s="178"/>
      <c r="B817" s="178"/>
      <c r="C817" s="178"/>
      <c r="D817" s="178"/>
      <c r="E817" s="178"/>
    </row>
    <row r="818">
      <c r="A818" s="178"/>
      <c r="B818" s="178"/>
      <c r="C818" s="178"/>
      <c r="D818" s="178"/>
      <c r="E818" s="178"/>
    </row>
    <row r="819">
      <c r="A819" s="178"/>
      <c r="B819" s="178"/>
      <c r="C819" s="178"/>
      <c r="D819" s="178"/>
      <c r="E819" s="178"/>
    </row>
    <row r="820">
      <c r="A820" s="178"/>
      <c r="B820" s="178"/>
      <c r="C820" s="178"/>
      <c r="D820" s="178"/>
      <c r="E820" s="178"/>
    </row>
    <row r="821">
      <c r="A821" s="178"/>
      <c r="B821" s="178"/>
      <c r="C821" s="178"/>
      <c r="D821" s="178"/>
      <c r="E821" s="178"/>
    </row>
    <row r="822">
      <c r="A822" s="178"/>
      <c r="B822" s="178"/>
      <c r="C822" s="178"/>
      <c r="D822" s="178"/>
      <c r="E822" s="178"/>
    </row>
    <row r="823">
      <c r="A823" s="178"/>
      <c r="B823" s="178"/>
      <c r="C823" s="178"/>
      <c r="D823" s="178"/>
      <c r="E823" s="178"/>
    </row>
    <row r="824">
      <c r="A824" s="178"/>
      <c r="B824" s="178"/>
      <c r="C824" s="178"/>
      <c r="D824" s="178"/>
      <c r="E824" s="178"/>
    </row>
    <row r="825">
      <c r="A825" s="178"/>
      <c r="B825" s="178"/>
      <c r="C825" s="178"/>
      <c r="D825" s="178"/>
      <c r="E825" s="178"/>
    </row>
    <row r="826">
      <c r="A826" s="178"/>
      <c r="B826" s="178"/>
      <c r="C826" s="178"/>
      <c r="D826" s="178"/>
      <c r="E826" s="178"/>
    </row>
    <row r="827">
      <c r="A827" s="178"/>
      <c r="B827" s="178"/>
      <c r="C827" s="178"/>
      <c r="D827" s="178"/>
      <c r="E827" s="178"/>
    </row>
    <row r="828">
      <c r="A828" s="178"/>
      <c r="B828" s="178"/>
      <c r="C828" s="178"/>
      <c r="D828" s="178"/>
      <c r="E828" s="178"/>
    </row>
    <row r="829">
      <c r="A829" s="178"/>
      <c r="B829" s="178"/>
      <c r="C829" s="178"/>
      <c r="D829" s="178"/>
      <c r="E829" s="178"/>
    </row>
    <row r="830">
      <c r="A830" s="178"/>
      <c r="B830" s="178"/>
      <c r="C830" s="178"/>
      <c r="D830" s="178"/>
      <c r="E830" s="178"/>
    </row>
    <row r="831">
      <c r="A831" s="178"/>
      <c r="B831" s="178"/>
      <c r="C831" s="178"/>
      <c r="D831" s="178"/>
      <c r="E831" s="178"/>
    </row>
    <row r="832">
      <c r="A832" s="178"/>
      <c r="B832" s="178"/>
      <c r="C832" s="178"/>
      <c r="D832" s="178"/>
      <c r="E832" s="178"/>
    </row>
    <row r="833">
      <c r="A833" s="178"/>
      <c r="B833" s="178"/>
      <c r="C833" s="178"/>
      <c r="D833" s="178"/>
      <c r="E833" s="178"/>
    </row>
    <row r="834">
      <c r="A834" s="178"/>
      <c r="B834" s="178"/>
      <c r="C834" s="178"/>
      <c r="D834" s="178"/>
      <c r="E834" s="178"/>
    </row>
    <row r="835">
      <c r="A835" s="178"/>
      <c r="B835" s="178"/>
      <c r="C835" s="178"/>
      <c r="D835" s="178"/>
      <c r="E835" s="178"/>
    </row>
    <row r="836">
      <c r="A836" s="178"/>
      <c r="B836" s="178"/>
      <c r="C836" s="178"/>
      <c r="D836" s="178"/>
      <c r="E836" s="178"/>
    </row>
    <row r="837">
      <c r="A837" s="178"/>
      <c r="B837" s="178"/>
      <c r="C837" s="178"/>
      <c r="D837" s="178"/>
      <c r="E837" s="178"/>
    </row>
    <row r="838">
      <c r="A838" s="178"/>
      <c r="B838" s="178"/>
      <c r="C838" s="178"/>
      <c r="D838" s="178"/>
      <c r="E838" s="178"/>
    </row>
    <row r="839">
      <c r="A839" s="178"/>
      <c r="B839" s="178"/>
      <c r="C839" s="178"/>
      <c r="D839" s="178"/>
      <c r="E839" s="178"/>
    </row>
    <row r="840">
      <c r="A840" s="178"/>
      <c r="B840" s="178"/>
      <c r="C840" s="178"/>
      <c r="D840" s="178"/>
      <c r="E840" s="178"/>
    </row>
    <row r="841">
      <c r="A841" s="178"/>
      <c r="B841" s="178"/>
      <c r="C841" s="178"/>
      <c r="D841" s="178"/>
      <c r="E841" s="178"/>
    </row>
    <row r="842">
      <c r="A842" s="178"/>
      <c r="B842" s="178"/>
      <c r="C842" s="178"/>
      <c r="D842" s="178"/>
      <c r="E842" s="178"/>
    </row>
    <row r="843">
      <c r="A843" s="178"/>
      <c r="B843" s="178"/>
      <c r="C843" s="178"/>
      <c r="D843" s="178"/>
      <c r="E843" s="178"/>
    </row>
    <row r="844">
      <c r="A844" s="178"/>
      <c r="B844" s="178"/>
      <c r="C844" s="178"/>
      <c r="D844" s="178"/>
      <c r="E844" s="178"/>
    </row>
    <row r="845">
      <c r="A845" s="178"/>
      <c r="B845" s="178"/>
      <c r="C845" s="178"/>
      <c r="D845" s="178"/>
      <c r="E845" s="178"/>
    </row>
    <row r="846">
      <c r="A846" s="178"/>
      <c r="B846" s="178"/>
      <c r="C846" s="178"/>
      <c r="D846" s="178"/>
      <c r="E846" s="178"/>
    </row>
    <row r="847">
      <c r="A847" s="178"/>
      <c r="B847" s="178"/>
      <c r="C847" s="178"/>
      <c r="D847" s="178"/>
      <c r="E847" s="178"/>
    </row>
    <row r="848">
      <c r="A848" s="178"/>
      <c r="B848" s="178"/>
      <c r="C848" s="178"/>
      <c r="D848" s="178"/>
      <c r="E848" s="178"/>
    </row>
    <row r="849">
      <c r="A849" s="178"/>
      <c r="B849" s="178"/>
      <c r="C849" s="178"/>
      <c r="D849" s="178"/>
      <c r="E849" s="178"/>
    </row>
    <row r="850">
      <c r="A850" s="178"/>
      <c r="B850" s="178"/>
      <c r="C850" s="178"/>
      <c r="D850" s="178"/>
      <c r="E850" s="178"/>
    </row>
    <row r="851">
      <c r="A851" s="178"/>
      <c r="B851" s="178"/>
      <c r="C851" s="178"/>
      <c r="D851" s="178"/>
      <c r="E851" s="178"/>
    </row>
    <row r="852">
      <c r="A852" s="178"/>
      <c r="B852" s="178"/>
      <c r="C852" s="178"/>
      <c r="D852" s="178"/>
      <c r="E852" s="178"/>
    </row>
    <row r="853">
      <c r="A853" s="178"/>
      <c r="B853" s="178"/>
      <c r="C853" s="178"/>
      <c r="D853" s="178"/>
      <c r="E853" s="178"/>
    </row>
    <row r="854">
      <c r="A854" s="178"/>
      <c r="B854" s="178"/>
      <c r="C854" s="178"/>
      <c r="D854" s="178"/>
      <c r="E854" s="178"/>
    </row>
    <row r="855">
      <c r="A855" s="178"/>
      <c r="B855" s="178"/>
      <c r="C855" s="178"/>
      <c r="D855" s="178"/>
      <c r="E855" s="178"/>
    </row>
    <row r="856">
      <c r="A856" s="178"/>
      <c r="B856" s="178"/>
      <c r="C856" s="178"/>
      <c r="D856" s="178"/>
      <c r="E856" s="178"/>
    </row>
    <row r="857">
      <c r="A857" s="178"/>
      <c r="B857" s="178"/>
      <c r="C857" s="178"/>
      <c r="D857" s="178"/>
      <c r="E857" s="178"/>
    </row>
    <row r="858">
      <c r="A858" s="178"/>
      <c r="B858" s="178"/>
      <c r="C858" s="178"/>
      <c r="D858" s="178"/>
      <c r="E858" s="178"/>
    </row>
    <row r="859">
      <c r="A859" s="178"/>
      <c r="B859" s="178"/>
      <c r="C859" s="178"/>
      <c r="D859" s="178"/>
      <c r="E859" s="178"/>
    </row>
    <row r="860">
      <c r="A860" s="178"/>
      <c r="B860" s="178"/>
      <c r="C860" s="178"/>
      <c r="D860" s="178"/>
      <c r="E860" s="178"/>
    </row>
    <row r="861">
      <c r="A861" s="178"/>
      <c r="B861" s="178"/>
      <c r="C861" s="178"/>
      <c r="D861" s="178"/>
      <c r="E861" s="178"/>
    </row>
    <row r="862">
      <c r="A862" s="178"/>
      <c r="B862" s="178"/>
      <c r="C862" s="178"/>
      <c r="D862" s="178"/>
      <c r="E862" s="178"/>
    </row>
    <row r="863">
      <c r="A863" s="178"/>
      <c r="B863" s="178"/>
      <c r="C863" s="178"/>
      <c r="D863" s="178"/>
      <c r="E863" s="178"/>
    </row>
    <row r="864">
      <c r="A864" s="178"/>
      <c r="B864" s="178"/>
      <c r="C864" s="178"/>
      <c r="D864" s="178"/>
      <c r="E864" s="178"/>
    </row>
    <row r="865">
      <c r="A865" s="178"/>
      <c r="B865" s="178"/>
      <c r="C865" s="178"/>
      <c r="D865" s="178"/>
      <c r="E865" s="178"/>
    </row>
    <row r="866">
      <c r="A866" s="178"/>
      <c r="B866" s="178"/>
      <c r="C866" s="178"/>
      <c r="D866" s="178"/>
      <c r="E866" s="178"/>
    </row>
    <row r="867">
      <c r="A867" s="178"/>
      <c r="B867" s="178"/>
      <c r="C867" s="178"/>
      <c r="D867" s="178"/>
      <c r="E867" s="178"/>
    </row>
    <row r="868">
      <c r="A868" s="178"/>
      <c r="B868" s="178"/>
      <c r="C868" s="178"/>
      <c r="D868" s="178"/>
      <c r="E868" s="178"/>
    </row>
    <row r="869">
      <c r="A869" s="178"/>
      <c r="B869" s="178"/>
      <c r="C869" s="178"/>
      <c r="D869" s="178"/>
      <c r="E869" s="178"/>
    </row>
    <row r="870">
      <c r="A870" s="178"/>
      <c r="B870" s="178"/>
      <c r="C870" s="178"/>
      <c r="D870" s="178"/>
      <c r="E870" s="178"/>
    </row>
    <row r="871">
      <c r="A871" s="178"/>
      <c r="B871" s="178"/>
      <c r="C871" s="178"/>
      <c r="D871" s="178"/>
      <c r="E871" s="178"/>
    </row>
    <row r="872">
      <c r="A872" s="178"/>
      <c r="B872" s="178"/>
      <c r="C872" s="178"/>
      <c r="D872" s="178"/>
      <c r="E872" s="178"/>
    </row>
    <row r="873">
      <c r="A873" s="178"/>
      <c r="B873" s="178"/>
      <c r="C873" s="178"/>
      <c r="D873" s="178"/>
      <c r="E873" s="178"/>
    </row>
    <row r="874">
      <c r="A874" s="178"/>
      <c r="B874" s="178"/>
      <c r="C874" s="178"/>
      <c r="D874" s="178"/>
      <c r="E874" s="178"/>
    </row>
    <row r="875">
      <c r="A875" s="178"/>
      <c r="B875" s="178"/>
      <c r="C875" s="178"/>
      <c r="D875" s="178"/>
      <c r="E875" s="178"/>
    </row>
    <row r="876">
      <c r="A876" s="178"/>
      <c r="B876" s="178"/>
      <c r="C876" s="178"/>
      <c r="D876" s="178"/>
      <c r="E876" s="178"/>
    </row>
    <row r="877">
      <c r="A877" s="178"/>
      <c r="B877" s="178"/>
      <c r="C877" s="178"/>
      <c r="D877" s="178"/>
      <c r="E877" s="178"/>
    </row>
    <row r="878">
      <c r="A878" s="178"/>
      <c r="B878" s="178"/>
      <c r="C878" s="178"/>
      <c r="D878" s="178"/>
      <c r="E878" s="178"/>
    </row>
    <row r="879">
      <c r="A879" s="178"/>
      <c r="B879" s="178"/>
      <c r="C879" s="178"/>
      <c r="D879" s="178"/>
      <c r="E879" s="178"/>
    </row>
    <row r="880">
      <c r="A880" s="178"/>
      <c r="B880" s="178"/>
      <c r="C880" s="178"/>
      <c r="D880" s="178"/>
      <c r="E880" s="178"/>
    </row>
    <row r="881">
      <c r="A881" s="178"/>
      <c r="B881" s="178"/>
      <c r="C881" s="178"/>
      <c r="D881" s="178"/>
      <c r="E881" s="178"/>
    </row>
    <row r="882">
      <c r="A882" s="178"/>
      <c r="B882" s="178"/>
      <c r="C882" s="178"/>
      <c r="D882" s="178"/>
      <c r="E882" s="178"/>
    </row>
    <row r="883">
      <c r="A883" s="178"/>
      <c r="B883" s="178"/>
      <c r="C883" s="178"/>
      <c r="D883" s="178"/>
      <c r="E883" s="178"/>
    </row>
    <row r="884">
      <c r="A884" s="178"/>
      <c r="B884" s="178"/>
      <c r="C884" s="178"/>
      <c r="D884" s="178"/>
      <c r="E884" s="178"/>
    </row>
    <row r="885">
      <c r="A885" s="178"/>
      <c r="B885" s="178"/>
      <c r="C885" s="178"/>
      <c r="D885" s="178"/>
      <c r="E885" s="178"/>
    </row>
    <row r="886">
      <c r="A886" s="178"/>
      <c r="B886" s="178"/>
      <c r="C886" s="178"/>
      <c r="D886" s="178"/>
      <c r="E886" s="178"/>
    </row>
    <row r="887">
      <c r="A887" s="178"/>
      <c r="B887" s="178"/>
      <c r="C887" s="178"/>
      <c r="D887" s="178"/>
      <c r="E887" s="178"/>
    </row>
    <row r="888">
      <c r="A888" s="178"/>
      <c r="B888" s="178"/>
      <c r="C888" s="178"/>
      <c r="D888" s="178"/>
      <c r="E888" s="178"/>
    </row>
    <row r="889">
      <c r="A889" s="178"/>
      <c r="B889" s="178"/>
      <c r="C889" s="178"/>
      <c r="D889" s="178"/>
      <c r="E889" s="178"/>
    </row>
    <row r="890">
      <c r="A890" s="178"/>
      <c r="B890" s="178"/>
      <c r="C890" s="178"/>
      <c r="D890" s="178"/>
      <c r="E890" s="178"/>
    </row>
    <row r="891">
      <c r="A891" s="178"/>
      <c r="B891" s="178"/>
      <c r="C891" s="178"/>
      <c r="D891" s="178"/>
      <c r="E891" s="178"/>
    </row>
    <row r="892">
      <c r="A892" s="178"/>
      <c r="B892" s="178"/>
      <c r="C892" s="178"/>
      <c r="D892" s="178"/>
      <c r="E892" s="178"/>
    </row>
    <row r="893">
      <c r="A893" s="178"/>
      <c r="B893" s="178"/>
      <c r="C893" s="178"/>
      <c r="D893" s="178"/>
      <c r="E893" s="178"/>
    </row>
    <row r="894">
      <c r="A894" s="178"/>
      <c r="B894" s="178"/>
      <c r="C894" s="178"/>
      <c r="D894" s="178"/>
      <c r="E894" s="178"/>
    </row>
    <row r="895">
      <c r="A895" s="178"/>
      <c r="B895" s="178"/>
      <c r="C895" s="178"/>
      <c r="D895" s="178"/>
      <c r="E895" s="178"/>
    </row>
    <row r="896">
      <c r="A896" s="178"/>
      <c r="B896" s="178"/>
      <c r="C896" s="178"/>
      <c r="D896" s="178"/>
      <c r="E896" s="178"/>
    </row>
    <row r="897">
      <c r="A897" s="178"/>
      <c r="B897" s="178"/>
      <c r="C897" s="178"/>
      <c r="D897" s="178"/>
      <c r="E897" s="178"/>
    </row>
    <row r="898">
      <c r="A898" s="178"/>
      <c r="B898" s="178"/>
      <c r="C898" s="178"/>
      <c r="D898" s="178"/>
      <c r="E898" s="178"/>
    </row>
    <row r="899">
      <c r="A899" s="178"/>
      <c r="B899" s="178"/>
      <c r="C899" s="178"/>
      <c r="D899" s="178"/>
      <c r="E899" s="178"/>
    </row>
    <row r="900">
      <c r="A900" s="178"/>
      <c r="B900" s="178"/>
      <c r="C900" s="178"/>
      <c r="D900" s="178"/>
      <c r="E900" s="178"/>
    </row>
    <row r="901">
      <c r="A901" s="178"/>
      <c r="B901" s="178"/>
      <c r="C901" s="178"/>
      <c r="D901" s="178"/>
      <c r="E901" s="178"/>
    </row>
    <row r="902">
      <c r="A902" s="178"/>
      <c r="B902" s="178"/>
      <c r="C902" s="178"/>
      <c r="D902" s="178"/>
      <c r="E902" s="178"/>
    </row>
    <row r="903">
      <c r="A903" s="178"/>
      <c r="B903" s="178"/>
      <c r="C903" s="178"/>
      <c r="D903" s="178"/>
      <c r="E903" s="178"/>
    </row>
    <row r="904">
      <c r="A904" s="178"/>
      <c r="B904" s="178"/>
      <c r="C904" s="178"/>
      <c r="D904" s="178"/>
      <c r="E904" s="178"/>
    </row>
    <row r="905">
      <c r="A905" s="178"/>
      <c r="B905" s="178"/>
      <c r="C905" s="178"/>
      <c r="D905" s="178"/>
      <c r="E905" s="178"/>
    </row>
    <row r="906">
      <c r="A906" s="178"/>
      <c r="B906" s="178"/>
      <c r="C906" s="178"/>
      <c r="D906" s="178"/>
      <c r="E906" s="178"/>
    </row>
    <row r="907">
      <c r="A907" s="178"/>
      <c r="B907" s="178"/>
      <c r="C907" s="178"/>
      <c r="D907" s="178"/>
      <c r="E907" s="178"/>
    </row>
    <row r="908">
      <c r="A908" s="178"/>
      <c r="B908" s="178"/>
      <c r="C908" s="178"/>
      <c r="D908" s="178"/>
      <c r="E908" s="178"/>
    </row>
    <row r="909">
      <c r="A909" s="178"/>
      <c r="B909" s="178"/>
      <c r="C909" s="178"/>
      <c r="D909" s="178"/>
      <c r="E909" s="178"/>
    </row>
    <row r="910">
      <c r="A910" s="178"/>
      <c r="B910" s="178"/>
      <c r="C910" s="178"/>
      <c r="D910" s="178"/>
      <c r="E910" s="178"/>
    </row>
    <row r="911">
      <c r="A911" s="178"/>
      <c r="B911" s="178"/>
      <c r="C911" s="178"/>
      <c r="D911" s="178"/>
      <c r="E911" s="178"/>
    </row>
    <row r="912">
      <c r="A912" s="178"/>
      <c r="B912" s="178"/>
      <c r="C912" s="178"/>
      <c r="D912" s="178"/>
      <c r="E912" s="178"/>
    </row>
    <row r="913">
      <c r="A913" s="178"/>
      <c r="B913" s="178"/>
      <c r="C913" s="178"/>
      <c r="D913" s="178"/>
      <c r="E913" s="178"/>
    </row>
    <row r="914">
      <c r="A914" s="178"/>
      <c r="B914" s="178"/>
      <c r="C914" s="178"/>
      <c r="D914" s="178"/>
      <c r="E914" s="178"/>
    </row>
    <row r="915">
      <c r="A915" s="178"/>
      <c r="B915" s="178"/>
      <c r="C915" s="178"/>
      <c r="D915" s="178"/>
      <c r="E915" s="178"/>
    </row>
    <row r="916">
      <c r="A916" s="178"/>
      <c r="B916" s="178"/>
      <c r="C916" s="178"/>
      <c r="D916" s="178"/>
      <c r="E916" s="178"/>
    </row>
    <row r="917">
      <c r="A917" s="178"/>
      <c r="B917" s="178"/>
      <c r="C917" s="178"/>
      <c r="D917" s="178"/>
      <c r="E917" s="178"/>
    </row>
    <row r="918">
      <c r="A918" s="178"/>
      <c r="B918" s="178"/>
      <c r="C918" s="178"/>
      <c r="D918" s="178"/>
      <c r="E918" s="178"/>
    </row>
    <row r="919">
      <c r="A919" s="178"/>
      <c r="B919" s="178"/>
      <c r="C919" s="178"/>
      <c r="D919" s="178"/>
      <c r="E919" s="178"/>
    </row>
    <row r="920">
      <c r="A920" s="178"/>
      <c r="B920" s="178"/>
      <c r="C920" s="178"/>
      <c r="D920" s="178"/>
      <c r="E920" s="178"/>
    </row>
    <row r="921">
      <c r="A921" s="178"/>
      <c r="B921" s="178"/>
      <c r="C921" s="178"/>
      <c r="D921" s="178"/>
      <c r="E921" s="178"/>
    </row>
    <row r="922">
      <c r="A922" s="178"/>
      <c r="B922" s="178"/>
      <c r="C922" s="178"/>
      <c r="D922" s="178"/>
      <c r="E922" s="178"/>
    </row>
    <row r="923">
      <c r="A923" s="178"/>
      <c r="B923" s="178"/>
      <c r="C923" s="178"/>
      <c r="D923" s="178"/>
      <c r="E923" s="178"/>
    </row>
    <row r="924">
      <c r="A924" s="178"/>
      <c r="B924" s="178"/>
      <c r="C924" s="178"/>
      <c r="D924" s="178"/>
      <c r="E924" s="178"/>
    </row>
    <row r="925">
      <c r="A925" s="178"/>
      <c r="B925" s="178"/>
      <c r="C925" s="178"/>
      <c r="D925" s="178"/>
      <c r="E925" s="178"/>
    </row>
    <row r="926">
      <c r="A926" s="178"/>
      <c r="B926" s="178"/>
      <c r="C926" s="178"/>
      <c r="D926" s="178"/>
      <c r="E926" s="178"/>
    </row>
    <row r="927">
      <c r="A927" s="178"/>
      <c r="B927" s="178"/>
      <c r="C927" s="178"/>
      <c r="D927" s="178"/>
      <c r="E927" s="178"/>
    </row>
    <row r="928">
      <c r="A928" s="178"/>
      <c r="B928" s="178"/>
      <c r="C928" s="178"/>
      <c r="D928" s="178"/>
      <c r="E928" s="178"/>
    </row>
    <row r="929">
      <c r="A929" s="178"/>
      <c r="B929" s="178"/>
      <c r="C929" s="178"/>
      <c r="D929" s="178"/>
      <c r="E929" s="178"/>
    </row>
    <row r="930">
      <c r="A930" s="178"/>
      <c r="B930" s="178"/>
      <c r="C930" s="178"/>
      <c r="D930" s="178"/>
      <c r="E930" s="178"/>
    </row>
    <row r="931">
      <c r="A931" s="178"/>
      <c r="B931" s="178"/>
      <c r="C931" s="178"/>
      <c r="D931" s="178"/>
      <c r="E931" s="178"/>
    </row>
    <row r="932">
      <c r="A932" s="178"/>
      <c r="B932" s="178"/>
      <c r="C932" s="178"/>
      <c r="D932" s="178"/>
      <c r="E932" s="178"/>
    </row>
    <row r="933">
      <c r="A933" s="178"/>
      <c r="B933" s="178"/>
      <c r="C933" s="178"/>
      <c r="D933" s="178"/>
      <c r="E933" s="178"/>
    </row>
    <row r="934">
      <c r="A934" s="178"/>
      <c r="B934" s="178"/>
      <c r="C934" s="178"/>
      <c r="D934" s="178"/>
      <c r="E934" s="178"/>
    </row>
    <row r="935">
      <c r="A935" s="178"/>
      <c r="B935" s="178"/>
      <c r="C935" s="178"/>
      <c r="D935" s="178"/>
      <c r="E935" s="178"/>
    </row>
    <row r="936">
      <c r="A936" s="178"/>
      <c r="B936" s="178"/>
      <c r="C936" s="178"/>
      <c r="D936" s="178"/>
      <c r="E936" s="178"/>
    </row>
    <row r="937">
      <c r="A937" s="178"/>
      <c r="B937" s="178"/>
      <c r="C937" s="178"/>
      <c r="D937" s="178"/>
      <c r="E937" s="178"/>
    </row>
    <row r="938">
      <c r="A938" s="178"/>
      <c r="B938" s="178"/>
      <c r="C938" s="178"/>
      <c r="D938" s="178"/>
      <c r="E938" s="178"/>
    </row>
    <row r="939">
      <c r="A939" s="178"/>
      <c r="B939" s="178"/>
      <c r="C939" s="178"/>
      <c r="D939" s="178"/>
      <c r="E939" s="178"/>
    </row>
    <row r="940">
      <c r="A940" s="178"/>
      <c r="B940" s="178"/>
      <c r="C940" s="178"/>
      <c r="D940" s="178"/>
      <c r="E940" s="178"/>
    </row>
    <row r="941">
      <c r="A941" s="178"/>
      <c r="B941" s="178"/>
      <c r="C941" s="178"/>
      <c r="D941" s="178"/>
      <c r="E941" s="178"/>
    </row>
    <row r="942">
      <c r="A942" s="178"/>
      <c r="B942" s="178"/>
      <c r="C942" s="178"/>
      <c r="D942" s="178"/>
      <c r="E942" s="178"/>
    </row>
    <row r="943">
      <c r="A943" s="178"/>
      <c r="B943" s="178"/>
      <c r="C943" s="178"/>
      <c r="D943" s="178"/>
      <c r="E943" s="178"/>
    </row>
    <row r="944">
      <c r="A944" s="178"/>
      <c r="B944" s="178"/>
      <c r="C944" s="178"/>
      <c r="D944" s="178"/>
      <c r="E944" s="178"/>
    </row>
    <row r="945">
      <c r="A945" s="178"/>
      <c r="B945" s="178"/>
      <c r="C945" s="178"/>
      <c r="D945" s="178"/>
      <c r="E945" s="178"/>
    </row>
    <row r="946">
      <c r="A946" s="178"/>
      <c r="B946" s="178"/>
      <c r="C946" s="178"/>
      <c r="D946" s="178"/>
      <c r="E946" s="178"/>
    </row>
    <row r="947">
      <c r="A947" s="178"/>
      <c r="B947" s="178"/>
      <c r="C947" s="178"/>
      <c r="D947" s="178"/>
      <c r="E947" s="178"/>
    </row>
    <row r="948">
      <c r="A948" s="178"/>
      <c r="B948" s="178"/>
      <c r="C948" s="178"/>
      <c r="D948" s="178"/>
      <c r="E948" s="178"/>
    </row>
    <row r="949">
      <c r="A949" s="178"/>
      <c r="B949" s="178"/>
      <c r="C949" s="178"/>
      <c r="D949" s="178"/>
      <c r="E949" s="178"/>
    </row>
    <row r="950">
      <c r="A950" s="178"/>
      <c r="B950" s="178"/>
      <c r="C950" s="178"/>
      <c r="D950" s="178"/>
      <c r="E950" s="178"/>
    </row>
    <row r="951">
      <c r="A951" s="178"/>
      <c r="B951" s="178"/>
      <c r="C951" s="178"/>
      <c r="D951" s="178"/>
      <c r="E951" s="178"/>
    </row>
    <row r="952">
      <c r="A952" s="178"/>
      <c r="B952" s="178"/>
      <c r="C952" s="178"/>
      <c r="D952" s="178"/>
      <c r="E952" s="178"/>
    </row>
    <row r="953">
      <c r="A953" s="178"/>
      <c r="B953" s="178"/>
      <c r="C953" s="178"/>
      <c r="D953" s="178"/>
      <c r="E953" s="178"/>
    </row>
    <row r="954">
      <c r="A954" s="178"/>
      <c r="B954" s="178"/>
      <c r="C954" s="178"/>
      <c r="D954" s="178"/>
      <c r="E954" s="178"/>
    </row>
    <row r="955">
      <c r="A955" s="178"/>
      <c r="B955" s="178"/>
      <c r="C955" s="178"/>
      <c r="D955" s="178"/>
      <c r="E955" s="178"/>
    </row>
    <row r="956">
      <c r="A956" s="178"/>
      <c r="B956" s="178"/>
      <c r="C956" s="178"/>
      <c r="D956" s="178"/>
      <c r="E956" s="178"/>
    </row>
    <row r="957">
      <c r="A957" s="178"/>
      <c r="B957" s="178"/>
      <c r="C957" s="178"/>
      <c r="D957" s="178"/>
      <c r="E957" s="178"/>
    </row>
    <row r="958">
      <c r="A958" s="178"/>
      <c r="B958" s="178"/>
      <c r="C958" s="178"/>
      <c r="D958" s="178"/>
      <c r="E958" s="178"/>
    </row>
    <row r="959">
      <c r="A959" s="178"/>
      <c r="B959" s="178"/>
      <c r="C959" s="178"/>
      <c r="D959" s="178"/>
      <c r="E959" s="178"/>
    </row>
    <row r="960">
      <c r="A960" s="178"/>
      <c r="B960" s="178"/>
      <c r="C960" s="178"/>
      <c r="D960" s="178"/>
      <c r="E960" s="178"/>
    </row>
    <row r="961">
      <c r="A961" s="178"/>
      <c r="B961" s="178"/>
      <c r="C961" s="178"/>
      <c r="D961" s="178"/>
      <c r="E961" s="178"/>
    </row>
    <row r="962">
      <c r="A962" s="178"/>
      <c r="B962" s="178"/>
      <c r="C962" s="178"/>
      <c r="D962" s="178"/>
      <c r="E962" s="178"/>
    </row>
    <row r="963">
      <c r="A963" s="178"/>
      <c r="B963" s="178"/>
      <c r="C963" s="178"/>
      <c r="D963" s="178"/>
      <c r="E963" s="178"/>
    </row>
    <row r="964">
      <c r="A964" s="178"/>
      <c r="B964" s="178"/>
      <c r="C964" s="178"/>
      <c r="D964" s="178"/>
      <c r="E964" s="178"/>
    </row>
    <row r="965">
      <c r="A965" s="178"/>
      <c r="B965" s="178"/>
      <c r="C965" s="178"/>
      <c r="D965" s="178"/>
      <c r="E965" s="178"/>
    </row>
    <row r="966">
      <c r="A966" s="178"/>
      <c r="B966" s="178"/>
      <c r="C966" s="178"/>
      <c r="D966" s="178"/>
      <c r="E966" s="178"/>
    </row>
    <row r="967">
      <c r="A967" s="178"/>
      <c r="B967" s="178"/>
      <c r="C967" s="178"/>
      <c r="D967" s="178"/>
      <c r="E967" s="178"/>
    </row>
    <row r="968">
      <c r="A968" s="178"/>
      <c r="B968" s="178"/>
      <c r="C968" s="178"/>
      <c r="D968" s="178"/>
      <c r="E968" s="178"/>
    </row>
    <row r="969">
      <c r="A969" s="178"/>
      <c r="B969" s="178"/>
      <c r="C969" s="178"/>
      <c r="D969" s="178"/>
      <c r="E969" s="178"/>
    </row>
    <row r="970">
      <c r="A970" s="178"/>
      <c r="B970" s="178"/>
      <c r="C970" s="178"/>
      <c r="D970" s="178"/>
      <c r="E970" s="178"/>
    </row>
    <row r="971">
      <c r="A971" s="178"/>
      <c r="B971" s="178"/>
      <c r="C971" s="178"/>
      <c r="D971" s="178"/>
      <c r="E971" s="178"/>
    </row>
    <row r="972">
      <c r="A972" s="178"/>
      <c r="B972" s="178"/>
      <c r="C972" s="178"/>
      <c r="D972" s="178"/>
      <c r="E972" s="178"/>
    </row>
    <row r="973">
      <c r="A973" s="178"/>
      <c r="B973" s="178"/>
      <c r="C973" s="178"/>
      <c r="D973" s="178"/>
      <c r="E973" s="178"/>
    </row>
    <row r="974">
      <c r="A974" s="178"/>
      <c r="B974" s="178"/>
      <c r="C974" s="178"/>
      <c r="D974" s="178"/>
      <c r="E974" s="178"/>
    </row>
    <row r="975">
      <c r="A975" s="178"/>
      <c r="B975" s="178"/>
      <c r="C975" s="178"/>
      <c r="D975" s="178"/>
      <c r="E975" s="178"/>
    </row>
    <row r="976">
      <c r="A976" s="178"/>
      <c r="B976" s="178"/>
      <c r="C976" s="178"/>
      <c r="D976" s="178"/>
      <c r="E976" s="178"/>
    </row>
    <row r="977">
      <c r="A977" s="178"/>
      <c r="B977" s="178"/>
      <c r="C977" s="178"/>
      <c r="D977" s="178"/>
      <c r="E977" s="178"/>
    </row>
    <row r="978">
      <c r="A978" s="178"/>
      <c r="B978" s="178"/>
      <c r="C978" s="178"/>
      <c r="D978" s="178"/>
      <c r="E978" s="178"/>
    </row>
    <row r="979">
      <c r="A979" s="178"/>
      <c r="B979" s="178"/>
      <c r="C979" s="178"/>
      <c r="D979" s="178"/>
      <c r="E979" s="178"/>
    </row>
    <row r="980">
      <c r="A980" s="178"/>
      <c r="B980" s="178"/>
      <c r="C980" s="178"/>
      <c r="D980" s="178"/>
      <c r="E980" s="178"/>
    </row>
    <row r="981">
      <c r="A981" s="178"/>
      <c r="B981" s="178"/>
      <c r="C981" s="178"/>
      <c r="D981" s="178"/>
      <c r="E981" s="178"/>
    </row>
    <row r="982">
      <c r="A982" s="178"/>
      <c r="B982" s="178"/>
      <c r="C982" s="178"/>
      <c r="D982" s="178"/>
      <c r="E982" s="178"/>
    </row>
    <row r="983">
      <c r="A983" s="178"/>
      <c r="B983" s="178"/>
      <c r="C983" s="178"/>
      <c r="D983" s="178"/>
      <c r="E983" s="178"/>
    </row>
    <row r="984">
      <c r="A984" s="178"/>
      <c r="B984" s="178"/>
      <c r="C984" s="178"/>
      <c r="D984" s="178"/>
      <c r="E984" s="178"/>
    </row>
    <row r="985">
      <c r="A985" s="178"/>
      <c r="B985" s="178"/>
      <c r="C985" s="178"/>
      <c r="D985" s="178"/>
      <c r="E985" s="178"/>
    </row>
    <row r="986">
      <c r="A986" s="178"/>
      <c r="B986" s="178"/>
      <c r="C986" s="178"/>
      <c r="D986" s="178"/>
      <c r="E986" s="178"/>
    </row>
    <row r="987">
      <c r="A987" s="178"/>
      <c r="B987" s="178"/>
      <c r="C987" s="178"/>
      <c r="D987" s="178"/>
      <c r="E987" s="178"/>
    </row>
    <row r="988">
      <c r="A988" s="178"/>
      <c r="B988" s="178"/>
      <c r="C988" s="178"/>
      <c r="D988" s="178"/>
      <c r="E988" s="178"/>
    </row>
    <row r="989">
      <c r="A989" s="178"/>
      <c r="B989" s="178"/>
      <c r="C989" s="178"/>
      <c r="D989" s="178"/>
      <c r="E989" s="178"/>
    </row>
    <row r="990">
      <c r="A990" s="178"/>
      <c r="B990" s="178"/>
      <c r="C990" s="178"/>
      <c r="D990" s="178"/>
      <c r="E990" s="178"/>
    </row>
    <row r="991">
      <c r="A991" s="178"/>
      <c r="B991" s="178"/>
      <c r="C991" s="178"/>
      <c r="D991" s="178"/>
      <c r="E991" s="178"/>
    </row>
    <row r="992">
      <c r="A992" s="178"/>
      <c r="B992" s="178"/>
      <c r="C992" s="178"/>
      <c r="D992" s="178"/>
      <c r="E992" s="178"/>
    </row>
    <row r="993">
      <c r="A993" s="178"/>
      <c r="B993" s="178"/>
      <c r="C993" s="178"/>
      <c r="D993" s="178"/>
      <c r="E993" s="178"/>
    </row>
    <row r="994">
      <c r="A994" s="178"/>
      <c r="B994" s="178"/>
      <c r="C994" s="178"/>
      <c r="D994" s="178"/>
      <c r="E994" s="178"/>
    </row>
    <row r="995">
      <c r="A995" s="178"/>
      <c r="B995" s="178"/>
      <c r="C995" s="178"/>
      <c r="D995" s="178"/>
      <c r="E995" s="178"/>
    </row>
    <row r="996">
      <c r="A996" s="178"/>
      <c r="B996" s="178"/>
      <c r="C996" s="178"/>
      <c r="D996" s="178"/>
      <c r="E996" s="178"/>
    </row>
    <row r="997">
      <c r="A997" s="178"/>
      <c r="B997" s="178"/>
      <c r="C997" s="178"/>
      <c r="D997" s="178"/>
      <c r="E997" s="178"/>
    </row>
    <row r="998">
      <c r="A998" s="178"/>
      <c r="B998" s="178"/>
      <c r="C998" s="178"/>
      <c r="D998" s="178"/>
      <c r="E998" s="178"/>
    </row>
    <row r="999">
      <c r="A999" s="178"/>
      <c r="B999" s="178"/>
      <c r="C999" s="178"/>
      <c r="D999" s="178"/>
      <c r="E999" s="178"/>
    </row>
    <row r="1000">
      <c r="A1000" s="178"/>
      <c r="B1000" s="178"/>
      <c r="C1000" s="178"/>
      <c r="D1000" s="178"/>
      <c r="E1000" s="178"/>
    </row>
  </sheetData>
  <mergeCells count="1">
    <mergeCell ref="G8:H8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40.63"/>
    <col customWidth="1" min="3" max="3" width="12.0"/>
    <col customWidth="1" min="4" max="4" width="36.0"/>
    <col customWidth="1" min="5" max="5" width="10.38"/>
    <col customWidth="1" min="7" max="7" width="76.8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178"/>
      <c r="G1" s="80" t="s">
        <v>5</v>
      </c>
      <c r="H1" s="81">
        <f>H4</f>
        <v>29</v>
      </c>
    </row>
    <row r="2">
      <c r="A2" s="146" t="s">
        <v>806</v>
      </c>
      <c r="B2" s="73" t="s">
        <v>326</v>
      </c>
      <c r="C2" s="73" t="s">
        <v>807</v>
      </c>
      <c r="D2" s="73">
        <v>9.0</v>
      </c>
      <c r="E2" s="168">
        <v>0.25</v>
      </c>
      <c r="F2" s="178"/>
      <c r="G2" s="82" t="s">
        <v>9</v>
      </c>
      <c r="H2" s="82">
        <f>COUNTIF(C:C,"*LSP*")
</f>
        <v>18</v>
      </c>
    </row>
    <row r="3">
      <c r="A3" s="146" t="s">
        <v>808</v>
      </c>
      <c r="B3" s="73" t="s">
        <v>97</v>
      </c>
      <c r="C3" s="73" t="s">
        <v>12</v>
      </c>
      <c r="D3" s="73">
        <v>22.0</v>
      </c>
      <c r="E3" s="168">
        <v>0.25</v>
      </c>
      <c r="F3" s="178"/>
      <c r="G3" s="82" t="s">
        <v>13</v>
      </c>
      <c r="H3" s="82">
        <f>COUNTIF(C:C,"*SOC*")
</f>
        <v>16</v>
      </c>
    </row>
    <row r="4">
      <c r="A4" s="146" t="s">
        <v>809</v>
      </c>
      <c r="B4" s="73" t="s">
        <v>15</v>
      </c>
      <c r="C4" s="73" t="s">
        <v>16</v>
      </c>
      <c r="D4" s="73" t="s">
        <v>25</v>
      </c>
      <c r="E4" s="168">
        <v>0.25</v>
      </c>
      <c r="F4" s="178"/>
      <c r="G4" s="82" t="s">
        <v>810</v>
      </c>
      <c r="H4" s="197">
        <f>COUNTIFS(D:D,"&gt;=5",D:D,"&lt;=114")</f>
        <v>29</v>
      </c>
    </row>
    <row r="5">
      <c r="A5" s="146" t="s">
        <v>811</v>
      </c>
      <c r="B5" s="73" t="s">
        <v>264</v>
      </c>
      <c r="C5" s="73" t="s">
        <v>812</v>
      </c>
      <c r="D5" s="73">
        <v>99.0</v>
      </c>
      <c r="E5" s="168">
        <v>0.25</v>
      </c>
      <c r="F5" s="178"/>
      <c r="G5" s="82" t="s">
        <v>20</v>
      </c>
      <c r="H5" s="82">
        <f>COUNTIF(D:D,"*NÃO DOCOU*")</f>
        <v>3</v>
      </c>
    </row>
    <row r="6">
      <c r="A6" s="146" t="s">
        <v>813</v>
      </c>
      <c r="B6" s="73" t="s">
        <v>264</v>
      </c>
      <c r="C6" s="73" t="s">
        <v>812</v>
      </c>
      <c r="D6" s="73">
        <v>110.0</v>
      </c>
      <c r="E6" s="168">
        <v>0.25</v>
      </c>
      <c r="F6" s="178"/>
      <c r="G6" s="198" t="s">
        <v>25</v>
      </c>
      <c r="H6" s="199">
        <f>COUNTIF(D:D,"*NÃO CHEGOU*")
</f>
        <v>3</v>
      </c>
    </row>
    <row r="7">
      <c r="A7" s="146" t="s">
        <v>814</v>
      </c>
      <c r="B7" s="73" t="s">
        <v>7</v>
      </c>
      <c r="C7" s="73" t="s">
        <v>8</v>
      </c>
      <c r="D7" s="73">
        <v>6.0</v>
      </c>
      <c r="E7" s="168">
        <v>0.25</v>
      </c>
      <c r="F7" s="178"/>
      <c r="G7" s="82" t="s">
        <v>815</v>
      </c>
      <c r="H7" s="82">
        <f>COUNTIF(D:D,"*DRIVER DUPLICADO*")</f>
        <v>0</v>
      </c>
    </row>
    <row r="8">
      <c r="A8" s="146" t="s">
        <v>816</v>
      </c>
      <c r="B8" s="73" t="s">
        <v>27</v>
      </c>
      <c r="C8" s="73" t="s">
        <v>28</v>
      </c>
      <c r="D8" s="73">
        <v>19.0</v>
      </c>
      <c r="E8" s="168">
        <v>0.2708333333333333</v>
      </c>
      <c r="F8" s="178"/>
      <c r="G8" s="187"/>
      <c r="H8" s="178"/>
    </row>
    <row r="9">
      <c r="A9" s="146" t="s">
        <v>817</v>
      </c>
      <c r="B9" s="73" t="s">
        <v>34</v>
      </c>
      <c r="C9" s="73" t="s">
        <v>35</v>
      </c>
      <c r="D9" s="73">
        <v>17.0</v>
      </c>
      <c r="E9" s="168">
        <v>0.2708333333333333</v>
      </c>
      <c r="F9" s="178"/>
      <c r="G9" s="84" t="s">
        <v>818</v>
      </c>
      <c r="H9" s="82"/>
    </row>
    <row r="10">
      <c r="A10" s="146" t="s">
        <v>819</v>
      </c>
      <c r="B10" s="167" t="s">
        <v>563</v>
      </c>
      <c r="C10" s="167" t="s">
        <v>138</v>
      </c>
      <c r="D10" s="73">
        <v>102.0</v>
      </c>
      <c r="E10" s="168">
        <v>0.2916666666666667</v>
      </c>
      <c r="F10" s="178"/>
      <c r="G10" s="187" t="s">
        <v>653</v>
      </c>
      <c r="H10" s="178"/>
    </row>
    <row r="11">
      <c r="A11" s="146" t="s">
        <v>820</v>
      </c>
      <c r="B11" s="73" t="s">
        <v>318</v>
      </c>
      <c r="C11" s="73" t="s">
        <v>821</v>
      </c>
      <c r="D11" s="73" t="s">
        <v>167</v>
      </c>
      <c r="E11" s="168">
        <v>0.2916666666666667</v>
      </c>
      <c r="F11" s="178"/>
      <c r="G11" s="93"/>
      <c r="H11" s="9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169" t="s">
        <v>822</v>
      </c>
      <c r="B12" s="167" t="s">
        <v>563</v>
      </c>
      <c r="C12" s="167" t="s">
        <v>138</v>
      </c>
      <c r="D12" s="167">
        <v>102.0</v>
      </c>
      <c r="E12" s="168">
        <v>0.2916666666666667</v>
      </c>
      <c r="F12" s="178"/>
      <c r="G12" s="200"/>
      <c r="H12" s="178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169" t="s">
        <v>823</v>
      </c>
      <c r="B13" s="73" t="s">
        <v>37</v>
      </c>
      <c r="C13" s="73" t="s">
        <v>38</v>
      </c>
      <c r="D13" s="73">
        <v>88.0</v>
      </c>
      <c r="E13" s="168">
        <v>0.2916666666666667</v>
      </c>
      <c r="F13" s="178"/>
      <c r="G13" s="201"/>
      <c r="H13" s="93"/>
    </row>
    <row r="14">
      <c r="A14" s="169" t="s">
        <v>824</v>
      </c>
      <c r="B14" s="73" t="s">
        <v>318</v>
      </c>
      <c r="C14" s="73" t="s">
        <v>821</v>
      </c>
      <c r="D14" s="73">
        <v>100.0</v>
      </c>
      <c r="E14" s="168">
        <v>0.2916666666666667</v>
      </c>
      <c r="F14" s="178"/>
      <c r="G14" s="200"/>
      <c r="H14" s="178"/>
    </row>
    <row r="15">
      <c r="A15" s="102" t="s">
        <v>825</v>
      </c>
      <c r="B15" s="73" t="s">
        <v>385</v>
      </c>
      <c r="C15" s="73" t="s">
        <v>89</v>
      </c>
      <c r="D15" s="73">
        <v>94.0</v>
      </c>
      <c r="E15" s="168">
        <v>0.2916666666666667</v>
      </c>
      <c r="F15" s="178"/>
      <c r="G15" s="178"/>
      <c r="H15" s="178"/>
    </row>
    <row r="16">
      <c r="A16" s="149" t="s">
        <v>826</v>
      </c>
      <c r="B16" s="73" t="s">
        <v>672</v>
      </c>
      <c r="C16" s="167" t="s">
        <v>42</v>
      </c>
      <c r="D16" s="167">
        <v>87.0</v>
      </c>
      <c r="E16" s="168">
        <v>0.2916666666666667</v>
      </c>
      <c r="F16" s="178"/>
      <c r="G16" s="178"/>
      <c r="H16" s="178"/>
    </row>
    <row r="17">
      <c r="A17" s="146" t="s">
        <v>827</v>
      </c>
      <c r="B17" s="170" t="s">
        <v>37</v>
      </c>
      <c r="C17" s="170" t="s">
        <v>38</v>
      </c>
      <c r="D17" s="170">
        <v>89.0</v>
      </c>
      <c r="E17" s="168">
        <v>0.2916666666666667</v>
      </c>
      <c r="F17" s="178"/>
      <c r="G17" s="178"/>
      <c r="H17" s="178"/>
    </row>
    <row r="18">
      <c r="A18" s="146" t="s">
        <v>828</v>
      </c>
      <c r="B18" s="167" t="s">
        <v>48</v>
      </c>
      <c r="C18" s="167" t="s">
        <v>49</v>
      </c>
      <c r="D18" s="167">
        <v>28.0</v>
      </c>
      <c r="E18" s="168">
        <v>0.2916666666666667</v>
      </c>
      <c r="F18" s="178"/>
      <c r="G18" s="178"/>
      <c r="H18" s="178"/>
    </row>
    <row r="19">
      <c r="A19" s="146" t="s">
        <v>829</v>
      </c>
      <c r="B19" s="167" t="s">
        <v>51</v>
      </c>
      <c r="C19" s="167" t="s">
        <v>52</v>
      </c>
      <c r="D19" s="167">
        <v>23.0</v>
      </c>
      <c r="E19" s="168">
        <v>0.2916666666666667</v>
      </c>
      <c r="F19" s="178"/>
      <c r="G19" s="178"/>
      <c r="H19" s="178"/>
    </row>
    <row r="20">
      <c r="A20" s="146" t="s">
        <v>830</v>
      </c>
      <c r="B20" s="170" t="s">
        <v>61</v>
      </c>
      <c r="C20" s="170" t="s">
        <v>62</v>
      </c>
      <c r="D20" s="170">
        <v>15.0</v>
      </c>
      <c r="E20" s="168">
        <v>0.2916666666666667</v>
      </c>
      <c r="F20" s="178"/>
      <c r="G20" s="178"/>
      <c r="H20" s="178"/>
    </row>
    <row r="21">
      <c r="A21" s="146" t="s">
        <v>831</v>
      </c>
      <c r="B21" s="170" t="s">
        <v>61</v>
      </c>
      <c r="C21" s="170" t="s">
        <v>62</v>
      </c>
      <c r="D21" s="170">
        <v>18.0</v>
      </c>
      <c r="E21" s="168">
        <v>0.2916666666666667</v>
      </c>
      <c r="F21" s="178"/>
      <c r="G21" s="178"/>
      <c r="H21" s="178"/>
    </row>
    <row r="22">
      <c r="A22" s="146" t="s">
        <v>832</v>
      </c>
      <c r="B22" s="73" t="s">
        <v>54</v>
      </c>
      <c r="C22" s="73" t="s">
        <v>55</v>
      </c>
      <c r="D22" s="73">
        <v>14.0</v>
      </c>
      <c r="E22" s="168">
        <v>0.2916666666666667</v>
      </c>
      <c r="F22" s="178"/>
      <c r="G22" s="178"/>
      <c r="H22" s="178"/>
    </row>
    <row r="23">
      <c r="A23" s="146" t="s">
        <v>833</v>
      </c>
      <c r="B23" s="73" t="s">
        <v>118</v>
      </c>
      <c r="C23" s="73" t="s">
        <v>58</v>
      </c>
      <c r="D23" s="73">
        <v>29.0</v>
      </c>
      <c r="E23" s="168">
        <v>0.2916666666666667</v>
      </c>
      <c r="F23" s="178"/>
      <c r="G23" s="178"/>
      <c r="H23" s="178"/>
    </row>
    <row r="24">
      <c r="A24" s="146" t="s">
        <v>834</v>
      </c>
      <c r="B24" s="73" t="s">
        <v>124</v>
      </c>
      <c r="C24" s="73" t="s">
        <v>69</v>
      </c>
      <c r="D24" s="73">
        <v>13.0</v>
      </c>
      <c r="E24" s="150">
        <v>0.3125</v>
      </c>
      <c r="F24" s="178"/>
      <c r="G24" s="178"/>
      <c r="H24" s="178"/>
    </row>
    <row r="25">
      <c r="A25" s="146" t="s">
        <v>835</v>
      </c>
      <c r="B25" s="73" t="s">
        <v>71</v>
      </c>
      <c r="C25" s="73" t="s">
        <v>72</v>
      </c>
      <c r="D25" s="73">
        <v>38.0</v>
      </c>
      <c r="E25" s="150">
        <v>0.3125</v>
      </c>
      <c r="F25" s="178"/>
      <c r="G25" s="178"/>
      <c r="H25" s="178"/>
    </row>
    <row r="26">
      <c r="A26" s="146" t="s">
        <v>836</v>
      </c>
      <c r="B26" s="73" t="s">
        <v>399</v>
      </c>
      <c r="C26" s="73" t="s">
        <v>157</v>
      </c>
      <c r="D26" s="73">
        <v>39.0</v>
      </c>
      <c r="E26" s="150">
        <v>0.3125</v>
      </c>
      <c r="F26" s="178"/>
      <c r="G26" s="178"/>
      <c r="H26" s="178"/>
    </row>
    <row r="27">
      <c r="A27" s="146" t="s">
        <v>837</v>
      </c>
      <c r="B27" s="73" t="s">
        <v>461</v>
      </c>
      <c r="C27" s="73" t="s">
        <v>462</v>
      </c>
      <c r="D27" s="73" t="s">
        <v>25</v>
      </c>
      <c r="E27" s="150">
        <v>0.3125</v>
      </c>
      <c r="F27" s="178"/>
      <c r="G27" s="178"/>
      <c r="H27" s="178"/>
    </row>
    <row r="28">
      <c r="A28" s="146" t="s">
        <v>838</v>
      </c>
      <c r="B28" s="146" t="s">
        <v>285</v>
      </c>
      <c r="C28" s="146" t="s">
        <v>839</v>
      </c>
      <c r="D28" s="146">
        <v>16.0</v>
      </c>
      <c r="E28" s="150">
        <v>0.3125</v>
      </c>
      <c r="F28" s="178"/>
      <c r="G28" s="178"/>
      <c r="H28" s="178"/>
    </row>
    <row r="29">
      <c r="A29" s="146" t="s">
        <v>840</v>
      </c>
      <c r="B29" s="167" t="s">
        <v>563</v>
      </c>
      <c r="C29" s="167" t="s">
        <v>138</v>
      </c>
      <c r="D29" s="167" t="s">
        <v>167</v>
      </c>
      <c r="E29" s="150">
        <v>0.3125</v>
      </c>
      <c r="F29" s="178"/>
      <c r="G29" s="178"/>
      <c r="H29" s="178"/>
    </row>
    <row r="30">
      <c r="A30" s="146" t="s">
        <v>841</v>
      </c>
      <c r="B30" s="167" t="s">
        <v>672</v>
      </c>
      <c r="C30" s="167" t="s">
        <v>42</v>
      </c>
      <c r="D30" s="167">
        <v>46.0</v>
      </c>
      <c r="E30" s="150">
        <v>0.3125</v>
      </c>
      <c r="F30" s="178"/>
      <c r="G30" s="178"/>
      <c r="H30" s="178"/>
    </row>
    <row r="31">
      <c r="A31" s="146" t="s">
        <v>842</v>
      </c>
      <c r="B31" s="167" t="s">
        <v>385</v>
      </c>
      <c r="C31" s="167" t="s">
        <v>89</v>
      </c>
      <c r="D31" s="167">
        <v>94.0</v>
      </c>
      <c r="E31" s="181">
        <v>0.3333333333333333</v>
      </c>
      <c r="F31" s="178"/>
      <c r="G31" s="178"/>
      <c r="H31" s="178"/>
    </row>
    <row r="32">
      <c r="A32" s="146" t="s">
        <v>843</v>
      </c>
      <c r="B32" s="170" t="s">
        <v>84</v>
      </c>
      <c r="C32" s="170" t="s">
        <v>85</v>
      </c>
      <c r="D32" s="170" t="s">
        <v>25</v>
      </c>
      <c r="E32" s="181">
        <v>0.3333333333333333</v>
      </c>
      <c r="F32" s="178"/>
      <c r="G32" s="178"/>
      <c r="H32" s="178"/>
    </row>
    <row r="33">
      <c r="A33" s="146" t="s">
        <v>844</v>
      </c>
      <c r="B33" s="170" t="s">
        <v>845</v>
      </c>
      <c r="C33" s="170" t="s">
        <v>846</v>
      </c>
      <c r="D33" s="170">
        <v>49.0</v>
      </c>
      <c r="E33" s="181">
        <v>0.3333333333333333</v>
      </c>
      <c r="F33" s="178"/>
      <c r="G33" s="178"/>
      <c r="H33" s="178"/>
    </row>
    <row r="34">
      <c r="A34" s="102" t="s">
        <v>847</v>
      </c>
      <c r="B34" s="73" t="s">
        <v>848</v>
      </c>
      <c r="C34" s="73" t="s">
        <v>849</v>
      </c>
      <c r="D34" s="73">
        <v>44.0</v>
      </c>
      <c r="E34" s="181">
        <v>0.6666666666666666</v>
      </c>
      <c r="F34" s="178"/>
      <c r="G34" s="178"/>
      <c r="H34" s="178"/>
    </row>
    <row r="35">
      <c r="A35" s="102" t="s">
        <v>850</v>
      </c>
      <c r="B35" s="73" t="s">
        <v>81</v>
      </c>
      <c r="C35" s="73" t="s">
        <v>82</v>
      </c>
      <c r="D35" s="73">
        <v>45.0</v>
      </c>
      <c r="E35" s="74">
        <v>0.6666666666666666</v>
      </c>
      <c r="F35" s="178"/>
      <c r="G35" s="178"/>
      <c r="H35" s="178"/>
    </row>
    <row r="36">
      <c r="A36" s="102" t="s">
        <v>851</v>
      </c>
      <c r="B36" s="73" t="s">
        <v>44</v>
      </c>
      <c r="C36" s="73" t="s">
        <v>203</v>
      </c>
      <c r="D36" s="73" t="s">
        <v>167</v>
      </c>
      <c r="E36" s="74">
        <v>0.6666666666666666</v>
      </c>
    </row>
    <row r="37">
      <c r="A37" s="202"/>
      <c r="B37" s="131"/>
      <c r="C37" s="131"/>
      <c r="D37" s="131"/>
      <c r="E37" s="136"/>
    </row>
    <row r="38">
      <c r="A38" s="203"/>
      <c r="B38" s="110"/>
      <c r="C38" s="110"/>
      <c r="D38" s="110"/>
      <c r="E38" s="111"/>
    </row>
    <row r="39">
      <c r="A39" s="204"/>
      <c r="B39" s="131"/>
      <c r="C39" s="131"/>
      <c r="D39" s="131"/>
      <c r="E39" s="136"/>
    </row>
    <row r="40">
      <c r="A40" s="205"/>
      <c r="B40" s="131"/>
      <c r="C40" s="131"/>
      <c r="D40" s="131"/>
      <c r="E40" s="136"/>
    </row>
    <row r="41">
      <c r="A41" s="205"/>
      <c r="B41" s="131"/>
      <c r="C41" s="131"/>
      <c r="D41" s="131"/>
      <c r="E41" s="136"/>
    </row>
    <row r="42">
      <c r="A42" s="206"/>
      <c r="B42" s="131"/>
      <c r="C42" s="131"/>
      <c r="D42" s="131"/>
      <c r="E42" s="136"/>
    </row>
    <row r="43">
      <c r="A43" s="174"/>
      <c r="B43" s="110"/>
      <c r="C43" s="110"/>
      <c r="D43" s="110"/>
      <c r="E43" s="111"/>
    </row>
    <row r="44">
      <c r="A44" s="174"/>
      <c r="B44" s="110"/>
      <c r="C44" s="110"/>
      <c r="D44" s="110"/>
      <c r="E44" s="111"/>
    </row>
    <row r="45">
      <c r="A45" s="174"/>
      <c r="B45" s="110"/>
      <c r="C45" s="110"/>
      <c r="D45" s="110"/>
      <c r="E45" s="111"/>
    </row>
    <row r="46">
      <c r="A46" s="177"/>
      <c r="B46" s="110"/>
      <c r="C46" s="110"/>
      <c r="D46" s="110"/>
      <c r="E46" s="111"/>
    </row>
    <row r="47">
      <c r="A47" s="174"/>
      <c r="B47" s="110"/>
      <c r="C47" s="110"/>
      <c r="D47" s="110"/>
      <c r="E47" s="111"/>
    </row>
    <row r="48">
      <c r="A48" s="174"/>
      <c r="B48" s="110"/>
      <c r="C48" s="110"/>
      <c r="D48" s="110"/>
      <c r="E48" s="111"/>
    </row>
    <row r="49">
      <c r="A49" s="178"/>
      <c r="B49" s="178"/>
      <c r="C49" s="178"/>
      <c r="D49" s="178"/>
      <c r="E49" s="178"/>
    </row>
    <row r="50">
      <c r="A50" s="178"/>
      <c r="B50" s="178"/>
      <c r="C50" s="178"/>
      <c r="D50" s="178"/>
      <c r="E50" s="178"/>
    </row>
    <row r="51">
      <c r="A51" s="178"/>
      <c r="B51" s="178"/>
      <c r="C51" s="178"/>
      <c r="D51" s="178"/>
      <c r="E51" s="178"/>
    </row>
    <row r="52">
      <c r="A52" s="178"/>
      <c r="B52" s="178"/>
      <c r="C52" s="178"/>
      <c r="D52" s="178"/>
      <c r="E52" s="178"/>
    </row>
    <row r="53">
      <c r="A53" s="178"/>
      <c r="B53" s="178"/>
      <c r="C53" s="178"/>
      <c r="D53" s="178"/>
      <c r="E53" s="178"/>
    </row>
    <row r="54">
      <c r="A54" s="178"/>
      <c r="B54" s="178"/>
      <c r="C54" s="178"/>
      <c r="D54" s="178"/>
      <c r="E54" s="178"/>
    </row>
    <row r="55">
      <c r="A55" s="178"/>
      <c r="B55" s="178"/>
      <c r="C55" s="178"/>
      <c r="D55" s="178"/>
      <c r="E55" s="178"/>
    </row>
    <row r="56">
      <c r="A56" s="178"/>
      <c r="B56" s="178"/>
      <c r="C56" s="178"/>
      <c r="D56" s="178"/>
      <c r="E56" s="178"/>
    </row>
    <row r="57">
      <c r="A57" s="178"/>
      <c r="B57" s="178"/>
      <c r="C57" s="178"/>
      <c r="D57" s="178"/>
      <c r="E57" s="178"/>
    </row>
    <row r="58">
      <c r="A58" s="178"/>
      <c r="B58" s="178"/>
      <c r="C58" s="178"/>
      <c r="D58" s="178"/>
      <c r="E58" s="178"/>
    </row>
    <row r="59">
      <c r="A59" s="178"/>
      <c r="B59" s="178"/>
      <c r="C59" s="178"/>
      <c r="D59" s="178"/>
      <c r="E59" s="178"/>
    </row>
    <row r="60">
      <c r="A60" s="178"/>
      <c r="B60" s="178"/>
      <c r="C60" s="178"/>
      <c r="D60" s="178"/>
      <c r="E60" s="178"/>
    </row>
    <row r="61">
      <c r="A61" s="178"/>
      <c r="B61" s="178"/>
      <c r="C61" s="178"/>
      <c r="D61" s="178"/>
      <c r="E61" s="178"/>
    </row>
    <row r="62">
      <c r="A62" s="178"/>
      <c r="B62" s="178"/>
      <c r="C62" s="178"/>
      <c r="D62" s="178"/>
      <c r="E62" s="178"/>
    </row>
    <row r="63">
      <c r="A63" s="178"/>
      <c r="B63" s="178"/>
      <c r="C63" s="178"/>
      <c r="D63" s="178"/>
      <c r="E63" s="178"/>
    </row>
    <row r="64">
      <c r="A64" s="178"/>
      <c r="B64" s="178"/>
      <c r="C64" s="178"/>
      <c r="D64" s="178"/>
      <c r="E64" s="178"/>
    </row>
    <row r="65">
      <c r="A65" s="178"/>
      <c r="B65" s="178"/>
      <c r="C65" s="178"/>
      <c r="D65" s="178"/>
      <c r="E65" s="178"/>
    </row>
    <row r="66">
      <c r="A66" s="178"/>
      <c r="B66" s="178"/>
      <c r="C66" s="178"/>
      <c r="D66" s="178"/>
      <c r="E66" s="178"/>
    </row>
    <row r="67">
      <c r="A67" s="178"/>
      <c r="B67" s="178"/>
      <c r="C67" s="178"/>
      <c r="D67" s="178"/>
      <c r="E67" s="178"/>
    </row>
    <row r="68">
      <c r="A68" s="178"/>
      <c r="B68" s="178"/>
      <c r="C68" s="178"/>
      <c r="D68" s="178"/>
      <c r="E68" s="178"/>
    </row>
    <row r="69">
      <c r="A69" s="178"/>
      <c r="B69" s="178"/>
      <c r="C69" s="178"/>
      <c r="D69" s="178"/>
      <c r="E69" s="178"/>
    </row>
    <row r="70">
      <c r="A70" s="178"/>
      <c r="B70" s="178"/>
      <c r="C70" s="178"/>
      <c r="D70" s="178"/>
      <c r="E70" s="178"/>
    </row>
    <row r="71">
      <c r="A71" s="178"/>
      <c r="B71" s="178"/>
      <c r="C71" s="178"/>
      <c r="D71" s="178"/>
      <c r="E71" s="178"/>
    </row>
    <row r="72">
      <c r="A72" s="178"/>
      <c r="B72" s="178"/>
      <c r="C72" s="178"/>
      <c r="D72" s="178"/>
      <c r="E72" s="178"/>
    </row>
    <row r="73">
      <c r="A73" s="178"/>
      <c r="B73" s="178"/>
      <c r="C73" s="178"/>
      <c r="D73" s="178"/>
      <c r="E73" s="178"/>
    </row>
    <row r="74">
      <c r="A74" s="178"/>
      <c r="B74" s="178"/>
      <c r="C74" s="178"/>
      <c r="D74" s="178"/>
      <c r="E74" s="178"/>
    </row>
    <row r="75">
      <c r="A75" s="178"/>
      <c r="B75" s="178"/>
      <c r="C75" s="178"/>
      <c r="D75" s="178"/>
      <c r="E75" s="178"/>
    </row>
    <row r="76">
      <c r="A76" s="178"/>
      <c r="B76" s="178"/>
      <c r="C76" s="178"/>
      <c r="D76" s="178"/>
      <c r="E76" s="178"/>
    </row>
    <row r="77">
      <c r="A77" s="178"/>
      <c r="B77" s="178"/>
      <c r="C77" s="178"/>
      <c r="D77" s="178"/>
      <c r="E77" s="178"/>
    </row>
    <row r="78">
      <c r="A78" s="178"/>
      <c r="B78" s="178"/>
      <c r="C78" s="178"/>
      <c r="D78" s="178"/>
      <c r="E78" s="178"/>
    </row>
    <row r="79">
      <c r="A79" s="178"/>
      <c r="B79" s="178"/>
      <c r="C79" s="178"/>
      <c r="D79" s="178"/>
      <c r="E79" s="178"/>
    </row>
    <row r="80">
      <c r="A80" s="178"/>
      <c r="B80" s="178"/>
      <c r="C80" s="178"/>
      <c r="D80" s="178"/>
      <c r="E80" s="178"/>
    </row>
    <row r="81">
      <c r="A81" s="178"/>
      <c r="B81" s="178"/>
      <c r="C81" s="178"/>
      <c r="D81" s="178"/>
      <c r="E81" s="178"/>
    </row>
    <row r="82">
      <c r="A82" s="178"/>
      <c r="B82" s="178"/>
      <c r="C82" s="178"/>
      <c r="D82" s="178"/>
      <c r="E82" s="178"/>
    </row>
    <row r="83">
      <c r="A83" s="178"/>
      <c r="B83" s="178"/>
      <c r="C83" s="178"/>
      <c r="D83" s="178"/>
      <c r="E83" s="178"/>
    </row>
    <row r="84">
      <c r="A84" s="178"/>
      <c r="B84" s="178"/>
      <c r="C84" s="178"/>
      <c r="D84" s="178"/>
      <c r="E84" s="178"/>
    </row>
    <row r="85">
      <c r="A85" s="178"/>
      <c r="B85" s="178"/>
      <c r="C85" s="178"/>
      <c r="D85" s="178"/>
      <c r="E85" s="178"/>
    </row>
    <row r="86">
      <c r="A86" s="178"/>
      <c r="B86" s="178"/>
      <c r="C86" s="178"/>
      <c r="D86" s="178"/>
      <c r="E86" s="178"/>
    </row>
    <row r="87">
      <c r="A87" s="178"/>
      <c r="B87" s="178"/>
      <c r="C87" s="178"/>
      <c r="D87" s="178"/>
      <c r="E87" s="178"/>
    </row>
    <row r="88">
      <c r="A88" s="178"/>
      <c r="B88" s="178"/>
      <c r="C88" s="178"/>
      <c r="D88" s="178"/>
      <c r="E88" s="178"/>
    </row>
    <row r="89">
      <c r="A89" s="178"/>
      <c r="B89" s="178"/>
      <c r="C89" s="178"/>
      <c r="D89" s="178"/>
      <c r="E89" s="178"/>
    </row>
    <row r="90">
      <c r="A90" s="178"/>
      <c r="B90" s="178"/>
      <c r="C90" s="178"/>
      <c r="D90" s="178"/>
      <c r="E90" s="178"/>
    </row>
    <row r="91">
      <c r="A91" s="178"/>
      <c r="B91" s="178"/>
      <c r="C91" s="178"/>
      <c r="D91" s="178"/>
      <c r="E91" s="178"/>
    </row>
    <row r="92">
      <c r="A92" s="178"/>
      <c r="B92" s="178"/>
      <c r="C92" s="178"/>
      <c r="D92" s="178"/>
      <c r="E92" s="178"/>
    </row>
    <row r="93">
      <c r="A93" s="178"/>
      <c r="B93" s="178"/>
      <c r="C93" s="178"/>
      <c r="D93" s="178"/>
      <c r="E93" s="178"/>
    </row>
    <row r="94">
      <c r="A94" s="178"/>
      <c r="B94" s="178"/>
      <c r="C94" s="178"/>
      <c r="D94" s="178"/>
      <c r="E94" s="178"/>
    </row>
    <row r="95">
      <c r="A95" s="178"/>
      <c r="B95" s="178"/>
      <c r="C95" s="178"/>
      <c r="D95" s="178"/>
      <c r="E95" s="178"/>
    </row>
    <row r="96">
      <c r="A96" s="178"/>
      <c r="B96" s="178"/>
      <c r="C96" s="178"/>
      <c r="D96" s="178"/>
      <c r="E96" s="178"/>
    </row>
    <row r="97">
      <c r="A97" s="178"/>
      <c r="B97" s="178"/>
      <c r="C97" s="178"/>
      <c r="D97" s="178"/>
      <c r="E97" s="178"/>
    </row>
    <row r="98">
      <c r="A98" s="178"/>
      <c r="B98" s="178"/>
      <c r="C98" s="178"/>
      <c r="D98" s="178"/>
      <c r="E98" s="178"/>
    </row>
    <row r="99">
      <c r="A99" s="178"/>
      <c r="B99" s="178"/>
      <c r="C99" s="178"/>
      <c r="D99" s="178"/>
      <c r="E99" s="178"/>
    </row>
    <row r="100">
      <c r="A100" s="178"/>
      <c r="B100" s="178"/>
      <c r="C100" s="178"/>
      <c r="D100" s="178"/>
      <c r="E100" s="178"/>
    </row>
    <row r="101">
      <c r="A101" s="178"/>
      <c r="B101" s="178"/>
      <c r="C101" s="178"/>
      <c r="D101" s="178"/>
      <c r="E101" s="178"/>
    </row>
    <row r="102">
      <c r="A102" s="178"/>
      <c r="B102" s="178"/>
      <c r="C102" s="178"/>
      <c r="D102" s="178"/>
      <c r="E102" s="178"/>
    </row>
    <row r="103">
      <c r="A103" s="178"/>
      <c r="B103" s="178"/>
      <c r="C103" s="178"/>
      <c r="D103" s="178"/>
      <c r="E103" s="178"/>
    </row>
    <row r="104">
      <c r="A104" s="178"/>
      <c r="B104" s="178"/>
      <c r="C104" s="178"/>
      <c r="D104" s="178"/>
      <c r="E104" s="178"/>
    </row>
    <row r="105">
      <c r="A105" s="178"/>
      <c r="B105" s="178"/>
      <c r="C105" s="178"/>
      <c r="D105" s="178"/>
      <c r="E105" s="178"/>
    </row>
    <row r="106">
      <c r="A106" s="178"/>
      <c r="B106" s="178"/>
      <c r="C106" s="178"/>
      <c r="D106" s="178"/>
      <c r="E106" s="178"/>
    </row>
    <row r="107">
      <c r="A107" s="178"/>
      <c r="B107" s="178"/>
      <c r="C107" s="178"/>
      <c r="D107" s="178"/>
      <c r="E107" s="178"/>
    </row>
    <row r="108">
      <c r="A108" s="178"/>
      <c r="B108" s="178"/>
      <c r="C108" s="178"/>
      <c r="D108" s="178"/>
      <c r="E108" s="178"/>
    </row>
    <row r="109">
      <c r="A109" s="178"/>
      <c r="B109" s="178"/>
      <c r="C109" s="178"/>
      <c r="D109" s="178"/>
      <c r="E109" s="178"/>
    </row>
    <row r="110">
      <c r="A110" s="178"/>
      <c r="B110" s="178"/>
      <c r="C110" s="178"/>
      <c r="D110" s="178"/>
      <c r="E110" s="178"/>
    </row>
    <row r="111">
      <c r="A111" s="178"/>
      <c r="B111" s="178"/>
      <c r="C111" s="178"/>
      <c r="D111" s="178"/>
      <c r="E111" s="178"/>
    </row>
    <row r="112">
      <c r="A112" s="178"/>
      <c r="B112" s="178"/>
      <c r="C112" s="178"/>
      <c r="D112" s="178"/>
      <c r="E112" s="178"/>
    </row>
    <row r="113">
      <c r="A113" s="178"/>
      <c r="B113" s="178"/>
      <c r="C113" s="178"/>
      <c r="D113" s="178"/>
      <c r="E113" s="178"/>
    </row>
    <row r="114">
      <c r="A114" s="178"/>
      <c r="B114" s="178"/>
      <c r="C114" s="178"/>
      <c r="D114" s="178"/>
      <c r="E114" s="178"/>
    </row>
    <row r="115">
      <c r="A115" s="178"/>
      <c r="B115" s="178"/>
      <c r="C115" s="178"/>
      <c r="D115" s="178"/>
      <c r="E115" s="178"/>
    </row>
    <row r="116">
      <c r="A116" s="178"/>
      <c r="B116" s="178"/>
      <c r="C116" s="178"/>
      <c r="D116" s="178"/>
      <c r="E116" s="178"/>
    </row>
    <row r="117">
      <c r="A117" s="178"/>
      <c r="B117" s="178"/>
      <c r="C117" s="178"/>
      <c r="D117" s="178"/>
      <c r="E117" s="178"/>
    </row>
    <row r="118">
      <c r="A118" s="178"/>
      <c r="B118" s="178"/>
      <c r="C118" s="178"/>
      <c r="D118" s="178"/>
      <c r="E118" s="178"/>
    </row>
    <row r="119">
      <c r="A119" s="178"/>
      <c r="B119" s="178"/>
      <c r="C119" s="178"/>
      <c r="D119" s="178"/>
      <c r="E119" s="178"/>
    </row>
    <row r="120">
      <c r="A120" s="178"/>
      <c r="B120" s="178"/>
      <c r="C120" s="178"/>
      <c r="D120" s="178"/>
      <c r="E120" s="178"/>
    </row>
    <row r="121">
      <c r="A121" s="178"/>
      <c r="B121" s="178"/>
      <c r="C121" s="178"/>
      <c r="D121" s="178"/>
      <c r="E121" s="178"/>
    </row>
    <row r="122">
      <c r="A122" s="178"/>
      <c r="B122" s="178"/>
      <c r="C122" s="178"/>
      <c r="D122" s="178"/>
      <c r="E122" s="178"/>
    </row>
    <row r="123">
      <c r="A123" s="178"/>
      <c r="B123" s="178"/>
      <c r="C123" s="178"/>
      <c r="D123" s="178"/>
      <c r="E123" s="178"/>
    </row>
    <row r="124">
      <c r="A124" s="178"/>
      <c r="B124" s="178"/>
      <c r="C124" s="178"/>
      <c r="D124" s="178"/>
      <c r="E124" s="178"/>
    </row>
    <row r="125">
      <c r="A125" s="178"/>
      <c r="B125" s="178"/>
      <c r="C125" s="178"/>
      <c r="D125" s="178"/>
      <c r="E125" s="178"/>
    </row>
    <row r="126">
      <c r="A126" s="178"/>
      <c r="B126" s="178"/>
      <c r="C126" s="178"/>
      <c r="D126" s="178"/>
      <c r="E126" s="178"/>
    </row>
    <row r="127">
      <c r="A127" s="178"/>
      <c r="B127" s="178"/>
      <c r="C127" s="178"/>
      <c r="D127" s="178"/>
      <c r="E127" s="178"/>
    </row>
    <row r="128">
      <c r="A128" s="178"/>
      <c r="B128" s="178"/>
      <c r="C128" s="178"/>
      <c r="D128" s="178"/>
      <c r="E128" s="178"/>
    </row>
    <row r="129">
      <c r="A129" s="178"/>
      <c r="B129" s="178"/>
      <c r="C129" s="178"/>
      <c r="D129" s="178"/>
      <c r="E129" s="178"/>
    </row>
    <row r="130">
      <c r="A130" s="178"/>
      <c r="B130" s="178"/>
      <c r="C130" s="178"/>
      <c r="D130" s="178"/>
      <c r="E130" s="178"/>
    </row>
    <row r="131">
      <c r="A131" s="178"/>
      <c r="B131" s="178"/>
      <c r="C131" s="178"/>
      <c r="D131" s="178"/>
      <c r="E131" s="178"/>
    </row>
    <row r="132">
      <c r="A132" s="178"/>
      <c r="B132" s="178"/>
      <c r="C132" s="178"/>
      <c r="D132" s="178"/>
      <c r="E132" s="178"/>
    </row>
    <row r="133">
      <c r="A133" s="178"/>
      <c r="B133" s="178"/>
      <c r="C133" s="178"/>
      <c r="D133" s="178"/>
      <c r="E133" s="178"/>
    </row>
    <row r="134">
      <c r="A134" s="178"/>
      <c r="B134" s="178"/>
      <c r="C134" s="178"/>
      <c r="D134" s="178"/>
      <c r="E134" s="178"/>
    </row>
    <row r="135">
      <c r="A135" s="178"/>
      <c r="B135" s="178"/>
      <c r="C135" s="178"/>
      <c r="D135" s="178"/>
      <c r="E135" s="178"/>
    </row>
    <row r="136">
      <c r="A136" s="178"/>
      <c r="B136" s="178"/>
      <c r="C136" s="178"/>
      <c r="D136" s="178"/>
      <c r="E136" s="178"/>
    </row>
    <row r="137">
      <c r="A137" s="178"/>
      <c r="B137" s="178"/>
      <c r="C137" s="178"/>
      <c r="D137" s="178"/>
      <c r="E137" s="178"/>
    </row>
    <row r="138">
      <c r="A138" s="178"/>
      <c r="B138" s="178"/>
      <c r="C138" s="178"/>
      <c r="D138" s="178"/>
      <c r="E138" s="178"/>
    </row>
    <row r="139">
      <c r="A139" s="178"/>
      <c r="B139" s="178"/>
      <c r="C139" s="178"/>
      <c r="D139" s="178"/>
      <c r="E139" s="178"/>
    </row>
    <row r="140">
      <c r="A140" s="178"/>
      <c r="B140" s="178"/>
      <c r="C140" s="178"/>
      <c r="D140" s="178"/>
      <c r="E140" s="178"/>
    </row>
    <row r="141">
      <c r="A141" s="178"/>
      <c r="B141" s="178"/>
      <c r="C141" s="178"/>
      <c r="D141" s="178"/>
      <c r="E141" s="178"/>
    </row>
    <row r="142">
      <c r="A142" s="178"/>
      <c r="B142" s="178"/>
      <c r="C142" s="178"/>
      <c r="D142" s="178"/>
      <c r="E142" s="178"/>
    </row>
    <row r="143">
      <c r="A143" s="178"/>
      <c r="B143" s="178"/>
      <c r="C143" s="178"/>
      <c r="D143" s="178"/>
      <c r="E143" s="178"/>
    </row>
    <row r="144">
      <c r="A144" s="178"/>
      <c r="B144" s="178"/>
      <c r="C144" s="178"/>
      <c r="D144" s="178"/>
      <c r="E144" s="178"/>
    </row>
    <row r="145">
      <c r="A145" s="178"/>
      <c r="B145" s="178"/>
      <c r="C145" s="178"/>
      <c r="D145" s="178"/>
      <c r="E145" s="178"/>
    </row>
    <row r="146">
      <c r="A146" s="178"/>
      <c r="B146" s="178"/>
      <c r="C146" s="178"/>
      <c r="D146" s="178"/>
      <c r="E146" s="178"/>
    </row>
    <row r="147">
      <c r="A147" s="178"/>
      <c r="B147" s="178"/>
      <c r="C147" s="178"/>
      <c r="D147" s="178"/>
      <c r="E147" s="178"/>
    </row>
    <row r="148">
      <c r="A148" s="178"/>
      <c r="B148" s="178"/>
      <c r="C148" s="178"/>
      <c r="D148" s="178"/>
      <c r="E148" s="178"/>
    </row>
    <row r="149">
      <c r="A149" s="178"/>
      <c r="B149" s="178"/>
      <c r="C149" s="178"/>
      <c r="D149" s="178"/>
      <c r="E149" s="178"/>
    </row>
    <row r="150">
      <c r="A150" s="178"/>
      <c r="B150" s="178"/>
      <c r="C150" s="178"/>
      <c r="D150" s="178"/>
      <c r="E150" s="178"/>
    </row>
    <row r="151">
      <c r="A151" s="178"/>
      <c r="B151" s="178"/>
      <c r="C151" s="178"/>
      <c r="D151" s="178"/>
      <c r="E151" s="178"/>
    </row>
    <row r="152">
      <c r="A152" s="178"/>
      <c r="B152" s="178"/>
      <c r="C152" s="178"/>
      <c r="D152" s="178"/>
      <c r="E152" s="178"/>
    </row>
    <row r="153">
      <c r="A153" s="178"/>
      <c r="B153" s="178"/>
      <c r="C153" s="178"/>
      <c r="D153" s="178"/>
      <c r="E153" s="178"/>
    </row>
    <row r="154">
      <c r="A154" s="178"/>
      <c r="B154" s="178"/>
      <c r="C154" s="178"/>
      <c r="D154" s="178"/>
      <c r="E154" s="178"/>
    </row>
    <row r="155">
      <c r="A155" s="178"/>
      <c r="B155" s="178"/>
      <c r="C155" s="178"/>
      <c r="D155" s="178"/>
      <c r="E155" s="178"/>
    </row>
    <row r="156">
      <c r="A156" s="178"/>
      <c r="B156" s="178"/>
      <c r="C156" s="178"/>
      <c r="D156" s="178"/>
      <c r="E156" s="178"/>
    </row>
    <row r="157">
      <c r="A157" s="178"/>
      <c r="B157" s="178"/>
      <c r="C157" s="178"/>
      <c r="D157" s="178"/>
      <c r="E157" s="178"/>
    </row>
    <row r="158">
      <c r="A158" s="178"/>
      <c r="B158" s="178"/>
      <c r="C158" s="178"/>
      <c r="D158" s="178"/>
      <c r="E158" s="178"/>
    </row>
    <row r="159">
      <c r="A159" s="178"/>
      <c r="B159" s="178"/>
      <c r="C159" s="178"/>
      <c r="D159" s="178"/>
      <c r="E159" s="178"/>
    </row>
    <row r="160">
      <c r="A160" s="178"/>
      <c r="B160" s="178"/>
      <c r="C160" s="178"/>
      <c r="D160" s="178"/>
      <c r="E160" s="178"/>
    </row>
    <row r="161">
      <c r="A161" s="178"/>
      <c r="B161" s="178"/>
      <c r="C161" s="178"/>
      <c r="D161" s="178"/>
      <c r="E161" s="178"/>
    </row>
    <row r="162">
      <c r="A162" s="178"/>
      <c r="B162" s="178"/>
      <c r="C162" s="178"/>
      <c r="D162" s="178"/>
      <c r="E162" s="178"/>
    </row>
    <row r="163">
      <c r="A163" s="178"/>
      <c r="B163" s="178"/>
      <c r="C163" s="178"/>
      <c r="D163" s="178"/>
      <c r="E163" s="178"/>
    </row>
    <row r="164">
      <c r="A164" s="178"/>
      <c r="B164" s="178"/>
      <c r="C164" s="178"/>
      <c r="D164" s="178"/>
      <c r="E164" s="178"/>
    </row>
    <row r="165">
      <c r="A165" s="178"/>
      <c r="B165" s="178"/>
      <c r="C165" s="178"/>
      <c r="D165" s="178"/>
      <c r="E165" s="178"/>
    </row>
    <row r="166">
      <c r="A166" s="178"/>
      <c r="B166" s="178"/>
      <c r="C166" s="178"/>
      <c r="D166" s="178"/>
      <c r="E166" s="178"/>
    </row>
    <row r="167">
      <c r="A167" s="178"/>
      <c r="B167" s="178"/>
      <c r="C167" s="178"/>
      <c r="D167" s="178"/>
      <c r="E167" s="178"/>
    </row>
    <row r="168">
      <c r="A168" s="178"/>
      <c r="B168" s="178"/>
      <c r="C168" s="178"/>
      <c r="D168" s="178"/>
      <c r="E168" s="178"/>
    </row>
    <row r="169">
      <c r="A169" s="178"/>
      <c r="B169" s="178"/>
      <c r="C169" s="178"/>
      <c r="D169" s="178"/>
      <c r="E169" s="178"/>
    </row>
    <row r="170">
      <c r="A170" s="178"/>
      <c r="B170" s="178"/>
      <c r="C170" s="178"/>
      <c r="D170" s="178"/>
      <c r="E170" s="178"/>
    </row>
    <row r="171">
      <c r="A171" s="178"/>
      <c r="B171" s="178"/>
      <c r="C171" s="178"/>
      <c r="D171" s="178"/>
      <c r="E171" s="178"/>
    </row>
    <row r="172">
      <c r="A172" s="178"/>
      <c r="B172" s="178"/>
      <c r="C172" s="178"/>
      <c r="D172" s="178"/>
      <c r="E172" s="178"/>
    </row>
    <row r="173">
      <c r="A173" s="178"/>
      <c r="B173" s="178"/>
      <c r="C173" s="178"/>
      <c r="D173" s="178"/>
      <c r="E173" s="178"/>
    </row>
    <row r="174">
      <c r="A174" s="178"/>
      <c r="B174" s="178"/>
      <c r="C174" s="178"/>
      <c r="D174" s="178"/>
      <c r="E174" s="178"/>
    </row>
    <row r="175">
      <c r="A175" s="178"/>
      <c r="B175" s="178"/>
      <c r="C175" s="178"/>
      <c r="D175" s="178"/>
      <c r="E175" s="178"/>
    </row>
    <row r="176">
      <c r="A176" s="178"/>
      <c r="B176" s="178"/>
      <c r="C176" s="178"/>
      <c r="D176" s="178"/>
      <c r="E176" s="178"/>
    </row>
    <row r="177">
      <c r="A177" s="178"/>
      <c r="B177" s="178"/>
      <c r="C177" s="178"/>
      <c r="D177" s="178"/>
      <c r="E177" s="178"/>
    </row>
    <row r="178">
      <c r="A178" s="178"/>
      <c r="B178" s="178"/>
      <c r="C178" s="178"/>
      <c r="D178" s="178"/>
      <c r="E178" s="178"/>
    </row>
    <row r="179">
      <c r="A179" s="178"/>
      <c r="B179" s="178"/>
      <c r="C179" s="178"/>
      <c r="D179" s="178"/>
      <c r="E179" s="178"/>
    </row>
    <row r="180">
      <c r="A180" s="178"/>
      <c r="B180" s="178"/>
      <c r="C180" s="178"/>
      <c r="D180" s="178"/>
      <c r="E180" s="178"/>
    </row>
    <row r="181">
      <c r="A181" s="178"/>
      <c r="B181" s="178"/>
      <c r="C181" s="178"/>
      <c r="D181" s="178"/>
      <c r="E181" s="178"/>
    </row>
    <row r="182">
      <c r="A182" s="178"/>
      <c r="B182" s="178"/>
      <c r="C182" s="178"/>
      <c r="D182" s="178"/>
      <c r="E182" s="178"/>
    </row>
    <row r="183">
      <c r="A183" s="178"/>
      <c r="B183" s="178"/>
      <c r="C183" s="178"/>
      <c r="D183" s="178"/>
      <c r="E183" s="178"/>
    </row>
    <row r="184">
      <c r="A184" s="178"/>
      <c r="B184" s="178"/>
      <c r="C184" s="178"/>
      <c r="D184" s="178"/>
      <c r="E184" s="178"/>
    </row>
    <row r="185">
      <c r="A185" s="178"/>
      <c r="B185" s="178"/>
      <c r="C185" s="178"/>
      <c r="D185" s="178"/>
      <c r="E185" s="178"/>
    </row>
    <row r="186">
      <c r="A186" s="178"/>
      <c r="B186" s="178"/>
      <c r="C186" s="178"/>
      <c r="D186" s="178"/>
      <c r="E186" s="178"/>
    </row>
    <row r="187">
      <c r="A187" s="178"/>
      <c r="B187" s="178"/>
      <c r="C187" s="178"/>
      <c r="D187" s="178"/>
      <c r="E187" s="178"/>
    </row>
    <row r="188">
      <c r="A188" s="178"/>
      <c r="B188" s="178"/>
      <c r="C188" s="178"/>
      <c r="D188" s="178"/>
      <c r="E188" s="178"/>
    </row>
    <row r="189">
      <c r="A189" s="178"/>
      <c r="B189" s="178"/>
      <c r="C189" s="178"/>
      <c r="D189" s="178"/>
      <c r="E189" s="178"/>
    </row>
    <row r="190">
      <c r="A190" s="178"/>
      <c r="B190" s="178"/>
      <c r="C190" s="178"/>
      <c r="D190" s="178"/>
      <c r="E190" s="178"/>
    </row>
    <row r="191">
      <c r="A191" s="178"/>
      <c r="B191" s="178"/>
      <c r="C191" s="178"/>
      <c r="D191" s="178"/>
      <c r="E191" s="178"/>
    </row>
    <row r="192">
      <c r="A192" s="178"/>
      <c r="B192" s="178"/>
      <c r="C192" s="178"/>
      <c r="D192" s="178"/>
      <c r="E192" s="178"/>
    </row>
    <row r="193">
      <c r="A193" s="178"/>
      <c r="B193" s="178"/>
      <c r="C193" s="178"/>
      <c r="D193" s="178"/>
      <c r="E193" s="178"/>
    </row>
    <row r="194">
      <c r="A194" s="178"/>
      <c r="B194" s="178"/>
      <c r="C194" s="178"/>
      <c r="D194" s="178"/>
      <c r="E194" s="178"/>
    </row>
    <row r="195">
      <c r="A195" s="178"/>
      <c r="B195" s="178"/>
      <c r="C195" s="178"/>
      <c r="D195" s="178"/>
      <c r="E195" s="178"/>
    </row>
    <row r="196">
      <c r="A196" s="178"/>
      <c r="B196" s="178"/>
      <c r="C196" s="178"/>
      <c r="D196" s="178"/>
      <c r="E196" s="178"/>
    </row>
    <row r="197">
      <c r="A197" s="178"/>
      <c r="B197" s="178"/>
      <c r="C197" s="178"/>
      <c r="D197" s="178"/>
      <c r="E197" s="178"/>
    </row>
    <row r="198">
      <c r="A198" s="178"/>
      <c r="B198" s="178"/>
      <c r="C198" s="178"/>
      <c r="D198" s="178"/>
      <c r="E198" s="178"/>
    </row>
    <row r="199">
      <c r="A199" s="178"/>
      <c r="B199" s="178"/>
      <c r="C199" s="178"/>
      <c r="D199" s="178"/>
      <c r="E199" s="178"/>
    </row>
    <row r="200">
      <c r="A200" s="178"/>
      <c r="B200" s="178"/>
      <c r="C200" s="178"/>
      <c r="D200" s="178"/>
      <c r="E200" s="178"/>
    </row>
    <row r="201">
      <c r="A201" s="178"/>
      <c r="B201" s="178"/>
      <c r="C201" s="178"/>
      <c r="D201" s="178"/>
      <c r="E201" s="178"/>
    </row>
    <row r="202">
      <c r="A202" s="178"/>
      <c r="B202" s="178"/>
      <c r="C202" s="178"/>
      <c r="D202" s="178"/>
      <c r="E202" s="178"/>
    </row>
    <row r="203">
      <c r="A203" s="178"/>
      <c r="B203" s="178"/>
      <c r="C203" s="178"/>
      <c r="D203" s="178"/>
      <c r="E203" s="178"/>
    </row>
    <row r="204">
      <c r="A204" s="178"/>
      <c r="B204" s="178"/>
      <c r="C204" s="178"/>
      <c r="D204" s="178"/>
      <c r="E204" s="178"/>
    </row>
    <row r="205">
      <c r="A205" s="178"/>
      <c r="B205" s="178"/>
      <c r="C205" s="178"/>
      <c r="D205" s="178"/>
      <c r="E205" s="178"/>
    </row>
    <row r="206">
      <c r="A206" s="178"/>
      <c r="B206" s="178"/>
      <c r="C206" s="178"/>
      <c r="D206" s="178"/>
      <c r="E206" s="178"/>
    </row>
    <row r="207">
      <c r="A207" s="178"/>
      <c r="B207" s="178"/>
      <c r="C207" s="178"/>
      <c r="D207" s="178"/>
      <c r="E207" s="178"/>
    </row>
    <row r="208">
      <c r="A208" s="178"/>
      <c r="B208" s="178"/>
      <c r="C208" s="178"/>
      <c r="D208" s="178"/>
      <c r="E208" s="178"/>
    </row>
    <row r="209">
      <c r="A209" s="178"/>
      <c r="B209" s="178"/>
      <c r="C209" s="178"/>
      <c r="D209" s="178"/>
      <c r="E209" s="178"/>
    </row>
    <row r="210">
      <c r="A210" s="178"/>
      <c r="B210" s="178"/>
      <c r="C210" s="178"/>
      <c r="D210" s="178"/>
      <c r="E210" s="178"/>
    </row>
    <row r="211">
      <c r="A211" s="178"/>
      <c r="B211" s="178"/>
      <c r="C211" s="178"/>
      <c r="D211" s="178"/>
      <c r="E211" s="178"/>
    </row>
    <row r="212">
      <c r="A212" s="178"/>
      <c r="B212" s="178"/>
      <c r="C212" s="178"/>
      <c r="D212" s="178"/>
      <c r="E212" s="178"/>
    </row>
    <row r="213">
      <c r="A213" s="178"/>
      <c r="B213" s="178"/>
      <c r="C213" s="178"/>
      <c r="D213" s="178"/>
      <c r="E213" s="178"/>
    </row>
    <row r="214">
      <c r="A214" s="178"/>
      <c r="B214" s="178"/>
      <c r="C214" s="178"/>
      <c r="D214" s="178"/>
      <c r="E214" s="178"/>
    </row>
    <row r="215">
      <c r="A215" s="178"/>
      <c r="B215" s="178"/>
      <c r="C215" s="178"/>
      <c r="D215" s="178"/>
      <c r="E215" s="178"/>
    </row>
    <row r="216">
      <c r="A216" s="178"/>
      <c r="B216" s="178"/>
      <c r="C216" s="178"/>
      <c r="D216" s="178"/>
      <c r="E216" s="178"/>
    </row>
    <row r="217">
      <c r="A217" s="178"/>
      <c r="B217" s="178"/>
      <c r="C217" s="178"/>
      <c r="D217" s="178"/>
      <c r="E217" s="178"/>
    </row>
    <row r="218">
      <c r="A218" s="178"/>
      <c r="B218" s="178"/>
      <c r="C218" s="178"/>
      <c r="D218" s="178"/>
      <c r="E218" s="178"/>
    </row>
    <row r="219">
      <c r="A219" s="178"/>
      <c r="B219" s="178"/>
      <c r="C219" s="178"/>
      <c r="D219" s="178"/>
      <c r="E219" s="178"/>
    </row>
    <row r="220">
      <c r="A220" s="178"/>
      <c r="B220" s="178"/>
      <c r="C220" s="178"/>
      <c r="D220" s="178"/>
      <c r="E220" s="178"/>
    </row>
    <row r="221">
      <c r="A221" s="178"/>
      <c r="B221" s="178"/>
      <c r="C221" s="178"/>
      <c r="D221" s="178"/>
      <c r="E221" s="178"/>
    </row>
    <row r="222">
      <c r="A222" s="178"/>
      <c r="B222" s="178"/>
      <c r="C222" s="178"/>
      <c r="D222" s="178"/>
      <c r="E222" s="178"/>
    </row>
    <row r="223">
      <c r="A223" s="178"/>
      <c r="B223" s="178"/>
      <c r="C223" s="178"/>
      <c r="D223" s="178"/>
      <c r="E223" s="178"/>
    </row>
    <row r="224">
      <c r="A224" s="178"/>
      <c r="B224" s="178"/>
      <c r="C224" s="178"/>
      <c r="D224" s="178"/>
      <c r="E224" s="178"/>
    </row>
    <row r="225">
      <c r="A225" s="178"/>
      <c r="B225" s="178"/>
      <c r="C225" s="178"/>
      <c r="D225" s="178"/>
      <c r="E225" s="178"/>
    </row>
    <row r="226">
      <c r="A226" s="178"/>
      <c r="B226" s="178"/>
      <c r="C226" s="178"/>
      <c r="D226" s="178"/>
      <c r="E226" s="178"/>
    </row>
    <row r="227">
      <c r="A227" s="178"/>
      <c r="B227" s="178"/>
      <c r="C227" s="178"/>
      <c r="D227" s="178"/>
      <c r="E227" s="178"/>
    </row>
    <row r="228">
      <c r="A228" s="178"/>
      <c r="B228" s="178"/>
      <c r="C228" s="178"/>
      <c r="D228" s="178"/>
      <c r="E228" s="178"/>
    </row>
    <row r="229">
      <c r="A229" s="178"/>
      <c r="B229" s="178"/>
      <c r="C229" s="178"/>
      <c r="D229" s="178"/>
      <c r="E229" s="178"/>
    </row>
    <row r="230">
      <c r="A230" s="178"/>
      <c r="B230" s="178"/>
      <c r="C230" s="178"/>
      <c r="D230" s="178"/>
      <c r="E230" s="178"/>
    </row>
    <row r="231">
      <c r="A231" s="178"/>
      <c r="B231" s="178"/>
      <c r="C231" s="178"/>
      <c r="D231" s="178"/>
      <c r="E231" s="178"/>
    </row>
    <row r="232">
      <c r="A232" s="178"/>
      <c r="B232" s="178"/>
      <c r="C232" s="178"/>
      <c r="D232" s="178"/>
      <c r="E232" s="178"/>
    </row>
    <row r="233">
      <c r="A233" s="178"/>
      <c r="B233" s="178"/>
      <c r="C233" s="178"/>
      <c r="D233" s="178"/>
      <c r="E233" s="178"/>
    </row>
    <row r="234">
      <c r="A234" s="178"/>
      <c r="B234" s="178"/>
      <c r="C234" s="178"/>
      <c r="D234" s="178"/>
      <c r="E234" s="178"/>
    </row>
    <row r="235">
      <c r="A235" s="178"/>
      <c r="B235" s="178"/>
      <c r="C235" s="178"/>
      <c r="D235" s="178"/>
      <c r="E235" s="178"/>
    </row>
    <row r="236">
      <c r="A236" s="178"/>
      <c r="B236" s="178"/>
      <c r="C236" s="178"/>
      <c r="D236" s="178"/>
      <c r="E236" s="178"/>
    </row>
    <row r="237">
      <c r="A237" s="178"/>
      <c r="B237" s="178"/>
      <c r="C237" s="178"/>
      <c r="D237" s="178"/>
      <c r="E237" s="178"/>
    </row>
    <row r="238">
      <c r="A238" s="178"/>
      <c r="B238" s="178"/>
      <c r="C238" s="178"/>
      <c r="D238" s="178"/>
      <c r="E238" s="178"/>
    </row>
    <row r="239">
      <c r="A239" s="178"/>
      <c r="B239" s="178"/>
      <c r="C239" s="178"/>
      <c r="D239" s="178"/>
      <c r="E239" s="178"/>
    </row>
    <row r="240">
      <c r="A240" s="178"/>
      <c r="B240" s="178"/>
      <c r="C240" s="178"/>
      <c r="D240" s="178"/>
      <c r="E240" s="178"/>
    </row>
    <row r="241">
      <c r="A241" s="178"/>
      <c r="B241" s="178"/>
      <c r="C241" s="178"/>
      <c r="D241" s="178"/>
      <c r="E241" s="178"/>
    </row>
    <row r="242">
      <c r="A242" s="178"/>
      <c r="B242" s="178"/>
      <c r="C242" s="178"/>
      <c r="D242" s="178"/>
      <c r="E242" s="178"/>
    </row>
    <row r="243">
      <c r="A243" s="178"/>
      <c r="B243" s="178"/>
      <c r="C243" s="178"/>
      <c r="D243" s="178"/>
      <c r="E243" s="178"/>
    </row>
    <row r="244">
      <c r="A244" s="178"/>
      <c r="B244" s="178"/>
      <c r="C244" s="178"/>
      <c r="D244" s="178"/>
      <c r="E244" s="178"/>
    </row>
    <row r="245">
      <c r="A245" s="178"/>
      <c r="B245" s="178"/>
      <c r="C245" s="178"/>
      <c r="D245" s="178"/>
      <c r="E245" s="178"/>
    </row>
    <row r="246">
      <c r="A246" s="178"/>
      <c r="B246" s="178"/>
      <c r="C246" s="178"/>
      <c r="D246" s="178"/>
      <c r="E246" s="178"/>
    </row>
    <row r="247">
      <c r="A247" s="178"/>
      <c r="B247" s="178"/>
      <c r="C247" s="178"/>
      <c r="D247" s="178"/>
      <c r="E247" s="178"/>
    </row>
    <row r="248">
      <c r="A248" s="178"/>
      <c r="B248" s="178"/>
      <c r="C248" s="178"/>
      <c r="D248" s="178"/>
      <c r="E248" s="178"/>
    </row>
    <row r="249">
      <c r="A249" s="178"/>
      <c r="B249" s="178"/>
      <c r="C249" s="178"/>
      <c r="D249" s="178"/>
      <c r="E249" s="178"/>
    </row>
    <row r="250">
      <c r="A250" s="178"/>
      <c r="B250" s="178"/>
      <c r="C250" s="178"/>
      <c r="D250" s="178"/>
      <c r="E250" s="178"/>
    </row>
    <row r="251">
      <c r="A251" s="178"/>
      <c r="B251" s="178"/>
      <c r="C251" s="178"/>
      <c r="D251" s="178"/>
      <c r="E251" s="178"/>
    </row>
    <row r="252">
      <c r="A252" s="178"/>
      <c r="B252" s="178"/>
      <c r="C252" s="178"/>
      <c r="D252" s="178"/>
      <c r="E252" s="178"/>
    </row>
    <row r="253">
      <c r="A253" s="178"/>
      <c r="B253" s="178"/>
      <c r="C253" s="178"/>
      <c r="D253" s="178"/>
      <c r="E253" s="178"/>
    </row>
    <row r="254">
      <c r="A254" s="178"/>
      <c r="B254" s="178"/>
      <c r="C254" s="178"/>
      <c r="D254" s="178"/>
      <c r="E254" s="178"/>
    </row>
    <row r="255">
      <c r="A255" s="178"/>
      <c r="B255" s="178"/>
      <c r="C255" s="178"/>
      <c r="D255" s="178"/>
      <c r="E255" s="178"/>
    </row>
    <row r="256">
      <c r="A256" s="178"/>
      <c r="B256" s="178"/>
      <c r="C256" s="178"/>
      <c r="D256" s="178"/>
      <c r="E256" s="178"/>
    </row>
    <row r="257">
      <c r="A257" s="178"/>
      <c r="B257" s="178"/>
      <c r="C257" s="178"/>
      <c r="D257" s="178"/>
      <c r="E257" s="178"/>
    </row>
    <row r="258">
      <c r="A258" s="178"/>
      <c r="B258" s="178"/>
      <c r="C258" s="178"/>
      <c r="D258" s="178"/>
      <c r="E258" s="178"/>
    </row>
    <row r="259">
      <c r="A259" s="178"/>
      <c r="B259" s="178"/>
      <c r="C259" s="178"/>
      <c r="D259" s="178"/>
      <c r="E259" s="178"/>
    </row>
    <row r="260">
      <c r="A260" s="178"/>
      <c r="B260" s="178"/>
      <c r="C260" s="178"/>
      <c r="D260" s="178"/>
      <c r="E260" s="178"/>
    </row>
    <row r="261">
      <c r="A261" s="178"/>
      <c r="B261" s="178"/>
      <c r="C261" s="178"/>
      <c r="D261" s="178"/>
      <c r="E261" s="178"/>
    </row>
    <row r="262">
      <c r="A262" s="178"/>
      <c r="B262" s="178"/>
      <c r="C262" s="178"/>
      <c r="D262" s="178"/>
      <c r="E262" s="178"/>
    </row>
    <row r="263">
      <c r="A263" s="178"/>
      <c r="B263" s="178"/>
      <c r="C263" s="178"/>
      <c r="D263" s="178"/>
      <c r="E263" s="178"/>
    </row>
    <row r="264">
      <c r="A264" s="178"/>
      <c r="B264" s="178"/>
      <c r="C264" s="178"/>
      <c r="D264" s="178"/>
      <c r="E264" s="178"/>
    </row>
    <row r="265">
      <c r="A265" s="178"/>
      <c r="B265" s="178"/>
      <c r="C265" s="178"/>
      <c r="D265" s="178"/>
      <c r="E265" s="178"/>
    </row>
    <row r="266">
      <c r="A266" s="178"/>
      <c r="B266" s="178"/>
      <c r="C266" s="178"/>
      <c r="D266" s="178"/>
      <c r="E266" s="178"/>
    </row>
    <row r="267">
      <c r="A267" s="178"/>
      <c r="B267" s="178"/>
      <c r="C267" s="178"/>
      <c r="D267" s="178"/>
      <c r="E267" s="178"/>
    </row>
    <row r="268">
      <c r="A268" s="178"/>
      <c r="B268" s="178"/>
      <c r="C268" s="178"/>
      <c r="D268" s="178"/>
      <c r="E268" s="178"/>
    </row>
    <row r="269">
      <c r="A269" s="178"/>
      <c r="B269" s="178"/>
      <c r="C269" s="178"/>
      <c r="D269" s="178"/>
      <c r="E269" s="178"/>
    </row>
    <row r="270">
      <c r="A270" s="178"/>
      <c r="B270" s="178"/>
      <c r="C270" s="178"/>
      <c r="D270" s="178"/>
      <c r="E270" s="178"/>
    </row>
    <row r="271">
      <c r="A271" s="178"/>
      <c r="B271" s="178"/>
      <c r="C271" s="178"/>
      <c r="D271" s="178"/>
      <c r="E271" s="178"/>
    </row>
    <row r="272">
      <c r="A272" s="178"/>
      <c r="B272" s="178"/>
      <c r="C272" s="178"/>
      <c r="D272" s="178"/>
      <c r="E272" s="178"/>
    </row>
    <row r="273">
      <c r="A273" s="178"/>
      <c r="B273" s="178"/>
      <c r="C273" s="178"/>
      <c r="D273" s="178"/>
      <c r="E273" s="178"/>
    </row>
    <row r="274">
      <c r="A274" s="178"/>
      <c r="B274" s="178"/>
      <c r="C274" s="178"/>
      <c r="D274" s="178"/>
      <c r="E274" s="178"/>
    </row>
    <row r="275">
      <c r="A275" s="178"/>
      <c r="B275" s="178"/>
      <c r="C275" s="178"/>
      <c r="D275" s="178"/>
      <c r="E275" s="178"/>
    </row>
    <row r="276">
      <c r="A276" s="178"/>
      <c r="B276" s="178"/>
      <c r="C276" s="178"/>
      <c r="D276" s="178"/>
      <c r="E276" s="178"/>
    </row>
    <row r="277">
      <c r="A277" s="178"/>
      <c r="B277" s="178"/>
      <c r="C277" s="178"/>
      <c r="D277" s="178"/>
      <c r="E277" s="178"/>
    </row>
    <row r="278">
      <c r="A278" s="178"/>
      <c r="B278" s="178"/>
      <c r="C278" s="178"/>
      <c r="D278" s="178"/>
      <c r="E278" s="178"/>
    </row>
    <row r="279">
      <c r="A279" s="178"/>
      <c r="B279" s="178"/>
      <c r="C279" s="178"/>
      <c r="D279" s="178"/>
      <c r="E279" s="178"/>
    </row>
    <row r="280">
      <c r="A280" s="178"/>
      <c r="B280" s="178"/>
      <c r="C280" s="178"/>
      <c r="D280" s="178"/>
      <c r="E280" s="178"/>
    </row>
    <row r="281">
      <c r="A281" s="178"/>
      <c r="B281" s="178"/>
      <c r="C281" s="178"/>
      <c r="D281" s="178"/>
      <c r="E281" s="178"/>
    </row>
    <row r="282">
      <c r="A282" s="178"/>
      <c r="B282" s="178"/>
      <c r="C282" s="178"/>
      <c r="D282" s="178"/>
      <c r="E282" s="178"/>
    </row>
    <row r="283">
      <c r="A283" s="178"/>
      <c r="B283" s="178"/>
      <c r="C283" s="178"/>
      <c r="D283" s="178"/>
      <c r="E283" s="178"/>
    </row>
    <row r="284">
      <c r="A284" s="178"/>
      <c r="B284" s="178"/>
      <c r="C284" s="178"/>
      <c r="D284" s="178"/>
      <c r="E284" s="178"/>
    </row>
    <row r="285">
      <c r="A285" s="178"/>
      <c r="B285" s="178"/>
      <c r="C285" s="178"/>
      <c r="D285" s="178"/>
      <c r="E285" s="178"/>
    </row>
    <row r="286">
      <c r="A286" s="178"/>
      <c r="B286" s="178"/>
      <c r="C286" s="178"/>
      <c r="D286" s="178"/>
      <c r="E286" s="178"/>
    </row>
    <row r="287">
      <c r="A287" s="178"/>
      <c r="B287" s="178"/>
      <c r="C287" s="178"/>
      <c r="D287" s="178"/>
      <c r="E287" s="178"/>
    </row>
    <row r="288">
      <c r="A288" s="178"/>
      <c r="B288" s="178"/>
      <c r="C288" s="178"/>
      <c r="D288" s="178"/>
      <c r="E288" s="178"/>
    </row>
    <row r="289">
      <c r="A289" s="178"/>
      <c r="B289" s="178"/>
      <c r="C289" s="178"/>
      <c r="D289" s="178"/>
      <c r="E289" s="178"/>
    </row>
    <row r="290">
      <c r="A290" s="178"/>
      <c r="B290" s="178"/>
      <c r="C290" s="178"/>
      <c r="D290" s="178"/>
      <c r="E290" s="178"/>
    </row>
    <row r="291">
      <c r="A291" s="178"/>
      <c r="B291" s="178"/>
      <c r="C291" s="178"/>
      <c r="D291" s="178"/>
      <c r="E291" s="178"/>
    </row>
    <row r="292">
      <c r="A292" s="178"/>
      <c r="B292" s="178"/>
      <c r="C292" s="178"/>
      <c r="D292" s="178"/>
      <c r="E292" s="178"/>
    </row>
    <row r="293">
      <c r="A293" s="178"/>
      <c r="B293" s="178"/>
      <c r="C293" s="178"/>
      <c r="D293" s="178"/>
      <c r="E293" s="178"/>
    </row>
    <row r="294">
      <c r="A294" s="178"/>
      <c r="B294" s="178"/>
      <c r="C294" s="178"/>
      <c r="D294" s="178"/>
      <c r="E294" s="178"/>
    </row>
    <row r="295">
      <c r="A295" s="178"/>
      <c r="B295" s="178"/>
      <c r="C295" s="178"/>
      <c r="D295" s="178"/>
      <c r="E295" s="178"/>
    </row>
    <row r="296">
      <c r="A296" s="178"/>
      <c r="B296" s="178"/>
      <c r="C296" s="178"/>
      <c r="D296" s="178"/>
      <c r="E296" s="178"/>
    </row>
    <row r="297">
      <c r="A297" s="178"/>
      <c r="B297" s="178"/>
      <c r="C297" s="178"/>
      <c r="D297" s="178"/>
      <c r="E297" s="178"/>
    </row>
    <row r="298">
      <c r="A298" s="178"/>
      <c r="B298" s="178"/>
      <c r="C298" s="178"/>
      <c r="D298" s="178"/>
      <c r="E298" s="178"/>
    </row>
    <row r="299">
      <c r="A299" s="178"/>
      <c r="B299" s="178"/>
      <c r="C299" s="178"/>
      <c r="D299" s="178"/>
      <c r="E299" s="178"/>
    </row>
    <row r="300">
      <c r="A300" s="178"/>
      <c r="B300" s="178"/>
      <c r="C300" s="178"/>
      <c r="D300" s="178"/>
      <c r="E300" s="178"/>
    </row>
    <row r="301">
      <c r="A301" s="178"/>
      <c r="B301" s="178"/>
      <c r="C301" s="178"/>
      <c r="D301" s="178"/>
      <c r="E301" s="178"/>
    </row>
    <row r="302">
      <c r="A302" s="178"/>
      <c r="B302" s="178"/>
      <c r="C302" s="178"/>
      <c r="D302" s="178"/>
      <c r="E302" s="178"/>
    </row>
    <row r="303">
      <c r="A303" s="178"/>
      <c r="B303" s="178"/>
      <c r="C303" s="178"/>
      <c r="D303" s="178"/>
      <c r="E303" s="178"/>
    </row>
    <row r="304">
      <c r="A304" s="178"/>
      <c r="B304" s="178"/>
      <c r="C304" s="178"/>
      <c r="D304" s="178"/>
      <c r="E304" s="178"/>
    </row>
    <row r="305">
      <c r="A305" s="178"/>
      <c r="B305" s="178"/>
      <c r="C305" s="178"/>
      <c r="D305" s="178"/>
      <c r="E305" s="178"/>
    </row>
    <row r="306">
      <c r="A306" s="178"/>
      <c r="B306" s="178"/>
      <c r="C306" s="178"/>
      <c r="D306" s="178"/>
      <c r="E306" s="178"/>
    </row>
    <row r="307">
      <c r="A307" s="178"/>
      <c r="B307" s="178"/>
      <c r="C307" s="178"/>
      <c r="D307" s="178"/>
      <c r="E307" s="178"/>
    </row>
    <row r="308">
      <c r="A308" s="178"/>
      <c r="B308" s="178"/>
      <c r="C308" s="178"/>
      <c r="D308" s="178"/>
      <c r="E308" s="178"/>
    </row>
    <row r="309">
      <c r="A309" s="178"/>
      <c r="B309" s="178"/>
      <c r="C309" s="178"/>
      <c r="D309" s="178"/>
      <c r="E309" s="178"/>
    </row>
    <row r="310">
      <c r="A310" s="178"/>
      <c r="B310" s="178"/>
      <c r="C310" s="178"/>
      <c r="D310" s="178"/>
      <c r="E310" s="178"/>
    </row>
    <row r="311">
      <c r="A311" s="178"/>
      <c r="B311" s="178"/>
      <c r="C311" s="178"/>
      <c r="D311" s="178"/>
      <c r="E311" s="178"/>
    </row>
    <row r="312">
      <c r="A312" s="178"/>
      <c r="B312" s="178"/>
      <c r="C312" s="178"/>
      <c r="D312" s="178"/>
      <c r="E312" s="178"/>
    </row>
    <row r="313">
      <c r="A313" s="178"/>
      <c r="B313" s="178"/>
      <c r="C313" s="178"/>
      <c r="D313" s="178"/>
      <c r="E313" s="178"/>
    </row>
    <row r="314">
      <c r="A314" s="178"/>
      <c r="B314" s="178"/>
      <c r="C314" s="178"/>
      <c r="D314" s="178"/>
      <c r="E314" s="178"/>
    </row>
    <row r="315">
      <c r="A315" s="178"/>
      <c r="B315" s="178"/>
      <c r="C315" s="178"/>
      <c r="D315" s="178"/>
      <c r="E315" s="178"/>
    </row>
    <row r="316">
      <c r="A316" s="178"/>
      <c r="B316" s="178"/>
      <c r="C316" s="178"/>
      <c r="D316" s="178"/>
      <c r="E316" s="178"/>
    </row>
    <row r="317">
      <c r="A317" s="178"/>
      <c r="B317" s="178"/>
      <c r="C317" s="178"/>
      <c r="D317" s="178"/>
      <c r="E317" s="178"/>
    </row>
    <row r="318">
      <c r="A318" s="178"/>
      <c r="B318" s="178"/>
      <c r="C318" s="178"/>
      <c r="D318" s="178"/>
      <c r="E318" s="178"/>
    </row>
    <row r="319">
      <c r="A319" s="178"/>
      <c r="B319" s="178"/>
      <c r="C319" s="178"/>
      <c r="D319" s="178"/>
      <c r="E319" s="178"/>
    </row>
    <row r="320">
      <c r="A320" s="178"/>
      <c r="B320" s="178"/>
      <c r="C320" s="178"/>
      <c r="D320" s="178"/>
      <c r="E320" s="178"/>
    </row>
    <row r="321">
      <c r="A321" s="178"/>
      <c r="B321" s="178"/>
      <c r="C321" s="178"/>
      <c r="D321" s="178"/>
      <c r="E321" s="178"/>
    </row>
    <row r="322">
      <c r="A322" s="178"/>
      <c r="B322" s="178"/>
      <c r="C322" s="178"/>
      <c r="D322" s="178"/>
      <c r="E322" s="178"/>
    </row>
    <row r="323">
      <c r="A323" s="178"/>
      <c r="B323" s="178"/>
      <c r="C323" s="178"/>
      <c r="D323" s="178"/>
      <c r="E323" s="178"/>
    </row>
    <row r="324">
      <c r="A324" s="178"/>
      <c r="B324" s="178"/>
      <c r="C324" s="178"/>
      <c r="D324" s="178"/>
      <c r="E324" s="178"/>
    </row>
    <row r="325">
      <c r="A325" s="178"/>
      <c r="B325" s="178"/>
      <c r="C325" s="178"/>
      <c r="D325" s="178"/>
      <c r="E325" s="178"/>
    </row>
    <row r="326">
      <c r="A326" s="178"/>
      <c r="B326" s="178"/>
      <c r="C326" s="178"/>
      <c r="D326" s="178"/>
      <c r="E326" s="178"/>
    </row>
    <row r="327">
      <c r="A327" s="178"/>
      <c r="B327" s="178"/>
      <c r="C327" s="178"/>
      <c r="D327" s="178"/>
      <c r="E327" s="178"/>
    </row>
    <row r="328">
      <c r="A328" s="178"/>
      <c r="B328" s="178"/>
      <c r="C328" s="178"/>
      <c r="D328" s="178"/>
      <c r="E328" s="178"/>
    </row>
    <row r="329">
      <c r="A329" s="178"/>
      <c r="B329" s="178"/>
      <c r="C329" s="178"/>
      <c r="D329" s="178"/>
      <c r="E329" s="178"/>
    </row>
    <row r="330">
      <c r="A330" s="178"/>
      <c r="B330" s="178"/>
      <c r="C330" s="178"/>
      <c r="D330" s="178"/>
      <c r="E330" s="178"/>
    </row>
    <row r="331">
      <c r="A331" s="178"/>
      <c r="B331" s="178"/>
      <c r="C331" s="178"/>
      <c r="D331" s="178"/>
      <c r="E331" s="178"/>
    </row>
    <row r="332">
      <c r="A332" s="178"/>
      <c r="B332" s="178"/>
      <c r="C332" s="178"/>
      <c r="D332" s="178"/>
      <c r="E332" s="178"/>
    </row>
    <row r="333">
      <c r="A333" s="178"/>
      <c r="B333" s="178"/>
      <c r="C333" s="178"/>
      <c r="D333" s="178"/>
      <c r="E333" s="178"/>
    </row>
    <row r="334">
      <c r="A334" s="178"/>
      <c r="B334" s="178"/>
      <c r="C334" s="178"/>
      <c r="D334" s="178"/>
      <c r="E334" s="178"/>
    </row>
    <row r="335">
      <c r="A335" s="178"/>
      <c r="B335" s="178"/>
      <c r="C335" s="178"/>
      <c r="D335" s="178"/>
      <c r="E335" s="178"/>
    </row>
    <row r="336">
      <c r="A336" s="178"/>
      <c r="B336" s="178"/>
      <c r="C336" s="178"/>
      <c r="D336" s="178"/>
      <c r="E336" s="178"/>
    </row>
    <row r="337">
      <c r="A337" s="178"/>
      <c r="B337" s="178"/>
      <c r="C337" s="178"/>
      <c r="D337" s="178"/>
      <c r="E337" s="178"/>
    </row>
    <row r="338">
      <c r="A338" s="178"/>
      <c r="B338" s="178"/>
      <c r="C338" s="178"/>
      <c r="D338" s="178"/>
      <c r="E338" s="178"/>
    </row>
    <row r="339">
      <c r="A339" s="178"/>
      <c r="B339" s="178"/>
      <c r="C339" s="178"/>
      <c r="D339" s="178"/>
      <c r="E339" s="178"/>
    </row>
    <row r="340">
      <c r="A340" s="178"/>
      <c r="B340" s="178"/>
      <c r="C340" s="178"/>
      <c r="D340" s="178"/>
      <c r="E340" s="178"/>
    </row>
    <row r="341">
      <c r="A341" s="178"/>
      <c r="B341" s="178"/>
      <c r="C341" s="178"/>
      <c r="D341" s="178"/>
      <c r="E341" s="178"/>
    </row>
    <row r="342">
      <c r="A342" s="178"/>
      <c r="B342" s="178"/>
      <c r="C342" s="178"/>
      <c r="D342" s="178"/>
      <c r="E342" s="178"/>
    </row>
    <row r="343">
      <c r="A343" s="178"/>
      <c r="B343" s="178"/>
      <c r="C343" s="178"/>
      <c r="D343" s="178"/>
      <c r="E343" s="178"/>
    </row>
    <row r="344">
      <c r="A344" s="178"/>
      <c r="B344" s="178"/>
      <c r="C344" s="178"/>
      <c r="D344" s="178"/>
      <c r="E344" s="178"/>
    </row>
    <row r="345">
      <c r="A345" s="178"/>
      <c r="B345" s="178"/>
      <c r="C345" s="178"/>
      <c r="D345" s="178"/>
      <c r="E345" s="178"/>
    </row>
    <row r="346">
      <c r="A346" s="178"/>
      <c r="B346" s="178"/>
      <c r="C346" s="178"/>
      <c r="D346" s="178"/>
      <c r="E346" s="178"/>
    </row>
    <row r="347">
      <c r="A347" s="178"/>
      <c r="B347" s="178"/>
      <c r="C347" s="178"/>
      <c r="D347" s="178"/>
      <c r="E347" s="178"/>
    </row>
    <row r="348">
      <c r="A348" s="178"/>
      <c r="B348" s="178"/>
      <c r="C348" s="178"/>
      <c r="D348" s="178"/>
      <c r="E348" s="178"/>
    </row>
    <row r="349">
      <c r="A349" s="178"/>
      <c r="B349" s="178"/>
      <c r="C349" s="178"/>
      <c r="D349" s="178"/>
      <c r="E349" s="178"/>
    </row>
    <row r="350">
      <c r="A350" s="178"/>
      <c r="B350" s="178"/>
      <c r="C350" s="178"/>
      <c r="D350" s="178"/>
      <c r="E350" s="178"/>
    </row>
    <row r="351">
      <c r="A351" s="178"/>
      <c r="B351" s="178"/>
      <c r="C351" s="178"/>
      <c r="D351" s="178"/>
      <c r="E351" s="178"/>
    </row>
    <row r="352">
      <c r="A352" s="178"/>
      <c r="B352" s="178"/>
      <c r="C352" s="178"/>
      <c r="D352" s="178"/>
      <c r="E352" s="178"/>
    </row>
    <row r="353">
      <c r="A353" s="178"/>
      <c r="B353" s="178"/>
      <c r="C353" s="178"/>
      <c r="D353" s="178"/>
      <c r="E353" s="178"/>
    </row>
    <row r="354">
      <c r="A354" s="178"/>
      <c r="B354" s="178"/>
      <c r="C354" s="178"/>
      <c r="D354" s="178"/>
      <c r="E354" s="178"/>
    </row>
    <row r="355">
      <c r="A355" s="178"/>
      <c r="B355" s="178"/>
      <c r="C355" s="178"/>
      <c r="D355" s="178"/>
      <c r="E355" s="178"/>
    </row>
    <row r="356">
      <c r="A356" s="178"/>
      <c r="B356" s="178"/>
      <c r="C356" s="178"/>
      <c r="D356" s="178"/>
      <c r="E356" s="178"/>
    </row>
    <row r="357">
      <c r="A357" s="178"/>
      <c r="B357" s="178"/>
      <c r="C357" s="178"/>
      <c r="D357" s="178"/>
      <c r="E357" s="178"/>
    </row>
    <row r="358">
      <c r="A358" s="178"/>
      <c r="B358" s="178"/>
      <c r="C358" s="178"/>
      <c r="D358" s="178"/>
      <c r="E358" s="178"/>
    </row>
    <row r="359">
      <c r="A359" s="178"/>
      <c r="B359" s="178"/>
      <c r="C359" s="178"/>
      <c r="D359" s="178"/>
      <c r="E359" s="178"/>
    </row>
    <row r="360">
      <c r="A360" s="178"/>
      <c r="B360" s="178"/>
      <c r="C360" s="178"/>
      <c r="D360" s="178"/>
      <c r="E360" s="178"/>
    </row>
    <row r="361">
      <c r="A361" s="178"/>
      <c r="B361" s="178"/>
      <c r="C361" s="178"/>
      <c r="D361" s="178"/>
      <c r="E361" s="178"/>
    </row>
    <row r="362">
      <c r="A362" s="178"/>
      <c r="B362" s="178"/>
      <c r="C362" s="178"/>
      <c r="D362" s="178"/>
      <c r="E362" s="178"/>
    </row>
    <row r="363">
      <c r="A363" s="178"/>
      <c r="B363" s="178"/>
      <c r="C363" s="178"/>
      <c r="D363" s="178"/>
      <c r="E363" s="178"/>
    </row>
    <row r="364">
      <c r="A364" s="178"/>
      <c r="B364" s="178"/>
      <c r="C364" s="178"/>
      <c r="D364" s="178"/>
      <c r="E364" s="178"/>
    </row>
    <row r="365">
      <c r="A365" s="178"/>
      <c r="B365" s="178"/>
      <c r="C365" s="178"/>
      <c r="D365" s="178"/>
      <c r="E365" s="178"/>
    </row>
    <row r="366">
      <c r="A366" s="178"/>
      <c r="B366" s="178"/>
      <c r="C366" s="178"/>
      <c r="D366" s="178"/>
      <c r="E366" s="178"/>
    </row>
    <row r="367">
      <c r="A367" s="178"/>
      <c r="B367" s="178"/>
      <c r="C367" s="178"/>
      <c r="D367" s="178"/>
      <c r="E367" s="178"/>
    </row>
    <row r="368">
      <c r="A368" s="178"/>
      <c r="B368" s="178"/>
      <c r="C368" s="178"/>
      <c r="D368" s="178"/>
      <c r="E368" s="178"/>
    </row>
    <row r="369">
      <c r="A369" s="178"/>
      <c r="B369" s="178"/>
      <c r="C369" s="178"/>
      <c r="D369" s="178"/>
      <c r="E369" s="178"/>
    </row>
    <row r="370">
      <c r="A370" s="178"/>
      <c r="B370" s="178"/>
      <c r="C370" s="178"/>
      <c r="D370" s="178"/>
      <c r="E370" s="178"/>
    </row>
    <row r="371">
      <c r="A371" s="178"/>
      <c r="B371" s="178"/>
      <c r="C371" s="178"/>
      <c r="D371" s="178"/>
      <c r="E371" s="178"/>
    </row>
    <row r="372">
      <c r="A372" s="178"/>
      <c r="B372" s="178"/>
      <c r="C372" s="178"/>
      <c r="D372" s="178"/>
      <c r="E372" s="178"/>
    </row>
    <row r="373">
      <c r="A373" s="178"/>
      <c r="B373" s="178"/>
      <c r="C373" s="178"/>
      <c r="D373" s="178"/>
      <c r="E373" s="178"/>
    </row>
    <row r="374">
      <c r="A374" s="178"/>
      <c r="B374" s="178"/>
      <c r="C374" s="178"/>
      <c r="D374" s="178"/>
      <c r="E374" s="178"/>
    </row>
    <row r="375">
      <c r="A375" s="178"/>
      <c r="B375" s="178"/>
      <c r="C375" s="178"/>
      <c r="D375" s="178"/>
      <c r="E375" s="178"/>
    </row>
    <row r="376">
      <c r="A376" s="178"/>
      <c r="B376" s="178"/>
      <c r="C376" s="178"/>
      <c r="D376" s="178"/>
      <c r="E376" s="178"/>
    </row>
    <row r="377">
      <c r="A377" s="178"/>
      <c r="B377" s="178"/>
      <c r="C377" s="178"/>
      <c r="D377" s="178"/>
      <c r="E377" s="178"/>
    </row>
    <row r="378">
      <c r="A378" s="178"/>
      <c r="B378" s="178"/>
      <c r="C378" s="178"/>
      <c r="D378" s="178"/>
      <c r="E378" s="178"/>
    </row>
    <row r="379">
      <c r="A379" s="178"/>
      <c r="B379" s="178"/>
      <c r="C379" s="178"/>
      <c r="D379" s="178"/>
      <c r="E379" s="178"/>
    </row>
    <row r="380">
      <c r="A380" s="178"/>
      <c r="B380" s="178"/>
      <c r="C380" s="178"/>
      <c r="D380" s="178"/>
      <c r="E380" s="178"/>
    </row>
    <row r="381">
      <c r="A381" s="178"/>
      <c r="B381" s="178"/>
      <c r="C381" s="178"/>
      <c r="D381" s="178"/>
      <c r="E381" s="178"/>
    </row>
    <row r="382">
      <c r="A382" s="178"/>
      <c r="B382" s="178"/>
      <c r="C382" s="178"/>
      <c r="D382" s="178"/>
      <c r="E382" s="178"/>
    </row>
    <row r="383">
      <c r="A383" s="178"/>
      <c r="B383" s="178"/>
      <c r="C383" s="178"/>
      <c r="D383" s="178"/>
      <c r="E383" s="178"/>
    </row>
    <row r="384">
      <c r="A384" s="178"/>
      <c r="B384" s="178"/>
      <c r="C384" s="178"/>
      <c r="D384" s="178"/>
      <c r="E384" s="178"/>
    </row>
    <row r="385">
      <c r="A385" s="178"/>
      <c r="B385" s="178"/>
      <c r="C385" s="178"/>
      <c r="D385" s="178"/>
      <c r="E385" s="178"/>
    </row>
    <row r="386">
      <c r="A386" s="178"/>
      <c r="B386" s="178"/>
      <c r="C386" s="178"/>
      <c r="D386" s="178"/>
      <c r="E386" s="178"/>
    </row>
    <row r="387">
      <c r="A387" s="178"/>
      <c r="B387" s="178"/>
      <c r="C387" s="178"/>
      <c r="D387" s="178"/>
      <c r="E387" s="178"/>
    </row>
    <row r="388">
      <c r="A388" s="178"/>
      <c r="B388" s="178"/>
      <c r="C388" s="178"/>
      <c r="D388" s="178"/>
      <c r="E388" s="178"/>
    </row>
    <row r="389">
      <c r="A389" s="178"/>
      <c r="B389" s="178"/>
      <c r="C389" s="178"/>
      <c r="D389" s="178"/>
      <c r="E389" s="178"/>
    </row>
    <row r="390">
      <c r="A390" s="178"/>
      <c r="B390" s="178"/>
      <c r="C390" s="178"/>
      <c r="D390" s="178"/>
      <c r="E390" s="178"/>
    </row>
    <row r="391">
      <c r="A391" s="178"/>
      <c r="B391" s="178"/>
      <c r="C391" s="178"/>
      <c r="D391" s="178"/>
      <c r="E391" s="178"/>
    </row>
    <row r="392">
      <c r="A392" s="178"/>
      <c r="B392" s="178"/>
      <c r="C392" s="178"/>
      <c r="D392" s="178"/>
      <c r="E392" s="178"/>
    </row>
    <row r="393">
      <c r="A393" s="178"/>
      <c r="B393" s="178"/>
      <c r="C393" s="178"/>
      <c r="D393" s="178"/>
      <c r="E393" s="178"/>
    </row>
    <row r="394">
      <c r="A394" s="178"/>
      <c r="B394" s="178"/>
      <c r="C394" s="178"/>
      <c r="D394" s="178"/>
      <c r="E394" s="178"/>
    </row>
    <row r="395">
      <c r="A395" s="178"/>
      <c r="B395" s="178"/>
      <c r="C395" s="178"/>
      <c r="D395" s="178"/>
      <c r="E395" s="178"/>
    </row>
    <row r="396">
      <c r="A396" s="178"/>
      <c r="B396" s="178"/>
      <c r="C396" s="178"/>
      <c r="D396" s="178"/>
      <c r="E396" s="178"/>
    </row>
    <row r="397">
      <c r="A397" s="178"/>
      <c r="B397" s="178"/>
      <c r="C397" s="178"/>
      <c r="D397" s="178"/>
      <c r="E397" s="178"/>
    </row>
    <row r="398">
      <c r="A398" s="178"/>
      <c r="B398" s="178"/>
      <c r="C398" s="178"/>
      <c r="D398" s="178"/>
      <c r="E398" s="178"/>
    </row>
    <row r="399">
      <c r="A399" s="178"/>
      <c r="B399" s="178"/>
      <c r="C399" s="178"/>
      <c r="D399" s="178"/>
      <c r="E399" s="178"/>
    </row>
    <row r="400">
      <c r="A400" s="178"/>
      <c r="B400" s="178"/>
      <c r="C400" s="178"/>
      <c r="D400" s="178"/>
      <c r="E400" s="178"/>
    </row>
    <row r="401">
      <c r="A401" s="178"/>
      <c r="B401" s="178"/>
      <c r="C401" s="178"/>
      <c r="D401" s="178"/>
      <c r="E401" s="178"/>
    </row>
    <row r="402">
      <c r="A402" s="178"/>
      <c r="B402" s="178"/>
      <c r="C402" s="178"/>
      <c r="D402" s="178"/>
      <c r="E402" s="178"/>
    </row>
    <row r="403">
      <c r="A403" s="178"/>
      <c r="B403" s="178"/>
      <c r="C403" s="178"/>
      <c r="D403" s="178"/>
      <c r="E403" s="178"/>
    </row>
    <row r="404">
      <c r="A404" s="178"/>
      <c r="B404" s="178"/>
      <c r="C404" s="178"/>
      <c r="D404" s="178"/>
      <c r="E404" s="178"/>
    </row>
    <row r="405">
      <c r="A405" s="178"/>
      <c r="B405" s="178"/>
      <c r="C405" s="178"/>
      <c r="D405" s="178"/>
      <c r="E405" s="178"/>
    </row>
    <row r="406">
      <c r="A406" s="178"/>
      <c r="B406" s="178"/>
      <c r="C406" s="178"/>
      <c r="D406" s="178"/>
      <c r="E406" s="178"/>
    </row>
    <row r="407">
      <c r="A407" s="178"/>
      <c r="B407" s="178"/>
      <c r="C407" s="178"/>
      <c r="D407" s="178"/>
      <c r="E407" s="178"/>
    </row>
    <row r="408">
      <c r="A408" s="178"/>
      <c r="B408" s="178"/>
      <c r="C408" s="178"/>
      <c r="D408" s="178"/>
      <c r="E408" s="178"/>
    </row>
    <row r="409">
      <c r="A409" s="178"/>
      <c r="B409" s="178"/>
      <c r="C409" s="178"/>
      <c r="D409" s="178"/>
      <c r="E409" s="178"/>
    </row>
    <row r="410">
      <c r="A410" s="178"/>
      <c r="B410" s="178"/>
      <c r="C410" s="178"/>
      <c r="D410" s="178"/>
      <c r="E410" s="178"/>
    </row>
    <row r="411">
      <c r="A411" s="178"/>
      <c r="B411" s="178"/>
      <c r="C411" s="178"/>
      <c r="D411" s="178"/>
      <c r="E411" s="178"/>
    </row>
    <row r="412">
      <c r="A412" s="178"/>
      <c r="B412" s="178"/>
      <c r="C412" s="178"/>
      <c r="D412" s="178"/>
      <c r="E412" s="178"/>
    </row>
    <row r="413">
      <c r="A413" s="178"/>
      <c r="B413" s="178"/>
      <c r="C413" s="178"/>
      <c r="D413" s="178"/>
      <c r="E413" s="178"/>
    </row>
    <row r="414">
      <c r="A414" s="178"/>
      <c r="B414" s="178"/>
      <c r="C414" s="178"/>
      <c r="D414" s="178"/>
      <c r="E414" s="178"/>
    </row>
    <row r="415">
      <c r="A415" s="178"/>
      <c r="B415" s="178"/>
      <c r="C415" s="178"/>
      <c r="D415" s="178"/>
      <c r="E415" s="178"/>
    </row>
    <row r="416">
      <c r="A416" s="178"/>
      <c r="B416" s="178"/>
      <c r="C416" s="178"/>
      <c r="D416" s="178"/>
      <c r="E416" s="178"/>
    </row>
    <row r="417">
      <c r="A417" s="178"/>
      <c r="B417" s="178"/>
      <c r="C417" s="178"/>
      <c r="D417" s="178"/>
      <c r="E417" s="178"/>
    </row>
    <row r="418">
      <c r="A418" s="178"/>
      <c r="B418" s="178"/>
      <c r="C418" s="178"/>
      <c r="D418" s="178"/>
      <c r="E418" s="178"/>
    </row>
    <row r="419">
      <c r="A419" s="178"/>
      <c r="B419" s="178"/>
      <c r="C419" s="178"/>
      <c r="D419" s="178"/>
      <c r="E419" s="178"/>
    </row>
    <row r="420">
      <c r="A420" s="178"/>
      <c r="B420" s="178"/>
      <c r="C420" s="178"/>
      <c r="D420" s="178"/>
      <c r="E420" s="178"/>
    </row>
    <row r="421">
      <c r="A421" s="178"/>
      <c r="B421" s="178"/>
      <c r="C421" s="178"/>
      <c r="D421" s="178"/>
      <c r="E421" s="178"/>
    </row>
    <row r="422">
      <c r="A422" s="178"/>
      <c r="B422" s="178"/>
      <c r="C422" s="178"/>
      <c r="D422" s="178"/>
      <c r="E422" s="178"/>
    </row>
    <row r="423">
      <c r="A423" s="178"/>
      <c r="B423" s="178"/>
      <c r="C423" s="178"/>
      <c r="D423" s="178"/>
      <c r="E423" s="178"/>
    </row>
    <row r="424">
      <c r="A424" s="178"/>
      <c r="B424" s="178"/>
      <c r="C424" s="178"/>
      <c r="D424" s="178"/>
      <c r="E424" s="178"/>
    </row>
    <row r="425">
      <c r="A425" s="178"/>
      <c r="B425" s="178"/>
      <c r="C425" s="178"/>
      <c r="D425" s="178"/>
      <c r="E425" s="178"/>
    </row>
    <row r="426">
      <c r="A426" s="178"/>
      <c r="B426" s="178"/>
      <c r="C426" s="178"/>
      <c r="D426" s="178"/>
      <c r="E426" s="178"/>
    </row>
    <row r="427">
      <c r="A427" s="178"/>
      <c r="B427" s="178"/>
      <c r="C427" s="178"/>
      <c r="D427" s="178"/>
      <c r="E427" s="178"/>
    </row>
    <row r="428">
      <c r="A428" s="178"/>
      <c r="B428" s="178"/>
      <c r="C428" s="178"/>
      <c r="D428" s="178"/>
      <c r="E428" s="178"/>
    </row>
    <row r="429">
      <c r="A429" s="178"/>
      <c r="B429" s="178"/>
      <c r="C429" s="178"/>
      <c r="D429" s="178"/>
      <c r="E429" s="178"/>
    </row>
    <row r="430">
      <c r="A430" s="178"/>
      <c r="B430" s="178"/>
      <c r="C430" s="178"/>
      <c r="D430" s="178"/>
      <c r="E430" s="178"/>
    </row>
    <row r="431">
      <c r="A431" s="178"/>
      <c r="B431" s="178"/>
      <c r="C431" s="178"/>
      <c r="D431" s="178"/>
      <c r="E431" s="178"/>
    </row>
    <row r="432">
      <c r="A432" s="178"/>
      <c r="B432" s="178"/>
      <c r="C432" s="178"/>
      <c r="D432" s="178"/>
      <c r="E432" s="178"/>
    </row>
    <row r="433">
      <c r="A433" s="178"/>
      <c r="B433" s="178"/>
      <c r="C433" s="178"/>
      <c r="D433" s="178"/>
      <c r="E433" s="178"/>
    </row>
    <row r="434">
      <c r="A434" s="178"/>
      <c r="B434" s="178"/>
      <c r="C434" s="178"/>
      <c r="D434" s="178"/>
      <c r="E434" s="178"/>
    </row>
    <row r="435">
      <c r="A435" s="178"/>
      <c r="B435" s="178"/>
      <c r="C435" s="178"/>
      <c r="D435" s="178"/>
      <c r="E435" s="178"/>
    </row>
    <row r="436">
      <c r="A436" s="178"/>
      <c r="B436" s="178"/>
      <c r="C436" s="178"/>
      <c r="D436" s="178"/>
      <c r="E436" s="178"/>
    </row>
    <row r="437">
      <c r="A437" s="178"/>
      <c r="B437" s="178"/>
      <c r="C437" s="178"/>
      <c r="D437" s="178"/>
      <c r="E437" s="178"/>
    </row>
    <row r="438">
      <c r="A438" s="178"/>
      <c r="B438" s="178"/>
      <c r="C438" s="178"/>
      <c r="D438" s="178"/>
      <c r="E438" s="178"/>
    </row>
    <row r="439">
      <c r="A439" s="178"/>
      <c r="B439" s="178"/>
      <c r="C439" s="178"/>
      <c r="D439" s="178"/>
      <c r="E439" s="178"/>
    </row>
    <row r="440">
      <c r="A440" s="178"/>
      <c r="B440" s="178"/>
      <c r="C440" s="178"/>
      <c r="D440" s="178"/>
      <c r="E440" s="178"/>
    </row>
    <row r="441">
      <c r="A441" s="178"/>
      <c r="B441" s="178"/>
      <c r="C441" s="178"/>
      <c r="D441" s="178"/>
      <c r="E441" s="178"/>
    </row>
    <row r="442">
      <c r="A442" s="178"/>
      <c r="B442" s="178"/>
      <c r="C442" s="178"/>
      <c r="D442" s="178"/>
      <c r="E442" s="178"/>
    </row>
    <row r="443">
      <c r="A443" s="178"/>
      <c r="B443" s="178"/>
      <c r="C443" s="178"/>
      <c r="D443" s="178"/>
      <c r="E443" s="178"/>
    </row>
    <row r="444">
      <c r="A444" s="178"/>
      <c r="B444" s="178"/>
      <c r="C444" s="178"/>
      <c r="D444" s="178"/>
      <c r="E444" s="178"/>
    </row>
    <row r="445">
      <c r="A445" s="178"/>
      <c r="B445" s="178"/>
      <c r="C445" s="178"/>
      <c r="D445" s="178"/>
      <c r="E445" s="178"/>
    </row>
    <row r="446">
      <c r="A446" s="178"/>
      <c r="B446" s="178"/>
      <c r="C446" s="178"/>
      <c r="D446" s="178"/>
      <c r="E446" s="178"/>
    </row>
    <row r="447">
      <c r="A447" s="178"/>
      <c r="B447" s="178"/>
      <c r="C447" s="178"/>
      <c r="D447" s="178"/>
      <c r="E447" s="178"/>
    </row>
    <row r="448">
      <c r="A448" s="178"/>
      <c r="B448" s="178"/>
      <c r="C448" s="178"/>
      <c r="D448" s="178"/>
      <c r="E448" s="178"/>
    </row>
    <row r="449">
      <c r="A449" s="178"/>
      <c r="B449" s="178"/>
      <c r="C449" s="178"/>
      <c r="D449" s="178"/>
      <c r="E449" s="178"/>
    </row>
    <row r="450">
      <c r="A450" s="178"/>
      <c r="B450" s="178"/>
      <c r="C450" s="178"/>
      <c r="D450" s="178"/>
      <c r="E450" s="178"/>
    </row>
    <row r="451">
      <c r="A451" s="178"/>
      <c r="B451" s="178"/>
      <c r="C451" s="178"/>
      <c r="D451" s="178"/>
      <c r="E451" s="178"/>
    </row>
    <row r="452">
      <c r="A452" s="178"/>
      <c r="B452" s="178"/>
      <c r="C452" s="178"/>
      <c r="D452" s="178"/>
      <c r="E452" s="178"/>
    </row>
    <row r="453">
      <c r="A453" s="178"/>
      <c r="B453" s="178"/>
      <c r="C453" s="178"/>
      <c r="D453" s="178"/>
      <c r="E453" s="178"/>
    </row>
    <row r="454">
      <c r="A454" s="178"/>
      <c r="B454" s="178"/>
      <c r="C454" s="178"/>
      <c r="D454" s="178"/>
      <c r="E454" s="178"/>
    </row>
    <row r="455">
      <c r="A455" s="178"/>
      <c r="B455" s="178"/>
      <c r="C455" s="178"/>
      <c r="D455" s="178"/>
      <c r="E455" s="178"/>
    </row>
    <row r="456">
      <c r="A456" s="178"/>
      <c r="B456" s="178"/>
      <c r="C456" s="178"/>
      <c r="D456" s="178"/>
      <c r="E456" s="178"/>
    </row>
    <row r="457">
      <c r="A457" s="178"/>
      <c r="B457" s="178"/>
      <c r="C457" s="178"/>
      <c r="D457" s="178"/>
      <c r="E457" s="178"/>
    </row>
    <row r="458">
      <c r="A458" s="178"/>
      <c r="B458" s="178"/>
      <c r="C458" s="178"/>
      <c r="D458" s="178"/>
      <c r="E458" s="178"/>
    </row>
    <row r="459">
      <c r="A459" s="178"/>
      <c r="B459" s="178"/>
      <c r="C459" s="178"/>
      <c r="D459" s="178"/>
      <c r="E459" s="178"/>
    </row>
    <row r="460">
      <c r="A460" s="178"/>
      <c r="B460" s="178"/>
      <c r="C460" s="178"/>
      <c r="D460" s="178"/>
      <c r="E460" s="178"/>
    </row>
    <row r="461">
      <c r="A461" s="178"/>
      <c r="B461" s="178"/>
      <c r="C461" s="178"/>
      <c r="D461" s="178"/>
      <c r="E461" s="178"/>
    </row>
    <row r="462">
      <c r="A462" s="178"/>
      <c r="B462" s="178"/>
      <c r="C462" s="178"/>
      <c r="D462" s="178"/>
      <c r="E462" s="178"/>
    </row>
    <row r="463">
      <c r="A463" s="178"/>
      <c r="B463" s="178"/>
      <c r="C463" s="178"/>
      <c r="D463" s="178"/>
      <c r="E463" s="178"/>
    </row>
    <row r="464">
      <c r="A464" s="178"/>
      <c r="B464" s="178"/>
      <c r="C464" s="178"/>
      <c r="D464" s="178"/>
      <c r="E464" s="178"/>
    </row>
    <row r="465">
      <c r="A465" s="178"/>
      <c r="B465" s="178"/>
      <c r="C465" s="178"/>
      <c r="D465" s="178"/>
      <c r="E465" s="178"/>
    </row>
    <row r="466">
      <c r="A466" s="178"/>
      <c r="B466" s="178"/>
      <c r="C466" s="178"/>
      <c r="D466" s="178"/>
      <c r="E466" s="178"/>
    </row>
    <row r="467">
      <c r="A467" s="178"/>
      <c r="B467" s="178"/>
      <c r="C467" s="178"/>
      <c r="D467" s="178"/>
      <c r="E467" s="178"/>
    </row>
    <row r="468">
      <c r="A468" s="178"/>
      <c r="B468" s="178"/>
      <c r="C468" s="178"/>
      <c r="D468" s="178"/>
      <c r="E468" s="178"/>
    </row>
    <row r="469">
      <c r="A469" s="178"/>
      <c r="B469" s="178"/>
      <c r="C469" s="178"/>
      <c r="D469" s="178"/>
      <c r="E469" s="178"/>
    </row>
    <row r="470">
      <c r="A470" s="178"/>
      <c r="B470" s="178"/>
      <c r="C470" s="178"/>
      <c r="D470" s="178"/>
      <c r="E470" s="178"/>
    </row>
    <row r="471">
      <c r="A471" s="178"/>
      <c r="B471" s="178"/>
      <c r="C471" s="178"/>
      <c r="D471" s="178"/>
      <c r="E471" s="178"/>
    </row>
    <row r="472">
      <c r="A472" s="178"/>
      <c r="B472" s="178"/>
      <c r="C472" s="178"/>
      <c r="D472" s="178"/>
      <c r="E472" s="178"/>
    </row>
    <row r="473">
      <c r="A473" s="178"/>
      <c r="B473" s="178"/>
      <c r="C473" s="178"/>
      <c r="D473" s="178"/>
      <c r="E473" s="178"/>
    </row>
    <row r="474">
      <c r="A474" s="178"/>
      <c r="B474" s="178"/>
      <c r="C474" s="178"/>
      <c r="D474" s="178"/>
      <c r="E474" s="178"/>
    </row>
    <row r="475">
      <c r="A475" s="178"/>
      <c r="B475" s="178"/>
      <c r="C475" s="178"/>
      <c r="D475" s="178"/>
      <c r="E475" s="178"/>
    </row>
    <row r="476">
      <c r="A476" s="178"/>
      <c r="B476" s="178"/>
      <c r="C476" s="178"/>
      <c r="D476" s="178"/>
      <c r="E476" s="178"/>
    </row>
    <row r="477">
      <c r="A477" s="178"/>
      <c r="B477" s="178"/>
      <c r="C477" s="178"/>
      <c r="D477" s="178"/>
      <c r="E477" s="178"/>
    </row>
    <row r="478">
      <c r="A478" s="178"/>
      <c r="B478" s="178"/>
      <c r="C478" s="178"/>
      <c r="D478" s="178"/>
      <c r="E478" s="178"/>
    </row>
    <row r="479">
      <c r="A479" s="178"/>
      <c r="B479" s="178"/>
      <c r="C479" s="178"/>
      <c r="D479" s="178"/>
      <c r="E479" s="178"/>
    </row>
    <row r="480">
      <c r="A480" s="178"/>
      <c r="B480" s="178"/>
      <c r="C480" s="178"/>
      <c r="D480" s="178"/>
      <c r="E480" s="178"/>
    </row>
    <row r="481">
      <c r="A481" s="178"/>
      <c r="B481" s="178"/>
      <c r="C481" s="178"/>
      <c r="D481" s="178"/>
      <c r="E481" s="178"/>
    </row>
    <row r="482">
      <c r="A482" s="178"/>
      <c r="B482" s="178"/>
      <c r="C482" s="178"/>
      <c r="D482" s="178"/>
      <c r="E482" s="178"/>
    </row>
    <row r="483">
      <c r="A483" s="178"/>
      <c r="B483" s="178"/>
      <c r="C483" s="178"/>
      <c r="D483" s="178"/>
      <c r="E483" s="178"/>
    </row>
    <row r="484">
      <c r="A484" s="178"/>
      <c r="B484" s="178"/>
      <c r="C484" s="178"/>
      <c r="D484" s="178"/>
      <c r="E484" s="178"/>
    </row>
    <row r="485">
      <c r="A485" s="178"/>
      <c r="B485" s="178"/>
      <c r="C485" s="178"/>
      <c r="D485" s="178"/>
      <c r="E485" s="178"/>
    </row>
    <row r="486">
      <c r="A486" s="178"/>
      <c r="B486" s="178"/>
      <c r="C486" s="178"/>
      <c r="D486" s="178"/>
      <c r="E486" s="178"/>
    </row>
    <row r="487">
      <c r="A487" s="178"/>
      <c r="B487" s="178"/>
      <c r="C487" s="178"/>
      <c r="D487" s="178"/>
      <c r="E487" s="178"/>
    </row>
    <row r="488">
      <c r="A488" s="178"/>
      <c r="B488" s="178"/>
      <c r="C488" s="178"/>
      <c r="D488" s="178"/>
      <c r="E488" s="178"/>
    </row>
    <row r="489">
      <c r="A489" s="178"/>
      <c r="B489" s="178"/>
      <c r="C489" s="178"/>
      <c r="D489" s="178"/>
      <c r="E489" s="178"/>
    </row>
    <row r="490">
      <c r="A490" s="178"/>
      <c r="B490" s="178"/>
      <c r="C490" s="178"/>
      <c r="D490" s="178"/>
      <c r="E490" s="178"/>
    </row>
    <row r="491">
      <c r="A491" s="178"/>
      <c r="B491" s="178"/>
      <c r="C491" s="178"/>
      <c r="D491" s="178"/>
      <c r="E491" s="178"/>
    </row>
    <row r="492">
      <c r="A492" s="178"/>
      <c r="B492" s="178"/>
      <c r="C492" s="178"/>
      <c r="D492" s="178"/>
      <c r="E492" s="178"/>
    </row>
    <row r="493">
      <c r="A493" s="178"/>
      <c r="B493" s="178"/>
      <c r="C493" s="178"/>
      <c r="D493" s="178"/>
      <c r="E493" s="178"/>
    </row>
    <row r="494">
      <c r="A494" s="178"/>
      <c r="B494" s="178"/>
      <c r="C494" s="178"/>
      <c r="D494" s="178"/>
      <c r="E494" s="178"/>
    </row>
    <row r="495">
      <c r="A495" s="178"/>
      <c r="B495" s="178"/>
      <c r="C495" s="178"/>
      <c r="D495" s="178"/>
      <c r="E495" s="178"/>
    </row>
    <row r="496">
      <c r="A496" s="178"/>
      <c r="B496" s="178"/>
      <c r="C496" s="178"/>
      <c r="D496" s="178"/>
      <c r="E496" s="178"/>
    </row>
    <row r="497">
      <c r="A497" s="178"/>
      <c r="B497" s="178"/>
      <c r="C497" s="178"/>
      <c r="D497" s="178"/>
      <c r="E497" s="178"/>
    </row>
    <row r="498">
      <c r="A498" s="178"/>
      <c r="B498" s="178"/>
      <c r="C498" s="178"/>
      <c r="D498" s="178"/>
      <c r="E498" s="178"/>
    </row>
    <row r="499">
      <c r="A499" s="178"/>
      <c r="B499" s="178"/>
      <c r="C499" s="178"/>
      <c r="D499" s="178"/>
      <c r="E499" s="178"/>
    </row>
    <row r="500">
      <c r="A500" s="178"/>
      <c r="B500" s="178"/>
      <c r="C500" s="178"/>
      <c r="D500" s="178"/>
      <c r="E500" s="178"/>
    </row>
    <row r="501">
      <c r="A501" s="178"/>
      <c r="B501" s="178"/>
      <c r="C501" s="178"/>
      <c r="D501" s="178"/>
      <c r="E501" s="178"/>
    </row>
    <row r="502">
      <c r="A502" s="178"/>
      <c r="B502" s="178"/>
      <c r="C502" s="178"/>
      <c r="D502" s="178"/>
      <c r="E502" s="178"/>
    </row>
    <row r="503">
      <c r="A503" s="178"/>
      <c r="B503" s="178"/>
      <c r="C503" s="178"/>
      <c r="D503" s="178"/>
      <c r="E503" s="178"/>
    </row>
    <row r="504">
      <c r="A504" s="178"/>
      <c r="B504" s="178"/>
      <c r="C504" s="178"/>
      <c r="D504" s="178"/>
      <c r="E504" s="178"/>
    </row>
    <row r="505">
      <c r="A505" s="178"/>
      <c r="B505" s="178"/>
      <c r="C505" s="178"/>
      <c r="D505" s="178"/>
      <c r="E505" s="178"/>
    </row>
    <row r="506">
      <c r="A506" s="178"/>
      <c r="B506" s="178"/>
      <c r="C506" s="178"/>
      <c r="D506" s="178"/>
      <c r="E506" s="178"/>
    </row>
    <row r="507">
      <c r="A507" s="178"/>
      <c r="B507" s="178"/>
      <c r="C507" s="178"/>
      <c r="D507" s="178"/>
      <c r="E507" s="178"/>
    </row>
    <row r="508">
      <c r="A508" s="178"/>
      <c r="B508" s="178"/>
      <c r="C508" s="178"/>
      <c r="D508" s="178"/>
      <c r="E508" s="178"/>
    </row>
    <row r="509">
      <c r="A509" s="178"/>
      <c r="B509" s="178"/>
      <c r="C509" s="178"/>
      <c r="D509" s="178"/>
      <c r="E509" s="178"/>
    </row>
    <row r="510">
      <c r="A510" s="178"/>
      <c r="B510" s="178"/>
      <c r="C510" s="178"/>
      <c r="D510" s="178"/>
      <c r="E510" s="178"/>
    </row>
    <row r="511">
      <c r="A511" s="178"/>
      <c r="B511" s="178"/>
      <c r="C511" s="178"/>
      <c r="D511" s="178"/>
      <c r="E511" s="178"/>
    </row>
    <row r="512">
      <c r="A512" s="178"/>
      <c r="B512" s="178"/>
      <c r="C512" s="178"/>
      <c r="D512" s="178"/>
      <c r="E512" s="178"/>
    </row>
    <row r="513">
      <c r="A513" s="178"/>
      <c r="B513" s="178"/>
      <c r="C513" s="178"/>
      <c r="D513" s="178"/>
      <c r="E513" s="178"/>
    </row>
    <row r="514">
      <c r="A514" s="178"/>
      <c r="B514" s="178"/>
      <c r="C514" s="178"/>
      <c r="D514" s="178"/>
      <c r="E514" s="178"/>
    </row>
    <row r="515">
      <c r="A515" s="178"/>
      <c r="B515" s="178"/>
      <c r="C515" s="178"/>
      <c r="D515" s="178"/>
      <c r="E515" s="178"/>
    </row>
    <row r="516">
      <c r="A516" s="178"/>
      <c r="B516" s="178"/>
      <c r="C516" s="178"/>
      <c r="D516" s="178"/>
      <c r="E516" s="178"/>
    </row>
    <row r="517">
      <c r="A517" s="178"/>
      <c r="B517" s="178"/>
      <c r="C517" s="178"/>
      <c r="D517" s="178"/>
      <c r="E517" s="178"/>
    </row>
    <row r="518">
      <c r="A518" s="178"/>
      <c r="B518" s="178"/>
      <c r="C518" s="178"/>
      <c r="D518" s="178"/>
      <c r="E518" s="178"/>
    </row>
    <row r="519">
      <c r="A519" s="178"/>
      <c r="B519" s="178"/>
      <c r="C519" s="178"/>
      <c r="D519" s="178"/>
      <c r="E519" s="178"/>
    </row>
    <row r="520">
      <c r="A520" s="178"/>
      <c r="B520" s="178"/>
      <c r="C520" s="178"/>
      <c r="D520" s="178"/>
      <c r="E520" s="178"/>
    </row>
    <row r="521">
      <c r="A521" s="178"/>
      <c r="B521" s="178"/>
      <c r="C521" s="178"/>
      <c r="D521" s="178"/>
      <c r="E521" s="178"/>
    </row>
    <row r="522">
      <c r="A522" s="178"/>
      <c r="B522" s="178"/>
      <c r="C522" s="178"/>
      <c r="D522" s="178"/>
      <c r="E522" s="178"/>
    </row>
    <row r="523">
      <c r="A523" s="178"/>
      <c r="B523" s="178"/>
      <c r="C523" s="178"/>
      <c r="D523" s="178"/>
      <c r="E523" s="178"/>
    </row>
    <row r="524">
      <c r="A524" s="178"/>
      <c r="B524" s="178"/>
      <c r="C524" s="178"/>
      <c r="D524" s="178"/>
      <c r="E524" s="178"/>
    </row>
    <row r="525">
      <c r="A525" s="178"/>
      <c r="B525" s="178"/>
      <c r="C525" s="178"/>
      <c r="D525" s="178"/>
      <c r="E525" s="178"/>
    </row>
    <row r="526">
      <c r="A526" s="178"/>
      <c r="B526" s="178"/>
      <c r="C526" s="178"/>
      <c r="D526" s="178"/>
      <c r="E526" s="178"/>
    </row>
    <row r="527">
      <c r="A527" s="178"/>
      <c r="B527" s="178"/>
      <c r="C527" s="178"/>
      <c r="D527" s="178"/>
      <c r="E527" s="178"/>
    </row>
    <row r="528">
      <c r="A528" s="178"/>
      <c r="B528" s="178"/>
      <c r="C528" s="178"/>
      <c r="D528" s="178"/>
      <c r="E528" s="178"/>
    </row>
    <row r="529">
      <c r="A529" s="178"/>
      <c r="B529" s="178"/>
      <c r="C529" s="178"/>
      <c r="D529" s="178"/>
      <c r="E529" s="178"/>
    </row>
    <row r="530">
      <c r="A530" s="178"/>
      <c r="B530" s="178"/>
      <c r="C530" s="178"/>
      <c r="D530" s="178"/>
      <c r="E530" s="178"/>
    </row>
    <row r="531">
      <c r="A531" s="178"/>
      <c r="B531" s="178"/>
      <c r="C531" s="178"/>
      <c r="D531" s="178"/>
      <c r="E531" s="178"/>
    </row>
    <row r="532">
      <c r="A532" s="178"/>
      <c r="B532" s="178"/>
      <c r="C532" s="178"/>
      <c r="D532" s="178"/>
      <c r="E532" s="178"/>
    </row>
    <row r="533">
      <c r="A533" s="178"/>
      <c r="B533" s="178"/>
      <c r="C533" s="178"/>
      <c r="D533" s="178"/>
      <c r="E533" s="178"/>
    </row>
    <row r="534">
      <c r="A534" s="178"/>
      <c r="B534" s="178"/>
      <c r="C534" s="178"/>
      <c r="D534" s="178"/>
      <c r="E534" s="178"/>
    </row>
    <row r="535">
      <c r="A535" s="178"/>
      <c r="B535" s="178"/>
      <c r="C535" s="178"/>
      <c r="D535" s="178"/>
      <c r="E535" s="178"/>
    </row>
    <row r="536">
      <c r="A536" s="178"/>
      <c r="B536" s="178"/>
      <c r="C536" s="178"/>
      <c r="D536" s="178"/>
      <c r="E536" s="178"/>
    </row>
    <row r="537">
      <c r="A537" s="178"/>
      <c r="B537" s="178"/>
      <c r="C537" s="178"/>
      <c r="D537" s="178"/>
      <c r="E537" s="178"/>
    </row>
    <row r="538">
      <c r="A538" s="178"/>
      <c r="B538" s="178"/>
      <c r="C538" s="178"/>
      <c r="D538" s="178"/>
      <c r="E538" s="178"/>
    </row>
    <row r="539">
      <c r="A539" s="178"/>
      <c r="B539" s="178"/>
      <c r="C539" s="178"/>
      <c r="D539" s="178"/>
      <c r="E539" s="178"/>
    </row>
    <row r="540">
      <c r="A540" s="178"/>
      <c r="B540" s="178"/>
      <c r="C540" s="178"/>
      <c r="D540" s="178"/>
      <c r="E540" s="178"/>
    </row>
    <row r="541">
      <c r="A541" s="178"/>
      <c r="B541" s="178"/>
      <c r="C541" s="178"/>
      <c r="D541" s="178"/>
      <c r="E541" s="178"/>
    </row>
    <row r="542">
      <c r="A542" s="178"/>
      <c r="B542" s="178"/>
      <c r="C542" s="178"/>
      <c r="D542" s="178"/>
      <c r="E542" s="178"/>
    </row>
    <row r="543">
      <c r="A543" s="178"/>
      <c r="B543" s="178"/>
      <c r="C543" s="178"/>
      <c r="D543" s="178"/>
      <c r="E543" s="178"/>
    </row>
    <row r="544">
      <c r="A544" s="178"/>
      <c r="B544" s="178"/>
      <c r="C544" s="178"/>
      <c r="D544" s="178"/>
      <c r="E544" s="178"/>
    </row>
    <row r="545">
      <c r="A545" s="178"/>
      <c r="B545" s="178"/>
      <c r="C545" s="178"/>
      <c r="D545" s="178"/>
      <c r="E545" s="178"/>
    </row>
    <row r="546">
      <c r="A546" s="178"/>
      <c r="B546" s="178"/>
      <c r="C546" s="178"/>
      <c r="D546" s="178"/>
      <c r="E546" s="178"/>
    </row>
    <row r="547">
      <c r="A547" s="178"/>
      <c r="B547" s="178"/>
      <c r="C547" s="178"/>
      <c r="D547" s="178"/>
      <c r="E547" s="178"/>
    </row>
    <row r="548">
      <c r="A548" s="178"/>
      <c r="B548" s="178"/>
      <c r="C548" s="178"/>
      <c r="D548" s="178"/>
      <c r="E548" s="178"/>
    </row>
    <row r="549">
      <c r="A549" s="178"/>
      <c r="B549" s="178"/>
      <c r="C549" s="178"/>
      <c r="D549" s="178"/>
      <c r="E549" s="178"/>
    </row>
    <row r="550">
      <c r="A550" s="178"/>
      <c r="B550" s="178"/>
      <c r="C550" s="178"/>
      <c r="D550" s="178"/>
      <c r="E550" s="178"/>
    </row>
    <row r="551">
      <c r="A551" s="178"/>
      <c r="B551" s="178"/>
      <c r="C551" s="178"/>
      <c r="D551" s="178"/>
      <c r="E551" s="178"/>
    </row>
    <row r="552">
      <c r="A552" s="178"/>
      <c r="B552" s="178"/>
      <c r="C552" s="178"/>
      <c r="D552" s="178"/>
      <c r="E552" s="178"/>
    </row>
    <row r="553">
      <c r="A553" s="178"/>
      <c r="B553" s="178"/>
      <c r="C553" s="178"/>
      <c r="D553" s="178"/>
      <c r="E553" s="178"/>
    </row>
    <row r="554">
      <c r="A554" s="178"/>
      <c r="B554" s="178"/>
      <c r="C554" s="178"/>
      <c r="D554" s="178"/>
      <c r="E554" s="178"/>
    </row>
    <row r="555">
      <c r="A555" s="178"/>
      <c r="B555" s="178"/>
      <c r="C555" s="178"/>
      <c r="D555" s="178"/>
      <c r="E555" s="178"/>
    </row>
    <row r="556">
      <c r="A556" s="178"/>
      <c r="B556" s="178"/>
      <c r="C556" s="178"/>
      <c r="D556" s="178"/>
      <c r="E556" s="178"/>
    </row>
    <row r="557">
      <c r="A557" s="178"/>
      <c r="B557" s="178"/>
      <c r="C557" s="178"/>
      <c r="D557" s="178"/>
      <c r="E557" s="178"/>
    </row>
    <row r="558">
      <c r="A558" s="178"/>
      <c r="B558" s="178"/>
      <c r="C558" s="178"/>
      <c r="D558" s="178"/>
      <c r="E558" s="178"/>
    </row>
    <row r="559">
      <c r="A559" s="178"/>
      <c r="B559" s="178"/>
      <c r="C559" s="178"/>
      <c r="D559" s="178"/>
      <c r="E559" s="178"/>
    </row>
    <row r="560">
      <c r="A560" s="178"/>
      <c r="B560" s="178"/>
      <c r="C560" s="178"/>
      <c r="D560" s="178"/>
      <c r="E560" s="178"/>
    </row>
    <row r="561">
      <c r="A561" s="178"/>
      <c r="B561" s="178"/>
      <c r="C561" s="178"/>
      <c r="D561" s="178"/>
      <c r="E561" s="178"/>
    </row>
    <row r="562">
      <c r="A562" s="178"/>
      <c r="B562" s="178"/>
      <c r="C562" s="178"/>
      <c r="D562" s="178"/>
      <c r="E562" s="178"/>
    </row>
    <row r="563">
      <c r="A563" s="178"/>
      <c r="B563" s="178"/>
      <c r="C563" s="178"/>
      <c r="D563" s="178"/>
      <c r="E563" s="178"/>
    </row>
    <row r="564">
      <c r="A564" s="178"/>
      <c r="B564" s="178"/>
      <c r="C564" s="178"/>
      <c r="D564" s="178"/>
      <c r="E564" s="178"/>
    </row>
    <row r="565">
      <c r="A565" s="178"/>
      <c r="B565" s="178"/>
      <c r="C565" s="178"/>
      <c r="D565" s="178"/>
      <c r="E565" s="178"/>
    </row>
    <row r="566">
      <c r="A566" s="178"/>
      <c r="B566" s="178"/>
      <c r="C566" s="178"/>
      <c r="D566" s="178"/>
      <c r="E566" s="178"/>
    </row>
    <row r="567">
      <c r="A567" s="178"/>
      <c r="B567" s="178"/>
      <c r="C567" s="178"/>
      <c r="D567" s="178"/>
      <c r="E567" s="178"/>
    </row>
    <row r="568">
      <c r="A568" s="178"/>
      <c r="B568" s="178"/>
      <c r="C568" s="178"/>
      <c r="D568" s="178"/>
      <c r="E568" s="178"/>
    </row>
    <row r="569">
      <c r="A569" s="178"/>
      <c r="B569" s="178"/>
      <c r="C569" s="178"/>
      <c r="D569" s="178"/>
      <c r="E569" s="178"/>
    </row>
    <row r="570">
      <c r="A570" s="178"/>
      <c r="B570" s="178"/>
      <c r="C570" s="178"/>
      <c r="D570" s="178"/>
      <c r="E570" s="178"/>
    </row>
    <row r="571">
      <c r="A571" s="178"/>
      <c r="B571" s="178"/>
      <c r="C571" s="178"/>
      <c r="D571" s="178"/>
      <c r="E571" s="178"/>
    </row>
    <row r="572">
      <c r="A572" s="178"/>
      <c r="B572" s="178"/>
      <c r="C572" s="178"/>
      <c r="D572" s="178"/>
      <c r="E572" s="178"/>
    </row>
    <row r="573">
      <c r="A573" s="178"/>
      <c r="B573" s="178"/>
      <c r="C573" s="178"/>
      <c r="D573" s="178"/>
      <c r="E573" s="178"/>
    </row>
    <row r="574">
      <c r="A574" s="178"/>
      <c r="B574" s="178"/>
      <c r="C574" s="178"/>
      <c r="D574" s="178"/>
      <c r="E574" s="178"/>
    </row>
    <row r="575">
      <c r="A575" s="178"/>
      <c r="B575" s="178"/>
      <c r="C575" s="178"/>
      <c r="D575" s="178"/>
      <c r="E575" s="178"/>
    </row>
    <row r="576">
      <c r="A576" s="178"/>
      <c r="B576" s="178"/>
      <c r="C576" s="178"/>
      <c r="D576" s="178"/>
      <c r="E576" s="178"/>
    </row>
    <row r="577">
      <c r="A577" s="178"/>
      <c r="B577" s="178"/>
      <c r="C577" s="178"/>
      <c r="D577" s="178"/>
      <c r="E577" s="178"/>
    </row>
    <row r="578">
      <c r="A578" s="178"/>
      <c r="B578" s="178"/>
      <c r="C578" s="178"/>
      <c r="D578" s="178"/>
      <c r="E578" s="178"/>
    </row>
    <row r="579">
      <c r="A579" s="178"/>
      <c r="B579" s="178"/>
      <c r="C579" s="178"/>
      <c r="D579" s="178"/>
      <c r="E579" s="178"/>
    </row>
    <row r="580">
      <c r="A580" s="178"/>
      <c r="B580" s="178"/>
      <c r="C580" s="178"/>
      <c r="D580" s="178"/>
      <c r="E580" s="178"/>
    </row>
    <row r="581">
      <c r="A581" s="178"/>
      <c r="B581" s="178"/>
      <c r="C581" s="178"/>
      <c r="D581" s="178"/>
      <c r="E581" s="178"/>
    </row>
    <row r="582">
      <c r="A582" s="178"/>
      <c r="B582" s="178"/>
      <c r="C582" s="178"/>
      <c r="D582" s="178"/>
      <c r="E582" s="178"/>
    </row>
    <row r="583">
      <c r="A583" s="178"/>
      <c r="B583" s="178"/>
      <c r="C583" s="178"/>
      <c r="D583" s="178"/>
      <c r="E583" s="178"/>
    </row>
    <row r="584">
      <c r="A584" s="178"/>
      <c r="B584" s="178"/>
      <c r="C584" s="178"/>
      <c r="D584" s="178"/>
      <c r="E584" s="178"/>
    </row>
    <row r="585">
      <c r="A585" s="178"/>
      <c r="B585" s="178"/>
      <c r="C585" s="178"/>
      <c r="D585" s="178"/>
      <c r="E585" s="178"/>
    </row>
    <row r="586">
      <c r="A586" s="178"/>
      <c r="B586" s="178"/>
      <c r="C586" s="178"/>
      <c r="D586" s="178"/>
      <c r="E586" s="178"/>
    </row>
    <row r="587">
      <c r="A587" s="178"/>
      <c r="B587" s="178"/>
      <c r="C587" s="178"/>
      <c r="D587" s="178"/>
      <c r="E587" s="178"/>
    </row>
    <row r="588">
      <c r="A588" s="178"/>
      <c r="B588" s="178"/>
      <c r="C588" s="178"/>
      <c r="D588" s="178"/>
      <c r="E588" s="178"/>
    </row>
    <row r="589">
      <c r="A589" s="178"/>
      <c r="B589" s="178"/>
      <c r="C589" s="178"/>
      <c r="D589" s="178"/>
      <c r="E589" s="178"/>
    </row>
    <row r="590">
      <c r="A590" s="178"/>
      <c r="B590" s="178"/>
      <c r="C590" s="178"/>
      <c r="D590" s="178"/>
      <c r="E590" s="178"/>
    </row>
    <row r="591">
      <c r="A591" s="178"/>
      <c r="B591" s="178"/>
      <c r="C591" s="178"/>
      <c r="D591" s="178"/>
      <c r="E591" s="178"/>
    </row>
    <row r="592">
      <c r="A592" s="178"/>
      <c r="B592" s="178"/>
      <c r="C592" s="178"/>
      <c r="D592" s="178"/>
      <c r="E592" s="178"/>
    </row>
    <row r="593">
      <c r="A593" s="178"/>
      <c r="B593" s="178"/>
      <c r="C593" s="178"/>
      <c r="D593" s="178"/>
      <c r="E593" s="178"/>
    </row>
    <row r="594">
      <c r="A594" s="178"/>
      <c r="B594" s="178"/>
      <c r="C594" s="178"/>
      <c r="D594" s="178"/>
      <c r="E594" s="178"/>
    </row>
    <row r="595">
      <c r="A595" s="178"/>
      <c r="B595" s="178"/>
      <c r="C595" s="178"/>
      <c r="D595" s="178"/>
      <c r="E595" s="178"/>
    </row>
    <row r="596">
      <c r="A596" s="178"/>
      <c r="B596" s="178"/>
      <c r="C596" s="178"/>
      <c r="D596" s="178"/>
      <c r="E596" s="178"/>
    </row>
    <row r="597">
      <c r="A597" s="178"/>
      <c r="B597" s="178"/>
      <c r="C597" s="178"/>
      <c r="D597" s="178"/>
      <c r="E597" s="178"/>
    </row>
    <row r="598">
      <c r="A598" s="178"/>
      <c r="B598" s="178"/>
      <c r="C598" s="178"/>
      <c r="D598" s="178"/>
      <c r="E598" s="178"/>
    </row>
    <row r="599">
      <c r="A599" s="178"/>
      <c r="B599" s="178"/>
      <c r="C599" s="178"/>
      <c r="D599" s="178"/>
      <c r="E599" s="178"/>
    </row>
    <row r="600">
      <c r="A600" s="178"/>
      <c r="B600" s="178"/>
      <c r="C600" s="178"/>
      <c r="D600" s="178"/>
      <c r="E600" s="178"/>
    </row>
    <row r="601">
      <c r="A601" s="178"/>
      <c r="B601" s="178"/>
      <c r="C601" s="178"/>
      <c r="D601" s="178"/>
      <c r="E601" s="178"/>
    </row>
    <row r="602">
      <c r="A602" s="178"/>
      <c r="B602" s="178"/>
      <c r="C602" s="178"/>
      <c r="D602" s="178"/>
      <c r="E602" s="178"/>
    </row>
    <row r="603">
      <c r="A603" s="178"/>
      <c r="B603" s="178"/>
      <c r="C603" s="178"/>
      <c r="D603" s="178"/>
      <c r="E603" s="178"/>
    </row>
    <row r="604">
      <c r="A604" s="178"/>
      <c r="B604" s="178"/>
      <c r="C604" s="178"/>
      <c r="D604" s="178"/>
      <c r="E604" s="178"/>
    </row>
    <row r="605">
      <c r="A605" s="178"/>
      <c r="B605" s="178"/>
      <c r="C605" s="178"/>
      <c r="D605" s="178"/>
      <c r="E605" s="178"/>
    </row>
    <row r="606">
      <c r="A606" s="178"/>
      <c r="B606" s="178"/>
      <c r="C606" s="178"/>
      <c r="D606" s="178"/>
      <c r="E606" s="178"/>
    </row>
    <row r="607">
      <c r="A607" s="178"/>
      <c r="B607" s="178"/>
      <c r="C607" s="178"/>
      <c r="D607" s="178"/>
      <c r="E607" s="178"/>
    </row>
    <row r="608">
      <c r="A608" s="178"/>
      <c r="B608" s="178"/>
      <c r="C608" s="178"/>
      <c r="D608" s="178"/>
      <c r="E608" s="178"/>
    </row>
    <row r="609">
      <c r="A609" s="178"/>
      <c r="B609" s="178"/>
      <c r="C609" s="178"/>
      <c r="D609" s="178"/>
      <c r="E609" s="178"/>
    </row>
    <row r="610">
      <c r="A610" s="178"/>
      <c r="B610" s="178"/>
      <c r="C610" s="178"/>
      <c r="D610" s="178"/>
      <c r="E610" s="178"/>
    </row>
    <row r="611">
      <c r="A611" s="178"/>
      <c r="B611" s="178"/>
      <c r="C611" s="178"/>
      <c r="D611" s="178"/>
      <c r="E611" s="178"/>
    </row>
    <row r="612">
      <c r="A612" s="178"/>
      <c r="B612" s="178"/>
      <c r="C612" s="178"/>
      <c r="D612" s="178"/>
      <c r="E612" s="178"/>
    </row>
    <row r="613">
      <c r="A613" s="178"/>
      <c r="B613" s="178"/>
      <c r="C613" s="178"/>
      <c r="D613" s="178"/>
      <c r="E613" s="178"/>
    </row>
    <row r="614">
      <c r="A614" s="178"/>
      <c r="B614" s="178"/>
      <c r="C614" s="178"/>
      <c r="D614" s="178"/>
      <c r="E614" s="178"/>
    </row>
    <row r="615">
      <c r="A615" s="178"/>
      <c r="B615" s="178"/>
      <c r="C615" s="178"/>
      <c r="D615" s="178"/>
      <c r="E615" s="178"/>
    </row>
    <row r="616">
      <c r="A616" s="178"/>
      <c r="B616" s="178"/>
      <c r="C616" s="178"/>
      <c r="D616" s="178"/>
      <c r="E616" s="178"/>
    </row>
    <row r="617">
      <c r="A617" s="178"/>
      <c r="B617" s="178"/>
      <c r="C617" s="178"/>
      <c r="D617" s="178"/>
      <c r="E617" s="178"/>
    </row>
    <row r="618">
      <c r="A618" s="178"/>
      <c r="B618" s="178"/>
      <c r="C618" s="178"/>
      <c r="D618" s="178"/>
      <c r="E618" s="178"/>
    </row>
    <row r="619">
      <c r="A619" s="178"/>
      <c r="B619" s="178"/>
      <c r="C619" s="178"/>
      <c r="D619" s="178"/>
      <c r="E619" s="178"/>
    </row>
    <row r="620">
      <c r="A620" s="178"/>
      <c r="B620" s="178"/>
      <c r="C620" s="178"/>
      <c r="D620" s="178"/>
      <c r="E620" s="178"/>
    </row>
    <row r="621">
      <c r="A621" s="178"/>
      <c r="B621" s="178"/>
      <c r="C621" s="178"/>
      <c r="D621" s="178"/>
      <c r="E621" s="178"/>
    </row>
    <row r="622">
      <c r="A622" s="178"/>
      <c r="B622" s="178"/>
      <c r="C622" s="178"/>
      <c r="D622" s="178"/>
      <c r="E622" s="178"/>
    </row>
    <row r="623">
      <c r="A623" s="178"/>
      <c r="B623" s="178"/>
      <c r="C623" s="178"/>
      <c r="D623" s="178"/>
      <c r="E623" s="178"/>
    </row>
    <row r="624">
      <c r="A624" s="178"/>
      <c r="B624" s="178"/>
      <c r="C624" s="178"/>
      <c r="D624" s="178"/>
      <c r="E624" s="178"/>
    </row>
    <row r="625">
      <c r="A625" s="178"/>
      <c r="B625" s="178"/>
      <c r="C625" s="178"/>
      <c r="D625" s="178"/>
      <c r="E625" s="178"/>
    </row>
    <row r="626">
      <c r="A626" s="178"/>
      <c r="B626" s="178"/>
      <c r="C626" s="178"/>
      <c r="D626" s="178"/>
      <c r="E626" s="178"/>
    </row>
    <row r="627">
      <c r="A627" s="178"/>
      <c r="B627" s="178"/>
      <c r="C627" s="178"/>
      <c r="D627" s="178"/>
      <c r="E627" s="178"/>
    </row>
    <row r="628">
      <c r="A628" s="178"/>
      <c r="B628" s="178"/>
      <c r="C628" s="178"/>
      <c r="D628" s="178"/>
      <c r="E628" s="178"/>
    </row>
    <row r="629">
      <c r="A629" s="178"/>
      <c r="B629" s="178"/>
      <c r="C629" s="178"/>
      <c r="D629" s="178"/>
      <c r="E629" s="178"/>
    </row>
    <row r="630">
      <c r="A630" s="178"/>
      <c r="B630" s="178"/>
      <c r="C630" s="178"/>
      <c r="D630" s="178"/>
      <c r="E630" s="178"/>
    </row>
    <row r="631">
      <c r="A631" s="178"/>
      <c r="B631" s="178"/>
      <c r="C631" s="178"/>
      <c r="D631" s="178"/>
      <c r="E631" s="178"/>
    </row>
    <row r="632">
      <c r="A632" s="178"/>
      <c r="B632" s="178"/>
      <c r="C632" s="178"/>
      <c r="D632" s="178"/>
      <c r="E632" s="178"/>
    </row>
    <row r="633">
      <c r="A633" s="178"/>
      <c r="B633" s="178"/>
      <c r="C633" s="178"/>
      <c r="D633" s="178"/>
      <c r="E633" s="178"/>
    </row>
    <row r="634">
      <c r="A634" s="178"/>
      <c r="B634" s="178"/>
      <c r="C634" s="178"/>
      <c r="D634" s="178"/>
      <c r="E634" s="178"/>
    </row>
    <row r="635">
      <c r="A635" s="178"/>
      <c r="B635" s="178"/>
      <c r="C635" s="178"/>
      <c r="D635" s="178"/>
      <c r="E635" s="178"/>
    </row>
    <row r="636">
      <c r="A636" s="178"/>
      <c r="B636" s="178"/>
      <c r="C636" s="178"/>
      <c r="D636" s="178"/>
      <c r="E636" s="178"/>
    </row>
    <row r="637">
      <c r="A637" s="178"/>
      <c r="B637" s="178"/>
      <c r="C637" s="178"/>
      <c r="D637" s="178"/>
      <c r="E637" s="178"/>
    </row>
    <row r="638">
      <c r="A638" s="178"/>
      <c r="B638" s="178"/>
      <c r="C638" s="178"/>
      <c r="D638" s="178"/>
      <c r="E638" s="178"/>
    </row>
    <row r="639">
      <c r="A639" s="178"/>
      <c r="B639" s="178"/>
      <c r="C639" s="178"/>
      <c r="D639" s="178"/>
      <c r="E639" s="178"/>
    </row>
    <row r="640">
      <c r="A640" s="178"/>
      <c r="B640" s="178"/>
      <c r="C640" s="178"/>
      <c r="D640" s="178"/>
      <c r="E640" s="178"/>
    </row>
    <row r="641">
      <c r="A641" s="178"/>
      <c r="B641" s="178"/>
      <c r="C641" s="178"/>
      <c r="D641" s="178"/>
      <c r="E641" s="178"/>
    </row>
    <row r="642">
      <c r="A642" s="178"/>
      <c r="B642" s="178"/>
      <c r="C642" s="178"/>
      <c r="D642" s="178"/>
      <c r="E642" s="178"/>
    </row>
    <row r="643">
      <c r="A643" s="178"/>
      <c r="B643" s="178"/>
      <c r="C643" s="178"/>
      <c r="D643" s="178"/>
      <c r="E643" s="178"/>
    </row>
    <row r="644">
      <c r="A644" s="178"/>
      <c r="B644" s="178"/>
      <c r="C644" s="178"/>
      <c r="D644" s="178"/>
      <c r="E644" s="178"/>
    </row>
    <row r="645">
      <c r="A645" s="178"/>
      <c r="B645" s="178"/>
      <c r="C645" s="178"/>
      <c r="D645" s="178"/>
      <c r="E645" s="178"/>
    </row>
    <row r="646">
      <c r="A646" s="178"/>
      <c r="B646" s="178"/>
      <c r="C646" s="178"/>
      <c r="D646" s="178"/>
      <c r="E646" s="178"/>
    </row>
    <row r="647">
      <c r="A647" s="178"/>
      <c r="B647" s="178"/>
      <c r="C647" s="178"/>
      <c r="D647" s="178"/>
      <c r="E647" s="178"/>
    </row>
    <row r="648">
      <c r="A648" s="178"/>
      <c r="B648" s="178"/>
      <c r="C648" s="178"/>
      <c r="D648" s="178"/>
      <c r="E648" s="178"/>
    </row>
    <row r="649">
      <c r="A649" s="178"/>
      <c r="B649" s="178"/>
      <c r="C649" s="178"/>
      <c r="D649" s="178"/>
      <c r="E649" s="178"/>
    </row>
    <row r="650">
      <c r="A650" s="178"/>
      <c r="B650" s="178"/>
      <c r="C650" s="178"/>
      <c r="D650" s="178"/>
      <c r="E650" s="178"/>
    </row>
    <row r="651">
      <c r="A651" s="178"/>
      <c r="B651" s="178"/>
      <c r="C651" s="178"/>
      <c r="D651" s="178"/>
      <c r="E651" s="178"/>
    </row>
    <row r="652">
      <c r="A652" s="178"/>
      <c r="B652" s="178"/>
      <c r="C652" s="178"/>
      <c r="D652" s="178"/>
      <c r="E652" s="178"/>
    </row>
    <row r="653">
      <c r="A653" s="178"/>
      <c r="B653" s="178"/>
      <c r="C653" s="178"/>
      <c r="D653" s="178"/>
      <c r="E653" s="178"/>
    </row>
    <row r="654">
      <c r="A654" s="178"/>
      <c r="B654" s="178"/>
      <c r="C654" s="178"/>
      <c r="D654" s="178"/>
      <c r="E654" s="178"/>
    </row>
    <row r="655">
      <c r="A655" s="178"/>
      <c r="B655" s="178"/>
      <c r="C655" s="178"/>
      <c r="D655" s="178"/>
      <c r="E655" s="178"/>
    </row>
    <row r="656">
      <c r="A656" s="178"/>
      <c r="B656" s="178"/>
      <c r="C656" s="178"/>
      <c r="D656" s="178"/>
      <c r="E656" s="178"/>
    </row>
    <row r="657">
      <c r="A657" s="178"/>
      <c r="B657" s="178"/>
      <c r="C657" s="178"/>
      <c r="D657" s="178"/>
      <c r="E657" s="178"/>
    </row>
    <row r="658">
      <c r="A658" s="178"/>
      <c r="B658" s="178"/>
      <c r="C658" s="178"/>
      <c r="D658" s="178"/>
      <c r="E658" s="178"/>
    </row>
    <row r="659">
      <c r="A659" s="178"/>
      <c r="B659" s="178"/>
      <c r="C659" s="178"/>
      <c r="D659" s="178"/>
      <c r="E659" s="178"/>
    </row>
    <row r="660">
      <c r="A660" s="178"/>
      <c r="B660" s="178"/>
      <c r="C660" s="178"/>
      <c r="D660" s="178"/>
      <c r="E660" s="178"/>
    </row>
    <row r="661">
      <c r="A661" s="178"/>
      <c r="B661" s="178"/>
      <c r="C661" s="178"/>
      <c r="D661" s="178"/>
      <c r="E661" s="178"/>
    </row>
    <row r="662">
      <c r="A662" s="178"/>
      <c r="B662" s="178"/>
      <c r="C662" s="178"/>
      <c r="D662" s="178"/>
      <c r="E662" s="178"/>
    </row>
    <row r="663">
      <c r="A663" s="178"/>
      <c r="B663" s="178"/>
      <c r="C663" s="178"/>
      <c r="D663" s="178"/>
      <c r="E663" s="178"/>
    </row>
    <row r="664">
      <c r="A664" s="178"/>
      <c r="B664" s="178"/>
      <c r="C664" s="178"/>
      <c r="D664" s="178"/>
      <c r="E664" s="178"/>
    </row>
    <row r="665">
      <c r="A665" s="178"/>
      <c r="B665" s="178"/>
      <c r="C665" s="178"/>
      <c r="D665" s="178"/>
      <c r="E665" s="178"/>
    </row>
    <row r="666">
      <c r="A666" s="178"/>
      <c r="B666" s="178"/>
      <c r="C666" s="178"/>
      <c r="D666" s="178"/>
      <c r="E666" s="178"/>
    </row>
    <row r="667">
      <c r="A667" s="178"/>
      <c r="B667" s="178"/>
      <c r="C667" s="178"/>
      <c r="D667" s="178"/>
      <c r="E667" s="178"/>
    </row>
    <row r="668">
      <c r="A668" s="178"/>
      <c r="B668" s="178"/>
      <c r="C668" s="178"/>
      <c r="D668" s="178"/>
      <c r="E668" s="178"/>
    </row>
    <row r="669">
      <c r="A669" s="178"/>
      <c r="B669" s="178"/>
      <c r="C669" s="178"/>
      <c r="D669" s="178"/>
      <c r="E669" s="178"/>
    </row>
    <row r="670">
      <c r="A670" s="178"/>
      <c r="B670" s="178"/>
      <c r="C670" s="178"/>
      <c r="D670" s="178"/>
      <c r="E670" s="178"/>
    </row>
    <row r="671">
      <c r="A671" s="178"/>
      <c r="B671" s="178"/>
      <c r="C671" s="178"/>
      <c r="D671" s="178"/>
      <c r="E671" s="178"/>
    </row>
    <row r="672">
      <c r="A672" s="178"/>
      <c r="B672" s="178"/>
      <c r="C672" s="178"/>
      <c r="D672" s="178"/>
      <c r="E672" s="178"/>
    </row>
    <row r="673">
      <c r="A673" s="178"/>
      <c r="B673" s="178"/>
      <c r="C673" s="178"/>
      <c r="D673" s="178"/>
      <c r="E673" s="178"/>
    </row>
    <row r="674">
      <c r="A674" s="178"/>
      <c r="B674" s="178"/>
      <c r="C674" s="178"/>
      <c r="D674" s="178"/>
      <c r="E674" s="178"/>
    </row>
    <row r="675">
      <c r="A675" s="178"/>
      <c r="B675" s="178"/>
      <c r="C675" s="178"/>
      <c r="D675" s="178"/>
      <c r="E675" s="178"/>
    </row>
    <row r="676">
      <c r="A676" s="178"/>
      <c r="B676" s="178"/>
      <c r="C676" s="178"/>
      <c r="D676" s="178"/>
      <c r="E676" s="178"/>
    </row>
    <row r="677">
      <c r="A677" s="178"/>
      <c r="B677" s="178"/>
      <c r="C677" s="178"/>
      <c r="D677" s="178"/>
      <c r="E677" s="178"/>
    </row>
    <row r="678">
      <c r="A678" s="178"/>
      <c r="B678" s="178"/>
      <c r="C678" s="178"/>
      <c r="D678" s="178"/>
      <c r="E678" s="178"/>
    </row>
    <row r="679">
      <c r="A679" s="178"/>
      <c r="B679" s="178"/>
      <c r="C679" s="178"/>
      <c r="D679" s="178"/>
      <c r="E679" s="178"/>
    </row>
    <row r="680">
      <c r="A680" s="178"/>
      <c r="B680" s="178"/>
      <c r="C680" s="178"/>
      <c r="D680" s="178"/>
      <c r="E680" s="178"/>
    </row>
    <row r="681">
      <c r="A681" s="178"/>
      <c r="B681" s="178"/>
      <c r="C681" s="178"/>
      <c r="D681" s="178"/>
      <c r="E681" s="178"/>
    </row>
    <row r="682">
      <c r="A682" s="178"/>
      <c r="B682" s="178"/>
      <c r="C682" s="178"/>
      <c r="D682" s="178"/>
      <c r="E682" s="178"/>
    </row>
    <row r="683">
      <c r="A683" s="178"/>
      <c r="B683" s="178"/>
      <c r="C683" s="178"/>
      <c r="D683" s="178"/>
      <c r="E683" s="178"/>
    </row>
    <row r="684">
      <c r="A684" s="178"/>
      <c r="B684" s="178"/>
      <c r="C684" s="178"/>
      <c r="D684" s="178"/>
      <c r="E684" s="178"/>
    </row>
    <row r="685">
      <c r="A685" s="178"/>
      <c r="B685" s="178"/>
      <c r="C685" s="178"/>
      <c r="D685" s="178"/>
      <c r="E685" s="178"/>
    </row>
    <row r="686">
      <c r="A686" s="178"/>
      <c r="B686" s="178"/>
      <c r="C686" s="178"/>
      <c r="D686" s="178"/>
      <c r="E686" s="178"/>
    </row>
    <row r="687">
      <c r="A687" s="178"/>
      <c r="B687" s="178"/>
      <c r="C687" s="178"/>
      <c r="D687" s="178"/>
      <c r="E687" s="178"/>
    </row>
    <row r="688">
      <c r="A688" s="178"/>
      <c r="B688" s="178"/>
      <c r="C688" s="178"/>
      <c r="D688" s="178"/>
      <c r="E688" s="178"/>
    </row>
    <row r="689">
      <c r="A689" s="178"/>
      <c r="B689" s="178"/>
      <c r="C689" s="178"/>
      <c r="D689" s="178"/>
      <c r="E689" s="178"/>
    </row>
    <row r="690">
      <c r="A690" s="178"/>
      <c r="B690" s="178"/>
      <c r="C690" s="178"/>
      <c r="D690" s="178"/>
      <c r="E690" s="178"/>
    </row>
    <row r="691">
      <c r="A691" s="178"/>
      <c r="B691" s="178"/>
      <c r="C691" s="178"/>
      <c r="D691" s="178"/>
      <c r="E691" s="178"/>
    </row>
    <row r="692">
      <c r="A692" s="178"/>
      <c r="B692" s="178"/>
      <c r="C692" s="178"/>
      <c r="D692" s="178"/>
      <c r="E692" s="178"/>
    </row>
    <row r="693">
      <c r="A693" s="178"/>
      <c r="B693" s="178"/>
      <c r="C693" s="178"/>
      <c r="D693" s="178"/>
      <c r="E693" s="178"/>
    </row>
    <row r="694">
      <c r="A694" s="178"/>
      <c r="B694" s="178"/>
      <c r="C694" s="178"/>
      <c r="D694" s="178"/>
      <c r="E694" s="178"/>
    </row>
    <row r="695">
      <c r="A695" s="178"/>
      <c r="B695" s="178"/>
      <c r="C695" s="178"/>
      <c r="D695" s="178"/>
      <c r="E695" s="178"/>
    </row>
    <row r="696">
      <c r="A696" s="178"/>
      <c r="B696" s="178"/>
      <c r="C696" s="178"/>
      <c r="D696" s="178"/>
      <c r="E696" s="178"/>
    </row>
    <row r="697">
      <c r="A697" s="178"/>
      <c r="B697" s="178"/>
      <c r="C697" s="178"/>
      <c r="D697" s="178"/>
      <c r="E697" s="178"/>
    </row>
    <row r="698">
      <c r="A698" s="178"/>
      <c r="B698" s="178"/>
      <c r="C698" s="178"/>
      <c r="D698" s="178"/>
      <c r="E698" s="178"/>
    </row>
    <row r="699">
      <c r="A699" s="178"/>
      <c r="B699" s="178"/>
      <c r="C699" s="178"/>
      <c r="D699" s="178"/>
      <c r="E699" s="178"/>
    </row>
    <row r="700">
      <c r="A700" s="178"/>
      <c r="B700" s="178"/>
      <c r="C700" s="178"/>
      <c r="D700" s="178"/>
      <c r="E700" s="178"/>
    </row>
    <row r="701">
      <c r="A701" s="178"/>
      <c r="B701" s="178"/>
      <c r="C701" s="178"/>
      <c r="D701" s="178"/>
      <c r="E701" s="178"/>
    </row>
    <row r="702">
      <c r="A702" s="178"/>
      <c r="B702" s="178"/>
      <c r="C702" s="178"/>
      <c r="D702" s="178"/>
      <c r="E702" s="178"/>
    </row>
    <row r="703">
      <c r="A703" s="178"/>
      <c r="B703" s="178"/>
      <c r="C703" s="178"/>
      <c r="D703" s="178"/>
      <c r="E703" s="178"/>
    </row>
    <row r="704">
      <c r="A704" s="178"/>
      <c r="B704" s="178"/>
      <c r="C704" s="178"/>
      <c r="D704" s="178"/>
      <c r="E704" s="178"/>
    </row>
    <row r="705">
      <c r="A705" s="178"/>
      <c r="B705" s="178"/>
      <c r="C705" s="178"/>
      <c r="D705" s="178"/>
      <c r="E705" s="178"/>
    </row>
    <row r="706">
      <c r="A706" s="178"/>
      <c r="B706" s="178"/>
      <c r="C706" s="178"/>
      <c r="D706" s="178"/>
      <c r="E706" s="178"/>
    </row>
    <row r="707">
      <c r="A707" s="178"/>
      <c r="B707" s="178"/>
      <c r="C707" s="178"/>
      <c r="D707" s="178"/>
      <c r="E707" s="178"/>
    </row>
    <row r="708">
      <c r="A708" s="178"/>
      <c r="B708" s="178"/>
      <c r="C708" s="178"/>
      <c r="D708" s="178"/>
      <c r="E708" s="178"/>
    </row>
    <row r="709">
      <c r="A709" s="178"/>
      <c r="B709" s="178"/>
      <c r="C709" s="178"/>
      <c r="D709" s="178"/>
      <c r="E709" s="178"/>
    </row>
    <row r="710">
      <c r="A710" s="178"/>
      <c r="B710" s="178"/>
      <c r="C710" s="178"/>
      <c r="D710" s="178"/>
      <c r="E710" s="178"/>
    </row>
    <row r="711">
      <c r="A711" s="178"/>
      <c r="B711" s="178"/>
      <c r="C711" s="178"/>
      <c r="D711" s="178"/>
      <c r="E711" s="178"/>
    </row>
    <row r="712">
      <c r="A712" s="178"/>
      <c r="B712" s="178"/>
      <c r="C712" s="178"/>
      <c r="D712" s="178"/>
      <c r="E712" s="178"/>
    </row>
    <row r="713">
      <c r="A713" s="178"/>
      <c r="B713" s="178"/>
      <c r="C713" s="178"/>
      <c r="D713" s="178"/>
      <c r="E713" s="178"/>
    </row>
    <row r="714">
      <c r="A714" s="178"/>
      <c r="B714" s="178"/>
      <c r="C714" s="178"/>
      <c r="D714" s="178"/>
      <c r="E714" s="178"/>
    </row>
    <row r="715">
      <c r="A715" s="178"/>
      <c r="B715" s="178"/>
      <c r="C715" s="178"/>
      <c r="D715" s="178"/>
      <c r="E715" s="178"/>
    </row>
    <row r="716">
      <c r="A716" s="178"/>
      <c r="B716" s="178"/>
      <c r="C716" s="178"/>
      <c r="D716" s="178"/>
      <c r="E716" s="178"/>
    </row>
    <row r="717">
      <c r="A717" s="178"/>
      <c r="B717" s="178"/>
      <c r="C717" s="178"/>
      <c r="D717" s="178"/>
      <c r="E717" s="178"/>
    </row>
    <row r="718">
      <c r="A718" s="178"/>
      <c r="B718" s="178"/>
      <c r="C718" s="178"/>
      <c r="D718" s="178"/>
      <c r="E718" s="178"/>
    </row>
    <row r="719">
      <c r="A719" s="178"/>
      <c r="B719" s="178"/>
      <c r="C719" s="178"/>
      <c r="D719" s="178"/>
      <c r="E719" s="178"/>
    </row>
    <row r="720">
      <c r="A720" s="178"/>
      <c r="B720" s="178"/>
      <c r="C720" s="178"/>
      <c r="D720" s="178"/>
      <c r="E720" s="178"/>
    </row>
    <row r="721">
      <c r="A721" s="178"/>
      <c r="B721" s="178"/>
      <c r="C721" s="178"/>
      <c r="D721" s="178"/>
      <c r="E721" s="178"/>
    </row>
    <row r="722">
      <c r="A722" s="178"/>
      <c r="B722" s="178"/>
      <c r="C722" s="178"/>
      <c r="D722" s="178"/>
      <c r="E722" s="178"/>
    </row>
    <row r="723">
      <c r="A723" s="178"/>
      <c r="B723" s="178"/>
      <c r="C723" s="178"/>
      <c r="D723" s="178"/>
      <c r="E723" s="178"/>
    </row>
    <row r="724">
      <c r="A724" s="178"/>
      <c r="B724" s="178"/>
      <c r="C724" s="178"/>
      <c r="D724" s="178"/>
      <c r="E724" s="178"/>
    </row>
    <row r="725">
      <c r="A725" s="178"/>
      <c r="B725" s="178"/>
      <c r="C725" s="178"/>
      <c r="D725" s="178"/>
      <c r="E725" s="178"/>
    </row>
    <row r="726">
      <c r="A726" s="178"/>
      <c r="B726" s="178"/>
      <c r="C726" s="178"/>
      <c r="D726" s="178"/>
      <c r="E726" s="178"/>
    </row>
    <row r="727">
      <c r="A727" s="178"/>
      <c r="B727" s="178"/>
      <c r="C727" s="178"/>
      <c r="D727" s="178"/>
      <c r="E727" s="178"/>
    </row>
    <row r="728">
      <c r="A728" s="178"/>
      <c r="B728" s="178"/>
      <c r="C728" s="178"/>
      <c r="D728" s="178"/>
      <c r="E728" s="178"/>
    </row>
    <row r="729">
      <c r="A729" s="178"/>
      <c r="B729" s="178"/>
      <c r="C729" s="178"/>
      <c r="D729" s="178"/>
      <c r="E729" s="178"/>
    </row>
    <row r="730">
      <c r="A730" s="178"/>
      <c r="B730" s="178"/>
      <c r="C730" s="178"/>
      <c r="D730" s="178"/>
      <c r="E730" s="178"/>
    </row>
    <row r="731">
      <c r="A731" s="178"/>
      <c r="B731" s="178"/>
      <c r="C731" s="178"/>
      <c r="D731" s="178"/>
      <c r="E731" s="178"/>
    </row>
    <row r="732">
      <c r="A732" s="178"/>
      <c r="B732" s="178"/>
      <c r="C732" s="178"/>
      <c r="D732" s="178"/>
      <c r="E732" s="178"/>
    </row>
    <row r="733">
      <c r="A733" s="178"/>
      <c r="B733" s="178"/>
      <c r="C733" s="178"/>
      <c r="D733" s="178"/>
      <c r="E733" s="178"/>
    </row>
    <row r="734">
      <c r="A734" s="178"/>
      <c r="B734" s="178"/>
      <c r="C734" s="178"/>
      <c r="D734" s="178"/>
      <c r="E734" s="178"/>
    </row>
    <row r="735">
      <c r="A735" s="178"/>
      <c r="B735" s="178"/>
      <c r="C735" s="178"/>
      <c r="D735" s="178"/>
      <c r="E735" s="178"/>
    </row>
    <row r="736">
      <c r="A736" s="178"/>
      <c r="B736" s="178"/>
      <c r="C736" s="178"/>
      <c r="D736" s="178"/>
      <c r="E736" s="178"/>
    </row>
    <row r="737">
      <c r="A737" s="178"/>
      <c r="B737" s="178"/>
      <c r="C737" s="178"/>
      <c r="D737" s="178"/>
      <c r="E737" s="178"/>
    </row>
    <row r="738">
      <c r="A738" s="178"/>
      <c r="B738" s="178"/>
      <c r="C738" s="178"/>
      <c r="D738" s="178"/>
      <c r="E738" s="178"/>
    </row>
    <row r="739">
      <c r="A739" s="178"/>
      <c r="B739" s="178"/>
      <c r="C739" s="178"/>
      <c r="D739" s="178"/>
      <c r="E739" s="178"/>
    </row>
    <row r="740">
      <c r="A740" s="178"/>
      <c r="B740" s="178"/>
      <c r="C740" s="178"/>
      <c r="D740" s="178"/>
      <c r="E740" s="178"/>
    </row>
    <row r="741">
      <c r="A741" s="178"/>
      <c r="B741" s="178"/>
      <c r="C741" s="178"/>
      <c r="D741" s="178"/>
      <c r="E741" s="178"/>
    </row>
    <row r="742">
      <c r="A742" s="178"/>
      <c r="B742" s="178"/>
      <c r="C742" s="178"/>
      <c r="D742" s="178"/>
      <c r="E742" s="178"/>
    </row>
    <row r="743">
      <c r="A743" s="178"/>
      <c r="B743" s="178"/>
      <c r="C743" s="178"/>
      <c r="D743" s="178"/>
      <c r="E743" s="178"/>
    </row>
    <row r="744">
      <c r="A744" s="178"/>
      <c r="B744" s="178"/>
      <c r="C744" s="178"/>
      <c r="D744" s="178"/>
      <c r="E744" s="178"/>
    </row>
    <row r="745">
      <c r="A745" s="178"/>
      <c r="B745" s="178"/>
      <c r="C745" s="178"/>
      <c r="D745" s="178"/>
      <c r="E745" s="178"/>
    </row>
    <row r="746">
      <c r="A746" s="178"/>
      <c r="B746" s="178"/>
      <c r="C746" s="178"/>
      <c r="D746" s="178"/>
      <c r="E746" s="178"/>
    </row>
    <row r="747">
      <c r="A747" s="178"/>
      <c r="B747" s="178"/>
      <c r="C747" s="178"/>
      <c r="D747" s="178"/>
      <c r="E747" s="178"/>
    </row>
    <row r="748">
      <c r="A748" s="178"/>
      <c r="B748" s="178"/>
      <c r="C748" s="178"/>
      <c r="D748" s="178"/>
      <c r="E748" s="178"/>
    </row>
    <row r="749">
      <c r="A749" s="178"/>
      <c r="B749" s="178"/>
      <c r="C749" s="178"/>
      <c r="D749" s="178"/>
      <c r="E749" s="178"/>
    </row>
    <row r="750">
      <c r="A750" s="178"/>
      <c r="B750" s="178"/>
      <c r="C750" s="178"/>
      <c r="D750" s="178"/>
      <c r="E750" s="178"/>
    </row>
    <row r="751">
      <c r="A751" s="178"/>
      <c r="B751" s="178"/>
      <c r="C751" s="178"/>
      <c r="D751" s="178"/>
      <c r="E751" s="178"/>
    </row>
    <row r="752">
      <c r="A752" s="178"/>
      <c r="B752" s="178"/>
      <c r="C752" s="178"/>
      <c r="D752" s="178"/>
      <c r="E752" s="178"/>
    </row>
    <row r="753">
      <c r="A753" s="178"/>
      <c r="B753" s="178"/>
      <c r="C753" s="178"/>
      <c r="D753" s="178"/>
      <c r="E753" s="178"/>
    </row>
    <row r="754">
      <c r="A754" s="178"/>
      <c r="B754" s="178"/>
      <c r="C754" s="178"/>
      <c r="D754" s="178"/>
      <c r="E754" s="178"/>
    </row>
    <row r="755">
      <c r="A755" s="178"/>
      <c r="B755" s="178"/>
      <c r="C755" s="178"/>
      <c r="D755" s="178"/>
      <c r="E755" s="178"/>
    </row>
    <row r="756">
      <c r="A756" s="178"/>
      <c r="B756" s="178"/>
      <c r="C756" s="178"/>
      <c r="D756" s="178"/>
      <c r="E756" s="178"/>
    </row>
    <row r="757">
      <c r="A757" s="178"/>
      <c r="B757" s="178"/>
      <c r="C757" s="178"/>
      <c r="D757" s="178"/>
      <c r="E757" s="178"/>
    </row>
    <row r="758">
      <c r="A758" s="178"/>
      <c r="B758" s="178"/>
      <c r="C758" s="178"/>
      <c r="D758" s="178"/>
      <c r="E758" s="178"/>
    </row>
    <row r="759">
      <c r="A759" s="178"/>
      <c r="B759" s="178"/>
      <c r="C759" s="178"/>
      <c r="D759" s="178"/>
      <c r="E759" s="178"/>
    </row>
    <row r="760">
      <c r="A760" s="178"/>
      <c r="B760" s="178"/>
      <c r="C760" s="178"/>
      <c r="D760" s="178"/>
      <c r="E760" s="178"/>
    </row>
    <row r="761">
      <c r="A761" s="178"/>
      <c r="B761" s="178"/>
      <c r="C761" s="178"/>
      <c r="D761" s="178"/>
      <c r="E761" s="178"/>
    </row>
    <row r="762">
      <c r="A762" s="178"/>
      <c r="B762" s="178"/>
      <c r="C762" s="178"/>
      <c r="D762" s="178"/>
      <c r="E762" s="178"/>
    </row>
    <row r="763">
      <c r="A763" s="178"/>
      <c r="B763" s="178"/>
      <c r="C763" s="178"/>
      <c r="D763" s="178"/>
      <c r="E763" s="178"/>
    </row>
    <row r="764">
      <c r="A764" s="178"/>
      <c r="B764" s="178"/>
      <c r="C764" s="178"/>
      <c r="D764" s="178"/>
      <c r="E764" s="178"/>
    </row>
    <row r="765">
      <c r="A765" s="178"/>
      <c r="B765" s="178"/>
      <c r="C765" s="178"/>
      <c r="D765" s="178"/>
      <c r="E765" s="178"/>
    </row>
    <row r="766">
      <c r="A766" s="178"/>
      <c r="B766" s="178"/>
      <c r="C766" s="178"/>
      <c r="D766" s="178"/>
      <c r="E766" s="178"/>
    </row>
    <row r="767">
      <c r="A767" s="178"/>
      <c r="B767" s="178"/>
      <c r="C767" s="178"/>
      <c r="D767" s="178"/>
      <c r="E767" s="178"/>
    </row>
    <row r="768">
      <c r="A768" s="178"/>
      <c r="B768" s="178"/>
      <c r="C768" s="178"/>
      <c r="D768" s="178"/>
      <c r="E768" s="178"/>
    </row>
    <row r="769">
      <c r="A769" s="178"/>
      <c r="B769" s="178"/>
      <c r="C769" s="178"/>
      <c r="D769" s="178"/>
      <c r="E769" s="178"/>
    </row>
    <row r="770">
      <c r="A770" s="178"/>
      <c r="B770" s="178"/>
      <c r="C770" s="178"/>
      <c r="D770" s="178"/>
      <c r="E770" s="178"/>
    </row>
    <row r="771">
      <c r="A771" s="178"/>
      <c r="B771" s="178"/>
      <c r="C771" s="178"/>
      <c r="D771" s="178"/>
      <c r="E771" s="178"/>
    </row>
    <row r="772">
      <c r="A772" s="178"/>
      <c r="B772" s="178"/>
      <c r="C772" s="178"/>
      <c r="D772" s="178"/>
      <c r="E772" s="178"/>
    </row>
    <row r="773">
      <c r="A773" s="178"/>
      <c r="B773" s="178"/>
      <c r="C773" s="178"/>
      <c r="D773" s="178"/>
      <c r="E773" s="178"/>
    </row>
    <row r="774">
      <c r="A774" s="178"/>
      <c r="B774" s="178"/>
      <c r="C774" s="178"/>
      <c r="D774" s="178"/>
      <c r="E774" s="178"/>
    </row>
    <row r="775">
      <c r="A775" s="178"/>
      <c r="B775" s="178"/>
      <c r="C775" s="178"/>
      <c r="D775" s="178"/>
      <c r="E775" s="178"/>
    </row>
    <row r="776">
      <c r="A776" s="178"/>
      <c r="B776" s="178"/>
      <c r="C776" s="178"/>
      <c r="D776" s="178"/>
      <c r="E776" s="178"/>
    </row>
    <row r="777">
      <c r="A777" s="178"/>
      <c r="B777" s="178"/>
      <c r="C777" s="178"/>
      <c r="D777" s="178"/>
      <c r="E777" s="178"/>
    </row>
    <row r="778">
      <c r="A778" s="178"/>
      <c r="B778" s="178"/>
      <c r="C778" s="178"/>
      <c r="D778" s="178"/>
      <c r="E778" s="178"/>
    </row>
    <row r="779">
      <c r="A779" s="178"/>
      <c r="B779" s="178"/>
      <c r="C779" s="178"/>
      <c r="D779" s="178"/>
      <c r="E779" s="178"/>
    </row>
    <row r="780">
      <c r="A780" s="178"/>
      <c r="B780" s="178"/>
      <c r="C780" s="178"/>
      <c r="D780" s="178"/>
      <c r="E780" s="178"/>
    </row>
    <row r="781">
      <c r="A781" s="178"/>
      <c r="B781" s="178"/>
      <c r="C781" s="178"/>
      <c r="D781" s="178"/>
      <c r="E781" s="178"/>
    </row>
    <row r="782">
      <c r="A782" s="178"/>
      <c r="B782" s="178"/>
      <c r="C782" s="178"/>
      <c r="D782" s="178"/>
      <c r="E782" s="178"/>
    </row>
    <row r="783">
      <c r="A783" s="178"/>
      <c r="B783" s="178"/>
      <c r="C783" s="178"/>
      <c r="D783" s="178"/>
      <c r="E783" s="178"/>
    </row>
    <row r="784">
      <c r="A784" s="178"/>
      <c r="B784" s="178"/>
      <c r="C784" s="178"/>
      <c r="D784" s="178"/>
      <c r="E784" s="178"/>
    </row>
    <row r="785">
      <c r="A785" s="178"/>
      <c r="B785" s="178"/>
      <c r="C785" s="178"/>
      <c r="D785" s="178"/>
      <c r="E785" s="178"/>
    </row>
    <row r="786">
      <c r="A786" s="178"/>
      <c r="B786" s="178"/>
      <c r="C786" s="178"/>
      <c r="D786" s="178"/>
      <c r="E786" s="178"/>
    </row>
    <row r="787">
      <c r="A787" s="178"/>
      <c r="B787" s="178"/>
      <c r="C787" s="178"/>
      <c r="D787" s="178"/>
      <c r="E787" s="178"/>
    </row>
    <row r="788">
      <c r="A788" s="178"/>
      <c r="B788" s="178"/>
      <c r="C788" s="178"/>
      <c r="D788" s="178"/>
      <c r="E788" s="178"/>
    </row>
    <row r="789">
      <c r="A789" s="178"/>
      <c r="B789" s="178"/>
      <c r="C789" s="178"/>
      <c r="D789" s="178"/>
      <c r="E789" s="178"/>
    </row>
    <row r="790">
      <c r="A790" s="178"/>
      <c r="B790" s="178"/>
      <c r="C790" s="178"/>
      <c r="D790" s="178"/>
      <c r="E790" s="178"/>
    </row>
    <row r="791">
      <c r="A791" s="178"/>
      <c r="B791" s="178"/>
      <c r="C791" s="178"/>
      <c r="D791" s="178"/>
      <c r="E791" s="178"/>
    </row>
    <row r="792">
      <c r="A792" s="178"/>
      <c r="B792" s="178"/>
      <c r="C792" s="178"/>
      <c r="D792" s="178"/>
      <c r="E792" s="178"/>
    </row>
    <row r="793">
      <c r="A793" s="178"/>
      <c r="B793" s="178"/>
      <c r="C793" s="178"/>
      <c r="D793" s="178"/>
      <c r="E793" s="178"/>
    </row>
    <row r="794">
      <c r="A794" s="178"/>
      <c r="B794" s="178"/>
      <c r="C794" s="178"/>
      <c r="D794" s="178"/>
      <c r="E794" s="178"/>
    </row>
    <row r="795">
      <c r="A795" s="178"/>
      <c r="B795" s="178"/>
      <c r="C795" s="178"/>
      <c r="D795" s="178"/>
      <c r="E795" s="178"/>
    </row>
    <row r="796">
      <c r="A796" s="178"/>
      <c r="B796" s="178"/>
      <c r="C796" s="178"/>
      <c r="D796" s="178"/>
      <c r="E796" s="178"/>
    </row>
    <row r="797">
      <c r="A797" s="178"/>
      <c r="B797" s="178"/>
      <c r="C797" s="178"/>
      <c r="D797" s="178"/>
      <c r="E797" s="178"/>
    </row>
    <row r="798">
      <c r="A798" s="178"/>
      <c r="B798" s="178"/>
      <c r="C798" s="178"/>
      <c r="D798" s="178"/>
      <c r="E798" s="178"/>
    </row>
    <row r="799">
      <c r="A799" s="178"/>
      <c r="B799" s="178"/>
      <c r="C799" s="178"/>
      <c r="D799" s="178"/>
      <c r="E799" s="178"/>
    </row>
    <row r="800">
      <c r="A800" s="178"/>
      <c r="B800" s="178"/>
      <c r="C800" s="178"/>
      <c r="D800" s="178"/>
      <c r="E800" s="178"/>
    </row>
    <row r="801">
      <c r="A801" s="178"/>
      <c r="B801" s="178"/>
      <c r="C801" s="178"/>
      <c r="D801" s="178"/>
      <c r="E801" s="178"/>
    </row>
    <row r="802">
      <c r="A802" s="178"/>
      <c r="B802" s="178"/>
      <c r="C802" s="178"/>
      <c r="D802" s="178"/>
      <c r="E802" s="178"/>
    </row>
    <row r="803">
      <c r="A803" s="178"/>
      <c r="B803" s="178"/>
      <c r="C803" s="178"/>
      <c r="D803" s="178"/>
      <c r="E803" s="178"/>
    </row>
    <row r="804">
      <c r="A804" s="178"/>
      <c r="B804" s="178"/>
      <c r="C804" s="178"/>
      <c r="D804" s="178"/>
      <c r="E804" s="178"/>
    </row>
    <row r="805">
      <c r="A805" s="178"/>
      <c r="B805" s="178"/>
      <c r="C805" s="178"/>
      <c r="D805" s="178"/>
      <c r="E805" s="178"/>
    </row>
    <row r="806">
      <c r="A806" s="178"/>
      <c r="B806" s="178"/>
      <c r="C806" s="178"/>
      <c r="D806" s="178"/>
      <c r="E806" s="178"/>
    </row>
    <row r="807">
      <c r="A807" s="178"/>
      <c r="B807" s="178"/>
      <c r="C807" s="178"/>
      <c r="D807" s="178"/>
      <c r="E807" s="178"/>
    </row>
    <row r="808">
      <c r="A808" s="178"/>
      <c r="B808" s="178"/>
      <c r="C808" s="178"/>
      <c r="D808" s="178"/>
      <c r="E808" s="178"/>
    </row>
    <row r="809">
      <c r="A809" s="178"/>
      <c r="B809" s="178"/>
      <c r="C809" s="178"/>
      <c r="D809" s="178"/>
      <c r="E809" s="178"/>
    </row>
    <row r="810">
      <c r="A810" s="178"/>
      <c r="B810" s="178"/>
      <c r="C810" s="178"/>
      <c r="D810" s="178"/>
      <c r="E810" s="178"/>
    </row>
    <row r="811">
      <c r="A811" s="178"/>
      <c r="B811" s="178"/>
      <c r="C811" s="178"/>
      <c r="D811" s="178"/>
      <c r="E811" s="178"/>
    </row>
    <row r="812">
      <c r="A812" s="178"/>
      <c r="B812" s="178"/>
      <c r="C812" s="178"/>
      <c r="D812" s="178"/>
      <c r="E812" s="178"/>
    </row>
    <row r="813">
      <c r="A813" s="178"/>
      <c r="B813" s="178"/>
      <c r="C813" s="178"/>
      <c r="D813" s="178"/>
      <c r="E813" s="178"/>
    </row>
    <row r="814">
      <c r="A814" s="178"/>
      <c r="B814" s="178"/>
      <c r="C814" s="178"/>
      <c r="D814" s="178"/>
      <c r="E814" s="178"/>
    </row>
    <row r="815">
      <c r="A815" s="178"/>
      <c r="B815" s="178"/>
      <c r="C815" s="178"/>
      <c r="D815" s="178"/>
      <c r="E815" s="178"/>
    </row>
    <row r="816">
      <c r="A816" s="178"/>
      <c r="B816" s="178"/>
      <c r="C816" s="178"/>
      <c r="D816" s="178"/>
      <c r="E816" s="178"/>
    </row>
    <row r="817">
      <c r="A817" s="178"/>
      <c r="B817" s="178"/>
      <c r="C817" s="178"/>
      <c r="D817" s="178"/>
      <c r="E817" s="178"/>
    </row>
    <row r="818">
      <c r="A818" s="178"/>
      <c r="B818" s="178"/>
      <c r="C818" s="178"/>
      <c r="D818" s="178"/>
      <c r="E818" s="178"/>
    </row>
    <row r="819">
      <c r="A819" s="178"/>
      <c r="B819" s="178"/>
      <c r="C819" s="178"/>
      <c r="D819" s="178"/>
      <c r="E819" s="178"/>
    </row>
    <row r="820">
      <c r="A820" s="178"/>
      <c r="B820" s="178"/>
      <c r="C820" s="178"/>
      <c r="D820" s="178"/>
      <c r="E820" s="178"/>
    </row>
    <row r="821">
      <c r="A821" s="178"/>
      <c r="B821" s="178"/>
      <c r="C821" s="178"/>
      <c r="D821" s="178"/>
      <c r="E821" s="178"/>
    </row>
    <row r="822">
      <c r="A822" s="178"/>
      <c r="B822" s="178"/>
      <c r="C822" s="178"/>
      <c r="D822" s="178"/>
      <c r="E822" s="178"/>
    </row>
    <row r="823">
      <c r="A823" s="178"/>
      <c r="B823" s="178"/>
      <c r="C823" s="178"/>
      <c r="D823" s="178"/>
      <c r="E823" s="178"/>
    </row>
    <row r="824">
      <c r="A824" s="178"/>
      <c r="B824" s="178"/>
      <c r="C824" s="178"/>
      <c r="D824" s="178"/>
      <c r="E824" s="178"/>
    </row>
    <row r="825">
      <c r="A825" s="178"/>
      <c r="B825" s="178"/>
      <c r="C825" s="178"/>
      <c r="D825" s="178"/>
      <c r="E825" s="178"/>
    </row>
    <row r="826">
      <c r="A826" s="178"/>
      <c r="B826" s="178"/>
      <c r="C826" s="178"/>
      <c r="D826" s="178"/>
      <c r="E826" s="178"/>
    </row>
    <row r="827">
      <c r="A827" s="178"/>
      <c r="B827" s="178"/>
      <c r="C827" s="178"/>
      <c r="D827" s="178"/>
      <c r="E827" s="178"/>
    </row>
    <row r="828">
      <c r="A828" s="178"/>
      <c r="B828" s="178"/>
      <c r="C828" s="178"/>
      <c r="D828" s="178"/>
      <c r="E828" s="178"/>
    </row>
    <row r="829">
      <c r="A829" s="178"/>
      <c r="B829" s="178"/>
      <c r="C829" s="178"/>
      <c r="D829" s="178"/>
      <c r="E829" s="178"/>
    </row>
    <row r="830">
      <c r="A830" s="178"/>
      <c r="B830" s="178"/>
      <c r="C830" s="178"/>
      <c r="D830" s="178"/>
      <c r="E830" s="178"/>
    </row>
    <row r="831">
      <c r="A831" s="178"/>
      <c r="B831" s="178"/>
      <c r="C831" s="178"/>
      <c r="D831" s="178"/>
      <c r="E831" s="178"/>
    </row>
    <row r="832">
      <c r="A832" s="178"/>
      <c r="B832" s="178"/>
      <c r="C832" s="178"/>
      <c r="D832" s="178"/>
      <c r="E832" s="178"/>
    </row>
    <row r="833">
      <c r="A833" s="178"/>
      <c r="B833" s="178"/>
      <c r="C833" s="178"/>
      <c r="D833" s="178"/>
      <c r="E833" s="178"/>
    </row>
    <row r="834">
      <c r="A834" s="178"/>
      <c r="B834" s="178"/>
      <c r="C834" s="178"/>
      <c r="D834" s="178"/>
      <c r="E834" s="178"/>
    </row>
    <row r="835">
      <c r="A835" s="178"/>
      <c r="B835" s="178"/>
      <c r="C835" s="178"/>
      <c r="D835" s="178"/>
      <c r="E835" s="178"/>
    </row>
    <row r="836">
      <c r="A836" s="178"/>
      <c r="B836" s="178"/>
      <c r="C836" s="178"/>
      <c r="D836" s="178"/>
      <c r="E836" s="178"/>
    </row>
    <row r="837">
      <c r="A837" s="178"/>
      <c r="B837" s="178"/>
      <c r="C837" s="178"/>
      <c r="D837" s="178"/>
      <c r="E837" s="178"/>
    </row>
    <row r="838">
      <c r="A838" s="178"/>
      <c r="B838" s="178"/>
      <c r="C838" s="178"/>
      <c r="D838" s="178"/>
      <c r="E838" s="178"/>
    </row>
    <row r="839">
      <c r="A839" s="178"/>
      <c r="B839" s="178"/>
      <c r="C839" s="178"/>
      <c r="D839" s="178"/>
      <c r="E839" s="178"/>
    </row>
    <row r="840">
      <c r="A840" s="178"/>
      <c r="B840" s="178"/>
      <c r="C840" s="178"/>
      <c r="D840" s="178"/>
      <c r="E840" s="178"/>
    </row>
    <row r="841">
      <c r="A841" s="178"/>
      <c r="B841" s="178"/>
      <c r="C841" s="178"/>
      <c r="D841" s="178"/>
      <c r="E841" s="178"/>
    </row>
    <row r="842">
      <c r="A842" s="178"/>
      <c r="B842" s="178"/>
      <c r="C842" s="178"/>
      <c r="D842" s="178"/>
      <c r="E842" s="178"/>
    </row>
    <row r="843">
      <c r="A843" s="178"/>
      <c r="B843" s="178"/>
      <c r="C843" s="178"/>
      <c r="D843" s="178"/>
      <c r="E843" s="178"/>
    </row>
    <row r="844">
      <c r="A844" s="178"/>
      <c r="B844" s="178"/>
      <c r="C844" s="178"/>
      <c r="D844" s="178"/>
      <c r="E844" s="178"/>
    </row>
    <row r="845">
      <c r="A845" s="178"/>
      <c r="B845" s="178"/>
      <c r="C845" s="178"/>
      <c r="D845" s="178"/>
      <c r="E845" s="178"/>
    </row>
    <row r="846">
      <c r="A846" s="178"/>
      <c r="B846" s="178"/>
      <c r="C846" s="178"/>
      <c r="D846" s="178"/>
      <c r="E846" s="178"/>
    </row>
    <row r="847">
      <c r="A847" s="178"/>
      <c r="B847" s="178"/>
      <c r="C847" s="178"/>
      <c r="D847" s="178"/>
      <c r="E847" s="178"/>
    </row>
    <row r="848">
      <c r="A848" s="178"/>
      <c r="B848" s="178"/>
      <c r="C848" s="178"/>
      <c r="D848" s="178"/>
      <c r="E848" s="178"/>
    </row>
    <row r="849">
      <c r="A849" s="178"/>
      <c r="B849" s="178"/>
      <c r="C849" s="178"/>
      <c r="D849" s="178"/>
      <c r="E849" s="178"/>
    </row>
    <row r="850">
      <c r="A850" s="178"/>
      <c r="B850" s="178"/>
      <c r="C850" s="178"/>
      <c r="D850" s="178"/>
      <c r="E850" s="178"/>
    </row>
    <row r="851">
      <c r="A851" s="178"/>
      <c r="B851" s="178"/>
      <c r="C851" s="178"/>
      <c r="D851" s="178"/>
      <c r="E851" s="178"/>
    </row>
    <row r="852">
      <c r="A852" s="178"/>
      <c r="B852" s="178"/>
      <c r="C852" s="178"/>
      <c r="D852" s="178"/>
      <c r="E852" s="178"/>
    </row>
    <row r="853">
      <c r="A853" s="178"/>
      <c r="B853" s="178"/>
      <c r="C853" s="178"/>
      <c r="D853" s="178"/>
      <c r="E853" s="178"/>
    </row>
    <row r="854">
      <c r="A854" s="178"/>
      <c r="B854" s="178"/>
      <c r="C854" s="178"/>
      <c r="D854" s="178"/>
      <c r="E854" s="178"/>
    </row>
    <row r="855">
      <c r="A855" s="178"/>
      <c r="B855" s="178"/>
      <c r="C855" s="178"/>
      <c r="D855" s="178"/>
      <c r="E855" s="178"/>
    </row>
    <row r="856">
      <c r="A856" s="178"/>
      <c r="B856" s="178"/>
      <c r="C856" s="178"/>
      <c r="D856" s="178"/>
      <c r="E856" s="178"/>
    </row>
    <row r="857">
      <c r="A857" s="178"/>
      <c r="B857" s="178"/>
      <c r="C857" s="178"/>
      <c r="D857" s="178"/>
      <c r="E857" s="178"/>
    </row>
    <row r="858">
      <c r="A858" s="178"/>
      <c r="B858" s="178"/>
      <c r="C858" s="178"/>
      <c r="D858" s="178"/>
      <c r="E858" s="178"/>
    </row>
    <row r="859">
      <c r="A859" s="178"/>
      <c r="B859" s="178"/>
      <c r="C859" s="178"/>
      <c r="D859" s="178"/>
      <c r="E859" s="178"/>
    </row>
    <row r="860">
      <c r="A860" s="178"/>
      <c r="B860" s="178"/>
      <c r="C860" s="178"/>
      <c r="D860" s="178"/>
      <c r="E860" s="178"/>
    </row>
    <row r="861">
      <c r="A861" s="178"/>
      <c r="B861" s="178"/>
      <c r="C861" s="178"/>
      <c r="D861" s="178"/>
      <c r="E861" s="178"/>
    </row>
    <row r="862">
      <c r="A862" s="178"/>
      <c r="B862" s="178"/>
      <c r="C862" s="178"/>
      <c r="D862" s="178"/>
      <c r="E862" s="178"/>
    </row>
    <row r="863">
      <c r="A863" s="178"/>
      <c r="B863" s="178"/>
      <c r="C863" s="178"/>
      <c r="D863" s="178"/>
      <c r="E863" s="178"/>
    </row>
    <row r="864">
      <c r="A864" s="178"/>
      <c r="B864" s="178"/>
      <c r="C864" s="178"/>
      <c r="D864" s="178"/>
      <c r="E864" s="178"/>
    </row>
    <row r="865">
      <c r="A865" s="178"/>
      <c r="B865" s="178"/>
      <c r="C865" s="178"/>
      <c r="D865" s="178"/>
      <c r="E865" s="178"/>
    </row>
    <row r="866">
      <c r="A866" s="178"/>
      <c r="B866" s="178"/>
      <c r="C866" s="178"/>
      <c r="D866" s="178"/>
      <c r="E866" s="178"/>
    </row>
    <row r="867">
      <c r="A867" s="178"/>
      <c r="B867" s="178"/>
      <c r="C867" s="178"/>
      <c r="D867" s="178"/>
      <c r="E867" s="178"/>
    </row>
    <row r="868">
      <c r="A868" s="178"/>
      <c r="B868" s="178"/>
      <c r="C868" s="178"/>
      <c r="D868" s="178"/>
      <c r="E868" s="178"/>
    </row>
    <row r="869">
      <c r="A869" s="178"/>
      <c r="B869" s="178"/>
      <c r="C869" s="178"/>
      <c r="D869" s="178"/>
      <c r="E869" s="178"/>
    </row>
    <row r="870">
      <c r="A870" s="178"/>
      <c r="B870" s="178"/>
      <c r="C870" s="178"/>
      <c r="D870" s="178"/>
      <c r="E870" s="178"/>
    </row>
    <row r="871">
      <c r="A871" s="178"/>
      <c r="B871" s="178"/>
      <c r="C871" s="178"/>
      <c r="D871" s="178"/>
      <c r="E871" s="178"/>
    </row>
    <row r="872">
      <c r="A872" s="178"/>
      <c r="B872" s="178"/>
      <c r="C872" s="178"/>
      <c r="D872" s="178"/>
      <c r="E872" s="178"/>
    </row>
    <row r="873">
      <c r="A873" s="178"/>
      <c r="B873" s="178"/>
      <c r="C873" s="178"/>
      <c r="D873" s="178"/>
      <c r="E873" s="178"/>
    </row>
    <row r="874">
      <c r="A874" s="178"/>
      <c r="B874" s="178"/>
      <c r="C874" s="178"/>
      <c r="D874" s="178"/>
      <c r="E874" s="178"/>
    </row>
    <row r="875">
      <c r="A875" s="178"/>
      <c r="B875" s="178"/>
      <c r="C875" s="178"/>
      <c r="D875" s="178"/>
      <c r="E875" s="178"/>
    </row>
    <row r="876">
      <c r="A876" s="178"/>
      <c r="B876" s="178"/>
      <c r="C876" s="178"/>
      <c r="D876" s="178"/>
      <c r="E876" s="178"/>
    </row>
    <row r="877">
      <c r="A877" s="178"/>
      <c r="B877" s="178"/>
      <c r="C877" s="178"/>
      <c r="D877" s="178"/>
      <c r="E877" s="178"/>
    </row>
    <row r="878">
      <c r="A878" s="178"/>
      <c r="B878" s="178"/>
      <c r="C878" s="178"/>
      <c r="D878" s="178"/>
      <c r="E878" s="178"/>
    </row>
    <row r="879">
      <c r="A879" s="178"/>
      <c r="B879" s="178"/>
      <c r="C879" s="178"/>
      <c r="D879" s="178"/>
      <c r="E879" s="178"/>
    </row>
    <row r="880">
      <c r="A880" s="178"/>
      <c r="B880" s="178"/>
      <c r="C880" s="178"/>
      <c r="D880" s="178"/>
      <c r="E880" s="178"/>
    </row>
    <row r="881">
      <c r="A881" s="178"/>
      <c r="B881" s="178"/>
      <c r="C881" s="178"/>
      <c r="D881" s="178"/>
      <c r="E881" s="178"/>
    </row>
    <row r="882">
      <c r="A882" s="178"/>
      <c r="B882" s="178"/>
      <c r="C882" s="178"/>
      <c r="D882" s="178"/>
      <c r="E882" s="178"/>
    </row>
    <row r="883">
      <c r="A883" s="178"/>
      <c r="B883" s="178"/>
      <c r="C883" s="178"/>
      <c r="D883" s="178"/>
      <c r="E883" s="178"/>
    </row>
    <row r="884">
      <c r="A884" s="178"/>
      <c r="B884" s="178"/>
      <c r="C884" s="178"/>
      <c r="D884" s="178"/>
      <c r="E884" s="178"/>
    </row>
    <row r="885">
      <c r="A885" s="178"/>
      <c r="B885" s="178"/>
      <c r="C885" s="178"/>
      <c r="D885" s="178"/>
      <c r="E885" s="178"/>
    </row>
    <row r="886">
      <c r="A886" s="178"/>
      <c r="B886" s="178"/>
      <c r="C886" s="178"/>
      <c r="D886" s="178"/>
      <c r="E886" s="178"/>
    </row>
    <row r="887">
      <c r="A887" s="178"/>
      <c r="B887" s="178"/>
      <c r="C887" s="178"/>
      <c r="D887" s="178"/>
      <c r="E887" s="178"/>
    </row>
    <row r="888">
      <c r="A888" s="178"/>
      <c r="B888" s="178"/>
      <c r="C888" s="178"/>
      <c r="D888" s="178"/>
      <c r="E888" s="178"/>
    </row>
    <row r="889">
      <c r="A889" s="178"/>
      <c r="B889" s="178"/>
      <c r="C889" s="178"/>
      <c r="D889" s="178"/>
      <c r="E889" s="178"/>
    </row>
    <row r="890">
      <c r="A890" s="178"/>
      <c r="B890" s="178"/>
      <c r="C890" s="178"/>
      <c r="D890" s="178"/>
      <c r="E890" s="178"/>
    </row>
    <row r="891">
      <c r="A891" s="178"/>
      <c r="B891" s="178"/>
      <c r="C891" s="178"/>
      <c r="D891" s="178"/>
      <c r="E891" s="178"/>
    </row>
    <row r="892">
      <c r="A892" s="178"/>
      <c r="B892" s="178"/>
      <c r="C892" s="178"/>
      <c r="D892" s="178"/>
      <c r="E892" s="178"/>
    </row>
    <row r="893">
      <c r="A893" s="178"/>
      <c r="B893" s="178"/>
      <c r="C893" s="178"/>
      <c r="D893" s="178"/>
      <c r="E893" s="178"/>
    </row>
    <row r="894">
      <c r="A894" s="178"/>
      <c r="B894" s="178"/>
      <c r="C894" s="178"/>
      <c r="D894" s="178"/>
      <c r="E894" s="178"/>
    </row>
    <row r="895">
      <c r="A895" s="178"/>
      <c r="B895" s="178"/>
      <c r="C895" s="178"/>
      <c r="D895" s="178"/>
      <c r="E895" s="178"/>
    </row>
    <row r="896">
      <c r="A896" s="178"/>
      <c r="B896" s="178"/>
      <c r="C896" s="178"/>
      <c r="D896" s="178"/>
      <c r="E896" s="178"/>
    </row>
    <row r="897">
      <c r="A897" s="178"/>
      <c r="B897" s="178"/>
      <c r="C897" s="178"/>
      <c r="D897" s="178"/>
      <c r="E897" s="178"/>
    </row>
    <row r="898">
      <c r="A898" s="178"/>
      <c r="B898" s="178"/>
      <c r="C898" s="178"/>
      <c r="D898" s="178"/>
      <c r="E898" s="178"/>
    </row>
    <row r="899">
      <c r="A899" s="178"/>
      <c r="B899" s="178"/>
      <c r="C899" s="178"/>
      <c r="D899" s="178"/>
      <c r="E899" s="178"/>
    </row>
    <row r="900">
      <c r="A900" s="178"/>
      <c r="B900" s="178"/>
      <c r="C900" s="178"/>
      <c r="D900" s="178"/>
      <c r="E900" s="178"/>
    </row>
    <row r="901">
      <c r="A901" s="178"/>
      <c r="B901" s="178"/>
      <c r="C901" s="178"/>
      <c r="D901" s="178"/>
      <c r="E901" s="178"/>
    </row>
    <row r="902">
      <c r="A902" s="178"/>
      <c r="B902" s="178"/>
      <c r="C902" s="178"/>
      <c r="D902" s="178"/>
      <c r="E902" s="178"/>
    </row>
    <row r="903">
      <c r="A903" s="178"/>
      <c r="B903" s="178"/>
      <c r="C903" s="178"/>
      <c r="D903" s="178"/>
      <c r="E903" s="178"/>
    </row>
    <row r="904">
      <c r="A904" s="178"/>
      <c r="B904" s="178"/>
      <c r="C904" s="178"/>
      <c r="D904" s="178"/>
      <c r="E904" s="178"/>
    </row>
    <row r="905">
      <c r="A905" s="178"/>
      <c r="B905" s="178"/>
      <c r="C905" s="178"/>
      <c r="D905" s="178"/>
      <c r="E905" s="178"/>
    </row>
    <row r="906">
      <c r="A906" s="178"/>
      <c r="B906" s="178"/>
      <c r="C906" s="178"/>
      <c r="D906" s="178"/>
      <c r="E906" s="178"/>
    </row>
    <row r="907">
      <c r="A907" s="178"/>
      <c r="B907" s="178"/>
      <c r="C907" s="178"/>
      <c r="D907" s="178"/>
      <c r="E907" s="178"/>
    </row>
    <row r="908">
      <c r="A908" s="178"/>
      <c r="B908" s="178"/>
      <c r="C908" s="178"/>
      <c r="D908" s="178"/>
      <c r="E908" s="178"/>
    </row>
    <row r="909">
      <c r="A909" s="178"/>
      <c r="B909" s="178"/>
      <c r="C909" s="178"/>
      <c r="D909" s="178"/>
      <c r="E909" s="178"/>
    </row>
    <row r="910">
      <c r="A910" s="178"/>
      <c r="B910" s="178"/>
      <c r="C910" s="178"/>
      <c r="D910" s="178"/>
      <c r="E910" s="178"/>
    </row>
    <row r="911">
      <c r="A911" s="178"/>
      <c r="B911" s="178"/>
      <c r="C911" s="178"/>
      <c r="D911" s="178"/>
      <c r="E911" s="178"/>
    </row>
    <row r="912">
      <c r="A912" s="178"/>
      <c r="B912" s="178"/>
      <c r="C912" s="178"/>
      <c r="D912" s="178"/>
      <c r="E912" s="178"/>
    </row>
    <row r="913">
      <c r="A913" s="178"/>
      <c r="B913" s="178"/>
      <c r="C913" s="178"/>
      <c r="D913" s="178"/>
      <c r="E913" s="178"/>
    </row>
    <row r="914">
      <c r="A914" s="178"/>
      <c r="B914" s="178"/>
      <c r="C914" s="178"/>
      <c r="D914" s="178"/>
      <c r="E914" s="178"/>
    </row>
    <row r="915">
      <c r="A915" s="178"/>
      <c r="B915" s="178"/>
      <c r="C915" s="178"/>
      <c r="D915" s="178"/>
      <c r="E915" s="178"/>
    </row>
    <row r="916">
      <c r="A916" s="178"/>
      <c r="B916" s="178"/>
      <c r="C916" s="178"/>
      <c r="D916" s="178"/>
      <c r="E916" s="178"/>
    </row>
    <row r="917">
      <c r="A917" s="178"/>
      <c r="B917" s="178"/>
      <c r="C917" s="178"/>
      <c r="D917" s="178"/>
      <c r="E917" s="178"/>
    </row>
    <row r="918">
      <c r="A918" s="178"/>
      <c r="B918" s="178"/>
      <c r="C918" s="178"/>
      <c r="D918" s="178"/>
      <c r="E918" s="178"/>
    </row>
    <row r="919">
      <c r="A919" s="178"/>
      <c r="B919" s="178"/>
      <c r="C919" s="178"/>
      <c r="D919" s="178"/>
      <c r="E919" s="178"/>
    </row>
    <row r="920">
      <c r="A920" s="178"/>
      <c r="B920" s="178"/>
      <c r="C920" s="178"/>
      <c r="D920" s="178"/>
      <c r="E920" s="178"/>
    </row>
    <row r="921">
      <c r="A921" s="178"/>
      <c r="B921" s="178"/>
      <c r="C921" s="178"/>
      <c r="D921" s="178"/>
      <c r="E921" s="178"/>
    </row>
    <row r="922">
      <c r="A922" s="178"/>
      <c r="B922" s="178"/>
      <c r="C922" s="178"/>
      <c r="D922" s="178"/>
      <c r="E922" s="178"/>
    </row>
    <row r="923">
      <c r="A923" s="178"/>
      <c r="B923" s="178"/>
      <c r="C923" s="178"/>
      <c r="D923" s="178"/>
      <c r="E923" s="178"/>
    </row>
    <row r="924">
      <c r="A924" s="178"/>
      <c r="B924" s="178"/>
      <c r="C924" s="178"/>
      <c r="D924" s="178"/>
      <c r="E924" s="178"/>
    </row>
    <row r="925">
      <c r="A925" s="178"/>
      <c r="B925" s="178"/>
      <c r="C925" s="178"/>
      <c r="D925" s="178"/>
      <c r="E925" s="178"/>
    </row>
    <row r="926">
      <c r="A926" s="178"/>
      <c r="B926" s="178"/>
      <c r="C926" s="178"/>
      <c r="D926" s="178"/>
      <c r="E926" s="178"/>
    </row>
    <row r="927">
      <c r="A927" s="178"/>
      <c r="B927" s="178"/>
      <c r="C927" s="178"/>
      <c r="D927" s="178"/>
      <c r="E927" s="178"/>
    </row>
    <row r="928">
      <c r="A928" s="178"/>
      <c r="B928" s="178"/>
      <c r="C928" s="178"/>
      <c r="D928" s="178"/>
      <c r="E928" s="178"/>
    </row>
    <row r="929">
      <c r="A929" s="178"/>
      <c r="B929" s="178"/>
      <c r="C929" s="178"/>
      <c r="D929" s="178"/>
      <c r="E929" s="178"/>
    </row>
    <row r="930">
      <c r="A930" s="178"/>
      <c r="B930" s="178"/>
      <c r="C930" s="178"/>
      <c r="D930" s="178"/>
      <c r="E930" s="178"/>
    </row>
    <row r="931">
      <c r="A931" s="178"/>
      <c r="B931" s="178"/>
      <c r="C931" s="178"/>
      <c r="D931" s="178"/>
      <c r="E931" s="178"/>
    </row>
    <row r="932">
      <c r="A932" s="178"/>
      <c r="B932" s="178"/>
      <c r="C932" s="178"/>
      <c r="D932" s="178"/>
      <c r="E932" s="178"/>
    </row>
    <row r="933">
      <c r="A933" s="178"/>
      <c r="B933" s="178"/>
      <c r="C933" s="178"/>
      <c r="D933" s="178"/>
      <c r="E933" s="178"/>
    </row>
    <row r="934">
      <c r="A934" s="178"/>
      <c r="B934" s="178"/>
      <c r="C934" s="178"/>
      <c r="D934" s="178"/>
      <c r="E934" s="178"/>
    </row>
    <row r="935">
      <c r="A935" s="178"/>
      <c r="B935" s="178"/>
      <c r="C935" s="178"/>
      <c r="D935" s="178"/>
      <c r="E935" s="178"/>
    </row>
    <row r="936">
      <c r="A936" s="178"/>
      <c r="B936" s="178"/>
      <c r="C936" s="178"/>
      <c r="D936" s="178"/>
      <c r="E936" s="178"/>
    </row>
    <row r="937">
      <c r="A937" s="178"/>
      <c r="B937" s="178"/>
      <c r="C937" s="178"/>
      <c r="D937" s="178"/>
      <c r="E937" s="178"/>
    </row>
    <row r="938">
      <c r="A938" s="178"/>
      <c r="B938" s="178"/>
      <c r="C938" s="178"/>
      <c r="D938" s="178"/>
      <c r="E938" s="178"/>
    </row>
    <row r="939">
      <c r="A939" s="178"/>
      <c r="B939" s="178"/>
      <c r="C939" s="178"/>
      <c r="D939" s="178"/>
      <c r="E939" s="178"/>
    </row>
    <row r="940">
      <c r="A940" s="178"/>
      <c r="B940" s="178"/>
      <c r="C940" s="178"/>
      <c r="D940" s="178"/>
      <c r="E940" s="178"/>
    </row>
    <row r="941">
      <c r="A941" s="178"/>
      <c r="B941" s="178"/>
      <c r="C941" s="178"/>
      <c r="D941" s="178"/>
      <c r="E941" s="178"/>
    </row>
    <row r="942">
      <c r="A942" s="178"/>
      <c r="B942" s="178"/>
      <c r="C942" s="178"/>
      <c r="D942" s="178"/>
      <c r="E942" s="178"/>
    </row>
    <row r="943">
      <c r="A943" s="178"/>
      <c r="B943" s="178"/>
      <c r="C943" s="178"/>
      <c r="D943" s="178"/>
      <c r="E943" s="178"/>
    </row>
    <row r="944">
      <c r="A944" s="178"/>
      <c r="B944" s="178"/>
      <c r="C944" s="178"/>
      <c r="D944" s="178"/>
      <c r="E944" s="178"/>
    </row>
    <row r="945">
      <c r="A945" s="178"/>
      <c r="B945" s="178"/>
      <c r="C945" s="178"/>
      <c r="D945" s="178"/>
      <c r="E945" s="178"/>
    </row>
    <row r="946">
      <c r="A946" s="178"/>
      <c r="B946" s="178"/>
      <c r="C946" s="178"/>
      <c r="D946" s="178"/>
      <c r="E946" s="178"/>
    </row>
    <row r="947">
      <c r="A947" s="178"/>
      <c r="B947" s="178"/>
      <c r="C947" s="178"/>
      <c r="D947" s="178"/>
      <c r="E947" s="178"/>
    </row>
    <row r="948">
      <c r="A948" s="178"/>
      <c r="B948" s="178"/>
      <c r="C948" s="178"/>
      <c r="D948" s="178"/>
      <c r="E948" s="178"/>
    </row>
    <row r="949">
      <c r="A949" s="178"/>
      <c r="B949" s="178"/>
      <c r="C949" s="178"/>
      <c r="D949" s="178"/>
      <c r="E949" s="178"/>
    </row>
    <row r="950">
      <c r="A950" s="178"/>
      <c r="B950" s="178"/>
      <c r="C950" s="178"/>
      <c r="D950" s="178"/>
      <c r="E950" s="178"/>
    </row>
    <row r="951">
      <c r="A951" s="178"/>
      <c r="B951" s="178"/>
      <c r="C951" s="178"/>
      <c r="D951" s="178"/>
      <c r="E951" s="178"/>
    </row>
    <row r="952">
      <c r="A952" s="178"/>
      <c r="B952" s="178"/>
      <c r="C952" s="178"/>
      <c r="D952" s="178"/>
      <c r="E952" s="178"/>
    </row>
    <row r="953">
      <c r="A953" s="178"/>
      <c r="B953" s="178"/>
      <c r="C953" s="178"/>
      <c r="D953" s="178"/>
      <c r="E953" s="178"/>
    </row>
    <row r="954">
      <c r="A954" s="178"/>
      <c r="B954" s="178"/>
      <c r="C954" s="178"/>
      <c r="D954" s="178"/>
      <c r="E954" s="178"/>
    </row>
    <row r="955">
      <c r="A955" s="178"/>
      <c r="B955" s="178"/>
      <c r="C955" s="178"/>
      <c r="D955" s="178"/>
      <c r="E955" s="178"/>
    </row>
    <row r="956">
      <c r="A956" s="178"/>
      <c r="B956" s="178"/>
      <c r="C956" s="178"/>
      <c r="D956" s="178"/>
      <c r="E956" s="178"/>
    </row>
    <row r="957">
      <c r="A957" s="178"/>
      <c r="B957" s="178"/>
      <c r="C957" s="178"/>
      <c r="D957" s="178"/>
      <c r="E957" s="178"/>
    </row>
    <row r="958">
      <c r="A958" s="178"/>
      <c r="B958" s="178"/>
      <c r="C958" s="178"/>
      <c r="D958" s="178"/>
      <c r="E958" s="178"/>
    </row>
    <row r="959">
      <c r="A959" s="178"/>
      <c r="B959" s="178"/>
      <c r="C959" s="178"/>
      <c r="D959" s="178"/>
      <c r="E959" s="178"/>
    </row>
    <row r="960">
      <c r="A960" s="178"/>
      <c r="B960" s="178"/>
      <c r="C960" s="178"/>
      <c r="D960" s="178"/>
      <c r="E960" s="178"/>
    </row>
    <row r="961">
      <c r="A961" s="178"/>
      <c r="B961" s="178"/>
      <c r="C961" s="178"/>
      <c r="D961" s="178"/>
      <c r="E961" s="178"/>
    </row>
    <row r="962">
      <c r="A962" s="178"/>
      <c r="B962" s="178"/>
      <c r="C962" s="178"/>
      <c r="D962" s="178"/>
      <c r="E962" s="178"/>
    </row>
    <row r="963">
      <c r="A963" s="178"/>
      <c r="B963" s="178"/>
      <c r="C963" s="178"/>
      <c r="D963" s="178"/>
      <c r="E963" s="178"/>
    </row>
    <row r="964">
      <c r="A964" s="178"/>
      <c r="B964" s="178"/>
      <c r="C964" s="178"/>
      <c r="D964" s="178"/>
      <c r="E964" s="178"/>
    </row>
    <row r="965">
      <c r="A965" s="178"/>
      <c r="B965" s="178"/>
      <c r="C965" s="178"/>
      <c r="D965" s="178"/>
      <c r="E965" s="178"/>
    </row>
    <row r="966">
      <c r="A966" s="178"/>
      <c r="B966" s="178"/>
      <c r="C966" s="178"/>
      <c r="D966" s="178"/>
      <c r="E966" s="178"/>
    </row>
    <row r="967">
      <c r="A967" s="178"/>
      <c r="B967" s="178"/>
      <c r="C967" s="178"/>
      <c r="D967" s="178"/>
      <c r="E967" s="178"/>
    </row>
    <row r="968">
      <c r="A968" s="178"/>
      <c r="B968" s="178"/>
      <c r="C968" s="178"/>
      <c r="D968" s="178"/>
      <c r="E968" s="178"/>
    </row>
    <row r="969">
      <c r="A969" s="178"/>
      <c r="B969" s="178"/>
      <c r="C969" s="178"/>
      <c r="D969" s="178"/>
      <c r="E969" s="178"/>
    </row>
    <row r="970">
      <c r="A970" s="178"/>
      <c r="B970" s="178"/>
      <c r="C970" s="178"/>
      <c r="D970" s="178"/>
      <c r="E970" s="178"/>
    </row>
    <row r="971">
      <c r="A971" s="178"/>
      <c r="B971" s="178"/>
      <c r="C971" s="178"/>
      <c r="D971" s="178"/>
      <c r="E971" s="178"/>
    </row>
    <row r="972">
      <c r="A972" s="178"/>
      <c r="B972" s="178"/>
      <c r="C972" s="178"/>
      <c r="D972" s="178"/>
      <c r="E972" s="178"/>
    </row>
    <row r="973">
      <c r="A973" s="178"/>
      <c r="B973" s="178"/>
      <c r="C973" s="178"/>
      <c r="D973" s="178"/>
      <c r="E973" s="178"/>
    </row>
    <row r="974">
      <c r="A974" s="178"/>
      <c r="B974" s="178"/>
      <c r="C974" s="178"/>
      <c r="D974" s="178"/>
      <c r="E974" s="178"/>
    </row>
    <row r="975">
      <c r="A975" s="178"/>
      <c r="B975" s="178"/>
      <c r="C975" s="178"/>
      <c r="D975" s="178"/>
      <c r="E975" s="178"/>
    </row>
    <row r="976">
      <c r="A976" s="178"/>
      <c r="B976" s="178"/>
      <c r="C976" s="178"/>
      <c r="D976" s="178"/>
      <c r="E976" s="178"/>
    </row>
    <row r="977">
      <c r="A977" s="178"/>
      <c r="B977" s="178"/>
      <c r="C977" s="178"/>
      <c r="D977" s="178"/>
      <c r="E977" s="178"/>
    </row>
    <row r="978">
      <c r="A978" s="178"/>
      <c r="B978" s="178"/>
      <c r="C978" s="178"/>
      <c r="D978" s="178"/>
      <c r="E978" s="178"/>
    </row>
    <row r="979">
      <c r="A979" s="178"/>
      <c r="B979" s="178"/>
      <c r="C979" s="178"/>
      <c r="D979" s="178"/>
      <c r="E979" s="178"/>
    </row>
    <row r="980">
      <c r="A980" s="178"/>
      <c r="B980" s="178"/>
      <c r="C980" s="178"/>
      <c r="D980" s="178"/>
      <c r="E980" s="178"/>
    </row>
    <row r="981">
      <c r="A981" s="178"/>
      <c r="B981" s="178"/>
      <c r="C981" s="178"/>
      <c r="D981" s="178"/>
      <c r="E981" s="178"/>
    </row>
    <row r="982">
      <c r="A982" s="178"/>
      <c r="B982" s="178"/>
      <c r="C982" s="178"/>
      <c r="D982" s="178"/>
      <c r="E982" s="178"/>
    </row>
    <row r="983">
      <c r="A983" s="178"/>
      <c r="B983" s="178"/>
      <c r="C983" s="178"/>
      <c r="D983" s="178"/>
      <c r="E983" s="178"/>
    </row>
    <row r="984">
      <c r="A984" s="178"/>
      <c r="B984" s="178"/>
      <c r="C984" s="178"/>
      <c r="D984" s="178"/>
      <c r="E984" s="178"/>
    </row>
    <row r="985">
      <c r="A985" s="178"/>
      <c r="B985" s="178"/>
      <c r="C985" s="178"/>
      <c r="D985" s="178"/>
      <c r="E985" s="178"/>
    </row>
    <row r="986">
      <c r="A986" s="178"/>
      <c r="B986" s="178"/>
      <c r="C986" s="178"/>
      <c r="D986" s="178"/>
      <c r="E986" s="178"/>
    </row>
    <row r="987">
      <c r="A987" s="178"/>
      <c r="B987" s="178"/>
      <c r="C987" s="178"/>
      <c r="D987" s="178"/>
      <c r="E987" s="178"/>
    </row>
    <row r="988">
      <c r="A988" s="178"/>
      <c r="B988" s="178"/>
      <c r="C988" s="178"/>
      <c r="D988" s="178"/>
      <c r="E988" s="178"/>
    </row>
    <row r="989">
      <c r="A989" s="178"/>
      <c r="B989" s="178"/>
      <c r="C989" s="178"/>
      <c r="D989" s="178"/>
      <c r="E989" s="178"/>
    </row>
    <row r="990">
      <c r="A990" s="178"/>
      <c r="B990" s="178"/>
      <c r="C990" s="178"/>
      <c r="D990" s="178"/>
      <c r="E990" s="178"/>
    </row>
    <row r="991">
      <c r="A991" s="178"/>
      <c r="B991" s="178"/>
      <c r="C991" s="178"/>
      <c r="D991" s="178"/>
      <c r="E991" s="178"/>
    </row>
    <row r="992">
      <c r="A992" s="178"/>
      <c r="B992" s="178"/>
      <c r="C992" s="178"/>
      <c r="D992" s="178"/>
      <c r="E992" s="178"/>
    </row>
    <row r="993">
      <c r="A993" s="178"/>
      <c r="B993" s="178"/>
      <c r="C993" s="178"/>
      <c r="D993" s="178"/>
      <c r="E993" s="178"/>
    </row>
    <row r="994">
      <c r="A994" s="178"/>
      <c r="B994" s="178"/>
      <c r="C994" s="178"/>
      <c r="D994" s="178"/>
      <c r="E994" s="178"/>
    </row>
    <row r="995">
      <c r="A995" s="178"/>
      <c r="B995" s="178"/>
      <c r="C995" s="178"/>
      <c r="D995" s="178"/>
      <c r="E995" s="178"/>
    </row>
    <row r="996">
      <c r="A996" s="178"/>
      <c r="B996" s="178"/>
      <c r="C996" s="178"/>
      <c r="D996" s="178"/>
      <c r="E996" s="178"/>
    </row>
    <row r="997">
      <c r="A997" s="178"/>
      <c r="B997" s="178"/>
      <c r="C997" s="178"/>
      <c r="D997" s="178"/>
      <c r="E997" s="178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40.63"/>
    <col customWidth="1" min="3" max="3" width="12.0"/>
    <col customWidth="1" min="4" max="4" width="36.0"/>
    <col customWidth="1" min="5" max="5" width="10.38"/>
    <col customWidth="1" min="7" max="7" width="76.8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178"/>
      <c r="G1" s="80" t="s">
        <v>5</v>
      </c>
      <c r="H1" s="81">
        <f>H4</f>
        <v>31</v>
      </c>
    </row>
    <row r="2">
      <c r="A2" s="146" t="s">
        <v>852</v>
      </c>
      <c r="B2" s="73" t="s">
        <v>264</v>
      </c>
      <c r="C2" s="73" t="s">
        <v>812</v>
      </c>
      <c r="D2" s="73">
        <v>47.0</v>
      </c>
      <c r="E2" s="168">
        <v>0.20833333333333334</v>
      </c>
      <c r="F2" s="178"/>
      <c r="G2" s="82" t="s">
        <v>9</v>
      </c>
      <c r="H2" s="82">
        <f>COUNTIF(C:C,"*LSP*")
</f>
        <v>19</v>
      </c>
    </row>
    <row r="3">
      <c r="A3" s="149" t="s">
        <v>853</v>
      </c>
      <c r="B3" s="73" t="s">
        <v>84</v>
      </c>
      <c r="C3" s="73" t="s">
        <v>85</v>
      </c>
      <c r="D3" s="73">
        <v>110.0</v>
      </c>
      <c r="E3" s="168">
        <v>0.25</v>
      </c>
      <c r="F3" s="178"/>
      <c r="G3" s="82" t="s">
        <v>13</v>
      </c>
      <c r="H3" s="82">
        <f>COUNTIF(C:C,"*SOC*")
</f>
        <v>17</v>
      </c>
    </row>
    <row r="4">
      <c r="A4" s="169" t="s">
        <v>854</v>
      </c>
      <c r="B4" s="73" t="s">
        <v>97</v>
      </c>
      <c r="C4" s="73" t="s">
        <v>12</v>
      </c>
      <c r="D4" s="73">
        <v>23.0</v>
      </c>
      <c r="E4" s="168">
        <v>0.25</v>
      </c>
      <c r="F4" s="178"/>
      <c r="G4" s="82" t="s">
        <v>810</v>
      </c>
      <c r="H4" s="197">
        <f>COUNTIFS(D:D,"&gt;=5",D:D,"&lt;=114")</f>
        <v>31</v>
      </c>
    </row>
    <row r="5">
      <c r="A5" s="146" t="s">
        <v>855</v>
      </c>
      <c r="B5" s="73" t="s">
        <v>326</v>
      </c>
      <c r="C5" s="73" t="s">
        <v>807</v>
      </c>
      <c r="D5" s="73">
        <v>16.0</v>
      </c>
      <c r="E5" s="168">
        <v>0.25</v>
      </c>
      <c r="F5" s="178"/>
      <c r="G5" s="82" t="s">
        <v>20</v>
      </c>
      <c r="H5" s="82">
        <f>COUNTIF(D:D,"*NÃO DOCOU*")</f>
        <v>0</v>
      </c>
    </row>
    <row r="6">
      <c r="A6" s="149" t="s">
        <v>856</v>
      </c>
      <c r="B6" s="73" t="s">
        <v>18</v>
      </c>
      <c r="C6" s="73" t="s">
        <v>19</v>
      </c>
      <c r="D6" s="73">
        <v>7.0</v>
      </c>
      <c r="E6" s="168">
        <v>0.25</v>
      </c>
      <c r="F6" s="178"/>
      <c r="G6" s="198" t="s">
        <v>25</v>
      </c>
      <c r="H6" s="199">
        <f>COUNTIF(D:D,"*NÃO CHEGOU*")
</f>
        <v>4</v>
      </c>
    </row>
    <row r="7">
      <c r="A7" s="149" t="s">
        <v>857</v>
      </c>
      <c r="B7" s="73" t="s">
        <v>7</v>
      </c>
      <c r="C7" s="73" t="s">
        <v>8</v>
      </c>
      <c r="D7" s="73">
        <v>17.0</v>
      </c>
      <c r="E7" s="168">
        <v>0.25</v>
      </c>
      <c r="F7" s="178"/>
      <c r="G7" s="82" t="s">
        <v>815</v>
      </c>
      <c r="H7" s="82">
        <f>COUNTIF(D:D,"*DRIVER DUPLICADO*")</f>
        <v>1</v>
      </c>
    </row>
    <row r="8">
      <c r="A8" s="149" t="s">
        <v>858</v>
      </c>
      <c r="B8" s="73" t="s">
        <v>27</v>
      </c>
      <c r="C8" s="73" t="s">
        <v>28</v>
      </c>
      <c r="D8" s="73" t="s">
        <v>815</v>
      </c>
      <c r="E8" s="168">
        <v>0.2708333333333333</v>
      </c>
      <c r="F8" s="178"/>
      <c r="G8" s="183"/>
    </row>
    <row r="9">
      <c r="A9" s="149" t="s">
        <v>859</v>
      </c>
      <c r="B9" s="73" t="s">
        <v>31</v>
      </c>
      <c r="C9" s="73" t="s">
        <v>32</v>
      </c>
      <c r="D9" s="73">
        <v>19.0</v>
      </c>
      <c r="E9" s="168">
        <v>0.2708333333333333</v>
      </c>
      <c r="F9" s="178"/>
      <c r="G9" s="93"/>
    </row>
    <row r="10">
      <c r="A10" s="146" t="s">
        <v>860</v>
      </c>
      <c r="B10" s="73" t="s">
        <v>34</v>
      </c>
      <c r="C10" s="73" t="s">
        <v>35</v>
      </c>
      <c r="D10" s="73">
        <v>13.0</v>
      </c>
      <c r="E10" s="168">
        <v>0.2708333333333333</v>
      </c>
      <c r="F10" s="178"/>
      <c r="G10" s="131"/>
      <c r="H10" s="207"/>
    </row>
    <row r="11">
      <c r="A11" s="169" t="s">
        <v>861</v>
      </c>
      <c r="B11" s="146" t="s">
        <v>264</v>
      </c>
      <c r="C11" s="146" t="s">
        <v>812</v>
      </c>
      <c r="D11" s="73">
        <v>98.0</v>
      </c>
      <c r="E11" s="168">
        <v>0.2916666666666667</v>
      </c>
      <c r="F11" s="178"/>
      <c r="G11" s="93"/>
      <c r="H11" s="9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169" t="s">
        <v>822</v>
      </c>
      <c r="B12" s="167" t="s">
        <v>563</v>
      </c>
      <c r="C12" s="167" t="s">
        <v>138</v>
      </c>
      <c r="D12" s="167">
        <v>102.0</v>
      </c>
      <c r="E12" s="168">
        <v>0.2916666666666667</v>
      </c>
      <c r="F12" s="178"/>
      <c r="G12" s="200"/>
      <c r="H12" s="178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169" t="s">
        <v>823</v>
      </c>
      <c r="B13" s="73" t="s">
        <v>37</v>
      </c>
      <c r="C13" s="73" t="s">
        <v>38</v>
      </c>
      <c r="D13" s="73">
        <v>88.0</v>
      </c>
      <c r="E13" s="168">
        <v>0.2916666666666667</v>
      </c>
      <c r="F13" s="178"/>
      <c r="G13" s="84" t="s">
        <v>818</v>
      </c>
      <c r="H13" s="93"/>
    </row>
    <row r="14">
      <c r="A14" s="169" t="s">
        <v>824</v>
      </c>
      <c r="B14" s="73" t="s">
        <v>318</v>
      </c>
      <c r="C14" s="73" t="s">
        <v>821</v>
      </c>
      <c r="D14" s="73">
        <v>100.0</v>
      </c>
      <c r="E14" s="168">
        <v>0.2916666666666667</v>
      </c>
      <c r="F14" s="178"/>
      <c r="G14" s="187" t="s">
        <v>653</v>
      </c>
      <c r="H14" s="178"/>
    </row>
    <row r="15">
      <c r="A15" s="169" t="s">
        <v>827</v>
      </c>
      <c r="B15" s="73" t="s">
        <v>37</v>
      </c>
      <c r="C15" s="167" t="s">
        <v>38</v>
      </c>
      <c r="D15" s="167">
        <v>89.0</v>
      </c>
      <c r="E15" s="168">
        <v>0.2916666666666667</v>
      </c>
      <c r="F15" s="178"/>
      <c r="G15" s="178"/>
      <c r="H15" s="178"/>
    </row>
    <row r="16">
      <c r="A16" s="149" t="s">
        <v>826</v>
      </c>
      <c r="B16" s="73" t="s">
        <v>672</v>
      </c>
      <c r="C16" s="167" t="s">
        <v>42</v>
      </c>
      <c r="D16" s="167">
        <v>87.0</v>
      </c>
      <c r="E16" s="168">
        <v>0.2916666666666667</v>
      </c>
      <c r="F16" s="178"/>
      <c r="G16" s="178"/>
      <c r="H16" s="178"/>
    </row>
    <row r="17">
      <c r="A17" s="169" t="s">
        <v>861</v>
      </c>
      <c r="B17" s="146" t="s">
        <v>264</v>
      </c>
      <c r="C17" s="146" t="s">
        <v>812</v>
      </c>
      <c r="D17" s="146">
        <v>98.0</v>
      </c>
      <c r="E17" s="168">
        <v>0.2916666666666667</v>
      </c>
      <c r="F17" s="178"/>
      <c r="G17" s="178"/>
      <c r="H17" s="178"/>
    </row>
    <row r="18">
      <c r="A18" s="169" t="s">
        <v>862</v>
      </c>
      <c r="B18" s="167" t="s">
        <v>48</v>
      </c>
      <c r="C18" s="167" t="s">
        <v>49</v>
      </c>
      <c r="D18" s="167">
        <v>25.0</v>
      </c>
      <c r="E18" s="168">
        <v>0.2916666666666667</v>
      </c>
      <c r="F18" s="178"/>
      <c r="G18" s="178"/>
      <c r="H18" s="178"/>
    </row>
    <row r="19">
      <c r="A19" s="169" t="s">
        <v>863</v>
      </c>
      <c r="B19" s="167" t="s">
        <v>51</v>
      </c>
      <c r="C19" s="167" t="s">
        <v>52</v>
      </c>
      <c r="D19" s="167" t="s">
        <v>25</v>
      </c>
      <c r="E19" s="168">
        <v>0.2916666666666667</v>
      </c>
      <c r="F19" s="178"/>
      <c r="G19" s="178"/>
      <c r="H19" s="178"/>
    </row>
    <row r="20">
      <c r="A20" s="169" t="s">
        <v>864</v>
      </c>
      <c r="B20" s="170" t="s">
        <v>54</v>
      </c>
      <c r="C20" s="170" t="s">
        <v>55</v>
      </c>
      <c r="D20" s="170" t="s">
        <v>25</v>
      </c>
      <c r="E20" s="168">
        <v>0.2916666666666667</v>
      </c>
      <c r="F20" s="178"/>
      <c r="G20" s="178"/>
      <c r="H20" s="178"/>
    </row>
    <row r="21">
      <c r="A21" s="169" t="s">
        <v>865</v>
      </c>
      <c r="B21" s="170" t="s">
        <v>118</v>
      </c>
      <c r="C21" s="170" t="s">
        <v>58</v>
      </c>
      <c r="D21" s="170">
        <v>14.0</v>
      </c>
      <c r="E21" s="168">
        <v>0.2916666666666667</v>
      </c>
      <c r="F21" s="178"/>
      <c r="G21" s="178"/>
      <c r="H21" s="178"/>
    </row>
    <row r="22">
      <c r="A22" s="169" t="s">
        <v>866</v>
      </c>
      <c r="B22" s="73" t="s">
        <v>61</v>
      </c>
      <c r="C22" s="73" t="s">
        <v>62</v>
      </c>
      <c r="D22" s="73" t="s">
        <v>25</v>
      </c>
      <c r="E22" s="168">
        <v>0.2916666666666667</v>
      </c>
      <c r="F22" s="178"/>
      <c r="G22" s="178"/>
      <c r="H22" s="178"/>
    </row>
    <row r="23">
      <c r="A23" s="94" t="s">
        <v>867</v>
      </c>
      <c r="B23" s="73" t="s">
        <v>61</v>
      </c>
      <c r="C23" s="73" t="s">
        <v>62</v>
      </c>
      <c r="D23" s="73">
        <v>35.0</v>
      </c>
      <c r="E23" s="168">
        <v>0.2916666666666667</v>
      </c>
      <c r="F23" s="178"/>
      <c r="G23" s="178"/>
      <c r="H23" s="178"/>
    </row>
    <row r="24">
      <c r="A24" s="94" t="s">
        <v>868</v>
      </c>
      <c r="B24" s="73" t="s">
        <v>124</v>
      </c>
      <c r="C24" s="73" t="s">
        <v>69</v>
      </c>
      <c r="D24" s="73">
        <v>34.0</v>
      </c>
      <c r="E24" s="150">
        <v>0.3125</v>
      </c>
      <c r="F24" s="178"/>
      <c r="G24" s="178"/>
      <c r="H24" s="178"/>
    </row>
    <row r="25">
      <c r="A25" s="169" t="s">
        <v>869</v>
      </c>
      <c r="B25" s="73" t="s">
        <v>75</v>
      </c>
      <c r="C25" s="73" t="s">
        <v>76</v>
      </c>
      <c r="D25" s="73">
        <v>37.0</v>
      </c>
      <c r="E25" s="150">
        <v>0.3125</v>
      </c>
      <c r="F25" s="178"/>
      <c r="G25" s="178"/>
      <c r="H25" s="178"/>
    </row>
    <row r="26">
      <c r="A26" s="169" t="s">
        <v>870</v>
      </c>
      <c r="B26" s="73" t="s">
        <v>399</v>
      </c>
      <c r="C26" s="73" t="s">
        <v>157</v>
      </c>
      <c r="D26" s="73">
        <v>32.0</v>
      </c>
      <c r="E26" s="150">
        <v>0.3125</v>
      </c>
      <c r="F26" s="178"/>
      <c r="G26" s="178"/>
      <c r="H26" s="178"/>
    </row>
    <row r="27">
      <c r="A27" s="94" t="s">
        <v>871</v>
      </c>
      <c r="B27" s="73" t="s">
        <v>22</v>
      </c>
      <c r="C27" s="73" t="s">
        <v>839</v>
      </c>
      <c r="D27" s="73">
        <v>27.0</v>
      </c>
      <c r="E27" s="150">
        <v>0.3125</v>
      </c>
      <c r="F27" s="178"/>
      <c r="G27" s="178"/>
      <c r="H27" s="178"/>
    </row>
    <row r="28">
      <c r="A28" s="146" t="s">
        <v>872</v>
      </c>
      <c r="B28" s="146" t="s">
        <v>71</v>
      </c>
      <c r="C28" s="146" t="s">
        <v>72</v>
      </c>
      <c r="D28" s="146">
        <v>46.0</v>
      </c>
      <c r="E28" s="150">
        <v>0.3125</v>
      </c>
      <c r="F28" s="178"/>
      <c r="G28" s="178"/>
      <c r="H28" s="178"/>
    </row>
    <row r="29">
      <c r="A29" s="146" t="s">
        <v>873</v>
      </c>
      <c r="B29" s="167" t="s">
        <v>78</v>
      </c>
      <c r="C29" s="167" t="s">
        <v>79</v>
      </c>
      <c r="D29" s="167" t="s">
        <v>25</v>
      </c>
      <c r="E29" s="150">
        <v>0.3125</v>
      </c>
      <c r="F29" s="178"/>
      <c r="G29" s="178"/>
      <c r="H29" s="178"/>
    </row>
    <row r="30">
      <c r="A30" s="146" t="s">
        <v>874</v>
      </c>
      <c r="B30" s="167" t="s">
        <v>81</v>
      </c>
      <c r="C30" s="167" t="s">
        <v>82</v>
      </c>
      <c r="D30" s="167">
        <v>49.0</v>
      </c>
      <c r="E30" s="150">
        <v>0.3125</v>
      </c>
      <c r="F30" s="178"/>
      <c r="G30" s="178"/>
      <c r="H30" s="178"/>
    </row>
    <row r="31">
      <c r="A31" s="94" t="s">
        <v>875</v>
      </c>
      <c r="B31" s="167" t="s">
        <v>44</v>
      </c>
      <c r="C31" s="167" t="s">
        <v>45</v>
      </c>
      <c r="D31" s="167">
        <v>90.0</v>
      </c>
      <c r="E31" s="181">
        <v>0.3333333333333333</v>
      </c>
      <c r="F31" s="178"/>
      <c r="G31" s="178"/>
      <c r="H31" s="178"/>
    </row>
    <row r="32">
      <c r="A32" s="146" t="s">
        <v>876</v>
      </c>
      <c r="B32" s="170" t="s">
        <v>84</v>
      </c>
      <c r="C32" s="170" t="s">
        <v>85</v>
      </c>
      <c r="D32" s="170">
        <v>97.0</v>
      </c>
      <c r="E32" s="181">
        <v>0.3333333333333333</v>
      </c>
      <c r="F32" s="178"/>
      <c r="G32" s="178"/>
      <c r="H32" s="178"/>
    </row>
    <row r="33">
      <c r="A33" s="146" t="s">
        <v>827</v>
      </c>
      <c r="B33" s="170" t="s">
        <v>37</v>
      </c>
      <c r="C33" s="170" t="s">
        <v>38</v>
      </c>
      <c r="D33" s="170">
        <v>89.0</v>
      </c>
      <c r="E33" s="181">
        <v>0.3333333333333333</v>
      </c>
      <c r="F33" s="178"/>
      <c r="G33" s="178"/>
      <c r="H33" s="178"/>
    </row>
    <row r="34">
      <c r="A34" s="119" t="s">
        <v>877</v>
      </c>
      <c r="B34" s="73" t="s">
        <v>318</v>
      </c>
      <c r="C34" s="73" t="s">
        <v>821</v>
      </c>
      <c r="D34" s="73">
        <v>100.0</v>
      </c>
      <c r="E34" s="181">
        <v>0.6666666666666666</v>
      </c>
      <c r="F34" s="178"/>
      <c r="G34" s="178"/>
      <c r="H34" s="178"/>
    </row>
    <row r="35">
      <c r="A35" s="95" t="s">
        <v>878</v>
      </c>
      <c r="B35" s="73" t="s">
        <v>385</v>
      </c>
      <c r="C35" s="73" t="s">
        <v>89</v>
      </c>
      <c r="D35" s="73">
        <v>94.0</v>
      </c>
      <c r="E35" s="74">
        <v>0.6666666666666666</v>
      </c>
      <c r="F35" s="178"/>
      <c r="G35" s="178"/>
      <c r="H35" s="178"/>
    </row>
    <row r="36">
      <c r="A36" s="95" t="s">
        <v>879</v>
      </c>
      <c r="B36" s="73" t="s">
        <v>672</v>
      </c>
      <c r="C36" s="73" t="s">
        <v>42</v>
      </c>
      <c r="D36" s="73">
        <v>87.0</v>
      </c>
      <c r="E36" s="74">
        <v>0.6666666666666666</v>
      </c>
    </row>
    <row r="37">
      <c r="A37" s="106" t="s">
        <v>880</v>
      </c>
      <c r="B37" s="73" t="s">
        <v>385</v>
      </c>
      <c r="C37" s="73" t="s">
        <v>89</v>
      </c>
      <c r="D37" s="73">
        <v>12.0</v>
      </c>
      <c r="E37" s="74">
        <v>0.6666666666666666</v>
      </c>
    </row>
    <row r="38">
      <c r="A38" s="203"/>
      <c r="B38" s="110"/>
      <c r="C38" s="110"/>
      <c r="D38" s="110"/>
      <c r="E38" s="111"/>
    </row>
    <row r="39">
      <c r="A39" s="204"/>
      <c r="B39" s="131"/>
      <c r="C39" s="131"/>
      <c r="D39" s="131"/>
      <c r="E39" s="136"/>
    </row>
    <row r="40">
      <c r="A40" s="205"/>
      <c r="B40" s="131"/>
      <c r="C40" s="131"/>
      <c r="D40" s="131"/>
      <c r="E40" s="136"/>
    </row>
    <row r="41">
      <c r="A41" s="205"/>
      <c r="B41" s="131"/>
      <c r="C41" s="131"/>
      <c r="D41" s="131"/>
      <c r="E41" s="136"/>
    </row>
    <row r="42">
      <c r="A42" s="206"/>
      <c r="B42" s="131"/>
      <c r="C42" s="131"/>
      <c r="D42" s="131"/>
      <c r="E42" s="136"/>
    </row>
    <row r="43">
      <c r="A43" s="174"/>
      <c r="B43" s="110"/>
      <c r="C43" s="110"/>
      <c r="D43" s="110"/>
      <c r="E43" s="111"/>
    </row>
    <row r="44">
      <c r="A44" s="174"/>
      <c r="B44" s="110"/>
      <c r="C44" s="110"/>
      <c r="D44" s="110"/>
      <c r="E44" s="111"/>
    </row>
    <row r="45">
      <c r="A45" s="174"/>
      <c r="B45" s="110"/>
      <c r="C45" s="110"/>
      <c r="D45" s="110"/>
      <c r="E45" s="111"/>
    </row>
    <row r="46">
      <c r="A46" s="177"/>
      <c r="B46" s="110"/>
      <c r="C46" s="110"/>
      <c r="D46" s="110"/>
      <c r="E46" s="111"/>
    </row>
    <row r="47">
      <c r="A47" s="174"/>
      <c r="B47" s="110"/>
      <c r="C47" s="110"/>
      <c r="D47" s="110"/>
      <c r="E47" s="111"/>
    </row>
    <row r="48">
      <c r="A48" s="174"/>
      <c r="B48" s="110"/>
      <c r="C48" s="110"/>
      <c r="D48" s="110"/>
      <c r="E48" s="111"/>
    </row>
    <row r="49">
      <c r="A49" s="178"/>
      <c r="B49" s="178"/>
      <c r="C49" s="178"/>
      <c r="D49" s="178"/>
      <c r="E49" s="178"/>
    </row>
    <row r="50">
      <c r="A50" s="178"/>
      <c r="B50" s="178"/>
      <c r="C50" s="178"/>
      <c r="D50" s="178"/>
      <c r="E50" s="178"/>
    </row>
    <row r="51">
      <c r="A51" s="178"/>
      <c r="B51" s="178"/>
      <c r="C51" s="178"/>
      <c r="D51" s="178"/>
      <c r="E51" s="178"/>
    </row>
    <row r="52">
      <c r="A52" s="178"/>
      <c r="B52" s="178"/>
      <c r="C52" s="178"/>
      <c r="D52" s="178"/>
      <c r="E52" s="178"/>
    </row>
    <row r="53">
      <c r="A53" s="178"/>
      <c r="B53" s="178"/>
      <c r="C53" s="178"/>
      <c r="D53" s="178"/>
      <c r="E53" s="178"/>
    </row>
    <row r="54">
      <c r="A54" s="178"/>
      <c r="B54" s="178"/>
      <c r="C54" s="178"/>
      <c r="D54" s="178"/>
      <c r="E54" s="178"/>
    </row>
    <row r="55">
      <c r="A55" s="178"/>
      <c r="B55" s="178"/>
      <c r="C55" s="178"/>
      <c r="D55" s="178"/>
      <c r="E55" s="178"/>
    </row>
    <row r="56">
      <c r="A56" s="178"/>
      <c r="B56" s="178"/>
      <c r="C56" s="178"/>
      <c r="D56" s="178"/>
      <c r="E56" s="178"/>
    </row>
    <row r="57">
      <c r="A57" s="178"/>
      <c r="B57" s="178"/>
      <c r="C57" s="178"/>
      <c r="D57" s="178"/>
      <c r="E57" s="178"/>
    </row>
    <row r="58">
      <c r="A58" s="178"/>
      <c r="B58" s="178"/>
      <c r="C58" s="178"/>
      <c r="D58" s="178"/>
      <c r="E58" s="178"/>
    </row>
    <row r="59">
      <c r="A59" s="178"/>
      <c r="B59" s="178"/>
      <c r="C59" s="178"/>
      <c r="D59" s="178"/>
      <c r="E59" s="178"/>
    </row>
    <row r="60">
      <c r="A60" s="178"/>
      <c r="B60" s="178"/>
      <c r="C60" s="178"/>
      <c r="D60" s="178"/>
      <c r="E60" s="178"/>
    </row>
    <row r="61">
      <c r="A61" s="178"/>
      <c r="B61" s="178"/>
      <c r="C61" s="178"/>
      <c r="D61" s="178"/>
      <c r="E61" s="178"/>
    </row>
    <row r="62">
      <c r="A62" s="178"/>
      <c r="B62" s="178"/>
      <c r="C62" s="178"/>
      <c r="D62" s="178"/>
      <c r="E62" s="178"/>
    </row>
    <row r="63">
      <c r="A63" s="178"/>
      <c r="B63" s="178"/>
      <c r="C63" s="178"/>
      <c r="D63" s="178"/>
      <c r="E63" s="178"/>
    </row>
    <row r="64">
      <c r="A64" s="178"/>
      <c r="B64" s="178"/>
      <c r="C64" s="178"/>
      <c r="D64" s="178"/>
      <c r="E64" s="178"/>
    </row>
    <row r="65">
      <c r="A65" s="178"/>
      <c r="B65" s="178"/>
      <c r="C65" s="178"/>
      <c r="D65" s="178"/>
      <c r="E65" s="178"/>
    </row>
    <row r="66">
      <c r="A66" s="178"/>
      <c r="B66" s="178"/>
      <c r="C66" s="178"/>
      <c r="D66" s="178"/>
      <c r="E66" s="178"/>
    </row>
    <row r="67">
      <c r="A67" s="178"/>
      <c r="B67" s="178"/>
      <c r="C67" s="178"/>
      <c r="D67" s="178"/>
      <c r="E67" s="178"/>
    </row>
    <row r="68">
      <c r="A68" s="178"/>
      <c r="B68" s="178"/>
      <c r="C68" s="178"/>
      <c r="D68" s="178"/>
      <c r="E68" s="178"/>
    </row>
    <row r="69">
      <c r="A69" s="178"/>
      <c r="B69" s="178"/>
      <c r="C69" s="178"/>
      <c r="D69" s="178"/>
      <c r="E69" s="178"/>
    </row>
    <row r="70">
      <c r="A70" s="178"/>
      <c r="B70" s="178"/>
      <c r="C70" s="178"/>
      <c r="D70" s="178"/>
      <c r="E70" s="178"/>
    </row>
    <row r="71">
      <c r="A71" s="178"/>
      <c r="B71" s="178"/>
      <c r="C71" s="178"/>
      <c r="D71" s="178"/>
      <c r="E71" s="178"/>
    </row>
    <row r="72">
      <c r="A72" s="178"/>
      <c r="B72" s="178"/>
      <c r="C72" s="178"/>
      <c r="D72" s="178"/>
      <c r="E72" s="178"/>
    </row>
    <row r="73">
      <c r="A73" s="178"/>
      <c r="B73" s="178"/>
      <c r="C73" s="178"/>
      <c r="D73" s="178"/>
      <c r="E73" s="178"/>
    </row>
    <row r="74">
      <c r="A74" s="178"/>
      <c r="B74" s="178"/>
      <c r="C74" s="178"/>
      <c r="D74" s="178"/>
      <c r="E74" s="178"/>
    </row>
    <row r="75">
      <c r="A75" s="178"/>
      <c r="B75" s="178"/>
      <c r="C75" s="178"/>
      <c r="D75" s="178"/>
      <c r="E75" s="178"/>
    </row>
    <row r="76">
      <c r="A76" s="178"/>
      <c r="B76" s="178"/>
      <c r="C76" s="178"/>
      <c r="D76" s="178"/>
      <c r="E76" s="178"/>
    </row>
    <row r="77">
      <c r="A77" s="178"/>
      <c r="B77" s="178"/>
      <c r="C77" s="178"/>
      <c r="D77" s="178"/>
      <c r="E77" s="178"/>
    </row>
    <row r="78">
      <c r="A78" s="178"/>
      <c r="B78" s="178"/>
      <c r="C78" s="178"/>
      <c r="D78" s="178"/>
      <c r="E78" s="178"/>
    </row>
    <row r="79">
      <c r="A79" s="178"/>
      <c r="B79" s="178"/>
      <c r="C79" s="178"/>
      <c r="D79" s="178"/>
      <c r="E79" s="178"/>
    </row>
    <row r="80">
      <c r="A80" s="178"/>
      <c r="B80" s="178"/>
      <c r="C80" s="178"/>
      <c r="D80" s="178"/>
      <c r="E80" s="178"/>
    </row>
    <row r="81">
      <c r="A81" s="178"/>
      <c r="B81" s="178"/>
      <c r="C81" s="178"/>
      <c r="D81" s="178"/>
      <c r="E81" s="178"/>
    </row>
    <row r="82">
      <c r="A82" s="178"/>
      <c r="B82" s="178"/>
      <c r="C82" s="178"/>
      <c r="D82" s="178"/>
      <c r="E82" s="178"/>
    </row>
    <row r="83">
      <c r="A83" s="178"/>
      <c r="B83" s="178"/>
      <c r="C83" s="178"/>
      <c r="D83" s="178"/>
      <c r="E83" s="178"/>
    </row>
    <row r="84">
      <c r="A84" s="178"/>
      <c r="B84" s="178"/>
      <c r="C84" s="178"/>
      <c r="D84" s="178"/>
      <c r="E84" s="178"/>
    </row>
    <row r="85">
      <c r="A85" s="178"/>
      <c r="B85" s="178"/>
      <c r="C85" s="178"/>
      <c r="D85" s="178"/>
      <c r="E85" s="178"/>
    </row>
    <row r="86">
      <c r="A86" s="178"/>
      <c r="B86" s="178"/>
      <c r="C86" s="178"/>
      <c r="D86" s="178"/>
      <c r="E86" s="178"/>
    </row>
    <row r="87">
      <c r="A87" s="178"/>
      <c r="B87" s="178"/>
      <c r="C87" s="178"/>
      <c r="D87" s="178"/>
      <c r="E87" s="178"/>
    </row>
    <row r="88">
      <c r="A88" s="178"/>
      <c r="B88" s="178"/>
      <c r="C88" s="178"/>
      <c r="D88" s="178"/>
      <c r="E88" s="178"/>
    </row>
    <row r="89">
      <c r="A89" s="178"/>
      <c r="B89" s="178"/>
      <c r="C89" s="178"/>
      <c r="D89" s="178"/>
      <c r="E89" s="178"/>
    </row>
    <row r="90">
      <c r="A90" s="178"/>
      <c r="B90" s="178"/>
      <c r="C90" s="178"/>
      <c r="D90" s="178"/>
      <c r="E90" s="178"/>
    </row>
    <row r="91">
      <c r="A91" s="178"/>
      <c r="B91" s="178"/>
      <c r="C91" s="178"/>
      <c r="D91" s="178"/>
      <c r="E91" s="178"/>
    </row>
    <row r="92">
      <c r="A92" s="178"/>
      <c r="B92" s="178"/>
      <c r="C92" s="178"/>
      <c r="D92" s="178"/>
      <c r="E92" s="178"/>
    </row>
    <row r="93">
      <c r="A93" s="178"/>
      <c r="B93" s="178"/>
      <c r="C93" s="178"/>
      <c r="D93" s="178"/>
      <c r="E93" s="178"/>
    </row>
    <row r="94">
      <c r="A94" s="178"/>
      <c r="B94" s="178"/>
      <c r="C94" s="178"/>
      <c r="D94" s="178"/>
      <c r="E94" s="178"/>
    </row>
    <row r="95">
      <c r="A95" s="178"/>
      <c r="B95" s="178"/>
      <c r="C95" s="178"/>
      <c r="D95" s="178"/>
      <c r="E95" s="178"/>
    </row>
    <row r="96">
      <c r="A96" s="178"/>
      <c r="B96" s="178"/>
      <c r="C96" s="178"/>
      <c r="D96" s="178"/>
      <c r="E96" s="178"/>
    </row>
    <row r="97">
      <c r="A97" s="178"/>
      <c r="B97" s="178"/>
      <c r="C97" s="178"/>
      <c r="D97" s="178"/>
      <c r="E97" s="178"/>
    </row>
    <row r="98">
      <c r="A98" s="178"/>
      <c r="B98" s="178"/>
      <c r="C98" s="178"/>
      <c r="D98" s="178"/>
      <c r="E98" s="178"/>
    </row>
    <row r="99">
      <c r="A99" s="178"/>
      <c r="B99" s="178"/>
      <c r="C99" s="178"/>
      <c r="D99" s="178"/>
      <c r="E99" s="178"/>
    </row>
    <row r="100">
      <c r="A100" s="178"/>
      <c r="B100" s="178"/>
      <c r="C100" s="178"/>
      <c r="D100" s="178"/>
      <c r="E100" s="178"/>
    </row>
    <row r="101">
      <c r="A101" s="178"/>
      <c r="B101" s="178"/>
      <c r="C101" s="178"/>
      <c r="D101" s="178"/>
      <c r="E101" s="178"/>
    </row>
    <row r="102">
      <c r="A102" s="178"/>
      <c r="B102" s="178"/>
      <c r="C102" s="178"/>
      <c r="D102" s="178"/>
      <c r="E102" s="178"/>
    </row>
    <row r="103">
      <c r="A103" s="178"/>
      <c r="B103" s="178"/>
      <c r="C103" s="178"/>
      <c r="D103" s="178"/>
      <c r="E103" s="178"/>
    </row>
    <row r="104">
      <c r="A104" s="178"/>
      <c r="B104" s="178"/>
      <c r="C104" s="178"/>
      <c r="D104" s="178"/>
      <c r="E104" s="178"/>
    </row>
    <row r="105">
      <c r="A105" s="178"/>
      <c r="B105" s="178"/>
      <c r="C105" s="178"/>
      <c r="D105" s="178"/>
      <c r="E105" s="178"/>
    </row>
    <row r="106">
      <c r="A106" s="178"/>
      <c r="B106" s="178"/>
      <c r="C106" s="178"/>
      <c r="D106" s="178"/>
      <c r="E106" s="178"/>
    </row>
    <row r="107">
      <c r="A107" s="178"/>
      <c r="B107" s="178"/>
      <c r="C107" s="178"/>
      <c r="D107" s="178"/>
      <c r="E107" s="178"/>
    </row>
    <row r="108">
      <c r="A108" s="178"/>
      <c r="B108" s="178"/>
      <c r="C108" s="178"/>
      <c r="D108" s="178"/>
      <c r="E108" s="178"/>
    </row>
    <row r="109">
      <c r="A109" s="178"/>
      <c r="B109" s="178"/>
      <c r="C109" s="178"/>
      <c r="D109" s="178"/>
      <c r="E109" s="178"/>
    </row>
    <row r="110">
      <c r="A110" s="178"/>
      <c r="B110" s="178"/>
      <c r="C110" s="178"/>
      <c r="D110" s="178"/>
      <c r="E110" s="178"/>
    </row>
    <row r="111">
      <c r="A111" s="178"/>
      <c r="B111" s="178"/>
      <c r="C111" s="178"/>
      <c r="D111" s="178"/>
      <c r="E111" s="178"/>
    </row>
    <row r="112">
      <c r="A112" s="178"/>
      <c r="B112" s="178"/>
      <c r="C112" s="178"/>
      <c r="D112" s="178"/>
      <c r="E112" s="178"/>
    </row>
    <row r="113">
      <c r="A113" s="178"/>
      <c r="B113" s="178"/>
      <c r="C113" s="178"/>
      <c r="D113" s="178"/>
      <c r="E113" s="178"/>
    </row>
    <row r="114">
      <c r="A114" s="178"/>
      <c r="B114" s="178"/>
      <c r="C114" s="178"/>
      <c r="D114" s="178"/>
      <c r="E114" s="178"/>
    </row>
    <row r="115">
      <c r="A115" s="178"/>
      <c r="B115" s="178"/>
      <c r="C115" s="178"/>
      <c r="D115" s="178"/>
      <c r="E115" s="178"/>
    </row>
    <row r="116">
      <c r="A116" s="178"/>
      <c r="B116" s="178"/>
      <c r="C116" s="178"/>
      <c r="D116" s="178"/>
      <c r="E116" s="178"/>
    </row>
    <row r="117">
      <c r="A117" s="178"/>
      <c r="B117" s="178"/>
      <c r="C117" s="178"/>
      <c r="D117" s="178"/>
      <c r="E117" s="178"/>
    </row>
    <row r="118">
      <c r="A118" s="178"/>
      <c r="B118" s="178"/>
      <c r="C118" s="178"/>
      <c r="D118" s="178"/>
      <c r="E118" s="178"/>
    </row>
    <row r="119">
      <c r="A119" s="178"/>
      <c r="B119" s="178"/>
      <c r="C119" s="178"/>
      <c r="D119" s="178"/>
      <c r="E119" s="178"/>
    </row>
    <row r="120">
      <c r="A120" s="178"/>
      <c r="B120" s="178"/>
      <c r="C120" s="178"/>
      <c r="D120" s="178"/>
      <c r="E120" s="178"/>
    </row>
    <row r="121">
      <c r="A121" s="178"/>
      <c r="B121" s="178"/>
      <c r="C121" s="178"/>
      <c r="D121" s="178"/>
      <c r="E121" s="178"/>
    </row>
    <row r="122">
      <c r="A122" s="178"/>
      <c r="B122" s="178"/>
      <c r="C122" s="178"/>
      <c r="D122" s="178"/>
      <c r="E122" s="178"/>
    </row>
    <row r="123">
      <c r="A123" s="178"/>
      <c r="B123" s="178"/>
      <c r="C123" s="178"/>
      <c r="D123" s="178"/>
      <c r="E123" s="178"/>
    </row>
    <row r="124">
      <c r="A124" s="178"/>
      <c r="B124" s="178"/>
      <c r="C124" s="178"/>
      <c r="D124" s="178"/>
      <c r="E124" s="178"/>
    </row>
    <row r="125">
      <c r="A125" s="178"/>
      <c r="B125" s="178"/>
      <c r="C125" s="178"/>
      <c r="D125" s="178"/>
      <c r="E125" s="178"/>
    </row>
    <row r="126">
      <c r="A126" s="178"/>
      <c r="B126" s="178"/>
      <c r="C126" s="178"/>
      <c r="D126" s="178"/>
      <c r="E126" s="178"/>
    </row>
    <row r="127">
      <c r="A127" s="178"/>
      <c r="B127" s="178"/>
      <c r="C127" s="178"/>
      <c r="D127" s="178"/>
      <c r="E127" s="178"/>
    </row>
    <row r="128">
      <c r="A128" s="178"/>
      <c r="B128" s="178"/>
      <c r="C128" s="178"/>
      <c r="D128" s="178"/>
      <c r="E128" s="178"/>
    </row>
    <row r="129">
      <c r="A129" s="178"/>
      <c r="B129" s="178"/>
      <c r="C129" s="178"/>
      <c r="D129" s="178"/>
      <c r="E129" s="178"/>
    </row>
    <row r="130">
      <c r="A130" s="178"/>
      <c r="B130" s="178"/>
      <c r="C130" s="178"/>
      <c r="D130" s="178"/>
      <c r="E130" s="178"/>
    </row>
    <row r="131">
      <c r="A131" s="178"/>
      <c r="B131" s="178"/>
      <c r="C131" s="178"/>
      <c r="D131" s="178"/>
      <c r="E131" s="178"/>
    </row>
    <row r="132">
      <c r="A132" s="178"/>
      <c r="B132" s="178"/>
      <c r="C132" s="178"/>
      <c r="D132" s="178"/>
      <c r="E132" s="178"/>
    </row>
    <row r="133">
      <c r="A133" s="178"/>
      <c r="B133" s="178"/>
      <c r="C133" s="178"/>
      <c r="D133" s="178"/>
      <c r="E133" s="178"/>
    </row>
    <row r="134">
      <c r="A134" s="178"/>
      <c r="B134" s="178"/>
      <c r="C134" s="178"/>
      <c r="D134" s="178"/>
      <c r="E134" s="178"/>
    </row>
    <row r="135">
      <c r="A135" s="178"/>
      <c r="B135" s="178"/>
      <c r="C135" s="178"/>
      <c r="D135" s="178"/>
      <c r="E135" s="178"/>
    </row>
    <row r="136">
      <c r="A136" s="178"/>
      <c r="B136" s="178"/>
      <c r="C136" s="178"/>
      <c r="D136" s="178"/>
      <c r="E136" s="178"/>
    </row>
    <row r="137">
      <c r="A137" s="178"/>
      <c r="B137" s="178"/>
      <c r="C137" s="178"/>
      <c r="D137" s="178"/>
      <c r="E137" s="178"/>
    </row>
    <row r="138">
      <c r="A138" s="178"/>
      <c r="B138" s="178"/>
      <c r="C138" s="178"/>
      <c r="D138" s="178"/>
      <c r="E138" s="178"/>
    </row>
    <row r="139">
      <c r="A139" s="178"/>
      <c r="B139" s="178"/>
      <c r="C139" s="178"/>
      <c r="D139" s="178"/>
      <c r="E139" s="178"/>
    </row>
    <row r="140">
      <c r="A140" s="178"/>
      <c r="B140" s="178"/>
      <c r="C140" s="178"/>
      <c r="D140" s="178"/>
      <c r="E140" s="178"/>
    </row>
    <row r="141">
      <c r="A141" s="178"/>
      <c r="B141" s="178"/>
      <c r="C141" s="178"/>
      <c r="D141" s="178"/>
      <c r="E141" s="178"/>
    </row>
    <row r="142">
      <c r="A142" s="178"/>
      <c r="B142" s="178"/>
      <c r="C142" s="178"/>
      <c r="D142" s="178"/>
      <c r="E142" s="178"/>
    </row>
    <row r="143">
      <c r="A143" s="178"/>
      <c r="B143" s="178"/>
      <c r="C143" s="178"/>
      <c r="D143" s="178"/>
      <c r="E143" s="178"/>
    </row>
    <row r="144">
      <c r="A144" s="178"/>
      <c r="B144" s="178"/>
      <c r="C144" s="178"/>
      <c r="D144" s="178"/>
      <c r="E144" s="178"/>
    </row>
    <row r="145">
      <c r="A145" s="178"/>
      <c r="B145" s="178"/>
      <c r="C145" s="178"/>
      <c r="D145" s="178"/>
      <c r="E145" s="178"/>
    </row>
    <row r="146">
      <c r="A146" s="178"/>
      <c r="B146" s="178"/>
      <c r="C146" s="178"/>
      <c r="D146" s="178"/>
      <c r="E146" s="178"/>
    </row>
    <row r="147">
      <c r="A147" s="178"/>
      <c r="B147" s="178"/>
      <c r="C147" s="178"/>
      <c r="D147" s="178"/>
      <c r="E147" s="178"/>
    </row>
    <row r="148">
      <c r="A148" s="178"/>
      <c r="B148" s="178"/>
      <c r="C148" s="178"/>
      <c r="D148" s="178"/>
      <c r="E148" s="178"/>
    </row>
    <row r="149">
      <c r="A149" s="178"/>
      <c r="B149" s="178"/>
      <c r="C149" s="178"/>
      <c r="D149" s="178"/>
      <c r="E149" s="178"/>
    </row>
    <row r="150">
      <c r="A150" s="178"/>
      <c r="B150" s="178"/>
      <c r="C150" s="178"/>
      <c r="D150" s="178"/>
      <c r="E150" s="178"/>
    </row>
    <row r="151">
      <c r="A151" s="178"/>
      <c r="B151" s="178"/>
      <c r="C151" s="178"/>
      <c r="D151" s="178"/>
      <c r="E151" s="178"/>
    </row>
    <row r="152">
      <c r="A152" s="178"/>
      <c r="B152" s="178"/>
      <c r="C152" s="178"/>
      <c r="D152" s="178"/>
      <c r="E152" s="178"/>
    </row>
    <row r="153">
      <c r="A153" s="178"/>
      <c r="B153" s="178"/>
      <c r="C153" s="178"/>
      <c r="D153" s="178"/>
      <c r="E153" s="178"/>
    </row>
    <row r="154">
      <c r="A154" s="178"/>
      <c r="B154" s="178"/>
      <c r="C154" s="178"/>
      <c r="D154" s="178"/>
      <c r="E154" s="178"/>
    </row>
    <row r="155">
      <c r="A155" s="178"/>
      <c r="B155" s="178"/>
      <c r="C155" s="178"/>
      <c r="D155" s="178"/>
      <c r="E155" s="178"/>
    </row>
    <row r="156">
      <c r="A156" s="178"/>
      <c r="B156" s="178"/>
      <c r="C156" s="178"/>
      <c r="D156" s="178"/>
      <c r="E156" s="178"/>
    </row>
    <row r="157">
      <c r="A157" s="178"/>
      <c r="B157" s="178"/>
      <c r="C157" s="178"/>
      <c r="D157" s="178"/>
      <c r="E157" s="178"/>
    </row>
    <row r="158">
      <c r="A158" s="178"/>
      <c r="B158" s="178"/>
      <c r="C158" s="178"/>
      <c r="D158" s="178"/>
      <c r="E158" s="178"/>
    </row>
    <row r="159">
      <c r="A159" s="178"/>
      <c r="B159" s="178"/>
      <c r="C159" s="178"/>
      <c r="D159" s="178"/>
      <c r="E159" s="178"/>
    </row>
    <row r="160">
      <c r="A160" s="178"/>
      <c r="B160" s="178"/>
      <c r="C160" s="178"/>
      <c r="D160" s="178"/>
      <c r="E160" s="178"/>
    </row>
    <row r="161">
      <c r="A161" s="178"/>
      <c r="B161" s="178"/>
      <c r="C161" s="178"/>
      <c r="D161" s="178"/>
      <c r="E161" s="178"/>
    </row>
    <row r="162">
      <c r="A162" s="178"/>
      <c r="B162" s="178"/>
      <c r="C162" s="178"/>
      <c r="D162" s="178"/>
      <c r="E162" s="178"/>
    </row>
    <row r="163">
      <c r="A163" s="178"/>
      <c r="B163" s="178"/>
      <c r="C163" s="178"/>
      <c r="D163" s="178"/>
      <c r="E163" s="178"/>
    </row>
    <row r="164">
      <c r="A164" s="178"/>
      <c r="B164" s="178"/>
      <c r="C164" s="178"/>
      <c r="D164" s="178"/>
      <c r="E164" s="178"/>
    </row>
    <row r="165">
      <c r="A165" s="178"/>
      <c r="B165" s="178"/>
      <c r="C165" s="178"/>
      <c r="D165" s="178"/>
      <c r="E165" s="178"/>
    </row>
    <row r="166">
      <c r="A166" s="178"/>
      <c r="B166" s="178"/>
      <c r="C166" s="178"/>
      <c r="D166" s="178"/>
      <c r="E166" s="178"/>
    </row>
    <row r="167">
      <c r="A167" s="178"/>
      <c r="B167" s="178"/>
      <c r="C167" s="178"/>
      <c r="D167" s="178"/>
      <c r="E167" s="178"/>
    </row>
    <row r="168">
      <c r="A168" s="178"/>
      <c r="B168" s="178"/>
      <c r="C168" s="178"/>
      <c r="D168" s="178"/>
      <c r="E168" s="178"/>
    </row>
    <row r="169">
      <c r="A169" s="178"/>
      <c r="B169" s="178"/>
      <c r="C169" s="178"/>
      <c r="D169" s="178"/>
      <c r="E169" s="178"/>
    </row>
    <row r="170">
      <c r="A170" s="178"/>
      <c r="B170" s="178"/>
      <c r="C170" s="178"/>
      <c r="D170" s="178"/>
      <c r="E170" s="178"/>
    </row>
    <row r="171">
      <c r="A171" s="178"/>
      <c r="B171" s="178"/>
      <c r="C171" s="178"/>
      <c r="D171" s="178"/>
      <c r="E171" s="178"/>
    </row>
    <row r="172">
      <c r="A172" s="178"/>
      <c r="B172" s="178"/>
      <c r="C172" s="178"/>
      <c r="D172" s="178"/>
      <c r="E172" s="178"/>
    </row>
    <row r="173">
      <c r="A173" s="178"/>
      <c r="B173" s="178"/>
      <c r="C173" s="178"/>
      <c r="D173" s="178"/>
      <c r="E173" s="178"/>
    </row>
    <row r="174">
      <c r="A174" s="178"/>
      <c r="B174" s="178"/>
      <c r="C174" s="178"/>
      <c r="D174" s="178"/>
      <c r="E174" s="178"/>
    </row>
    <row r="175">
      <c r="A175" s="178"/>
      <c r="B175" s="178"/>
      <c r="C175" s="178"/>
      <c r="D175" s="178"/>
      <c r="E175" s="178"/>
    </row>
    <row r="176">
      <c r="A176" s="178"/>
      <c r="B176" s="178"/>
      <c r="C176" s="178"/>
      <c r="D176" s="178"/>
      <c r="E176" s="178"/>
    </row>
    <row r="177">
      <c r="A177" s="178"/>
      <c r="B177" s="178"/>
      <c r="C177" s="178"/>
      <c r="D177" s="178"/>
      <c r="E177" s="178"/>
    </row>
    <row r="178">
      <c r="A178" s="178"/>
      <c r="B178" s="178"/>
      <c r="C178" s="178"/>
      <c r="D178" s="178"/>
      <c r="E178" s="178"/>
    </row>
    <row r="179">
      <c r="A179" s="178"/>
      <c r="B179" s="178"/>
      <c r="C179" s="178"/>
      <c r="D179" s="178"/>
      <c r="E179" s="178"/>
    </row>
    <row r="180">
      <c r="A180" s="178"/>
      <c r="B180" s="178"/>
      <c r="C180" s="178"/>
      <c r="D180" s="178"/>
      <c r="E180" s="178"/>
    </row>
    <row r="181">
      <c r="A181" s="178"/>
      <c r="B181" s="178"/>
      <c r="C181" s="178"/>
      <c r="D181" s="178"/>
      <c r="E181" s="178"/>
    </row>
    <row r="182">
      <c r="A182" s="178"/>
      <c r="B182" s="178"/>
      <c r="C182" s="178"/>
      <c r="D182" s="178"/>
      <c r="E182" s="178"/>
    </row>
    <row r="183">
      <c r="A183" s="178"/>
      <c r="B183" s="178"/>
      <c r="C183" s="178"/>
      <c r="D183" s="178"/>
      <c r="E183" s="178"/>
    </row>
    <row r="184">
      <c r="A184" s="178"/>
      <c r="B184" s="178"/>
      <c r="C184" s="178"/>
      <c r="D184" s="178"/>
      <c r="E184" s="178"/>
    </row>
    <row r="185">
      <c r="A185" s="178"/>
      <c r="B185" s="178"/>
      <c r="C185" s="178"/>
      <c r="D185" s="178"/>
      <c r="E185" s="178"/>
    </row>
    <row r="186">
      <c r="A186" s="178"/>
      <c r="B186" s="178"/>
      <c r="C186" s="178"/>
      <c r="D186" s="178"/>
      <c r="E186" s="178"/>
    </row>
    <row r="187">
      <c r="A187" s="178"/>
      <c r="B187" s="178"/>
      <c r="C187" s="178"/>
      <c r="D187" s="178"/>
      <c r="E187" s="178"/>
    </row>
    <row r="188">
      <c r="A188" s="178"/>
      <c r="B188" s="178"/>
      <c r="C188" s="178"/>
      <c r="D188" s="178"/>
      <c r="E188" s="178"/>
    </row>
    <row r="189">
      <c r="A189" s="178"/>
      <c r="B189" s="178"/>
      <c r="C189" s="178"/>
      <c r="D189" s="178"/>
      <c r="E189" s="178"/>
    </row>
    <row r="190">
      <c r="A190" s="178"/>
      <c r="B190" s="178"/>
      <c r="C190" s="178"/>
      <c r="D190" s="178"/>
      <c r="E190" s="178"/>
    </row>
    <row r="191">
      <c r="A191" s="178"/>
      <c r="B191" s="178"/>
      <c r="C191" s="178"/>
      <c r="D191" s="178"/>
      <c r="E191" s="178"/>
    </row>
    <row r="192">
      <c r="A192" s="178"/>
      <c r="B192" s="178"/>
      <c r="C192" s="178"/>
      <c r="D192" s="178"/>
      <c r="E192" s="178"/>
    </row>
    <row r="193">
      <c r="A193" s="178"/>
      <c r="B193" s="178"/>
      <c r="C193" s="178"/>
      <c r="D193" s="178"/>
      <c r="E193" s="178"/>
    </row>
    <row r="194">
      <c r="A194" s="178"/>
      <c r="B194" s="178"/>
      <c r="C194" s="178"/>
      <c r="D194" s="178"/>
      <c r="E194" s="178"/>
    </row>
    <row r="195">
      <c r="A195" s="178"/>
      <c r="B195" s="178"/>
      <c r="C195" s="178"/>
      <c r="D195" s="178"/>
      <c r="E195" s="178"/>
    </row>
    <row r="196">
      <c r="A196" s="178"/>
      <c r="B196" s="178"/>
      <c r="C196" s="178"/>
      <c r="D196" s="178"/>
      <c r="E196" s="178"/>
    </row>
    <row r="197">
      <c r="A197" s="178"/>
      <c r="B197" s="178"/>
      <c r="C197" s="178"/>
      <c r="D197" s="178"/>
      <c r="E197" s="178"/>
    </row>
    <row r="198">
      <c r="A198" s="178"/>
      <c r="B198" s="178"/>
      <c r="C198" s="178"/>
      <c r="D198" s="178"/>
      <c r="E198" s="178"/>
    </row>
    <row r="199">
      <c r="A199" s="178"/>
      <c r="B199" s="178"/>
      <c r="C199" s="178"/>
      <c r="D199" s="178"/>
      <c r="E199" s="178"/>
    </row>
    <row r="200">
      <c r="A200" s="178"/>
      <c r="B200" s="178"/>
      <c r="C200" s="178"/>
      <c r="D200" s="178"/>
      <c r="E200" s="178"/>
    </row>
    <row r="201">
      <c r="A201" s="178"/>
      <c r="B201" s="178"/>
      <c r="C201" s="178"/>
      <c r="D201" s="178"/>
      <c r="E201" s="178"/>
    </row>
    <row r="202">
      <c r="A202" s="178"/>
      <c r="B202" s="178"/>
      <c r="C202" s="178"/>
      <c r="D202" s="178"/>
      <c r="E202" s="178"/>
    </row>
    <row r="203">
      <c r="A203" s="178"/>
      <c r="B203" s="178"/>
      <c r="C203" s="178"/>
      <c r="D203" s="178"/>
      <c r="E203" s="178"/>
    </row>
    <row r="204">
      <c r="A204" s="178"/>
      <c r="B204" s="178"/>
      <c r="C204" s="178"/>
      <c r="D204" s="178"/>
      <c r="E204" s="178"/>
    </row>
    <row r="205">
      <c r="A205" s="178"/>
      <c r="B205" s="178"/>
      <c r="C205" s="178"/>
      <c r="D205" s="178"/>
      <c r="E205" s="178"/>
    </row>
    <row r="206">
      <c r="A206" s="178"/>
      <c r="B206" s="178"/>
      <c r="C206" s="178"/>
      <c r="D206" s="178"/>
      <c r="E206" s="178"/>
    </row>
    <row r="207">
      <c r="A207" s="178"/>
      <c r="B207" s="178"/>
      <c r="C207" s="178"/>
      <c r="D207" s="178"/>
      <c r="E207" s="178"/>
    </row>
    <row r="208">
      <c r="A208" s="178"/>
      <c r="B208" s="178"/>
      <c r="C208" s="178"/>
      <c r="D208" s="178"/>
      <c r="E208" s="178"/>
    </row>
    <row r="209">
      <c r="A209" s="178"/>
      <c r="B209" s="178"/>
      <c r="C209" s="178"/>
      <c r="D209" s="178"/>
      <c r="E209" s="178"/>
    </row>
    <row r="210">
      <c r="A210" s="178"/>
      <c r="B210" s="178"/>
      <c r="C210" s="178"/>
      <c r="D210" s="178"/>
      <c r="E210" s="178"/>
    </row>
    <row r="211">
      <c r="A211" s="178"/>
      <c r="B211" s="178"/>
      <c r="C211" s="178"/>
      <c r="D211" s="178"/>
      <c r="E211" s="178"/>
    </row>
    <row r="212">
      <c r="A212" s="178"/>
      <c r="B212" s="178"/>
      <c r="C212" s="178"/>
      <c r="D212" s="178"/>
      <c r="E212" s="178"/>
    </row>
    <row r="213">
      <c r="A213" s="178"/>
      <c r="B213" s="178"/>
      <c r="C213" s="178"/>
      <c r="D213" s="178"/>
      <c r="E213" s="178"/>
    </row>
    <row r="214">
      <c r="A214" s="178"/>
      <c r="B214" s="178"/>
      <c r="C214" s="178"/>
      <c r="D214" s="178"/>
      <c r="E214" s="178"/>
    </row>
    <row r="215">
      <c r="A215" s="178"/>
      <c r="B215" s="178"/>
      <c r="C215" s="178"/>
      <c r="D215" s="178"/>
      <c r="E215" s="178"/>
    </row>
    <row r="216">
      <c r="A216" s="178"/>
      <c r="B216" s="178"/>
      <c r="C216" s="178"/>
      <c r="D216" s="178"/>
      <c r="E216" s="178"/>
    </row>
    <row r="217">
      <c r="A217" s="178"/>
      <c r="B217" s="178"/>
      <c r="C217" s="178"/>
      <c r="D217" s="178"/>
      <c r="E217" s="178"/>
    </row>
    <row r="218">
      <c r="A218" s="178"/>
      <c r="B218" s="178"/>
      <c r="C218" s="178"/>
      <c r="D218" s="178"/>
      <c r="E218" s="178"/>
    </row>
    <row r="219">
      <c r="A219" s="178"/>
      <c r="B219" s="178"/>
      <c r="C219" s="178"/>
      <c r="D219" s="178"/>
      <c r="E219" s="178"/>
    </row>
    <row r="220">
      <c r="A220" s="178"/>
      <c r="B220" s="178"/>
      <c r="C220" s="178"/>
      <c r="D220" s="178"/>
      <c r="E220" s="178"/>
    </row>
    <row r="221">
      <c r="A221" s="178"/>
      <c r="B221" s="178"/>
      <c r="C221" s="178"/>
      <c r="D221" s="178"/>
      <c r="E221" s="178"/>
    </row>
    <row r="222">
      <c r="A222" s="178"/>
      <c r="B222" s="178"/>
      <c r="C222" s="178"/>
      <c r="D222" s="178"/>
      <c r="E222" s="178"/>
    </row>
    <row r="223">
      <c r="A223" s="178"/>
      <c r="B223" s="178"/>
      <c r="C223" s="178"/>
      <c r="D223" s="178"/>
      <c r="E223" s="178"/>
    </row>
    <row r="224">
      <c r="A224" s="178"/>
      <c r="B224" s="178"/>
      <c r="C224" s="178"/>
      <c r="D224" s="178"/>
      <c r="E224" s="178"/>
    </row>
    <row r="225">
      <c r="A225" s="178"/>
      <c r="B225" s="178"/>
      <c r="C225" s="178"/>
      <c r="D225" s="178"/>
      <c r="E225" s="178"/>
    </row>
    <row r="226">
      <c r="A226" s="178"/>
      <c r="B226" s="178"/>
      <c r="C226" s="178"/>
      <c r="D226" s="178"/>
      <c r="E226" s="178"/>
    </row>
    <row r="227">
      <c r="A227" s="178"/>
      <c r="B227" s="178"/>
      <c r="C227" s="178"/>
      <c r="D227" s="178"/>
      <c r="E227" s="178"/>
    </row>
    <row r="228">
      <c r="A228" s="178"/>
      <c r="B228" s="178"/>
      <c r="C228" s="178"/>
      <c r="D228" s="178"/>
      <c r="E228" s="178"/>
    </row>
    <row r="229">
      <c r="A229" s="178"/>
      <c r="B229" s="178"/>
      <c r="C229" s="178"/>
      <c r="D229" s="178"/>
      <c r="E229" s="178"/>
    </row>
    <row r="230">
      <c r="A230" s="178"/>
      <c r="B230" s="178"/>
      <c r="C230" s="178"/>
      <c r="D230" s="178"/>
      <c r="E230" s="178"/>
    </row>
    <row r="231">
      <c r="A231" s="178"/>
      <c r="B231" s="178"/>
      <c r="C231" s="178"/>
      <c r="D231" s="178"/>
      <c r="E231" s="178"/>
    </row>
    <row r="232">
      <c r="A232" s="178"/>
      <c r="B232" s="178"/>
      <c r="C232" s="178"/>
      <c r="D232" s="178"/>
      <c r="E232" s="178"/>
    </row>
    <row r="233">
      <c r="A233" s="178"/>
      <c r="B233" s="178"/>
      <c r="C233" s="178"/>
      <c r="D233" s="178"/>
      <c r="E233" s="178"/>
    </row>
    <row r="234">
      <c r="A234" s="178"/>
      <c r="B234" s="178"/>
      <c r="C234" s="178"/>
      <c r="D234" s="178"/>
      <c r="E234" s="178"/>
    </row>
    <row r="235">
      <c r="A235" s="178"/>
      <c r="B235" s="178"/>
      <c r="C235" s="178"/>
      <c r="D235" s="178"/>
      <c r="E235" s="178"/>
    </row>
    <row r="236">
      <c r="A236" s="178"/>
      <c r="B236" s="178"/>
      <c r="C236" s="178"/>
      <c r="D236" s="178"/>
      <c r="E236" s="178"/>
    </row>
    <row r="237">
      <c r="A237" s="178"/>
      <c r="B237" s="178"/>
      <c r="C237" s="178"/>
      <c r="D237" s="178"/>
      <c r="E237" s="178"/>
    </row>
    <row r="238">
      <c r="A238" s="178"/>
      <c r="B238" s="178"/>
      <c r="C238" s="178"/>
      <c r="D238" s="178"/>
      <c r="E238" s="178"/>
    </row>
    <row r="239">
      <c r="A239" s="178"/>
      <c r="B239" s="178"/>
      <c r="C239" s="178"/>
      <c r="D239" s="178"/>
      <c r="E239" s="178"/>
    </row>
    <row r="240">
      <c r="A240" s="178"/>
      <c r="B240" s="178"/>
      <c r="C240" s="178"/>
      <c r="D240" s="178"/>
      <c r="E240" s="178"/>
    </row>
    <row r="241">
      <c r="A241" s="178"/>
      <c r="B241" s="178"/>
      <c r="C241" s="178"/>
      <c r="D241" s="178"/>
      <c r="E241" s="178"/>
    </row>
    <row r="242">
      <c r="A242" s="178"/>
      <c r="B242" s="178"/>
      <c r="C242" s="178"/>
      <c r="D242" s="178"/>
      <c r="E242" s="178"/>
    </row>
    <row r="243">
      <c r="A243" s="178"/>
      <c r="B243" s="178"/>
      <c r="C243" s="178"/>
      <c r="D243" s="178"/>
      <c r="E243" s="178"/>
    </row>
    <row r="244">
      <c r="A244" s="178"/>
      <c r="B244" s="178"/>
      <c r="C244" s="178"/>
      <c r="D244" s="178"/>
      <c r="E244" s="178"/>
    </row>
    <row r="245">
      <c r="A245" s="178"/>
      <c r="B245" s="178"/>
      <c r="C245" s="178"/>
      <c r="D245" s="178"/>
      <c r="E245" s="178"/>
    </row>
    <row r="246">
      <c r="A246" s="178"/>
      <c r="B246" s="178"/>
      <c r="C246" s="178"/>
      <c r="D246" s="178"/>
      <c r="E246" s="178"/>
    </row>
    <row r="247">
      <c r="A247" s="178"/>
      <c r="B247" s="178"/>
      <c r="C247" s="178"/>
      <c r="D247" s="178"/>
      <c r="E247" s="178"/>
    </row>
    <row r="248">
      <c r="A248" s="178"/>
      <c r="B248" s="178"/>
      <c r="C248" s="178"/>
      <c r="D248" s="178"/>
      <c r="E248" s="178"/>
    </row>
    <row r="249">
      <c r="A249" s="178"/>
      <c r="B249" s="178"/>
      <c r="C249" s="178"/>
      <c r="D249" s="178"/>
      <c r="E249" s="178"/>
    </row>
    <row r="250">
      <c r="A250" s="178"/>
      <c r="B250" s="178"/>
      <c r="C250" s="178"/>
      <c r="D250" s="178"/>
      <c r="E250" s="178"/>
    </row>
    <row r="251">
      <c r="A251" s="178"/>
      <c r="B251" s="178"/>
      <c r="C251" s="178"/>
      <c r="D251" s="178"/>
      <c r="E251" s="178"/>
    </row>
    <row r="252">
      <c r="A252" s="178"/>
      <c r="B252" s="178"/>
      <c r="C252" s="178"/>
      <c r="D252" s="178"/>
      <c r="E252" s="178"/>
    </row>
    <row r="253">
      <c r="A253" s="178"/>
      <c r="B253" s="178"/>
      <c r="C253" s="178"/>
      <c r="D253" s="178"/>
      <c r="E253" s="178"/>
    </row>
    <row r="254">
      <c r="A254" s="178"/>
      <c r="B254" s="178"/>
      <c r="C254" s="178"/>
      <c r="D254" s="178"/>
      <c r="E254" s="178"/>
    </row>
    <row r="255">
      <c r="A255" s="178"/>
      <c r="B255" s="178"/>
      <c r="C255" s="178"/>
      <c r="D255" s="178"/>
      <c r="E255" s="178"/>
    </row>
    <row r="256">
      <c r="A256" s="178"/>
      <c r="B256" s="178"/>
      <c r="C256" s="178"/>
      <c r="D256" s="178"/>
      <c r="E256" s="178"/>
    </row>
    <row r="257">
      <c r="A257" s="178"/>
      <c r="B257" s="178"/>
      <c r="C257" s="178"/>
      <c r="D257" s="178"/>
      <c r="E257" s="178"/>
    </row>
    <row r="258">
      <c r="A258" s="178"/>
      <c r="B258" s="178"/>
      <c r="C258" s="178"/>
      <c r="D258" s="178"/>
      <c r="E258" s="178"/>
    </row>
    <row r="259">
      <c r="A259" s="178"/>
      <c r="B259" s="178"/>
      <c r="C259" s="178"/>
      <c r="D259" s="178"/>
      <c r="E259" s="178"/>
    </row>
    <row r="260">
      <c r="A260" s="178"/>
      <c r="B260" s="178"/>
      <c r="C260" s="178"/>
      <c r="D260" s="178"/>
      <c r="E260" s="178"/>
    </row>
    <row r="261">
      <c r="A261" s="178"/>
      <c r="B261" s="178"/>
      <c r="C261" s="178"/>
      <c r="D261" s="178"/>
      <c r="E261" s="178"/>
    </row>
    <row r="262">
      <c r="A262" s="178"/>
      <c r="B262" s="178"/>
      <c r="C262" s="178"/>
      <c r="D262" s="178"/>
      <c r="E262" s="178"/>
    </row>
    <row r="263">
      <c r="A263" s="178"/>
      <c r="B263" s="178"/>
      <c r="C263" s="178"/>
      <c r="D263" s="178"/>
      <c r="E263" s="178"/>
    </row>
    <row r="264">
      <c r="A264" s="178"/>
      <c r="B264" s="178"/>
      <c r="C264" s="178"/>
      <c r="D264" s="178"/>
      <c r="E264" s="178"/>
    </row>
    <row r="265">
      <c r="A265" s="178"/>
      <c r="B265" s="178"/>
      <c r="C265" s="178"/>
      <c r="D265" s="178"/>
      <c r="E265" s="178"/>
    </row>
    <row r="266">
      <c r="A266" s="178"/>
      <c r="B266" s="178"/>
      <c r="C266" s="178"/>
      <c r="D266" s="178"/>
      <c r="E266" s="178"/>
    </row>
    <row r="267">
      <c r="A267" s="178"/>
      <c r="B267" s="178"/>
      <c r="C267" s="178"/>
      <c r="D267" s="178"/>
      <c r="E267" s="178"/>
    </row>
    <row r="268">
      <c r="A268" s="178"/>
      <c r="B268" s="178"/>
      <c r="C268" s="178"/>
      <c r="D268" s="178"/>
      <c r="E268" s="178"/>
    </row>
    <row r="269">
      <c r="A269" s="178"/>
      <c r="B269" s="178"/>
      <c r="C269" s="178"/>
      <c r="D269" s="178"/>
      <c r="E269" s="178"/>
    </row>
    <row r="270">
      <c r="A270" s="178"/>
      <c r="B270" s="178"/>
      <c r="C270" s="178"/>
      <c r="D270" s="178"/>
      <c r="E270" s="178"/>
    </row>
    <row r="271">
      <c r="A271" s="178"/>
      <c r="B271" s="178"/>
      <c r="C271" s="178"/>
      <c r="D271" s="178"/>
      <c r="E271" s="178"/>
    </row>
    <row r="272">
      <c r="A272" s="178"/>
      <c r="B272" s="178"/>
      <c r="C272" s="178"/>
      <c r="D272" s="178"/>
      <c r="E272" s="178"/>
    </row>
    <row r="273">
      <c r="A273" s="178"/>
      <c r="B273" s="178"/>
      <c r="C273" s="178"/>
      <c r="D273" s="178"/>
      <c r="E273" s="178"/>
    </row>
    <row r="274">
      <c r="A274" s="178"/>
      <c r="B274" s="178"/>
      <c r="C274" s="178"/>
      <c r="D274" s="178"/>
      <c r="E274" s="178"/>
    </row>
    <row r="275">
      <c r="A275" s="178"/>
      <c r="B275" s="178"/>
      <c r="C275" s="178"/>
      <c r="D275" s="178"/>
      <c r="E275" s="178"/>
    </row>
    <row r="276">
      <c r="A276" s="178"/>
      <c r="B276" s="178"/>
      <c r="C276" s="178"/>
      <c r="D276" s="178"/>
      <c r="E276" s="178"/>
    </row>
    <row r="277">
      <c r="A277" s="178"/>
      <c r="B277" s="178"/>
      <c r="C277" s="178"/>
      <c r="D277" s="178"/>
      <c r="E277" s="178"/>
    </row>
    <row r="278">
      <c r="A278" s="178"/>
      <c r="B278" s="178"/>
      <c r="C278" s="178"/>
      <c r="D278" s="178"/>
      <c r="E278" s="178"/>
    </row>
    <row r="279">
      <c r="A279" s="178"/>
      <c r="B279" s="178"/>
      <c r="C279" s="178"/>
      <c r="D279" s="178"/>
      <c r="E279" s="178"/>
    </row>
    <row r="280">
      <c r="A280" s="178"/>
      <c r="B280" s="178"/>
      <c r="C280" s="178"/>
      <c r="D280" s="178"/>
      <c r="E280" s="178"/>
    </row>
    <row r="281">
      <c r="A281" s="178"/>
      <c r="B281" s="178"/>
      <c r="C281" s="178"/>
      <c r="D281" s="178"/>
      <c r="E281" s="178"/>
    </row>
    <row r="282">
      <c r="A282" s="178"/>
      <c r="B282" s="178"/>
      <c r="C282" s="178"/>
      <c r="D282" s="178"/>
      <c r="E282" s="178"/>
    </row>
    <row r="283">
      <c r="A283" s="178"/>
      <c r="B283" s="178"/>
      <c r="C283" s="178"/>
      <c r="D283" s="178"/>
      <c r="E283" s="178"/>
    </row>
    <row r="284">
      <c r="A284" s="178"/>
      <c r="B284" s="178"/>
      <c r="C284" s="178"/>
      <c r="D284" s="178"/>
      <c r="E284" s="178"/>
    </row>
    <row r="285">
      <c r="A285" s="178"/>
      <c r="B285" s="178"/>
      <c r="C285" s="178"/>
      <c r="D285" s="178"/>
      <c r="E285" s="178"/>
    </row>
    <row r="286">
      <c r="A286" s="178"/>
      <c r="B286" s="178"/>
      <c r="C286" s="178"/>
      <c r="D286" s="178"/>
      <c r="E286" s="178"/>
    </row>
    <row r="287">
      <c r="A287" s="178"/>
      <c r="B287" s="178"/>
      <c r="C287" s="178"/>
      <c r="D287" s="178"/>
      <c r="E287" s="178"/>
    </row>
    <row r="288">
      <c r="A288" s="178"/>
      <c r="B288" s="178"/>
      <c r="C288" s="178"/>
      <c r="D288" s="178"/>
      <c r="E288" s="178"/>
    </row>
    <row r="289">
      <c r="A289" s="178"/>
      <c r="B289" s="178"/>
      <c r="C289" s="178"/>
      <c r="D289" s="178"/>
      <c r="E289" s="178"/>
    </row>
    <row r="290">
      <c r="A290" s="178"/>
      <c r="B290" s="178"/>
      <c r="C290" s="178"/>
      <c r="D290" s="178"/>
      <c r="E290" s="178"/>
    </row>
    <row r="291">
      <c r="A291" s="178"/>
      <c r="B291" s="178"/>
      <c r="C291" s="178"/>
      <c r="D291" s="178"/>
      <c r="E291" s="178"/>
    </row>
    <row r="292">
      <c r="A292" s="178"/>
      <c r="B292" s="178"/>
      <c r="C292" s="178"/>
      <c r="D292" s="178"/>
      <c r="E292" s="178"/>
    </row>
    <row r="293">
      <c r="A293" s="178"/>
      <c r="B293" s="178"/>
      <c r="C293" s="178"/>
      <c r="D293" s="178"/>
      <c r="E293" s="178"/>
    </row>
    <row r="294">
      <c r="A294" s="178"/>
      <c r="B294" s="178"/>
      <c r="C294" s="178"/>
      <c r="D294" s="178"/>
      <c r="E294" s="178"/>
    </row>
    <row r="295">
      <c r="A295" s="178"/>
      <c r="B295" s="178"/>
      <c r="C295" s="178"/>
      <c r="D295" s="178"/>
      <c r="E295" s="178"/>
    </row>
    <row r="296">
      <c r="A296" s="178"/>
      <c r="B296" s="178"/>
      <c r="C296" s="178"/>
      <c r="D296" s="178"/>
      <c r="E296" s="178"/>
    </row>
    <row r="297">
      <c r="A297" s="178"/>
      <c r="B297" s="178"/>
      <c r="C297" s="178"/>
      <c r="D297" s="178"/>
      <c r="E297" s="178"/>
    </row>
    <row r="298">
      <c r="A298" s="178"/>
      <c r="B298" s="178"/>
      <c r="C298" s="178"/>
      <c r="D298" s="178"/>
      <c r="E298" s="178"/>
    </row>
    <row r="299">
      <c r="A299" s="178"/>
      <c r="B299" s="178"/>
      <c r="C299" s="178"/>
      <c r="D299" s="178"/>
      <c r="E299" s="178"/>
    </row>
    <row r="300">
      <c r="A300" s="178"/>
      <c r="B300" s="178"/>
      <c r="C300" s="178"/>
      <c r="D300" s="178"/>
      <c r="E300" s="178"/>
    </row>
    <row r="301">
      <c r="A301" s="178"/>
      <c r="B301" s="178"/>
      <c r="C301" s="178"/>
      <c r="D301" s="178"/>
      <c r="E301" s="178"/>
    </row>
    <row r="302">
      <c r="A302" s="178"/>
      <c r="B302" s="178"/>
      <c r="C302" s="178"/>
      <c r="D302" s="178"/>
      <c r="E302" s="178"/>
    </row>
    <row r="303">
      <c r="A303" s="178"/>
      <c r="B303" s="178"/>
      <c r="C303" s="178"/>
      <c r="D303" s="178"/>
      <c r="E303" s="178"/>
    </row>
    <row r="304">
      <c r="A304" s="178"/>
      <c r="B304" s="178"/>
      <c r="C304" s="178"/>
      <c r="D304" s="178"/>
      <c r="E304" s="178"/>
    </row>
    <row r="305">
      <c r="A305" s="178"/>
      <c r="B305" s="178"/>
      <c r="C305" s="178"/>
      <c r="D305" s="178"/>
      <c r="E305" s="178"/>
    </row>
    <row r="306">
      <c r="A306" s="178"/>
      <c r="B306" s="178"/>
      <c r="C306" s="178"/>
      <c r="D306" s="178"/>
      <c r="E306" s="178"/>
    </row>
    <row r="307">
      <c r="A307" s="178"/>
      <c r="B307" s="178"/>
      <c r="C307" s="178"/>
      <c r="D307" s="178"/>
      <c r="E307" s="178"/>
    </row>
    <row r="308">
      <c r="A308" s="178"/>
      <c r="B308" s="178"/>
      <c r="C308" s="178"/>
      <c r="D308" s="178"/>
      <c r="E308" s="178"/>
    </row>
    <row r="309">
      <c r="A309" s="178"/>
      <c r="B309" s="178"/>
      <c r="C309" s="178"/>
      <c r="D309" s="178"/>
      <c r="E309" s="178"/>
    </row>
    <row r="310">
      <c r="A310" s="178"/>
      <c r="B310" s="178"/>
      <c r="C310" s="178"/>
      <c r="D310" s="178"/>
      <c r="E310" s="178"/>
    </row>
    <row r="311">
      <c r="A311" s="178"/>
      <c r="B311" s="178"/>
      <c r="C311" s="178"/>
      <c r="D311" s="178"/>
      <c r="E311" s="178"/>
    </row>
    <row r="312">
      <c r="A312" s="178"/>
      <c r="B312" s="178"/>
      <c r="C312" s="178"/>
      <c r="D312" s="178"/>
      <c r="E312" s="178"/>
    </row>
    <row r="313">
      <c r="A313" s="178"/>
      <c r="B313" s="178"/>
      <c r="C313" s="178"/>
      <c r="D313" s="178"/>
      <c r="E313" s="178"/>
    </row>
    <row r="314">
      <c r="A314" s="178"/>
      <c r="B314" s="178"/>
      <c r="C314" s="178"/>
      <c r="D314" s="178"/>
      <c r="E314" s="178"/>
    </row>
    <row r="315">
      <c r="A315" s="178"/>
      <c r="B315" s="178"/>
      <c r="C315" s="178"/>
      <c r="D315" s="178"/>
      <c r="E315" s="178"/>
    </row>
    <row r="316">
      <c r="A316" s="178"/>
      <c r="B316" s="178"/>
      <c r="C316" s="178"/>
      <c r="D316" s="178"/>
      <c r="E316" s="178"/>
    </row>
    <row r="317">
      <c r="A317" s="178"/>
      <c r="B317" s="178"/>
      <c r="C317" s="178"/>
      <c r="D317" s="178"/>
      <c r="E317" s="178"/>
    </row>
    <row r="318">
      <c r="A318" s="178"/>
      <c r="B318" s="178"/>
      <c r="C318" s="178"/>
      <c r="D318" s="178"/>
      <c r="E318" s="178"/>
    </row>
    <row r="319">
      <c r="A319" s="178"/>
      <c r="B319" s="178"/>
      <c r="C319" s="178"/>
      <c r="D319" s="178"/>
      <c r="E319" s="178"/>
    </row>
    <row r="320">
      <c r="A320" s="178"/>
      <c r="B320" s="178"/>
      <c r="C320" s="178"/>
      <c r="D320" s="178"/>
      <c r="E320" s="178"/>
    </row>
    <row r="321">
      <c r="A321" s="178"/>
      <c r="B321" s="178"/>
      <c r="C321" s="178"/>
      <c r="D321" s="178"/>
      <c r="E321" s="178"/>
    </row>
    <row r="322">
      <c r="A322" s="178"/>
      <c r="B322" s="178"/>
      <c r="C322" s="178"/>
      <c r="D322" s="178"/>
      <c r="E322" s="178"/>
    </row>
    <row r="323">
      <c r="A323" s="178"/>
      <c r="B323" s="178"/>
      <c r="C323" s="178"/>
      <c r="D323" s="178"/>
      <c r="E323" s="178"/>
    </row>
    <row r="324">
      <c r="A324" s="178"/>
      <c r="B324" s="178"/>
      <c r="C324" s="178"/>
      <c r="D324" s="178"/>
      <c r="E324" s="178"/>
    </row>
    <row r="325">
      <c r="A325" s="178"/>
      <c r="B325" s="178"/>
      <c r="C325" s="178"/>
      <c r="D325" s="178"/>
      <c r="E325" s="178"/>
    </row>
    <row r="326">
      <c r="A326" s="178"/>
      <c r="B326" s="178"/>
      <c r="C326" s="178"/>
      <c r="D326" s="178"/>
      <c r="E326" s="178"/>
    </row>
    <row r="327">
      <c r="A327" s="178"/>
      <c r="B327" s="178"/>
      <c r="C327" s="178"/>
      <c r="D327" s="178"/>
      <c r="E327" s="178"/>
    </row>
    <row r="328">
      <c r="A328" s="178"/>
      <c r="B328" s="178"/>
      <c r="C328" s="178"/>
      <c r="D328" s="178"/>
      <c r="E328" s="178"/>
    </row>
    <row r="329">
      <c r="A329" s="178"/>
      <c r="B329" s="178"/>
      <c r="C329" s="178"/>
      <c r="D329" s="178"/>
      <c r="E329" s="178"/>
    </row>
    <row r="330">
      <c r="A330" s="178"/>
      <c r="B330" s="178"/>
      <c r="C330" s="178"/>
      <c r="D330" s="178"/>
      <c r="E330" s="178"/>
    </row>
    <row r="331">
      <c r="A331" s="178"/>
      <c r="B331" s="178"/>
      <c r="C331" s="178"/>
      <c r="D331" s="178"/>
      <c r="E331" s="178"/>
    </row>
    <row r="332">
      <c r="A332" s="178"/>
      <c r="B332" s="178"/>
      <c r="C332" s="178"/>
      <c r="D332" s="178"/>
      <c r="E332" s="178"/>
    </row>
    <row r="333">
      <c r="A333" s="178"/>
      <c r="B333" s="178"/>
      <c r="C333" s="178"/>
      <c r="D333" s="178"/>
      <c r="E333" s="178"/>
    </row>
    <row r="334">
      <c r="A334" s="178"/>
      <c r="B334" s="178"/>
      <c r="C334" s="178"/>
      <c r="D334" s="178"/>
      <c r="E334" s="178"/>
    </row>
    <row r="335">
      <c r="A335" s="178"/>
      <c r="B335" s="178"/>
      <c r="C335" s="178"/>
      <c r="D335" s="178"/>
      <c r="E335" s="178"/>
    </row>
    <row r="336">
      <c r="A336" s="178"/>
      <c r="B336" s="178"/>
      <c r="C336" s="178"/>
      <c r="D336" s="178"/>
      <c r="E336" s="178"/>
    </row>
    <row r="337">
      <c r="A337" s="178"/>
      <c r="B337" s="178"/>
      <c r="C337" s="178"/>
      <c r="D337" s="178"/>
      <c r="E337" s="178"/>
    </row>
    <row r="338">
      <c r="A338" s="178"/>
      <c r="B338" s="178"/>
      <c r="C338" s="178"/>
      <c r="D338" s="178"/>
      <c r="E338" s="178"/>
    </row>
    <row r="339">
      <c r="A339" s="178"/>
      <c r="B339" s="178"/>
      <c r="C339" s="178"/>
      <c r="D339" s="178"/>
      <c r="E339" s="178"/>
    </row>
    <row r="340">
      <c r="A340" s="178"/>
      <c r="B340" s="178"/>
      <c r="C340" s="178"/>
      <c r="D340" s="178"/>
      <c r="E340" s="178"/>
    </row>
    <row r="341">
      <c r="A341" s="178"/>
      <c r="B341" s="178"/>
      <c r="C341" s="178"/>
      <c r="D341" s="178"/>
      <c r="E341" s="178"/>
    </row>
    <row r="342">
      <c r="A342" s="178"/>
      <c r="B342" s="178"/>
      <c r="C342" s="178"/>
      <c r="D342" s="178"/>
      <c r="E342" s="178"/>
    </row>
    <row r="343">
      <c r="A343" s="178"/>
      <c r="B343" s="178"/>
      <c r="C343" s="178"/>
      <c r="D343" s="178"/>
      <c r="E343" s="178"/>
    </row>
    <row r="344">
      <c r="A344" s="178"/>
      <c r="B344" s="178"/>
      <c r="C344" s="178"/>
      <c r="D344" s="178"/>
      <c r="E344" s="178"/>
    </row>
    <row r="345">
      <c r="A345" s="178"/>
      <c r="B345" s="178"/>
      <c r="C345" s="178"/>
      <c r="D345" s="178"/>
      <c r="E345" s="178"/>
    </row>
    <row r="346">
      <c r="A346" s="178"/>
      <c r="B346" s="178"/>
      <c r="C346" s="178"/>
      <c r="D346" s="178"/>
      <c r="E346" s="178"/>
    </row>
    <row r="347">
      <c r="A347" s="178"/>
      <c r="B347" s="178"/>
      <c r="C347" s="178"/>
      <c r="D347" s="178"/>
      <c r="E347" s="178"/>
    </row>
    <row r="348">
      <c r="A348" s="178"/>
      <c r="B348" s="178"/>
      <c r="C348" s="178"/>
      <c r="D348" s="178"/>
      <c r="E348" s="178"/>
    </row>
    <row r="349">
      <c r="A349" s="178"/>
      <c r="B349" s="178"/>
      <c r="C349" s="178"/>
      <c r="D349" s="178"/>
      <c r="E349" s="178"/>
    </row>
    <row r="350">
      <c r="A350" s="178"/>
      <c r="B350" s="178"/>
      <c r="C350" s="178"/>
      <c r="D350" s="178"/>
      <c r="E350" s="178"/>
    </row>
    <row r="351">
      <c r="A351" s="178"/>
      <c r="B351" s="178"/>
      <c r="C351" s="178"/>
      <c r="D351" s="178"/>
      <c r="E351" s="178"/>
    </row>
    <row r="352">
      <c r="A352" s="178"/>
      <c r="B352" s="178"/>
      <c r="C352" s="178"/>
      <c r="D352" s="178"/>
      <c r="E352" s="178"/>
    </row>
    <row r="353">
      <c r="A353" s="178"/>
      <c r="B353" s="178"/>
      <c r="C353" s="178"/>
      <c r="D353" s="178"/>
      <c r="E353" s="178"/>
    </row>
    <row r="354">
      <c r="A354" s="178"/>
      <c r="B354" s="178"/>
      <c r="C354" s="178"/>
      <c r="D354" s="178"/>
      <c r="E354" s="178"/>
    </row>
    <row r="355">
      <c r="A355" s="178"/>
      <c r="B355" s="178"/>
      <c r="C355" s="178"/>
      <c r="D355" s="178"/>
      <c r="E355" s="178"/>
    </row>
    <row r="356">
      <c r="A356" s="178"/>
      <c r="B356" s="178"/>
      <c r="C356" s="178"/>
      <c r="D356" s="178"/>
      <c r="E356" s="178"/>
    </row>
    <row r="357">
      <c r="A357" s="178"/>
      <c r="B357" s="178"/>
      <c r="C357" s="178"/>
      <c r="D357" s="178"/>
      <c r="E357" s="178"/>
    </row>
    <row r="358">
      <c r="A358" s="178"/>
      <c r="B358" s="178"/>
      <c r="C358" s="178"/>
      <c r="D358" s="178"/>
      <c r="E358" s="178"/>
    </row>
    <row r="359">
      <c r="A359" s="178"/>
      <c r="B359" s="178"/>
      <c r="C359" s="178"/>
      <c r="D359" s="178"/>
      <c r="E359" s="178"/>
    </row>
    <row r="360">
      <c r="A360" s="178"/>
      <c r="B360" s="178"/>
      <c r="C360" s="178"/>
      <c r="D360" s="178"/>
      <c r="E360" s="178"/>
    </row>
    <row r="361">
      <c r="A361" s="178"/>
      <c r="B361" s="178"/>
      <c r="C361" s="178"/>
      <c r="D361" s="178"/>
      <c r="E361" s="178"/>
    </row>
    <row r="362">
      <c r="A362" s="178"/>
      <c r="B362" s="178"/>
      <c r="C362" s="178"/>
      <c r="D362" s="178"/>
      <c r="E362" s="178"/>
    </row>
    <row r="363">
      <c r="A363" s="178"/>
      <c r="B363" s="178"/>
      <c r="C363" s="178"/>
      <c r="D363" s="178"/>
      <c r="E363" s="178"/>
    </row>
    <row r="364">
      <c r="A364" s="178"/>
      <c r="B364" s="178"/>
      <c r="C364" s="178"/>
      <c r="D364" s="178"/>
      <c r="E364" s="178"/>
    </row>
    <row r="365">
      <c r="A365" s="178"/>
      <c r="B365" s="178"/>
      <c r="C365" s="178"/>
      <c r="D365" s="178"/>
      <c r="E365" s="178"/>
    </row>
    <row r="366">
      <c r="A366" s="178"/>
      <c r="B366" s="178"/>
      <c r="C366" s="178"/>
      <c r="D366" s="178"/>
      <c r="E366" s="178"/>
    </row>
    <row r="367">
      <c r="A367" s="178"/>
      <c r="B367" s="178"/>
      <c r="C367" s="178"/>
      <c r="D367" s="178"/>
      <c r="E367" s="178"/>
    </row>
    <row r="368">
      <c r="A368" s="178"/>
      <c r="B368" s="178"/>
      <c r="C368" s="178"/>
      <c r="D368" s="178"/>
      <c r="E368" s="178"/>
    </row>
    <row r="369">
      <c r="A369" s="178"/>
      <c r="B369" s="178"/>
      <c r="C369" s="178"/>
      <c r="D369" s="178"/>
      <c r="E369" s="178"/>
    </row>
    <row r="370">
      <c r="A370" s="178"/>
      <c r="B370" s="178"/>
      <c r="C370" s="178"/>
      <c r="D370" s="178"/>
      <c r="E370" s="178"/>
    </row>
    <row r="371">
      <c r="A371" s="178"/>
      <c r="B371" s="178"/>
      <c r="C371" s="178"/>
      <c r="D371" s="178"/>
      <c r="E371" s="178"/>
    </row>
    <row r="372">
      <c r="A372" s="178"/>
      <c r="B372" s="178"/>
      <c r="C372" s="178"/>
      <c r="D372" s="178"/>
      <c r="E372" s="178"/>
    </row>
    <row r="373">
      <c r="A373" s="178"/>
      <c r="B373" s="178"/>
      <c r="C373" s="178"/>
      <c r="D373" s="178"/>
      <c r="E373" s="178"/>
    </row>
    <row r="374">
      <c r="A374" s="178"/>
      <c r="B374" s="178"/>
      <c r="C374" s="178"/>
      <c r="D374" s="178"/>
      <c r="E374" s="178"/>
    </row>
    <row r="375">
      <c r="A375" s="178"/>
      <c r="B375" s="178"/>
      <c r="C375" s="178"/>
      <c r="D375" s="178"/>
      <c r="E375" s="178"/>
    </row>
    <row r="376">
      <c r="A376" s="178"/>
      <c r="B376" s="178"/>
      <c r="C376" s="178"/>
      <c r="D376" s="178"/>
      <c r="E376" s="178"/>
    </row>
    <row r="377">
      <c r="A377" s="178"/>
      <c r="B377" s="178"/>
      <c r="C377" s="178"/>
      <c r="D377" s="178"/>
      <c r="E377" s="178"/>
    </row>
    <row r="378">
      <c r="A378" s="178"/>
      <c r="B378" s="178"/>
      <c r="C378" s="178"/>
      <c r="D378" s="178"/>
      <c r="E378" s="178"/>
    </row>
    <row r="379">
      <c r="A379" s="178"/>
      <c r="B379" s="178"/>
      <c r="C379" s="178"/>
      <c r="D379" s="178"/>
      <c r="E379" s="178"/>
    </row>
    <row r="380">
      <c r="A380" s="178"/>
      <c r="B380" s="178"/>
      <c r="C380" s="178"/>
      <c r="D380" s="178"/>
      <c r="E380" s="178"/>
    </row>
    <row r="381">
      <c r="A381" s="178"/>
      <c r="B381" s="178"/>
      <c r="C381" s="178"/>
      <c r="D381" s="178"/>
      <c r="E381" s="178"/>
    </row>
    <row r="382">
      <c r="A382" s="178"/>
      <c r="B382" s="178"/>
      <c r="C382" s="178"/>
      <c r="D382" s="178"/>
      <c r="E382" s="178"/>
    </row>
    <row r="383">
      <c r="A383" s="178"/>
      <c r="B383" s="178"/>
      <c r="C383" s="178"/>
      <c r="D383" s="178"/>
      <c r="E383" s="178"/>
    </row>
    <row r="384">
      <c r="A384" s="178"/>
      <c r="B384" s="178"/>
      <c r="C384" s="178"/>
      <c r="D384" s="178"/>
      <c r="E384" s="178"/>
    </row>
    <row r="385">
      <c r="A385" s="178"/>
      <c r="B385" s="178"/>
      <c r="C385" s="178"/>
      <c r="D385" s="178"/>
      <c r="E385" s="178"/>
    </row>
    <row r="386">
      <c r="A386" s="178"/>
      <c r="B386" s="178"/>
      <c r="C386" s="178"/>
      <c r="D386" s="178"/>
      <c r="E386" s="178"/>
    </row>
    <row r="387">
      <c r="A387" s="178"/>
      <c r="B387" s="178"/>
      <c r="C387" s="178"/>
      <c r="D387" s="178"/>
      <c r="E387" s="178"/>
    </row>
    <row r="388">
      <c r="A388" s="178"/>
      <c r="B388" s="178"/>
      <c r="C388" s="178"/>
      <c r="D388" s="178"/>
      <c r="E388" s="178"/>
    </row>
    <row r="389">
      <c r="A389" s="178"/>
      <c r="B389" s="178"/>
      <c r="C389" s="178"/>
      <c r="D389" s="178"/>
      <c r="E389" s="178"/>
    </row>
    <row r="390">
      <c r="A390" s="178"/>
      <c r="B390" s="178"/>
      <c r="C390" s="178"/>
      <c r="D390" s="178"/>
      <c r="E390" s="178"/>
    </row>
    <row r="391">
      <c r="A391" s="178"/>
      <c r="B391" s="178"/>
      <c r="C391" s="178"/>
      <c r="D391" s="178"/>
      <c r="E391" s="178"/>
    </row>
    <row r="392">
      <c r="A392" s="178"/>
      <c r="B392" s="178"/>
      <c r="C392" s="178"/>
      <c r="D392" s="178"/>
      <c r="E392" s="178"/>
    </row>
    <row r="393">
      <c r="A393" s="178"/>
      <c r="B393" s="178"/>
      <c r="C393" s="178"/>
      <c r="D393" s="178"/>
      <c r="E393" s="178"/>
    </row>
    <row r="394">
      <c r="A394" s="178"/>
      <c r="B394" s="178"/>
      <c r="C394" s="178"/>
      <c r="D394" s="178"/>
      <c r="E394" s="178"/>
    </row>
    <row r="395">
      <c r="A395" s="178"/>
      <c r="B395" s="178"/>
      <c r="C395" s="178"/>
      <c r="D395" s="178"/>
      <c r="E395" s="178"/>
    </row>
    <row r="396">
      <c r="A396" s="178"/>
      <c r="B396" s="178"/>
      <c r="C396" s="178"/>
      <c r="D396" s="178"/>
      <c r="E396" s="178"/>
    </row>
    <row r="397">
      <c r="A397" s="178"/>
      <c r="B397" s="178"/>
      <c r="C397" s="178"/>
      <c r="D397" s="178"/>
      <c r="E397" s="178"/>
    </row>
    <row r="398">
      <c r="A398" s="178"/>
      <c r="B398" s="178"/>
      <c r="C398" s="178"/>
      <c r="D398" s="178"/>
      <c r="E398" s="178"/>
    </row>
    <row r="399">
      <c r="A399" s="178"/>
      <c r="B399" s="178"/>
      <c r="C399" s="178"/>
      <c r="D399" s="178"/>
      <c r="E399" s="178"/>
    </row>
    <row r="400">
      <c r="A400" s="178"/>
      <c r="B400" s="178"/>
      <c r="C400" s="178"/>
      <c r="D400" s="178"/>
      <c r="E400" s="178"/>
    </row>
    <row r="401">
      <c r="A401" s="178"/>
      <c r="B401" s="178"/>
      <c r="C401" s="178"/>
      <c r="D401" s="178"/>
      <c r="E401" s="178"/>
    </row>
    <row r="402">
      <c r="A402" s="178"/>
      <c r="B402" s="178"/>
      <c r="C402" s="178"/>
      <c r="D402" s="178"/>
      <c r="E402" s="178"/>
    </row>
    <row r="403">
      <c r="A403" s="178"/>
      <c r="B403" s="178"/>
      <c r="C403" s="178"/>
      <c r="D403" s="178"/>
      <c r="E403" s="178"/>
    </row>
    <row r="404">
      <c r="A404" s="178"/>
      <c r="B404" s="178"/>
      <c r="C404" s="178"/>
      <c r="D404" s="178"/>
      <c r="E404" s="178"/>
    </row>
    <row r="405">
      <c r="A405" s="178"/>
      <c r="B405" s="178"/>
      <c r="C405" s="178"/>
      <c r="D405" s="178"/>
      <c r="E405" s="178"/>
    </row>
    <row r="406">
      <c r="A406" s="178"/>
      <c r="B406" s="178"/>
      <c r="C406" s="178"/>
      <c r="D406" s="178"/>
      <c r="E406" s="178"/>
    </row>
    <row r="407">
      <c r="A407" s="178"/>
      <c r="B407" s="178"/>
      <c r="C407" s="178"/>
      <c r="D407" s="178"/>
      <c r="E407" s="178"/>
    </row>
    <row r="408">
      <c r="A408" s="178"/>
      <c r="B408" s="178"/>
      <c r="C408" s="178"/>
      <c r="D408" s="178"/>
      <c r="E408" s="178"/>
    </row>
    <row r="409">
      <c r="A409" s="178"/>
      <c r="B409" s="178"/>
      <c r="C409" s="178"/>
      <c r="D409" s="178"/>
      <c r="E409" s="178"/>
    </row>
    <row r="410">
      <c r="A410" s="178"/>
      <c r="B410" s="178"/>
      <c r="C410" s="178"/>
      <c r="D410" s="178"/>
      <c r="E410" s="178"/>
    </row>
    <row r="411">
      <c r="A411" s="178"/>
      <c r="B411" s="178"/>
      <c r="C411" s="178"/>
      <c r="D411" s="178"/>
      <c r="E411" s="178"/>
    </row>
    <row r="412">
      <c r="A412" s="178"/>
      <c r="B412" s="178"/>
      <c r="C412" s="178"/>
      <c r="D412" s="178"/>
      <c r="E412" s="178"/>
    </row>
    <row r="413">
      <c r="A413" s="178"/>
      <c r="B413" s="178"/>
      <c r="C413" s="178"/>
      <c r="D413" s="178"/>
      <c r="E413" s="178"/>
    </row>
    <row r="414">
      <c r="A414" s="178"/>
      <c r="B414" s="178"/>
      <c r="C414" s="178"/>
      <c r="D414" s="178"/>
      <c r="E414" s="178"/>
    </row>
    <row r="415">
      <c r="A415" s="178"/>
      <c r="B415" s="178"/>
      <c r="C415" s="178"/>
      <c r="D415" s="178"/>
      <c r="E415" s="178"/>
    </row>
    <row r="416">
      <c r="A416" s="178"/>
      <c r="B416" s="178"/>
      <c r="C416" s="178"/>
      <c r="D416" s="178"/>
      <c r="E416" s="178"/>
    </row>
    <row r="417">
      <c r="A417" s="178"/>
      <c r="B417" s="178"/>
      <c r="C417" s="178"/>
      <c r="D417" s="178"/>
      <c r="E417" s="178"/>
    </row>
    <row r="418">
      <c r="A418" s="178"/>
      <c r="B418" s="178"/>
      <c r="C418" s="178"/>
      <c r="D418" s="178"/>
      <c r="E418" s="178"/>
    </row>
    <row r="419">
      <c r="A419" s="178"/>
      <c r="B419" s="178"/>
      <c r="C419" s="178"/>
      <c r="D419" s="178"/>
      <c r="E419" s="178"/>
    </row>
    <row r="420">
      <c r="A420" s="178"/>
      <c r="B420" s="178"/>
      <c r="C420" s="178"/>
      <c r="D420" s="178"/>
      <c r="E420" s="178"/>
    </row>
    <row r="421">
      <c r="A421" s="178"/>
      <c r="B421" s="178"/>
      <c r="C421" s="178"/>
      <c r="D421" s="178"/>
      <c r="E421" s="178"/>
    </row>
    <row r="422">
      <c r="A422" s="178"/>
      <c r="B422" s="178"/>
      <c r="C422" s="178"/>
      <c r="D422" s="178"/>
      <c r="E422" s="178"/>
    </row>
    <row r="423">
      <c r="A423" s="178"/>
      <c r="B423" s="178"/>
      <c r="C423" s="178"/>
      <c r="D423" s="178"/>
      <c r="E423" s="178"/>
    </row>
    <row r="424">
      <c r="A424" s="178"/>
      <c r="B424" s="178"/>
      <c r="C424" s="178"/>
      <c r="D424" s="178"/>
      <c r="E424" s="178"/>
    </row>
    <row r="425">
      <c r="A425" s="178"/>
      <c r="B425" s="178"/>
      <c r="C425" s="178"/>
      <c r="D425" s="178"/>
      <c r="E425" s="178"/>
    </row>
    <row r="426">
      <c r="A426" s="178"/>
      <c r="B426" s="178"/>
      <c r="C426" s="178"/>
      <c r="D426" s="178"/>
      <c r="E426" s="178"/>
    </row>
    <row r="427">
      <c r="A427" s="178"/>
      <c r="B427" s="178"/>
      <c r="C427" s="178"/>
      <c r="D427" s="178"/>
      <c r="E427" s="178"/>
    </row>
    <row r="428">
      <c r="A428" s="178"/>
      <c r="B428" s="178"/>
      <c r="C428" s="178"/>
      <c r="D428" s="178"/>
      <c r="E428" s="178"/>
    </row>
    <row r="429">
      <c r="A429" s="178"/>
      <c r="B429" s="178"/>
      <c r="C429" s="178"/>
      <c r="D429" s="178"/>
      <c r="E429" s="178"/>
    </row>
    <row r="430">
      <c r="A430" s="178"/>
      <c r="B430" s="178"/>
      <c r="C430" s="178"/>
      <c r="D430" s="178"/>
      <c r="E430" s="178"/>
    </row>
    <row r="431">
      <c r="A431" s="178"/>
      <c r="B431" s="178"/>
      <c r="C431" s="178"/>
      <c r="D431" s="178"/>
      <c r="E431" s="178"/>
    </row>
    <row r="432">
      <c r="A432" s="178"/>
      <c r="B432" s="178"/>
      <c r="C432" s="178"/>
      <c r="D432" s="178"/>
      <c r="E432" s="178"/>
    </row>
    <row r="433">
      <c r="A433" s="178"/>
      <c r="B433" s="178"/>
      <c r="C433" s="178"/>
      <c r="D433" s="178"/>
      <c r="E433" s="178"/>
    </row>
    <row r="434">
      <c r="A434" s="178"/>
      <c r="B434" s="178"/>
      <c r="C434" s="178"/>
      <c r="D434" s="178"/>
      <c r="E434" s="178"/>
    </row>
    <row r="435">
      <c r="A435" s="178"/>
      <c r="B435" s="178"/>
      <c r="C435" s="178"/>
      <c r="D435" s="178"/>
      <c r="E435" s="178"/>
    </row>
    <row r="436">
      <c r="A436" s="178"/>
      <c r="B436" s="178"/>
      <c r="C436" s="178"/>
      <c r="D436" s="178"/>
      <c r="E436" s="178"/>
    </row>
    <row r="437">
      <c r="A437" s="178"/>
      <c r="B437" s="178"/>
      <c r="C437" s="178"/>
      <c r="D437" s="178"/>
      <c r="E437" s="178"/>
    </row>
    <row r="438">
      <c r="A438" s="178"/>
      <c r="B438" s="178"/>
      <c r="C438" s="178"/>
      <c r="D438" s="178"/>
      <c r="E438" s="178"/>
    </row>
    <row r="439">
      <c r="A439" s="178"/>
      <c r="B439" s="178"/>
      <c r="C439" s="178"/>
      <c r="D439" s="178"/>
      <c r="E439" s="178"/>
    </row>
    <row r="440">
      <c r="A440" s="178"/>
      <c r="B440" s="178"/>
      <c r="C440" s="178"/>
      <c r="D440" s="178"/>
      <c r="E440" s="178"/>
    </row>
    <row r="441">
      <c r="A441" s="178"/>
      <c r="B441" s="178"/>
      <c r="C441" s="178"/>
      <c r="D441" s="178"/>
      <c r="E441" s="178"/>
    </row>
    <row r="442">
      <c r="A442" s="178"/>
      <c r="B442" s="178"/>
      <c r="C442" s="178"/>
      <c r="D442" s="178"/>
      <c r="E442" s="178"/>
    </row>
    <row r="443">
      <c r="A443" s="178"/>
      <c r="B443" s="178"/>
      <c r="C443" s="178"/>
      <c r="D443" s="178"/>
      <c r="E443" s="178"/>
    </row>
    <row r="444">
      <c r="A444" s="178"/>
      <c r="B444" s="178"/>
      <c r="C444" s="178"/>
      <c r="D444" s="178"/>
      <c r="E444" s="178"/>
    </row>
    <row r="445">
      <c r="A445" s="178"/>
      <c r="B445" s="178"/>
      <c r="C445" s="178"/>
      <c r="D445" s="178"/>
      <c r="E445" s="178"/>
    </row>
    <row r="446">
      <c r="A446" s="178"/>
      <c r="B446" s="178"/>
      <c r="C446" s="178"/>
      <c r="D446" s="178"/>
      <c r="E446" s="178"/>
    </row>
    <row r="447">
      <c r="A447" s="178"/>
      <c r="B447" s="178"/>
      <c r="C447" s="178"/>
      <c r="D447" s="178"/>
      <c r="E447" s="178"/>
    </row>
    <row r="448">
      <c r="A448" s="178"/>
      <c r="B448" s="178"/>
      <c r="C448" s="178"/>
      <c r="D448" s="178"/>
      <c r="E448" s="178"/>
    </row>
    <row r="449">
      <c r="A449" s="178"/>
      <c r="B449" s="178"/>
      <c r="C449" s="178"/>
      <c r="D449" s="178"/>
      <c r="E449" s="178"/>
    </row>
    <row r="450">
      <c r="A450" s="178"/>
      <c r="B450" s="178"/>
      <c r="C450" s="178"/>
      <c r="D450" s="178"/>
      <c r="E450" s="178"/>
    </row>
    <row r="451">
      <c r="A451" s="178"/>
      <c r="B451" s="178"/>
      <c r="C451" s="178"/>
      <c r="D451" s="178"/>
      <c r="E451" s="178"/>
    </row>
    <row r="452">
      <c r="A452" s="178"/>
      <c r="B452" s="178"/>
      <c r="C452" s="178"/>
      <c r="D452" s="178"/>
      <c r="E452" s="178"/>
    </row>
    <row r="453">
      <c r="A453" s="178"/>
      <c r="B453" s="178"/>
      <c r="C453" s="178"/>
      <c r="D453" s="178"/>
      <c r="E453" s="178"/>
    </row>
    <row r="454">
      <c r="A454" s="178"/>
      <c r="B454" s="178"/>
      <c r="C454" s="178"/>
      <c r="D454" s="178"/>
      <c r="E454" s="178"/>
    </row>
    <row r="455">
      <c r="A455" s="178"/>
      <c r="B455" s="178"/>
      <c r="C455" s="178"/>
      <c r="D455" s="178"/>
      <c r="E455" s="178"/>
    </row>
    <row r="456">
      <c r="A456" s="178"/>
      <c r="B456" s="178"/>
      <c r="C456" s="178"/>
      <c r="D456" s="178"/>
      <c r="E456" s="178"/>
    </row>
    <row r="457">
      <c r="A457" s="178"/>
      <c r="B457" s="178"/>
      <c r="C457" s="178"/>
      <c r="D457" s="178"/>
      <c r="E457" s="178"/>
    </row>
    <row r="458">
      <c r="A458" s="178"/>
      <c r="B458" s="178"/>
      <c r="C458" s="178"/>
      <c r="D458" s="178"/>
      <c r="E458" s="178"/>
    </row>
    <row r="459">
      <c r="A459" s="178"/>
      <c r="B459" s="178"/>
      <c r="C459" s="178"/>
      <c r="D459" s="178"/>
      <c r="E459" s="178"/>
    </row>
    <row r="460">
      <c r="A460" s="178"/>
      <c r="B460" s="178"/>
      <c r="C460" s="178"/>
      <c r="D460" s="178"/>
      <c r="E460" s="178"/>
    </row>
    <row r="461">
      <c r="A461" s="178"/>
      <c r="B461" s="178"/>
      <c r="C461" s="178"/>
      <c r="D461" s="178"/>
      <c r="E461" s="178"/>
    </row>
    <row r="462">
      <c r="A462" s="178"/>
      <c r="B462" s="178"/>
      <c r="C462" s="178"/>
      <c r="D462" s="178"/>
      <c r="E462" s="178"/>
    </row>
    <row r="463">
      <c r="A463" s="178"/>
      <c r="B463" s="178"/>
      <c r="C463" s="178"/>
      <c r="D463" s="178"/>
      <c r="E463" s="178"/>
    </row>
    <row r="464">
      <c r="A464" s="178"/>
      <c r="B464" s="178"/>
      <c r="C464" s="178"/>
      <c r="D464" s="178"/>
      <c r="E464" s="178"/>
    </row>
    <row r="465">
      <c r="A465" s="178"/>
      <c r="B465" s="178"/>
      <c r="C465" s="178"/>
      <c r="D465" s="178"/>
      <c r="E465" s="178"/>
    </row>
    <row r="466">
      <c r="A466" s="178"/>
      <c r="B466" s="178"/>
      <c r="C466" s="178"/>
      <c r="D466" s="178"/>
      <c r="E466" s="178"/>
    </row>
    <row r="467">
      <c r="A467" s="178"/>
      <c r="B467" s="178"/>
      <c r="C467" s="178"/>
      <c r="D467" s="178"/>
      <c r="E467" s="178"/>
    </row>
    <row r="468">
      <c r="A468" s="178"/>
      <c r="B468" s="178"/>
      <c r="C468" s="178"/>
      <c r="D468" s="178"/>
      <c r="E468" s="178"/>
    </row>
    <row r="469">
      <c r="A469" s="178"/>
      <c r="B469" s="178"/>
      <c r="C469" s="178"/>
      <c r="D469" s="178"/>
      <c r="E469" s="178"/>
    </row>
    <row r="470">
      <c r="A470" s="178"/>
      <c r="B470" s="178"/>
      <c r="C470" s="178"/>
      <c r="D470" s="178"/>
      <c r="E470" s="178"/>
    </row>
    <row r="471">
      <c r="A471" s="178"/>
      <c r="B471" s="178"/>
      <c r="C471" s="178"/>
      <c r="D471" s="178"/>
      <c r="E471" s="178"/>
    </row>
    <row r="472">
      <c r="A472" s="178"/>
      <c r="B472" s="178"/>
      <c r="C472" s="178"/>
      <c r="D472" s="178"/>
      <c r="E472" s="178"/>
    </row>
    <row r="473">
      <c r="A473" s="178"/>
      <c r="B473" s="178"/>
      <c r="C473" s="178"/>
      <c r="D473" s="178"/>
      <c r="E473" s="178"/>
    </row>
    <row r="474">
      <c r="A474" s="178"/>
      <c r="B474" s="178"/>
      <c r="C474" s="178"/>
      <c r="D474" s="178"/>
      <c r="E474" s="178"/>
    </row>
    <row r="475">
      <c r="A475" s="178"/>
      <c r="B475" s="178"/>
      <c r="C475" s="178"/>
      <c r="D475" s="178"/>
      <c r="E475" s="178"/>
    </row>
    <row r="476">
      <c r="A476" s="178"/>
      <c r="B476" s="178"/>
      <c r="C476" s="178"/>
      <c r="D476" s="178"/>
      <c r="E476" s="178"/>
    </row>
    <row r="477">
      <c r="A477" s="178"/>
      <c r="B477" s="178"/>
      <c r="C477" s="178"/>
      <c r="D477" s="178"/>
      <c r="E477" s="178"/>
    </row>
    <row r="478">
      <c r="A478" s="178"/>
      <c r="B478" s="178"/>
      <c r="C478" s="178"/>
      <c r="D478" s="178"/>
      <c r="E478" s="178"/>
    </row>
    <row r="479">
      <c r="A479" s="178"/>
      <c r="B479" s="178"/>
      <c r="C479" s="178"/>
      <c r="D479" s="178"/>
      <c r="E479" s="178"/>
    </row>
    <row r="480">
      <c r="A480" s="178"/>
      <c r="B480" s="178"/>
      <c r="C480" s="178"/>
      <c r="D480" s="178"/>
      <c r="E480" s="178"/>
    </row>
    <row r="481">
      <c r="A481" s="178"/>
      <c r="B481" s="178"/>
      <c r="C481" s="178"/>
      <c r="D481" s="178"/>
      <c r="E481" s="178"/>
    </row>
    <row r="482">
      <c r="A482" s="178"/>
      <c r="B482" s="178"/>
      <c r="C482" s="178"/>
      <c r="D482" s="178"/>
      <c r="E482" s="178"/>
    </row>
    <row r="483">
      <c r="A483" s="178"/>
      <c r="B483" s="178"/>
      <c r="C483" s="178"/>
      <c r="D483" s="178"/>
      <c r="E483" s="178"/>
    </row>
    <row r="484">
      <c r="A484" s="178"/>
      <c r="B484" s="178"/>
      <c r="C484" s="178"/>
      <c r="D484" s="178"/>
      <c r="E484" s="178"/>
    </row>
    <row r="485">
      <c r="A485" s="178"/>
      <c r="B485" s="178"/>
      <c r="C485" s="178"/>
      <c r="D485" s="178"/>
      <c r="E485" s="178"/>
    </row>
    <row r="486">
      <c r="A486" s="178"/>
      <c r="B486" s="178"/>
      <c r="C486" s="178"/>
      <c r="D486" s="178"/>
      <c r="E486" s="178"/>
    </row>
    <row r="487">
      <c r="A487" s="178"/>
      <c r="B487" s="178"/>
      <c r="C487" s="178"/>
      <c r="D487" s="178"/>
      <c r="E487" s="178"/>
    </row>
    <row r="488">
      <c r="A488" s="178"/>
      <c r="B488" s="178"/>
      <c r="C488" s="178"/>
      <c r="D488" s="178"/>
      <c r="E488" s="178"/>
    </row>
    <row r="489">
      <c r="A489" s="178"/>
      <c r="B489" s="178"/>
      <c r="C489" s="178"/>
      <c r="D489" s="178"/>
      <c r="E489" s="178"/>
    </row>
    <row r="490">
      <c r="A490" s="178"/>
      <c r="B490" s="178"/>
      <c r="C490" s="178"/>
      <c r="D490" s="178"/>
      <c r="E490" s="178"/>
    </row>
    <row r="491">
      <c r="A491" s="178"/>
      <c r="B491" s="178"/>
      <c r="C491" s="178"/>
      <c r="D491" s="178"/>
      <c r="E491" s="178"/>
    </row>
    <row r="492">
      <c r="A492" s="178"/>
      <c r="B492" s="178"/>
      <c r="C492" s="178"/>
      <c r="D492" s="178"/>
      <c r="E492" s="178"/>
    </row>
    <row r="493">
      <c r="A493" s="178"/>
      <c r="B493" s="178"/>
      <c r="C493" s="178"/>
      <c r="D493" s="178"/>
      <c r="E493" s="178"/>
    </row>
    <row r="494">
      <c r="A494" s="178"/>
      <c r="B494" s="178"/>
      <c r="C494" s="178"/>
      <c r="D494" s="178"/>
      <c r="E494" s="178"/>
    </row>
    <row r="495">
      <c r="A495" s="178"/>
      <c r="B495" s="178"/>
      <c r="C495" s="178"/>
      <c r="D495" s="178"/>
      <c r="E495" s="178"/>
    </row>
    <row r="496">
      <c r="A496" s="178"/>
      <c r="B496" s="178"/>
      <c r="C496" s="178"/>
      <c r="D496" s="178"/>
      <c r="E496" s="178"/>
    </row>
    <row r="497">
      <c r="A497" s="178"/>
      <c r="B497" s="178"/>
      <c r="C497" s="178"/>
      <c r="D497" s="178"/>
      <c r="E497" s="178"/>
    </row>
    <row r="498">
      <c r="A498" s="178"/>
      <c r="B498" s="178"/>
      <c r="C498" s="178"/>
      <c r="D498" s="178"/>
      <c r="E498" s="178"/>
    </row>
    <row r="499">
      <c r="A499" s="178"/>
      <c r="B499" s="178"/>
      <c r="C499" s="178"/>
      <c r="D499" s="178"/>
      <c r="E499" s="178"/>
    </row>
    <row r="500">
      <c r="A500" s="178"/>
      <c r="B500" s="178"/>
      <c r="C500" s="178"/>
      <c r="D500" s="178"/>
      <c r="E500" s="178"/>
    </row>
    <row r="501">
      <c r="A501" s="178"/>
      <c r="B501" s="178"/>
      <c r="C501" s="178"/>
      <c r="D501" s="178"/>
      <c r="E501" s="178"/>
    </row>
    <row r="502">
      <c r="A502" s="178"/>
      <c r="B502" s="178"/>
      <c r="C502" s="178"/>
      <c r="D502" s="178"/>
      <c r="E502" s="178"/>
    </row>
    <row r="503">
      <c r="A503" s="178"/>
      <c r="B503" s="178"/>
      <c r="C503" s="178"/>
      <c r="D503" s="178"/>
      <c r="E503" s="178"/>
    </row>
    <row r="504">
      <c r="A504" s="178"/>
      <c r="B504" s="178"/>
      <c r="C504" s="178"/>
      <c r="D504" s="178"/>
      <c r="E504" s="178"/>
    </row>
    <row r="505">
      <c r="A505" s="178"/>
      <c r="B505" s="178"/>
      <c r="C505" s="178"/>
      <c r="D505" s="178"/>
      <c r="E505" s="178"/>
    </row>
    <row r="506">
      <c r="A506" s="178"/>
      <c r="B506" s="178"/>
      <c r="C506" s="178"/>
      <c r="D506" s="178"/>
      <c r="E506" s="178"/>
    </row>
    <row r="507">
      <c r="A507" s="178"/>
      <c r="B507" s="178"/>
      <c r="C507" s="178"/>
      <c r="D507" s="178"/>
      <c r="E507" s="178"/>
    </row>
    <row r="508">
      <c r="A508" s="178"/>
      <c r="B508" s="178"/>
      <c r="C508" s="178"/>
      <c r="D508" s="178"/>
      <c r="E508" s="178"/>
    </row>
    <row r="509">
      <c r="A509" s="178"/>
      <c r="B509" s="178"/>
      <c r="C509" s="178"/>
      <c r="D509" s="178"/>
      <c r="E509" s="178"/>
    </row>
    <row r="510">
      <c r="A510" s="178"/>
      <c r="B510" s="178"/>
      <c r="C510" s="178"/>
      <c r="D510" s="178"/>
      <c r="E510" s="178"/>
    </row>
    <row r="511">
      <c r="A511" s="178"/>
      <c r="B511" s="178"/>
      <c r="C511" s="178"/>
      <c r="D511" s="178"/>
      <c r="E511" s="178"/>
    </row>
    <row r="512">
      <c r="A512" s="178"/>
      <c r="B512" s="178"/>
      <c r="C512" s="178"/>
      <c r="D512" s="178"/>
      <c r="E512" s="178"/>
    </row>
    <row r="513">
      <c r="A513" s="178"/>
      <c r="B513" s="178"/>
      <c r="C513" s="178"/>
      <c r="D513" s="178"/>
      <c r="E513" s="178"/>
    </row>
    <row r="514">
      <c r="A514" s="178"/>
      <c r="B514" s="178"/>
      <c r="C514" s="178"/>
      <c r="D514" s="178"/>
      <c r="E514" s="178"/>
    </row>
    <row r="515">
      <c r="A515" s="178"/>
      <c r="B515" s="178"/>
      <c r="C515" s="178"/>
      <c r="D515" s="178"/>
      <c r="E515" s="178"/>
    </row>
    <row r="516">
      <c r="A516" s="178"/>
      <c r="B516" s="178"/>
      <c r="C516" s="178"/>
      <c r="D516" s="178"/>
      <c r="E516" s="178"/>
    </row>
    <row r="517">
      <c r="A517" s="178"/>
      <c r="B517" s="178"/>
      <c r="C517" s="178"/>
      <c r="D517" s="178"/>
      <c r="E517" s="178"/>
    </row>
    <row r="518">
      <c r="A518" s="178"/>
      <c r="B518" s="178"/>
      <c r="C518" s="178"/>
      <c r="D518" s="178"/>
      <c r="E518" s="178"/>
    </row>
    <row r="519">
      <c r="A519" s="178"/>
      <c r="B519" s="178"/>
      <c r="C519" s="178"/>
      <c r="D519" s="178"/>
      <c r="E519" s="178"/>
    </row>
    <row r="520">
      <c r="A520" s="178"/>
      <c r="B520" s="178"/>
      <c r="C520" s="178"/>
      <c r="D520" s="178"/>
      <c r="E520" s="178"/>
    </row>
    <row r="521">
      <c r="A521" s="178"/>
      <c r="B521" s="178"/>
      <c r="C521" s="178"/>
      <c r="D521" s="178"/>
      <c r="E521" s="178"/>
    </row>
    <row r="522">
      <c r="A522" s="178"/>
      <c r="B522" s="178"/>
      <c r="C522" s="178"/>
      <c r="D522" s="178"/>
      <c r="E522" s="178"/>
    </row>
    <row r="523">
      <c r="A523" s="178"/>
      <c r="B523" s="178"/>
      <c r="C523" s="178"/>
      <c r="D523" s="178"/>
      <c r="E523" s="178"/>
    </row>
    <row r="524">
      <c r="A524" s="178"/>
      <c r="B524" s="178"/>
      <c r="C524" s="178"/>
      <c r="D524" s="178"/>
      <c r="E524" s="178"/>
    </row>
    <row r="525">
      <c r="A525" s="178"/>
      <c r="B525" s="178"/>
      <c r="C525" s="178"/>
      <c r="D525" s="178"/>
      <c r="E525" s="178"/>
    </row>
    <row r="526">
      <c r="A526" s="178"/>
      <c r="B526" s="178"/>
      <c r="C526" s="178"/>
      <c r="D526" s="178"/>
      <c r="E526" s="178"/>
    </row>
    <row r="527">
      <c r="A527" s="178"/>
      <c r="B527" s="178"/>
      <c r="C527" s="178"/>
      <c r="D527" s="178"/>
      <c r="E527" s="178"/>
    </row>
    <row r="528">
      <c r="A528" s="178"/>
      <c r="B528" s="178"/>
      <c r="C528" s="178"/>
      <c r="D528" s="178"/>
      <c r="E528" s="178"/>
    </row>
    <row r="529">
      <c r="A529" s="178"/>
      <c r="B529" s="178"/>
      <c r="C529" s="178"/>
      <c r="D529" s="178"/>
      <c r="E529" s="178"/>
    </row>
    <row r="530">
      <c r="A530" s="178"/>
      <c r="B530" s="178"/>
      <c r="C530" s="178"/>
      <c r="D530" s="178"/>
      <c r="E530" s="178"/>
    </row>
    <row r="531">
      <c r="A531" s="178"/>
      <c r="B531" s="178"/>
      <c r="C531" s="178"/>
      <c r="D531" s="178"/>
      <c r="E531" s="178"/>
    </row>
    <row r="532">
      <c r="A532" s="178"/>
      <c r="B532" s="178"/>
      <c r="C532" s="178"/>
      <c r="D532" s="178"/>
      <c r="E532" s="178"/>
    </row>
    <row r="533">
      <c r="A533" s="178"/>
      <c r="B533" s="178"/>
      <c r="C533" s="178"/>
      <c r="D533" s="178"/>
      <c r="E533" s="178"/>
    </row>
    <row r="534">
      <c r="A534" s="178"/>
      <c r="B534" s="178"/>
      <c r="C534" s="178"/>
      <c r="D534" s="178"/>
      <c r="E534" s="178"/>
    </row>
    <row r="535">
      <c r="A535" s="178"/>
      <c r="B535" s="178"/>
      <c r="C535" s="178"/>
      <c r="D535" s="178"/>
      <c r="E535" s="178"/>
    </row>
    <row r="536">
      <c r="A536" s="178"/>
      <c r="B536" s="178"/>
      <c r="C536" s="178"/>
      <c r="D536" s="178"/>
      <c r="E536" s="178"/>
    </row>
    <row r="537">
      <c r="A537" s="178"/>
      <c r="B537" s="178"/>
      <c r="C537" s="178"/>
      <c r="D537" s="178"/>
      <c r="E537" s="178"/>
    </row>
    <row r="538">
      <c r="A538" s="178"/>
      <c r="B538" s="178"/>
      <c r="C538" s="178"/>
      <c r="D538" s="178"/>
      <c r="E538" s="178"/>
    </row>
    <row r="539">
      <c r="A539" s="178"/>
      <c r="B539" s="178"/>
      <c r="C539" s="178"/>
      <c r="D539" s="178"/>
      <c r="E539" s="178"/>
    </row>
    <row r="540">
      <c r="A540" s="178"/>
      <c r="B540" s="178"/>
      <c r="C540" s="178"/>
      <c r="D540" s="178"/>
      <c r="E540" s="178"/>
    </row>
    <row r="541">
      <c r="A541" s="178"/>
      <c r="B541" s="178"/>
      <c r="C541" s="178"/>
      <c r="D541" s="178"/>
      <c r="E541" s="178"/>
    </row>
    <row r="542">
      <c r="A542" s="178"/>
      <c r="B542" s="178"/>
      <c r="C542" s="178"/>
      <c r="D542" s="178"/>
      <c r="E542" s="178"/>
    </row>
    <row r="543">
      <c r="A543" s="178"/>
      <c r="B543" s="178"/>
      <c r="C543" s="178"/>
      <c r="D543" s="178"/>
      <c r="E543" s="178"/>
    </row>
    <row r="544">
      <c r="A544" s="178"/>
      <c r="B544" s="178"/>
      <c r="C544" s="178"/>
      <c r="D544" s="178"/>
      <c r="E544" s="178"/>
    </row>
    <row r="545">
      <c r="A545" s="178"/>
      <c r="B545" s="178"/>
      <c r="C545" s="178"/>
      <c r="D545" s="178"/>
      <c r="E545" s="178"/>
    </row>
    <row r="546">
      <c r="A546" s="178"/>
      <c r="B546" s="178"/>
      <c r="C546" s="178"/>
      <c r="D546" s="178"/>
      <c r="E546" s="178"/>
    </row>
    <row r="547">
      <c r="A547" s="178"/>
      <c r="B547" s="178"/>
      <c r="C547" s="178"/>
      <c r="D547" s="178"/>
      <c r="E547" s="178"/>
    </row>
    <row r="548">
      <c r="A548" s="178"/>
      <c r="B548" s="178"/>
      <c r="C548" s="178"/>
      <c r="D548" s="178"/>
      <c r="E548" s="178"/>
    </row>
    <row r="549">
      <c r="A549" s="178"/>
      <c r="B549" s="178"/>
      <c r="C549" s="178"/>
      <c r="D549" s="178"/>
      <c r="E549" s="178"/>
    </row>
    <row r="550">
      <c r="A550" s="178"/>
      <c r="B550" s="178"/>
      <c r="C550" s="178"/>
      <c r="D550" s="178"/>
      <c r="E550" s="178"/>
    </row>
    <row r="551">
      <c r="A551" s="178"/>
      <c r="B551" s="178"/>
      <c r="C551" s="178"/>
      <c r="D551" s="178"/>
      <c r="E551" s="178"/>
    </row>
    <row r="552">
      <c r="A552" s="178"/>
      <c r="B552" s="178"/>
      <c r="C552" s="178"/>
      <c r="D552" s="178"/>
      <c r="E552" s="178"/>
    </row>
    <row r="553">
      <c r="A553" s="178"/>
      <c r="B553" s="178"/>
      <c r="C553" s="178"/>
      <c r="D553" s="178"/>
      <c r="E553" s="178"/>
    </row>
    <row r="554">
      <c r="A554" s="178"/>
      <c r="B554" s="178"/>
      <c r="C554" s="178"/>
      <c r="D554" s="178"/>
      <c r="E554" s="178"/>
    </row>
    <row r="555">
      <c r="A555" s="178"/>
      <c r="B555" s="178"/>
      <c r="C555" s="178"/>
      <c r="D555" s="178"/>
      <c r="E555" s="178"/>
    </row>
    <row r="556">
      <c r="A556" s="178"/>
      <c r="B556" s="178"/>
      <c r="C556" s="178"/>
      <c r="D556" s="178"/>
      <c r="E556" s="178"/>
    </row>
    <row r="557">
      <c r="A557" s="178"/>
      <c r="B557" s="178"/>
      <c r="C557" s="178"/>
      <c r="D557" s="178"/>
      <c r="E557" s="178"/>
    </row>
    <row r="558">
      <c r="A558" s="178"/>
      <c r="B558" s="178"/>
      <c r="C558" s="178"/>
      <c r="D558" s="178"/>
      <c r="E558" s="178"/>
    </row>
    <row r="559">
      <c r="A559" s="178"/>
      <c r="B559" s="178"/>
      <c r="C559" s="178"/>
      <c r="D559" s="178"/>
      <c r="E559" s="178"/>
    </row>
    <row r="560">
      <c r="A560" s="178"/>
      <c r="B560" s="178"/>
      <c r="C560" s="178"/>
      <c r="D560" s="178"/>
      <c r="E560" s="178"/>
    </row>
    <row r="561">
      <c r="A561" s="178"/>
      <c r="B561" s="178"/>
      <c r="C561" s="178"/>
      <c r="D561" s="178"/>
      <c r="E561" s="178"/>
    </row>
    <row r="562">
      <c r="A562" s="178"/>
      <c r="B562" s="178"/>
      <c r="C562" s="178"/>
      <c r="D562" s="178"/>
      <c r="E562" s="178"/>
    </row>
    <row r="563">
      <c r="A563" s="178"/>
      <c r="B563" s="178"/>
      <c r="C563" s="178"/>
      <c r="D563" s="178"/>
      <c r="E563" s="178"/>
    </row>
    <row r="564">
      <c r="A564" s="178"/>
      <c r="B564" s="178"/>
      <c r="C564" s="178"/>
      <c r="D564" s="178"/>
      <c r="E564" s="178"/>
    </row>
    <row r="565">
      <c r="A565" s="178"/>
      <c r="B565" s="178"/>
      <c r="C565" s="178"/>
      <c r="D565" s="178"/>
      <c r="E565" s="178"/>
    </row>
    <row r="566">
      <c r="A566" s="178"/>
      <c r="B566" s="178"/>
      <c r="C566" s="178"/>
      <c r="D566" s="178"/>
      <c r="E566" s="178"/>
    </row>
    <row r="567">
      <c r="A567" s="178"/>
      <c r="B567" s="178"/>
      <c r="C567" s="178"/>
      <c r="D567" s="178"/>
      <c r="E567" s="178"/>
    </row>
    <row r="568">
      <c r="A568" s="178"/>
      <c r="B568" s="178"/>
      <c r="C568" s="178"/>
      <c r="D568" s="178"/>
      <c r="E568" s="178"/>
    </row>
    <row r="569">
      <c r="A569" s="178"/>
      <c r="B569" s="178"/>
      <c r="C569" s="178"/>
      <c r="D569" s="178"/>
      <c r="E569" s="178"/>
    </row>
    <row r="570">
      <c r="A570" s="178"/>
      <c r="B570" s="178"/>
      <c r="C570" s="178"/>
      <c r="D570" s="178"/>
      <c r="E570" s="178"/>
    </row>
    <row r="571">
      <c r="A571" s="178"/>
      <c r="B571" s="178"/>
      <c r="C571" s="178"/>
      <c r="D571" s="178"/>
      <c r="E571" s="178"/>
    </row>
    <row r="572">
      <c r="A572" s="178"/>
      <c r="B572" s="178"/>
      <c r="C572" s="178"/>
      <c r="D572" s="178"/>
      <c r="E572" s="178"/>
    </row>
    <row r="573">
      <c r="A573" s="178"/>
      <c r="B573" s="178"/>
      <c r="C573" s="178"/>
      <c r="D573" s="178"/>
      <c r="E573" s="178"/>
    </row>
    <row r="574">
      <c r="A574" s="178"/>
      <c r="B574" s="178"/>
      <c r="C574" s="178"/>
      <c r="D574" s="178"/>
      <c r="E574" s="178"/>
    </row>
    <row r="575">
      <c r="A575" s="178"/>
      <c r="B575" s="178"/>
      <c r="C575" s="178"/>
      <c r="D575" s="178"/>
      <c r="E575" s="178"/>
    </row>
    <row r="576">
      <c r="A576" s="178"/>
      <c r="B576" s="178"/>
      <c r="C576" s="178"/>
      <c r="D576" s="178"/>
      <c r="E576" s="178"/>
    </row>
    <row r="577">
      <c r="A577" s="178"/>
      <c r="B577" s="178"/>
      <c r="C577" s="178"/>
      <c r="D577" s="178"/>
      <c r="E577" s="178"/>
    </row>
    <row r="578">
      <c r="A578" s="178"/>
      <c r="B578" s="178"/>
      <c r="C578" s="178"/>
      <c r="D578" s="178"/>
      <c r="E578" s="178"/>
    </row>
    <row r="579">
      <c r="A579" s="178"/>
      <c r="B579" s="178"/>
      <c r="C579" s="178"/>
      <c r="D579" s="178"/>
      <c r="E579" s="178"/>
    </row>
    <row r="580">
      <c r="A580" s="178"/>
      <c r="B580" s="178"/>
      <c r="C580" s="178"/>
      <c r="D580" s="178"/>
      <c r="E580" s="178"/>
    </row>
    <row r="581">
      <c r="A581" s="178"/>
      <c r="B581" s="178"/>
      <c r="C581" s="178"/>
      <c r="D581" s="178"/>
      <c r="E581" s="178"/>
    </row>
    <row r="582">
      <c r="A582" s="178"/>
      <c r="B582" s="178"/>
      <c r="C582" s="178"/>
      <c r="D582" s="178"/>
      <c r="E582" s="178"/>
    </row>
    <row r="583">
      <c r="A583" s="178"/>
      <c r="B583" s="178"/>
      <c r="C583" s="178"/>
      <c r="D583" s="178"/>
      <c r="E583" s="178"/>
    </row>
    <row r="584">
      <c r="A584" s="178"/>
      <c r="B584" s="178"/>
      <c r="C584" s="178"/>
      <c r="D584" s="178"/>
      <c r="E584" s="178"/>
    </row>
    <row r="585">
      <c r="A585" s="178"/>
      <c r="B585" s="178"/>
      <c r="C585" s="178"/>
      <c r="D585" s="178"/>
      <c r="E585" s="178"/>
    </row>
    <row r="586">
      <c r="A586" s="178"/>
      <c r="B586" s="178"/>
      <c r="C586" s="178"/>
      <c r="D586" s="178"/>
      <c r="E586" s="178"/>
    </row>
    <row r="587">
      <c r="A587" s="178"/>
      <c r="B587" s="178"/>
      <c r="C587" s="178"/>
      <c r="D587" s="178"/>
      <c r="E587" s="178"/>
    </row>
    <row r="588">
      <c r="A588" s="178"/>
      <c r="B588" s="178"/>
      <c r="C588" s="178"/>
      <c r="D588" s="178"/>
      <c r="E588" s="178"/>
    </row>
    <row r="589">
      <c r="A589" s="178"/>
      <c r="B589" s="178"/>
      <c r="C589" s="178"/>
      <c r="D589" s="178"/>
      <c r="E589" s="178"/>
    </row>
    <row r="590">
      <c r="A590" s="178"/>
      <c r="B590" s="178"/>
      <c r="C590" s="178"/>
      <c r="D590" s="178"/>
      <c r="E590" s="178"/>
    </row>
    <row r="591">
      <c r="A591" s="178"/>
      <c r="B591" s="178"/>
      <c r="C591" s="178"/>
      <c r="D591" s="178"/>
      <c r="E591" s="178"/>
    </row>
    <row r="592">
      <c r="A592" s="178"/>
      <c r="B592" s="178"/>
      <c r="C592" s="178"/>
      <c r="D592" s="178"/>
      <c r="E592" s="178"/>
    </row>
    <row r="593">
      <c r="A593" s="178"/>
      <c r="B593" s="178"/>
      <c r="C593" s="178"/>
      <c r="D593" s="178"/>
      <c r="E593" s="178"/>
    </row>
    <row r="594">
      <c r="A594" s="178"/>
      <c r="B594" s="178"/>
      <c r="C594" s="178"/>
      <c r="D594" s="178"/>
      <c r="E594" s="178"/>
    </row>
    <row r="595">
      <c r="A595" s="178"/>
      <c r="B595" s="178"/>
      <c r="C595" s="178"/>
      <c r="D595" s="178"/>
      <c r="E595" s="178"/>
    </row>
    <row r="596">
      <c r="A596" s="178"/>
      <c r="B596" s="178"/>
      <c r="C596" s="178"/>
      <c r="D596" s="178"/>
      <c r="E596" s="178"/>
    </row>
    <row r="597">
      <c r="A597" s="178"/>
      <c r="B597" s="178"/>
      <c r="C597" s="178"/>
      <c r="D597" s="178"/>
      <c r="E597" s="178"/>
    </row>
    <row r="598">
      <c r="A598" s="178"/>
      <c r="B598" s="178"/>
      <c r="C598" s="178"/>
      <c r="D598" s="178"/>
      <c r="E598" s="178"/>
    </row>
    <row r="599">
      <c r="A599" s="178"/>
      <c r="B599" s="178"/>
      <c r="C599" s="178"/>
      <c r="D599" s="178"/>
      <c r="E599" s="178"/>
    </row>
    <row r="600">
      <c r="A600" s="178"/>
      <c r="B600" s="178"/>
      <c r="C600" s="178"/>
      <c r="D600" s="178"/>
      <c r="E600" s="178"/>
    </row>
    <row r="601">
      <c r="A601" s="178"/>
      <c r="B601" s="178"/>
      <c r="C601" s="178"/>
      <c r="D601" s="178"/>
      <c r="E601" s="178"/>
    </row>
    <row r="602">
      <c r="A602" s="178"/>
      <c r="B602" s="178"/>
      <c r="C602" s="178"/>
      <c r="D602" s="178"/>
      <c r="E602" s="178"/>
    </row>
    <row r="603">
      <c r="A603" s="178"/>
      <c r="B603" s="178"/>
      <c r="C603" s="178"/>
      <c r="D603" s="178"/>
      <c r="E603" s="178"/>
    </row>
    <row r="604">
      <c r="A604" s="178"/>
      <c r="B604" s="178"/>
      <c r="C604" s="178"/>
      <c r="D604" s="178"/>
      <c r="E604" s="178"/>
    </row>
    <row r="605">
      <c r="A605" s="178"/>
      <c r="B605" s="178"/>
      <c r="C605" s="178"/>
      <c r="D605" s="178"/>
      <c r="E605" s="178"/>
    </row>
    <row r="606">
      <c r="A606" s="178"/>
      <c r="B606" s="178"/>
      <c r="C606" s="178"/>
      <c r="D606" s="178"/>
      <c r="E606" s="178"/>
    </row>
    <row r="607">
      <c r="A607" s="178"/>
      <c r="B607" s="178"/>
      <c r="C607" s="178"/>
      <c r="D607" s="178"/>
      <c r="E607" s="178"/>
    </row>
    <row r="608">
      <c r="A608" s="178"/>
      <c r="B608" s="178"/>
      <c r="C608" s="178"/>
      <c r="D608" s="178"/>
      <c r="E608" s="178"/>
    </row>
    <row r="609">
      <c r="A609" s="178"/>
      <c r="B609" s="178"/>
      <c r="C609" s="178"/>
      <c r="D609" s="178"/>
      <c r="E609" s="178"/>
    </row>
    <row r="610">
      <c r="A610" s="178"/>
      <c r="B610" s="178"/>
      <c r="C610" s="178"/>
      <c r="D610" s="178"/>
      <c r="E610" s="178"/>
    </row>
    <row r="611">
      <c r="A611" s="178"/>
      <c r="B611" s="178"/>
      <c r="C611" s="178"/>
      <c r="D611" s="178"/>
      <c r="E611" s="178"/>
    </row>
    <row r="612">
      <c r="A612" s="178"/>
      <c r="B612" s="178"/>
      <c r="C612" s="178"/>
      <c r="D612" s="178"/>
      <c r="E612" s="178"/>
    </row>
    <row r="613">
      <c r="A613" s="178"/>
      <c r="B613" s="178"/>
      <c r="C613" s="178"/>
      <c r="D613" s="178"/>
      <c r="E613" s="178"/>
    </row>
    <row r="614">
      <c r="A614" s="178"/>
      <c r="B614" s="178"/>
      <c r="C614" s="178"/>
      <c r="D614" s="178"/>
      <c r="E614" s="178"/>
    </row>
    <row r="615">
      <c r="A615" s="178"/>
      <c r="B615" s="178"/>
      <c r="C615" s="178"/>
      <c r="D615" s="178"/>
      <c r="E615" s="178"/>
    </row>
    <row r="616">
      <c r="A616" s="178"/>
      <c r="B616" s="178"/>
      <c r="C616" s="178"/>
      <c r="D616" s="178"/>
      <c r="E616" s="178"/>
    </row>
    <row r="617">
      <c r="A617" s="178"/>
      <c r="B617" s="178"/>
      <c r="C617" s="178"/>
      <c r="D617" s="178"/>
      <c r="E617" s="178"/>
    </row>
    <row r="618">
      <c r="A618" s="178"/>
      <c r="B618" s="178"/>
      <c r="C618" s="178"/>
      <c r="D618" s="178"/>
      <c r="E618" s="178"/>
    </row>
    <row r="619">
      <c r="A619" s="178"/>
      <c r="B619" s="178"/>
      <c r="C619" s="178"/>
      <c r="D619" s="178"/>
      <c r="E619" s="178"/>
    </row>
    <row r="620">
      <c r="A620" s="178"/>
      <c r="B620" s="178"/>
      <c r="C620" s="178"/>
      <c r="D620" s="178"/>
      <c r="E620" s="178"/>
    </row>
    <row r="621">
      <c r="A621" s="178"/>
      <c r="B621" s="178"/>
      <c r="C621" s="178"/>
      <c r="D621" s="178"/>
      <c r="E621" s="178"/>
    </row>
    <row r="622">
      <c r="A622" s="178"/>
      <c r="B622" s="178"/>
      <c r="C622" s="178"/>
      <c r="D622" s="178"/>
      <c r="E622" s="178"/>
    </row>
    <row r="623">
      <c r="A623" s="178"/>
      <c r="B623" s="178"/>
      <c r="C623" s="178"/>
      <c r="D623" s="178"/>
      <c r="E623" s="178"/>
    </row>
    <row r="624">
      <c r="A624" s="178"/>
      <c r="B624" s="178"/>
      <c r="C624" s="178"/>
      <c r="D624" s="178"/>
      <c r="E624" s="178"/>
    </row>
    <row r="625">
      <c r="A625" s="178"/>
      <c r="B625" s="178"/>
      <c r="C625" s="178"/>
      <c r="D625" s="178"/>
      <c r="E625" s="178"/>
    </row>
    <row r="626">
      <c r="A626" s="178"/>
      <c r="B626" s="178"/>
      <c r="C626" s="178"/>
      <c r="D626" s="178"/>
      <c r="E626" s="178"/>
    </row>
    <row r="627">
      <c r="A627" s="178"/>
      <c r="B627" s="178"/>
      <c r="C627" s="178"/>
      <c r="D627" s="178"/>
      <c r="E627" s="178"/>
    </row>
    <row r="628">
      <c r="A628" s="178"/>
      <c r="B628" s="178"/>
      <c r="C628" s="178"/>
      <c r="D628" s="178"/>
      <c r="E628" s="178"/>
    </row>
    <row r="629">
      <c r="A629" s="178"/>
      <c r="B629" s="178"/>
      <c r="C629" s="178"/>
      <c r="D629" s="178"/>
      <c r="E629" s="178"/>
    </row>
    <row r="630">
      <c r="A630" s="178"/>
      <c r="B630" s="178"/>
      <c r="C630" s="178"/>
      <c r="D630" s="178"/>
      <c r="E630" s="178"/>
    </row>
    <row r="631">
      <c r="A631" s="178"/>
      <c r="B631" s="178"/>
      <c r="C631" s="178"/>
      <c r="D631" s="178"/>
      <c r="E631" s="178"/>
    </row>
    <row r="632">
      <c r="A632" s="178"/>
      <c r="B632" s="178"/>
      <c r="C632" s="178"/>
      <c r="D632" s="178"/>
      <c r="E632" s="178"/>
    </row>
    <row r="633">
      <c r="A633" s="178"/>
      <c r="B633" s="178"/>
      <c r="C633" s="178"/>
      <c r="D633" s="178"/>
      <c r="E633" s="178"/>
    </row>
    <row r="634">
      <c r="A634" s="178"/>
      <c r="B634" s="178"/>
      <c r="C634" s="178"/>
      <c r="D634" s="178"/>
      <c r="E634" s="178"/>
    </row>
    <row r="635">
      <c r="A635" s="178"/>
      <c r="B635" s="178"/>
      <c r="C635" s="178"/>
      <c r="D635" s="178"/>
      <c r="E635" s="178"/>
    </row>
    <row r="636">
      <c r="A636" s="178"/>
      <c r="B636" s="178"/>
      <c r="C636" s="178"/>
      <c r="D636" s="178"/>
      <c r="E636" s="178"/>
    </row>
    <row r="637">
      <c r="A637" s="178"/>
      <c r="B637" s="178"/>
      <c r="C637" s="178"/>
      <c r="D637" s="178"/>
      <c r="E637" s="178"/>
    </row>
    <row r="638">
      <c r="A638" s="178"/>
      <c r="B638" s="178"/>
      <c r="C638" s="178"/>
      <c r="D638" s="178"/>
      <c r="E638" s="178"/>
    </row>
    <row r="639">
      <c r="A639" s="178"/>
      <c r="B639" s="178"/>
      <c r="C639" s="178"/>
      <c r="D639" s="178"/>
      <c r="E639" s="178"/>
    </row>
    <row r="640">
      <c r="A640" s="178"/>
      <c r="B640" s="178"/>
      <c r="C640" s="178"/>
      <c r="D640" s="178"/>
      <c r="E640" s="178"/>
    </row>
    <row r="641">
      <c r="A641" s="178"/>
      <c r="B641" s="178"/>
      <c r="C641" s="178"/>
      <c r="D641" s="178"/>
      <c r="E641" s="178"/>
    </row>
    <row r="642">
      <c r="A642" s="178"/>
      <c r="B642" s="178"/>
      <c r="C642" s="178"/>
      <c r="D642" s="178"/>
      <c r="E642" s="178"/>
    </row>
    <row r="643">
      <c r="A643" s="178"/>
      <c r="B643" s="178"/>
      <c r="C643" s="178"/>
      <c r="D643" s="178"/>
      <c r="E643" s="178"/>
    </row>
    <row r="644">
      <c r="A644" s="178"/>
      <c r="B644" s="178"/>
      <c r="C644" s="178"/>
      <c r="D644" s="178"/>
      <c r="E644" s="178"/>
    </row>
    <row r="645">
      <c r="A645" s="178"/>
      <c r="B645" s="178"/>
      <c r="C645" s="178"/>
      <c r="D645" s="178"/>
      <c r="E645" s="178"/>
    </row>
    <row r="646">
      <c r="A646" s="178"/>
      <c r="B646" s="178"/>
      <c r="C646" s="178"/>
      <c r="D646" s="178"/>
      <c r="E646" s="178"/>
    </row>
    <row r="647">
      <c r="A647" s="178"/>
      <c r="B647" s="178"/>
      <c r="C647" s="178"/>
      <c r="D647" s="178"/>
      <c r="E647" s="178"/>
    </row>
    <row r="648">
      <c r="A648" s="178"/>
      <c r="B648" s="178"/>
      <c r="C648" s="178"/>
      <c r="D648" s="178"/>
      <c r="E648" s="178"/>
    </row>
    <row r="649">
      <c r="A649" s="178"/>
      <c r="B649" s="178"/>
      <c r="C649" s="178"/>
      <c r="D649" s="178"/>
      <c r="E649" s="178"/>
    </row>
    <row r="650">
      <c r="A650" s="178"/>
      <c r="B650" s="178"/>
      <c r="C650" s="178"/>
      <c r="D650" s="178"/>
      <c r="E650" s="178"/>
    </row>
    <row r="651">
      <c r="A651" s="178"/>
      <c r="B651" s="178"/>
      <c r="C651" s="178"/>
      <c r="D651" s="178"/>
      <c r="E651" s="178"/>
    </row>
    <row r="652">
      <c r="A652" s="178"/>
      <c r="B652" s="178"/>
      <c r="C652" s="178"/>
      <c r="D652" s="178"/>
      <c r="E652" s="178"/>
    </row>
    <row r="653">
      <c r="A653" s="178"/>
      <c r="B653" s="178"/>
      <c r="C653" s="178"/>
      <c r="D653" s="178"/>
      <c r="E653" s="178"/>
    </row>
    <row r="654">
      <c r="A654" s="178"/>
      <c r="B654" s="178"/>
      <c r="C654" s="178"/>
      <c r="D654" s="178"/>
      <c r="E654" s="178"/>
    </row>
    <row r="655">
      <c r="A655" s="178"/>
      <c r="B655" s="178"/>
      <c r="C655" s="178"/>
      <c r="D655" s="178"/>
      <c r="E655" s="178"/>
    </row>
    <row r="656">
      <c r="A656" s="178"/>
      <c r="B656" s="178"/>
      <c r="C656" s="178"/>
      <c r="D656" s="178"/>
      <c r="E656" s="178"/>
    </row>
    <row r="657">
      <c r="A657" s="178"/>
      <c r="B657" s="178"/>
      <c r="C657" s="178"/>
      <c r="D657" s="178"/>
      <c r="E657" s="178"/>
    </row>
    <row r="658">
      <c r="A658" s="178"/>
      <c r="B658" s="178"/>
      <c r="C658" s="178"/>
      <c r="D658" s="178"/>
      <c r="E658" s="178"/>
    </row>
    <row r="659">
      <c r="A659" s="178"/>
      <c r="B659" s="178"/>
      <c r="C659" s="178"/>
      <c r="D659" s="178"/>
      <c r="E659" s="178"/>
    </row>
    <row r="660">
      <c r="A660" s="178"/>
      <c r="B660" s="178"/>
      <c r="C660" s="178"/>
      <c r="D660" s="178"/>
      <c r="E660" s="178"/>
    </row>
    <row r="661">
      <c r="A661" s="178"/>
      <c r="B661" s="178"/>
      <c r="C661" s="178"/>
      <c r="D661" s="178"/>
      <c r="E661" s="178"/>
    </row>
    <row r="662">
      <c r="A662" s="178"/>
      <c r="B662" s="178"/>
      <c r="C662" s="178"/>
      <c r="D662" s="178"/>
      <c r="E662" s="178"/>
    </row>
    <row r="663">
      <c r="A663" s="178"/>
      <c r="B663" s="178"/>
      <c r="C663" s="178"/>
      <c r="D663" s="178"/>
      <c r="E663" s="178"/>
    </row>
    <row r="664">
      <c r="A664" s="178"/>
      <c r="B664" s="178"/>
      <c r="C664" s="178"/>
      <c r="D664" s="178"/>
      <c r="E664" s="178"/>
    </row>
    <row r="665">
      <c r="A665" s="178"/>
      <c r="B665" s="178"/>
      <c r="C665" s="178"/>
      <c r="D665" s="178"/>
      <c r="E665" s="178"/>
    </row>
    <row r="666">
      <c r="A666" s="178"/>
      <c r="B666" s="178"/>
      <c r="C666" s="178"/>
      <c r="D666" s="178"/>
      <c r="E666" s="178"/>
    </row>
    <row r="667">
      <c r="A667" s="178"/>
      <c r="B667" s="178"/>
      <c r="C667" s="178"/>
      <c r="D667" s="178"/>
      <c r="E667" s="178"/>
    </row>
    <row r="668">
      <c r="A668" s="178"/>
      <c r="B668" s="178"/>
      <c r="C668" s="178"/>
      <c r="D668" s="178"/>
      <c r="E668" s="178"/>
    </row>
    <row r="669">
      <c r="A669" s="178"/>
      <c r="B669" s="178"/>
      <c r="C669" s="178"/>
      <c r="D669" s="178"/>
      <c r="E669" s="178"/>
    </row>
    <row r="670">
      <c r="A670" s="178"/>
      <c r="B670" s="178"/>
      <c r="C670" s="178"/>
      <c r="D670" s="178"/>
      <c r="E670" s="178"/>
    </row>
    <row r="671">
      <c r="A671" s="178"/>
      <c r="B671" s="178"/>
      <c r="C671" s="178"/>
      <c r="D671" s="178"/>
      <c r="E671" s="178"/>
    </row>
    <row r="672">
      <c r="A672" s="178"/>
      <c r="B672" s="178"/>
      <c r="C672" s="178"/>
      <c r="D672" s="178"/>
      <c r="E672" s="178"/>
    </row>
    <row r="673">
      <c r="A673" s="178"/>
      <c r="B673" s="178"/>
      <c r="C673" s="178"/>
      <c r="D673" s="178"/>
      <c r="E673" s="178"/>
    </row>
    <row r="674">
      <c r="A674" s="178"/>
      <c r="B674" s="178"/>
      <c r="C674" s="178"/>
      <c r="D674" s="178"/>
      <c r="E674" s="178"/>
    </row>
    <row r="675">
      <c r="A675" s="178"/>
      <c r="B675" s="178"/>
      <c r="C675" s="178"/>
      <c r="D675" s="178"/>
      <c r="E675" s="178"/>
    </row>
    <row r="676">
      <c r="A676" s="178"/>
      <c r="B676" s="178"/>
      <c r="C676" s="178"/>
      <c r="D676" s="178"/>
      <c r="E676" s="178"/>
    </row>
    <row r="677">
      <c r="A677" s="178"/>
      <c r="B677" s="178"/>
      <c r="C677" s="178"/>
      <c r="D677" s="178"/>
      <c r="E677" s="178"/>
    </row>
    <row r="678">
      <c r="A678" s="178"/>
      <c r="B678" s="178"/>
      <c r="C678" s="178"/>
      <c r="D678" s="178"/>
      <c r="E678" s="178"/>
    </row>
    <row r="679">
      <c r="A679" s="178"/>
      <c r="B679" s="178"/>
      <c r="C679" s="178"/>
      <c r="D679" s="178"/>
      <c r="E679" s="178"/>
    </row>
    <row r="680">
      <c r="A680" s="178"/>
      <c r="B680" s="178"/>
      <c r="C680" s="178"/>
      <c r="D680" s="178"/>
      <c r="E680" s="178"/>
    </row>
    <row r="681">
      <c r="A681" s="178"/>
      <c r="B681" s="178"/>
      <c r="C681" s="178"/>
      <c r="D681" s="178"/>
      <c r="E681" s="178"/>
    </row>
    <row r="682">
      <c r="A682" s="178"/>
      <c r="B682" s="178"/>
      <c r="C682" s="178"/>
      <c r="D682" s="178"/>
      <c r="E682" s="178"/>
    </row>
    <row r="683">
      <c r="A683" s="178"/>
      <c r="B683" s="178"/>
      <c r="C683" s="178"/>
      <c r="D683" s="178"/>
      <c r="E683" s="178"/>
    </row>
    <row r="684">
      <c r="A684" s="178"/>
      <c r="B684" s="178"/>
      <c r="C684" s="178"/>
      <c r="D684" s="178"/>
      <c r="E684" s="178"/>
    </row>
    <row r="685">
      <c r="A685" s="178"/>
      <c r="B685" s="178"/>
      <c r="C685" s="178"/>
      <c r="D685" s="178"/>
      <c r="E685" s="178"/>
    </row>
    <row r="686">
      <c r="A686" s="178"/>
      <c r="B686" s="178"/>
      <c r="C686" s="178"/>
      <c r="D686" s="178"/>
      <c r="E686" s="178"/>
    </row>
    <row r="687">
      <c r="A687" s="178"/>
      <c r="B687" s="178"/>
      <c r="C687" s="178"/>
      <c r="D687" s="178"/>
      <c r="E687" s="178"/>
    </row>
    <row r="688">
      <c r="A688" s="178"/>
      <c r="B688" s="178"/>
      <c r="C688" s="178"/>
      <c r="D688" s="178"/>
      <c r="E688" s="178"/>
    </row>
    <row r="689">
      <c r="A689" s="178"/>
      <c r="B689" s="178"/>
      <c r="C689" s="178"/>
      <c r="D689" s="178"/>
      <c r="E689" s="178"/>
    </row>
    <row r="690">
      <c r="A690" s="178"/>
      <c r="B690" s="178"/>
      <c r="C690" s="178"/>
      <c r="D690" s="178"/>
      <c r="E690" s="178"/>
    </row>
    <row r="691">
      <c r="A691" s="178"/>
      <c r="B691" s="178"/>
      <c r="C691" s="178"/>
      <c r="D691" s="178"/>
      <c r="E691" s="178"/>
    </row>
    <row r="692">
      <c r="A692" s="178"/>
      <c r="B692" s="178"/>
      <c r="C692" s="178"/>
      <c r="D692" s="178"/>
      <c r="E692" s="178"/>
    </row>
    <row r="693">
      <c r="A693" s="178"/>
      <c r="B693" s="178"/>
      <c r="C693" s="178"/>
      <c r="D693" s="178"/>
      <c r="E693" s="178"/>
    </row>
    <row r="694">
      <c r="A694" s="178"/>
      <c r="B694" s="178"/>
      <c r="C694" s="178"/>
      <c r="D694" s="178"/>
      <c r="E694" s="178"/>
    </row>
    <row r="695">
      <c r="A695" s="178"/>
      <c r="B695" s="178"/>
      <c r="C695" s="178"/>
      <c r="D695" s="178"/>
      <c r="E695" s="178"/>
    </row>
    <row r="696">
      <c r="A696" s="178"/>
      <c r="B696" s="178"/>
      <c r="C696" s="178"/>
      <c r="D696" s="178"/>
      <c r="E696" s="178"/>
    </row>
    <row r="697">
      <c r="A697" s="178"/>
      <c r="B697" s="178"/>
      <c r="C697" s="178"/>
      <c r="D697" s="178"/>
      <c r="E697" s="178"/>
    </row>
    <row r="698">
      <c r="A698" s="178"/>
      <c r="B698" s="178"/>
      <c r="C698" s="178"/>
      <c r="D698" s="178"/>
      <c r="E698" s="178"/>
    </row>
    <row r="699">
      <c r="A699" s="178"/>
      <c r="B699" s="178"/>
      <c r="C699" s="178"/>
      <c r="D699" s="178"/>
      <c r="E699" s="178"/>
    </row>
    <row r="700">
      <c r="A700" s="178"/>
      <c r="B700" s="178"/>
      <c r="C700" s="178"/>
      <c r="D700" s="178"/>
      <c r="E700" s="178"/>
    </row>
    <row r="701">
      <c r="A701" s="178"/>
      <c r="B701" s="178"/>
      <c r="C701" s="178"/>
      <c r="D701" s="178"/>
      <c r="E701" s="178"/>
    </row>
    <row r="702">
      <c r="A702" s="178"/>
      <c r="B702" s="178"/>
      <c r="C702" s="178"/>
      <c r="D702" s="178"/>
      <c r="E702" s="178"/>
    </row>
    <row r="703">
      <c r="A703" s="178"/>
      <c r="B703" s="178"/>
      <c r="C703" s="178"/>
      <c r="D703" s="178"/>
      <c r="E703" s="178"/>
    </row>
    <row r="704">
      <c r="A704" s="178"/>
      <c r="B704" s="178"/>
      <c r="C704" s="178"/>
      <c r="D704" s="178"/>
      <c r="E704" s="178"/>
    </row>
    <row r="705">
      <c r="A705" s="178"/>
      <c r="B705" s="178"/>
      <c r="C705" s="178"/>
      <c r="D705" s="178"/>
      <c r="E705" s="178"/>
    </row>
    <row r="706">
      <c r="A706" s="178"/>
      <c r="B706" s="178"/>
      <c r="C706" s="178"/>
      <c r="D706" s="178"/>
      <c r="E706" s="178"/>
    </row>
    <row r="707">
      <c r="A707" s="178"/>
      <c r="B707" s="178"/>
      <c r="C707" s="178"/>
      <c r="D707" s="178"/>
      <c r="E707" s="178"/>
    </row>
    <row r="708">
      <c r="A708" s="178"/>
      <c r="B708" s="178"/>
      <c r="C708" s="178"/>
      <c r="D708" s="178"/>
      <c r="E708" s="178"/>
    </row>
    <row r="709">
      <c r="A709" s="178"/>
      <c r="B709" s="178"/>
      <c r="C709" s="178"/>
      <c r="D709" s="178"/>
      <c r="E709" s="178"/>
    </row>
    <row r="710">
      <c r="A710" s="178"/>
      <c r="B710" s="178"/>
      <c r="C710" s="178"/>
      <c r="D710" s="178"/>
      <c r="E710" s="178"/>
    </row>
    <row r="711">
      <c r="A711" s="178"/>
      <c r="B711" s="178"/>
      <c r="C711" s="178"/>
      <c r="D711" s="178"/>
      <c r="E711" s="178"/>
    </row>
    <row r="712">
      <c r="A712" s="178"/>
      <c r="B712" s="178"/>
      <c r="C712" s="178"/>
      <c r="D712" s="178"/>
      <c r="E712" s="178"/>
    </row>
    <row r="713">
      <c r="A713" s="178"/>
      <c r="B713" s="178"/>
      <c r="C713" s="178"/>
      <c r="D713" s="178"/>
      <c r="E713" s="178"/>
    </row>
    <row r="714">
      <c r="A714" s="178"/>
      <c r="B714" s="178"/>
      <c r="C714" s="178"/>
      <c r="D714" s="178"/>
      <c r="E714" s="178"/>
    </row>
    <row r="715">
      <c r="A715" s="178"/>
      <c r="B715" s="178"/>
      <c r="C715" s="178"/>
      <c r="D715" s="178"/>
      <c r="E715" s="178"/>
    </row>
    <row r="716">
      <c r="A716" s="178"/>
      <c r="B716" s="178"/>
      <c r="C716" s="178"/>
      <c r="D716" s="178"/>
      <c r="E716" s="178"/>
    </row>
    <row r="717">
      <c r="A717" s="178"/>
      <c r="B717" s="178"/>
      <c r="C717" s="178"/>
      <c r="D717" s="178"/>
      <c r="E717" s="178"/>
    </row>
    <row r="718">
      <c r="A718" s="178"/>
      <c r="B718" s="178"/>
      <c r="C718" s="178"/>
      <c r="D718" s="178"/>
      <c r="E718" s="178"/>
    </row>
    <row r="719">
      <c r="A719" s="178"/>
      <c r="B719" s="178"/>
      <c r="C719" s="178"/>
      <c r="D719" s="178"/>
      <c r="E719" s="178"/>
    </row>
    <row r="720">
      <c r="A720" s="178"/>
      <c r="B720" s="178"/>
      <c r="C720" s="178"/>
      <c r="D720" s="178"/>
      <c r="E720" s="178"/>
    </row>
    <row r="721">
      <c r="A721" s="178"/>
      <c r="B721" s="178"/>
      <c r="C721" s="178"/>
      <c r="D721" s="178"/>
      <c r="E721" s="178"/>
    </row>
    <row r="722">
      <c r="A722" s="178"/>
      <c r="B722" s="178"/>
      <c r="C722" s="178"/>
      <c r="D722" s="178"/>
      <c r="E722" s="178"/>
    </row>
    <row r="723">
      <c r="A723" s="178"/>
      <c r="B723" s="178"/>
      <c r="C723" s="178"/>
      <c r="D723" s="178"/>
      <c r="E723" s="178"/>
    </row>
    <row r="724">
      <c r="A724" s="178"/>
      <c r="B724" s="178"/>
      <c r="C724" s="178"/>
      <c r="D724" s="178"/>
      <c r="E724" s="178"/>
    </row>
    <row r="725">
      <c r="A725" s="178"/>
      <c r="B725" s="178"/>
      <c r="C725" s="178"/>
      <c r="D725" s="178"/>
      <c r="E725" s="178"/>
    </row>
    <row r="726">
      <c r="A726" s="178"/>
      <c r="B726" s="178"/>
      <c r="C726" s="178"/>
      <c r="D726" s="178"/>
      <c r="E726" s="178"/>
    </row>
    <row r="727">
      <c r="A727" s="178"/>
      <c r="B727" s="178"/>
      <c r="C727" s="178"/>
      <c r="D727" s="178"/>
      <c r="E727" s="178"/>
    </row>
    <row r="728">
      <c r="A728" s="178"/>
      <c r="B728" s="178"/>
      <c r="C728" s="178"/>
      <c r="D728" s="178"/>
      <c r="E728" s="178"/>
    </row>
    <row r="729">
      <c r="A729" s="178"/>
      <c r="B729" s="178"/>
      <c r="C729" s="178"/>
      <c r="D729" s="178"/>
      <c r="E729" s="178"/>
    </row>
    <row r="730">
      <c r="A730" s="178"/>
      <c r="B730" s="178"/>
      <c r="C730" s="178"/>
      <c r="D730" s="178"/>
      <c r="E730" s="178"/>
    </row>
    <row r="731">
      <c r="A731" s="178"/>
      <c r="B731" s="178"/>
      <c r="C731" s="178"/>
      <c r="D731" s="178"/>
      <c r="E731" s="178"/>
    </row>
    <row r="732">
      <c r="A732" s="178"/>
      <c r="B732" s="178"/>
      <c r="C732" s="178"/>
      <c r="D732" s="178"/>
      <c r="E732" s="178"/>
    </row>
    <row r="733">
      <c r="A733" s="178"/>
      <c r="B733" s="178"/>
      <c r="C733" s="178"/>
      <c r="D733" s="178"/>
      <c r="E733" s="178"/>
    </row>
    <row r="734">
      <c r="A734" s="178"/>
      <c r="B734" s="178"/>
      <c r="C734" s="178"/>
      <c r="D734" s="178"/>
      <c r="E734" s="178"/>
    </row>
    <row r="735">
      <c r="A735" s="178"/>
      <c r="B735" s="178"/>
      <c r="C735" s="178"/>
      <c r="D735" s="178"/>
      <c r="E735" s="178"/>
    </row>
    <row r="736">
      <c r="A736" s="178"/>
      <c r="B736" s="178"/>
      <c r="C736" s="178"/>
      <c r="D736" s="178"/>
      <c r="E736" s="178"/>
    </row>
    <row r="737">
      <c r="A737" s="178"/>
      <c r="B737" s="178"/>
      <c r="C737" s="178"/>
      <c r="D737" s="178"/>
      <c r="E737" s="178"/>
    </row>
    <row r="738">
      <c r="A738" s="178"/>
      <c r="B738" s="178"/>
      <c r="C738" s="178"/>
      <c r="D738" s="178"/>
      <c r="E738" s="178"/>
    </row>
    <row r="739">
      <c r="A739" s="178"/>
      <c r="B739" s="178"/>
      <c r="C739" s="178"/>
      <c r="D739" s="178"/>
      <c r="E739" s="178"/>
    </row>
    <row r="740">
      <c r="A740" s="178"/>
      <c r="B740" s="178"/>
      <c r="C740" s="178"/>
      <c r="D740" s="178"/>
      <c r="E740" s="178"/>
    </row>
    <row r="741">
      <c r="A741" s="178"/>
      <c r="B741" s="178"/>
      <c r="C741" s="178"/>
      <c r="D741" s="178"/>
      <c r="E741" s="178"/>
    </row>
    <row r="742">
      <c r="A742" s="178"/>
      <c r="B742" s="178"/>
      <c r="C742" s="178"/>
      <c r="D742" s="178"/>
      <c r="E742" s="178"/>
    </row>
    <row r="743">
      <c r="A743" s="178"/>
      <c r="B743" s="178"/>
      <c r="C743" s="178"/>
      <c r="D743" s="178"/>
      <c r="E743" s="178"/>
    </row>
    <row r="744">
      <c r="A744" s="178"/>
      <c r="B744" s="178"/>
      <c r="C744" s="178"/>
      <c r="D744" s="178"/>
      <c r="E744" s="178"/>
    </row>
    <row r="745">
      <c r="A745" s="178"/>
      <c r="B745" s="178"/>
      <c r="C745" s="178"/>
      <c r="D745" s="178"/>
      <c r="E745" s="178"/>
    </row>
    <row r="746">
      <c r="A746" s="178"/>
      <c r="B746" s="178"/>
      <c r="C746" s="178"/>
      <c r="D746" s="178"/>
      <c r="E746" s="178"/>
    </row>
    <row r="747">
      <c r="A747" s="178"/>
      <c r="B747" s="178"/>
      <c r="C747" s="178"/>
      <c r="D747" s="178"/>
      <c r="E747" s="178"/>
    </row>
    <row r="748">
      <c r="A748" s="178"/>
      <c r="B748" s="178"/>
      <c r="C748" s="178"/>
      <c r="D748" s="178"/>
      <c r="E748" s="178"/>
    </row>
    <row r="749">
      <c r="A749" s="178"/>
      <c r="B749" s="178"/>
      <c r="C749" s="178"/>
      <c r="D749" s="178"/>
      <c r="E749" s="178"/>
    </row>
    <row r="750">
      <c r="A750" s="178"/>
      <c r="B750" s="178"/>
      <c r="C750" s="178"/>
      <c r="D750" s="178"/>
      <c r="E750" s="178"/>
    </row>
    <row r="751">
      <c r="A751" s="178"/>
      <c r="B751" s="178"/>
      <c r="C751" s="178"/>
      <c r="D751" s="178"/>
      <c r="E751" s="178"/>
    </row>
    <row r="752">
      <c r="A752" s="178"/>
      <c r="B752" s="178"/>
      <c r="C752" s="178"/>
      <c r="D752" s="178"/>
      <c r="E752" s="178"/>
    </row>
    <row r="753">
      <c r="A753" s="178"/>
      <c r="B753" s="178"/>
      <c r="C753" s="178"/>
      <c r="D753" s="178"/>
      <c r="E753" s="178"/>
    </row>
    <row r="754">
      <c r="A754" s="178"/>
      <c r="B754" s="178"/>
      <c r="C754" s="178"/>
      <c r="D754" s="178"/>
      <c r="E754" s="178"/>
    </row>
    <row r="755">
      <c r="A755" s="178"/>
      <c r="B755" s="178"/>
      <c r="C755" s="178"/>
      <c r="D755" s="178"/>
      <c r="E755" s="178"/>
    </row>
    <row r="756">
      <c r="A756" s="178"/>
      <c r="B756" s="178"/>
      <c r="C756" s="178"/>
      <c r="D756" s="178"/>
      <c r="E756" s="178"/>
    </row>
    <row r="757">
      <c r="A757" s="178"/>
      <c r="B757" s="178"/>
      <c r="C757" s="178"/>
      <c r="D757" s="178"/>
      <c r="E757" s="178"/>
    </row>
    <row r="758">
      <c r="A758" s="178"/>
      <c r="B758" s="178"/>
      <c r="C758" s="178"/>
      <c r="D758" s="178"/>
      <c r="E758" s="178"/>
    </row>
    <row r="759">
      <c r="A759" s="178"/>
      <c r="B759" s="178"/>
      <c r="C759" s="178"/>
      <c r="D759" s="178"/>
      <c r="E759" s="178"/>
    </row>
    <row r="760">
      <c r="A760" s="178"/>
      <c r="B760" s="178"/>
      <c r="C760" s="178"/>
      <c r="D760" s="178"/>
      <c r="E760" s="178"/>
    </row>
    <row r="761">
      <c r="A761" s="178"/>
      <c r="B761" s="178"/>
      <c r="C761" s="178"/>
      <c r="D761" s="178"/>
      <c r="E761" s="178"/>
    </row>
    <row r="762">
      <c r="A762" s="178"/>
      <c r="B762" s="178"/>
      <c r="C762" s="178"/>
      <c r="D762" s="178"/>
      <c r="E762" s="178"/>
    </row>
    <row r="763">
      <c r="A763" s="178"/>
      <c r="B763" s="178"/>
      <c r="C763" s="178"/>
      <c r="D763" s="178"/>
      <c r="E763" s="178"/>
    </row>
    <row r="764">
      <c r="A764" s="178"/>
      <c r="B764" s="178"/>
      <c r="C764" s="178"/>
      <c r="D764" s="178"/>
      <c r="E764" s="178"/>
    </row>
    <row r="765">
      <c r="A765" s="178"/>
      <c r="B765" s="178"/>
      <c r="C765" s="178"/>
      <c r="D765" s="178"/>
      <c r="E765" s="178"/>
    </row>
    <row r="766">
      <c r="A766" s="178"/>
      <c r="B766" s="178"/>
      <c r="C766" s="178"/>
      <c r="D766" s="178"/>
      <c r="E766" s="178"/>
    </row>
    <row r="767">
      <c r="A767" s="178"/>
      <c r="B767" s="178"/>
      <c r="C767" s="178"/>
      <c r="D767" s="178"/>
      <c r="E767" s="178"/>
    </row>
    <row r="768">
      <c r="A768" s="178"/>
      <c r="B768" s="178"/>
      <c r="C768" s="178"/>
      <c r="D768" s="178"/>
      <c r="E768" s="178"/>
    </row>
    <row r="769">
      <c r="A769" s="178"/>
      <c r="B769" s="178"/>
      <c r="C769" s="178"/>
      <c r="D769" s="178"/>
      <c r="E769" s="178"/>
    </row>
    <row r="770">
      <c r="A770" s="178"/>
      <c r="B770" s="178"/>
      <c r="C770" s="178"/>
      <c r="D770" s="178"/>
      <c r="E770" s="178"/>
    </row>
    <row r="771">
      <c r="A771" s="178"/>
      <c r="B771" s="178"/>
      <c r="C771" s="178"/>
      <c r="D771" s="178"/>
      <c r="E771" s="178"/>
    </row>
    <row r="772">
      <c r="A772" s="178"/>
      <c r="B772" s="178"/>
      <c r="C772" s="178"/>
      <c r="D772" s="178"/>
      <c r="E772" s="178"/>
    </row>
    <row r="773">
      <c r="A773" s="178"/>
      <c r="B773" s="178"/>
      <c r="C773" s="178"/>
      <c r="D773" s="178"/>
      <c r="E773" s="178"/>
    </row>
    <row r="774">
      <c r="A774" s="178"/>
      <c r="B774" s="178"/>
      <c r="C774" s="178"/>
      <c r="D774" s="178"/>
      <c r="E774" s="178"/>
    </row>
    <row r="775">
      <c r="A775" s="178"/>
      <c r="B775" s="178"/>
      <c r="C775" s="178"/>
      <c r="D775" s="178"/>
      <c r="E775" s="178"/>
    </row>
    <row r="776">
      <c r="A776" s="178"/>
      <c r="B776" s="178"/>
      <c r="C776" s="178"/>
      <c r="D776" s="178"/>
      <c r="E776" s="178"/>
    </row>
    <row r="777">
      <c r="A777" s="178"/>
      <c r="B777" s="178"/>
      <c r="C777" s="178"/>
      <c r="D777" s="178"/>
      <c r="E777" s="178"/>
    </row>
    <row r="778">
      <c r="A778" s="178"/>
      <c r="B778" s="178"/>
      <c r="C778" s="178"/>
      <c r="D778" s="178"/>
      <c r="E778" s="178"/>
    </row>
    <row r="779">
      <c r="A779" s="178"/>
      <c r="B779" s="178"/>
      <c r="C779" s="178"/>
      <c r="D779" s="178"/>
      <c r="E779" s="178"/>
    </row>
    <row r="780">
      <c r="A780" s="178"/>
      <c r="B780" s="178"/>
      <c r="C780" s="178"/>
      <c r="D780" s="178"/>
      <c r="E780" s="178"/>
    </row>
    <row r="781">
      <c r="A781" s="178"/>
      <c r="B781" s="178"/>
      <c r="C781" s="178"/>
      <c r="D781" s="178"/>
      <c r="E781" s="178"/>
    </row>
    <row r="782">
      <c r="A782" s="178"/>
      <c r="B782" s="178"/>
      <c r="C782" s="178"/>
      <c r="D782" s="178"/>
      <c r="E782" s="178"/>
    </row>
    <row r="783">
      <c r="A783" s="178"/>
      <c r="B783" s="178"/>
      <c r="C783" s="178"/>
      <c r="D783" s="178"/>
      <c r="E783" s="178"/>
    </row>
    <row r="784">
      <c r="A784" s="178"/>
      <c r="B784" s="178"/>
      <c r="C784" s="178"/>
      <c r="D784" s="178"/>
      <c r="E784" s="178"/>
    </row>
    <row r="785">
      <c r="A785" s="178"/>
      <c r="B785" s="178"/>
      <c r="C785" s="178"/>
      <c r="D785" s="178"/>
      <c r="E785" s="178"/>
    </row>
    <row r="786">
      <c r="A786" s="178"/>
      <c r="B786" s="178"/>
      <c r="C786" s="178"/>
      <c r="D786" s="178"/>
      <c r="E786" s="178"/>
    </row>
    <row r="787">
      <c r="A787" s="178"/>
      <c r="B787" s="178"/>
      <c r="C787" s="178"/>
      <c r="D787" s="178"/>
      <c r="E787" s="178"/>
    </row>
    <row r="788">
      <c r="A788" s="178"/>
      <c r="B788" s="178"/>
      <c r="C788" s="178"/>
      <c r="D788" s="178"/>
      <c r="E788" s="178"/>
    </row>
    <row r="789">
      <c r="A789" s="178"/>
      <c r="B789" s="178"/>
      <c r="C789" s="178"/>
      <c r="D789" s="178"/>
      <c r="E789" s="178"/>
    </row>
    <row r="790">
      <c r="A790" s="178"/>
      <c r="B790" s="178"/>
      <c r="C790" s="178"/>
      <c r="D790" s="178"/>
      <c r="E790" s="178"/>
    </row>
    <row r="791">
      <c r="A791" s="178"/>
      <c r="B791" s="178"/>
      <c r="C791" s="178"/>
      <c r="D791" s="178"/>
      <c r="E791" s="178"/>
    </row>
    <row r="792">
      <c r="A792" s="178"/>
      <c r="B792" s="178"/>
      <c r="C792" s="178"/>
      <c r="D792" s="178"/>
      <c r="E792" s="178"/>
    </row>
    <row r="793">
      <c r="A793" s="178"/>
      <c r="B793" s="178"/>
      <c r="C793" s="178"/>
      <c r="D793" s="178"/>
      <c r="E793" s="178"/>
    </row>
    <row r="794">
      <c r="A794" s="178"/>
      <c r="B794" s="178"/>
      <c r="C794" s="178"/>
      <c r="D794" s="178"/>
      <c r="E794" s="178"/>
    </row>
    <row r="795">
      <c r="A795" s="178"/>
      <c r="B795" s="178"/>
      <c r="C795" s="178"/>
      <c r="D795" s="178"/>
      <c r="E795" s="178"/>
    </row>
    <row r="796">
      <c r="A796" s="178"/>
      <c r="B796" s="178"/>
      <c r="C796" s="178"/>
      <c r="D796" s="178"/>
      <c r="E796" s="178"/>
    </row>
    <row r="797">
      <c r="A797" s="178"/>
      <c r="B797" s="178"/>
      <c r="C797" s="178"/>
      <c r="D797" s="178"/>
      <c r="E797" s="178"/>
    </row>
    <row r="798">
      <c r="A798" s="178"/>
      <c r="B798" s="178"/>
      <c r="C798" s="178"/>
      <c r="D798" s="178"/>
      <c r="E798" s="178"/>
    </row>
    <row r="799">
      <c r="A799" s="178"/>
      <c r="B799" s="178"/>
      <c r="C799" s="178"/>
      <c r="D799" s="178"/>
      <c r="E799" s="178"/>
    </row>
    <row r="800">
      <c r="A800" s="178"/>
      <c r="B800" s="178"/>
      <c r="C800" s="178"/>
      <c r="D800" s="178"/>
      <c r="E800" s="178"/>
    </row>
    <row r="801">
      <c r="A801" s="178"/>
      <c r="B801" s="178"/>
      <c r="C801" s="178"/>
      <c r="D801" s="178"/>
      <c r="E801" s="178"/>
    </row>
    <row r="802">
      <c r="A802" s="178"/>
      <c r="B802" s="178"/>
      <c r="C802" s="178"/>
      <c r="D802" s="178"/>
      <c r="E802" s="178"/>
    </row>
    <row r="803">
      <c r="A803" s="178"/>
      <c r="B803" s="178"/>
      <c r="C803" s="178"/>
      <c r="D803" s="178"/>
      <c r="E803" s="178"/>
    </row>
    <row r="804">
      <c r="A804" s="178"/>
      <c r="B804" s="178"/>
      <c r="C804" s="178"/>
      <c r="D804" s="178"/>
      <c r="E804" s="178"/>
    </row>
    <row r="805">
      <c r="A805" s="178"/>
      <c r="B805" s="178"/>
      <c r="C805" s="178"/>
      <c r="D805" s="178"/>
      <c r="E805" s="178"/>
    </row>
    <row r="806">
      <c r="A806" s="178"/>
      <c r="B806" s="178"/>
      <c r="C806" s="178"/>
      <c r="D806" s="178"/>
      <c r="E806" s="178"/>
    </row>
    <row r="807">
      <c r="A807" s="178"/>
      <c r="B807" s="178"/>
      <c r="C807" s="178"/>
      <c r="D807" s="178"/>
      <c r="E807" s="178"/>
    </row>
    <row r="808">
      <c r="A808" s="178"/>
      <c r="B808" s="178"/>
      <c r="C808" s="178"/>
      <c r="D808" s="178"/>
      <c r="E808" s="178"/>
    </row>
    <row r="809">
      <c r="A809" s="178"/>
      <c r="B809" s="178"/>
      <c r="C809" s="178"/>
      <c r="D809" s="178"/>
      <c r="E809" s="178"/>
    </row>
    <row r="810">
      <c r="A810" s="178"/>
      <c r="B810" s="178"/>
      <c r="C810" s="178"/>
      <c r="D810" s="178"/>
      <c r="E810" s="178"/>
    </row>
    <row r="811">
      <c r="A811" s="178"/>
      <c r="B811" s="178"/>
      <c r="C811" s="178"/>
      <c r="D811" s="178"/>
      <c r="E811" s="178"/>
    </row>
    <row r="812">
      <c r="A812" s="178"/>
      <c r="B812" s="178"/>
      <c r="C812" s="178"/>
      <c r="D812" s="178"/>
      <c r="E812" s="178"/>
    </row>
    <row r="813">
      <c r="A813" s="178"/>
      <c r="B813" s="178"/>
      <c r="C813" s="178"/>
      <c r="D813" s="178"/>
      <c r="E813" s="178"/>
    </row>
    <row r="814">
      <c r="A814" s="178"/>
      <c r="B814" s="178"/>
      <c r="C814" s="178"/>
      <c r="D814" s="178"/>
      <c r="E814" s="178"/>
    </row>
    <row r="815">
      <c r="A815" s="178"/>
      <c r="B815" s="178"/>
      <c r="C815" s="178"/>
      <c r="D815" s="178"/>
      <c r="E815" s="178"/>
    </row>
    <row r="816">
      <c r="A816" s="178"/>
      <c r="B816" s="178"/>
      <c r="C816" s="178"/>
      <c r="D816" s="178"/>
      <c r="E816" s="178"/>
    </row>
    <row r="817">
      <c r="A817" s="178"/>
      <c r="B817" s="178"/>
      <c r="C817" s="178"/>
      <c r="D817" s="178"/>
      <c r="E817" s="178"/>
    </row>
    <row r="818">
      <c r="A818" s="178"/>
      <c r="B818" s="178"/>
      <c r="C818" s="178"/>
      <c r="D818" s="178"/>
      <c r="E818" s="178"/>
    </row>
    <row r="819">
      <c r="A819" s="178"/>
      <c r="B819" s="178"/>
      <c r="C819" s="178"/>
      <c r="D819" s="178"/>
      <c r="E819" s="178"/>
    </row>
    <row r="820">
      <c r="A820" s="178"/>
      <c r="B820" s="178"/>
      <c r="C820" s="178"/>
      <c r="D820" s="178"/>
      <c r="E820" s="178"/>
    </row>
    <row r="821">
      <c r="A821" s="178"/>
      <c r="B821" s="178"/>
      <c r="C821" s="178"/>
      <c r="D821" s="178"/>
      <c r="E821" s="178"/>
    </row>
    <row r="822">
      <c r="A822" s="178"/>
      <c r="B822" s="178"/>
      <c r="C822" s="178"/>
      <c r="D822" s="178"/>
      <c r="E822" s="178"/>
    </row>
    <row r="823">
      <c r="A823" s="178"/>
      <c r="B823" s="178"/>
      <c r="C823" s="178"/>
      <c r="D823" s="178"/>
      <c r="E823" s="178"/>
    </row>
    <row r="824">
      <c r="A824" s="178"/>
      <c r="B824" s="178"/>
      <c r="C824" s="178"/>
      <c r="D824" s="178"/>
      <c r="E824" s="178"/>
    </row>
    <row r="825">
      <c r="A825" s="178"/>
      <c r="B825" s="178"/>
      <c r="C825" s="178"/>
      <c r="D825" s="178"/>
      <c r="E825" s="178"/>
    </row>
    <row r="826">
      <c r="A826" s="178"/>
      <c r="B826" s="178"/>
      <c r="C826" s="178"/>
      <c r="D826" s="178"/>
      <c r="E826" s="178"/>
    </row>
    <row r="827">
      <c r="A827" s="178"/>
      <c r="B827" s="178"/>
      <c r="C827" s="178"/>
      <c r="D827" s="178"/>
      <c r="E827" s="178"/>
    </row>
    <row r="828">
      <c r="A828" s="178"/>
      <c r="B828" s="178"/>
      <c r="C828" s="178"/>
      <c r="D828" s="178"/>
      <c r="E828" s="178"/>
    </row>
    <row r="829">
      <c r="A829" s="178"/>
      <c r="B829" s="178"/>
      <c r="C829" s="178"/>
      <c r="D829" s="178"/>
      <c r="E829" s="178"/>
    </row>
    <row r="830">
      <c r="A830" s="178"/>
      <c r="B830" s="178"/>
      <c r="C830" s="178"/>
      <c r="D830" s="178"/>
      <c r="E830" s="178"/>
    </row>
    <row r="831">
      <c r="A831" s="178"/>
      <c r="B831" s="178"/>
      <c r="C831" s="178"/>
      <c r="D831" s="178"/>
      <c r="E831" s="178"/>
    </row>
    <row r="832">
      <c r="A832" s="178"/>
      <c r="B832" s="178"/>
      <c r="C832" s="178"/>
      <c r="D832" s="178"/>
      <c r="E832" s="178"/>
    </row>
    <row r="833">
      <c r="A833" s="178"/>
      <c r="B833" s="178"/>
      <c r="C833" s="178"/>
      <c r="D833" s="178"/>
      <c r="E833" s="178"/>
    </row>
    <row r="834">
      <c r="A834" s="178"/>
      <c r="B834" s="178"/>
      <c r="C834" s="178"/>
      <c r="D834" s="178"/>
      <c r="E834" s="178"/>
    </row>
    <row r="835">
      <c r="A835" s="178"/>
      <c r="B835" s="178"/>
      <c r="C835" s="178"/>
      <c r="D835" s="178"/>
      <c r="E835" s="178"/>
    </row>
    <row r="836">
      <c r="A836" s="178"/>
      <c r="B836" s="178"/>
      <c r="C836" s="178"/>
      <c r="D836" s="178"/>
      <c r="E836" s="178"/>
    </row>
    <row r="837">
      <c r="A837" s="178"/>
      <c r="B837" s="178"/>
      <c r="C837" s="178"/>
      <c r="D837" s="178"/>
      <c r="E837" s="178"/>
    </row>
    <row r="838">
      <c r="A838" s="178"/>
      <c r="B838" s="178"/>
      <c r="C838" s="178"/>
      <c r="D838" s="178"/>
      <c r="E838" s="178"/>
    </row>
    <row r="839">
      <c r="A839" s="178"/>
      <c r="B839" s="178"/>
      <c r="C839" s="178"/>
      <c r="D839" s="178"/>
      <c r="E839" s="178"/>
    </row>
    <row r="840">
      <c r="A840" s="178"/>
      <c r="B840" s="178"/>
      <c r="C840" s="178"/>
      <c r="D840" s="178"/>
      <c r="E840" s="178"/>
    </row>
    <row r="841">
      <c r="A841" s="178"/>
      <c r="B841" s="178"/>
      <c r="C841" s="178"/>
      <c r="D841" s="178"/>
      <c r="E841" s="178"/>
    </row>
    <row r="842">
      <c r="A842" s="178"/>
      <c r="B842" s="178"/>
      <c r="C842" s="178"/>
      <c r="D842" s="178"/>
      <c r="E842" s="178"/>
    </row>
    <row r="843">
      <c r="A843" s="178"/>
      <c r="B843" s="178"/>
      <c r="C843" s="178"/>
      <c r="D843" s="178"/>
      <c r="E843" s="178"/>
    </row>
    <row r="844">
      <c r="A844" s="178"/>
      <c r="B844" s="178"/>
      <c r="C844" s="178"/>
      <c r="D844" s="178"/>
      <c r="E844" s="178"/>
    </row>
    <row r="845">
      <c r="A845" s="178"/>
      <c r="B845" s="178"/>
      <c r="C845" s="178"/>
      <c r="D845" s="178"/>
      <c r="E845" s="178"/>
    </row>
    <row r="846">
      <c r="A846" s="178"/>
      <c r="B846" s="178"/>
      <c r="C846" s="178"/>
      <c r="D846" s="178"/>
      <c r="E846" s="178"/>
    </row>
    <row r="847">
      <c r="A847" s="178"/>
      <c r="B847" s="178"/>
      <c r="C847" s="178"/>
      <c r="D847" s="178"/>
      <c r="E847" s="178"/>
    </row>
    <row r="848">
      <c r="A848" s="178"/>
      <c r="B848" s="178"/>
      <c r="C848" s="178"/>
      <c r="D848" s="178"/>
      <c r="E848" s="178"/>
    </row>
    <row r="849">
      <c r="A849" s="178"/>
      <c r="B849" s="178"/>
      <c r="C849" s="178"/>
      <c r="D849" s="178"/>
      <c r="E849" s="178"/>
    </row>
    <row r="850">
      <c r="A850" s="178"/>
      <c r="B850" s="178"/>
      <c r="C850" s="178"/>
      <c r="D850" s="178"/>
      <c r="E850" s="178"/>
    </row>
    <row r="851">
      <c r="A851" s="178"/>
      <c r="B851" s="178"/>
      <c r="C851" s="178"/>
      <c r="D851" s="178"/>
      <c r="E851" s="178"/>
    </row>
    <row r="852">
      <c r="A852" s="178"/>
      <c r="B852" s="178"/>
      <c r="C852" s="178"/>
      <c r="D852" s="178"/>
      <c r="E852" s="178"/>
    </row>
    <row r="853">
      <c r="A853" s="178"/>
      <c r="B853" s="178"/>
      <c r="C853" s="178"/>
      <c r="D853" s="178"/>
      <c r="E853" s="178"/>
    </row>
    <row r="854">
      <c r="A854" s="178"/>
      <c r="B854" s="178"/>
      <c r="C854" s="178"/>
      <c r="D854" s="178"/>
      <c r="E854" s="178"/>
    </row>
    <row r="855">
      <c r="A855" s="178"/>
      <c r="B855" s="178"/>
      <c r="C855" s="178"/>
      <c r="D855" s="178"/>
      <c r="E855" s="178"/>
    </row>
    <row r="856">
      <c r="A856" s="178"/>
      <c r="B856" s="178"/>
      <c r="C856" s="178"/>
      <c r="D856" s="178"/>
      <c r="E856" s="178"/>
    </row>
    <row r="857">
      <c r="A857" s="178"/>
      <c r="B857" s="178"/>
      <c r="C857" s="178"/>
      <c r="D857" s="178"/>
      <c r="E857" s="178"/>
    </row>
    <row r="858">
      <c r="A858" s="178"/>
      <c r="B858" s="178"/>
      <c r="C858" s="178"/>
      <c r="D858" s="178"/>
      <c r="E858" s="178"/>
    </row>
    <row r="859">
      <c r="A859" s="178"/>
      <c r="B859" s="178"/>
      <c r="C859" s="178"/>
      <c r="D859" s="178"/>
      <c r="E859" s="178"/>
    </row>
    <row r="860">
      <c r="A860" s="178"/>
      <c r="B860" s="178"/>
      <c r="C860" s="178"/>
      <c r="D860" s="178"/>
      <c r="E860" s="178"/>
    </row>
    <row r="861">
      <c r="A861" s="178"/>
      <c r="B861" s="178"/>
      <c r="C861" s="178"/>
      <c r="D861" s="178"/>
      <c r="E861" s="178"/>
    </row>
    <row r="862">
      <c r="A862" s="178"/>
      <c r="B862" s="178"/>
      <c r="C862" s="178"/>
      <c r="D862" s="178"/>
      <c r="E862" s="178"/>
    </row>
    <row r="863">
      <c r="A863" s="178"/>
      <c r="B863" s="178"/>
      <c r="C863" s="178"/>
      <c r="D863" s="178"/>
      <c r="E863" s="178"/>
    </row>
    <row r="864">
      <c r="A864" s="178"/>
      <c r="B864" s="178"/>
      <c r="C864" s="178"/>
      <c r="D864" s="178"/>
      <c r="E864" s="178"/>
    </row>
    <row r="865">
      <c r="A865" s="178"/>
      <c r="B865" s="178"/>
      <c r="C865" s="178"/>
      <c r="D865" s="178"/>
      <c r="E865" s="178"/>
    </row>
    <row r="866">
      <c r="A866" s="178"/>
      <c r="B866" s="178"/>
      <c r="C866" s="178"/>
      <c r="D866" s="178"/>
      <c r="E866" s="178"/>
    </row>
    <row r="867">
      <c r="A867" s="178"/>
      <c r="B867" s="178"/>
      <c r="C867" s="178"/>
      <c r="D867" s="178"/>
      <c r="E867" s="178"/>
    </row>
    <row r="868">
      <c r="A868" s="178"/>
      <c r="B868" s="178"/>
      <c r="C868" s="178"/>
      <c r="D868" s="178"/>
      <c r="E868" s="178"/>
    </row>
    <row r="869">
      <c r="A869" s="178"/>
      <c r="B869" s="178"/>
      <c r="C869" s="178"/>
      <c r="D869" s="178"/>
      <c r="E869" s="178"/>
    </row>
    <row r="870">
      <c r="A870" s="178"/>
      <c r="B870" s="178"/>
      <c r="C870" s="178"/>
      <c r="D870" s="178"/>
      <c r="E870" s="178"/>
    </row>
    <row r="871">
      <c r="A871" s="178"/>
      <c r="B871" s="178"/>
      <c r="C871" s="178"/>
      <c r="D871" s="178"/>
      <c r="E871" s="178"/>
    </row>
    <row r="872">
      <c r="A872" s="178"/>
      <c r="B872" s="178"/>
      <c r="C872" s="178"/>
      <c r="D872" s="178"/>
      <c r="E872" s="178"/>
    </row>
    <row r="873">
      <c r="A873" s="178"/>
      <c r="B873" s="178"/>
      <c r="C873" s="178"/>
      <c r="D873" s="178"/>
      <c r="E873" s="178"/>
    </row>
    <row r="874">
      <c r="A874" s="178"/>
      <c r="B874" s="178"/>
      <c r="C874" s="178"/>
      <c r="D874" s="178"/>
      <c r="E874" s="178"/>
    </row>
    <row r="875">
      <c r="A875" s="178"/>
      <c r="B875" s="178"/>
      <c r="C875" s="178"/>
      <c r="D875" s="178"/>
      <c r="E875" s="178"/>
    </row>
    <row r="876">
      <c r="A876" s="178"/>
      <c r="B876" s="178"/>
      <c r="C876" s="178"/>
      <c r="D876" s="178"/>
      <c r="E876" s="178"/>
    </row>
    <row r="877">
      <c r="A877" s="178"/>
      <c r="B877" s="178"/>
      <c r="C877" s="178"/>
      <c r="D877" s="178"/>
      <c r="E877" s="178"/>
    </row>
    <row r="878">
      <c r="A878" s="178"/>
      <c r="B878" s="178"/>
      <c r="C878" s="178"/>
      <c r="D878" s="178"/>
      <c r="E878" s="178"/>
    </row>
    <row r="879">
      <c r="A879" s="178"/>
      <c r="B879" s="178"/>
      <c r="C879" s="178"/>
      <c r="D879" s="178"/>
      <c r="E879" s="178"/>
    </row>
    <row r="880">
      <c r="A880" s="178"/>
      <c r="B880" s="178"/>
      <c r="C880" s="178"/>
      <c r="D880" s="178"/>
      <c r="E880" s="178"/>
    </row>
    <row r="881">
      <c r="A881" s="178"/>
      <c r="B881" s="178"/>
      <c r="C881" s="178"/>
      <c r="D881" s="178"/>
      <c r="E881" s="178"/>
    </row>
    <row r="882">
      <c r="A882" s="178"/>
      <c r="B882" s="178"/>
      <c r="C882" s="178"/>
      <c r="D882" s="178"/>
      <c r="E882" s="178"/>
    </row>
    <row r="883">
      <c r="A883" s="178"/>
      <c r="B883" s="178"/>
      <c r="C883" s="178"/>
      <c r="D883" s="178"/>
      <c r="E883" s="178"/>
    </row>
    <row r="884">
      <c r="A884" s="178"/>
      <c r="B884" s="178"/>
      <c r="C884" s="178"/>
      <c r="D884" s="178"/>
      <c r="E884" s="178"/>
    </row>
    <row r="885">
      <c r="A885" s="178"/>
      <c r="B885" s="178"/>
      <c r="C885" s="178"/>
      <c r="D885" s="178"/>
      <c r="E885" s="178"/>
    </row>
    <row r="886">
      <c r="A886" s="178"/>
      <c r="B886" s="178"/>
      <c r="C886" s="178"/>
      <c r="D886" s="178"/>
      <c r="E886" s="178"/>
    </row>
    <row r="887">
      <c r="A887" s="178"/>
      <c r="B887" s="178"/>
      <c r="C887" s="178"/>
      <c r="D887" s="178"/>
      <c r="E887" s="178"/>
    </row>
    <row r="888">
      <c r="A888" s="178"/>
      <c r="B888" s="178"/>
      <c r="C888" s="178"/>
      <c r="D888" s="178"/>
      <c r="E888" s="178"/>
    </row>
    <row r="889">
      <c r="A889" s="178"/>
      <c r="B889" s="178"/>
      <c r="C889" s="178"/>
      <c r="D889" s="178"/>
      <c r="E889" s="178"/>
    </row>
    <row r="890">
      <c r="A890" s="178"/>
      <c r="B890" s="178"/>
      <c r="C890" s="178"/>
      <c r="D890" s="178"/>
      <c r="E890" s="178"/>
    </row>
    <row r="891">
      <c r="A891" s="178"/>
      <c r="B891" s="178"/>
      <c r="C891" s="178"/>
      <c r="D891" s="178"/>
      <c r="E891" s="178"/>
    </row>
    <row r="892">
      <c r="A892" s="178"/>
      <c r="B892" s="178"/>
      <c r="C892" s="178"/>
      <c r="D892" s="178"/>
      <c r="E892" s="178"/>
    </row>
    <row r="893">
      <c r="A893" s="178"/>
      <c r="B893" s="178"/>
      <c r="C893" s="178"/>
      <c r="D893" s="178"/>
      <c r="E893" s="178"/>
    </row>
    <row r="894">
      <c r="A894" s="178"/>
      <c r="B894" s="178"/>
      <c r="C894" s="178"/>
      <c r="D894" s="178"/>
      <c r="E894" s="178"/>
    </row>
    <row r="895">
      <c r="A895" s="178"/>
      <c r="B895" s="178"/>
      <c r="C895" s="178"/>
      <c r="D895" s="178"/>
      <c r="E895" s="178"/>
    </row>
    <row r="896">
      <c r="A896" s="178"/>
      <c r="B896" s="178"/>
      <c r="C896" s="178"/>
      <c r="D896" s="178"/>
      <c r="E896" s="178"/>
    </row>
    <row r="897">
      <c r="A897" s="178"/>
      <c r="B897" s="178"/>
      <c r="C897" s="178"/>
      <c r="D897" s="178"/>
      <c r="E897" s="178"/>
    </row>
    <row r="898">
      <c r="A898" s="178"/>
      <c r="B898" s="178"/>
      <c r="C898" s="178"/>
      <c r="D898" s="178"/>
      <c r="E898" s="178"/>
    </row>
    <row r="899">
      <c r="A899" s="178"/>
      <c r="B899" s="178"/>
      <c r="C899" s="178"/>
      <c r="D899" s="178"/>
      <c r="E899" s="178"/>
    </row>
    <row r="900">
      <c r="A900" s="178"/>
      <c r="B900" s="178"/>
      <c r="C900" s="178"/>
      <c r="D900" s="178"/>
      <c r="E900" s="178"/>
    </row>
    <row r="901">
      <c r="A901" s="178"/>
      <c r="B901" s="178"/>
      <c r="C901" s="178"/>
      <c r="D901" s="178"/>
      <c r="E901" s="178"/>
    </row>
    <row r="902">
      <c r="A902" s="178"/>
      <c r="B902" s="178"/>
      <c r="C902" s="178"/>
      <c r="D902" s="178"/>
      <c r="E902" s="178"/>
    </row>
    <row r="903">
      <c r="A903" s="178"/>
      <c r="B903" s="178"/>
      <c r="C903" s="178"/>
      <c r="D903" s="178"/>
      <c r="E903" s="178"/>
    </row>
    <row r="904">
      <c r="A904" s="178"/>
      <c r="B904" s="178"/>
      <c r="C904" s="178"/>
      <c r="D904" s="178"/>
      <c r="E904" s="178"/>
    </row>
    <row r="905">
      <c r="A905" s="178"/>
      <c r="B905" s="178"/>
      <c r="C905" s="178"/>
      <c r="D905" s="178"/>
      <c r="E905" s="178"/>
    </row>
    <row r="906">
      <c r="A906" s="178"/>
      <c r="B906" s="178"/>
      <c r="C906" s="178"/>
      <c r="D906" s="178"/>
      <c r="E906" s="178"/>
    </row>
    <row r="907">
      <c r="A907" s="178"/>
      <c r="B907" s="178"/>
      <c r="C907" s="178"/>
      <c r="D907" s="178"/>
      <c r="E907" s="178"/>
    </row>
    <row r="908">
      <c r="A908" s="178"/>
      <c r="B908" s="178"/>
      <c r="C908" s="178"/>
      <c r="D908" s="178"/>
      <c r="E908" s="178"/>
    </row>
    <row r="909">
      <c r="A909" s="178"/>
      <c r="B909" s="178"/>
      <c r="C909" s="178"/>
      <c r="D909" s="178"/>
      <c r="E909" s="178"/>
    </row>
    <row r="910">
      <c r="A910" s="178"/>
      <c r="B910" s="178"/>
      <c r="C910" s="178"/>
      <c r="D910" s="178"/>
      <c r="E910" s="178"/>
    </row>
    <row r="911">
      <c r="A911" s="178"/>
      <c r="B911" s="178"/>
      <c r="C911" s="178"/>
      <c r="D911" s="178"/>
      <c r="E911" s="178"/>
    </row>
    <row r="912">
      <c r="A912" s="178"/>
      <c r="B912" s="178"/>
      <c r="C912" s="178"/>
      <c r="D912" s="178"/>
      <c r="E912" s="178"/>
    </row>
    <row r="913">
      <c r="A913" s="178"/>
      <c r="B913" s="178"/>
      <c r="C913" s="178"/>
      <c r="D913" s="178"/>
      <c r="E913" s="178"/>
    </row>
    <row r="914">
      <c r="A914" s="178"/>
      <c r="B914" s="178"/>
      <c r="C914" s="178"/>
      <c r="D914" s="178"/>
      <c r="E914" s="178"/>
    </row>
    <row r="915">
      <c r="A915" s="178"/>
      <c r="B915" s="178"/>
      <c r="C915" s="178"/>
      <c r="D915" s="178"/>
      <c r="E915" s="178"/>
    </row>
    <row r="916">
      <c r="A916" s="178"/>
      <c r="B916" s="178"/>
      <c r="C916" s="178"/>
      <c r="D916" s="178"/>
      <c r="E916" s="178"/>
    </row>
    <row r="917">
      <c r="A917" s="178"/>
      <c r="B917" s="178"/>
      <c r="C917" s="178"/>
      <c r="D917" s="178"/>
      <c r="E917" s="178"/>
    </row>
    <row r="918">
      <c r="A918" s="178"/>
      <c r="B918" s="178"/>
      <c r="C918" s="178"/>
      <c r="D918" s="178"/>
      <c r="E918" s="178"/>
    </row>
    <row r="919">
      <c r="A919" s="178"/>
      <c r="B919" s="178"/>
      <c r="C919" s="178"/>
      <c r="D919" s="178"/>
      <c r="E919" s="178"/>
    </row>
    <row r="920">
      <c r="A920" s="178"/>
      <c r="B920" s="178"/>
      <c r="C920" s="178"/>
      <c r="D920" s="178"/>
      <c r="E920" s="178"/>
    </row>
    <row r="921">
      <c r="A921" s="178"/>
      <c r="B921" s="178"/>
      <c r="C921" s="178"/>
      <c r="D921" s="178"/>
      <c r="E921" s="178"/>
    </row>
    <row r="922">
      <c r="A922" s="178"/>
      <c r="B922" s="178"/>
      <c r="C922" s="178"/>
      <c r="D922" s="178"/>
      <c r="E922" s="178"/>
    </row>
    <row r="923">
      <c r="A923" s="178"/>
      <c r="B923" s="178"/>
      <c r="C923" s="178"/>
      <c r="D923" s="178"/>
      <c r="E923" s="178"/>
    </row>
    <row r="924">
      <c r="A924" s="178"/>
      <c r="B924" s="178"/>
      <c r="C924" s="178"/>
      <c r="D924" s="178"/>
      <c r="E924" s="178"/>
    </row>
    <row r="925">
      <c r="A925" s="178"/>
      <c r="B925" s="178"/>
      <c r="C925" s="178"/>
      <c r="D925" s="178"/>
      <c r="E925" s="178"/>
    </row>
    <row r="926">
      <c r="A926" s="178"/>
      <c r="B926" s="178"/>
      <c r="C926" s="178"/>
      <c r="D926" s="178"/>
      <c r="E926" s="178"/>
    </row>
    <row r="927">
      <c r="A927" s="178"/>
      <c r="B927" s="178"/>
      <c r="C927" s="178"/>
      <c r="D927" s="178"/>
      <c r="E927" s="178"/>
    </row>
    <row r="928">
      <c r="A928" s="178"/>
      <c r="B928" s="178"/>
      <c r="C928" s="178"/>
      <c r="D928" s="178"/>
      <c r="E928" s="178"/>
    </row>
    <row r="929">
      <c r="A929" s="178"/>
      <c r="B929" s="178"/>
      <c r="C929" s="178"/>
      <c r="D929" s="178"/>
      <c r="E929" s="178"/>
    </row>
    <row r="930">
      <c r="A930" s="178"/>
      <c r="B930" s="178"/>
      <c r="C930" s="178"/>
      <c r="D930" s="178"/>
      <c r="E930" s="178"/>
    </row>
    <row r="931">
      <c r="A931" s="178"/>
      <c r="B931" s="178"/>
      <c r="C931" s="178"/>
      <c r="D931" s="178"/>
      <c r="E931" s="178"/>
    </row>
    <row r="932">
      <c r="A932" s="178"/>
      <c r="B932" s="178"/>
      <c r="C932" s="178"/>
      <c r="D932" s="178"/>
      <c r="E932" s="178"/>
    </row>
    <row r="933">
      <c r="A933" s="178"/>
      <c r="B933" s="178"/>
      <c r="C933" s="178"/>
      <c r="D933" s="178"/>
      <c r="E933" s="178"/>
    </row>
    <row r="934">
      <c r="A934" s="178"/>
      <c r="B934" s="178"/>
      <c r="C934" s="178"/>
      <c r="D934" s="178"/>
      <c r="E934" s="178"/>
    </row>
    <row r="935">
      <c r="A935" s="178"/>
      <c r="B935" s="178"/>
      <c r="C935" s="178"/>
      <c r="D935" s="178"/>
      <c r="E935" s="178"/>
    </row>
    <row r="936">
      <c r="A936" s="178"/>
      <c r="B936" s="178"/>
      <c r="C936" s="178"/>
      <c r="D936" s="178"/>
      <c r="E936" s="178"/>
    </row>
    <row r="937">
      <c r="A937" s="178"/>
      <c r="B937" s="178"/>
      <c r="C937" s="178"/>
      <c r="D937" s="178"/>
      <c r="E937" s="178"/>
    </row>
    <row r="938">
      <c r="A938" s="178"/>
      <c r="B938" s="178"/>
      <c r="C938" s="178"/>
      <c r="D938" s="178"/>
      <c r="E938" s="178"/>
    </row>
    <row r="939">
      <c r="A939" s="178"/>
      <c r="B939" s="178"/>
      <c r="C939" s="178"/>
      <c r="D939" s="178"/>
      <c r="E939" s="178"/>
    </row>
    <row r="940">
      <c r="A940" s="178"/>
      <c r="B940" s="178"/>
      <c r="C940" s="178"/>
      <c r="D940" s="178"/>
      <c r="E940" s="178"/>
    </row>
    <row r="941">
      <c r="A941" s="178"/>
      <c r="B941" s="178"/>
      <c r="C941" s="178"/>
      <c r="D941" s="178"/>
      <c r="E941" s="178"/>
    </row>
    <row r="942">
      <c r="A942" s="178"/>
      <c r="B942" s="178"/>
      <c r="C942" s="178"/>
      <c r="D942" s="178"/>
      <c r="E942" s="178"/>
    </row>
    <row r="943">
      <c r="A943" s="178"/>
      <c r="B943" s="178"/>
      <c r="C943" s="178"/>
      <c r="D943" s="178"/>
      <c r="E943" s="178"/>
    </row>
    <row r="944">
      <c r="A944" s="178"/>
      <c r="B944" s="178"/>
      <c r="C944" s="178"/>
      <c r="D944" s="178"/>
      <c r="E944" s="178"/>
    </row>
    <row r="945">
      <c r="A945" s="178"/>
      <c r="B945" s="178"/>
      <c r="C945" s="178"/>
      <c r="D945" s="178"/>
      <c r="E945" s="178"/>
    </row>
    <row r="946">
      <c r="A946" s="178"/>
      <c r="B946" s="178"/>
      <c r="C946" s="178"/>
      <c r="D946" s="178"/>
      <c r="E946" s="178"/>
    </row>
    <row r="947">
      <c r="A947" s="178"/>
      <c r="B947" s="178"/>
      <c r="C947" s="178"/>
      <c r="D947" s="178"/>
      <c r="E947" s="178"/>
    </row>
    <row r="948">
      <c r="A948" s="178"/>
      <c r="B948" s="178"/>
      <c r="C948" s="178"/>
      <c r="D948" s="178"/>
      <c r="E948" s="178"/>
    </row>
    <row r="949">
      <c r="A949" s="178"/>
      <c r="B949" s="178"/>
      <c r="C949" s="178"/>
      <c r="D949" s="178"/>
      <c r="E949" s="178"/>
    </row>
    <row r="950">
      <c r="A950" s="178"/>
      <c r="B950" s="178"/>
      <c r="C950" s="178"/>
      <c r="D950" s="178"/>
      <c r="E950" s="178"/>
    </row>
    <row r="951">
      <c r="A951" s="178"/>
      <c r="B951" s="178"/>
      <c r="C951" s="178"/>
      <c r="D951" s="178"/>
      <c r="E951" s="178"/>
    </row>
    <row r="952">
      <c r="A952" s="178"/>
      <c r="B952" s="178"/>
      <c r="C952" s="178"/>
      <c r="D952" s="178"/>
      <c r="E952" s="178"/>
    </row>
    <row r="953">
      <c r="A953" s="178"/>
      <c r="B953" s="178"/>
      <c r="C953" s="178"/>
      <c r="D953" s="178"/>
      <c r="E953" s="178"/>
    </row>
    <row r="954">
      <c r="A954" s="178"/>
      <c r="B954" s="178"/>
      <c r="C954" s="178"/>
      <c r="D954" s="178"/>
      <c r="E954" s="178"/>
    </row>
    <row r="955">
      <c r="A955" s="178"/>
      <c r="B955" s="178"/>
      <c r="C955" s="178"/>
      <c r="D955" s="178"/>
      <c r="E955" s="178"/>
    </row>
    <row r="956">
      <c r="A956" s="178"/>
      <c r="B956" s="178"/>
      <c r="C956" s="178"/>
      <c r="D956" s="178"/>
      <c r="E956" s="178"/>
    </row>
    <row r="957">
      <c r="A957" s="178"/>
      <c r="B957" s="178"/>
      <c r="C957" s="178"/>
      <c r="D957" s="178"/>
      <c r="E957" s="178"/>
    </row>
    <row r="958">
      <c r="A958" s="178"/>
      <c r="B958" s="178"/>
      <c r="C958" s="178"/>
      <c r="D958" s="178"/>
      <c r="E958" s="178"/>
    </row>
    <row r="959">
      <c r="A959" s="178"/>
      <c r="B959" s="178"/>
      <c r="C959" s="178"/>
      <c r="D959" s="178"/>
      <c r="E959" s="178"/>
    </row>
    <row r="960">
      <c r="A960" s="178"/>
      <c r="B960" s="178"/>
      <c r="C960" s="178"/>
      <c r="D960" s="178"/>
      <c r="E960" s="178"/>
    </row>
    <row r="961">
      <c r="A961" s="178"/>
      <c r="B961" s="178"/>
      <c r="C961" s="178"/>
      <c r="D961" s="178"/>
      <c r="E961" s="178"/>
    </row>
    <row r="962">
      <c r="A962" s="178"/>
      <c r="B962" s="178"/>
      <c r="C962" s="178"/>
      <c r="D962" s="178"/>
      <c r="E962" s="178"/>
    </row>
    <row r="963">
      <c r="A963" s="178"/>
      <c r="B963" s="178"/>
      <c r="C963" s="178"/>
      <c r="D963" s="178"/>
      <c r="E963" s="178"/>
    </row>
    <row r="964">
      <c r="A964" s="178"/>
      <c r="B964" s="178"/>
      <c r="C964" s="178"/>
      <c r="D964" s="178"/>
      <c r="E964" s="178"/>
    </row>
    <row r="965">
      <c r="A965" s="178"/>
      <c r="B965" s="178"/>
      <c r="C965" s="178"/>
      <c r="D965" s="178"/>
      <c r="E965" s="178"/>
    </row>
    <row r="966">
      <c r="A966" s="178"/>
      <c r="B966" s="178"/>
      <c r="C966" s="178"/>
      <c r="D966" s="178"/>
      <c r="E966" s="178"/>
    </row>
    <row r="967">
      <c r="A967" s="178"/>
      <c r="B967" s="178"/>
      <c r="C967" s="178"/>
      <c r="D967" s="178"/>
      <c r="E967" s="178"/>
    </row>
    <row r="968">
      <c r="A968" s="178"/>
      <c r="B968" s="178"/>
      <c r="C968" s="178"/>
      <c r="D968" s="178"/>
      <c r="E968" s="178"/>
    </row>
    <row r="969">
      <c r="A969" s="178"/>
      <c r="B969" s="178"/>
      <c r="C969" s="178"/>
      <c r="D969" s="178"/>
      <c r="E969" s="178"/>
    </row>
    <row r="970">
      <c r="A970" s="178"/>
      <c r="B970" s="178"/>
      <c r="C970" s="178"/>
      <c r="D970" s="178"/>
      <c r="E970" s="178"/>
    </row>
    <row r="971">
      <c r="A971" s="178"/>
      <c r="B971" s="178"/>
      <c r="C971" s="178"/>
      <c r="D971" s="178"/>
      <c r="E971" s="178"/>
    </row>
    <row r="972">
      <c r="A972" s="178"/>
      <c r="B972" s="178"/>
      <c r="C972" s="178"/>
      <c r="D972" s="178"/>
      <c r="E972" s="178"/>
    </row>
    <row r="973">
      <c r="A973" s="178"/>
      <c r="B973" s="178"/>
      <c r="C973" s="178"/>
      <c r="D973" s="178"/>
      <c r="E973" s="178"/>
    </row>
    <row r="974">
      <c r="A974" s="178"/>
      <c r="B974" s="178"/>
      <c r="C974" s="178"/>
      <c r="D974" s="178"/>
      <c r="E974" s="178"/>
    </row>
    <row r="975">
      <c r="A975" s="178"/>
      <c r="B975" s="178"/>
      <c r="C975" s="178"/>
      <c r="D975" s="178"/>
      <c r="E975" s="178"/>
    </row>
    <row r="976">
      <c r="A976" s="178"/>
      <c r="B976" s="178"/>
      <c r="C976" s="178"/>
      <c r="D976" s="178"/>
      <c r="E976" s="178"/>
    </row>
    <row r="977">
      <c r="A977" s="178"/>
      <c r="B977" s="178"/>
      <c r="C977" s="178"/>
      <c r="D977" s="178"/>
      <c r="E977" s="178"/>
    </row>
    <row r="978">
      <c r="A978" s="178"/>
      <c r="B978" s="178"/>
      <c r="C978" s="178"/>
      <c r="D978" s="178"/>
      <c r="E978" s="178"/>
    </row>
    <row r="979">
      <c r="A979" s="178"/>
      <c r="B979" s="178"/>
      <c r="C979" s="178"/>
      <c r="D979" s="178"/>
      <c r="E979" s="178"/>
    </row>
    <row r="980">
      <c r="A980" s="178"/>
      <c r="B980" s="178"/>
      <c r="C980" s="178"/>
      <c r="D980" s="178"/>
      <c r="E980" s="178"/>
    </row>
    <row r="981">
      <c r="A981" s="178"/>
      <c r="B981" s="178"/>
      <c r="C981" s="178"/>
      <c r="D981" s="178"/>
      <c r="E981" s="178"/>
    </row>
    <row r="982">
      <c r="A982" s="178"/>
      <c r="B982" s="178"/>
      <c r="C982" s="178"/>
      <c r="D982" s="178"/>
      <c r="E982" s="178"/>
    </row>
    <row r="983">
      <c r="A983" s="178"/>
      <c r="B983" s="178"/>
      <c r="C983" s="178"/>
      <c r="D983" s="178"/>
      <c r="E983" s="178"/>
    </row>
    <row r="984">
      <c r="A984" s="178"/>
      <c r="B984" s="178"/>
      <c r="C984" s="178"/>
      <c r="D984" s="178"/>
      <c r="E984" s="178"/>
    </row>
    <row r="985">
      <c r="A985" s="178"/>
      <c r="B985" s="178"/>
      <c r="C985" s="178"/>
      <c r="D985" s="178"/>
      <c r="E985" s="178"/>
    </row>
    <row r="986">
      <c r="A986" s="178"/>
      <c r="B986" s="178"/>
      <c r="C986" s="178"/>
      <c r="D986" s="178"/>
      <c r="E986" s="178"/>
    </row>
    <row r="987">
      <c r="A987" s="178"/>
      <c r="B987" s="178"/>
      <c r="C987" s="178"/>
      <c r="D987" s="178"/>
      <c r="E987" s="178"/>
    </row>
    <row r="988">
      <c r="A988" s="178"/>
      <c r="B988" s="178"/>
      <c r="C988" s="178"/>
      <c r="D988" s="178"/>
      <c r="E988" s="178"/>
    </row>
    <row r="989">
      <c r="A989" s="178"/>
      <c r="B989" s="178"/>
      <c r="C989" s="178"/>
      <c r="D989" s="178"/>
      <c r="E989" s="178"/>
    </row>
    <row r="990">
      <c r="A990" s="178"/>
      <c r="B990" s="178"/>
      <c r="C990" s="178"/>
      <c r="D990" s="178"/>
      <c r="E990" s="178"/>
    </row>
    <row r="991">
      <c r="A991" s="178"/>
      <c r="B991" s="178"/>
      <c r="C991" s="178"/>
      <c r="D991" s="178"/>
      <c r="E991" s="178"/>
    </row>
    <row r="992">
      <c r="A992" s="178"/>
      <c r="B992" s="178"/>
      <c r="C992" s="178"/>
      <c r="D992" s="178"/>
      <c r="E992" s="178"/>
    </row>
    <row r="993">
      <c r="A993" s="178"/>
      <c r="B993" s="178"/>
      <c r="C993" s="178"/>
      <c r="D993" s="178"/>
      <c r="E993" s="178"/>
    </row>
    <row r="994">
      <c r="A994" s="178"/>
      <c r="B994" s="178"/>
      <c r="C994" s="178"/>
      <c r="D994" s="178"/>
      <c r="E994" s="178"/>
    </row>
    <row r="995">
      <c r="A995" s="178"/>
      <c r="B995" s="178"/>
      <c r="C995" s="178"/>
      <c r="D995" s="178"/>
      <c r="E995" s="178"/>
    </row>
    <row r="996">
      <c r="A996" s="178"/>
      <c r="B996" s="178"/>
      <c r="C996" s="178"/>
      <c r="D996" s="178"/>
      <c r="E996" s="178"/>
    </row>
    <row r="997">
      <c r="A997" s="178"/>
      <c r="B997" s="178"/>
      <c r="C997" s="178"/>
      <c r="D997" s="178"/>
      <c r="E997" s="178"/>
    </row>
  </sheetData>
  <mergeCells count="1">
    <mergeCell ref="G8:H8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40.63"/>
    <col customWidth="1" min="3" max="3" width="12.0"/>
    <col customWidth="1" min="4" max="4" width="36.0"/>
    <col customWidth="1" min="5" max="5" width="10.38"/>
    <col customWidth="1" min="7" max="7" width="76.8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178"/>
      <c r="G1" s="80" t="s">
        <v>5</v>
      </c>
      <c r="H1" s="81">
        <f>H4</f>
        <v>29</v>
      </c>
    </row>
    <row r="2">
      <c r="A2" s="158" t="s">
        <v>881</v>
      </c>
      <c r="B2" s="73" t="s">
        <v>882</v>
      </c>
      <c r="C2" s="73" t="s">
        <v>812</v>
      </c>
      <c r="D2" s="73">
        <v>111.0</v>
      </c>
      <c r="E2" s="168">
        <v>0.9583333333333334</v>
      </c>
      <c r="F2" s="178"/>
      <c r="G2" s="82" t="s">
        <v>9</v>
      </c>
      <c r="H2" s="82">
        <f>COUNTIF(C:C,"*LSP*")
</f>
        <v>19</v>
      </c>
    </row>
    <row r="3">
      <c r="A3" s="208" t="s">
        <v>883</v>
      </c>
      <c r="B3" s="73" t="s">
        <v>882</v>
      </c>
      <c r="C3" s="73" t="s">
        <v>812</v>
      </c>
      <c r="D3" s="73" t="s">
        <v>167</v>
      </c>
      <c r="E3" s="168">
        <v>0.08333333333333333</v>
      </c>
      <c r="F3" s="178"/>
      <c r="G3" s="82" t="s">
        <v>13</v>
      </c>
      <c r="H3" s="82">
        <f>COUNTIF(C:C,"*SOC*")
</f>
        <v>20</v>
      </c>
    </row>
    <row r="4">
      <c r="A4" s="208" t="s">
        <v>884</v>
      </c>
      <c r="B4" s="73" t="s">
        <v>44</v>
      </c>
      <c r="C4" s="73" t="s">
        <v>45</v>
      </c>
      <c r="D4" s="73">
        <v>110.0</v>
      </c>
      <c r="E4" s="168">
        <v>0.125</v>
      </c>
      <c r="F4" s="178"/>
      <c r="G4" s="82" t="s">
        <v>810</v>
      </c>
      <c r="H4" s="197">
        <f>COUNTIFS(D:D,"&gt;=5",D:D,"&lt;=114")</f>
        <v>29</v>
      </c>
    </row>
    <row r="5">
      <c r="A5" s="208" t="s">
        <v>884</v>
      </c>
      <c r="B5" s="73" t="s">
        <v>44</v>
      </c>
      <c r="C5" s="73" t="s">
        <v>45</v>
      </c>
      <c r="D5" s="73">
        <v>110.0</v>
      </c>
      <c r="E5" s="168">
        <v>0.125</v>
      </c>
      <c r="F5" s="178"/>
      <c r="G5" s="82" t="s">
        <v>20</v>
      </c>
      <c r="H5" s="82">
        <f>COUNTIF(D:D,"*NÃO DOCOU*")</f>
        <v>7</v>
      </c>
    </row>
    <row r="6">
      <c r="A6" s="158" t="s">
        <v>885</v>
      </c>
      <c r="B6" s="73" t="s">
        <v>44</v>
      </c>
      <c r="C6" s="73" t="s">
        <v>45</v>
      </c>
      <c r="D6" s="73" t="s">
        <v>167</v>
      </c>
      <c r="E6" s="168">
        <v>0.20833333333333334</v>
      </c>
      <c r="F6" s="178"/>
      <c r="G6" s="198" t="s">
        <v>25</v>
      </c>
      <c r="H6" s="199">
        <f>COUNTIF(D:D,"*NÃO CHEGOU*")
</f>
        <v>3</v>
      </c>
    </row>
    <row r="7">
      <c r="A7" s="158" t="s">
        <v>886</v>
      </c>
      <c r="B7" s="73" t="s">
        <v>7</v>
      </c>
      <c r="C7" s="73" t="s">
        <v>8</v>
      </c>
      <c r="D7" s="73">
        <v>13.0</v>
      </c>
      <c r="E7" s="168">
        <v>0.25</v>
      </c>
      <c r="F7" s="178"/>
      <c r="G7" s="82" t="s">
        <v>815</v>
      </c>
      <c r="H7" s="82">
        <f>COUNTIF(D:D,"*DRIVER DUPLICADO*")</f>
        <v>0</v>
      </c>
    </row>
    <row r="8">
      <c r="A8" s="158" t="s">
        <v>887</v>
      </c>
      <c r="B8" s="73" t="s">
        <v>15</v>
      </c>
      <c r="C8" s="73" t="s">
        <v>16</v>
      </c>
      <c r="D8" s="73">
        <v>22.0</v>
      </c>
      <c r="E8" s="168">
        <v>0.25</v>
      </c>
      <c r="F8" s="178"/>
      <c r="G8" s="183"/>
    </row>
    <row r="9">
      <c r="A9" s="208" t="s">
        <v>888</v>
      </c>
      <c r="B9" s="73" t="s">
        <v>326</v>
      </c>
      <c r="C9" s="73" t="s">
        <v>807</v>
      </c>
      <c r="D9" s="73">
        <v>35.0</v>
      </c>
      <c r="E9" s="168">
        <v>0.25</v>
      </c>
      <c r="F9" s="178"/>
      <c r="G9" s="93"/>
    </row>
    <row r="10">
      <c r="A10" s="208" t="s">
        <v>889</v>
      </c>
      <c r="B10" s="146" t="s">
        <v>84</v>
      </c>
      <c r="C10" s="146" t="s">
        <v>85</v>
      </c>
      <c r="D10" s="73">
        <v>97.0</v>
      </c>
      <c r="E10" s="168">
        <v>0.25</v>
      </c>
      <c r="F10" s="178"/>
      <c r="G10" s="131"/>
      <c r="H10" s="207"/>
    </row>
    <row r="11">
      <c r="A11" s="208" t="s">
        <v>890</v>
      </c>
      <c r="B11" s="167" t="s">
        <v>84</v>
      </c>
      <c r="C11" s="167" t="s">
        <v>85</v>
      </c>
      <c r="D11" s="167" t="s">
        <v>167</v>
      </c>
      <c r="E11" s="168">
        <v>0.25</v>
      </c>
      <c r="F11" s="178"/>
      <c r="G11" s="93"/>
      <c r="H11" s="9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208" t="s">
        <v>891</v>
      </c>
      <c r="B12" s="73" t="s">
        <v>318</v>
      </c>
      <c r="C12" s="73" t="s">
        <v>821</v>
      </c>
      <c r="D12" s="73">
        <v>100.0</v>
      </c>
      <c r="E12" s="168">
        <v>0.25</v>
      </c>
      <c r="F12" s="178"/>
      <c r="G12" s="200"/>
      <c r="H12" s="178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208" t="s">
        <v>892</v>
      </c>
      <c r="B13" s="73" t="s">
        <v>848</v>
      </c>
      <c r="C13" s="73" t="s">
        <v>849</v>
      </c>
      <c r="D13" s="73">
        <v>5.0</v>
      </c>
      <c r="E13" s="168">
        <v>0.25</v>
      </c>
      <c r="F13" s="178"/>
      <c r="G13" s="84" t="s">
        <v>893</v>
      </c>
      <c r="H13" s="93"/>
    </row>
    <row r="14">
      <c r="A14" s="208" t="s">
        <v>894</v>
      </c>
      <c r="B14" s="73" t="s">
        <v>31</v>
      </c>
      <c r="C14" s="167" t="s">
        <v>32</v>
      </c>
      <c r="D14" s="167">
        <v>15.0</v>
      </c>
      <c r="E14" s="168">
        <v>0.2708333333333333</v>
      </c>
      <c r="F14" s="178"/>
      <c r="G14" s="187" t="s">
        <v>653</v>
      </c>
      <c r="H14" s="178"/>
    </row>
    <row r="15">
      <c r="A15" s="158" t="s">
        <v>895</v>
      </c>
      <c r="B15" s="73" t="s">
        <v>34</v>
      </c>
      <c r="C15" s="167" t="s">
        <v>35</v>
      </c>
      <c r="D15" s="167">
        <v>7.0</v>
      </c>
      <c r="E15" s="168">
        <v>0.2708333333333333</v>
      </c>
      <c r="F15" s="178"/>
      <c r="G15" s="178"/>
      <c r="H15" s="178"/>
    </row>
    <row r="16">
      <c r="A16" s="208" t="s">
        <v>896</v>
      </c>
      <c r="B16" s="146" t="s">
        <v>37</v>
      </c>
      <c r="C16" s="146" t="s">
        <v>38</v>
      </c>
      <c r="D16" s="146">
        <v>88.0</v>
      </c>
      <c r="E16" s="168">
        <v>0.2916666666666667</v>
      </c>
      <c r="F16" s="178"/>
      <c r="G16" s="178"/>
      <c r="H16" s="178"/>
    </row>
    <row r="17">
      <c r="A17" s="208" t="s">
        <v>897</v>
      </c>
      <c r="B17" s="167" t="s">
        <v>672</v>
      </c>
      <c r="C17" s="167" t="s">
        <v>42</v>
      </c>
      <c r="D17" s="167">
        <v>87.0</v>
      </c>
      <c r="E17" s="168">
        <v>0.2916666666666667</v>
      </c>
      <c r="F17" s="178"/>
      <c r="G17" s="178"/>
      <c r="H17" s="178"/>
    </row>
    <row r="18">
      <c r="A18" s="208" t="s">
        <v>898</v>
      </c>
      <c r="B18" s="170" t="s">
        <v>882</v>
      </c>
      <c r="C18" s="170" t="s">
        <v>812</v>
      </c>
      <c r="D18" s="170" t="s">
        <v>167</v>
      </c>
      <c r="E18" s="168">
        <v>0.2916666666666667</v>
      </c>
      <c r="F18" s="178"/>
      <c r="G18" s="178"/>
      <c r="H18" s="178"/>
    </row>
    <row r="19">
      <c r="A19" s="139" t="s">
        <v>899</v>
      </c>
      <c r="B19" s="73" t="s">
        <v>84</v>
      </c>
      <c r="C19" s="73" t="s">
        <v>85</v>
      </c>
      <c r="D19" s="73" t="s">
        <v>167</v>
      </c>
      <c r="E19" s="168">
        <v>0.2916666666666667</v>
      </c>
      <c r="F19" s="178"/>
      <c r="G19" s="178"/>
      <c r="H19" s="178"/>
    </row>
    <row r="20">
      <c r="A20" s="139" t="s">
        <v>900</v>
      </c>
      <c r="B20" s="73" t="s">
        <v>385</v>
      </c>
      <c r="C20" s="73" t="s">
        <v>89</v>
      </c>
      <c r="D20" s="73">
        <v>95.0</v>
      </c>
      <c r="E20" s="150">
        <v>0.2916666666666667</v>
      </c>
      <c r="F20" s="178"/>
      <c r="G20" s="178"/>
      <c r="H20" s="178"/>
    </row>
    <row r="21">
      <c r="A21" s="167" t="s">
        <v>901</v>
      </c>
      <c r="B21" s="73" t="s">
        <v>18</v>
      </c>
      <c r="C21" s="73" t="s">
        <v>19</v>
      </c>
      <c r="D21" s="73">
        <v>33.0</v>
      </c>
      <c r="E21" s="150">
        <v>0.2916666666666667</v>
      </c>
      <c r="F21" s="178"/>
      <c r="G21" s="178"/>
      <c r="H21" s="178"/>
    </row>
    <row r="22">
      <c r="A22" s="208" t="s">
        <v>902</v>
      </c>
      <c r="B22" s="73" t="s">
        <v>48</v>
      </c>
      <c r="C22" s="73" t="s">
        <v>49</v>
      </c>
      <c r="D22" s="73">
        <v>12.0</v>
      </c>
      <c r="E22" s="150">
        <v>0.2916666666666667</v>
      </c>
      <c r="F22" s="178"/>
      <c r="G22" s="178"/>
      <c r="H22" s="178"/>
    </row>
    <row r="23">
      <c r="A23" s="139" t="s">
        <v>903</v>
      </c>
      <c r="B23" s="73" t="s">
        <v>51</v>
      </c>
      <c r="C23" s="73" t="s">
        <v>52</v>
      </c>
      <c r="D23" s="73">
        <v>23.0</v>
      </c>
      <c r="E23" s="150">
        <v>0.2916666666666667</v>
      </c>
      <c r="F23" s="178"/>
      <c r="G23" s="178"/>
      <c r="H23" s="178"/>
    </row>
    <row r="24">
      <c r="A24" s="167" t="s">
        <v>904</v>
      </c>
      <c r="B24" s="146" t="s">
        <v>54</v>
      </c>
      <c r="C24" s="146" t="s">
        <v>55</v>
      </c>
      <c r="D24" s="146" t="s">
        <v>25</v>
      </c>
      <c r="E24" s="150">
        <v>0.2916666666666667</v>
      </c>
      <c r="F24" s="178"/>
      <c r="G24" s="178"/>
      <c r="H24" s="178"/>
    </row>
    <row r="25">
      <c r="A25" s="167" t="s">
        <v>905</v>
      </c>
      <c r="B25" s="146" t="s">
        <v>118</v>
      </c>
      <c r="C25" s="146" t="s">
        <v>58</v>
      </c>
      <c r="D25" s="146">
        <v>19.0</v>
      </c>
      <c r="E25" s="150">
        <v>0.3125</v>
      </c>
      <c r="F25" s="178"/>
      <c r="G25" s="178"/>
      <c r="H25" s="178"/>
    </row>
    <row r="26">
      <c r="A26" s="208" t="s">
        <v>906</v>
      </c>
      <c r="B26" s="146" t="s">
        <v>61</v>
      </c>
      <c r="C26" s="146" t="s">
        <v>62</v>
      </c>
      <c r="D26" s="146">
        <v>40.0</v>
      </c>
      <c r="E26" s="150">
        <v>0.2916666666666667</v>
      </c>
      <c r="F26" s="178"/>
      <c r="G26" s="178"/>
      <c r="H26" s="178"/>
    </row>
    <row r="27">
      <c r="A27" s="167" t="s">
        <v>907</v>
      </c>
      <c r="B27" s="167" t="s">
        <v>124</v>
      </c>
      <c r="C27" s="167" t="s">
        <v>69</v>
      </c>
      <c r="D27" s="167">
        <v>36.0</v>
      </c>
      <c r="E27" s="150">
        <v>0.3125</v>
      </c>
      <c r="F27" s="178"/>
      <c r="G27" s="178"/>
      <c r="H27" s="178"/>
    </row>
    <row r="28">
      <c r="A28" s="208" t="s">
        <v>908</v>
      </c>
      <c r="B28" s="167" t="s">
        <v>71</v>
      </c>
      <c r="C28" s="167" t="s">
        <v>72</v>
      </c>
      <c r="D28" s="167">
        <v>39.0</v>
      </c>
      <c r="E28" s="150">
        <v>0.3125</v>
      </c>
      <c r="F28" s="178"/>
      <c r="G28" s="178"/>
      <c r="H28" s="178"/>
    </row>
    <row r="29">
      <c r="A29" s="167" t="s">
        <v>909</v>
      </c>
      <c r="B29" s="167" t="s">
        <v>75</v>
      </c>
      <c r="C29" s="167" t="s">
        <v>76</v>
      </c>
      <c r="D29" s="167">
        <v>34.0</v>
      </c>
      <c r="E29" s="150">
        <v>0.3125</v>
      </c>
      <c r="F29" s="178"/>
      <c r="G29" s="178"/>
      <c r="H29" s="178"/>
    </row>
    <row r="30">
      <c r="A30" s="208" t="s">
        <v>910</v>
      </c>
      <c r="B30" s="167" t="s">
        <v>399</v>
      </c>
      <c r="C30" s="167" t="s">
        <v>157</v>
      </c>
      <c r="D30" s="167">
        <v>37.0</v>
      </c>
      <c r="E30" s="150">
        <v>0.3125</v>
      </c>
      <c r="F30" s="178"/>
      <c r="G30" s="178"/>
      <c r="H30" s="178"/>
    </row>
    <row r="31">
      <c r="A31" s="167" t="s">
        <v>911</v>
      </c>
      <c r="B31" s="167" t="s">
        <v>78</v>
      </c>
      <c r="C31" s="167" t="s">
        <v>79</v>
      </c>
      <c r="D31" s="167" t="s">
        <v>25</v>
      </c>
      <c r="E31" s="181">
        <v>0.3125</v>
      </c>
      <c r="F31" s="178"/>
      <c r="G31" s="178"/>
      <c r="H31" s="178"/>
    </row>
    <row r="32">
      <c r="A32" s="139" t="s">
        <v>912</v>
      </c>
      <c r="B32" s="167" t="s">
        <v>22</v>
      </c>
      <c r="C32" s="167" t="s">
        <v>839</v>
      </c>
      <c r="D32" s="167">
        <v>28.0</v>
      </c>
      <c r="E32" s="181">
        <v>0.3125</v>
      </c>
      <c r="F32" s="178"/>
      <c r="G32" s="178"/>
      <c r="H32" s="178"/>
    </row>
    <row r="33">
      <c r="A33" s="167" t="s">
        <v>909</v>
      </c>
      <c r="B33" s="167" t="s">
        <v>75</v>
      </c>
      <c r="C33" s="167" t="s">
        <v>76</v>
      </c>
      <c r="D33" s="167">
        <v>34.0</v>
      </c>
      <c r="E33" s="150">
        <v>0.3125</v>
      </c>
      <c r="F33" s="178"/>
      <c r="G33" s="178"/>
      <c r="H33" s="178"/>
    </row>
    <row r="34">
      <c r="A34" s="208" t="s">
        <v>910</v>
      </c>
      <c r="B34" s="167" t="s">
        <v>399</v>
      </c>
      <c r="C34" s="167" t="s">
        <v>157</v>
      </c>
      <c r="D34" s="167">
        <v>37.0</v>
      </c>
      <c r="E34" s="150">
        <v>0.3125</v>
      </c>
      <c r="F34" s="178"/>
      <c r="G34" s="178"/>
      <c r="H34" s="178"/>
    </row>
    <row r="35">
      <c r="A35" s="167" t="s">
        <v>911</v>
      </c>
      <c r="B35" s="167" t="s">
        <v>78</v>
      </c>
      <c r="C35" s="167" t="s">
        <v>79</v>
      </c>
      <c r="D35" s="167" t="s">
        <v>25</v>
      </c>
      <c r="E35" s="181">
        <v>0.3125</v>
      </c>
      <c r="F35" s="178"/>
      <c r="G35" s="178"/>
      <c r="H35" s="178"/>
    </row>
    <row r="36">
      <c r="A36" s="208" t="s">
        <v>913</v>
      </c>
      <c r="B36" s="170" t="s">
        <v>44</v>
      </c>
      <c r="C36" s="170" t="s">
        <v>45</v>
      </c>
      <c r="D36" s="170">
        <v>91.0</v>
      </c>
      <c r="E36" s="181">
        <v>0.5</v>
      </c>
      <c r="F36" s="178"/>
      <c r="G36" s="178"/>
      <c r="H36" s="178"/>
    </row>
    <row r="37">
      <c r="A37" s="208" t="s">
        <v>914</v>
      </c>
      <c r="B37" s="73" t="s">
        <v>326</v>
      </c>
      <c r="C37" s="73" t="s">
        <v>807</v>
      </c>
      <c r="D37" s="73" t="s">
        <v>167</v>
      </c>
      <c r="E37" s="181">
        <v>0.5833333333333334</v>
      </c>
      <c r="F37" s="178"/>
      <c r="G37" s="178"/>
      <c r="H37" s="178"/>
    </row>
    <row r="38">
      <c r="A38" s="139" t="s">
        <v>915</v>
      </c>
      <c r="B38" s="73" t="s">
        <v>563</v>
      </c>
      <c r="C38" s="73" t="s">
        <v>138</v>
      </c>
      <c r="D38" s="73">
        <v>102.0</v>
      </c>
      <c r="E38" s="181">
        <v>0.6666666666666666</v>
      </c>
      <c r="F38" s="178"/>
      <c r="G38" s="178"/>
      <c r="H38" s="178"/>
    </row>
    <row r="39">
      <c r="A39" s="139" t="s">
        <v>916</v>
      </c>
      <c r="B39" s="73" t="s">
        <v>37</v>
      </c>
      <c r="C39" s="73" t="s">
        <v>38</v>
      </c>
      <c r="D39" s="73" t="s">
        <v>167</v>
      </c>
      <c r="E39" s="74">
        <v>0.6666666666666666</v>
      </c>
      <c r="F39" s="178"/>
      <c r="G39" s="178"/>
      <c r="H39" s="178"/>
    </row>
    <row r="40">
      <c r="A40" s="159" t="s">
        <v>917</v>
      </c>
      <c r="B40" s="73" t="s">
        <v>84</v>
      </c>
      <c r="C40" s="73" t="s">
        <v>85</v>
      </c>
      <c r="D40" s="73">
        <v>96.0</v>
      </c>
      <c r="E40" s="74">
        <v>0.75</v>
      </c>
      <c r="F40" s="178"/>
      <c r="G40" s="178"/>
      <c r="H40" s="178"/>
    </row>
    <row r="41">
      <c r="A41" s="58"/>
      <c r="B41" s="131"/>
      <c r="C41" s="131"/>
      <c r="D41" s="131"/>
      <c r="E41" s="136"/>
    </row>
    <row r="42">
      <c r="A42" s="209"/>
      <c r="B42" s="131"/>
      <c r="C42" s="131"/>
      <c r="D42" s="131"/>
      <c r="E42" s="136"/>
    </row>
    <row r="43">
      <c r="A43" s="203"/>
      <c r="B43" s="110"/>
      <c r="C43" s="110"/>
      <c r="D43" s="110"/>
      <c r="E43" s="111"/>
    </row>
    <row r="44">
      <c r="A44" s="204"/>
      <c r="B44" s="131"/>
      <c r="C44" s="131"/>
      <c r="D44" s="131"/>
      <c r="E44" s="136"/>
    </row>
    <row r="45">
      <c r="A45" s="205"/>
      <c r="B45" s="131"/>
      <c r="C45" s="131"/>
      <c r="D45" s="131"/>
      <c r="E45" s="136"/>
    </row>
    <row r="46">
      <c r="A46" s="205"/>
      <c r="B46" s="131"/>
      <c r="C46" s="131"/>
      <c r="D46" s="131"/>
      <c r="E46" s="136"/>
    </row>
    <row r="47">
      <c r="A47" s="206"/>
      <c r="B47" s="131"/>
      <c r="C47" s="131"/>
      <c r="D47" s="131"/>
      <c r="E47" s="136"/>
    </row>
    <row r="48">
      <c r="A48" s="174"/>
      <c r="B48" s="110"/>
      <c r="C48" s="110"/>
      <c r="D48" s="110"/>
      <c r="E48" s="111"/>
    </row>
    <row r="49">
      <c r="A49" s="174"/>
      <c r="B49" s="110"/>
      <c r="C49" s="110"/>
      <c r="D49" s="110"/>
      <c r="E49" s="111"/>
    </row>
    <row r="50">
      <c r="A50" s="174"/>
      <c r="B50" s="110"/>
      <c r="C50" s="110"/>
      <c r="D50" s="110"/>
      <c r="E50" s="111"/>
    </row>
    <row r="51">
      <c r="A51" s="177"/>
      <c r="B51" s="110"/>
      <c r="C51" s="110"/>
      <c r="D51" s="110"/>
      <c r="E51" s="111"/>
    </row>
    <row r="52">
      <c r="A52" s="174"/>
      <c r="B52" s="110"/>
      <c r="C52" s="110"/>
      <c r="D52" s="110"/>
      <c r="E52" s="111"/>
    </row>
    <row r="53">
      <c r="A53" s="174"/>
      <c r="B53" s="110"/>
      <c r="C53" s="110"/>
      <c r="D53" s="110"/>
      <c r="E53" s="111"/>
    </row>
    <row r="54">
      <c r="A54" s="178"/>
      <c r="B54" s="178"/>
      <c r="C54" s="178"/>
      <c r="D54" s="178"/>
      <c r="E54" s="178"/>
    </row>
    <row r="55">
      <c r="A55" s="178"/>
      <c r="B55" s="178"/>
      <c r="C55" s="178"/>
      <c r="D55" s="178"/>
      <c r="E55" s="178"/>
    </row>
    <row r="56">
      <c r="A56" s="178"/>
      <c r="B56" s="178"/>
      <c r="C56" s="178"/>
      <c r="D56" s="178"/>
      <c r="E56" s="178"/>
    </row>
    <row r="57">
      <c r="A57" s="178"/>
      <c r="B57" s="178"/>
      <c r="C57" s="178"/>
      <c r="D57" s="178"/>
      <c r="E57" s="178"/>
    </row>
    <row r="58">
      <c r="A58" s="178"/>
      <c r="B58" s="178"/>
      <c r="C58" s="178"/>
      <c r="D58" s="178"/>
      <c r="E58" s="178"/>
    </row>
    <row r="59">
      <c r="A59" s="178"/>
      <c r="B59" s="178"/>
      <c r="C59" s="178"/>
      <c r="D59" s="178"/>
      <c r="E59" s="178"/>
    </row>
    <row r="60">
      <c r="A60" s="178"/>
      <c r="B60" s="178"/>
      <c r="C60" s="178"/>
      <c r="D60" s="178"/>
      <c r="E60" s="178"/>
    </row>
    <row r="61">
      <c r="A61" s="178"/>
      <c r="B61" s="178"/>
      <c r="C61" s="178"/>
      <c r="D61" s="178"/>
      <c r="E61" s="178"/>
    </row>
    <row r="62">
      <c r="A62" s="178"/>
      <c r="B62" s="178"/>
      <c r="C62" s="178"/>
      <c r="D62" s="178"/>
      <c r="E62" s="178"/>
    </row>
    <row r="63">
      <c r="A63" s="178"/>
      <c r="B63" s="178"/>
      <c r="C63" s="178"/>
      <c r="D63" s="178"/>
      <c r="E63" s="178"/>
    </row>
    <row r="64">
      <c r="A64" s="178"/>
      <c r="B64" s="178"/>
      <c r="C64" s="178"/>
      <c r="D64" s="178"/>
      <c r="E64" s="178"/>
    </row>
    <row r="65">
      <c r="A65" s="178"/>
      <c r="B65" s="178"/>
      <c r="C65" s="178"/>
      <c r="D65" s="178"/>
      <c r="E65" s="178"/>
    </row>
    <row r="66">
      <c r="A66" s="178"/>
      <c r="B66" s="178"/>
      <c r="C66" s="178"/>
      <c r="D66" s="178"/>
      <c r="E66" s="178"/>
    </row>
    <row r="67">
      <c r="A67" s="178"/>
      <c r="B67" s="178"/>
      <c r="C67" s="178"/>
      <c r="D67" s="178"/>
      <c r="E67" s="178"/>
    </row>
    <row r="68">
      <c r="A68" s="178"/>
      <c r="B68" s="178"/>
      <c r="C68" s="178"/>
      <c r="D68" s="178"/>
      <c r="E68" s="178"/>
    </row>
    <row r="69">
      <c r="A69" s="178"/>
      <c r="B69" s="178"/>
      <c r="C69" s="178"/>
      <c r="D69" s="178"/>
      <c r="E69" s="178"/>
    </row>
    <row r="70">
      <c r="A70" s="178"/>
      <c r="B70" s="178"/>
      <c r="C70" s="178"/>
      <c r="D70" s="178"/>
      <c r="E70" s="178"/>
    </row>
    <row r="71">
      <c r="A71" s="178"/>
      <c r="B71" s="178"/>
      <c r="C71" s="178"/>
      <c r="D71" s="178"/>
      <c r="E71" s="178"/>
    </row>
    <row r="72">
      <c r="A72" s="178"/>
      <c r="B72" s="178"/>
      <c r="C72" s="178"/>
      <c r="D72" s="178"/>
      <c r="E72" s="178"/>
    </row>
    <row r="73">
      <c r="A73" s="178"/>
      <c r="B73" s="178"/>
      <c r="C73" s="178"/>
      <c r="D73" s="178"/>
      <c r="E73" s="178"/>
    </row>
    <row r="74">
      <c r="A74" s="178"/>
      <c r="B74" s="178"/>
      <c r="C74" s="178"/>
      <c r="D74" s="178"/>
      <c r="E74" s="178"/>
    </row>
    <row r="75">
      <c r="A75" s="178"/>
      <c r="B75" s="178"/>
      <c r="C75" s="178"/>
      <c r="D75" s="178"/>
      <c r="E75" s="178"/>
    </row>
    <row r="76">
      <c r="A76" s="178"/>
      <c r="B76" s="178"/>
      <c r="C76" s="178"/>
      <c r="D76" s="178"/>
      <c r="E76" s="178"/>
    </row>
    <row r="77">
      <c r="A77" s="178"/>
      <c r="B77" s="178"/>
      <c r="C77" s="178"/>
      <c r="D77" s="178"/>
      <c r="E77" s="178"/>
    </row>
    <row r="78">
      <c r="A78" s="178"/>
      <c r="B78" s="178"/>
      <c r="C78" s="178"/>
      <c r="D78" s="178"/>
      <c r="E78" s="178"/>
    </row>
    <row r="79">
      <c r="A79" s="178"/>
      <c r="B79" s="178"/>
      <c r="C79" s="178"/>
      <c r="D79" s="178"/>
      <c r="E79" s="178"/>
    </row>
    <row r="80">
      <c r="A80" s="178"/>
      <c r="B80" s="178"/>
      <c r="C80" s="178"/>
      <c r="D80" s="178"/>
      <c r="E80" s="178"/>
    </row>
    <row r="81">
      <c r="A81" s="178"/>
      <c r="B81" s="178"/>
      <c r="C81" s="178"/>
      <c r="D81" s="178"/>
      <c r="E81" s="178"/>
    </row>
    <row r="82">
      <c r="A82" s="178"/>
      <c r="B82" s="178"/>
      <c r="C82" s="178"/>
      <c r="D82" s="178"/>
      <c r="E82" s="178"/>
    </row>
    <row r="83">
      <c r="A83" s="178"/>
      <c r="B83" s="178"/>
      <c r="C83" s="178"/>
      <c r="D83" s="178"/>
      <c r="E83" s="178"/>
    </row>
    <row r="84">
      <c r="A84" s="178"/>
      <c r="B84" s="178"/>
      <c r="C84" s="178"/>
      <c r="D84" s="178"/>
      <c r="E84" s="178"/>
    </row>
    <row r="85">
      <c r="A85" s="178"/>
      <c r="B85" s="178"/>
      <c r="C85" s="178"/>
      <c r="D85" s="178"/>
      <c r="E85" s="178"/>
    </row>
    <row r="86">
      <c r="A86" s="178"/>
      <c r="B86" s="178"/>
      <c r="C86" s="178"/>
      <c r="D86" s="178"/>
      <c r="E86" s="178"/>
    </row>
    <row r="87">
      <c r="A87" s="178"/>
      <c r="B87" s="178"/>
      <c r="C87" s="178"/>
      <c r="D87" s="178"/>
      <c r="E87" s="178"/>
    </row>
    <row r="88">
      <c r="A88" s="178"/>
      <c r="B88" s="178"/>
      <c r="C88" s="178"/>
      <c r="D88" s="178"/>
      <c r="E88" s="178"/>
    </row>
    <row r="89">
      <c r="A89" s="178"/>
      <c r="B89" s="178"/>
      <c r="C89" s="178"/>
      <c r="D89" s="178"/>
      <c r="E89" s="178"/>
    </row>
    <row r="90">
      <c r="A90" s="178"/>
      <c r="B90" s="178"/>
      <c r="C90" s="178"/>
      <c r="D90" s="178"/>
      <c r="E90" s="178"/>
    </row>
    <row r="91">
      <c r="A91" s="178"/>
      <c r="B91" s="178"/>
      <c r="C91" s="178"/>
      <c r="D91" s="178"/>
      <c r="E91" s="178"/>
    </row>
    <row r="92">
      <c r="A92" s="178"/>
      <c r="B92" s="178"/>
      <c r="C92" s="178"/>
      <c r="D92" s="178"/>
      <c r="E92" s="178"/>
    </row>
    <row r="93">
      <c r="A93" s="178"/>
      <c r="B93" s="178"/>
      <c r="C93" s="178"/>
      <c r="D93" s="178"/>
      <c r="E93" s="178"/>
    </row>
    <row r="94">
      <c r="A94" s="178"/>
      <c r="B94" s="178"/>
      <c r="C94" s="178"/>
      <c r="D94" s="178"/>
      <c r="E94" s="178"/>
    </row>
    <row r="95">
      <c r="A95" s="178"/>
      <c r="B95" s="178"/>
      <c r="C95" s="178"/>
      <c r="D95" s="178"/>
      <c r="E95" s="178"/>
    </row>
    <row r="96">
      <c r="A96" s="178"/>
      <c r="B96" s="178"/>
      <c r="C96" s="178"/>
      <c r="D96" s="178"/>
      <c r="E96" s="178"/>
    </row>
    <row r="97">
      <c r="A97" s="178"/>
      <c r="B97" s="178"/>
      <c r="C97" s="178"/>
      <c r="D97" s="178"/>
      <c r="E97" s="178"/>
    </row>
    <row r="98">
      <c r="A98" s="178"/>
      <c r="B98" s="178"/>
      <c r="C98" s="178"/>
      <c r="D98" s="178"/>
      <c r="E98" s="178"/>
    </row>
    <row r="99">
      <c r="A99" s="178"/>
      <c r="B99" s="178"/>
      <c r="C99" s="178"/>
      <c r="D99" s="178"/>
      <c r="E99" s="178"/>
    </row>
    <row r="100">
      <c r="A100" s="178"/>
      <c r="B100" s="178"/>
      <c r="C100" s="178"/>
      <c r="D100" s="178"/>
      <c r="E100" s="178"/>
    </row>
    <row r="101">
      <c r="A101" s="178"/>
      <c r="B101" s="178"/>
      <c r="C101" s="178"/>
      <c r="D101" s="178"/>
      <c r="E101" s="178"/>
    </row>
    <row r="102">
      <c r="A102" s="178"/>
      <c r="B102" s="178"/>
      <c r="C102" s="178"/>
      <c r="D102" s="178"/>
      <c r="E102" s="178"/>
    </row>
    <row r="103">
      <c r="A103" s="178"/>
      <c r="B103" s="178"/>
      <c r="C103" s="178"/>
      <c r="D103" s="178"/>
      <c r="E103" s="178"/>
    </row>
    <row r="104">
      <c r="A104" s="178"/>
      <c r="B104" s="178"/>
      <c r="C104" s="178"/>
      <c r="D104" s="178"/>
      <c r="E104" s="178"/>
    </row>
    <row r="105">
      <c r="A105" s="178"/>
      <c r="B105" s="178"/>
      <c r="C105" s="178"/>
      <c r="D105" s="178"/>
      <c r="E105" s="178"/>
    </row>
    <row r="106">
      <c r="A106" s="178"/>
      <c r="B106" s="178"/>
      <c r="C106" s="178"/>
      <c r="D106" s="178"/>
      <c r="E106" s="178"/>
    </row>
    <row r="107">
      <c r="A107" s="178"/>
      <c r="B107" s="178"/>
      <c r="C107" s="178"/>
      <c r="D107" s="178"/>
      <c r="E107" s="178"/>
    </row>
    <row r="108">
      <c r="A108" s="178"/>
      <c r="B108" s="178"/>
      <c r="C108" s="178"/>
      <c r="D108" s="178"/>
      <c r="E108" s="178"/>
    </row>
    <row r="109">
      <c r="A109" s="178"/>
      <c r="B109" s="178"/>
      <c r="C109" s="178"/>
      <c r="D109" s="178"/>
      <c r="E109" s="178"/>
    </row>
    <row r="110">
      <c r="A110" s="178"/>
      <c r="B110" s="178"/>
      <c r="C110" s="178"/>
      <c r="D110" s="178"/>
      <c r="E110" s="178"/>
    </row>
    <row r="111">
      <c r="A111" s="178"/>
      <c r="B111" s="178"/>
      <c r="C111" s="178"/>
      <c r="D111" s="178"/>
      <c r="E111" s="178"/>
    </row>
    <row r="112">
      <c r="A112" s="178"/>
      <c r="B112" s="178"/>
      <c r="C112" s="178"/>
      <c r="D112" s="178"/>
      <c r="E112" s="178"/>
    </row>
    <row r="113">
      <c r="A113" s="178"/>
      <c r="B113" s="178"/>
      <c r="C113" s="178"/>
      <c r="D113" s="178"/>
      <c r="E113" s="178"/>
    </row>
    <row r="114">
      <c r="A114" s="178"/>
      <c r="B114" s="178"/>
      <c r="C114" s="178"/>
      <c r="D114" s="178"/>
      <c r="E114" s="178"/>
    </row>
    <row r="115">
      <c r="A115" s="178"/>
      <c r="B115" s="178"/>
      <c r="C115" s="178"/>
      <c r="D115" s="178"/>
      <c r="E115" s="178"/>
    </row>
    <row r="116">
      <c r="A116" s="178"/>
      <c r="B116" s="178"/>
      <c r="C116" s="178"/>
      <c r="D116" s="178"/>
      <c r="E116" s="178"/>
    </row>
    <row r="117">
      <c r="A117" s="178"/>
      <c r="B117" s="178"/>
      <c r="C117" s="178"/>
      <c r="D117" s="178"/>
      <c r="E117" s="178"/>
    </row>
    <row r="118">
      <c r="A118" s="178"/>
      <c r="B118" s="178"/>
      <c r="C118" s="178"/>
      <c r="D118" s="178"/>
      <c r="E118" s="178"/>
    </row>
    <row r="119">
      <c r="A119" s="178"/>
      <c r="B119" s="178"/>
      <c r="C119" s="178"/>
      <c r="D119" s="178"/>
      <c r="E119" s="178"/>
    </row>
    <row r="120">
      <c r="A120" s="178"/>
      <c r="B120" s="178"/>
      <c r="C120" s="178"/>
      <c r="D120" s="178"/>
      <c r="E120" s="178"/>
    </row>
    <row r="121">
      <c r="A121" s="178"/>
      <c r="B121" s="178"/>
      <c r="C121" s="178"/>
      <c r="D121" s="178"/>
      <c r="E121" s="178"/>
    </row>
    <row r="122">
      <c r="A122" s="178"/>
      <c r="B122" s="178"/>
      <c r="C122" s="178"/>
      <c r="D122" s="178"/>
      <c r="E122" s="178"/>
    </row>
    <row r="123">
      <c r="A123" s="178"/>
      <c r="B123" s="178"/>
      <c r="C123" s="178"/>
      <c r="D123" s="178"/>
      <c r="E123" s="178"/>
    </row>
    <row r="124">
      <c r="A124" s="178"/>
      <c r="B124" s="178"/>
      <c r="C124" s="178"/>
      <c r="D124" s="178"/>
      <c r="E124" s="178"/>
    </row>
    <row r="125">
      <c r="A125" s="178"/>
      <c r="B125" s="178"/>
      <c r="C125" s="178"/>
      <c r="D125" s="178"/>
      <c r="E125" s="178"/>
    </row>
    <row r="126">
      <c r="A126" s="178"/>
      <c r="B126" s="178"/>
      <c r="C126" s="178"/>
      <c r="D126" s="178"/>
      <c r="E126" s="178"/>
    </row>
    <row r="127">
      <c r="A127" s="178"/>
      <c r="B127" s="178"/>
      <c r="C127" s="178"/>
      <c r="D127" s="178"/>
      <c r="E127" s="178"/>
    </row>
    <row r="128">
      <c r="A128" s="178"/>
      <c r="B128" s="178"/>
      <c r="C128" s="178"/>
      <c r="D128" s="178"/>
      <c r="E128" s="178"/>
    </row>
    <row r="129">
      <c r="A129" s="178"/>
      <c r="B129" s="178"/>
      <c r="C129" s="178"/>
      <c r="D129" s="178"/>
      <c r="E129" s="178"/>
    </row>
    <row r="130">
      <c r="A130" s="178"/>
      <c r="B130" s="178"/>
      <c r="C130" s="178"/>
      <c r="D130" s="178"/>
      <c r="E130" s="178"/>
    </row>
    <row r="131">
      <c r="A131" s="178"/>
      <c r="B131" s="178"/>
      <c r="C131" s="178"/>
      <c r="D131" s="178"/>
      <c r="E131" s="178"/>
    </row>
    <row r="132">
      <c r="A132" s="178"/>
      <c r="B132" s="178"/>
      <c r="C132" s="178"/>
      <c r="D132" s="178"/>
      <c r="E132" s="178"/>
    </row>
    <row r="133">
      <c r="A133" s="178"/>
      <c r="B133" s="178"/>
      <c r="C133" s="178"/>
      <c r="D133" s="178"/>
      <c r="E133" s="178"/>
    </row>
    <row r="134">
      <c r="A134" s="178"/>
      <c r="B134" s="178"/>
      <c r="C134" s="178"/>
      <c r="D134" s="178"/>
      <c r="E134" s="178"/>
    </row>
    <row r="135">
      <c r="A135" s="178"/>
      <c r="B135" s="178"/>
      <c r="C135" s="178"/>
      <c r="D135" s="178"/>
      <c r="E135" s="178"/>
    </row>
    <row r="136">
      <c r="A136" s="178"/>
      <c r="B136" s="178"/>
      <c r="C136" s="178"/>
      <c r="D136" s="178"/>
      <c r="E136" s="178"/>
    </row>
    <row r="137">
      <c r="A137" s="178"/>
      <c r="B137" s="178"/>
      <c r="C137" s="178"/>
      <c r="D137" s="178"/>
      <c r="E137" s="178"/>
    </row>
    <row r="138">
      <c r="A138" s="178"/>
      <c r="B138" s="178"/>
      <c r="C138" s="178"/>
      <c r="D138" s="178"/>
      <c r="E138" s="178"/>
    </row>
    <row r="139">
      <c r="A139" s="178"/>
      <c r="B139" s="178"/>
      <c r="C139" s="178"/>
      <c r="D139" s="178"/>
      <c r="E139" s="178"/>
    </row>
    <row r="140">
      <c r="A140" s="178"/>
      <c r="B140" s="178"/>
      <c r="C140" s="178"/>
      <c r="D140" s="178"/>
      <c r="E140" s="178"/>
    </row>
    <row r="141">
      <c r="A141" s="178"/>
      <c r="B141" s="178"/>
      <c r="C141" s="178"/>
      <c r="D141" s="178"/>
      <c r="E141" s="178"/>
    </row>
    <row r="142">
      <c r="A142" s="178"/>
      <c r="B142" s="178"/>
      <c r="C142" s="178"/>
      <c r="D142" s="178"/>
      <c r="E142" s="178"/>
    </row>
    <row r="143">
      <c r="A143" s="178"/>
      <c r="B143" s="178"/>
      <c r="C143" s="178"/>
      <c r="D143" s="178"/>
      <c r="E143" s="178"/>
    </row>
    <row r="144">
      <c r="A144" s="178"/>
      <c r="B144" s="178"/>
      <c r="C144" s="178"/>
      <c r="D144" s="178"/>
      <c r="E144" s="178"/>
    </row>
    <row r="145">
      <c r="A145" s="178"/>
      <c r="B145" s="178"/>
      <c r="C145" s="178"/>
      <c r="D145" s="178"/>
      <c r="E145" s="178"/>
    </row>
    <row r="146">
      <c r="A146" s="178"/>
      <c r="B146" s="178"/>
      <c r="C146" s="178"/>
      <c r="D146" s="178"/>
      <c r="E146" s="178"/>
    </row>
    <row r="147">
      <c r="A147" s="178"/>
      <c r="B147" s="178"/>
      <c r="C147" s="178"/>
      <c r="D147" s="178"/>
      <c r="E147" s="178"/>
    </row>
    <row r="148">
      <c r="A148" s="178"/>
      <c r="B148" s="178"/>
      <c r="C148" s="178"/>
      <c r="D148" s="178"/>
      <c r="E148" s="178"/>
    </row>
    <row r="149">
      <c r="A149" s="178"/>
      <c r="B149" s="178"/>
      <c r="C149" s="178"/>
      <c r="D149" s="178"/>
      <c r="E149" s="178"/>
    </row>
    <row r="150">
      <c r="A150" s="178"/>
      <c r="B150" s="178"/>
      <c r="C150" s="178"/>
      <c r="D150" s="178"/>
      <c r="E150" s="178"/>
    </row>
    <row r="151">
      <c r="A151" s="178"/>
      <c r="B151" s="178"/>
      <c r="C151" s="178"/>
      <c r="D151" s="178"/>
      <c r="E151" s="178"/>
    </row>
    <row r="152">
      <c r="A152" s="178"/>
      <c r="B152" s="178"/>
      <c r="C152" s="178"/>
      <c r="D152" s="178"/>
      <c r="E152" s="178"/>
    </row>
    <row r="153">
      <c r="A153" s="178"/>
      <c r="B153" s="178"/>
      <c r="C153" s="178"/>
      <c r="D153" s="178"/>
      <c r="E153" s="178"/>
    </row>
    <row r="154">
      <c r="A154" s="178"/>
      <c r="B154" s="178"/>
      <c r="C154" s="178"/>
      <c r="D154" s="178"/>
      <c r="E154" s="178"/>
    </row>
    <row r="155">
      <c r="A155" s="178"/>
      <c r="B155" s="178"/>
      <c r="C155" s="178"/>
      <c r="D155" s="178"/>
      <c r="E155" s="178"/>
    </row>
    <row r="156">
      <c r="A156" s="178"/>
      <c r="B156" s="178"/>
      <c r="C156" s="178"/>
      <c r="D156" s="178"/>
      <c r="E156" s="178"/>
    </row>
    <row r="157">
      <c r="A157" s="178"/>
      <c r="B157" s="178"/>
      <c r="C157" s="178"/>
      <c r="D157" s="178"/>
      <c r="E157" s="178"/>
    </row>
    <row r="158">
      <c r="A158" s="178"/>
      <c r="B158" s="178"/>
      <c r="C158" s="178"/>
      <c r="D158" s="178"/>
      <c r="E158" s="178"/>
    </row>
    <row r="159">
      <c r="A159" s="178"/>
      <c r="B159" s="178"/>
      <c r="C159" s="178"/>
      <c r="D159" s="178"/>
      <c r="E159" s="178"/>
    </row>
    <row r="160">
      <c r="A160" s="178"/>
      <c r="B160" s="178"/>
      <c r="C160" s="178"/>
      <c r="D160" s="178"/>
      <c r="E160" s="178"/>
    </row>
    <row r="161">
      <c r="A161" s="178"/>
      <c r="B161" s="178"/>
      <c r="C161" s="178"/>
      <c r="D161" s="178"/>
      <c r="E161" s="178"/>
    </row>
    <row r="162">
      <c r="A162" s="178"/>
      <c r="B162" s="178"/>
      <c r="C162" s="178"/>
      <c r="D162" s="178"/>
      <c r="E162" s="178"/>
    </row>
    <row r="163">
      <c r="A163" s="178"/>
      <c r="B163" s="178"/>
      <c r="C163" s="178"/>
      <c r="D163" s="178"/>
      <c r="E163" s="178"/>
    </row>
    <row r="164">
      <c r="A164" s="178"/>
      <c r="B164" s="178"/>
      <c r="C164" s="178"/>
      <c r="D164" s="178"/>
      <c r="E164" s="178"/>
    </row>
    <row r="165">
      <c r="A165" s="178"/>
      <c r="B165" s="178"/>
      <c r="C165" s="178"/>
      <c r="D165" s="178"/>
      <c r="E165" s="178"/>
    </row>
    <row r="166">
      <c r="A166" s="178"/>
      <c r="B166" s="178"/>
      <c r="C166" s="178"/>
      <c r="D166" s="178"/>
      <c r="E166" s="178"/>
    </row>
    <row r="167">
      <c r="A167" s="178"/>
      <c r="B167" s="178"/>
      <c r="C167" s="178"/>
      <c r="D167" s="178"/>
      <c r="E167" s="178"/>
    </row>
    <row r="168">
      <c r="A168" s="178"/>
      <c r="B168" s="178"/>
      <c r="C168" s="178"/>
      <c r="D168" s="178"/>
      <c r="E168" s="178"/>
    </row>
    <row r="169">
      <c r="A169" s="178"/>
      <c r="B169" s="178"/>
      <c r="C169" s="178"/>
      <c r="D169" s="178"/>
      <c r="E169" s="178"/>
    </row>
    <row r="170">
      <c r="A170" s="178"/>
      <c r="B170" s="178"/>
      <c r="C170" s="178"/>
      <c r="D170" s="178"/>
      <c r="E170" s="178"/>
    </row>
    <row r="171">
      <c r="A171" s="178"/>
      <c r="B171" s="178"/>
      <c r="C171" s="178"/>
      <c r="D171" s="178"/>
      <c r="E171" s="178"/>
    </row>
    <row r="172">
      <c r="A172" s="178"/>
      <c r="B172" s="178"/>
      <c r="C172" s="178"/>
      <c r="D172" s="178"/>
      <c r="E172" s="178"/>
    </row>
    <row r="173">
      <c r="A173" s="178"/>
      <c r="B173" s="178"/>
      <c r="C173" s="178"/>
      <c r="D173" s="178"/>
      <c r="E173" s="178"/>
    </row>
    <row r="174">
      <c r="A174" s="178"/>
      <c r="B174" s="178"/>
      <c r="C174" s="178"/>
      <c r="D174" s="178"/>
      <c r="E174" s="178"/>
    </row>
    <row r="175">
      <c r="A175" s="178"/>
      <c r="B175" s="178"/>
      <c r="C175" s="178"/>
      <c r="D175" s="178"/>
      <c r="E175" s="178"/>
    </row>
    <row r="176">
      <c r="A176" s="178"/>
      <c r="B176" s="178"/>
      <c r="C176" s="178"/>
      <c r="D176" s="178"/>
      <c r="E176" s="178"/>
    </row>
    <row r="177">
      <c r="A177" s="178"/>
      <c r="B177" s="178"/>
      <c r="C177" s="178"/>
      <c r="D177" s="178"/>
      <c r="E177" s="178"/>
    </row>
    <row r="178">
      <c r="A178" s="178"/>
      <c r="B178" s="178"/>
      <c r="C178" s="178"/>
      <c r="D178" s="178"/>
      <c r="E178" s="178"/>
    </row>
    <row r="179">
      <c r="A179" s="178"/>
      <c r="B179" s="178"/>
      <c r="C179" s="178"/>
      <c r="D179" s="178"/>
      <c r="E179" s="178"/>
    </row>
    <row r="180">
      <c r="A180" s="178"/>
      <c r="B180" s="178"/>
      <c r="C180" s="178"/>
      <c r="D180" s="178"/>
      <c r="E180" s="178"/>
    </row>
    <row r="181">
      <c r="A181" s="178"/>
      <c r="B181" s="178"/>
      <c r="C181" s="178"/>
      <c r="D181" s="178"/>
      <c r="E181" s="178"/>
    </row>
    <row r="182">
      <c r="A182" s="178"/>
      <c r="B182" s="178"/>
      <c r="C182" s="178"/>
      <c r="D182" s="178"/>
      <c r="E182" s="178"/>
    </row>
    <row r="183">
      <c r="A183" s="178"/>
      <c r="B183" s="178"/>
      <c r="C183" s="178"/>
      <c r="D183" s="178"/>
      <c r="E183" s="178"/>
    </row>
    <row r="184">
      <c r="A184" s="178"/>
      <c r="B184" s="178"/>
      <c r="C184" s="178"/>
      <c r="D184" s="178"/>
      <c r="E184" s="178"/>
    </row>
    <row r="185">
      <c r="A185" s="178"/>
      <c r="B185" s="178"/>
      <c r="C185" s="178"/>
      <c r="D185" s="178"/>
      <c r="E185" s="178"/>
    </row>
    <row r="186">
      <c r="A186" s="178"/>
      <c r="B186" s="178"/>
      <c r="C186" s="178"/>
      <c r="D186" s="178"/>
      <c r="E186" s="178"/>
    </row>
    <row r="187">
      <c r="A187" s="178"/>
      <c r="B187" s="178"/>
      <c r="C187" s="178"/>
      <c r="D187" s="178"/>
      <c r="E187" s="178"/>
    </row>
    <row r="188">
      <c r="A188" s="178"/>
      <c r="B188" s="178"/>
      <c r="C188" s="178"/>
      <c r="D188" s="178"/>
      <c r="E188" s="178"/>
    </row>
    <row r="189">
      <c r="A189" s="178"/>
      <c r="B189" s="178"/>
      <c r="C189" s="178"/>
      <c r="D189" s="178"/>
      <c r="E189" s="178"/>
    </row>
    <row r="190">
      <c r="A190" s="178"/>
      <c r="B190" s="178"/>
      <c r="C190" s="178"/>
      <c r="D190" s="178"/>
      <c r="E190" s="178"/>
    </row>
    <row r="191">
      <c r="A191" s="178"/>
      <c r="B191" s="178"/>
      <c r="C191" s="178"/>
      <c r="D191" s="178"/>
      <c r="E191" s="178"/>
    </row>
    <row r="192">
      <c r="A192" s="178"/>
      <c r="B192" s="178"/>
      <c r="C192" s="178"/>
      <c r="D192" s="178"/>
      <c r="E192" s="178"/>
    </row>
    <row r="193">
      <c r="A193" s="178"/>
      <c r="B193" s="178"/>
      <c r="C193" s="178"/>
      <c r="D193" s="178"/>
      <c r="E193" s="178"/>
    </row>
    <row r="194">
      <c r="A194" s="178"/>
      <c r="B194" s="178"/>
      <c r="C194" s="178"/>
      <c r="D194" s="178"/>
      <c r="E194" s="178"/>
    </row>
    <row r="195">
      <c r="A195" s="178"/>
      <c r="B195" s="178"/>
      <c r="C195" s="178"/>
      <c r="D195" s="178"/>
      <c r="E195" s="178"/>
    </row>
    <row r="196">
      <c r="A196" s="178"/>
      <c r="B196" s="178"/>
      <c r="C196" s="178"/>
      <c r="D196" s="178"/>
      <c r="E196" s="178"/>
    </row>
    <row r="197">
      <c r="A197" s="178"/>
      <c r="B197" s="178"/>
      <c r="C197" s="178"/>
      <c r="D197" s="178"/>
      <c r="E197" s="178"/>
    </row>
    <row r="198">
      <c r="A198" s="178"/>
      <c r="B198" s="178"/>
      <c r="C198" s="178"/>
      <c r="D198" s="178"/>
      <c r="E198" s="178"/>
    </row>
    <row r="199">
      <c r="A199" s="178"/>
      <c r="B199" s="178"/>
      <c r="C199" s="178"/>
      <c r="D199" s="178"/>
      <c r="E199" s="178"/>
    </row>
    <row r="200">
      <c r="A200" s="178"/>
      <c r="B200" s="178"/>
      <c r="C200" s="178"/>
      <c r="D200" s="178"/>
      <c r="E200" s="178"/>
    </row>
    <row r="201">
      <c r="A201" s="178"/>
      <c r="B201" s="178"/>
      <c r="C201" s="178"/>
      <c r="D201" s="178"/>
      <c r="E201" s="178"/>
    </row>
    <row r="202">
      <c r="A202" s="178"/>
      <c r="B202" s="178"/>
      <c r="C202" s="178"/>
      <c r="D202" s="178"/>
      <c r="E202" s="178"/>
    </row>
    <row r="203">
      <c r="A203" s="178"/>
      <c r="B203" s="178"/>
      <c r="C203" s="178"/>
      <c r="D203" s="178"/>
      <c r="E203" s="178"/>
    </row>
    <row r="204">
      <c r="A204" s="178"/>
      <c r="B204" s="178"/>
      <c r="C204" s="178"/>
      <c r="D204" s="178"/>
      <c r="E204" s="178"/>
    </row>
    <row r="205">
      <c r="A205" s="178"/>
      <c r="B205" s="178"/>
      <c r="C205" s="178"/>
      <c r="D205" s="178"/>
      <c r="E205" s="178"/>
    </row>
    <row r="206">
      <c r="A206" s="178"/>
      <c r="B206" s="178"/>
      <c r="C206" s="178"/>
      <c r="D206" s="178"/>
      <c r="E206" s="178"/>
    </row>
    <row r="207">
      <c r="A207" s="178"/>
      <c r="B207" s="178"/>
      <c r="C207" s="178"/>
      <c r="D207" s="178"/>
      <c r="E207" s="178"/>
    </row>
    <row r="208">
      <c r="A208" s="178"/>
      <c r="B208" s="178"/>
      <c r="C208" s="178"/>
      <c r="D208" s="178"/>
      <c r="E208" s="178"/>
    </row>
    <row r="209">
      <c r="A209" s="178"/>
      <c r="B209" s="178"/>
      <c r="C209" s="178"/>
      <c r="D209" s="178"/>
      <c r="E209" s="178"/>
    </row>
    <row r="210">
      <c r="A210" s="178"/>
      <c r="B210" s="178"/>
      <c r="C210" s="178"/>
      <c r="D210" s="178"/>
      <c r="E210" s="178"/>
    </row>
    <row r="211">
      <c r="A211" s="178"/>
      <c r="B211" s="178"/>
      <c r="C211" s="178"/>
      <c r="D211" s="178"/>
      <c r="E211" s="178"/>
    </row>
    <row r="212">
      <c r="A212" s="178"/>
      <c r="B212" s="178"/>
      <c r="C212" s="178"/>
      <c r="D212" s="178"/>
      <c r="E212" s="178"/>
    </row>
    <row r="213">
      <c r="A213" s="178"/>
      <c r="B213" s="178"/>
      <c r="C213" s="178"/>
      <c r="D213" s="178"/>
      <c r="E213" s="178"/>
    </row>
    <row r="214">
      <c r="A214" s="178"/>
      <c r="B214" s="178"/>
      <c r="C214" s="178"/>
      <c r="D214" s="178"/>
      <c r="E214" s="178"/>
    </row>
    <row r="215">
      <c r="A215" s="178"/>
      <c r="B215" s="178"/>
      <c r="C215" s="178"/>
      <c r="D215" s="178"/>
      <c r="E215" s="178"/>
    </row>
    <row r="216">
      <c r="A216" s="178"/>
      <c r="B216" s="178"/>
      <c r="C216" s="178"/>
      <c r="D216" s="178"/>
      <c r="E216" s="178"/>
    </row>
    <row r="217">
      <c r="A217" s="178"/>
      <c r="B217" s="178"/>
      <c r="C217" s="178"/>
      <c r="D217" s="178"/>
      <c r="E217" s="178"/>
    </row>
    <row r="218">
      <c r="A218" s="178"/>
      <c r="B218" s="178"/>
      <c r="C218" s="178"/>
      <c r="D218" s="178"/>
      <c r="E218" s="178"/>
    </row>
    <row r="219">
      <c r="A219" s="178"/>
      <c r="B219" s="178"/>
      <c r="C219" s="178"/>
      <c r="D219" s="178"/>
      <c r="E219" s="178"/>
    </row>
    <row r="220">
      <c r="A220" s="178"/>
      <c r="B220" s="178"/>
      <c r="C220" s="178"/>
      <c r="D220" s="178"/>
      <c r="E220" s="178"/>
    </row>
    <row r="221">
      <c r="A221" s="178"/>
      <c r="B221" s="178"/>
      <c r="C221" s="178"/>
      <c r="D221" s="178"/>
      <c r="E221" s="178"/>
    </row>
    <row r="222">
      <c r="A222" s="178"/>
      <c r="B222" s="178"/>
      <c r="C222" s="178"/>
      <c r="D222" s="178"/>
      <c r="E222" s="178"/>
    </row>
    <row r="223">
      <c r="A223" s="178"/>
      <c r="B223" s="178"/>
      <c r="C223" s="178"/>
      <c r="D223" s="178"/>
      <c r="E223" s="178"/>
    </row>
    <row r="224">
      <c r="A224" s="178"/>
      <c r="B224" s="178"/>
      <c r="C224" s="178"/>
      <c r="D224" s="178"/>
      <c r="E224" s="178"/>
    </row>
    <row r="225">
      <c r="A225" s="178"/>
      <c r="B225" s="178"/>
      <c r="C225" s="178"/>
      <c r="D225" s="178"/>
      <c r="E225" s="178"/>
    </row>
    <row r="226">
      <c r="A226" s="178"/>
      <c r="B226" s="178"/>
      <c r="C226" s="178"/>
      <c r="D226" s="178"/>
      <c r="E226" s="178"/>
    </row>
    <row r="227">
      <c r="A227" s="178"/>
      <c r="B227" s="178"/>
      <c r="C227" s="178"/>
      <c r="D227" s="178"/>
      <c r="E227" s="178"/>
    </row>
    <row r="228">
      <c r="A228" s="178"/>
      <c r="B228" s="178"/>
      <c r="C228" s="178"/>
      <c r="D228" s="178"/>
      <c r="E228" s="178"/>
    </row>
    <row r="229">
      <c r="A229" s="178"/>
      <c r="B229" s="178"/>
      <c r="C229" s="178"/>
      <c r="D229" s="178"/>
      <c r="E229" s="178"/>
    </row>
    <row r="230">
      <c r="A230" s="178"/>
      <c r="B230" s="178"/>
      <c r="C230" s="178"/>
      <c r="D230" s="178"/>
      <c r="E230" s="178"/>
    </row>
    <row r="231">
      <c r="A231" s="178"/>
      <c r="B231" s="178"/>
      <c r="C231" s="178"/>
      <c r="D231" s="178"/>
      <c r="E231" s="178"/>
    </row>
    <row r="232">
      <c r="A232" s="178"/>
      <c r="B232" s="178"/>
      <c r="C232" s="178"/>
      <c r="D232" s="178"/>
      <c r="E232" s="178"/>
    </row>
    <row r="233">
      <c r="A233" s="178"/>
      <c r="B233" s="178"/>
      <c r="C233" s="178"/>
      <c r="D233" s="178"/>
      <c r="E233" s="178"/>
    </row>
    <row r="234">
      <c r="A234" s="178"/>
      <c r="B234" s="178"/>
      <c r="C234" s="178"/>
      <c r="D234" s="178"/>
      <c r="E234" s="178"/>
    </row>
    <row r="235">
      <c r="A235" s="178"/>
      <c r="B235" s="178"/>
      <c r="C235" s="178"/>
      <c r="D235" s="178"/>
      <c r="E235" s="178"/>
    </row>
    <row r="236">
      <c r="A236" s="178"/>
      <c r="B236" s="178"/>
      <c r="C236" s="178"/>
      <c r="D236" s="178"/>
      <c r="E236" s="178"/>
    </row>
    <row r="237">
      <c r="A237" s="178"/>
      <c r="B237" s="178"/>
      <c r="C237" s="178"/>
      <c r="D237" s="178"/>
      <c r="E237" s="178"/>
    </row>
    <row r="238">
      <c r="A238" s="178"/>
      <c r="B238" s="178"/>
      <c r="C238" s="178"/>
      <c r="D238" s="178"/>
      <c r="E238" s="178"/>
    </row>
    <row r="239">
      <c r="A239" s="178"/>
      <c r="B239" s="178"/>
      <c r="C239" s="178"/>
      <c r="D239" s="178"/>
      <c r="E239" s="178"/>
    </row>
    <row r="240">
      <c r="A240" s="178"/>
      <c r="B240" s="178"/>
      <c r="C240" s="178"/>
      <c r="D240" s="178"/>
      <c r="E240" s="178"/>
    </row>
    <row r="241">
      <c r="A241" s="178"/>
      <c r="B241" s="178"/>
      <c r="C241" s="178"/>
      <c r="D241" s="178"/>
      <c r="E241" s="178"/>
    </row>
    <row r="242">
      <c r="A242" s="178"/>
      <c r="B242" s="178"/>
      <c r="C242" s="178"/>
      <c r="D242" s="178"/>
      <c r="E242" s="178"/>
    </row>
    <row r="243">
      <c r="A243" s="178"/>
      <c r="B243" s="178"/>
      <c r="C243" s="178"/>
      <c r="D243" s="178"/>
      <c r="E243" s="178"/>
    </row>
    <row r="244">
      <c r="A244" s="178"/>
      <c r="B244" s="178"/>
      <c r="C244" s="178"/>
      <c r="D244" s="178"/>
      <c r="E244" s="178"/>
    </row>
    <row r="245">
      <c r="A245" s="178"/>
      <c r="B245" s="178"/>
      <c r="C245" s="178"/>
      <c r="D245" s="178"/>
      <c r="E245" s="178"/>
    </row>
    <row r="246">
      <c r="A246" s="178"/>
      <c r="B246" s="178"/>
      <c r="C246" s="178"/>
      <c r="D246" s="178"/>
      <c r="E246" s="178"/>
    </row>
    <row r="247">
      <c r="A247" s="178"/>
      <c r="B247" s="178"/>
      <c r="C247" s="178"/>
      <c r="D247" s="178"/>
      <c r="E247" s="178"/>
    </row>
    <row r="248">
      <c r="A248" s="178"/>
      <c r="B248" s="178"/>
      <c r="C248" s="178"/>
      <c r="D248" s="178"/>
      <c r="E248" s="178"/>
    </row>
    <row r="249">
      <c r="A249" s="178"/>
      <c r="B249" s="178"/>
      <c r="C249" s="178"/>
      <c r="D249" s="178"/>
      <c r="E249" s="178"/>
    </row>
    <row r="250">
      <c r="A250" s="178"/>
      <c r="B250" s="178"/>
      <c r="C250" s="178"/>
      <c r="D250" s="178"/>
      <c r="E250" s="178"/>
    </row>
    <row r="251">
      <c r="A251" s="178"/>
      <c r="B251" s="178"/>
      <c r="C251" s="178"/>
      <c r="D251" s="178"/>
      <c r="E251" s="178"/>
    </row>
    <row r="252">
      <c r="A252" s="178"/>
      <c r="B252" s="178"/>
      <c r="C252" s="178"/>
      <c r="D252" s="178"/>
      <c r="E252" s="178"/>
    </row>
    <row r="253">
      <c r="A253" s="178"/>
      <c r="B253" s="178"/>
      <c r="C253" s="178"/>
      <c r="D253" s="178"/>
      <c r="E253" s="178"/>
    </row>
    <row r="254">
      <c r="A254" s="178"/>
      <c r="B254" s="178"/>
      <c r="C254" s="178"/>
      <c r="D254" s="178"/>
      <c r="E254" s="178"/>
    </row>
    <row r="255">
      <c r="A255" s="178"/>
      <c r="B255" s="178"/>
      <c r="C255" s="178"/>
      <c r="D255" s="178"/>
      <c r="E255" s="178"/>
    </row>
    <row r="256">
      <c r="A256" s="178"/>
      <c r="B256" s="178"/>
      <c r="C256" s="178"/>
      <c r="D256" s="178"/>
      <c r="E256" s="178"/>
    </row>
    <row r="257">
      <c r="A257" s="178"/>
      <c r="B257" s="178"/>
      <c r="C257" s="178"/>
      <c r="D257" s="178"/>
      <c r="E257" s="178"/>
    </row>
    <row r="258">
      <c r="A258" s="178"/>
      <c r="B258" s="178"/>
      <c r="C258" s="178"/>
      <c r="D258" s="178"/>
      <c r="E258" s="178"/>
    </row>
    <row r="259">
      <c r="A259" s="178"/>
      <c r="B259" s="178"/>
      <c r="C259" s="178"/>
      <c r="D259" s="178"/>
      <c r="E259" s="178"/>
    </row>
    <row r="260">
      <c r="A260" s="178"/>
      <c r="B260" s="178"/>
      <c r="C260" s="178"/>
      <c r="D260" s="178"/>
      <c r="E260" s="178"/>
    </row>
    <row r="261">
      <c r="A261" s="178"/>
      <c r="B261" s="178"/>
      <c r="C261" s="178"/>
      <c r="D261" s="178"/>
      <c r="E261" s="178"/>
    </row>
    <row r="262">
      <c r="A262" s="178"/>
      <c r="B262" s="178"/>
      <c r="C262" s="178"/>
      <c r="D262" s="178"/>
      <c r="E262" s="178"/>
    </row>
    <row r="263">
      <c r="A263" s="178"/>
      <c r="B263" s="178"/>
      <c r="C263" s="178"/>
      <c r="D263" s="178"/>
      <c r="E263" s="178"/>
    </row>
    <row r="264">
      <c r="A264" s="178"/>
      <c r="B264" s="178"/>
      <c r="C264" s="178"/>
      <c r="D264" s="178"/>
      <c r="E264" s="178"/>
    </row>
    <row r="265">
      <c r="A265" s="178"/>
      <c r="B265" s="178"/>
      <c r="C265" s="178"/>
      <c r="D265" s="178"/>
      <c r="E265" s="178"/>
    </row>
    <row r="266">
      <c r="A266" s="178"/>
      <c r="B266" s="178"/>
      <c r="C266" s="178"/>
      <c r="D266" s="178"/>
      <c r="E266" s="178"/>
    </row>
    <row r="267">
      <c r="A267" s="178"/>
      <c r="B267" s="178"/>
      <c r="C267" s="178"/>
      <c r="D267" s="178"/>
      <c r="E267" s="178"/>
    </row>
    <row r="268">
      <c r="A268" s="178"/>
      <c r="B268" s="178"/>
      <c r="C268" s="178"/>
      <c r="D268" s="178"/>
      <c r="E268" s="178"/>
    </row>
    <row r="269">
      <c r="A269" s="178"/>
      <c r="B269" s="178"/>
      <c r="C269" s="178"/>
      <c r="D269" s="178"/>
      <c r="E269" s="178"/>
    </row>
    <row r="270">
      <c r="A270" s="178"/>
      <c r="B270" s="178"/>
      <c r="C270" s="178"/>
      <c r="D270" s="178"/>
      <c r="E270" s="178"/>
    </row>
    <row r="271">
      <c r="A271" s="178"/>
      <c r="B271" s="178"/>
      <c r="C271" s="178"/>
      <c r="D271" s="178"/>
      <c r="E271" s="178"/>
    </row>
    <row r="272">
      <c r="A272" s="178"/>
      <c r="B272" s="178"/>
      <c r="C272" s="178"/>
      <c r="D272" s="178"/>
      <c r="E272" s="178"/>
    </row>
    <row r="273">
      <c r="A273" s="178"/>
      <c r="B273" s="178"/>
      <c r="C273" s="178"/>
      <c r="D273" s="178"/>
      <c r="E273" s="178"/>
    </row>
    <row r="274">
      <c r="A274" s="178"/>
      <c r="B274" s="178"/>
      <c r="C274" s="178"/>
      <c r="D274" s="178"/>
      <c r="E274" s="178"/>
    </row>
    <row r="275">
      <c r="A275" s="178"/>
      <c r="B275" s="178"/>
      <c r="C275" s="178"/>
      <c r="D275" s="178"/>
      <c r="E275" s="178"/>
    </row>
    <row r="276">
      <c r="A276" s="178"/>
      <c r="B276" s="178"/>
      <c r="C276" s="178"/>
      <c r="D276" s="178"/>
      <c r="E276" s="178"/>
    </row>
    <row r="277">
      <c r="A277" s="178"/>
      <c r="B277" s="178"/>
      <c r="C277" s="178"/>
      <c r="D277" s="178"/>
      <c r="E277" s="178"/>
    </row>
    <row r="278">
      <c r="A278" s="178"/>
      <c r="B278" s="178"/>
      <c r="C278" s="178"/>
      <c r="D278" s="178"/>
      <c r="E278" s="178"/>
    </row>
    <row r="279">
      <c r="A279" s="178"/>
      <c r="B279" s="178"/>
      <c r="C279" s="178"/>
      <c r="D279" s="178"/>
      <c r="E279" s="178"/>
    </row>
    <row r="280">
      <c r="A280" s="178"/>
      <c r="B280" s="178"/>
      <c r="C280" s="178"/>
      <c r="D280" s="178"/>
      <c r="E280" s="178"/>
    </row>
    <row r="281">
      <c r="A281" s="178"/>
      <c r="B281" s="178"/>
      <c r="C281" s="178"/>
      <c r="D281" s="178"/>
      <c r="E281" s="178"/>
    </row>
    <row r="282">
      <c r="A282" s="178"/>
      <c r="B282" s="178"/>
      <c r="C282" s="178"/>
      <c r="D282" s="178"/>
      <c r="E282" s="178"/>
    </row>
    <row r="283">
      <c r="A283" s="178"/>
      <c r="B283" s="178"/>
      <c r="C283" s="178"/>
      <c r="D283" s="178"/>
      <c r="E283" s="178"/>
    </row>
    <row r="284">
      <c r="A284" s="178"/>
      <c r="B284" s="178"/>
      <c r="C284" s="178"/>
      <c r="D284" s="178"/>
      <c r="E284" s="178"/>
    </row>
    <row r="285">
      <c r="A285" s="178"/>
      <c r="B285" s="178"/>
      <c r="C285" s="178"/>
      <c r="D285" s="178"/>
      <c r="E285" s="178"/>
    </row>
    <row r="286">
      <c r="A286" s="178"/>
      <c r="B286" s="178"/>
      <c r="C286" s="178"/>
      <c r="D286" s="178"/>
      <c r="E286" s="178"/>
    </row>
    <row r="287">
      <c r="A287" s="178"/>
      <c r="B287" s="178"/>
      <c r="C287" s="178"/>
      <c r="D287" s="178"/>
      <c r="E287" s="178"/>
    </row>
    <row r="288">
      <c r="A288" s="178"/>
      <c r="B288" s="178"/>
      <c r="C288" s="178"/>
      <c r="D288" s="178"/>
      <c r="E288" s="178"/>
    </row>
    <row r="289">
      <c r="A289" s="178"/>
      <c r="B289" s="178"/>
      <c r="C289" s="178"/>
      <c r="D289" s="178"/>
      <c r="E289" s="178"/>
    </row>
    <row r="290">
      <c r="A290" s="178"/>
      <c r="B290" s="178"/>
      <c r="C290" s="178"/>
      <c r="D290" s="178"/>
      <c r="E290" s="178"/>
    </row>
    <row r="291">
      <c r="A291" s="178"/>
      <c r="B291" s="178"/>
      <c r="C291" s="178"/>
      <c r="D291" s="178"/>
      <c r="E291" s="178"/>
    </row>
    <row r="292">
      <c r="A292" s="178"/>
      <c r="B292" s="178"/>
      <c r="C292" s="178"/>
      <c r="D292" s="178"/>
      <c r="E292" s="178"/>
    </row>
    <row r="293">
      <c r="A293" s="178"/>
      <c r="B293" s="178"/>
      <c r="C293" s="178"/>
      <c r="D293" s="178"/>
      <c r="E293" s="178"/>
    </row>
    <row r="294">
      <c r="A294" s="178"/>
      <c r="B294" s="178"/>
      <c r="C294" s="178"/>
      <c r="D294" s="178"/>
      <c r="E294" s="178"/>
    </row>
    <row r="295">
      <c r="A295" s="178"/>
      <c r="B295" s="178"/>
      <c r="C295" s="178"/>
      <c r="D295" s="178"/>
      <c r="E295" s="178"/>
    </row>
    <row r="296">
      <c r="A296" s="178"/>
      <c r="B296" s="178"/>
      <c r="C296" s="178"/>
      <c r="D296" s="178"/>
      <c r="E296" s="178"/>
    </row>
    <row r="297">
      <c r="A297" s="178"/>
      <c r="B297" s="178"/>
      <c r="C297" s="178"/>
      <c r="D297" s="178"/>
      <c r="E297" s="178"/>
    </row>
    <row r="298">
      <c r="A298" s="178"/>
      <c r="B298" s="178"/>
      <c r="C298" s="178"/>
      <c r="D298" s="178"/>
      <c r="E298" s="178"/>
    </row>
    <row r="299">
      <c r="A299" s="178"/>
      <c r="B299" s="178"/>
      <c r="C299" s="178"/>
      <c r="D299" s="178"/>
      <c r="E299" s="178"/>
    </row>
    <row r="300">
      <c r="A300" s="178"/>
      <c r="B300" s="178"/>
      <c r="C300" s="178"/>
      <c r="D300" s="178"/>
      <c r="E300" s="178"/>
    </row>
    <row r="301">
      <c r="A301" s="178"/>
      <c r="B301" s="178"/>
      <c r="C301" s="178"/>
      <c r="D301" s="178"/>
      <c r="E301" s="178"/>
    </row>
    <row r="302">
      <c r="A302" s="178"/>
      <c r="B302" s="178"/>
      <c r="C302" s="178"/>
      <c r="D302" s="178"/>
      <c r="E302" s="178"/>
    </row>
    <row r="303">
      <c r="A303" s="178"/>
      <c r="B303" s="178"/>
      <c r="C303" s="178"/>
      <c r="D303" s="178"/>
      <c r="E303" s="178"/>
    </row>
    <row r="304">
      <c r="A304" s="178"/>
      <c r="B304" s="178"/>
      <c r="C304" s="178"/>
      <c r="D304" s="178"/>
      <c r="E304" s="178"/>
    </row>
    <row r="305">
      <c r="A305" s="178"/>
      <c r="B305" s="178"/>
      <c r="C305" s="178"/>
      <c r="D305" s="178"/>
      <c r="E305" s="178"/>
    </row>
    <row r="306">
      <c r="A306" s="178"/>
      <c r="B306" s="178"/>
      <c r="C306" s="178"/>
      <c r="D306" s="178"/>
      <c r="E306" s="178"/>
    </row>
    <row r="307">
      <c r="A307" s="178"/>
      <c r="B307" s="178"/>
      <c r="C307" s="178"/>
      <c r="D307" s="178"/>
      <c r="E307" s="178"/>
    </row>
    <row r="308">
      <c r="A308" s="178"/>
      <c r="B308" s="178"/>
      <c r="C308" s="178"/>
      <c r="D308" s="178"/>
      <c r="E308" s="178"/>
    </row>
    <row r="309">
      <c r="A309" s="178"/>
      <c r="B309" s="178"/>
      <c r="C309" s="178"/>
      <c r="D309" s="178"/>
      <c r="E309" s="178"/>
    </row>
    <row r="310">
      <c r="A310" s="178"/>
      <c r="B310" s="178"/>
      <c r="C310" s="178"/>
      <c r="D310" s="178"/>
      <c r="E310" s="178"/>
    </row>
    <row r="311">
      <c r="A311" s="178"/>
      <c r="B311" s="178"/>
      <c r="C311" s="178"/>
      <c r="D311" s="178"/>
      <c r="E311" s="178"/>
    </row>
    <row r="312">
      <c r="A312" s="178"/>
      <c r="B312" s="178"/>
      <c r="C312" s="178"/>
      <c r="D312" s="178"/>
      <c r="E312" s="178"/>
    </row>
    <row r="313">
      <c r="A313" s="178"/>
      <c r="B313" s="178"/>
      <c r="C313" s="178"/>
      <c r="D313" s="178"/>
      <c r="E313" s="178"/>
    </row>
    <row r="314">
      <c r="A314" s="178"/>
      <c r="B314" s="178"/>
      <c r="C314" s="178"/>
      <c r="D314" s="178"/>
      <c r="E314" s="178"/>
    </row>
    <row r="315">
      <c r="A315" s="178"/>
      <c r="B315" s="178"/>
      <c r="C315" s="178"/>
      <c r="D315" s="178"/>
      <c r="E315" s="178"/>
    </row>
    <row r="316">
      <c r="A316" s="178"/>
      <c r="B316" s="178"/>
      <c r="C316" s="178"/>
      <c r="D316" s="178"/>
      <c r="E316" s="178"/>
    </row>
    <row r="317">
      <c r="A317" s="178"/>
      <c r="B317" s="178"/>
      <c r="C317" s="178"/>
      <c r="D317" s="178"/>
      <c r="E317" s="178"/>
    </row>
    <row r="318">
      <c r="A318" s="178"/>
      <c r="B318" s="178"/>
      <c r="C318" s="178"/>
      <c r="D318" s="178"/>
      <c r="E318" s="178"/>
    </row>
    <row r="319">
      <c r="A319" s="178"/>
      <c r="B319" s="178"/>
      <c r="C319" s="178"/>
      <c r="D319" s="178"/>
      <c r="E319" s="178"/>
    </row>
    <row r="320">
      <c r="A320" s="178"/>
      <c r="B320" s="178"/>
      <c r="C320" s="178"/>
      <c r="D320" s="178"/>
      <c r="E320" s="178"/>
    </row>
    <row r="321">
      <c r="A321" s="178"/>
      <c r="B321" s="178"/>
      <c r="C321" s="178"/>
      <c r="D321" s="178"/>
      <c r="E321" s="178"/>
    </row>
    <row r="322">
      <c r="A322" s="178"/>
      <c r="B322" s="178"/>
      <c r="C322" s="178"/>
      <c r="D322" s="178"/>
      <c r="E322" s="178"/>
    </row>
    <row r="323">
      <c r="A323" s="178"/>
      <c r="B323" s="178"/>
      <c r="C323" s="178"/>
      <c r="D323" s="178"/>
      <c r="E323" s="178"/>
    </row>
    <row r="324">
      <c r="A324" s="178"/>
      <c r="B324" s="178"/>
      <c r="C324" s="178"/>
      <c r="D324" s="178"/>
      <c r="E324" s="178"/>
    </row>
    <row r="325">
      <c r="A325" s="178"/>
      <c r="B325" s="178"/>
      <c r="C325" s="178"/>
      <c r="D325" s="178"/>
      <c r="E325" s="178"/>
    </row>
    <row r="326">
      <c r="A326" s="178"/>
      <c r="B326" s="178"/>
      <c r="C326" s="178"/>
      <c r="D326" s="178"/>
      <c r="E326" s="178"/>
    </row>
    <row r="327">
      <c r="A327" s="178"/>
      <c r="B327" s="178"/>
      <c r="C327" s="178"/>
      <c r="D327" s="178"/>
      <c r="E327" s="178"/>
    </row>
    <row r="328">
      <c r="A328" s="178"/>
      <c r="B328" s="178"/>
      <c r="C328" s="178"/>
      <c r="D328" s="178"/>
      <c r="E328" s="178"/>
    </row>
    <row r="329">
      <c r="A329" s="178"/>
      <c r="B329" s="178"/>
      <c r="C329" s="178"/>
      <c r="D329" s="178"/>
      <c r="E329" s="178"/>
    </row>
    <row r="330">
      <c r="A330" s="178"/>
      <c r="B330" s="178"/>
      <c r="C330" s="178"/>
      <c r="D330" s="178"/>
      <c r="E330" s="178"/>
    </row>
    <row r="331">
      <c r="A331" s="178"/>
      <c r="B331" s="178"/>
      <c r="C331" s="178"/>
      <c r="D331" s="178"/>
      <c r="E331" s="178"/>
    </row>
    <row r="332">
      <c r="A332" s="178"/>
      <c r="B332" s="178"/>
      <c r="C332" s="178"/>
      <c r="D332" s="178"/>
      <c r="E332" s="178"/>
    </row>
    <row r="333">
      <c r="A333" s="178"/>
      <c r="B333" s="178"/>
      <c r="C333" s="178"/>
      <c r="D333" s="178"/>
      <c r="E333" s="178"/>
    </row>
    <row r="334">
      <c r="A334" s="178"/>
      <c r="B334" s="178"/>
      <c r="C334" s="178"/>
      <c r="D334" s="178"/>
      <c r="E334" s="178"/>
    </row>
    <row r="335">
      <c r="A335" s="178"/>
      <c r="B335" s="178"/>
      <c r="C335" s="178"/>
      <c r="D335" s="178"/>
      <c r="E335" s="178"/>
    </row>
    <row r="336">
      <c r="A336" s="178"/>
      <c r="B336" s="178"/>
      <c r="C336" s="178"/>
      <c r="D336" s="178"/>
      <c r="E336" s="178"/>
    </row>
    <row r="337">
      <c r="A337" s="178"/>
      <c r="B337" s="178"/>
      <c r="C337" s="178"/>
      <c r="D337" s="178"/>
      <c r="E337" s="178"/>
    </row>
    <row r="338">
      <c r="A338" s="178"/>
      <c r="B338" s="178"/>
      <c r="C338" s="178"/>
      <c r="D338" s="178"/>
      <c r="E338" s="178"/>
    </row>
    <row r="339">
      <c r="A339" s="178"/>
      <c r="B339" s="178"/>
      <c r="C339" s="178"/>
      <c r="D339" s="178"/>
      <c r="E339" s="178"/>
    </row>
    <row r="340">
      <c r="A340" s="178"/>
      <c r="B340" s="178"/>
      <c r="C340" s="178"/>
      <c r="D340" s="178"/>
      <c r="E340" s="178"/>
    </row>
    <row r="341">
      <c r="A341" s="178"/>
      <c r="B341" s="178"/>
      <c r="C341" s="178"/>
      <c r="D341" s="178"/>
      <c r="E341" s="178"/>
    </row>
    <row r="342">
      <c r="A342" s="178"/>
      <c r="B342" s="178"/>
      <c r="C342" s="178"/>
      <c r="D342" s="178"/>
      <c r="E342" s="178"/>
    </row>
    <row r="343">
      <c r="A343" s="178"/>
      <c r="B343" s="178"/>
      <c r="C343" s="178"/>
      <c r="D343" s="178"/>
      <c r="E343" s="178"/>
    </row>
    <row r="344">
      <c r="A344" s="178"/>
      <c r="B344" s="178"/>
      <c r="C344" s="178"/>
      <c r="D344" s="178"/>
      <c r="E344" s="178"/>
    </row>
    <row r="345">
      <c r="A345" s="178"/>
      <c r="B345" s="178"/>
      <c r="C345" s="178"/>
      <c r="D345" s="178"/>
      <c r="E345" s="178"/>
    </row>
    <row r="346">
      <c r="A346" s="178"/>
      <c r="B346" s="178"/>
      <c r="C346" s="178"/>
      <c r="D346" s="178"/>
      <c r="E346" s="178"/>
    </row>
    <row r="347">
      <c r="A347" s="178"/>
      <c r="B347" s="178"/>
      <c r="C347" s="178"/>
      <c r="D347" s="178"/>
      <c r="E347" s="178"/>
    </row>
    <row r="348">
      <c r="A348" s="178"/>
      <c r="B348" s="178"/>
      <c r="C348" s="178"/>
      <c r="D348" s="178"/>
      <c r="E348" s="178"/>
    </row>
    <row r="349">
      <c r="A349" s="178"/>
      <c r="B349" s="178"/>
      <c r="C349" s="178"/>
      <c r="D349" s="178"/>
      <c r="E349" s="178"/>
    </row>
    <row r="350">
      <c r="A350" s="178"/>
      <c r="B350" s="178"/>
      <c r="C350" s="178"/>
      <c r="D350" s="178"/>
      <c r="E350" s="178"/>
    </row>
    <row r="351">
      <c r="A351" s="178"/>
      <c r="B351" s="178"/>
      <c r="C351" s="178"/>
      <c r="D351" s="178"/>
      <c r="E351" s="178"/>
    </row>
    <row r="352">
      <c r="A352" s="178"/>
      <c r="B352" s="178"/>
      <c r="C352" s="178"/>
      <c r="D352" s="178"/>
      <c r="E352" s="178"/>
    </row>
    <row r="353">
      <c r="A353" s="178"/>
      <c r="B353" s="178"/>
      <c r="C353" s="178"/>
      <c r="D353" s="178"/>
      <c r="E353" s="178"/>
    </row>
    <row r="354">
      <c r="A354" s="178"/>
      <c r="B354" s="178"/>
      <c r="C354" s="178"/>
      <c r="D354" s="178"/>
      <c r="E354" s="178"/>
    </row>
    <row r="355">
      <c r="A355" s="178"/>
      <c r="B355" s="178"/>
      <c r="C355" s="178"/>
      <c r="D355" s="178"/>
      <c r="E355" s="178"/>
    </row>
    <row r="356">
      <c r="A356" s="178"/>
      <c r="B356" s="178"/>
      <c r="C356" s="178"/>
      <c r="D356" s="178"/>
      <c r="E356" s="178"/>
    </row>
    <row r="357">
      <c r="A357" s="178"/>
      <c r="B357" s="178"/>
      <c r="C357" s="178"/>
      <c r="D357" s="178"/>
      <c r="E357" s="178"/>
    </row>
    <row r="358">
      <c r="A358" s="178"/>
      <c r="B358" s="178"/>
      <c r="C358" s="178"/>
      <c r="D358" s="178"/>
      <c r="E358" s="178"/>
    </row>
    <row r="359">
      <c r="A359" s="178"/>
      <c r="B359" s="178"/>
      <c r="C359" s="178"/>
      <c r="D359" s="178"/>
      <c r="E359" s="178"/>
    </row>
    <row r="360">
      <c r="A360" s="178"/>
      <c r="B360" s="178"/>
      <c r="C360" s="178"/>
      <c r="D360" s="178"/>
      <c r="E360" s="178"/>
    </row>
    <row r="361">
      <c r="A361" s="178"/>
      <c r="B361" s="178"/>
      <c r="C361" s="178"/>
      <c r="D361" s="178"/>
      <c r="E361" s="178"/>
    </row>
    <row r="362">
      <c r="A362" s="178"/>
      <c r="B362" s="178"/>
      <c r="C362" s="178"/>
      <c r="D362" s="178"/>
      <c r="E362" s="178"/>
    </row>
    <row r="363">
      <c r="A363" s="178"/>
      <c r="B363" s="178"/>
      <c r="C363" s="178"/>
      <c r="D363" s="178"/>
      <c r="E363" s="178"/>
    </row>
    <row r="364">
      <c r="A364" s="178"/>
      <c r="B364" s="178"/>
      <c r="C364" s="178"/>
      <c r="D364" s="178"/>
      <c r="E364" s="178"/>
    </row>
    <row r="365">
      <c r="A365" s="178"/>
      <c r="B365" s="178"/>
      <c r="C365" s="178"/>
      <c r="D365" s="178"/>
      <c r="E365" s="178"/>
    </row>
    <row r="366">
      <c r="A366" s="178"/>
      <c r="B366" s="178"/>
      <c r="C366" s="178"/>
      <c r="D366" s="178"/>
      <c r="E366" s="178"/>
    </row>
    <row r="367">
      <c r="A367" s="178"/>
      <c r="B367" s="178"/>
      <c r="C367" s="178"/>
      <c r="D367" s="178"/>
      <c r="E367" s="178"/>
    </row>
    <row r="368">
      <c r="A368" s="178"/>
      <c r="B368" s="178"/>
      <c r="C368" s="178"/>
      <c r="D368" s="178"/>
      <c r="E368" s="178"/>
    </row>
    <row r="369">
      <c r="A369" s="178"/>
      <c r="B369" s="178"/>
      <c r="C369" s="178"/>
      <c r="D369" s="178"/>
      <c r="E369" s="178"/>
    </row>
    <row r="370">
      <c r="A370" s="178"/>
      <c r="B370" s="178"/>
      <c r="C370" s="178"/>
      <c r="D370" s="178"/>
      <c r="E370" s="178"/>
    </row>
    <row r="371">
      <c r="A371" s="178"/>
      <c r="B371" s="178"/>
      <c r="C371" s="178"/>
      <c r="D371" s="178"/>
      <c r="E371" s="178"/>
    </row>
    <row r="372">
      <c r="A372" s="178"/>
      <c r="B372" s="178"/>
      <c r="C372" s="178"/>
      <c r="D372" s="178"/>
      <c r="E372" s="178"/>
    </row>
    <row r="373">
      <c r="A373" s="178"/>
      <c r="B373" s="178"/>
      <c r="C373" s="178"/>
      <c r="D373" s="178"/>
      <c r="E373" s="178"/>
    </row>
    <row r="374">
      <c r="A374" s="178"/>
      <c r="B374" s="178"/>
      <c r="C374" s="178"/>
      <c r="D374" s="178"/>
      <c r="E374" s="178"/>
    </row>
    <row r="375">
      <c r="A375" s="178"/>
      <c r="B375" s="178"/>
      <c r="C375" s="178"/>
      <c r="D375" s="178"/>
      <c r="E375" s="178"/>
    </row>
    <row r="376">
      <c r="A376" s="178"/>
      <c r="B376" s="178"/>
      <c r="C376" s="178"/>
      <c r="D376" s="178"/>
      <c r="E376" s="178"/>
    </row>
    <row r="377">
      <c r="A377" s="178"/>
      <c r="B377" s="178"/>
      <c r="C377" s="178"/>
      <c r="D377" s="178"/>
      <c r="E377" s="178"/>
    </row>
    <row r="378">
      <c r="A378" s="178"/>
      <c r="B378" s="178"/>
      <c r="C378" s="178"/>
      <c r="D378" s="178"/>
      <c r="E378" s="178"/>
    </row>
    <row r="379">
      <c r="A379" s="178"/>
      <c r="B379" s="178"/>
      <c r="C379" s="178"/>
      <c r="D379" s="178"/>
      <c r="E379" s="178"/>
    </row>
    <row r="380">
      <c r="A380" s="178"/>
      <c r="B380" s="178"/>
      <c r="C380" s="178"/>
      <c r="D380" s="178"/>
      <c r="E380" s="178"/>
    </row>
    <row r="381">
      <c r="A381" s="178"/>
      <c r="B381" s="178"/>
      <c r="C381" s="178"/>
      <c r="D381" s="178"/>
      <c r="E381" s="178"/>
    </row>
    <row r="382">
      <c r="A382" s="178"/>
      <c r="B382" s="178"/>
      <c r="C382" s="178"/>
      <c r="D382" s="178"/>
      <c r="E382" s="178"/>
    </row>
    <row r="383">
      <c r="A383" s="178"/>
      <c r="B383" s="178"/>
      <c r="C383" s="178"/>
      <c r="D383" s="178"/>
      <c r="E383" s="178"/>
    </row>
    <row r="384">
      <c r="A384" s="178"/>
      <c r="B384" s="178"/>
      <c r="C384" s="178"/>
      <c r="D384" s="178"/>
      <c r="E384" s="178"/>
    </row>
    <row r="385">
      <c r="A385" s="178"/>
      <c r="B385" s="178"/>
      <c r="C385" s="178"/>
      <c r="D385" s="178"/>
      <c r="E385" s="178"/>
    </row>
    <row r="386">
      <c r="A386" s="178"/>
      <c r="B386" s="178"/>
      <c r="C386" s="178"/>
      <c r="D386" s="178"/>
      <c r="E386" s="178"/>
    </row>
    <row r="387">
      <c r="A387" s="178"/>
      <c r="B387" s="178"/>
      <c r="C387" s="178"/>
      <c r="D387" s="178"/>
      <c r="E387" s="178"/>
    </row>
    <row r="388">
      <c r="A388" s="178"/>
      <c r="B388" s="178"/>
      <c r="C388" s="178"/>
      <c r="D388" s="178"/>
      <c r="E388" s="178"/>
    </row>
    <row r="389">
      <c r="A389" s="178"/>
      <c r="B389" s="178"/>
      <c r="C389" s="178"/>
      <c r="D389" s="178"/>
      <c r="E389" s="178"/>
    </row>
    <row r="390">
      <c r="A390" s="178"/>
      <c r="B390" s="178"/>
      <c r="C390" s="178"/>
      <c r="D390" s="178"/>
      <c r="E390" s="178"/>
    </row>
    <row r="391">
      <c r="A391" s="178"/>
      <c r="B391" s="178"/>
      <c r="C391" s="178"/>
      <c r="D391" s="178"/>
      <c r="E391" s="178"/>
    </row>
    <row r="392">
      <c r="A392" s="178"/>
      <c r="B392" s="178"/>
      <c r="C392" s="178"/>
      <c r="D392" s="178"/>
      <c r="E392" s="178"/>
    </row>
    <row r="393">
      <c r="A393" s="178"/>
      <c r="B393" s="178"/>
      <c r="C393" s="178"/>
      <c r="D393" s="178"/>
      <c r="E393" s="178"/>
    </row>
    <row r="394">
      <c r="A394" s="178"/>
      <c r="B394" s="178"/>
      <c r="C394" s="178"/>
      <c r="D394" s="178"/>
      <c r="E394" s="178"/>
    </row>
    <row r="395">
      <c r="A395" s="178"/>
      <c r="B395" s="178"/>
      <c r="C395" s="178"/>
      <c r="D395" s="178"/>
      <c r="E395" s="178"/>
    </row>
    <row r="396">
      <c r="A396" s="178"/>
      <c r="B396" s="178"/>
      <c r="C396" s="178"/>
      <c r="D396" s="178"/>
      <c r="E396" s="178"/>
    </row>
    <row r="397">
      <c r="A397" s="178"/>
      <c r="B397" s="178"/>
      <c r="C397" s="178"/>
      <c r="D397" s="178"/>
      <c r="E397" s="178"/>
    </row>
    <row r="398">
      <c r="A398" s="178"/>
      <c r="B398" s="178"/>
      <c r="C398" s="178"/>
      <c r="D398" s="178"/>
      <c r="E398" s="178"/>
    </row>
    <row r="399">
      <c r="A399" s="178"/>
      <c r="B399" s="178"/>
      <c r="C399" s="178"/>
      <c r="D399" s="178"/>
      <c r="E399" s="178"/>
    </row>
    <row r="400">
      <c r="A400" s="178"/>
      <c r="B400" s="178"/>
      <c r="C400" s="178"/>
      <c r="D400" s="178"/>
      <c r="E400" s="178"/>
    </row>
    <row r="401">
      <c r="A401" s="178"/>
      <c r="B401" s="178"/>
      <c r="C401" s="178"/>
      <c r="D401" s="178"/>
      <c r="E401" s="178"/>
    </row>
    <row r="402">
      <c r="A402" s="178"/>
      <c r="B402" s="178"/>
      <c r="C402" s="178"/>
      <c r="D402" s="178"/>
      <c r="E402" s="178"/>
    </row>
    <row r="403">
      <c r="A403" s="178"/>
      <c r="B403" s="178"/>
      <c r="C403" s="178"/>
      <c r="D403" s="178"/>
      <c r="E403" s="178"/>
    </row>
    <row r="404">
      <c r="A404" s="178"/>
      <c r="B404" s="178"/>
      <c r="C404" s="178"/>
      <c r="D404" s="178"/>
      <c r="E404" s="178"/>
    </row>
    <row r="405">
      <c r="A405" s="178"/>
      <c r="B405" s="178"/>
      <c r="C405" s="178"/>
      <c r="D405" s="178"/>
      <c r="E405" s="178"/>
    </row>
    <row r="406">
      <c r="A406" s="178"/>
      <c r="B406" s="178"/>
      <c r="C406" s="178"/>
      <c r="D406" s="178"/>
      <c r="E406" s="178"/>
    </row>
    <row r="407">
      <c r="A407" s="178"/>
      <c r="B407" s="178"/>
      <c r="C407" s="178"/>
      <c r="D407" s="178"/>
      <c r="E407" s="178"/>
    </row>
    <row r="408">
      <c r="A408" s="178"/>
      <c r="B408" s="178"/>
      <c r="C408" s="178"/>
      <c r="D408" s="178"/>
      <c r="E408" s="178"/>
    </row>
    <row r="409">
      <c r="A409" s="178"/>
      <c r="B409" s="178"/>
      <c r="C409" s="178"/>
      <c r="D409" s="178"/>
      <c r="E409" s="178"/>
    </row>
    <row r="410">
      <c r="A410" s="178"/>
      <c r="B410" s="178"/>
      <c r="C410" s="178"/>
      <c r="D410" s="178"/>
      <c r="E410" s="178"/>
    </row>
    <row r="411">
      <c r="A411" s="178"/>
      <c r="B411" s="178"/>
      <c r="C411" s="178"/>
      <c r="D411" s="178"/>
      <c r="E411" s="178"/>
    </row>
    <row r="412">
      <c r="A412" s="178"/>
      <c r="B412" s="178"/>
      <c r="C412" s="178"/>
      <c r="D412" s="178"/>
      <c r="E412" s="178"/>
    </row>
    <row r="413">
      <c r="A413" s="178"/>
      <c r="B413" s="178"/>
      <c r="C413" s="178"/>
      <c r="D413" s="178"/>
      <c r="E413" s="178"/>
    </row>
    <row r="414">
      <c r="A414" s="178"/>
      <c r="B414" s="178"/>
      <c r="C414" s="178"/>
      <c r="D414" s="178"/>
      <c r="E414" s="178"/>
    </row>
    <row r="415">
      <c r="A415" s="178"/>
      <c r="B415" s="178"/>
      <c r="C415" s="178"/>
      <c r="D415" s="178"/>
      <c r="E415" s="178"/>
    </row>
    <row r="416">
      <c r="A416" s="178"/>
      <c r="B416" s="178"/>
      <c r="C416" s="178"/>
      <c r="D416" s="178"/>
      <c r="E416" s="178"/>
    </row>
    <row r="417">
      <c r="A417" s="178"/>
      <c r="B417" s="178"/>
      <c r="C417" s="178"/>
      <c r="D417" s="178"/>
      <c r="E417" s="178"/>
    </row>
    <row r="418">
      <c r="A418" s="178"/>
      <c r="B418" s="178"/>
      <c r="C418" s="178"/>
      <c r="D418" s="178"/>
      <c r="E418" s="178"/>
    </row>
    <row r="419">
      <c r="A419" s="178"/>
      <c r="B419" s="178"/>
      <c r="C419" s="178"/>
      <c r="D419" s="178"/>
      <c r="E419" s="178"/>
    </row>
    <row r="420">
      <c r="A420" s="178"/>
      <c r="B420" s="178"/>
      <c r="C420" s="178"/>
      <c r="D420" s="178"/>
      <c r="E420" s="178"/>
    </row>
    <row r="421">
      <c r="A421" s="178"/>
      <c r="B421" s="178"/>
      <c r="C421" s="178"/>
      <c r="D421" s="178"/>
      <c r="E421" s="178"/>
    </row>
    <row r="422">
      <c r="A422" s="178"/>
      <c r="B422" s="178"/>
      <c r="C422" s="178"/>
      <c r="D422" s="178"/>
      <c r="E422" s="178"/>
    </row>
    <row r="423">
      <c r="A423" s="178"/>
      <c r="B423" s="178"/>
      <c r="C423" s="178"/>
      <c r="D423" s="178"/>
      <c r="E423" s="178"/>
    </row>
    <row r="424">
      <c r="A424" s="178"/>
      <c r="B424" s="178"/>
      <c r="C424" s="178"/>
      <c r="D424" s="178"/>
      <c r="E424" s="178"/>
    </row>
    <row r="425">
      <c r="A425" s="178"/>
      <c r="B425" s="178"/>
      <c r="C425" s="178"/>
      <c r="D425" s="178"/>
      <c r="E425" s="178"/>
    </row>
    <row r="426">
      <c r="A426" s="178"/>
      <c r="B426" s="178"/>
      <c r="C426" s="178"/>
      <c r="D426" s="178"/>
      <c r="E426" s="178"/>
    </row>
    <row r="427">
      <c r="A427" s="178"/>
      <c r="B427" s="178"/>
      <c r="C427" s="178"/>
      <c r="D427" s="178"/>
      <c r="E427" s="178"/>
    </row>
    <row r="428">
      <c r="A428" s="178"/>
      <c r="B428" s="178"/>
      <c r="C428" s="178"/>
      <c r="D428" s="178"/>
      <c r="E428" s="178"/>
    </row>
    <row r="429">
      <c r="A429" s="178"/>
      <c r="B429" s="178"/>
      <c r="C429" s="178"/>
      <c r="D429" s="178"/>
      <c r="E429" s="178"/>
    </row>
    <row r="430">
      <c r="A430" s="178"/>
      <c r="B430" s="178"/>
      <c r="C430" s="178"/>
      <c r="D430" s="178"/>
      <c r="E430" s="178"/>
    </row>
    <row r="431">
      <c r="A431" s="178"/>
      <c r="B431" s="178"/>
      <c r="C431" s="178"/>
      <c r="D431" s="178"/>
      <c r="E431" s="178"/>
    </row>
    <row r="432">
      <c r="A432" s="178"/>
      <c r="B432" s="178"/>
      <c r="C432" s="178"/>
      <c r="D432" s="178"/>
      <c r="E432" s="178"/>
    </row>
    <row r="433">
      <c r="A433" s="178"/>
      <c r="B433" s="178"/>
      <c r="C433" s="178"/>
      <c r="D433" s="178"/>
      <c r="E433" s="178"/>
    </row>
    <row r="434">
      <c r="A434" s="178"/>
      <c r="B434" s="178"/>
      <c r="C434" s="178"/>
      <c r="D434" s="178"/>
      <c r="E434" s="178"/>
    </row>
    <row r="435">
      <c r="A435" s="178"/>
      <c r="B435" s="178"/>
      <c r="C435" s="178"/>
      <c r="D435" s="178"/>
      <c r="E435" s="178"/>
    </row>
    <row r="436">
      <c r="A436" s="178"/>
      <c r="B436" s="178"/>
      <c r="C436" s="178"/>
      <c r="D436" s="178"/>
      <c r="E436" s="178"/>
    </row>
    <row r="437">
      <c r="A437" s="178"/>
      <c r="B437" s="178"/>
      <c r="C437" s="178"/>
      <c r="D437" s="178"/>
      <c r="E437" s="178"/>
    </row>
    <row r="438">
      <c r="A438" s="178"/>
      <c r="B438" s="178"/>
      <c r="C438" s="178"/>
      <c r="D438" s="178"/>
      <c r="E438" s="178"/>
    </row>
    <row r="439">
      <c r="A439" s="178"/>
      <c r="B439" s="178"/>
      <c r="C439" s="178"/>
      <c r="D439" s="178"/>
      <c r="E439" s="178"/>
    </row>
    <row r="440">
      <c r="A440" s="178"/>
      <c r="B440" s="178"/>
      <c r="C440" s="178"/>
      <c r="D440" s="178"/>
      <c r="E440" s="178"/>
    </row>
    <row r="441">
      <c r="A441" s="178"/>
      <c r="B441" s="178"/>
      <c r="C441" s="178"/>
      <c r="D441" s="178"/>
      <c r="E441" s="178"/>
    </row>
    <row r="442">
      <c r="A442" s="178"/>
      <c r="B442" s="178"/>
      <c r="C442" s="178"/>
      <c r="D442" s="178"/>
      <c r="E442" s="178"/>
    </row>
    <row r="443">
      <c r="A443" s="178"/>
      <c r="B443" s="178"/>
      <c r="C443" s="178"/>
      <c r="D443" s="178"/>
      <c r="E443" s="178"/>
    </row>
    <row r="444">
      <c r="A444" s="178"/>
      <c r="B444" s="178"/>
      <c r="C444" s="178"/>
      <c r="D444" s="178"/>
      <c r="E444" s="178"/>
    </row>
    <row r="445">
      <c r="A445" s="178"/>
      <c r="B445" s="178"/>
      <c r="C445" s="178"/>
      <c r="D445" s="178"/>
      <c r="E445" s="178"/>
    </row>
    <row r="446">
      <c r="A446" s="178"/>
      <c r="B446" s="178"/>
      <c r="C446" s="178"/>
      <c r="D446" s="178"/>
      <c r="E446" s="178"/>
    </row>
    <row r="447">
      <c r="A447" s="178"/>
      <c r="B447" s="178"/>
      <c r="C447" s="178"/>
      <c r="D447" s="178"/>
      <c r="E447" s="178"/>
    </row>
    <row r="448">
      <c r="A448" s="178"/>
      <c r="B448" s="178"/>
      <c r="C448" s="178"/>
      <c r="D448" s="178"/>
      <c r="E448" s="178"/>
    </row>
    <row r="449">
      <c r="A449" s="178"/>
      <c r="B449" s="178"/>
      <c r="C449" s="178"/>
      <c r="D449" s="178"/>
      <c r="E449" s="178"/>
    </row>
    <row r="450">
      <c r="A450" s="178"/>
      <c r="B450" s="178"/>
      <c r="C450" s="178"/>
      <c r="D450" s="178"/>
      <c r="E450" s="178"/>
    </row>
    <row r="451">
      <c r="A451" s="178"/>
      <c r="B451" s="178"/>
      <c r="C451" s="178"/>
      <c r="D451" s="178"/>
      <c r="E451" s="178"/>
    </row>
    <row r="452">
      <c r="A452" s="178"/>
      <c r="B452" s="178"/>
      <c r="C452" s="178"/>
      <c r="D452" s="178"/>
      <c r="E452" s="178"/>
    </row>
    <row r="453">
      <c r="A453" s="178"/>
      <c r="B453" s="178"/>
      <c r="C453" s="178"/>
      <c r="D453" s="178"/>
      <c r="E453" s="178"/>
    </row>
    <row r="454">
      <c r="A454" s="178"/>
      <c r="B454" s="178"/>
      <c r="C454" s="178"/>
      <c r="D454" s="178"/>
      <c r="E454" s="178"/>
    </row>
    <row r="455">
      <c r="A455" s="178"/>
      <c r="B455" s="178"/>
      <c r="C455" s="178"/>
      <c r="D455" s="178"/>
      <c r="E455" s="178"/>
    </row>
    <row r="456">
      <c r="A456" s="178"/>
      <c r="B456" s="178"/>
      <c r="C456" s="178"/>
      <c r="D456" s="178"/>
      <c r="E456" s="178"/>
    </row>
    <row r="457">
      <c r="A457" s="178"/>
      <c r="B457" s="178"/>
      <c r="C457" s="178"/>
      <c r="D457" s="178"/>
      <c r="E457" s="178"/>
    </row>
    <row r="458">
      <c r="A458" s="178"/>
      <c r="B458" s="178"/>
      <c r="C458" s="178"/>
      <c r="D458" s="178"/>
      <c r="E458" s="178"/>
    </row>
    <row r="459">
      <c r="A459" s="178"/>
      <c r="B459" s="178"/>
      <c r="C459" s="178"/>
      <c r="D459" s="178"/>
      <c r="E459" s="178"/>
    </row>
    <row r="460">
      <c r="A460" s="178"/>
      <c r="B460" s="178"/>
      <c r="C460" s="178"/>
      <c r="D460" s="178"/>
      <c r="E460" s="178"/>
    </row>
    <row r="461">
      <c r="A461" s="178"/>
      <c r="B461" s="178"/>
      <c r="C461" s="178"/>
      <c r="D461" s="178"/>
      <c r="E461" s="178"/>
    </row>
    <row r="462">
      <c r="A462" s="178"/>
      <c r="B462" s="178"/>
      <c r="C462" s="178"/>
      <c r="D462" s="178"/>
      <c r="E462" s="178"/>
    </row>
    <row r="463">
      <c r="A463" s="178"/>
      <c r="B463" s="178"/>
      <c r="C463" s="178"/>
      <c r="D463" s="178"/>
      <c r="E463" s="178"/>
    </row>
    <row r="464">
      <c r="A464" s="178"/>
      <c r="B464" s="178"/>
      <c r="C464" s="178"/>
      <c r="D464" s="178"/>
      <c r="E464" s="178"/>
    </row>
    <row r="465">
      <c r="A465" s="178"/>
      <c r="B465" s="178"/>
      <c r="C465" s="178"/>
      <c r="D465" s="178"/>
      <c r="E465" s="178"/>
    </row>
    <row r="466">
      <c r="A466" s="178"/>
      <c r="B466" s="178"/>
      <c r="C466" s="178"/>
      <c r="D466" s="178"/>
      <c r="E466" s="178"/>
    </row>
    <row r="467">
      <c r="A467" s="178"/>
      <c r="B467" s="178"/>
      <c r="C467" s="178"/>
      <c r="D467" s="178"/>
      <c r="E467" s="178"/>
    </row>
    <row r="468">
      <c r="A468" s="178"/>
      <c r="B468" s="178"/>
      <c r="C468" s="178"/>
      <c r="D468" s="178"/>
      <c r="E468" s="178"/>
    </row>
    <row r="469">
      <c r="A469" s="178"/>
      <c r="B469" s="178"/>
      <c r="C469" s="178"/>
      <c r="D469" s="178"/>
      <c r="E469" s="178"/>
    </row>
    <row r="470">
      <c r="A470" s="178"/>
      <c r="B470" s="178"/>
      <c r="C470" s="178"/>
      <c r="D470" s="178"/>
      <c r="E470" s="178"/>
    </row>
    <row r="471">
      <c r="A471" s="178"/>
      <c r="B471" s="178"/>
      <c r="C471" s="178"/>
      <c r="D471" s="178"/>
      <c r="E471" s="178"/>
    </row>
    <row r="472">
      <c r="A472" s="178"/>
      <c r="B472" s="178"/>
      <c r="C472" s="178"/>
      <c r="D472" s="178"/>
      <c r="E472" s="178"/>
    </row>
    <row r="473">
      <c r="A473" s="178"/>
      <c r="B473" s="178"/>
      <c r="C473" s="178"/>
      <c r="D473" s="178"/>
      <c r="E473" s="178"/>
    </row>
    <row r="474">
      <c r="A474" s="178"/>
      <c r="B474" s="178"/>
      <c r="C474" s="178"/>
      <c r="D474" s="178"/>
      <c r="E474" s="178"/>
    </row>
    <row r="475">
      <c r="A475" s="178"/>
      <c r="B475" s="178"/>
      <c r="C475" s="178"/>
      <c r="D475" s="178"/>
      <c r="E475" s="178"/>
    </row>
    <row r="476">
      <c r="A476" s="178"/>
      <c r="B476" s="178"/>
      <c r="C476" s="178"/>
      <c r="D476" s="178"/>
      <c r="E476" s="178"/>
    </row>
    <row r="477">
      <c r="A477" s="178"/>
      <c r="B477" s="178"/>
      <c r="C477" s="178"/>
      <c r="D477" s="178"/>
      <c r="E477" s="178"/>
    </row>
    <row r="478">
      <c r="A478" s="178"/>
      <c r="B478" s="178"/>
      <c r="C478" s="178"/>
      <c r="D478" s="178"/>
      <c r="E478" s="178"/>
    </row>
    <row r="479">
      <c r="A479" s="178"/>
      <c r="B479" s="178"/>
      <c r="C479" s="178"/>
      <c r="D479" s="178"/>
      <c r="E479" s="178"/>
    </row>
    <row r="480">
      <c r="A480" s="178"/>
      <c r="B480" s="178"/>
      <c r="C480" s="178"/>
      <c r="D480" s="178"/>
      <c r="E480" s="178"/>
    </row>
    <row r="481">
      <c r="A481" s="178"/>
      <c r="B481" s="178"/>
      <c r="C481" s="178"/>
      <c r="D481" s="178"/>
      <c r="E481" s="178"/>
    </row>
    <row r="482">
      <c r="A482" s="178"/>
      <c r="B482" s="178"/>
      <c r="C482" s="178"/>
      <c r="D482" s="178"/>
      <c r="E482" s="178"/>
    </row>
    <row r="483">
      <c r="A483" s="178"/>
      <c r="B483" s="178"/>
      <c r="C483" s="178"/>
      <c r="D483" s="178"/>
      <c r="E483" s="178"/>
    </row>
    <row r="484">
      <c r="A484" s="178"/>
      <c r="B484" s="178"/>
      <c r="C484" s="178"/>
      <c r="D484" s="178"/>
      <c r="E484" s="178"/>
    </row>
    <row r="485">
      <c r="A485" s="178"/>
      <c r="B485" s="178"/>
      <c r="C485" s="178"/>
      <c r="D485" s="178"/>
      <c r="E485" s="178"/>
    </row>
    <row r="486">
      <c r="A486" s="178"/>
      <c r="B486" s="178"/>
      <c r="C486" s="178"/>
      <c r="D486" s="178"/>
      <c r="E486" s="178"/>
    </row>
    <row r="487">
      <c r="A487" s="178"/>
      <c r="B487" s="178"/>
      <c r="C487" s="178"/>
      <c r="D487" s="178"/>
      <c r="E487" s="178"/>
    </row>
    <row r="488">
      <c r="A488" s="178"/>
      <c r="B488" s="178"/>
      <c r="C488" s="178"/>
      <c r="D488" s="178"/>
      <c r="E488" s="178"/>
    </row>
    <row r="489">
      <c r="A489" s="178"/>
      <c r="B489" s="178"/>
      <c r="C489" s="178"/>
      <c r="D489" s="178"/>
      <c r="E489" s="178"/>
    </row>
    <row r="490">
      <c r="A490" s="178"/>
      <c r="B490" s="178"/>
      <c r="C490" s="178"/>
      <c r="D490" s="178"/>
      <c r="E490" s="178"/>
    </row>
    <row r="491">
      <c r="A491" s="178"/>
      <c r="B491" s="178"/>
      <c r="C491" s="178"/>
      <c r="D491" s="178"/>
      <c r="E491" s="178"/>
    </row>
    <row r="492">
      <c r="A492" s="178"/>
      <c r="B492" s="178"/>
      <c r="C492" s="178"/>
      <c r="D492" s="178"/>
      <c r="E492" s="178"/>
    </row>
    <row r="493">
      <c r="A493" s="178"/>
      <c r="B493" s="178"/>
      <c r="C493" s="178"/>
      <c r="D493" s="178"/>
      <c r="E493" s="178"/>
    </row>
    <row r="494">
      <c r="A494" s="178"/>
      <c r="B494" s="178"/>
      <c r="C494" s="178"/>
      <c r="D494" s="178"/>
      <c r="E494" s="178"/>
    </row>
    <row r="495">
      <c r="A495" s="178"/>
      <c r="B495" s="178"/>
      <c r="C495" s="178"/>
      <c r="D495" s="178"/>
      <c r="E495" s="178"/>
    </row>
    <row r="496">
      <c r="A496" s="178"/>
      <c r="B496" s="178"/>
      <c r="C496" s="178"/>
      <c r="D496" s="178"/>
      <c r="E496" s="178"/>
    </row>
    <row r="497">
      <c r="A497" s="178"/>
      <c r="B497" s="178"/>
      <c r="C497" s="178"/>
      <c r="D497" s="178"/>
      <c r="E497" s="178"/>
    </row>
    <row r="498">
      <c r="A498" s="178"/>
      <c r="B498" s="178"/>
      <c r="C498" s="178"/>
      <c r="D498" s="178"/>
      <c r="E498" s="178"/>
    </row>
    <row r="499">
      <c r="A499" s="178"/>
      <c r="B499" s="178"/>
      <c r="C499" s="178"/>
      <c r="D499" s="178"/>
      <c r="E499" s="178"/>
    </row>
    <row r="500">
      <c r="A500" s="178"/>
      <c r="B500" s="178"/>
      <c r="C500" s="178"/>
      <c r="D500" s="178"/>
      <c r="E500" s="178"/>
    </row>
    <row r="501">
      <c r="A501" s="178"/>
      <c r="B501" s="178"/>
      <c r="C501" s="178"/>
      <c r="D501" s="178"/>
      <c r="E501" s="178"/>
    </row>
    <row r="502">
      <c r="A502" s="178"/>
      <c r="B502" s="178"/>
      <c r="C502" s="178"/>
      <c r="D502" s="178"/>
      <c r="E502" s="178"/>
    </row>
    <row r="503">
      <c r="A503" s="178"/>
      <c r="B503" s="178"/>
      <c r="C503" s="178"/>
      <c r="D503" s="178"/>
      <c r="E503" s="178"/>
    </row>
    <row r="504">
      <c r="A504" s="178"/>
      <c r="B504" s="178"/>
      <c r="C504" s="178"/>
      <c r="D504" s="178"/>
      <c r="E504" s="178"/>
    </row>
    <row r="505">
      <c r="A505" s="178"/>
      <c r="B505" s="178"/>
      <c r="C505" s="178"/>
      <c r="D505" s="178"/>
      <c r="E505" s="178"/>
    </row>
    <row r="506">
      <c r="A506" s="178"/>
      <c r="B506" s="178"/>
      <c r="C506" s="178"/>
      <c r="D506" s="178"/>
      <c r="E506" s="178"/>
    </row>
    <row r="507">
      <c r="A507" s="178"/>
      <c r="B507" s="178"/>
      <c r="C507" s="178"/>
      <c r="D507" s="178"/>
      <c r="E507" s="178"/>
    </row>
    <row r="508">
      <c r="A508" s="178"/>
      <c r="B508" s="178"/>
      <c r="C508" s="178"/>
      <c r="D508" s="178"/>
      <c r="E508" s="178"/>
    </row>
    <row r="509">
      <c r="A509" s="178"/>
      <c r="B509" s="178"/>
      <c r="C509" s="178"/>
      <c r="D509" s="178"/>
      <c r="E509" s="178"/>
    </row>
    <row r="510">
      <c r="A510" s="178"/>
      <c r="B510" s="178"/>
      <c r="C510" s="178"/>
      <c r="D510" s="178"/>
      <c r="E510" s="178"/>
    </row>
    <row r="511">
      <c r="A511" s="178"/>
      <c r="B511" s="178"/>
      <c r="C511" s="178"/>
      <c r="D511" s="178"/>
      <c r="E511" s="178"/>
    </row>
    <row r="512">
      <c r="A512" s="178"/>
      <c r="B512" s="178"/>
      <c r="C512" s="178"/>
      <c r="D512" s="178"/>
      <c r="E512" s="178"/>
    </row>
    <row r="513">
      <c r="A513" s="178"/>
      <c r="B513" s="178"/>
      <c r="C513" s="178"/>
      <c r="D513" s="178"/>
      <c r="E513" s="178"/>
    </row>
    <row r="514">
      <c r="A514" s="178"/>
      <c r="B514" s="178"/>
      <c r="C514" s="178"/>
      <c r="D514" s="178"/>
      <c r="E514" s="178"/>
    </row>
    <row r="515">
      <c r="A515" s="178"/>
      <c r="B515" s="178"/>
      <c r="C515" s="178"/>
      <c r="D515" s="178"/>
      <c r="E515" s="178"/>
    </row>
    <row r="516">
      <c r="A516" s="178"/>
      <c r="B516" s="178"/>
      <c r="C516" s="178"/>
      <c r="D516" s="178"/>
      <c r="E516" s="178"/>
    </row>
    <row r="517">
      <c r="A517" s="178"/>
      <c r="B517" s="178"/>
      <c r="C517" s="178"/>
      <c r="D517" s="178"/>
      <c r="E517" s="178"/>
    </row>
    <row r="518">
      <c r="A518" s="178"/>
      <c r="B518" s="178"/>
      <c r="C518" s="178"/>
      <c r="D518" s="178"/>
      <c r="E518" s="178"/>
    </row>
    <row r="519">
      <c r="A519" s="178"/>
      <c r="B519" s="178"/>
      <c r="C519" s="178"/>
      <c r="D519" s="178"/>
      <c r="E519" s="178"/>
    </row>
    <row r="520">
      <c r="A520" s="178"/>
      <c r="B520" s="178"/>
      <c r="C520" s="178"/>
      <c r="D520" s="178"/>
      <c r="E520" s="178"/>
    </row>
    <row r="521">
      <c r="A521" s="178"/>
      <c r="B521" s="178"/>
      <c r="C521" s="178"/>
      <c r="D521" s="178"/>
      <c r="E521" s="178"/>
    </row>
    <row r="522">
      <c r="A522" s="178"/>
      <c r="B522" s="178"/>
      <c r="C522" s="178"/>
      <c r="D522" s="178"/>
      <c r="E522" s="178"/>
    </row>
    <row r="523">
      <c r="A523" s="178"/>
      <c r="B523" s="178"/>
      <c r="C523" s="178"/>
      <c r="D523" s="178"/>
      <c r="E523" s="178"/>
    </row>
    <row r="524">
      <c r="A524" s="178"/>
      <c r="B524" s="178"/>
      <c r="C524" s="178"/>
      <c r="D524" s="178"/>
      <c r="E524" s="178"/>
    </row>
    <row r="525">
      <c r="A525" s="178"/>
      <c r="B525" s="178"/>
      <c r="C525" s="178"/>
      <c r="D525" s="178"/>
      <c r="E525" s="178"/>
    </row>
    <row r="526">
      <c r="A526" s="178"/>
      <c r="B526" s="178"/>
      <c r="C526" s="178"/>
      <c r="D526" s="178"/>
      <c r="E526" s="178"/>
    </row>
    <row r="527">
      <c r="A527" s="178"/>
      <c r="B527" s="178"/>
      <c r="C527" s="178"/>
      <c r="D527" s="178"/>
      <c r="E527" s="178"/>
    </row>
    <row r="528">
      <c r="A528" s="178"/>
      <c r="B528" s="178"/>
      <c r="C528" s="178"/>
      <c r="D528" s="178"/>
      <c r="E528" s="178"/>
    </row>
    <row r="529">
      <c r="A529" s="178"/>
      <c r="B529" s="178"/>
      <c r="C529" s="178"/>
      <c r="D529" s="178"/>
      <c r="E529" s="178"/>
    </row>
    <row r="530">
      <c r="A530" s="178"/>
      <c r="B530" s="178"/>
      <c r="C530" s="178"/>
      <c r="D530" s="178"/>
      <c r="E530" s="178"/>
    </row>
    <row r="531">
      <c r="A531" s="178"/>
      <c r="B531" s="178"/>
      <c r="C531" s="178"/>
      <c r="D531" s="178"/>
      <c r="E531" s="178"/>
    </row>
    <row r="532">
      <c r="A532" s="178"/>
      <c r="B532" s="178"/>
      <c r="C532" s="178"/>
      <c r="D532" s="178"/>
      <c r="E532" s="178"/>
    </row>
    <row r="533">
      <c r="A533" s="178"/>
      <c r="B533" s="178"/>
      <c r="C533" s="178"/>
      <c r="D533" s="178"/>
      <c r="E533" s="178"/>
    </row>
    <row r="534">
      <c r="A534" s="178"/>
      <c r="B534" s="178"/>
      <c r="C534" s="178"/>
      <c r="D534" s="178"/>
      <c r="E534" s="178"/>
    </row>
    <row r="535">
      <c r="A535" s="178"/>
      <c r="B535" s="178"/>
      <c r="C535" s="178"/>
      <c r="D535" s="178"/>
      <c r="E535" s="178"/>
    </row>
    <row r="536">
      <c r="A536" s="178"/>
      <c r="B536" s="178"/>
      <c r="C536" s="178"/>
      <c r="D536" s="178"/>
      <c r="E536" s="178"/>
    </row>
    <row r="537">
      <c r="A537" s="178"/>
      <c r="B537" s="178"/>
      <c r="C537" s="178"/>
      <c r="D537" s="178"/>
      <c r="E537" s="178"/>
    </row>
    <row r="538">
      <c r="A538" s="178"/>
      <c r="B538" s="178"/>
      <c r="C538" s="178"/>
      <c r="D538" s="178"/>
      <c r="E538" s="178"/>
    </row>
    <row r="539">
      <c r="A539" s="178"/>
      <c r="B539" s="178"/>
      <c r="C539" s="178"/>
      <c r="D539" s="178"/>
      <c r="E539" s="178"/>
    </row>
    <row r="540">
      <c r="A540" s="178"/>
      <c r="B540" s="178"/>
      <c r="C540" s="178"/>
      <c r="D540" s="178"/>
      <c r="E540" s="178"/>
    </row>
    <row r="541">
      <c r="A541" s="178"/>
      <c r="B541" s="178"/>
      <c r="C541" s="178"/>
      <c r="D541" s="178"/>
      <c r="E541" s="178"/>
    </row>
    <row r="542">
      <c r="A542" s="178"/>
      <c r="B542" s="178"/>
      <c r="C542" s="178"/>
      <c r="D542" s="178"/>
      <c r="E542" s="178"/>
    </row>
    <row r="543">
      <c r="A543" s="178"/>
      <c r="B543" s="178"/>
      <c r="C543" s="178"/>
      <c r="D543" s="178"/>
      <c r="E543" s="178"/>
    </row>
    <row r="544">
      <c r="A544" s="178"/>
      <c r="B544" s="178"/>
      <c r="C544" s="178"/>
      <c r="D544" s="178"/>
      <c r="E544" s="178"/>
    </row>
    <row r="545">
      <c r="A545" s="178"/>
      <c r="B545" s="178"/>
      <c r="C545" s="178"/>
      <c r="D545" s="178"/>
      <c r="E545" s="178"/>
    </row>
    <row r="546">
      <c r="A546" s="178"/>
      <c r="B546" s="178"/>
      <c r="C546" s="178"/>
      <c r="D546" s="178"/>
      <c r="E546" s="178"/>
    </row>
    <row r="547">
      <c r="A547" s="178"/>
      <c r="B547" s="178"/>
      <c r="C547" s="178"/>
      <c r="D547" s="178"/>
      <c r="E547" s="178"/>
    </row>
    <row r="548">
      <c r="A548" s="178"/>
      <c r="B548" s="178"/>
      <c r="C548" s="178"/>
      <c r="D548" s="178"/>
      <c r="E548" s="178"/>
    </row>
    <row r="549">
      <c r="A549" s="178"/>
      <c r="B549" s="178"/>
      <c r="C549" s="178"/>
      <c r="D549" s="178"/>
      <c r="E549" s="178"/>
    </row>
    <row r="550">
      <c r="A550" s="178"/>
      <c r="B550" s="178"/>
      <c r="C550" s="178"/>
      <c r="D550" s="178"/>
      <c r="E550" s="178"/>
    </row>
    <row r="551">
      <c r="A551" s="178"/>
      <c r="B551" s="178"/>
      <c r="C551" s="178"/>
      <c r="D551" s="178"/>
      <c r="E551" s="178"/>
    </row>
    <row r="552">
      <c r="A552" s="178"/>
      <c r="B552" s="178"/>
      <c r="C552" s="178"/>
      <c r="D552" s="178"/>
      <c r="E552" s="178"/>
    </row>
    <row r="553">
      <c r="A553" s="178"/>
      <c r="B553" s="178"/>
      <c r="C553" s="178"/>
      <c r="D553" s="178"/>
      <c r="E553" s="178"/>
    </row>
    <row r="554">
      <c r="A554" s="178"/>
      <c r="B554" s="178"/>
      <c r="C554" s="178"/>
      <c r="D554" s="178"/>
      <c r="E554" s="178"/>
    </row>
    <row r="555">
      <c r="A555" s="178"/>
      <c r="B555" s="178"/>
      <c r="C555" s="178"/>
      <c r="D555" s="178"/>
      <c r="E555" s="178"/>
    </row>
    <row r="556">
      <c r="A556" s="178"/>
      <c r="B556" s="178"/>
      <c r="C556" s="178"/>
      <c r="D556" s="178"/>
      <c r="E556" s="178"/>
    </row>
    <row r="557">
      <c r="A557" s="178"/>
      <c r="B557" s="178"/>
      <c r="C557" s="178"/>
      <c r="D557" s="178"/>
      <c r="E557" s="178"/>
    </row>
    <row r="558">
      <c r="A558" s="178"/>
      <c r="B558" s="178"/>
      <c r="C558" s="178"/>
      <c r="D558" s="178"/>
      <c r="E558" s="178"/>
    </row>
    <row r="559">
      <c r="A559" s="178"/>
      <c r="B559" s="178"/>
      <c r="C559" s="178"/>
      <c r="D559" s="178"/>
      <c r="E559" s="178"/>
    </row>
    <row r="560">
      <c r="A560" s="178"/>
      <c r="B560" s="178"/>
      <c r="C560" s="178"/>
      <c r="D560" s="178"/>
      <c r="E560" s="178"/>
    </row>
    <row r="561">
      <c r="A561" s="178"/>
      <c r="B561" s="178"/>
      <c r="C561" s="178"/>
      <c r="D561" s="178"/>
      <c r="E561" s="178"/>
    </row>
    <row r="562">
      <c r="A562" s="178"/>
      <c r="B562" s="178"/>
      <c r="C562" s="178"/>
      <c r="D562" s="178"/>
      <c r="E562" s="178"/>
    </row>
    <row r="563">
      <c r="A563" s="178"/>
      <c r="B563" s="178"/>
      <c r="C563" s="178"/>
      <c r="D563" s="178"/>
      <c r="E563" s="178"/>
    </row>
    <row r="564">
      <c r="A564" s="178"/>
      <c r="B564" s="178"/>
      <c r="C564" s="178"/>
      <c r="D564" s="178"/>
      <c r="E564" s="178"/>
    </row>
    <row r="565">
      <c r="A565" s="178"/>
      <c r="B565" s="178"/>
      <c r="C565" s="178"/>
      <c r="D565" s="178"/>
      <c r="E565" s="178"/>
    </row>
    <row r="566">
      <c r="A566" s="178"/>
      <c r="B566" s="178"/>
      <c r="C566" s="178"/>
      <c r="D566" s="178"/>
      <c r="E566" s="178"/>
    </row>
    <row r="567">
      <c r="A567" s="178"/>
      <c r="B567" s="178"/>
      <c r="C567" s="178"/>
      <c r="D567" s="178"/>
      <c r="E567" s="178"/>
    </row>
    <row r="568">
      <c r="A568" s="178"/>
      <c r="B568" s="178"/>
      <c r="C568" s="178"/>
      <c r="D568" s="178"/>
      <c r="E568" s="178"/>
    </row>
    <row r="569">
      <c r="A569" s="178"/>
      <c r="B569" s="178"/>
      <c r="C569" s="178"/>
      <c r="D569" s="178"/>
      <c r="E569" s="178"/>
    </row>
    <row r="570">
      <c r="A570" s="178"/>
      <c r="B570" s="178"/>
      <c r="C570" s="178"/>
      <c r="D570" s="178"/>
      <c r="E570" s="178"/>
    </row>
    <row r="571">
      <c r="A571" s="178"/>
      <c r="B571" s="178"/>
      <c r="C571" s="178"/>
      <c r="D571" s="178"/>
      <c r="E571" s="178"/>
    </row>
    <row r="572">
      <c r="A572" s="178"/>
      <c r="B572" s="178"/>
      <c r="C572" s="178"/>
      <c r="D572" s="178"/>
      <c r="E572" s="178"/>
    </row>
    <row r="573">
      <c r="A573" s="178"/>
      <c r="B573" s="178"/>
      <c r="C573" s="178"/>
      <c r="D573" s="178"/>
      <c r="E573" s="178"/>
    </row>
    <row r="574">
      <c r="A574" s="178"/>
      <c r="B574" s="178"/>
      <c r="C574" s="178"/>
      <c r="D574" s="178"/>
      <c r="E574" s="178"/>
    </row>
    <row r="575">
      <c r="A575" s="178"/>
      <c r="B575" s="178"/>
      <c r="C575" s="178"/>
      <c r="D575" s="178"/>
      <c r="E575" s="178"/>
    </row>
    <row r="576">
      <c r="A576" s="178"/>
      <c r="B576" s="178"/>
      <c r="C576" s="178"/>
      <c r="D576" s="178"/>
      <c r="E576" s="178"/>
    </row>
    <row r="577">
      <c r="A577" s="178"/>
      <c r="B577" s="178"/>
      <c r="C577" s="178"/>
      <c r="D577" s="178"/>
      <c r="E577" s="178"/>
    </row>
    <row r="578">
      <c r="A578" s="178"/>
      <c r="B578" s="178"/>
      <c r="C578" s="178"/>
      <c r="D578" s="178"/>
      <c r="E578" s="178"/>
    </row>
    <row r="579">
      <c r="A579" s="178"/>
      <c r="B579" s="178"/>
      <c r="C579" s="178"/>
      <c r="D579" s="178"/>
      <c r="E579" s="178"/>
    </row>
    <row r="580">
      <c r="A580" s="178"/>
      <c r="B580" s="178"/>
      <c r="C580" s="178"/>
      <c r="D580" s="178"/>
      <c r="E580" s="178"/>
    </row>
    <row r="581">
      <c r="A581" s="178"/>
      <c r="B581" s="178"/>
      <c r="C581" s="178"/>
      <c r="D581" s="178"/>
      <c r="E581" s="178"/>
    </row>
    <row r="582">
      <c r="A582" s="178"/>
      <c r="B582" s="178"/>
      <c r="C582" s="178"/>
      <c r="D582" s="178"/>
      <c r="E582" s="178"/>
    </row>
    <row r="583">
      <c r="A583" s="178"/>
      <c r="B583" s="178"/>
      <c r="C583" s="178"/>
      <c r="D583" s="178"/>
      <c r="E583" s="178"/>
    </row>
    <row r="584">
      <c r="A584" s="178"/>
      <c r="B584" s="178"/>
      <c r="C584" s="178"/>
      <c r="D584" s="178"/>
      <c r="E584" s="178"/>
    </row>
    <row r="585">
      <c r="A585" s="178"/>
      <c r="B585" s="178"/>
      <c r="C585" s="178"/>
      <c r="D585" s="178"/>
      <c r="E585" s="178"/>
    </row>
    <row r="586">
      <c r="A586" s="178"/>
      <c r="B586" s="178"/>
      <c r="C586" s="178"/>
      <c r="D586" s="178"/>
      <c r="E586" s="178"/>
    </row>
    <row r="587">
      <c r="A587" s="178"/>
      <c r="B587" s="178"/>
      <c r="C587" s="178"/>
      <c r="D587" s="178"/>
      <c r="E587" s="178"/>
    </row>
    <row r="588">
      <c r="A588" s="178"/>
      <c r="B588" s="178"/>
      <c r="C588" s="178"/>
      <c r="D588" s="178"/>
      <c r="E588" s="178"/>
    </row>
    <row r="589">
      <c r="A589" s="178"/>
      <c r="B589" s="178"/>
      <c r="C589" s="178"/>
      <c r="D589" s="178"/>
      <c r="E589" s="178"/>
    </row>
    <row r="590">
      <c r="A590" s="178"/>
      <c r="B590" s="178"/>
      <c r="C590" s="178"/>
      <c r="D590" s="178"/>
      <c r="E590" s="178"/>
    </row>
    <row r="591">
      <c r="A591" s="178"/>
      <c r="B591" s="178"/>
      <c r="C591" s="178"/>
      <c r="D591" s="178"/>
      <c r="E591" s="178"/>
    </row>
    <row r="592">
      <c r="A592" s="178"/>
      <c r="B592" s="178"/>
      <c r="C592" s="178"/>
      <c r="D592" s="178"/>
      <c r="E592" s="178"/>
    </row>
    <row r="593">
      <c r="A593" s="178"/>
      <c r="B593" s="178"/>
      <c r="C593" s="178"/>
      <c r="D593" s="178"/>
      <c r="E593" s="178"/>
    </row>
    <row r="594">
      <c r="A594" s="178"/>
      <c r="B594" s="178"/>
      <c r="C594" s="178"/>
      <c r="D594" s="178"/>
      <c r="E594" s="178"/>
    </row>
    <row r="595">
      <c r="A595" s="178"/>
      <c r="B595" s="178"/>
      <c r="C595" s="178"/>
      <c r="D595" s="178"/>
      <c r="E595" s="178"/>
    </row>
    <row r="596">
      <c r="A596" s="178"/>
      <c r="B596" s="178"/>
      <c r="C596" s="178"/>
      <c r="D596" s="178"/>
      <c r="E596" s="178"/>
    </row>
    <row r="597">
      <c r="A597" s="178"/>
      <c r="B597" s="178"/>
      <c r="C597" s="178"/>
      <c r="D597" s="178"/>
      <c r="E597" s="178"/>
    </row>
    <row r="598">
      <c r="A598" s="178"/>
      <c r="B598" s="178"/>
      <c r="C598" s="178"/>
      <c r="D598" s="178"/>
      <c r="E598" s="178"/>
    </row>
    <row r="599">
      <c r="A599" s="178"/>
      <c r="B599" s="178"/>
      <c r="C599" s="178"/>
      <c r="D599" s="178"/>
      <c r="E599" s="178"/>
    </row>
    <row r="600">
      <c r="A600" s="178"/>
      <c r="B600" s="178"/>
      <c r="C600" s="178"/>
      <c r="D600" s="178"/>
      <c r="E600" s="178"/>
    </row>
    <row r="601">
      <c r="A601" s="178"/>
      <c r="B601" s="178"/>
      <c r="C601" s="178"/>
      <c r="D601" s="178"/>
      <c r="E601" s="178"/>
    </row>
    <row r="602">
      <c r="A602" s="178"/>
      <c r="B602" s="178"/>
      <c r="C602" s="178"/>
      <c r="D602" s="178"/>
      <c r="E602" s="178"/>
    </row>
    <row r="603">
      <c r="A603" s="178"/>
      <c r="B603" s="178"/>
      <c r="C603" s="178"/>
      <c r="D603" s="178"/>
      <c r="E603" s="178"/>
    </row>
    <row r="604">
      <c r="A604" s="178"/>
      <c r="B604" s="178"/>
      <c r="C604" s="178"/>
      <c r="D604" s="178"/>
      <c r="E604" s="178"/>
    </row>
    <row r="605">
      <c r="A605" s="178"/>
      <c r="B605" s="178"/>
      <c r="C605" s="178"/>
      <c r="D605" s="178"/>
      <c r="E605" s="178"/>
    </row>
    <row r="606">
      <c r="A606" s="178"/>
      <c r="B606" s="178"/>
      <c r="C606" s="178"/>
      <c r="D606" s="178"/>
      <c r="E606" s="178"/>
    </row>
    <row r="607">
      <c r="A607" s="178"/>
      <c r="B607" s="178"/>
      <c r="C607" s="178"/>
      <c r="D607" s="178"/>
      <c r="E607" s="178"/>
    </row>
    <row r="608">
      <c r="A608" s="178"/>
      <c r="B608" s="178"/>
      <c r="C608" s="178"/>
      <c r="D608" s="178"/>
      <c r="E608" s="178"/>
    </row>
    <row r="609">
      <c r="A609" s="178"/>
      <c r="B609" s="178"/>
      <c r="C609" s="178"/>
      <c r="D609" s="178"/>
      <c r="E609" s="178"/>
    </row>
    <row r="610">
      <c r="A610" s="178"/>
      <c r="B610" s="178"/>
      <c r="C610" s="178"/>
      <c r="D610" s="178"/>
      <c r="E610" s="178"/>
    </row>
    <row r="611">
      <c r="A611" s="178"/>
      <c r="B611" s="178"/>
      <c r="C611" s="178"/>
      <c r="D611" s="178"/>
      <c r="E611" s="178"/>
    </row>
    <row r="612">
      <c r="A612" s="178"/>
      <c r="B612" s="178"/>
      <c r="C612" s="178"/>
      <c r="D612" s="178"/>
      <c r="E612" s="178"/>
    </row>
    <row r="613">
      <c r="A613" s="178"/>
      <c r="B613" s="178"/>
      <c r="C613" s="178"/>
      <c r="D613" s="178"/>
      <c r="E613" s="178"/>
    </row>
    <row r="614">
      <c r="A614" s="178"/>
      <c r="B614" s="178"/>
      <c r="C614" s="178"/>
      <c r="D614" s="178"/>
      <c r="E614" s="178"/>
    </row>
    <row r="615">
      <c r="A615" s="178"/>
      <c r="B615" s="178"/>
      <c r="C615" s="178"/>
      <c r="D615" s="178"/>
      <c r="E615" s="178"/>
    </row>
    <row r="616">
      <c r="A616" s="178"/>
      <c r="B616" s="178"/>
      <c r="C616" s="178"/>
      <c r="D616" s="178"/>
      <c r="E616" s="178"/>
    </row>
    <row r="617">
      <c r="A617" s="178"/>
      <c r="B617" s="178"/>
      <c r="C617" s="178"/>
      <c r="D617" s="178"/>
      <c r="E617" s="178"/>
    </row>
    <row r="618">
      <c r="A618" s="178"/>
      <c r="B618" s="178"/>
      <c r="C618" s="178"/>
      <c r="D618" s="178"/>
      <c r="E618" s="178"/>
    </row>
    <row r="619">
      <c r="A619" s="178"/>
      <c r="B619" s="178"/>
      <c r="C619" s="178"/>
      <c r="D619" s="178"/>
      <c r="E619" s="178"/>
    </row>
    <row r="620">
      <c r="A620" s="178"/>
      <c r="B620" s="178"/>
      <c r="C620" s="178"/>
      <c r="D620" s="178"/>
      <c r="E620" s="178"/>
    </row>
    <row r="621">
      <c r="A621" s="178"/>
      <c r="B621" s="178"/>
      <c r="C621" s="178"/>
      <c r="D621" s="178"/>
      <c r="E621" s="178"/>
    </row>
    <row r="622">
      <c r="A622" s="178"/>
      <c r="B622" s="178"/>
      <c r="C622" s="178"/>
      <c r="D622" s="178"/>
      <c r="E622" s="178"/>
    </row>
    <row r="623">
      <c r="A623" s="178"/>
      <c r="B623" s="178"/>
      <c r="C623" s="178"/>
      <c r="D623" s="178"/>
      <c r="E623" s="178"/>
    </row>
    <row r="624">
      <c r="A624" s="178"/>
      <c r="B624" s="178"/>
      <c r="C624" s="178"/>
      <c r="D624" s="178"/>
      <c r="E624" s="178"/>
    </row>
    <row r="625">
      <c r="A625" s="178"/>
      <c r="B625" s="178"/>
      <c r="C625" s="178"/>
      <c r="D625" s="178"/>
      <c r="E625" s="178"/>
    </row>
    <row r="626">
      <c r="A626" s="178"/>
      <c r="B626" s="178"/>
      <c r="C626" s="178"/>
      <c r="D626" s="178"/>
      <c r="E626" s="178"/>
    </row>
    <row r="627">
      <c r="A627" s="178"/>
      <c r="B627" s="178"/>
      <c r="C627" s="178"/>
      <c r="D627" s="178"/>
      <c r="E627" s="178"/>
    </row>
    <row r="628">
      <c r="A628" s="178"/>
      <c r="B628" s="178"/>
      <c r="C628" s="178"/>
      <c r="D628" s="178"/>
      <c r="E628" s="178"/>
    </row>
    <row r="629">
      <c r="A629" s="178"/>
      <c r="B629" s="178"/>
      <c r="C629" s="178"/>
      <c r="D629" s="178"/>
      <c r="E629" s="178"/>
    </row>
    <row r="630">
      <c r="A630" s="178"/>
      <c r="B630" s="178"/>
      <c r="C630" s="178"/>
      <c r="D630" s="178"/>
      <c r="E630" s="178"/>
    </row>
    <row r="631">
      <c r="A631" s="178"/>
      <c r="B631" s="178"/>
      <c r="C631" s="178"/>
      <c r="D631" s="178"/>
      <c r="E631" s="178"/>
    </row>
    <row r="632">
      <c r="A632" s="178"/>
      <c r="B632" s="178"/>
      <c r="C632" s="178"/>
      <c r="D632" s="178"/>
      <c r="E632" s="178"/>
    </row>
    <row r="633">
      <c r="A633" s="178"/>
      <c r="B633" s="178"/>
      <c r="C633" s="178"/>
      <c r="D633" s="178"/>
      <c r="E633" s="178"/>
    </row>
    <row r="634">
      <c r="A634" s="178"/>
      <c r="B634" s="178"/>
      <c r="C634" s="178"/>
      <c r="D634" s="178"/>
      <c r="E634" s="178"/>
    </row>
    <row r="635">
      <c r="A635" s="178"/>
      <c r="B635" s="178"/>
      <c r="C635" s="178"/>
      <c r="D635" s="178"/>
      <c r="E635" s="178"/>
    </row>
    <row r="636">
      <c r="A636" s="178"/>
      <c r="B636" s="178"/>
      <c r="C636" s="178"/>
      <c r="D636" s="178"/>
      <c r="E636" s="178"/>
    </row>
    <row r="637">
      <c r="A637" s="178"/>
      <c r="B637" s="178"/>
      <c r="C637" s="178"/>
      <c r="D637" s="178"/>
      <c r="E637" s="178"/>
    </row>
    <row r="638">
      <c r="A638" s="178"/>
      <c r="B638" s="178"/>
      <c r="C638" s="178"/>
      <c r="D638" s="178"/>
      <c r="E638" s="178"/>
    </row>
    <row r="639">
      <c r="A639" s="178"/>
      <c r="B639" s="178"/>
      <c r="C639" s="178"/>
      <c r="D639" s="178"/>
      <c r="E639" s="178"/>
    </row>
    <row r="640">
      <c r="A640" s="178"/>
      <c r="B640" s="178"/>
      <c r="C640" s="178"/>
      <c r="D640" s="178"/>
      <c r="E640" s="178"/>
    </row>
    <row r="641">
      <c r="A641" s="178"/>
      <c r="B641" s="178"/>
      <c r="C641" s="178"/>
      <c r="D641" s="178"/>
      <c r="E641" s="178"/>
    </row>
    <row r="642">
      <c r="A642" s="178"/>
      <c r="B642" s="178"/>
      <c r="C642" s="178"/>
      <c r="D642" s="178"/>
      <c r="E642" s="178"/>
    </row>
    <row r="643">
      <c r="A643" s="178"/>
      <c r="B643" s="178"/>
      <c r="C643" s="178"/>
      <c r="D643" s="178"/>
      <c r="E643" s="178"/>
    </row>
    <row r="644">
      <c r="A644" s="178"/>
      <c r="B644" s="178"/>
      <c r="C644" s="178"/>
      <c r="D644" s="178"/>
      <c r="E644" s="178"/>
    </row>
    <row r="645">
      <c r="A645" s="178"/>
      <c r="B645" s="178"/>
      <c r="C645" s="178"/>
      <c r="D645" s="178"/>
      <c r="E645" s="178"/>
    </row>
    <row r="646">
      <c r="A646" s="178"/>
      <c r="B646" s="178"/>
      <c r="C646" s="178"/>
      <c r="D646" s="178"/>
      <c r="E646" s="178"/>
    </row>
    <row r="647">
      <c r="A647" s="178"/>
      <c r="B647" s="178"/>
      <c r="C647" s="178"/>
      <c r="D647" s="178"/>
      <c r="E647" s="178"/>
    </row>
    <row r="648">
      <c r="A648" s="178"/>
      <c r="B648" s="178"/>
      <c r="C648" s="178"/>
      <c r="D648" s="178"/>
      <c r="E648" s="178"/>
    </row>
    <row r="649">
      <c r="A649" s="178"/>
      <c r="B649" s="178"/>
      <c r="C649" s="178"/>
      <c r="D649" s="178"/>
      <c r="E649" s="178"/>
    </row>
    <row r="650">
      <c r="A650" s="178"/>
      <c r="B650" s="178"/>
      <c r="C650" s="178"/>
      <c r="D650" s="178"/>
      <c r="E650" s="178"/>
    </row>
    <row r="651">
      <c r="A651" s="178"/>
      <c r="B651" s="178"/>
      <c r="C651" s="178"/>
      <c r="D651" s="178"/>
      <c r="E651" s="178"/>
    </row>
    <row r="652">
      <c r="A652" s="178"/>
      <c r="B652" s="178"/>
      <c r="C652" s="178"/>
      <c r="D652" s="178"/>
      <c r="E652" s="178"/>
    </row>
    <row r="653">
      <c r="A653" s="178"/>
      <c r="B653" s="178"/>
      <c r="C653" s="178"/>
      <c r="D653" s="178"/>
      <c r="E653" s="178"/>
    </row>
    <row r="654">
      <c r="A654" s="178"/>
      <c r="B654" s="178"/>
      <c r="C654" s="178"/>
      <c r="D654" s="178"/>
      <c r="E654" s="178"/>
    </row>
    <row r="655">
      <c r="A655" s="178"/>
      <c r="B655" s="178"/>
      <c r="C655" s="178"/>
      <c r="D655" s="178"/>
      <c r="E655" s="178"/>
    </row>
    <row r="656">
      <c r="A656" s="178"/>
      <c r="B656" s="178"/>
      <c r="C656" s="178"/>
      <c r="D656" s="178"/>
      <c r="E656" s="178"/>
    </row>
    <row r="657">
      <c r="A657" s="178"/>
      <c r="B657" s="178"/>
      <c r="C657" s="178"/>
      <c r="D657" s="178"/>
      <c r="E657" s="178"/>
    </row>
    <row r="658">
      <c r="A658" s="178"/>
      <c r="B658" s="178"/>
      <c r="C658" s="178"/>
      <c r="D658" s="178"/>
      <c r="E658" s="178"/>
    </row>
    <row r="659">
      <c r="A659" s="178"/>
      <c r="B659" s="178"/>
      <c r="C659" s="178"/>
      <c r="D659" s="178"/>
      <c r="E659" s="178"/>
    </row>
    <row r="660">
      <c r="A660" s="178"/>
      <c r="B660" s="178"/>
      <c r="C660" s="178"/>
      <c r="D660" s="178"/>
      <c r="E660" s="178"/>
    </row>
    <row r="661">
      <c r="A661" s="178"/>
      <c r="B661" s="178"/>
      <c r="C661" s="178"/>
      <c r="D661" s="178"/>
      <c r="E661" s="178"/>
    </row>
    <row r="662">
      <c r="A662" s="178"/>
      <c r="B662" s="178"/>
      <c r="C662" s="178"/>
      <c r="D662" s="178"/>
      <c r="E662" s="178"/>
    </row>
    <row r="663">
      <c r="A663" s="178"/>
      <c r="B663" s="178"/>
      <c r="C663" s="178"/>
      <c r="D663" s="178"/>
      <c r="E663" s="178"/>
    </row>
    <row r="664">
      <c r="A664" s="178"/>
      <c r="B664" s="178"/>
      <c r="C664" s="178"/>
      <c r="D664" s="178"/>
      <c r="E664" s="178"/>
    </row>
    <row r="665">
      <c r="A665" s="178"/>
      <c r="B665" s="178"/>
      <c r="C665" s="178"/>
      <c r="D665" s="178"/>
      <c r="E665" s="178"/>
    </row>
    <row r="666">
      <c r="A666" s="178"/>
      <c r="B666" s="178"/>
      <c r="C666" s="178"/>
      <c r="D666" s="178"/>
      <c r="E666" s="178"/>
    </row>
    <row r="667">
      <c r="A667" s="178"/>
      <c r="B667" s="178"/>
      <c r="C667" s="178"/>
      <c r="D667" s="178"/>
      <c r="E667" s="178"/>
    </row>
    <row r="668">
      <c r="A668" s="178"/>
      <c r="B668" s="178"/>
      <c r="C668" s="178"/>
      <c r="D668" s="178"/>
      <c r="E668" s="178"/>
    </row>
    <row r="669">
      <c r="A669" s="178"/>
      <c r="B669" s="178"/>
      <c r="C669" s="178"/>
      <c r="D669" s="178"/>
      <c r="E669" s="178"/>
    </row>
    <row r="670">
      <c r="A670" s="178"/>
      <c r="B670" s="178"/>
      <c r="C670" s="178"/>
      <c r="D670" s="178"/>
      <c r="E670" s="178"/>
    </row>
    <row r="671">
      <c r="A671" s="178"/>
      <c r="B671" s="178"/>
      <c r="C671" s="178"/>
      <c r="D671" s="178"/>
      <c r="E671" s="178"/>
    </row>
    <row r="672">
      <c r="A672" s="178"/>
      <c r="B672" s="178"/>
      <c r="C672" s="178"/>
      <c r="D672" s="178"/>
      <c r="E672" s="178"/>
    </row>
    <row r="673">
      <c r="A673" s="178"/>
      <c r="B673" s="178"/>
      <c r="C673" s="178"/>
      <c r="D673" s="178"/>
      <c r="E673" s="178"/>
    </row>
    <row r="674">
      <c r="A674" s="178"/>
      <c r="B674" s="178"/>
      <c r="C674" s="178"/>
      <c r="D674" s="178"/>
      <c r="E674" s="178"/>
    </row>
    <row r="675">
      <c r="A675" s="178"/>
      <c r="B675" s="178"/>
      <c r="C675" s="178"/>
      <c r="D675" s="178"/>
      <c r="E675" s="178"/>
    </row>
    <row r="676">
      <c r="A676" s="178"/>
      <c r="B676" s="178"/>
      <c r="C676" s="178"/>
      <c r="D676" s="178"/>
      <c r="E676" s="178"/>
    </row>
    <row r="677">
      <c r="A677" s="178"/>
      <c r="B677" s="178"/>
      <c r="C677" s="178"/>
      <c r="D677" s="178"/>
      <c r="E677" s="178"/>
    </row>
    <row r="678">
      <c r="A678" s="178"/>
      <c r="B678" s="178"/>
      <c r="C678" s="178"/>
      <c r="D678" s="178"/>
      <c r="E678" s="178"/>
    </row>
    <row r="679">
      <c r="A679" s="178"/>
      <c r="B679" s="178"/>
      <c r="C679" s="178"/>
      <c r="D679" s="178"/>
      <c r="E679" s="178"/>
    </row>
    <row r="680">
      <c r="A680" s="178"/>
      <c r="B680" s="178"/>
      <c r="C680" s="178"/>
      <c r="D680" s="178"/>
      <c r="E680" s="178"/>
    </row>
    <row r="681">
      <c r="A681" s="178"/>
      <c r="B681" s="178"/>
      <c r="C681" s="178"/>
      <c r="D681" s="178"/>
      <c r="E681" s="178"/>
    </row>
    <row r="682">
      <c r="A682" s="178"/>
      <c r="B682" s="178"/>
      <c r="C682" s="178"/>
      <c r="D682" s="178"/>
      <c r="E682" s="178"/>
    </row>
    <row r="683">
      <c r="A683" s="178"/>
      <c r="B683" s="178"/>
      <c r="C683" s="178"/>
      <c r="D683" s="178"/>
      <c r="E683" s="178"/>
    </row>
    <row r="684">
      <c r="A684" s="178"/>
      <c r="B684" s="178"/>
      <c r="C684" s="178"/>
      <c r="D684" s="178"/>
      <c r="E684" s="178"/>
    </row>
    <row r="685">
      <c r="A685" s="178"/>
      <c r="B685" s="178"/>
      <c r="C685" s="178"/>
      <c r="D685" s="178"/>
      <c r="E685" s="178"/>
    </row>
    <row r="686">
      <c r="A686" s="178"/>
      <c r="B686" s="178"/>
      <c r="C686" s="178"/>
      <c r="D686" s="178"/>
      <c r="E686" s="178"/>
    </row>
    <row r="687">
      <c r="A687" s="178"/>
      <c r="B687" s="178"/>
      <c r="C687" s="178"/>
      <c r="D687" s="178"/>
      <c r="E687" s="178"/>
    </row>
    <row r="688">
      <c r="A688" s="178"/>
      <c r="B688" s="178"/>
      <c r="C688" s="178"/>
      <c r="D688" s="178"/>
      <c r="E688" s="178"/>
    </row>
    <row r="689">
      <c r="A689" s="178"/>
      <c r="B689" s="178"/>
      <c r="C689" s="178"/>
      <c r="D689" s="178"/>
      <c r="E689" s="178"/>
    </row>
    <row r="690">
      <c r="A690" s="178"/>
      <c r="B690" s="178"/>
      <c r="C690" s="178"/>
      <c r="D690" s="178"/>
      <c r="E690" s="178"/>
    </row>
    <row r="691">
      <c r="A691" s="178"/>
      <c r="B691" s="178"/>
      <c r="C691" s="178"/>
      <c r="D691" s="178"/>
      <c r="E691" s="178"/>
    </row>
    <row r="692">
      <c r="A692" s="178"/>
      <c r="B692" s="178"/>
      <c r="C692" s="178"/>
      <c r="D692" s="178"/>
      <c r="E692" s="178"/>
    </row>
    <row r="693">
      <c r="A693" s="178"/>
      <c r="B693" s="178"/>
      <c r="C693" s="178"/>
      <c r="D693" s="178"/>
      <c r="E693" s="178"/>
    </row>
    <row r="694">
      <c r="A694" s="178"/>
      <c r="B694" s="178"/>
      <c r="C694" s="178"/>
      <c r="D694" s="178"/>
      <c r="E694" s="178"/>
    </row>
    <row r="695">
      <c r="A695" s="178"/>
      <c r="B695" s="178"/>
      <c r="C695" s="178"/>
      <c r="D695" s="178"/>
      <c r="E695" s="178"/>
    </row>
    <row r="696">
      <c r="A696" s="178"/>
      <c r="B696" s="178"/>
      <c r="C696" s="178"/>
      <c r="D696" s="178"/>
      <c r="E696" s="178"/>
    </row>
    <row r="697">
      <c r="A697" s="178"/>
      <c r="B697" s="178"/>
      <c r="C697" s="178"/>
      <c r="D697" s="178"/>
      <c r="E697" s="178"/>
    </row>
    <row r="698">
      <c r="A698" s="178"/>
      <c r="B698" s="178"/>
      <c r="C698" s="178"/>
      <c r="D698" s="178"/>
      <c r="E698" s="178"/>
    </row>
    <row r="699">
      <c r="A699" s="178"/>
      <c r="B699" s="178"/>
      <c r="C699" s="178"/>
      <c r="D699" s="178"/>
      <c r="E699" s="178"/>
    </row>
    <row r="700">
      <c r="A700" s="178"/>
      <c r="B700" s="178"/>
      <c r="C700" s="178"/>
      <c r="D700" s="178"/>
      <c r="E700" s="178"/>
    </row>
    <row r="701">
      <c r="A701" s="178"/>
      <c r="B701" s="178"/>
      <c r="C701" s="178"/>
      <c r="D701" s="178"/>
      <c r="E701" s="178"/>
    </row>
    <row r="702">
      <c r="A702" s="178"/>
      <c r="B702" s="178"/>
      <c r="C702" s="178"/>
      <c r="D702" s="178"/>
      <c r="E702" s="178"/>
    </row>
    <row r="703">
      <c r="A703" s="178"/>
      <c r="B703" s="178"/>
      <c r="C703" s="178"/>
      <c r="D703" s="178"/>
      <c r="E703" s="178"/>
    </row>
    <row r="704">
      <c r="A704" s="178"/>
      <c r="B704" s="178"/>
      <c r="C704" s="178"/>
      <c r="D704" s="178"/>
      <c r="E704" s="178"/>
    </row>
    <row r="705">
      <c r="A705" s="178"/>
      <c r="B705" s="178"/>
      <c r="C705" s="178"/>
      <c r="D705" s="178"/>
      <c r="E705" s="178"/>
    </row>
    <row r="706">
      <c r="A706" s="178"/>
      <c r="B706" s="178"/>
      <c r="C706" s="178"/>
      <c r="D706" s="178"/>
      <c r="E706" s="178"/>
    </row>
    <row r="707">
      <c r="A707" s="178"/>
      <c r="B707" s="178"/>
      <c r="C707" s="178"/>
      <c r="D707" s="178"/>
      <c r="E707" s="178"/>
    </row>
    <row r="708">
      <c r="A708" s="178"/>
      <c r="B708" s="178"/>
      <c r="C708" s="178"/>
      <c r="D708" s="178"/>
      <c r="E708" s="178"/>
    </row>
    <row r="709">
      <c r="A709" s="178"/>
      <c r="B709" s="178"/>
      <c r="C709" s="178"/>
      <c r="D709" s="178"/>
      <c r="E709" s="178"/>
    </row>
    <row r="710">
      <c r="A710" s="178"/>
      <c r="B710" s="178"/>
      <c r="C710" s="178"/>
      <c r="D710" s="178"/>
      <c r="E710" s="178"/>
    </row>
    <row r="711">
      <c r="A711" s="178"/>
      <c r="B711" s="178"/>
      <c r="C711" s="178"/>
      <c r="D711" s="178"/>
      <c r="E711" s="178"/>
    </row>
    <row r="712">
      <c r="A712" s="178"/>
      <c r="B712" s="178"/>
      <c r="C712" s="178"/>
      <c r="D712" s="178"/>
      <c r="E712" s="178"/>
    </row>
    <row r="713">
      <c r="A713" s="178"/>
      <c r="B713" s="178"/>
      <c r="C713" s="178"/>
      <c r="D713" s="178"/>
      <c r="E713" s="178"/>
    </row>
    <row r="714">
      <c r="A714" s="178"/>
      <c r="B714" s="178"/>
      <c r="C714" s="178"/>
      <c r="D714" s="178"/>
      <c r="E714" s="178"/>
    </row>
    <row r="715">
      <c r="A715" s="178"/>
      <c r="B715" s="178"/>
      <c r="C715" s="178"/>
      <c r="D715" s="178"/>
      <c r="E715" s="178"/>
    </row>
    <row r="716">
      <c r="A716" s="178"/>
      <c r="B716" s="178"/>
      <c r="C716" s="178"/>
      <c r="D716" s="178"/>
      <c r="E716" s="178"/>
    </row>
    <row r="717">
      <c r="A717" s="178"/>
      <c r="B717" s="178"/>
      <c r="C717" s="178"/>
      <c r="D717" s="178"/>
      <c r="E717" s="178"/>
    </row>
    <row r="718">
      <c r="A718" s="178"/>
      <c r="B718" s="178"/>
      <c r="C718" s="178"/>
      <c r="D718" s="178"/>
      <c r="E718" s="178"/>
    </row>
    <row r="719">
      <c r="A719" s="178"/>
      <c r="B719" s="178"/>
      <c r="C719" s="178"/>
      <c r="D719" s="178"/>
      <c r="E719" s="178"/>
    </row>
    <row r="720">
      <c r="A720" s="178"/>
      <c r="B720" s="178"/>
      <c r="C720" s="178"/>
      <c r="D720" s="178"/>
      <c r="E720" s="178"/>
    </row>
    <row r="721">
      <c r="A721" s="178"/>
      <c r="B721" s="178"/>
      <c r="C721" s="178"/>
      <c r="D721" s="178"/>
      <c r="E721" s="178"/>
    </row>
    <row r="722">
      <c r="A722" s="178"/>
      <c r="B722" s="178"/>
      <c r="C722" s="178"/>
      <c r="D722" s="178"/>
      <c r="E722" s="178"/>
    </row>
    <row r="723">
      <c r="A723" s="178"/>
      <c r="B723" s="178"/>
      <c r="C723" s="178"/>
      <c r="D723" s="178"/>
      <c r="E723" s="178"/>
    </row>
    <row r="724">
      <c r="A724" s="178"/>
      <c r="B724" s="178"/>
      <c r="C724" s="178"/>
      <c r="D724" s="178"/>
      <c r="E724" s="178"/>
    </row>
    <row r="725">
      <c r="A725" s="178"/>
      <c r="B725" s="178"/>
      <c r="C725" s="178"/>
      <c r="D725" s="178"/>
      <c r="E725" s="178"/>
    </row>
    <row r="726">
      <c r="A726" s="178"/>
      <c r="B726" s="178"/>
      <c r="C726" s="178"/>
      <c r="D726" s="178"/>
      <c r="E726" s="178"/>
    </row>
    <row r="727">
      <c r="A727" s="178"/>
      <c r="B727" s="178"/>
      <c r="C727" s="178"/>
      <c r="D727" s="178"/>
      <c r="E727" s="178"/>
    </row>
    <row r="728">
      <c r="A728" s="178"/>
      <c r="B728" s="178"/>
      <c r="C728" s="178"/>
      <c r="D728" s="178"/>
      <c r="E728" s="178"/>
    </row>
    <row r="729">
      <c r="A729" s="178"/>
      <c r="B729" s="178"/>
      <c r="C729" s="178"/>
      <c r="D729" s="178"/>
      <c r="E729" s="178"/>
    </row>
    <row r="730">
      <c r="A730" s="178"/>
      <c r="B730" s="178"/>
      <c r="C730" s="178"/>
      <c r="D730" s="178"/>
      <c r="E730" s="178"/>
    </row>
    <row r="731">
      <c r="A731" s="178"/>
      <c r="B731" s="178"/>
      <c r="C731" s="178"/>
      <c r="D731" s="178"/>
      <c r="E731" s="178"/>
    </row>
    <row r="732">
      <c r="A732" s="178"/>
      <c r="B732" s="178"/>
      <c r="C732" s="178"/>
      <c r="D732" s="178"/>
      <c r="E732" s="178"/>
    </row>
    <row r="733">
      <c r="A733" s="178"/>
      <c r="B733" s="178"/>
      <c r="C733" s="178"/>
      <c r="D733" s="178"/>
      <c r="E733" s="178"/>
    </row>
    <row r="734">
      <c r="A734" s="178"/>
      <c r="B734" s="178"/>
      <c r="C734" s="178"/>
      <c r="D734" s="178"/>
      <c r="E734" s="178"/>
    </row>
    <row r="735">
      <c r="A735" s="178"/>
      <c r="B735" s="178"/>
      <c r="C735" s="178"/>
      <c r="D735" s="178"/>
      <c r="E735" s="178"/>
    </row>
    <row r="736">
      <c r="A736" s="178"/>
      <c r="B736" s="178"/>
      <c r="C736" s="178"/>
      <c r="D736" s="178"/>
      <c r="E736" s="178"/>
    </row>
    <row r="737">
      <c r="A737" s="178"/>
      <c r="B737" s="178"/>
      <c r="C737" s="178"/>
      <c r="D737" s="178"/>
      <c r="E737" s="178"/>
    </row>
    <row r="738">
      <c r="A738" s="178"/>
      <c r="B738" s="178"/>
      <c r="C738" s="178"/>
      <c r="D738" s="178"/>
      <c r="E738" s="178"/>
    </row>
    <row r="739">
      <c r="A739" s="178"/>
      <c r="B739" s="178"/>
      <c r="C739" s="178"/>
      <c r="D739" s="178"/>
      <c r="E739" s="178"/>
    </row>
    <row r="740">
      <c r="A740" s="178"/>
      <c r="B740" s="178"/>
      <c r="C740" s="178"/>
      <c r="D740" s="178"/>
      <c r="E740" s="178"/>
    </row>
    <row r="741">
      <c r="A741" s="178"/>
      <c r="B741" s="178"/>
      <c r="C741" s="178"/>
      <c r="D741" s="178"/>
      <c r="E741" s="178"/>
    </row>
    <row r="742">
      <c r="A742" s="178"/>
      <c r="B742" s="178"/>
      <c r="C742" s="178"/>
      <c r="D742" s="178"/>
      <c r="E742" s="178"/>
    </row>
    <row r="743">
      <c r="A743" s="178"/>
      <c r="B743" s="178"/>
      <c r="C743" s="178"/>
      <c r="D743" s="178"/>
      <c r="E743" s="178"/>
    </row>
    <row r="744">
      <c r="A744" s="178"/>
      <c r="B744" s="178"/>
      <c r="C744" s="178"/>
      <c r="D744" s="178"/>
      <c r="E744" s="178"/>
    </row>
    <row r="745">
      <c r="A745" s="178"/>
      <c r="B745" s="178"/>
      <c r="C745" s="178"/>
      <c r="D745" s="178"/>
      <c r="E745" s="178"/>
    </row>
    <row r="746">
      <c r="A746" s="178"/>
      <c r="B746" s="178"/>
      <c r="C746" s="178"/>
      <c r="D746" s="178"/>
      <c r="E746" s="178"/>
    </row>
    <row r="747">
      <c r="A747" s="178"/>
      <c r="B747" s="178"/>
      <c r="C747" s="178"/>
      <c r="D747" s="178"/>
      <c r="E747" s="178"/>
    </row>
    <row r="748">
      <c r="A748" s="178"/>
      <c r="B748" s="178"/>
      <c r="C748" s="178"/>
      <c r="D748" s="178"/>
      <c r="E748" s="178"/>
    </row>
    <row r="749">
      <c r="A749" s="178"/>
      <c r="B749" s="178"/>
      <c r="C749" s="178"/>
      <c r="D749" s="178"/>
      <c r="E749" s="178"/>
    </row>
    <row r="750">
      <c r="A750" s="178"/>
      <c r="B750" s="178"/>
      <c r="C750" s="178"/>
      <c r="D750" s="178"/>
      <c r="E750" s="178"/>
    </row>
    <row r="751">
      <c r="A751" s="178"/>
      <c r="B751" s="178"/>
      <c r="C751" s="178"/>
      <c r="D751" s="178"/>
      <c r="E751" s="178"/>
    </row>
    <row r="752">
      <c r="A752" s="178"/>
      <c r="B752" s="178"/>
      <c r="C752" s="178"/>
      <c r="D752" s="178"/>
      <c r="E752" s="178"/>
    </row>
    <row r="753">
      <c r="A753" s="178"/>
      <c r="B753" s="178"/>
      <c r="C753" s="178"/>
      <c r="D753" s="178"/>
      <c r="E753" s="178"/>
    </row>
    <row r="754">
      <c r="A754" s="178"/>
      <c r="B754" s="178"/>
      <c r="C754" s="178"/>
      <c r="D754" s="178"/>
      <c r="E754" s="178"/>
    </row>
    <row r="755">
      <c r="A755" s="178"/>
      <c r="B755" s="178"/>
      <c r="C755" s="178"/>
      <c r="D755" s="178"/>
      <c r="E755" s="178"/>
    </row>
    <row r="756">
      <c r="A756" s="178"/>
      <c r="B756" s="178"/>
      <c r="C756" s="178"/>
      <c r="D756" s="178"/>
      <c r="E756" s="178"/>
    </row>
    <row r="757">
      <c r="A757" s="178"/>
      <c r="B757" s="178"/>
      <c r="C757" s="178"/>
      <c r="D757" s="178"/>
      <c r="E757" s="178"/>
    </row>
    <row r="758">
      <c r="A758" s="178"/>
      <c r="B758" s="178"/>
      <c r="C758" s="178"/>
      <c r="D758" s="178"/>
      <c r="E758" s="178"/>
    </row>
    <row r="759">
      <c r="A759" s="178"/>
      <c r="B759" s="178"/>
      <c r="C759" s="178"/>
      <c r="D759" s="178"/>
      <c r="E759" s="178"/>
    </row>
    <row r="760">
      <c r="A760" s="178"/>
      <c r="B760" s="178"/>
      <c r="C760" s="178"/>
      <c r="D760" s="178"/>
      <c r="E760" s="178"/>
    </row>
    <row r="761">
      <c r="A761" s="178"/>
      <c r="B761" s="178"/>
      <c r="C761" s="178"/>
      <c r="D761" s="178"/>
      <c r="E761" s="178"/>
    </row>
    <row r="762">
      <c r="A762" s="178"/>
      <c r="B762" s="178"/>
      <c r="C762" s="178"/>
      <c r="D762" s="178"/>
      <c r="E762" s="178"/>
    </row>
    <row r="763">
      <c r="A763" s="178"/>
      <c r="B763" s="178"/>
      <c r="C763" s="178"/>
      <c r="D763" s="178"/>
      <c r="E763" s="178"/>
    </row>
    <row r="764">
      <c r="A764" s="178"/>
      <c r="B764" s="178"/>
      <c r="C764" s="178"/>
      <c r="D764" s="178"/>
      <c r="E764" s="178"/>
    </row>
    <row r="765">
      <c r="A765" s="178"/>
      <c r="B765" s="178"/>
      <c r="C765" s="178"/>
      <c r="D765" s="178"/>
      <c r="E765" s="178"/>
    </row>
    <row r="766">
      <c r="A766" s="178"/>
      <c r="B766" s="178"/>
      <c r="C766" s="178"/>
      <c r="D766" s="178"/>
      <c r="E766" s="178"/>
    </row>
    <row r="767">
      <c r="A767" s="178"/>
      <c r="B767" s="178"/>
      <c r="C767" s="178"/>
      <c r="D767" s="178"/>
      <c r="E767" s="178"/>
    </row>
    <row r="768">
      <c r="A768" s="178"/>
      <c r="B768" s="178"/>
      <c r="C768" s="178"/>
      <c r="D768" s="178"/>
      <c r="E768" s="178"/>
    </row>
    <row r="769">
      <c r="A769" s="178"/>
      <c r="B769" s="178"/>
      <c r="C769" s="178"/>
      <c r="D769" s="178"/>
      <c r="E769" s="178"/>
    </row>
    <row r="770">
      <c r="A770" s="178"/>
      <c r="B770" s="178"/>
      <c r="C770" s="178"/>
      <c r="D770" s="178"/>
      <c r="E770" s="178"/>
    </row>
    <row r="771">
      <c r="A771" s="178"/>
      <c r="B771" s="178"/>
      <c r="C771" s="178"/>
      <c r="D771" s="178"/>
      <c r="E771" s="178"/>
    </row>
    <row r="772">
      <c r="A772" s="178"/>
      <c r="B772" s="178"/>
      <c r="C772" s="178"/>
      <c r="D772" s="178"/>
      <c r="E772" s="178"/>
    </row>
    <row r="773">
      <c r="A773" s="178"/>
      <c r="B773" s="178"/>
      <c r="C773" s="178"/>
      <c r="D773" s="178"/>
      <c r="E773" s="178"/>
    </row>
    <row r="774">
      <c r="A774" s="178"/>
      <c r="B774" s="178"/>
      <c r="C774" s="178"/>
      <c r="D774" s="178"/>
      <c r="E774" s="178"/>
    </row>
    <row r="775">
      <c r="A775" s="178"/>
      <c r="B775" s="178"/>
      <c r="C775" s="178"/>
      <c r="D775" s="178"/>
      <c r="E775" s="178"/>
    </row>
    <row r="776">
      <c r="A776" s="178"/>
      <c r="B776" s="178"/>
      <c r="C776" s="178"/>
      <c r="D776" s="178"/>
      <c r="E776" s="178"/>
    </row>
    <row r="777">
      <c r="A777" s="178"/>
      <c r="B777" s="178"/>
      <c r="C777" s="178"/>
      <c r="D777" s="178"/>
      <c r="E777" s="178"/>
    </row>
    <row r="778">
      <c r="A778" s="178"/>
      <c r="B778" s="178"/>
      <c r="C778" s="178"/>
      <c r="D778" s="178"/>
      <c r="E778" s="178"/>
    </row>
    <row r="779">
      <c r="A779" s="178"/>
      <c r="B779" s="178"/>
      <c r="C779" s="178"/>
      <c r="D779" s="178"/>
      <c r="E779" s="178"/>
    </row>
    <row r="780">
      <c r="A780" s="178"/>
      <c r="B780" s="178"/>
      <c r="C780" s="178"/>
      <c r="D780" s="178"/>
      <c r="E780" s="178"/>
    </row>
    <row r="781">
      <c r="A781" s="178"/>
      <c r="B781" s="178"/>
      <c r="C781" s="178"/>
      <c r="D781" s="178"/>
      <c r="E781" s="178"/>
    </row>
    <row r="782">
      <c r="A782" s="178"/>
      <c r="B782" s="178"/>
      <c r="C782" s="178"/>
      <c r="D782" s="178"/>
      <c r="E782" s="178"/>
    </row>
    <row r="783">
      <c r="A783" s="178"/>
      <c r="B783" s="178"/>
      <c r="C783" s="178"/>
      <c r="D783" s="178"/>
      <c r="E783" s="178"/>
    </row>
    <row r="784">
      <c r="A784" s="178"/>
      <c r="B784" s="178"/>
      <c r="C784" s="178"/>
      <c r="D784" s="178"/>
      <c r="E784" s="178"/>
    </row>
    <row r="785">
      <c r="A785" s="178"/>
      <c r="B785" s="178"/>
      <c r="C785" s="178"/>
      <c r="D785" s="178"/>
      <c r="E785" s="178"/>
    </row>
    <row r="786">
      <c r="A786" s="178"/>
      <c r="B786" s="178"/>
      <c r="C786" s="178"/>
      <c r="D786" s="178"/>
      <c r="E786" s="178"/>
    </row>
    <row r="787">
      <c r="A787" s="178"/>
      <c r="B787" s="178"/>
      <c r="C787" s="178"/>
      <c r="D787" s="178"/>
      <c r="E787" s="178"/>
    </row>
    <row r="788">
      <c r="A788" s="178"/>
      <c r="B788" s="178"/>
      <c r="C788" s="178"/>
      <c r="D788" s="178"/>
      <c r="E788" s="178"/>
    </row>
    <row r="789">
      <c r="A789" s="178"/>
      <c r="B789" s="178"/>
      <c r="C789" s="178"/>
      <c r="D789" s="178"/>
      <c r="E789" s="178"/>
    </row>
    <row r="790">
      <c r="A790" s="178"/>
      <c r="B790" s="178"/>
      <c r="C790" s="178"/>
      <c r="D790" s="178"/>
      <c r="E790" s="178"/>
    </row>
    <row r="791">
      <c r="A791" s="178"/>
      <c r="B791" s="178"/>
      <c r="C791" s="178"/>
      <c r="D791" s="178"/>
      <c r="E791" s="178"/>
    </row>
    <row r="792">
      <c r="A792" s="178"/>
      <c r="B792" s="178"/>
      <c r="C792" s="178"/>
      <c r="D792" s="178"/>
      <c r="E792" s="178"/>
    </row>
    <row r="793">
      <c r="A793" s="178"/>
      <c r="B793" s="178"/>
      <c r="C793" s="178"/>
      <c r="D793" s="178"/>
      <c r="E793" s="178"/>
    </row>
    <row r="794">
      <c r="A794" s="178"/>
      <c r="B794" s="178"/>
      <c r="C794" s="178"/>
      <c r="D794" s="178"/>
      <c r="E794" s="178"/>
    </row>
    <row r="795">
      <c r="A795" s="178"/>
      <c r="B795" s="178"/>
      <c r="C795" s="178"/>
      <c r="D795" s="178"/>
      <c r="E795" s="178"/>
    </row>
    <row r="796">
      <c r="A796" s="178"/>
      <c r="B796" s="178"/>
      <c r="C796" s="178"/>
      <c r="D796" s="178"/>
      <c r="E796" s="178"/>
    </row>
    <row r="797">
      <c r="A797" s="178"/>
      <c r="B797" s="178"/>
      <c r="C797" s="178"/>
      <c r="D797" s="178"/>
      <c r="E797" s="178"/>
    </row>
    <row r="798">
      <c r="A798" s="178"/>
      <c r="B798" s="178"/>
      <c r="C798" s="178"/>
      <c r="D798" s="178"/>
      <c r="E798" s="178"/>
    </row>
    <row r="799">
      <c r="A799" s="178"/>
      <c r="B799" s="178"/>
      <c r="C799" s="178"/>
      <c r="D799" s="178"/>
      <c r="E799" s="178"/>
    </row>
    <row r="800">
      <c r="A800" s="178"/>
      <c r="B800" s="178"/>
      <c r="C800" s="178"/>
      <c r="D800" s="178"/>
      <c r="E800" s="178"/>
    </row>
    <row r="801">
      <c r="A801" s="178"/>
      <c r="B801" s="178"/>
      <c r="C801" s="178"/>
      <c r="D801" s="178"/>
      <c r="E801" s="178"/>
    </row>
    <row r="802">
      <c r="A802" s="178"/>
      <c r="B802" s="178"/>
      <c r="C802" s="178"/>
      <c r="D802" s="178"/>
      <c r="E802" s="178"/>
    </row>
    <row r="803">
      <c r="A803" s="178"/>
      <c r="B803" s="178"/>
      <c r="C803" s="178"/>
      <c r="D803" s="178"/>
      <c r="E803" s="178"/>
    </row>
    <row r="804">
      <c r="A804" s="178"/>
      <c r="B804" s="178"/>
      <c r="C804" s="178"/>
      <c r="D804" s="178"/>
      <c r="E804" s="178"/>
    </row>
    <row r="805">
      <c r="A805" s="178"/>
      <c r="B805" s="178"/>
      <c r="C805" s="178"/>
      <c r="D805" s="178"/>
      <c r="E805" s="178"/>
    </row>
    <row r="806">
      <c r="A806" s="178"/>
      <c r="B806" s="178"/>
      <c r="C806" s="178"/>
      <c r="D806" s="178"/>
      <c r="E806" s="178"/>
    </row>
    <row r="807">
      <c r="A807" s="178"/>
      <c r="B807" s="178"/>
      <c r="C807" s="178"/>
      <c r="D807" s="178"/>
      <c r="E807" s="178"/>
    </row>
    <row r="808">
      <c r="A808" s="178"/>
      <c r="B808" s="178"/>
      <c r="C808" s="178"/>
      <c r="D808" s="178"/>
      <c r="E808" s="178"/>
    </row>
    <row r="809">
      <c r="A809" s="178"/>
      <c r="B809" s="178"/>
      <c r="C809" s="178"/>
      <c r="D809" s="178"/>
      <c r="E809" s="178"/>
    </row>
    <row r="810">
      <c r="A810" s="178"/>
      <c r="B810" s="178"/>
      <c r="C810" s="178"/>
      <c r="D810" s="178"/>
      <c r="E810" s="178"/>
    </row>
    <row r="811">
      <c r="A811" s="178"/>
      <c r="B811" s="178"/>
      <c r="C811" s="178"/>
      <c r="D811" s="178"/>
      <c r="E811" s="178"/>
    </row>
    <row r="812">
      <c r="A812" s="178"/>
      <c r="B812" s="178"/>
      <c r="C812" s="178"/>
      <c r="D812" s="178"/>
      <c r="E812" s="178"/>
    </row>
    <row r="813">
      <c r="A813" s="178"/>
      <c r="B813" s="178"/>
      <c r="C813" s="178"/>
      <c r="D813" s="178"/>
      <c r="E813" s="178"/>
    </row>
    <row r="814">
      <c r="A814" s="178"/>
      <c r="B814" s="178"/>
      <c r="C814" s="178"/>
      <c r="D814" s="178"/>
      <c r="E814" s="178"/>
    </row>
    <row r="815">
      <c r="A815" s="178"/>
      <c r="B815" s="178"/>
      <c r="C815" s="178"/>
      <c r="D815" s="178"/>
      <c r="E815" s="178"/>
    </row>
    <row r="816">
      <c r="A816" s="178"/>
      <c r="B816" s="178"/>
      <c r="C816" s="178"/>
      <c r="D816" s="178"/>
      <c r="E816" s="178"/>
    </row>
    <row r="817">
      <c r="A817" s="178"/>
      <c r="B817" s="178"/>
      <c r="C817" s="178"/>
      <c r="D817" s="178"/>
      <c r="E817" s="178"/>
    </row>
    <row r="818">
      <c r="A818" s="178"/>
      <c r="B818" s="178"/>
      <c r="C818" s="178"/>
      <c r="D818" s="178"/>
      <c r="E818" s="178"/>
    </row>
    <row r="819">
      <c r="A819" s="178"/>
      <c r="B819" s="178"/>
      <c r="C819" s="178"/>
      <c r="D819" s="178"/>
      <c r="E819" s="178"/>
    </row>
    <row r="820">
      <c r="A820" s="178"/>
      <c r="B820" s="178"/>
      <c r="C820" s="178"/>
      <c r="D820" s="178"/>
      <c r="E820" s="178"/>
    </row>
    <row r="821">
      <c r="A821" s="178"/>
      <c r="B821" s="178"/>
      <c r="C821" s="178"/>
      <c r="D821" s="178"/>
      <c r="E821" s="178"/>
    </row>
    <row r="822">
      <c r="A822" s="178"/>
      <c r="B822" s="178"/>
      <c r="C822" s="178"/>
      <c r="D822" s="178"/>
      <c r="E822" s="178"/>
    </row>
    <row r="823">
      <c r="A823" s="178"/>
      <c r="B823" s="178"/>
      <c r="C823" s="178"/>
      <c r="D823" s="178"/>
      <c r="E823" s="178"/>
    </row>
    <row r="824">
      <c r="A824" s="178"/>
      <c r="B824" s="178"/>
      <c r="C824" s="178"/>
      <c r="D824" s="178"/>
      <c r="E824" s="178"/>
    </row>
    <row r="825">
      <c r="A825" s="178"/>
      <c r="B825" s="178"/>
      <c r="C825" s="178"/>
      <c r="D825" s="178"/>
      <c r="E825" s="178"/>
    </row>
    <row r="826">
      <c r="A826" s="178"/>
      <c r="B826" s="178"/>
      <c r="C826" s="178"/>
      <c r="D826" s="178"/>
      <c r="E826" s="178"/>
    </row>
    <row r="827">
      <c r="A827" s="178"/>
      <c r="B827" s="178"/>
      <c r="C827" s="178"/>
      <c r="D827" s="178"/>
      <c r="E827" s="178"/>
    </row>
    <row r="828">
      <c r="A828" s="178"/>
      <c r="B828" s="178"/>
      <c r="C828" s="178"/>
      <c r="D828" s="178"/>
      <c r="E828" s="178"/>
    </row>
    <row r="829">
      <c r="A829" s="178"/>
      <c r="B829" s="178"/>
      <c r="C829" s="178"/>
      <c r="D829" s="178"/>
      <c r="E829" s="178"/>
    </row>
    <row r="830">
      <c r="A830" s="178"/>
      <c r="B830" s="178"/>
      <c r="C830" s="178"/>
      <c r="D830" s="178"/>
      <c r="E830" s="178"/>
    </row>
    <row r="831">
      <c r="A831" s="178"/>
      <c r="B831" s="178"/>
      <c r="C831" s="178"/>
      <c r="D831" s="178"/>
      <c r="E831" s="178"/>
    </row>
    <row r="832">
      <c r="A832" s="178"/>
      <c r="B832" s="178"/>
      <c r="C832" s="178"/>
      <c r="D832" s="178"/>
      <c r="E832" s="178"/>
    </row>
    <row r="833">
      <c r="A833" s="178"/>
      <c r="B833" s="178"/>
      <c r="C833" s="178"/>
      <c r="D833" s="178"/>
      <c r="E833" s="178"/>
    </row>
    <row r="834">
      <c r="A834" s="178"/>
      <c r="B834" s="178"/>
      <c r="C834" s="178"/>
      <c r="D834" s="178"/>
      <c r="E834" s="178"/>
    </row>
    <row r="835">
      <c r="A835" s="178"/>
      <c r="B835" s="178"/>
      <c r="C835" s="178"/>
      <c r="D835" s="178"/>
      <c r="E835" s="178"/>
    </row>
    <row r="836">
      <c r="A836" s="178"/>
      <c r="B836" s="178"/>
      <c r="C836" s="178"/>
      <c r="D836" s="178"/>
      <c r="E836" s="178"/>
    </row>
    <row r="837">
      <c r="A837" s="178"/>
      <c r="B837" s="178"/>
      <c r="C837" s="178"/>
      <c r="D837" s="178"/>
      <c r="E837" s="178"/>
    </row>
    <row r="838">
      <c r="A838" s="178"/>
      <c r="B838" s="178"/>
      <c r="C838" s="178"/>
      <c r="D838" s="178"/>
      <c r="E838" s="178"/>
    </row>
    <row r="839">
      <c r="A839" s="178"/>
      <c r="B839" s="178"/>
      <c r="C839" s="178"/>
      <c r="D839" s="178"/>
      <c r="E839" s="178"/>
    </row>
    <row r="840">
      <c r="A840" s="178"/>
      <c r="B840" s="178"/>
      <c r="C840" s="178"/>
      <c r="D840" s="178"/>
      <c r="E840" s="178"/>
    </row>
    <row r="841">
      <c r="A841" s="178"/>
      <c r="B841" s="178"/>
      <c r="C841" s="178"/>
      <c r="D841" s="178"/>
      <c r="E841" s="178"/>
    </row>
    <row r="842">
      <c r="A842" s="178"/>
      <c r="B842" s="178"/>
      <c r="C842" s="178"/>
      <c r="D842" s="178"/>
      <c r="E842" s="178"/>
    </row>
    <row r="843">
      <c r="A843" s="178"/>
      <c r="B843" s="178"/>
      <c r="C843" s="178"/>
      <c r="D843" s="178"/>
      <c r="E843" s="178"/>
    </row>
    <row r="844">
      <c r="A844" s="178"/>
      <c r="B844" s="178"/>
      <c r="C844" s="178"/>
      <c r="D844" s="178"/>
      <c r="E844" s="178"/>
    </row>
    <row r="845">
      <c r="A845" s="178"/>
      <c r="B845" s="178"/>
      <c r="C845" s="178"/>
      <c r="D845" s="178"/>
      <c r="E845" s="178"/>
    </row>
    <row r="846">
      <c r="A846" s="178"/>
      <c r="B846" s="178"/>
      <c r="C846" s="178"/>
      <c r="D846" s="178"/>
      <c r="E846" s="178"/>
    </row>
    <row r="847">
      <c r="A847" s="178"/>
      <c r="B847" s="178"/>
      <c r="C847" s="178"/>
      <c r="D847" s="178"/>
      <c r="E847" s="178"/>
    </row>
    <row r="848">
      <c r="A848" s="178"/>
      <c r="B848" s="178"/>
      <c r="C848" s="178"/>
      <c r="D848" s="178"/>
      <c r="E848" s="178"/>
    </row>
    <row r="849">
      <c r="A849" s="178"/>
      <c r="B849" s="178"/>
      <c r="C849" s="178"/>
      <c r="D849" s="178"/>
      <c r="E849" s="178"/>
    </row>
    <row r="850">
      <c r="A850" s="178"/>
      <c r="B850" s="178"/>
      <c r="C850" s="178"/>
      <c r="D850" s="178"/>
      <c r="E850" s="178"/>
    </row>
    <row r="851">
      <c r="A851" s="178"/>
      <c r="B851" s="178"/>
      <c r="C851" s="178"/>
      <c r="D851" s="178"/>
      <c r="E851" s="178"/>
    </row>
    <row r="852">
      <c r="A852" s="178"/>
      <c r="B852" s="178"/>
      <c r="C852" s="178"/>
      <c r="D852" s="178"/>
      <c r="E852" s="178"/>
    </row>
    <row r="853">
      <c r="A853" s="178"/>
      <c r="B853" s="178"/>
      <c r="C853" s="178"/>
      <c r="D853" s="178"/>
      <c r="E853" s="178"/>
    </row>
    <row r="854">
      <c r="A854" s="178"/>
      <c r="B854" s="178"/>
      <c r="C854" s="178"/>
      <c r="D854" s="178"/>
      <c r="E854" s="178"/>
    </row>
    <row r="855">
      <c r="A855" s="178"/>
      <c r="B855" s="178"/>
      <c r="C855" s="178"/>
      <c r="D855" s="178"/>
      <c r="E855" s="178"/>
    </row>
    <row r="856">
      <c r="A856" s="178"/>
      <c r="B856" s="178"/>
      <c r="C856" s="178"/>
      <c r="D856" s="178"/>
      <c r="E856" s="178"/>
    </row>
    <row r="857">
      <c r="A857" s="178"/>
      <c r="B857" s="178"/>
      <c r="C857" s="178"/>
      <c r="D857" s="178"/>
      <c r="E857" s="178"/>
    </row>
    <row r="858">
      <c r="A858" s="178"/>
      <c r="B858" s="178"/>
      <c r="C858" s="178"/>
      <c r="D858" s="178"/>
      <c r="E858" s="178"/>
    </row>
    <row r="859">
      <c r="A859" s="178"/>
      <c r="B859" s="178"/>
      <c r="C859" s="178"/>
      <c r="D859" s="178"/>
      <c r="E859" s="178"/>
    </row>
    <row r="860">
      <c r="A860" s="178"/>
      <c r="B860" s="178"/>
      <c r="C860" s="178"/>
      <c r="D860" s="178"/>
      <c r="E860" s="178"/>
    </row>
    <row r="861">
      <c r="A861" s="178"/>
      <c r="B861" s="178"/>
      <c r="C861" s="178"/>
      <c r="D861" s="178"/>
      <c r="E861" s="178"/>
    </row>
    <row r="862">
      <c r="A862" s="178"/>
      <c r="B862" s="178"/>
      <c r="C862" s="178"/>
      <c r="D862" s="178"/>
      <c r="E862" s="178"/>
    </row>
    <row r="863">
      <c r="A863" s="178"/>
      <c r="B863" s="178"/>
      <c r="C863" s="178"/>
      <c r="D863" s="178"/>
      <c r="E863" s="178"/>
    </row>
    <row r="864">
      <c r="A864" s="178"/>
      <c r="B864" s="178"/>
      <c r="C864" s="178"/>
      <c r="D864" s="178"/>
      <c r="E864" s="178"/>
    </row>
    <row r="865">
      <c r="A865" s="178"/>
      <c r="B865" s="178"/>
      <c r="C865" s="178"/>
      <c r="D865" s="178"/>
      <c r="E865" s="178"/>
    </row>
    <row r="866">
      <c r="A866" s="178"/>
      <c r="B866" s="178"/>
      <c r="C866" s="178"/>
      <c r="D866" s="178"/>
      <c r="E866" s="178"/>
    </row>
    <row r="867">
      <c r="A867" s="178"/>
      <c r="B867" s="178"/>
      <c r="C867" s="178"/>
      <c r="D867" s="178"/>
      <c r="E867" s="178"/>
    </row>
    <row r="868">
      <c r="A868" s="178"/>
      <c r="B868" s="178"/>
      <c r="C868" s="178"/>
      <c r="D868" s="178"/>
      <c r="E868" s="178"/>
    </row>
    <row r="869">
      <c r="A869" s="178"/>
      <c r="B869" s="178"/>
      <c r="C869" s="178"/>
      <c r="D869" s="178"/>
      <c r="E869" s="178"/>
    </row>
    <row r="870">
      <c r="A870" s="178"/>
      <c r="B870" s="178"/>
      <c r="C870" s="178"/>
      <c r="D870" s="178"/>
      <c r="E870" s="178"/>
    </row>
    <row r="871">
      <c r="A871" s="178"/>
      <c r="B871" s="178"/>
      <c r="C871" s="178"/>
      <c r="D871" s="178"/>
      <c r="E871" s="178"/>
    </row>
    <row r="872">
      <c r="A872" s="178"/>
      <c r="B872" s="178"/>
      <c r="C872" s="178"/>
      <c r="D872" s="178"/>
      <c r="E872" s="178"/>
    </row>
    <row r="873">
      <c r="A873" s="178"/>
      <c r="B873" s="178"/>
      <c r="C873" s="178"/>
      <c r="D873" s="178"/>
      <c r="E873" s="178"/>
    </row>
    <row r="874">
      <c r="A874" s="178"/>
      <c r="B874" s="178"/>
      <c r="C874" s="178"/>
      <c r="D874" s="178"/>
      <c r="E874" s="178"/>
    </row>
    <row r="875">
      <c r="A875" s="178"/>
      <c r="B875" s="178"/>
      <c r="C875" s="178"/>
      <c r="D875" s="178"/>
      <c r="E875" s="178"/>
    </row>
    <row r="876">
      <c r="A876" s="178"/>
      <c r="B876" s="178"/>
      <c r="C876" s="178"/>
      <c r="D876" s="178"/>
      <c r="E876" s="178"/>
    </row>
    <row r="877">
      <c r="A877" s="178"/>
      <c r="B877" s="178"/>
      <c r="C877" s="178"/>
      <c r="D877" s="178"/>
      <c r="E877" s="178"/>
    </row>
    <row r="878">
      <c r="A878" s="178"/>
      <c r="B878" s="178"/>
      <c r="C878" s="178"/>
      <c r="D878" s="178"/>
      <c r="E878" s="178"/>
    </row>
    <row r="879">
      <c r="A879" s="178"/>
      <c r="B879" s="178"/>
      <c r="C879" s="178"/>
      <c r="D879" s="178"/>
      <c r="E879" s="178"/>
    </row>
    <row r="880">
      <c r="A880" s="178"/>
      <c r="B880" s="178"/>
      <c r="C880" s="178"/>
      <c r="D880" s="178"/>
      <c r="E880" s="178"/>
    </row>
    <row r="881">
      <c r="A881" s="178"/>
      <c r="B881" s="178"/>
      <c r="C881" s="178"/>
      <c r="D881" s="178"/>
      <c r="E881" s="178"/>
    </row>
    <row r="882">
      <c r="A882" s="178"/>
      <c r="B882" s="178"/>
      <c r="C882" s="178"/>
      <c r="D882" s="178"/>
      <c r="E882" s="178"/>
    </row>
    <row r="883">
      <c r="A883" s="178"/>
      <c r="B883" s="178"/>
      <c r="C883" s="178"/>
      <c r="D883" s="178"/>
      <c r="E883" s="178"/>
    </row>
    <row r="884">
      <c r="A884" s="178"/>
      <c r="B884" s="178"/>
      <c r="C884" s="178"/>
      <c r="D884" s="178"/>
      <c r="E884" s="178"/>
    </row>
    <row r="885">
      <c r="A885" s="178"/>
      <c r="B885" s="178"/>
      <c r="C885" s="178"/>
      <c r="D885" s="178"/>
      <c r="E885" s="178"/>
    </row>
    <row r="886">
      <c r="A886" s="178"/>
      <c r="B886" s="178"/>
      <c r="C886" s="178"/>
      <c r="D886" s="178"/>
      <c r="E886" s="178"/>
    </row>
    <row r="887">
      <c r="A887" s="178"/>
      <c r="B887" s="178"/>
      <c r="C887" s="178"/>
      <c r="D887" s="178"/>
      <c r="E887" s="178"/>
    </row>
    <row r="888">
      <c r="A888" s="178"/>
      <c r="B888" s="178"/>
      <c r="C888" s="178"/>
      <c r="D888" s="178"/>
      <c r="E888" s="178"/>
    </row>
    <row r="889">
      <c r="A889" s="178"/>
      <c r="B889" s="178"/>
      <c r="C889" s="178"/>
      <c r="D889" s="178"/>
      <c r="E889" s="178"/>
    </row>
    <row r="890">
      <c r="A890" s="178"/>
      <c r="B890" s="178"/>
      <c r="C890" s="178"/>
      <c r="D890" s="178"/>
      <c r="E890" s="178"/>
    </row>
    <row r="891">
      <c r="A891" s="178"/>
      <c r="B891" s="178"/>
      <c r="C891" s="178"/>
      <c r="D891" s="178"/>
      <c r="E891" s="178"/>
    </row>
    <row r="892">
      <c r="A892" s="178"/>
      <c r="B892" s="178"/>
      <c r="C892" s="178"/>
      <c r="D892" s="178"/>
      <c r="E892" s="178"/>
    </row>
    <row r="893">
      <c r="A893" s="178"/>
      <c r="B893" s="178"/>
      <c r="C893" s="178"/>
      <c r="D893" s="178"/>
      <c r="E893" s="178"/>
    </row>
    <row r="894">
      <c r="A894" s="178"/>
      <c r="B894" s="178"/>
      <c r="C894" s="178"/>
      <c r="D894" s="178"/>
      <c r="E894" s="178"/>
    </row>
    <row r="895">
      <c r="A895" s="178"/>
      <c r="B895" s="178"/>
      <c r="C895" s="178"/>
      <c r="D895" s="178"/>
      <c r="E895" s="178"/>
    </row>
    <row r="896">
      <c r="A896" s="178"/>
      <c r="B896" s="178"/>
      <c r="C896" s="178"/>
      <c r="D896" s="178"/>
      <c r="E896" s="178"/>
    </row>
    <row r="897">
      <c r="A897" s="178"/>
      <c r="B897" s="178"/>
      <c r="C897" s="178"/>
      <c r="D897" s="178"/>
      <c r="E897" s="178"/>
    </row>
    <row r="898">
      <c r="A898" s="178"/>
      <c r="B898" s="178"/>
      <c r="C898" s="178"/>
      <c r="D898" s="178"/>
      <c r="E898" s="178"/>
    </row>
    <row r="899">
      <c r="A899" s="178"/>
      <c r="B899" s="178"/>
      <c r="C899" s="178"/>
      <c r="D899" s="178"/>
      <c r="E899" s="178"/>
    </row>
    <row r="900">
      <c r="A900" s="178"/>
      <c r="B900" s="178"/>
      <c r="C900" s="178"/>
      <c r="D900" s="178"/>
      <c r="E900" s="178"/>
    </row>
    <row r="901">
      <c r="A901" s="178"/>
      <c r="B901" s="178"/>
      <c r="C901" s="178"/>
      <c r="D901" s="178"/>
      <c r="E901" s="178"/>
    </row>
    <row r="902">
      <c r="A902" s="178"/>
      <c r="B902" s="178"/>
      <c r="C902" s="178"/>
      <c r="D902" s="178"/>
      <c r="E902" s="178"/>
    </row>
    <row r="903">
      <c r="A903" s="178"/>
      <c r="B903" s="178"/>
      <c r="C903" s="178"/>
      <c r="D903" s="178"/>
      <c r="E903" s="178"/>
    </row>
    <row r="904">
      <c r="A904" s="178"/>
      <c r="B904" s="178"/>
      <c r="C904" s="178"/>
      <c r="D904" s="178"/>
      <c r="E904" s="178"/>
    </row>
    <row r="905">
      <c r="A905" s="178"/>
      <c r="B905" s="178"/>
      <c r="C905" s="178"/>
      <c r="D905" s="178"/>
      <c r="E905" s="178"/>
    </row>
    <row r="906">
      <c r="A906" s="178"/>
      <c r="B906" s="178"/>
      <c r="C906" s="178"/>
      <c r="D906" s="178"/>
      <c r="E906" s="178"/>
    </row>
    <row r="907">
      <c r="A907" s="178"/>
      <c r="B907" s="178"/>
      <c r="C907" s="178"/>
      <c r="D907" s="178"/>
      <c r="E907" s="178"/>
    </row>
    <row r="908">
      <c r="A908" s="178"/>
      <c r="B908" s="178"/>
      <c r="C908" s="178"/>
      <c r="D908" s="178"/>
      <c r="E908" s="178"/>
    </row>
    <row r="909">
      <c r="A909" s="178"/>
      <c r="B909" s="178"/>
      <c r="C909" s="178"/>
      <c r="D909" s="178"/>
      <c r="E909" s="178"/>
    </row>
    <row r="910">
      <c r="A910" s="178"/>
      <c r="B910" s="178"/>
      <c r="C910" s="178"/>
      <c r="D910" s="178"/>
      <c r="E910" s="178"/>
    </row>
    <row r="911">
      <c r="A911" s="178"/>
      <c r="B911" s="178"/>
      <c r="C911" s="178"/>
      <c r="D911" s="178"/>
      <c r="E911" s="178"/>
    </row>
    <row r="912">
      <c r="A912" s="178"/>
      <c r="B912" s="178"/>
      <c r="C912" s="178"/>
      <c r="D912" s="178"/>
      <c r="E912" s="178"/>
    </row>
    <row r="913">
      <c r="A913" s="178"/>
      <c r="B913" s="178"/>
      <c r="C913" s="178"/>
      <c r="D913" s="178"/>
      <c r="E913" s="178"/>
    </row>
    <row r="914">
      <c r="A914" s="178"/>
      <c r="B914" s="178"/>
      <c r="C914" s="178"/>
      <c r="D914" s="178"/>
      <c r="E914" s="178"/>
    </row>
    <row r="915">
      <c r="A915" s="178"/>
      <c r="B915" s="178"/>
      <c r="C915" s="178"/>
      <c r="D915" s="178"/>
      <c r="E915" s="178"/>
    </row>
    <row r="916">
      <c r="A916" s="178"/>
      <c r="B916" s="178"/>
      <c r="C916" s="178"/>
      <c r="D916" s="178"/>
      <c r="E916" s="178"/>
    </row>
    <row r="917">
      <c r="A917" s="178"/>
      <c r="B917" s="178"/>
      <c r="C917" s="178"/>
      <c r="D917" s="178"/>
      <c r="E917" s="178"/>
    </row>
    <row r="918">
      <c r="A918" s="178"/>
      <c r="B918" s="178"/>
      <c r="C918" s="178"/>
      <c r="D918" s="178"/>
      <c r="E918" s="178"/>
    </row>
    <row r="919">
      <c r="A919" s="178"/>
      <c r="B919" s="178"/>
      <c r="C919" s="178"/>
      <c r="D919" s="178"/>
      <c r="E919" s="178"/>
    </row>
    <row r="920">
      <c r="A920" s="178"/>
      <c r="B920" s="178"/>
      <c r="C920" s="178"/>
      <c r="D920" s="178"/>
      <c r="E920" s="178"/>
    </row>
    <row r="921">
      <c r="A921" s="178"/>
      <c r="B921" s="178"/>
      <c r="C921" s="178"/>
      <c r="D921" s="178"/>
      <c r="E921" s="178"/>
    </row>
    <row r="922">
      <c r="A922" s="178"/>
      <c r="B922" s="178"/>
      <c r="C922" s="178"/>
      <c r="D922" s="178"/>
      <c r="E922" s="178"/>
    </row>
    <row r="923">
      <c r="A923" s="178"/>
      <c r="B923" s="178"/>
      <c r="C923" s="178"/>
      <c r="D923" s="178"/>
      <c r="E923" s="178"/>
    </row>
    <row r="924">
      <c r="A924" s="178"/>
      <c r="B924" s="178"/>
      <c r="C924" s="178"/>
      <c r="D924" s="178"/>
      <c r="E924" s="178"/>
    </row>
    <row r="925">
      <c r="A925" s="178"/>
      <c r="B925" s="178"/>
      <c r="C925" s="178"/>
      <c r="D925" s="178"/>
      <c r="E925" s="178"/>
    </row>
    <row r="926">
      <c r="A926" s="178"/>
      <c r="B926" s="178"/>
      <c r="C926" s="178"/>
      <c r="D926" s="178"/>
      <c r="E926" s="178"/>
    </row>
    <row r="927">
      <c r="A927" s="178"/>
      <c r="B927" s="178"/>
      <c r="C927" s="178"/>
      <c r="D927" s="178"/>
      <c r="E927" s="178"/>
    </row>
    <row r="928">
      <c r="A928" s="178"/>
      <c r="B928" s="178"/>
      <c r="C928" s="178"/>
      <c r="D928" s="178"/>
      <c r="E928" s="178"/>
    </row>
    <row r="929">
      <c r="A929" s="178"/>
      <c r="B929" s="178"/>
      <c r="C929" s="178"/>
      <c r="D929" s="178"/>
      <c r="E929" s="178"/>
    </row>
    <row r="930">
      <c r="A930" s="178"/>
      <c r="B930" s="178"/>
      <c r="C930" s="178"/>
      <c r="D930" s="178"/>
      <c r="E930" s="178"/>
    </row>
    <row r="931">
      <c r="A931" s="178"/>
      <c r="B931" s="178"/>
      <c r="C931" s="178"/>
      <c r="D931" s="178"/>
      <c r="E931" s="178"/>
    </row>
    <row r="932">
      <c r="A932" s="178"/>
      <c r="B932" s="178"/>
      <c r="C932" s="178"/>
      <c r="D932" s="178"/>
      <c r="E932" s="178"/>
    </row>
    <row r="933">
      <c r="A933" s="178"/>
      <c r="B933" s="178"/>
      <c r="C933" s="178"/>
      <c r="D933" s="178"/>
      <c r="E933" s="178"/>
    </row>
    <row r="934">
      <c r="A934" s="178"/>
      <c r="B934" s="178"/>
      <c r="C934" s="178"/>
      <c r="D934" s="178"/>
      <c r="E934" s="178"/>
    </row>
    <row r="935">
      <c r="A935" s="178"/>
      <c r="B935" s="178"/>
      <c r="C935" s="178"/>
      <c r="D935" s="178"/>
      <c r="E935" s="178"/>
    </row>
    <row r="936">
      <c r="A936" s="178"/>
      <c r="B936" s="178"/>
      <c r="C936" s="178"/>
      <c r="D936" s="178"/>
      <c r="E936" s="178"/>
    </row>
    <row r="937">
      <c r="A937" s="178"/>
      <c r="B937" s="178"/>
      <c r="C937" s="178"/>
      <c r="D937" s="178"/>
      <c r="E937" s="178"/>
    </row>
    <row r="938">
      <c r="A938" s="178"/>
      <c r="B938" s="178"/>
      <c r="C938" s="178"/>
      <c r="D938" s="178"/>
      <c r="E938" s="178"/>
    </row>
    <row r="939">
      <c r="A939" s="178"/>
      <c r="B939" s="178"/>
      <c r="C939" s="178"/>
      <c r="D939" s="178"/>
      <c r="E939" s="178"/>
    </row>
    <row r="940">
      <c r="A940" s="178"/>
      <c r="B940" s="178"/>
      <c r="C940" s="178"/>
      <c r="D940" s="178"/>
      <c r="E940" s="178"/>
    </row>
    <row r="941">
      <c r="A941" s="178"/>
      <c r="B941" s="178"/>
      <c r="C941" s="178"/>
      <c r="D941" s="178"/>
      <c r="E941" s="178"/>
    </row>
    <row r="942">
      <c r="A942" s="178"/>
      <c r="B942" s="178"/>
      <c r="C942" s="178"/>
      <c r="D942" s="178"/>
      <c r="E942" s="178"/>
    </row>
    <row r="943">
      <c r="A943" s="178"/>
      <c r="B943" s="178"/>
      <c r="C943" s="178"/>
      <c r="D943" s="178"/>
      <c r="E943" s="178"/>
    </row>
    <row r="944">
      <c r="A944" s="178"/>
      <c r="B944" s="178"/>
      <c r="C944" s="178"/>
      <c r="D944" s="178"/>
      <c r="E944" s="178"/>
    </row>
    <row r="945">
      <c r="A945" s="178"/>
      <c r="B945" s="178"/>
      <c r="C945" s="178"/>
      <c r="D945" s="178"/>
      <c r="E945" s="178"/>
    </row>
    <row r="946">
      <c r="A946" s="178"/>
      <c r="B946" s="178"/>
      <c r="C946" s="178"/>
      <c r="D946" s="178"/>
      <c r="E946" s="178"/>
    </row>
    <row r="947">
      <c r="A947" s="178"/>
      <c r="B947" s="178"/>
      <c r="C947" s="178"/>
      <c r="D947" s="178"/>
      <c r="E947" s="178"/>
    </row>
    <row r="948">
      <c r="A948" s="178"/>
      <c r="B948" s="178"/>
      <c r="C948" s="178"/>
      <c r="D948" s="178"/>
      <c r="E948" s="178"/>
    </row>
    <row r="949">
      <c r="A949" s="178"/>
      <c r="B949" s="178"/>
      <c r="C949" s="178"/>
      <c r="D949" s="178"/>
      <c r="E949" s="178"/>
    </row>
    <row r="950">
      <c r="A950" s="178"/>
      <c r="B950" s="178"/>
      <c r="C950" s="178"/>
      <c r="D950" s="178"/>
      <c r="E950" s="178"/>
    </row>
    <row r="951">
      <c r="A951" s="178"/>
      <c r="B951" s="178"/>
      <c r="C951" s="178"/>
      <c r="D951" s="178"/>
      <c r="E951" s="178"/>
    </row>
    <row r="952">
      <c r="A952" s="178"/>
      <c r="B952" s="178"/>
      <c r="C952" s="178"/>
      <c r="D952" s="178"/>
      <c r="E952" s="178"/>
    </row>
    <row r="953">
      <c r="A953" s="178"/>
      <c r="B953" s="178"/>
      <c r="C953" s="178"/>
      <c r="D953" s="178"/>
      <c r="E953" s="178"/>
    </row>
    <row r="954">
      <c r="A954" s="178"/>
      <c r="B954" s="178"/>
      <c r="C954" s="178"/>
      <c r="D954" s="178"/>
      <c r="E954" s="178"/>
    </row>
    <row r="955">
      <c r="A955" s="178"/>
      <c r="B955" s="178"/>
      <c r="C955" s="178"/>
      <c r="D955" s="178"/>
      <c r="E955" s="178"/>
    </row>
    <row r="956">
      <c r="A956" s="178"/>
      <c r="B956" s="178"/>
      <c r="C956" s="178"/>
      <c r="D956" s="178"/>
      <c r="E956" s="178"/>
    </row>
    <row r="957">
      <c r="A957" s="178"/>
      <c r="B957" s="178"/>
      <c r="C957" s="178"/>
      <c r="D957" s="178"/>
      <c r="E957" s="178"/>
    </row>
    <row r="958">
      <c r="A958" s="178"/>
      <c r="B958" s="178"/>
      <c r="C958" s="178"/>
      <c r="D958" s="178"/>
      <c r="E958" s="178"/>
    </row>
    <row r="959">
      <c r="A959" s="178"/>
      <c r="B959" s="178"/>
      <c r="C959" s="178"/>
      <c r="D959" s="178"/>
      <c r="E959" s="178"/>
    </row>
    <row r="960">
      <c r="A960" s="178"/>
      <c r="B960" s="178"/>
      <c r="C960" s="178"/>
      <c r="D960" s="178"/>
      <c r="E960" s="178"/>
    </row>
    <row r="961">
      <c r="A961" s="178"/>
      <c r="B961" s="178"/>
      <c r="C961" s="178"/>
      <c r="D961" s="178"/>
      <c r="E961" s="178"/>
    </row>
    <row r="962">
      <c r="A962" s="178"/>
      <c r="B962" s="178"/>
      <c r="C962" s="178"/>
      <c r="D962" s="178"/>
      <c r="E962" s="178"/>
    </row>
    <row r="963">
      <c r="A963" s="178"/>
      <c r="B963" s="178"/>
      <c r="C963" s="178"/>
      <c r="D963" s="178"/>
      <c r="E963" s="178"/>
    </row>
    <row r="964">
      <c r="A964" s="178"/>
      <c r="B964" s="178"/>
      <c r="C964" s="178"/>
      <c r="D964" s="178"/>
      <c r="E964" s="178"/>
    </row>
    <row r="965">
      <c r="A965" s="178"/>
      <c r="B965" s="178"/>
      <c r="C965" s="178"/>
      <c r="D965" s="178"/>
      <c r="E965" s="178"/>
    </row>
    <row r="966">
      <c r="A966" s="178"/>
      <c r="B966" s="178"/>
      <c r="C966" s="178"/>
      <c r="D966" s="178"/>
      <c r="E966" s="178"/>
    </row>
    <row r="967">
      <c r="A967" s="178"/>
      <c r="B967" s="178"/>
      <c r="C967" s="178"/>
      <c r="D967" s="178"/>
      <c r="E967" s="178"/>
    </row>
    <row r="968">
      <c r="A968" s="178"/>
      <c r="B968" s="178"/>
      <c r="C968" s="178"/>
      <c r="D968" s="178"/>
      <c r="E968" s="178"/>
    </row>
    <row r="969">
      <c r="A969" s="178"/>
      <c r="B969" s="178"/>
      <c r="C969" s="178"/>
      <c r="D969" s="178"/>
      <c r="E969" s="178"/>
    </row>
    <row r="970">
      <c r="A970" s="178"/>
      <c r="B970" s="178"/>
      <c r="C970" s="178"/>
      <c r="D970" s="178"/>
      <c r="E970" s="178"/>
    </row>
    <row r="971">
      <c r="A971" s="178"/>
      <c r="B971" s="178"/>
      <c r="C971" s="178"/>
      <c r="D971" s="178"/>
      <c r="E971" s="178"/>
    </row>
    <row r="972">
      <c r="A972" s="178"/>
      <c r="B972" s="178"/>
      <c r="C972" s="178"/>
      <c r="D972" s="178"/>
      <c r="E972" s="178"/>
    </row>
    <row r="973">
      <c r="A973" s="178"/>
      <c r="B973" s="178"/>
      <c r="C973" s="178"/>
      <c r="D973" s="178"/>
      <c r="E973" s="178"/>
    </row>
    <row r="974">
      <c r="A974" s="178"/>
      <c r="B974" s="178"/>
      <c r="C974" s="178"/>
      <c r="D974" s="178"/>
      <c r="E974" s="178"/>
    </row>
    <row r="975">
      <c r="A975" s="178"/>
      <c r="B975" s="178"/>
      <c r="C975" s="178"/>
      <c r="D975" s="178"/>
      <c r="E975" s="178"/>
    </row>
    <row r="976">
      <c r="A976" s="178"/>
      <c r="B976" s="178"/>
      <c r="C976" s="178"/>
      <c r="D976" s="178"/>
      <c r="E976" s="178"/>
    </row>
    <row r="977">
      <c r="A977" s="178"/>
      <c r="B977" s="178"/>
      <c r="C977" s="178"/>
      <c r="D977" s="178"/>
      <c r="E977" s="178"/>
    </row>
    <row r="978">
      <c r="A978" s="178"/>
      <c r="B978" s="178"/>
      <c r="C978" s="178"/>
      <c r="D978" s="178"/>
      <c r="E978" s="178"/>
    </row>
    <row r="979">
      <c r="A979" s="178"/>
      <c r="B979" s="178"/>
      <c r="C979" s="178"/>
      <c r="D979" s="178"/>
      <c r="E979" s="178"/>
    </row>
    <row r="980">
      <c r="A980" s="178"/>
      <c r="B980" s="178"/>
      <c r="C980" s="178"/>
      <c r="D980" s="178"/>
      <c r="E980" s="178"/>
    </row>
    <row r="981">
      <c r="A981" s="178"/>
      <c r="B981" s="178"/>
      <c r="C981" s="178"/>
      <c r="D981" s="178"/>
      <c r="E981" s="178"/>
    </row>
    <row r="982">
      <c r="A982" s="178"/>
      <c r="B982" s="178"/>
      <c r="C982" s="178"/>
      <c r="D982" s="178"/>
      <c r="E982" s="178"/>
    </row>
    <row r="983">
      <c r="A983" s="178"/>
      <c r="B983" s="178"/>
      <c r="C983" s="178"/>
      <c r="D983" s="178"/>
      <c r="E983" s="178"/>
    </row>
    <row r="984">
      <c r="A984" s="178"/>
      <c r="B984" s="178"/>
      <c r="C984" s="178"/>
      <c r="D984" s="178"/>
      <c r="E984" s="178"/>
    </row>
    <row r="985">
      <c r="A985" s="178"/>
      <c r="B985" s="178"/>
      <c r="C985" s="178"/>
      <c r="D985" s="178"/>
      <c r="E985" s="178"/>
    </row>
    <row r="986">
      <c r="A986" s="178"/>
      <c r="B986" s="178"/>
      <c r="C986" s="178"/>
      <c r="D986" s="178"/>
      <c r="E986" s="178"/>
    </row>
    <row r="987">
      <c r="A987" s="178"/>
      <c r="B987" s="178"/>
      <c r="C987" s="178"/>
      <c r="D987" s="178"/>
      <c r="E987" s="178"/>
    </row>
    <row r="988">
      <c r="A988" s="178"/>
      <c r="B988" s="178"/>
      <c r="C988" s="178"/>
      <c r="D988" s="178"/>
      <c r="E988" s="178"/>
    </row>
    <row r="989">
      <c r="A989" s="178"/>
      <c r="B989" s="178"/>
      <c r="C989" s="178"/>
      <c r="D989" s="178"/>
      <c r="E989" s="178"/>
    </row>
    <row r="990">
      <c r="A990" s="178"/>
      <c r="B990" s="178"/>
      <c r="C990" s="178"/>
      <c r="D990" s="178"/>
      <c r="E990" s="178"/>
    </row>
    <row r="991">
      <c r="A991" s="178"/>
      <c r="B991" s="178"/>
      <c r="C991" s="178"/>
      <c r="D991" s="178"/>
      <c r="E991" s="178"/>
    </row>
    <row r="992">
      <c r="A992" s="178"/>
      <c r="B992" s="178"/>
      <c r="C992" s="178"/>
      <c r="D992" s="178"/>
      <c r="E992" s="178"/>
    </row>
    <row r="993">
      <c r="A993" s="178"/>
      <c r="B993" s="178"/>
      <c r="C993" s="178"/>
      <c r="D993" s="178"/>
      <c r="E993" s="178"/>
    </row>
    <row r="994">
      <c r="A994" s="178"/>
      <c r="B994" s="178"/>
      <c r="C994" s="178"/>
      <c r="D994" s="178"/>
      <c r="E994" s="178"/>
    </row>
    <row r="995">
      <c r="A995" s="178"/>
      <c r="B995" s="178"/>
      <c r="C995" s="178"/>
      <c r="D995" s="178"/>
      <c r="E995" s="178"/>
    </row>
    <row r="996">
      <c r="A996" s="178"/>
      <c r="B996" s="178"/>
      <c r="C996" s="178"/>
      <c r="D996" s="178"/>
      <c r="E996" s="178"/>
    </row>
    <row r="997">
      <c r="A997" s="178"/>
      <c r="B997" s="178"/>
      <c r="C997" s="178"/>
      <c r="D997" s="178"/>
      <c r="E997" s="178"/>
    </row>
    <row r="998">
      <c r="A998" s="178"/>
      <c r="B998" s="178"/>
      <c r="C998" s="178"/>
      <c r="D998" s="178"/>
      <c r="E998" s="178"/>
    </row>
    <row r="999">
      <c r="A999" s="178"/>
      <c r="B999" s="178"/>
      <c r="C999" s="178"/>
      <c r="D999" s="178"/>
      <c r="E999" s="178"/>
    </row>
    <row r="1000">
      <c r="A1000" s="178"/>
      <c r="B1000" s="178"/>
      <c r="C1000" s="178"/>
      <c r="D1000" s="178"/>
      <c r="E1000" s="178"/>
    </row>
    <row r="1001">
      <c r="A1001" s="178"/>
      <c r="B1001" s="178"/>
      <c r="C1001" s="178"/>
      <c r="D1001" s="178"/>
      <c r="E1001" s="178"/>
    </row>
    <row r="1002">
      <c r="A1002" s="178"/>
      <c r="B1002" s="178"/>
      <c r="C1002" s="178"/>
      <c r="D1002" s="178"/>
      <c r="E1002" s="178"/>
    </row>
  </sheetData>
  <mergeCells count="1">
    <mergeCell ref="G8:H8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40.63"/>
    <col customWidth="1" min="3" max="3" width="12.0"/>
    <col customWidth="1" min="4" max="4" width="36.0"/>
    <col customWidth="1" min="5" max="5" width="10.38"/>
    <col customWidth="1" min="7" max="7" width="76.8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178"/>
      <c r="G1" s="80" t="s">
        <v>5</v>
      </c>
      <c r="H1" s="81">
        <f>H4</f>
        <v>33</v>
      </c>
    </row>
    <row r="2">
      <c r="A2" s="158" t="s">
        <v>918</v>
      </c>
      <c r="B2" s="73" t="s">
        <v>672</v>
      </c>
      <c r="C2" s="73" t="s">
        <v>42</v>
      </c>
      <c r="D2" s="73">
        <v>111.0</v>
      </c>
      <c r="E2" s="168">
        <v>0.16666666666666666</v>
      </c>
      <c r="F2" s="178"/>
      <c r="G2" s="82" t="s">
        <v>9</v>
      </c>
      <c r="H2" s="82">
        <f>COUNTIF(C:C,"*LSP*")
</f>
        <v>15</v>
      </c>
    </row>
    <row r="3">
      <c r="A3" s="208" t="s">
        <v>919</v>
      </c>
      <c r="B3" s="73" t="s">
        <v>318</v>
      </c>
      <c r="C3" s="73" t="s">
        <v>821</v>
      </c>
      <c r="D3" s="73">
        <v>101.0</v>
      </c>
      <c r="E3" s="168">
        <v>0.16666666666666666</v>
      </c>
      <c r="F3" s="178"/>
      <c r="G3" s="82" t="s">
        <v>13</v>
      </c>
      <c r="H3" s="82">
        <f>COUNTIF(C:C,"*SOC*")
</f>
        <v>24</v>
      </c>
    </row>
    <row r="4">
      <c r="A4" s="208" t="s">
        <v>920</v>
      </c>
      <c r="B4" s="73" t="s">
        <v>37</v>
      </c>
      <c r="C4" s="73" t="s">
        <v>38</v>
      </c>
      <c r="D4" s="73">
        <v>88.0</v>
      </c>
      <c r="E4" s="168">
        <v>0.20833333333333334</v>
      </c>
      <c r="F4" s="178"/>
      <c r="G4" s="82" t="s">
        <v>810</v>
      </c>
      <c r="H4" s="197">
        <f>COUNTIFS(D:D,"&gt;=5",D:D,"&lt;=114")</f>
        <v>33</v>
      </c>
    </row>
    <row r="5">
      <c r="A5" s="208" t="s">
        <v>921</v>
      </c>
      <c r="B5" s="73" t="s">
        <v>44</v>
      </c>
      <c r="C5" s="73" t="s">
        <v>45</v>
      </c>
      <c r="D5" s="73">
        <v>90.0</v>
      </c>
      <c r="E5" s="168">
        <v>0.20833333333333334</v>
      </c>
      <c r="F5" s="178"/>
      <c r="G5" s="82" t="s">
        <v>20</v>
      </c>
      <c r="H5" s="82">
        <f>COUNTIF(D:D,"*NÃO DOCOU*")</f>
        <v>3</v>
      </c>
    </row>
    <row r="6">
      <c r="A6" s="167" t="s">
        <v>922</v>
      </c>
      <c r="B6" s="73" t="s">
        <v>385</v>
      </c>
      <c r="C6" s="73" t="s">
        <v>89</v>
      </c>
      <c r="D6" s="73">
        <v>94.0</v>
      </c>
      <c r="E6" s="168">
        <v>0.20833333333333334</v>
      </c>
      <c r="F6" s="178"/>
      <c r="G6" s="198" t="s">
        <v>25</v>
      </c>
      <c r="H6" s="199">
        <f>COUNTIF(D:D,"*NÃO CHEGOU*")
</f>
        <v>3</v>
      </c>
    </row>
    <row r="7">
      <c r="A7" s="167" t="s">
        <v>923</v>
      </c>
      <c r="B7" s="73" t="s">
        <v>326</v>
      </c>
      <c r="C7" s="73" t="s">
        <v>807</v>
      </c>
      <c r="D7" s="73">
        <v>19.0</v>
      </c>
      <c r="E7" s="168">
        <v>0.20833333333333334</v>
      </c>
      <c r="F7" s="178"/>
      <c r="G7" s="82" t="s">
        <v>815</v>
      </c>
      <c r="H7" s="82">
        <f>COUNTIF(D:D,"*DRIVER DUPLICADO*")</f>
        <v>0</v>
      </c>
    </row>
    <row r="8">
      <c r="A8" s="167" t="s">
        <v>924</v>
      </c>
      <c r="B8" s="73" t="s">
        <v>563</v>
      </c>
      <c r="C8" s="73" t="s">
        <v>138</v>
      </c>
      <c r="D8" s="73">
        <v>102.0</v>
      </c>
      <c r="E8" s="168">
        <v>0.20833333333333334</v>
      </c>
      <c r="F8" s="178"/>
      <c r="G8" s="183"/>
    </row>
    <row r="9">
      <c r="A9" s="208" t="s">
        <v>925</v>
      </c>
      <c r="B9" s="73" t="s">
        <v>97</v>
      </c>
      <c r="C9" s="73" t="s">
        <v>12</v>
      </c>
      <c r="D9" s="73">
        <v>18.0</v>
      </c>
      <c r="E9" s="168">
        <v>0.25</v>
      </c>
      <c r="F9" s="178"/>
      <c r="G9" s="93"/>
    </row>
    <row r="10">
      <c r="A10" s="208" t="s">
        <v>926</v>
      </c>
      <c r="B10" s="146" t="s">
        <v>18</v>
      </c>
      <c r="C10" s="146" t="s">
        <v>19</v>
      </c>
      <c r="D10" s="73">
        <v>27.0</v>
      </c>
      <c r="E10" s="168">
        <v>0.25</v>
      </c>
      <c r="F10" s="178"/>
      <c r="G10" s="131"/>
      <c r="H10" s="207"/>
    </row>
    <row r="11">
      <c r="A11" s="208" t="s">
        <v>927</v>
      </c>
      <c r="B11" s="167" t="s">
        <v>672</v>
      </c>
      <c r="C11" s="167" t="s">
        <v>42</v>
      </c>
      <c r="D11" s="167">
        <v>87.0</v>
      </c>
      <c r="E11" s="168">
        <v>0.25</v>
      </c>
      <c r="F11" s="178"/>
      <c r="G11" s="93"/>
      <c r="H11" s="9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208" t="s">
        <v>928</v>
      </c>
      <c r="B12" s="73" t="s">
        <v>44</v>
      </c>
      <c r="C12" s="73" t="s">
        <v>45</v>
      </c>
      <c r="D12" s="73" t="s">
        <v>167</v>
      </c>
      <c r="E12" s="168">
        <v>0.25</v>
      </c>
      <c r="F12" s="178"/>
      <c r="G12" s="200"/>
      <c r="H12" s="178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208" t="s">
        <v>929</v>
      </c>
      <c r="B13" s="73" t="s">
        <v>326</v>
      </c>
      <c r="C13" s="73" t="s">
        <v>807</v>
      </c>
      <c r="D13" s="73" t="s">
        <v>167</v>
      </c>
      <c r="E13" s="168">
        <v>0.25</v>
      </c>
      <c r="F13" s="178"/>
      <c r="G13" s="84" t="s">
        <v>930</v>
      </c>
      <c r="H13" s="93"/>
    </row>
    <row r="14">
      <c r="A14" s="208" t="s">
        <v>931</v>
      </c>
      <c r="B14" s="73" t="s">
        <v>563</v>
      </c>
      <c r="C14" s="167" t="s">
        <v>138</v>
      </c>
      <c r="D14" s="167">
        <v>111.0</v>
      </c>
      <c r="E14" s="168">
        <v>0.25</v>
      </c>
      <c r="F14" s="178"/>
      <c r="G14" s="187" t="s">
        <v>653</v>
      </c>
      <c r="H14" s="178"/>
    </row>
    <row r="15">
      <c r="A15" s="158" t="s">
        <v>932</v>
      </c>
      <c r="B15" s="73" t="s">
        <v>318</v>
      </c>
      <c r="C15" s="167" t="s">
        <v>821</v>
      </c>
      <c r="D15" s="167">
        <v>101.0</v>
      </c>
      <c r="E15" s="168">
        <v>0.25</v>
      </c>
      <c r="F15" s="178"/>
      <c r="G15" s="178"/>
      <c r="H15" s="178"/>
    </row>
    <row r="16">
      <c r="A16" s="208" t="s">
        <v>933</v>
      </c>
      <c r="B16" s="146" t="s">
        <v>27</v>
      </c>
      <c r="C16" s="146" t="s">
        <v>28</v>
      </c>
      <c r="D16" s="146">
        <v>17.0</v>
      </c>
      <c r="E16" s="168">
        <v>0.2708333333333333</v>
      </c>
      <c r="F16" s="178"/>
      <c r="G16" s="178"/>
      <c r="H16" s="178"/>
    </row>
    <row r="17">
      <c r="A17" s="208" t="s">
        <v>934</v>
      </c>
      <c r="B17" s="167" t="s">
        <v>34</v>
      </c>
      <c r="C17" s="167" t="s">
        <v>35</v>
      </c>
      <c r="D17" s="167">
        <v>9.0</v>
      </c>
      <c r="E17" s="168">
        <v>0.2708333333333333</v>
      </c>
      <c r="F17" s="178"/>
      <c r="G17" s="178"/>
      <c r="H17" s="178"/>
    </row>
    <row r="18">
      <c r="A18" s="167" t="s">
        <v>935</v>
      </c>
      <c r="B18" s="170" t="s">
        <v>37</v>
      </c>
      <c r="C18" s="170" t="s">
        <v>38</v>
      </c>
      <c r="D18" s="170">
        <v>89.0</v>
      </c>
      <c r="E18" s="168">
        <v>0.2916666666666667</v>
      </c>
      <c r="F18" s="178"/>
      <c r="G18" s="178"/>
      <c r="H18" s="178"/>
    </row>
    <row r="19">
      <c r="A19" s="139" t="s">
        <v>936</v>
      </c>
      <c r="B19" s="73" t="s">
        <v>264</v>
      </c>
      <c r="C19" s="73" t="s">
        <v>812</v>
      </c>
      <c r="D19" s="73">
        <v>99.0</v>
      </c>
      <c r="E19" s="168">
        <v>0.2916666666666667</v>
      </c>
      <c r="F19" s="178"/>
      <c r="G19" s="178"/>
      <c r="H19" s="178"/>
    </row>
    <row r="20">
      <c r="A20" s="139" t="s">
        <v>937</v>
      </c>
      <c r="B20" s="73" t="s">
        <v>264</v>
      </c>
      <c r="C20" s="73" t="s">
        <v>812</v>
      </c>
      <c r="D20" s="73">
        <v>98.0</v>
      </c>
      <c r="E20" s="150">
        <v>0.2916666666666667</v>
      </c>
      <c r="F20" s="178"/>
      <c r="G20" s="178"/>
      <c r="H20" s="178"/>
    </row>
    <row r="21">
      <c r="A21" s="208" t="s">
        <v>938</v>
      </c>
      <c r="B21" s="73" t="s">
        <v>44</v>
      </c>
      <c r="C21" s="73" t="s">
        <v>45</v>
      </c>
      <c r="D21" s="73">
        <v>114.0</v>
      </c>
      <c r="E21" s="150">
        <v>0.2916666666666667</v>
      </c>
      <c r="F21" s="178"/>
      <c r="G21" s="178"/>
      <c r="H21" s="178"/>
    </row>
    <row r="22">
      <c r="A22" s="208" t="s">
        <v>939</v>
      </c>
      <c r="B22" s="73" t="s">
        <v>48</v>
      </c>
      <c r="C22" s="73" t="s">
        <v>49</v>
      </c>
      <c r="D22" s="73" t="s">
        <v>25</v>
      </c>
      <c r="E22" s="150">
        <v>0.2916666666666667</v>
      </c>
      <c r="F22" s="178"/>
      <c r="G22" s="178"/>
      <c r="H22" s="178"/>
    </row>
    <row r="23">
      <c r="A23" s="139" t="s">
        <v>940</v>
      </c>
      <c r="B23" s="73" t="s">
        <v>51</v>
      </c>
      <c r="C23" s="73" t="s">
        <v>52</v>
      </c>
      <c r="D23" s="73">
        <v>28.0</v>
      </c>
      <c r="E23" s="150">
        <v>0.2916666666666667</v>
      </c>
      <c r="F23" s="178"/>
      <c r="G23" s="178"/>
      <c r="H23" s="178"/>
    </row>
    <row r="24">
      <c r="A24" s="208" t="s">
        <v>941</v>
      </c>
      <c r="B24" s="146" t="s">
        <v>54</v>
      </c>
      <c r="C24" s="146" t="s">
        <v>55</v>
      </c>
      <c r="D24" s="146">
        <v>44.0</v>
      </c>
      <c r="E24" s="150">
        <v>0.2916666666666667</v>
      </c>
      <c r="F24" s="178"/>
      <c r="G24" s="178"/>
      <c r="H24" s="178"/>
    </row>
    <row r="25">
      <c r="A25" s="208" t="s">
        <v>942</v>
      </c>
      <c r="B25" s="146" t="s">
        <v>118</v>
      </c>
      <c r="C25" s="146" t="s">
        <v>58</v>
      </c>
      <c r="D25" s="146">
        <v>36.0</v>
      </c>
      <c r="E25" s="150">
        <v>0.2916666666666667</v>
      </c>
      <c r="F25" s="178"/>
      <c r="G25" s="178"/>
      <c r="H25" s="178"/>
    </row>
    <row r="26">
      <c r="A26" s="208" t="s">
        <v>943</v>
      </c>
      <c r="B26" s="146" t="s">
        <v>61</v>
      </c>
      <c r="C26" s="146" t="s">
        <v>62</v>
      </c>
      <c r="D26" s="146" t="s">
        <v>25</v>
      </c>
      <c r="E26" s="210">
        <v>0.2916666666666667</v>
      </c>
      <c r="F26" s="178"/>
      <c r="G26" s="178"/>
      <c r="H26" s="178"/>
    </row>
    <row r="27">
      <c r="A27" s="208" t="s">
        <v>944</v>
      </c>
      <c r="B27" s="167" t="s">
        <v>71</v>
      </c>
      <c r="C27" s="167" t="s">
        <v>72</v>
      </c>
      <c r="D27" s="167">
        <v>37.0</v>
      </c>
      <c r="E27" s="150">
        <v>0.3125</v>
      </c>
      <c r="F27" s="178"/>
      <c r="G27" s="178"/>
      <c r="H27" s="178"/>
    </row>
    <row r="28">
      <c r="A28" s="208" t="s">
        <v>945</v>
      </c>
      <c r="B28" s="167" t="s">
        <v>75</v>
      </c>
      <c r="C28" s="167" t="s">
        <v>76</v>
      </c>
      <c r="D28" s="167">
        <v>29.0</v>
      </c>
      <c r="E28" s="150">
        <v>0.3125</v>
      </c>
      <c r="F28" s="178"/>
      <c r="G28" s="178"/>
      <c r="H28" s="178"/>
    </row>
    <row r="29">
      <c r="A29" s="208" t="s">
        <v>946</v>
      </c>
      <c r="B29" s="167" t="s">
        <v>399</v>
      </c>
      <c r="C29" s="167" t="s">
        <v>157</v>
      </c>
      <c r="D29" s="167">
        <v>38.0</v>
      </c>
      <c r="E29" s="150">
        <v>0.3125</v>
      </c>
      <c r="F29" s="178"/>
      <c r="G29" s="178"/>
      <c r="H29" s="178"/>
    </row>
    <row r="30">
      <c r="A30" s="208" t="s">
        <v>947</v>
      </c>
      <c r="B30" s="167" t="s">
        <v>78</v>
      </c>
      <c r="C30" s="167" t="s">
        <v>79</v>
      </c>
      <c r="D30" s="167">
        <v>23.0</v>
      </c>
      <c r="E30" s="150">
        <v>0.3125</v>
      </c>
      <c r="F30" s="178"/>
      <c r="G30" s="178"/>
      <c r="H30" s="178"/>
    </row>
    <row r="31">
      <c r="A31" s="208" t="s">
        <v>948</v>
      </c>
      <c r="B31" s="167" t="s">
        <v>22</v>
      </c>
      <c r="C31" s="167" t="s">
        <v>839</v>
      </c>
      <c r="D31" s="167" t="s">
        <v>25</v>
      </c>
      <c r="E31" s="181">
        <v>0.3125</v>
      </c>
      <c r="F31" s="178"/>
      <c r="G31" s="178"/>
      <c r="H31" s="178"/>
    </row>
    <row r="32">
      <c r="A32" s="208" t="s">
        <v>949</v>
      </c>
      <c r="B32" s="167" t="s">
        <v>461</v>
      </c>
      <c r="C32" s="167" t="s">
        <v>462</v>
      </c>
      <c r="D32" s="167">
        <v>35.0</v>
      </c>
      <c r="E32" s="181">
        <v>0.3125</v>
      </c>
      <c r="F32" s="178"/>
      <c r="G32" s="178"/>
      <c r="H32" s="178"/>
    </row>
    <row r="33">
      <c r="A33" s="208" t="s">
        <v>950</v>
      </c>
      <c r="B33" s="167" t="s">
        <v>44</v>
      </c>
      <c r="C33" s="167" t="s">
        <v>45</v>
      </c>
      <c r="D33" s="167">
        <v>91.0</v>
      </c>
      <c r="E33" s="150">
        <v>0.375</v>
      </c>
      <c r="F33" s="178"/>
      <c r="G33" s="178"/>
      <c r="H33" s="178"/>
    </row>
    <row r="34">
      <c r="A34" s="208" t="s">
        <v>951</v>
      </c>
      <c r="B34" s="167" t="s">
        <v>84</v>
      </c>
      <c r="C34" s="167" t="s">
        <v>85</v>
      </c>
      <c r="D34" s="167" t="s">
        <v>167</v>
      </c>
      <c r="E34" s="181">
        <v>0.4166666666666667</v>
      </c>
      <c r="F34" s="178"/>
      <c r="G34" s="178"/>
      <c r="H34" s="178"/>
    </row>
    <row r="35">
      <c r="A35" s="208" t="s">
        <v>952</v>
      </c>
      <c r="B35" s="170" t="s">
        <v>385</v>
      </c>
      <c r="C35" s="170" t="s">
        <v>89</v>
      </c>
      <c r="D35" s="170">
        <v>94.0</v>
      </c>
      <c r="E35" s="181">
        <v>0.6666666666666666</v>
      </c>
      <c r="F35" s="178"/>
      <c r="G35" s="178"/>
      <c r="H35" s="178"/>
    </row>
    <row r="36">
      <c r="A36" s="208" t="s">
        <v>953</v>
      </c>
      <c r="B36" s="73" t="s">
        <v>37</v>
      </c>
      <c r="C36" s="73" t="s">
        <v>38</v>
      </c>
      <c r="D36" s="73">
        <v>88.0</v>
      </c>
      <c r="E36" s="181">
        <v>0.6666666666666666</v>
      </c>
      <c r="F36" s="178"/>
      <c r="G36" s="178"/>
      <c r="H36" s="178"/>
    </row>
    <row r="37">
      <c r="A37" s="139" t="s">
        <v>954</v>
      </c>
      <c r="B37" s="73" t="s">
        <v>563</v>
      </c>
      <c r="C37" s="73" t="s">
        <v>138</v>
      </c>
      <c r="D37" s="73">
        <v>102.0</v>
      </c>
      <c r="E37" s="181">
        <v>0.6666666666666666</v>
      </c>
      <c r="F37" s="178"/>
      <c r="G37" s="178"/>
      <c r="H37" s="178"/>
    </row>
    <row r="38">
      <c r="A38" s="139" t="s">
        <v>955</v>
      </c>
      <c r="B38" s="73" t="s">
        <v>672</v>
      </c>
      <c r="C38" s="73" t="s">
        <v>42</v>
      </c>
      <c r="D38" s="73">
        <v>87.0</v>
      </c>
      <c r="E38" s="74">
        <v>0.6666666666666666</v>
      </c>
      <c r="F38" s="178"/>
      <c r="G38" s="178"/>
      <c r="H38" s="178"/>
    </row>
    <row r="39">
      <c r="A39" s="208" t="s">
        <v>956</v>
      </c>
      <c r="B39" s="73" t="s">
        <v>84</v>
      </c>
      <c r="C39" s="73" t="s">
        <v>85</v>
      </c>
      <c r="D39" s="73">
        <v>97.0</v>
      </c>
      <c r="E39" s="74">
        <v>0.6666666666666666</v>
      </c>
      <c r="F39" s="178"/>
      <c r="G39" s="178"/>
      <c r="H39" s="178"/>
    </row>
    <row r="40">
      <c r="A40" s="139" t="s">
        <v>957</v>
      </c>
      <c r="B40" s="73" t="s">
        <v>84</v>
      </c>
      <c r="C40" s="73" t="s">
        <v>85</v>
      </c>
      <c r="D40" s="73">
        <v>96.0</v>
      </c>
      <c r="E40" s="74">
        <v>0.75</v>
      </c>
    </row>
    <row r="41">
      <c r="A41" s="211"/>
      <c r="B41" s="131"/>
      <c r="C41" s="131"/>
      <c r="D41" s="131"/>
      <c r="E41" s="136"/>
    </row>
    <row r="42">
      <c r="A42" s="212"/>
      <c r="B42" s="110"/>
      <c r="C42" s="110"/>
      <c r="D42" s="110"/>
      <c r="E42" s="111"/>
    </row>
    <row r="43">
      <c r="A43" s="204"/>
      <c r="B43" s="131"/>
      <c r="C43" s="131"/>
      <c r="D43" s="131"/>
      <c r="E43" s="136"/>
    </row>
    <row r="44">
      <c r="A44" s="205"/>
      <c r="B44" s="131"/>
      <c r="C44" s="131"/>
      <c r="D44" s="131"/>
      <c r="E44" s="136"/>
    </row>
    <row r="45">
      <c r="A45" s="205"/>
      <c r="B45" s="131"/>
      <c r="C45" s="131"/>
      <c r="D45" s="131"/>
      <c r="E45" s="136"/>
    </row>
    <row r="46">
      <c r="A46" s="206"/>
      <c r="B46" s="131"/>
      <c r="C46" s="131"/>
      <c r="D46" s="131"/>
      <c r="E46" s="136"/>
    </row>
    <row r="47">
      <c r="A47" s="174"/>
      <c r="B47" s="110"/>
      <c r="C47" s="110"/>
      <c r="D47" s="110"/>
      <c r="E47" s="111"/>
    </row>
    <row r="48">
      <c r="A48" s="174"/>
      <c r="B48" s="110"/>
      <c r="C48" s="110"/>
      <c r="D48" s="110"/>
      <c r="E48" s="111"/>
    </row>
    <row r="49">
      <c r="A49" s="174"/>
      <c r="B49" s="110"/>
      <c r="C49" s="110"/>
      <c r="D49" s="110"/>
      <c r="E49" s="111"/>
    </row>
    <row r="50">
      <c r="A50" s="177"/>
      <c r="B50" s="110"/>
      <c r="C50" s="110"/>
      <c r="D50" s="110"/>
      <c r="E50" s="111"/>
    </row>
    <row r="51">
      <c r="A51" s="174"/>
      <c r="B51" s="110"/>
      <c r="C51" s="110"/>
      <c r="D51" s="110"/>
      <c r="E51" s="111"/>
    </row>
    <row r="52">
      <c r="A52" s="174"/>
      <c r="B52" s="110"/>
      <c r="C52" s="110"/>
      <c r="D52" s="110"/>
      <c r="E52" s="111"/>
    </row>
    <row r="53">
      <c r="A53" s="178"/>
      <c r="B53" s="178"/>
      <c r="C53" s="178"/>
      <c r="D53" s="178"/>
      <c r="E53" s="178"/>
    </row>
    <row r="54">
      <c r="A54" s="178"/>
      <c r="B54" s="178"/>
      <c r="C54" s="178"/>
      <c r="D54" s="178"/>
      <c r="E54" s="178"/>
    </row>
    <row r="55">
      <c r="A55" s="178"/>
      <c r="B55" s="178"/>
      <c r="C55" s="178"/>
      <c r="D55" s="178"/>
      <c r="E55" s="178"/>
    </row>
    <row r="56">
      <c r="A56" s="178"/>
      <c r="B56" s="178"/>
      <c r="C56" s="178"/>
      <c r="D56" s="178"/>
      <c r="E56" s="178"/>
    </row>
    <row r="57">
      <c r="A57" s="178"/>
      <c r="B57" s="178"/>
      <c r="C57" s="178"/>
      <c r="D57" s="178"/>
      <c r="E57" s="178"/>
    </row>
    <row r="58">
      <c r="A58" s="178"/>
      <c r="B58" s="178"/>
      <c r="C58" s="178"/>
      <c r="D58" s="178"/>
      <c r="E58" s="178"/>
    </row>
    <row r="59">
      <c r="A59" s="178"/>
      <c r="B59" s="178"/>
      <c r="C59" s="178"/>
      <c r="D59" s="178"/>
      <c r="E59" s="178"/>
    </row>
    <row r="60">
      <c r="A60" s="178"/>
      <c r="B60" s="178"/>
      <c r="C60" s="178"/>
      <c r="D60" s="178"/>
      <c r="E60" s="178"/>
    </row>
    <row r="61">
      <c r="A61" s="178"/>
      <c r="B61" s="178"/>
      <c r="C61" s="178"/>
      <c r="D61" s="178"/>
      <c r="E61" s="178"/>
    </row>
    <row r="62">
      <c r="A62" s="178"/>
      <c r="B62" s="178"/>
      <c r="C62" s="178"/>
      <c r="D62" s="178"/>
      <c r="E62" s="178"/>
    </row>
    <row r="63">
      <c r="A63" s="178"/>
      <c r="B63" s="178"/>
      <c r="C63" s="178"/>
      <c r="D63" s="178"/>
      <c r="E63" s="178"/>
    </row>
    <row r="64">
      <c r="A64" s="178"/>
      <c r="B64" s="178"/>
      <c r="C64" s="178"/>
      <c r="D64" s="178"/>
      <c r="E64" s="178"/>
    </row>
    <row r="65">
      <c r="A65" s="178"/>
      <c r="B65" s="178"/>
      <c r="C65" s="178"/>
      <c r="D65" s="178"/>
      <c r="E65" s="178"/>
    </row>
    <row r="66">
      <c r="A66" s="178"/>
      <c r="B66" s="178"/>
      <c r="C66" s="178"/>
      <c r="D66" s="178"/>
      <c r="E66" s="178"/>
    </row>
    <row r="67">
      <c r="A67" s="178"/>
      <c r="B67" s="178"/>
      <c r="C67" s="178"/>
      <c r="D67" s="178"/>
      <c r="E67" s="178"/>
    </row>
    <row r="68">
      <c r="A68" s="178"/>
      <c r="B68" s="178"/>
      <c r="C68" s="178"/>
      <c r="D68" s="178"/>
      <c r="E68" s="178"/>
    </row>
    <row r="69">
      <c r="A69" s="178"/>
      <c r="B69" s="178"/>
      <c r="C69" s="178"/>
      <c r="D69" s="178"/>
      <c r="E69" s="178"/>
    </row>
    <row r="70">
      <c r="A70" s="178"/>
      <c r="B70" s="178"/>
      <c r="C70" s="178"/>
      <c r="D70" s="178"/>
      <c r="E70" s="178"/>
    </row>
    <row r="71">
      <c r="A71" s="178"/>
      <c r="B71" s="178"/>
      <c r="C71" s="178"/>
      <c r="D71" s="178"/>
      <c r="E71" s="178"/>
    </row>
    <row r="72">
      <c r="A72" s="178"/>
      <c r="B72" s="178"/>
      <c r="C72" s="178"/>
      <c r="D72" s="178"/>
      <c r="E72" s="178"/>
    </row>
    <row r="73">
      <c r="A73" s="178"/>
      <c r="B73" s="178"/>
      <c r="C73" s="178"/>
      <c r="D73" s="178"/>
      <c r="E73" s="178"/>
    </row>
    <row r="74">
      <c r="A74" s="178"/>
      <c r="B74" s="178"/>
      <c r="C74" s="178"/>
      <c r="D74" s="178"/>
      <c r="E74" s="178"/>
    </row>
    <row r="75">
      <c r="A75" s="178"/>
      <c r="B75" s="178"/>
      <c r="C75" s="178"/>
      <c r="D75" s="178"/>
      <c r="E75" s="178"/>
    </row>
    <row r="76">
      <c r="A76" s="178"/>
      <c r="B76" s="178"/>
      <c r="C76" s="178"/>
      <c r="D76" s="178"/>
      <c r="E76" s="178"/>
    </row>
    <row r="77">
      <c r="A77" s="178"/>
      <c r="B77" s="178"/>
      <c r="C77" s="178"/>
      <c r="D77" s="178"/>
      <c r="E77" s="178"/>
    </row>
    <row r="78">
      <c r="A78" s="178"/>
      <c r="B78" s="178"/>
      <c r="C78" s="178"/>
      <c r="D78" s="178"/>
      <c r="E78" s="178"/>
    </row>
    <row r="79">
      <c r="A79" s="178"/>
      <c r="B79" s="178"/>
      <c r="C79" s="178"/>
      <c r="D79" s="178"/>
      <c r="E79" s="178"/>
    </row>
    <row r="80">
      <c r="A80" s="178"/>
      <c r="B80" s="178"/>
      <c r="C80" s="178"/>
      <c r="D80" s="178"/>
      <c r="E80" s="178"/>
    </row>
    <row r="81">
      <c r="A81" s="178"/>
      <c r="B81" s="178"/>
      <c r="C81" s="178"/>
      <c r="D81" s="178"/>
      <c r="E81" s="178"/>
    </row>
    <row r="82">
      <c r="A82" s="178"/>
      <c r="B82" s="178"/>
      <c r="C82" s="178"/>
      <c r="D82" s="178"/>
      <c r="E82" s="178"/>
    </row>
    <row r="83">
      <c r="A83" s="178"/>
      <c r="B83" s="178"/>
      <c r="C83" s="178"/>
      <c r="D83" s="178"/>
      <c r="E83" s="178"/>
    </row>
    <row r="84">
      <c r="A84" s="178"/>
      <c r="B84" s="178"/>
      <c r="C84" s="178"/>
      <c r="D84" s="178"/>
      <c r="E84" s="178"/>
    </row>
    <row r="85">
      <c r="A85" s="178"/>
      <c r="B85" s="178"/>
      <c r="C85" s="178"/>
      <c r="D85" s="178"/>
      <c r="E85" s="178"/>
    </row>
    <row r="86">
      <c r="A86" s="178"/>
      <c r="B86" s="178"/>
      <c r="C86" s="178"/>
      <c r="D86" s="178"/>
      <c r="E86" s="178"/>
    </row>
    <row r="87">
      <c r="A87" s="178"/>
      <c r="B87" s="178"/>
      <c r="C87" s="178"/>
      <c r="D87" s="178"/>
      <c r="E87" s="178"/>
    </row>
    <row r="88">
      <c r="A88" s="178"/>
      <c r="B88" s="178"/>
      <c r="C88" s="178"/>
      <c r="D88" s="178"/>
      <c r="E88" s="178"/>
    </row>
    <row r="89">
      <c r="A89" s="178"/>
      <c r="B89" s="178"/>
      <c r="C89" s="178"/>
      <c r="D89" s="178"/>
      <c r="E89" s="178"/>
    </row>
    <row r="90">
      <c r="A90" s="178"/>
      <c r="B90" s="178"/>
      <c r="C90" s="178"/>
      <c r="D90" s="178"/>
      <c r="E90" s="178"/>
    </row>
    <row r="91">
      <c r="A91" s="178"/>
      <c r="B91" s="178"/>
      <c r="C91" s="178"/>
      <c r="D91" s="178"/>
      <c r="E91" s="178"/>
    </row>
    <row r="92">
      <c r="A92" s="178"/>
      <c r="B92" s="178"/>
      <c r="C92" s="178"/>
      <c r="D92" s="178"/>
      <c r="E92" s="178"/>
    </row>
    <row r="93">
      <c r="A93" s="178"/>
      <c r="B93" s="178"/>
      <c r="C93" s="178"/>
      <c r="D93" s="178"/>
      <c r="E93" s="178"/>
    </row>
    <row r="94">
      <c r="A94" s="178"/>
      <c r="B94" s="178"/>
      <c r="C94" s="178"/>
      <c r="D94" s="178"/>
      <c r="E94" s="178"/>
    </row>
    <row r="95">
      <c r="A95" s="178"/>
      <c r="B95" s="178"/>
      <c r="C95" s="178"/>
      <c r="D95" s="178"/>
      <c r="E95" s="178"/>
    </row>
    <row r="96">
      <c r="A96" s="178"/>
      <c r="B96" s="178"/>
      <c r="C96" s="178"/>
      <c r="D96" s="178"/>
      <c r="E96" s="178"/>
    </row>
    <row r="97">
      <c r="A97" s="178"/>
      <c r="B97" s="178"/>
      <c r="C97" s="178"/>
      <c r="D97" s="178"/>
      <c r="E97" s="178"/>
    </row>
    <row r="98">
      <c r="A98" s="178"/>
      <c r="B98" s="178"/>
      <c r="C98" s="178"/>
      <c r="D98" s="178"/>
      <c r="E98" s="178"/>
    </row>
    <row r="99">
      <c r="A99" s="178"/>
      <c r="B99" s="178"/>
      <c r="C99" s="178"/>
      <c r="D99" s="178"/>
      <c r="E99" s="178"/>
    </row>
    <row r="100">
      <c r="A100" s="178"/>
      <c r="B100" s="178"/>
      <c r="C100" s="178"/>
      <c r="D100" s="178"/>
      <c r="E100" s="178"/>
    </row>
    <row r="101">
      <c r="A101" s="178"/>
      <c r="B101" s="178"/>
      <c r="C101" s="178"/>
      <c r="D101" s="178"/>
      <c r="E101" s="178"/>
    </row>
    <row r="102">
      <c r="A102" s="178"/>
      <c r="B102" s="178"/>
      <c r="C102" s="178"/>
      <c r="D102" s="178"/>
      <c r="E102" s="178"/>
    </row>
    <row r="103">
      <c r="A103" s="178"/>
      <c r="B103" s="178"/>
      <c r="C103" s="178"/>
      <c r="D103" s="178"/>
      <c r="E103" s="178"/>
    </row>
    <row r="104">
      <c r="A104" s="178"/>
      <c r="B104" s="178"/>
      <c r="C104" s="178"/>
      <c r="D104" s="178"/>
      <c r="E104" s="178"/>
    </row>
    <row r="105">
      <c r="A105" s="178"/>
      <c r="B105" s="178"/>
      <c r="C105" s="178"/>
      <c r="D105" s="178"/>
      <c r="E105" s="178"/>
    </row>
    <row r="106">
      <c r="A106" s="178"/>
      <c r="B106" s="178"/>
      <c r="C106" s="178"/>
      <c r="D106" s="178"/>
      <c r="E106" s="178"/>
    </row>
    <row r="107">
      <c r="A107" s="178"/>
      <c r="B107" s="178"/>
      <c r="C107" s="178"/>
      <c r="D107" s="178"/>
      <c r="E107" s="178"/>
    </row>
    <row r="108">
      <c r="A108" s="178"/>
      <c r="B108" s="178"/>
      <c r="C108" s="178"/>
      <c r="D108" s="178"/>
      <c r="E108" s="178"/>
    </row>
    <row r="109">
      <c r="A109" s="178"/>
      <c r="B109" s="178"/>
      <c r="C109" s="178"/>
      <c r="D109" s="178"/>
      <c r="E109" s="178"/>
    </row>
    <row r="110">
      <c r="A110" s="178"/>
      <c r="B110" s="178"/>
      <c r="C110" s="178"/>
      <c r="D110" s="178"/>
      <c r="E110" s="178"/>
    </row>
    <row r="111">
      <c r="A111" s="178"/>
      <c r="B111" s="178"/>
      <c r="C111" s="178"/>
      <c r="D111" s="178"/>
      <c r="E111" s="178"/>
    </row>
    <row r="112">
      <c r="A112" s="178"/>
      <c r="B112" s="178"/>
      <c r="C112" s="178"/>
      <c r="D112" s="178"/>
      <c r="E112" s="178"/>
    </row>
    <row r="113">
      <c r="A113" s="178"/>
      <c r="B113" s="178"/>
      <c r="C113" s="178"/>
      <c r="D113" s="178"/>
      <c r="E113" s="178"/>
    </row>
    <row r="114">
      <c r="A114" s="178"/>
      <c r="B114" s="178"/>
      <c r="C114" s="178"/>
      <c r="D114" s="178"/>
      <c r="E114" s="178"/>
    </row>
    <row r="115">
      <c r="A115" s="178"/>
      <c r="B115" s="178"/>
      <c r="C115" s="178"/>
      <c r="D115" s="178"/>
      <c r="E115" s="178"/>
    </row>
    <row r="116">
      <c r="A116" s="178"/>
      <c r="B116" s="178"/>
      <c r="C116" s="178"/>
      <c r="D116" s="178"/>
      <c r="E116" s="178"/>
    </row>
    <row r="117">
      <c r="A117" s="178"/>
      <c r="B117" s="178"/>
      <c r="C117" s="178"/>
      <c r="D117" s="178"/>
      <c r="E117" s="178"/>
    </row>
    <row r="118">
      <c r="A118" s="178"/>
      <c r="B118" s="178"/>
      <c r="C118" s="178"/>
      <c r="D118" s="178"/>
      <c r="E118" s="178"/>
    </row>
    <row r="119">
      <c r="A119" s="178"/>
      <c r="B119" s="178"/>
      <c r="C119" s="178"/>
      <c r="D119" s="178"/>
      <c r="E119" s="178"/>
    </row>
    <row r="120">
      <c r="A120" s="178"/>
      <c r="B120" s="178"/>
      <c r="C120" s="178"/>
      <c r="D120" s="178"/>
      <c r="E120" s="178"/>
    </row>
    <row r="121">
      <c r="A121" s="178"/>
      <c r="B121" s="178"/>
      <c r="C121" s="178"/>
      <c r="D121" s="178"/>
      <c r="E121" s="178"/>
    </row>
    <row r="122">
      <c r="A122" s="178"/>
      <c r="B122" s="178"/>
      <c r="C122" s="178"/>
      <c r="D122" s="178"/>
      <c r="E122" s="178"/>
    </row>
    <row r="123">
      <c r="A123" s="178"/>
      <c r="B123" s="178"/>
      <c r="C123" s="178"/>
      <c r="D123" s="178"/>
      <c r="E123" s="178"/>
    </row>
    <row r="124">
      <c r="A124" s="178"/>
      <c r="B124" s="178"/>
      <c r="C124" s="178"/>
      <c r="D124" s="178"/>
      <c r="E124" s="178"/>
    </row>
    <row r="125">
      <c r="A125" s="178"/>
      <c r="B125" s="178"/>
      <c r="C125" s="178"/>
      <c r="D125" s="178"/>
      <c r="E125" s="178"/>
    </row>
    <row r="126">
      <c r="A126" s="178"/>
      <c r="B126" s="178"/>
      <c r="C126" s="178"/>
      <c r="D126" s="178"/>
      <c r="E126" s="178"/>
    </row>
    <row r="127">
      <c r="A127" s="178"/>
      <c r="B127" s="178"/>
      <c r="C127" s="178"/>
      <c r="D127" s="178"/>
      <c r="E127" s="178"/>
    </row>
    <row r="128">
      <c r="A128" s="178"/>
      <c r="B128" s="178"/>
      <c r="C128" s="178"/>
      <c r="D128" s="178"/>
      <c r="E128" s="178"/>
    </row>
    <row r="129">
      <c r="A129" s="178"/>
      <c r="B129" s="178"/>
      <c r="C129" s="178"/>
      <c r="D129" s="178"/>
      <c r="E129" s="178"/>
    </row>
    <row r="130">
      <c r="A130" s="178"/>
      <c r="B130" s="178"/>
      <c r="C130" s="178"/>
      <c r="D130" s="178"/>
      <c r="E130" s="178"/>
    </row>
    <row r="131">
      <c r="A131" s="178"/>
      <c r="B131" s="178"/>
      <c r="C131" s="178"/>
      <c r="D131" s="178"/>
      <c r="E131" s="178"/>
    </row>
    <row r="132">
      <c r="A132" s="178"/>
      <c r="B132" s="178"/>
      <c r="C132" s="178"/>
      <c r="D132" s="178"/>
      <c r="E132" s="178"/>
    </row>
    <row r="133">
      <c r="A133" s="178"/>
      <c r="B133" s="178"/>
      <c r="C133" s="178"/>
      <c r="D133" s="178"/>
      <c r="E133" s="178"/>
    </row>
    <row r="134">
      <c r="A134" s="178"/>
      <c r="B134" s="178"/>
      <c r="C134" s="178"/>
      <c r="D134" s="178"/>
      <c r="E134" s="178"/>
    </row>
    <row r="135">
      <c r="A135" s="178"/>
      <c r="B135" s="178"/>
      <c r="C135" s="178"/>
      <c r="D135" s="178"/>
      <c r="E135" s="178"/>
    </row>
    <row r="136">
      <c r="A136" s="178"/>
      <c r="B136" s="178"/>
      <c r="C136" s="178"/>
      <c r="D136" s="178"/>
      <c r="E136" s="178"/>
    </row>
    <row r="137">
      <c r="A137" s="178"/>
      <c r="B137" s="178"/>
      <c r="C137" s="178"/>
      <c r="D137" s="178"/>
      <c r="E137" s="178"/>
    </row>
    <row r="138">
      <c r="A138" s="178"/>
      <c r="B138" s="178"/>
      <c r="C138" s="178"/>
      <c r="D138" s="178"/>
      <c r="E138" s="178"/>
    </row>
    <row r="139">
      <c r="A139" s="178"/>
      <c r="B139" s="178"/>
      <c r="C139" s="178"/>
      <c r="D139" s="178"/>
      <c r="E139" s="178"/>
    </row>
    <row r="140">
      <c r="A140" s="178"/>
      <c r="B140" s="178"/>
      <c r="C140" s="178"/>
      <c r="D140" s="178"/>
      <c r="E140" s="178"/>
    </row>
    <row r="141">
      <c r="A141" s="178"/>
      <c r="B141" s="178"/>
      <c r="C141" s="178"/>
      <c r="D141" s="178"/>
      <c r="E141" s="178"/>
    </row>
    <row r="142">
      <c r="A142" s="178"/>
      <c r="B142" s="178"/>
      <c r="C142" s="178"/>
      <c r="D142" s="178"/>
      <c r="E142" s="178"/>
    </row>
    <row r="143">
      <c r="A143" s="178"/>
      <c r="B143" s="178"/>
      <c r="C143" s="178"/>
      <c r="D143" s="178"/>
      <c r="E143" s="178"/>
    </row>
    <row r="144">
      <c r="A144" s="178"/>
      <c r="B144" s="178"/>
      <c r="C144" s="178"/>
      <c r="D144" s="178"/>
      <c r="E144" s="178"/>
    </row>
    <row r="145">
      <c r="A145" s="178"/>
      <c r="B145" s="178"/>
      <c r="C145" s="178"/>
      <c r="D145" s="178"/>
      <c r="E145" s="178"/>
    </row>
    <row r="146">
      <c r="A146" s="178"/>
      <c r="B146" s="178"/>
      <c r="C146" s="178"/>
      <c r="D146" s="178"/>
      <c r="E146" s="178"/>
    </row>
    <row r="147">
      <c r="A147" s="178"/>
      <c r="B147" s="178"/>
      <c r="C147" s="178"/>
      <c r="D147" s="178"/>
      <c r="E147" s="178"/>
    </row>
    <row r="148">
      <c r="A148" s="178"/>
      <c r="B148" s="178"/>
      <c r="C148" s="178"/>
      <c r="D148" s="178"/>
      <c r="E148" s="178"/>
    </row>
    <row r="149">
      <c r="A149" s="178"/>
      <c r="B149" s="178"/>
      <c r="C149" s="178"/>
      <c r="D149" s="178"/>
      <c r="E149" s="178"/>
    </row>
    <row r="150">
      <c r="A150" s="178"/>
      <c r="B150" s="178"/>
      <c r="C150" s="178"/>
      <c r="D150" s="178"/>
      <c r="E150" s="178"/>
    </row>
    <row r="151">
      <c r="A151" s="178"/>
      <c r="B151" s="178"/>
      <c r="C151" s="178"/>
      <c r="D151" s="178"/>
      <c r="E151" s="178"/>
    </row>
    <row r="152">
      <c r="A152" s="178"/>
      <c r="B152" s="178"/>
      <c r="C152" s="178"/>
      <c r="D152" s="178"/>
      <c r="E152" s="178"/>
    </row>
    <row r="153">
      <c r="A153" s="178"/>
      <c r="B153" s="178"/>
      <c r="C153" s="178"/>
      <c r="D153" s="178"/>
      <c r="E153" s="178"/>
    </row>
    <row r="154">
      <c r="A154" s="178"/>
      <c r="B154" s="178"/>
      <c r="C154" s="178"/>
      <c r="D154" s="178"/>
      <c r="E154" s="178"/>
    </row>
    <row r="155">
      <c r="A155" s="178"/>
      <c r="B155" s="178"/>
      <c r="C155" s="178"/>
      <c r="D155" s="178"/>
      <c r="E155" s="178"/>
    </row>
    <row r="156">
      <c r="A156" s="178"/>
      <c r="B156" s="178"/>
      <c r="C156" s="178"/>
      <c r="D156" s="178"/>
      <c r="E156" s="178"/>
    </row>
    <row r="157">
      <c r="A157" s="178"/>
      <c r="B157" s="178"/>
      <c r="C157" s="178"/>
      <c r="D157" s="178"/>
      <c r="E157" s="178"/>
    </row>
    <row r="158">
      <c r="A158" s="178"/>
      <c r="B158" s="178"/>
      <c r="C158" s="178"/>
      <c r="D158" s="178"/>
      <c r="E158" s="178"/>
    </row>
    <row r="159">
      <c r="A159" s="178"/>
      <c r="B159" s="178"/>
      <c r="C159" s="178"/>
      <c r="D159" s="178"/>
      <c r="E159" s="178"/>
    </row>
    <row r="160">
      <c r="A160" s="178"/>
      <c r="B160" s="178"/>
      <c r="C160" s="178"/>
      <c r="D160" s="178"/>
      <c r="E160" s="178"/>
    </row>
    <row r="161">
      <c r="A161" s="178"/>
      <c r="B161" s="178"/>
      <c r="C161" s="178"/>
      <c r="D161" s="178"/>
      <c r="E161" s="178"/>
    </row>
    <row r="162">
      <c r="A162" s="178"/>
      <c r="B162" s="178"/>
      <c r="C162" s="178"/>
      <c r="D162" s="178"/>
      <c r="E162" s="178"/>
    </row>
    <row r="163">
      <c r="A163" s="178"/>
      <c r="B163" s="178"/>
      <c r="C163" s="178"/>
      <c r="D163" s="178"/>
      <c r="E163" s="178"/>
    </row>
    <row r="164">
      <c r="A164" s="178"/>
      <c r="B164" s="178"/>
      <c r="C164" s="178"/>
      <c r="D164" s="178"/>
      <c r="E164" s="178"/>
    </row>
    <row r="165">
      <c r="A165" s="178"/>
      <c r="B165" s="178"/>
      <c r="C165" s="178"/>
      <c r="D165" s="178"/>
      <c r="E165" s="178"/>
    </row>
    <row r="166">
      <c r="A166" s="178"/>
      <c r="B166" s="178"/>
      <c r="C166" s="178"/>
      <c r="D166" s="178"/>
      <c r="E166" s="178"/>
    </row>
    <row r="167">
      <c r="A167" s="178"/>
      <c r="B167" s="178"/>
      <c r="C167" s="178"/>
      <c r="D167" s="178"/>
      <c r="E167" s="178"/>
    </row>
    <row r="168">
      <c r="A168" s="178"/>
      <c r="B168" s="178"/>
      <c r="C168" s="178"/>
      <c r="D168" s="178"/>
      <c r="E168" s="178"/>
    </row>
    <row r="169">
      <c r="A169" s="178"/>
      <c r="B169" s="178"/>
      <c r="C169" s="178"/>
      <c r="D169" s="178"/>
      <c r="E169" s="178"/>
    </row>
    <row r="170">
      <c r="A170" s="178"/>
      <c r="B170" s="178"/>
      <c r="C170" s="178"/>
      <c r="D170" s="178"/>
      <c r="E170" s="178"/>
    </row>
    <row r="171">
      <c r="A171" s="178"/>
      <c r="B171" s="178"/>
      <c r="C171" s="178"/>
      <c r="D171" s="178"/>
      <c r="E171" s="178"/>
    </row>
    <row r="172">
      <c r="A172" s="178"/>
      <c r="B172" s="178"/>
      <c r="C172" s="178"/>
      <c r="D172" s="178"/>
      <c r="E172" s="178"/>
    </row>
    <row r="173">
      <c r="A173" s="178"/>
      <c r="B173" s="178"/>
      <c r="C173" s="178"/>
      <c r="D173" s="178"/>
      <c r="E173" s="178"/>
    </row>
    <row r="174">
      <c r="A174" s="178"/>
      <c r="B174" s="178"/>
      <c r="C174" s="178"/>
      <c r="D174" s="178"/>
      <c r="E174" s="178"/>
    </row>
    <row r="175">
      <c r="A175" s="178"/>
      <c r="B175" s="178"/>
      <c r="C175" s="178"/>
      <c r="D175" s="178"/>
      <c r="E175" s="178"/>
    </row>
    <row r="176">
      <c r="A176" s="178"/>
      <c r="B176" s="178"/>
      <c r="C176" s="178"/>
      <c r="D176" s="178"/>
      <c r="E176" s="178"/>
    </row>
    <row r="177">
      <c r="A177" s="178"/>
      <c r="B177" s="178"/>
      <c r="C177" s="178"/>
      <c r="D177" s="178"/>
      <c r="E177" s="178"/>
    </row>
    <row r="178">
      <c r="A178" s="178"/>
      <c r="B178" s="178"/>
      <c r="C178" s="178"/>
      <c r="D178" s="178"/>
      <c r="E178" s="178"/>
    </row>
    <row r="179">
      <c r="A179" s="178"/>
      <c r="B179" s="178"/>
      <c r="C179" s="178"/>
      <c r="D179" s="178"/>
      <c r="E179" s="178"/>
    </row>
    <row r="180">
      <c r="A180" s="178"/>
      <c r="B180" s="178"/>
      <c r="C180" s="178"/>
      <c r="D180" s="178"/>
      <c r="E180" s="178"/>
    </row>
    <row r="181">
      <c r="A181" s="178"/>
      <c r="B181" s="178"/>
      <c r="C181" s="178"/>
      <c r="D181" s="178"/>
      <c r="E181" s="178"/>
    </row>
    <row r="182">
      <c r="A182" s="178"/>
      <c r="B182" s="178"/>
      <c r="C182" s="178"/>
      <c r="D182" s="178"/>
      <c r="E182" s="178"/>
    </row>
    <row r="183">
      <c r="A183" s="178"/>
      <c r="B183" s="178"/>
      <c r="C183" s="178"/>
      <c r="D183" s="178"/>
      <c r="E183" s="178"/>
    </row>
    <row r="184">
      <c r="A184" s="178"/>
      <c r="B184" s="178"/>
      <c r="C184" s="178"/>
      <c r="D184" s="178"/>
      <c r="E184" s="178"/>
    </row>
    <row r="185">
      <c r="A185" s="178"/>
      <c r="B185" s="178"/>
      <c r="C185" s="178"/>
      <c r="D185" s="178"/>
      <c r="E185" s="178"/>
    </row>
    <row r="186">
      <c r="A186" s="178"/>
      <c r="B186" s="178"/>
      <c r="C186" s="178"/>
      <c r="D186" s="178"/>
      <c r="E186" s="178"/>
    </row>
    <row r="187">
      <c r="A187" s="178"/>
      <c r="B187" s="178"/>
      <c r="C187" s="178"/>
      <c r="D187" s="178"/>
      <c r="E187" s="178"/>
    </row>
    <row r="188">
      <c r="A188" s="178"/>
      <c r="B188" s="178"/>
      <c r="C188" s="178"/>
      <c r="D188" s="178"/>
      <c r="E188" s="178"/>
    </row>
    <row r="189">
      <c r="A189" s="178"/>
      <c r="B189" s="178"/>
      <c r="C189" s="178"/>
      <c r="D189" s="178"/>
      <c r="E189" s="178"/>
    </row>
    <row r="190">
      <c r="A190" s="178"/>
      <c r="B190" s="178"/>
      <c r="C190" s="178"/>
      <c r="D190" s="178"/>
      <c r="E190" s="178"/>
    </row>
    <row r="191">
      <c r="A191" s="178"/>
      <c r="B191" s="178"/>
      <c r="C191" s="178"/>
      <c r="D191" s="178"/>
      <c r="E191" s="178"/>
    </row>
    <row r="192">
      <c r="A192" s="178"/>
      <c r="B192" s="178"/>
      <c r="C192" s="178"/>
      <c r="D192" s="178"/>
      <c r="E192" s="178"/>
    </row>
    <row r="193">
      <c r="A193" s="178"/>
      <c r="B193" s="178"/>
      <c r="C193" s="178"/>
      <c r="D193" s="178"/>
      <c r="E193" s="178"/>
    </row>
    <row r="194">
      <c r="A194" s="178"/>
      <c r="B194" s="178"/>
      <c r="C194" s="178"/>
      <c r="D194" s="178"/>
      <c r="E194" s="178"/>
    </row>
    <row r="195">
      <c r="A195" s="178"/>
      <c r="B195" s="178"/>
      <c r="C195" s="178"/>
      <c r="D195" s="178"/>
      <c r="E195" s="178"/>
    </row>
    <row r="196">
      <c r="A196" s="178"/>
      <c r="B196" s="178"/>
      <c r="C196" s="178"/>
      <c r="D196" s="178"/>
      <c r="E196" s="178"/>
    </row>
    <row r="197">
      <c r="A197" s="178"/>
      <c r="B197" s="178"/>
      <c r="C197" s="178"/>
      <c r="D197" s="178"/>
      <c r="E197" s="178"/>
    </row>
    <row r="198">
      <c r="A198" s="178"/>
      <c r="B198" s="178"/>
      <c r="C198" s="178"/>
      <c r="D198" s="178"/>
      <c r="E198" s="178"/>
    </row>
    <row r="199">
      <c r="A199" s="178"/>
      <c r="B199" s="178"/>
      <c r="C199" s="178"/>
      <c r="D199" s="178"/>
      <c r="E199" s="178"/>
    </row>
    <row r="200">
      <c r="A200" s="178"/>
      <c r="B200" s="178"/>
      <c r="C200" s="178"/>
      <c r="D200" s="178"/>
      <c r="E200" s="178"/>
    </row>
    <row r="201">
      <c r="A201" s="178"/>
      <c r="B201" s="178"/>
      <c r="C201" s="178"/>
      <c r="D201" s="178"/>
      <c r="E201" s="178"/>
    </row>
    <row r="202">
      <c r="A202" s="178"/>
      <c r="B202" s="178"/>
      <c r="C202" s="178"/>
      <c r="D202" s="178"/>
      <c r="E202" s="178"/>
    </row>
    <row r="203">
      <c r="A203" s="178"/>
      <c r="B203" s="178"/>
      <c r="C203" s="178"/>
      <c r="D203" s="178"/>
      <c r="E203" s="178"/>
    </row>
    <row r="204">
      <c r="A204" s="178"/>
      <c r="B204" s="178"/>
      <c r="C204" s="178"/>
      <c r="D204" s="178"/>
      <c r="E204" s="178"/>
    </row>
    <row r="205">
      <c r="A205" s="178"/>
      <c r="B205" s="178"/>
      <c r="C205" s="178"/>
      <c r="D205" s="178"/>
      <c r="E205" s="178"/>
    </row>
    <row r="206">
      <c r="A206" s="178"/>
      <c r="B206" s="178"/>
      <c r="C206" s="178"/>
      <c r="D206" s="178"/>
      <c r="E206" s="178"/>
    </row>
    <row r="207">
      <c r="A207" s="178"/>
      <c r="B207" s="178"/>
      <c r="C207" s="178"/>
      <c r="D207" s="178"/>
      <c r="E207" s="178"/>
    </row>
    <row r="208">
      <c r="A208" s="178"/>
      <c r="B208" s="178"/>
      <c r="C208" s="178"/>
      <c r="D208" s="178"/>
      <c r="E208" s="178"/>
    </row>
    <row r="209">
      <c r="A209" s="178"/>
      <c r="B209" s="178"/>
      <c r="C209" s="178"/>
      <c r="D209" s="178"/>
      <c r="E209" s="178"/>
    </row>
    <row r="210">
      <c r="A210" s="178"/>
      <c r="B210" s="178"/>
      <c r="C210" s="178"/>
      <c r="D210" s="178"/>
      <c r="E210" s="178"/>
    </row>
    <row r="211">
      <c r="A211" s="178"/>
      <c r="B211" s="178"/>
      <c r="C211" s="178"/>
      <c r="D211" s="178"/>
      <c r="E211" s="178"/>
    </row>
    <row r="212">
      <c r="A212" s="178"/>
      <c r="B212" s="178"/>
      <c r="C212" s="178"/>
      <c r="D212" s="178"/>
      <c r="E212" s="178"/>
    </row>
    <row r="213">
      <c r="A213" s="178"/>
      <c r="B213" s="178"/>
      <c r="C213" s="178"/>
      <c r="D213" s="178"/>
      <c r="E213" s="178"/>
    </row>
    <row r="214">
      <c r="A214" s="178"/>
      <c r="B214" s="178"/>
      <c r="C214" s="178"/>
      <c r="D214" s="178"/>
      <c r="E214" s="178"/>
    </row>
    <row r="215">
      <c r="A215" s="178"/>
      <c r="B215" s="178"/>
      <c r="C215" s="178"/>
      <c r="D215" s="178"/>
      <c r="E215" s="178"/>
    </row>
    <row r="216">
      <c r="A216" s="178"/>
      <c r="B216" s="178"/>
      <c r="C216" s="178"/>
      <c r="D216" s="178"/>
      <c r="E216" s="178"/>
    </row>
    <row r="217">
      <c r="A217" s="178"/>
      <c r="B217" s="178"/>
      <c r="C217" s="178"/>
      <c r="D217" s="178"/>
      <c r="E217" s="178"/>
    </row>
    <row r="218">
      <c r="A218" s="178"/>
      <c r="B218" s="178"/>
      <c r="C218" s="178"/>
      <c r="D218" s="178"/>
      <c r="E218" s="178"/>
    </row>
    <row r="219">
      <c r="A219" s="178"/>
      <c r="B219" s="178"/>
      <c r="C219" s="178"/>
      <c r="D219" s="178"/>
      <c r="E219" s="178"/>
    </row>
    <row r="220">
      <c r="A220" s="178"/>
      <c r="B220" s="178"/>
      <c r="C220" s="178"/>
      <c r="D220" s="178"/>
      <c r="E220" s="178"/>
    </row>
    <row r="221">
      <c r="A221" s="178"/>
      <c r="B221" s="178"/>
      <c r="C221" s="178"/>
      <c r="D221" s="178"/>
      <c r="E221" s="178"/>
    </row>
    <row r="222">
      <c r="A222" s="178"/>
      <c r="B222" s="178"/>
      <c r="C222" s="178"/>
      <c r="D222" s="178"/>
      <c r="E222" s="178"/>
    </row>
    <row r="223">
      <c r="A223" s="178"/>
      <c r="B223" s="178"/>
      <c r="C223" s="178"/>
      <c r="D223" s="178"/>
      <c r="E223" s="178"/>
    </row>
    <row r="224">
      <c r="A224" s="178"/>
      <c r="B224" s="178"/>
      <c r="C224" s="178"/>
      <c r="D224" s="178"/>
      <c r="E224" s="178"/>
    </row>
    <row r="225">
      <c r="A225" s="178"/>
      <c r="B225" s="178"/>
      <c r="C225" s="178"/>
      <c r="D225" s="178"/>
      <c r="E225" s="178"/>
    </row>
    <row r="226">
      <c r="A226" s="178"/>
      <c r="B226" s="178"/>
      <c r="C226" s="178"/>
      <c r="D226" s="178"/>
      <c r="E226" s="178"/>
    </row>
    <row r="227">
      <c r="A227" s="178"/>
      <c r="B227" s="178"/>
      <c r="C227" s="178"/>
      <c r="D227" s="178"/>
      <c r="E227" s="178"/>
    </row>
    <row r="228">
      <c r="A228" s="178"/>
      <c r="B228" s="178"/>
      <c r="C228" s="178"/>
      <c r="D228" s="178"/>
      <c r="E228" s="178"/>
    </row>
    <row r="229">
      <c r="A229" s="178"/>
      <c r="B229" s="178"/>
      <c r="C229" s="178"/>
      <c r="D229" s="178"/>
      <c r="E229" s="178"/>
    </row>
    <row r="230">
      <c r="A230" s="178"/>
      <c r="B230" s="178"/>
      <c r="C230" s="178"/>
      <c r="D230" s="178"/>
      <c r="E230" s="178"/>
    </row>
    <row r="231">
      <c r="A231" s="178"/>
      <c r="B231" s="178"/>
      <c r="C231" s="178"/>
      <c r="D231" s="178"/>
      <c r="E231" s="178"/>
    </row>
    <row r="232">
      <c r="A232" s="178"/>
      <c r="B232" s="178"/>
      <c r="C232" s="178"/>
      <c r="D232" s="178"/>
      <c r="E232" s="178"/>
    </row>
    <row r="233">
      <c r="A233" s="178"/>
      <c r="B233" s="178"/>
      <c r="C233" s="178"/>
      <c r="D233" s="178"/>
      <c r="E233" s="178"/>
    </row>
    <row r="234">
      <c r="A234" s="178"/>
      <c r="B234" s="178"/>
      <c r="C234" s="178"/>
      <c r="D234" s="178"/>
      <c r="E234" s="178"/>
    </row>
    <row r="235">
      <c r="A235" s="178"/>
      <c r="B235" s="178"/>
      <c r="C235" s="178"/>
      <c r="D235" s="178"/>
      <c r="E235" s="178"/>
    </row>
    <row r="236">
      <c r="A236" s="178"/>
      <c r="B236" s="178"/>
      <c r="C236" s="178"/>
      <c r="D236" s="178"/>
      <c r="E236" s="178"/>
    </row>
    <row r="237">
      <c r="A237" s="178"/>
      <c r="B237" s="178"/>
      <c r="C237" s="178"/>
      <c r="D237" s="178"/>
      <c r="E237" s="178"/>
    </row>
    <row r="238">
      <c r="A238" s="178"/>
      <c r="B238" s="178"/>
      <c r="C238" s="178"/>
      <c r="D238" s="178"/>
      <c r="E238" s="178"/>
    </row>
    <row r="239">
      <c r="A239" s="178"/>
      <c r="B239" s="178"/>
      <c r="C239" s="178"/>
      <c r="D239" s="178"/>
      <c r="E239" s="178"/>
    </row>
    <row r="240">
      <c r="A240" s="178"/>
      <c r="B240" s="178"/>
      <c r="C240" s="178"/>
      <c r="D240" s="178"/>
      <c r="E240" s="178"/>
    </row>
    <row r="241">
      <c r="A241" s="178"/>
      <c r="B241" s="178"/>
      <c r="C241" s="178"/>
      <c r="D241" s="178"/>
      <c r="E241" s="178"/>
    </row>
    <row r="242">
      <c r="A242" s="178"/>
      <c r="B242" s="178"/>
      <c r="C242" s="178"/>
      <c r="D242" s="178"/>
      <c r="E242" s="178"/>
    </row>
    <row r="243">
      <c r="A243" s="178"/>
      <c r="B243" s="178"/>
      <c r="C243" s="178"/>
      <c r="D243" s="178"/>
      <c r="E243" s="178"/>
    </row>
    <row r="244">
      <c r="A244" s="178"/>
      <c r="B244" s="178"/>
      <c r="C244" s="178"/>
      <c r="D244" s="178"/>
      <c r="E244" s="178"/>
    </row>
    <row r="245">
      <c r="A245" s="178"/>
      <c r="B245" s="178"/>
      <c r="C245" s="178"/>
      <c r="D245" s="178"/>
      <c r="E245" s="178"/>
    </row>
    <row r="246">
      <c r="A246" s="178"/>
      <c r="B246" s="178"/>
      <c r="C246" s="178"/>
      <c r="D246" s="178"/>
      <c r="E246" s="178"/>
    </row>
    <row r="247">
      <c r="A247" s="178"/>
      <c r="B247" s="178"/>
      <c r="C247" s="178"/>
      <c r="D247" s="178"/>
      <c r="E247" s="178"/>
    </row>
    <row r="248">
      <c r="A248" s="178"/>
      <c r="B248" s="178"/>
      <c r="C248" s="178"/>
      <c r="D248" s="178"/>
      <c r="E248" s="178"/>
    </row>
    <row r="249">
      <c r="A249" s="178"/>
      <c r="B249" s="178"/>
      <c r="C249" s="178"/>
      <c r="D249" s="178"/>
      <c r="E249" s="178"/>
    </row>
    <row r="250">
      <c r="A250" s="178"/>
      <c r="B250" s="178"/>
      <c r="C250" s="178"/>
      <c r="D250" s="178"/>
      <c r="E250" s="178"/>
    </row>
    <row r="251">
      <c r="A251" s="178"/>
      <c r="B251" s="178"/>
      <c r="C251" s="178"/>
      <c r="D251" s="178"/>
      <c r="E251" s="178"/>
    </row>
    <row r="252">
      <c r="A252" s="178"/>
      <c r="B252" s="178"/>
      <c r="C252" s="178"/>
      <c r="D252" s="178"/>
      <c r="E252" s="178"/>
    </row>
    <row r="253">
      <c r="A253" s="178"/>
      <c r="B253" s="178"/>
      <c r="C253" s="178"/>
      <c r="D253" s="178"/>
      <c r="E253" s="178"/>
    </row>
    <row r="254">
      <c r="A254" s="178"/>
      <c r="B254" s="178"/>
      <c r="C254" s="178"/>
      <c r="D254" s="178"/>
      <c r="E254" s="178"/>
    </row>
    <row r="255">
      <c r="A255" s="178"/>
      <c r="B255" s="178"/>
      <c r="C255" s="178"/>
      <c r="D255" s="178"/>
      <c r="E255" s="178"/>
    </row>
    <row r="256">
      <c r="A256" s="178"/>
      <c r="B256" s="178"/>
      <c r="C256" s="178"/>
      <c r="D256" s="178"/>
      <c r="E256" s="178"/>
    </row>
    <row r="257">
      <c r="A257" s="178"/>
      <c r="B257" s="178"/>
      <c r="C257" s="178"/>
      <c r="D257" s="178"/>
      <c r="E257" s="178"/>
    </row>
    <row r="258">
      <c r="A258" s="178"/>
      <c r="B258" s="178"/>
      <c r="C258" s="178"/>
      <c r="D258" s="178"/>
      <c r="E258" s="178"/>
    </row>
    <row r="259">
      <c r="A259" s="178"/>
      <c r="B259" s="178"/>
      <c r="C259" s="178"/>
      <c r="D259" s="178"/>
      <c r="E259" s="178"/>
    </row>
    <row r="260">
      <c r="A260" s="178"/>
      <c r="B260" s="178"/>
      <c r="C260" s="178"/>
      <c r="D260" s="178"/>
      <c r="E260" s="178"/>
    </row>
    <row r="261">
      <c r="A261" s="178"/>
      <c r="B261" s="178"/>
      <c r="C261" s="178"/>
      <c r="D261" s="178"/>
      <c r="E261" s="178"/>
    </row>
    <row r="262">
      <c r="A262" s="178"/>
      <c r="B262" s="178"/>
      <c r="C262" s="178"/>
      <c r="D262" s="178"/>
      <c r="E262" s="178"/>
    </row>
    <row r="263">
      <c r="A263" s="178"/>
      <c r="B263" s="178"/>
      <c r="C263" s="178"/>
      <c r="D263" s="178"/>
      <c r="E263" s="178"/>
    </row>
    <row r="264">
      <c r="A264" s="178"/>
      <c r="B264" s="178"/>
      <c r="C264" s="178"/>
      <c r="D264" s="178"/>
      <c r="E264" s="178"/>
    </row>
    <row r="265">
      <c r="A265" s="178"/>
      <c r="B265" s="178"/>
      <c r="C265" s="178"/>
      <c r="D265" s="178"/>
      <c r="E265" s="178"/>
    </row>
    <row r="266">
      <c r="A266" s="178"/>
      <c r="B266" s="178"/>
      <c r="C266" s="178"/>
      <c r="D266" s="178"/>
      <c r="E266" s="178"/>
    </row>
    <row r="267">
      <c r="A267" s="178"/>
      <c r="B267" s="178"/>
      <c r="C267" s="178"/>
      <c r="D267" s="178"/>
      <c r="E267" s="178"/>
    </row>
    <row r="268">
      <c r="A268" s="178"/>
      <c r="B268" s="178"/>
      <c r="C268" s="178"/>
      <c r="D268" s="178"/>
      <c r="E268" s="178"/>
    </row>
    <row r="269">
      <c r="A269" s="178"/>
      <c r="B269" s="178"/>
      <c r="C269" s="178"/>
      <c r="D269" s="178"/>
      <c r="E269" s="178"/>
    </row>
    <row r="270">
      <c r="A270" s="178"/>
      <c r="B270" s="178"/>
      <c r="C270" s="178"/>
      <c r="D270" s="178"/>
      <c r="E270" s="178"/>
    </row>
    <row r="271">
      <c r="A271" s="178"/>
      <c r="B271" s="178"/>
      <c r="C271" s="178"/>
      <c r="D271" s="178"/>
      <c r="E271" s="178"/>
    </row>
    <row r="272">
      <c r="A272" s="178"/>
      <c r="B272" s="178"/>
      <c r="C272" s="178"/>
      <c r="D272" s="178"/>
      <c r="E272" s="178"/>
    </row>
    <row r="273">
      <c r="A273" s="178"/>
      <c r="B273" s="178"/>
      <c r="C273" s="178"/>
      <c r="D273" s="178"/>
      <c r="E273" s="178"/>
    </row>
    <row r="274">
      <c r="A274" s="178"/>
      <c r="B274" s="178"/>
      <c r="C274" s="178"/>
      <c r="D274" s="178"/>
      <c r="E274" s="178"/>
    </row>
    <row r="275">
      <c r="A275" s="178"/>
      <c r="B275" s="178"/>
      <c r="C275" s="178"/>
      <c r="D275" s="178"/>
      <c r="E275" s="178"/>
    </row>
    <row r="276">
      <c r="A276" s="178"/>
      <c r="B276" s="178"/>
      <c r="C276" s="178"/>
      <c r="D276" s="178"/>
      <c r="E276" s="178"/>
    </row>
    <row r="277">
      <c r="A277" s="178"/>
      <c r="B277" s="178"/>
      <c r="C277" s="178"/>
      <c r="D277" s="178"/>
      <c r="E277" s="178"/>
    </row>
    <row r="278">
      <c r="A278" s="178"/>
      <c r="B278" s="178"/>
      <c r="C278" s="178"/>
      <c r="D278" s="178"/>
      <c r="E278" s="178"/>
    </row>
    <row r="279">
      <c r="A279" s="178"/>
      <c r="B279" s="178"/>
      <c r="C279" s="178"/>
      <c r="D279" s="178"/>
      <c r="E279" s="178"/>
    </row>
    <row r="280">
      <c r="A280" s="178"/>
      <c r="B280" s="178"/>
      <c r="C280" s="178"/>
      <c r="D280" s="178"/>
      <c r="E280" s="178"/>
    </row>
    <row r="281">
      <c r="A281" s="178"/>
      <c r="B281" s="178"/>
      <c r="C281" s="178"/>
      <c r="D281" s="178"/>
      <c r="E281" s="178"/>
    </row>
    <row r="282">
      <c r="A282" s="178"/>
      <c r="B282" s="178"/>
      <c r="C282" s="178"/>
      <c r="D282" s="178"/>
      <c r="E282" s="178"/>
    </row>
    <row r="283">
      <c r="A283" s="178"/>
      <c r="B283" s="178"/>
      <c r="C283" s="178"/>
      <c r="D283" s="178"/>
      <c r="E283" s="178"/>
    </row>
    <row r="284">
      <c r="A284" s="178"/>
      <c r="B284" s="178"/>
      <c r="C284" s="178"/>
      <c r="D284" s="178"/>
      <c r="E284" s="178"/>
    </row>
    <row r="285">
      <c r="A285" s="178"/>
      <c r="B285" s="178"/>
      <c r="C285" s="178"/>
      <c r="D285" s="178"/>
      <c r="E285" s="178"/>
    </row>
    <row r="286">
      <c r="A286" s="178"/>
      <c r="B286" s="178"/>
      <c r="C286" s="178"/>
      <c r="D286" s="178"/>
      <c r="E286" s="178"/>
    </row>
    <row r="287">
      <c r="A287" s="178"/>
      <c r="B287" s="178"/>
      <c r="C287" s="178"/>
      <c r="D287" s="178"/>
      <c r="E287" s="178"/>
    </row>
    <row r="288">
      <c r="A288" s="178"/>
      <c r="B288" s="178"/>
      <c r="C288" s="178"/>
      <c r="D288" s="178"/>
      <c r="E288" s="178"/>
    </row>
    <row r="289">
      <c r="A289" s="178"/>
      <c r="B289" s="178"/>
      <c r="C289" s="178"/>
      <c r="D289" s="178"/>
      <c r="E289" s="178"/>
    </row>
    <row r="290">
      <c r="A290" s="178"/>
      <c r="B290" s="178"/>
      <c r="C290" s="178"/>
      <c r="D290" s="178"/>
      <c r="E290" s="178"/>
    </row>
    <row r="291">
      <c r="A291" s="178"/>
      <c r="B291" s="178"/>
      <c r="C291" s="178"/>
      <c r="D291" s="178"/>
      <c r="E291" s="178"/>
    </row>
    <row r="292">
      <c r="A292" s="178"/>
      <c r="B292" s="178"/>
      <c r="C292" s="178"/>
      <c r="D292" s="178"/>
      <c r="E292" s="178"/>
    </row>
    <row r="293">
      <c r="A293" s="178"/>
      <c r="B293" s="178"/>
      <c r="C293" s="178"/>
      <c r="D293" s="178"/>
      <c r="E293" s="178"/>
    </row>
    <row r="294">
      <c r="A294" s="178"/>
      <c r="B294" s="178"/>
      <c r="C294" s="178"/>
      <c r="D294" s="178"/>
      <c r="E294" s="178"/>
    </row>
    <row r="295">
      <c r="A295" s="178"/>
      <c r="B295" s="178"/>
      <c r="C295" s="178"/>
      <c r="D295" s="178"/>
      <c r="E295" s="178"/>
    </row>
    <row r="296">
      <c r="A296" s="178"/>
      <c r="B296" s="178"/>
      <c r="C296" s="178"/>
      <c r="D296" s="178"/>
      <c r="E296" s="178"/>
    </row>
    <row r="297">
      <c r="A297" s="178"/>
      <c r="B297" s="178"/>
      <c r="C297" s="178"/>
      <c r="D297" s="178"/>
      <c r="E297" s="178"/>
    </row>
    <row r="298">
      <c r="A298" s="178"/>
      <c r="B298" s="178"/>
      <c r="C298" s="178"/>
      <c r="D298" s="178"/>
      <c r="E298" s="178"/>
    </row>
    <row r="299">
      <c r="A299" s="178"/>
      <c r="B299" s="178"/>
      <c r="C299" s="178"/>
      <c r="D299" s="178"/>
      <c r="E299" s="178"/>
    </row>
    <row r="300">
      <c r="A300" s="178"/>
      <c r="B300" s="178"/>
      <c r="C300" s="178"/>
      <c r="D300" s="178"/>
      <c r="E300" s="178"/>
    </row>
    <row r="301">
      <c r="A301" s="178"/>
      <c r="B301" s="178"/>
      <c r="C301" s="178"/>
      <c r="D301" s="178"/>
      <c r="E301" s="178"/>
    </row>
    <row r="302">
      <c r="A302" s="178"/>
      <c r="B302" s="178"/>
      <c r="C302" s="178"/>
      <c r="D302" s="178"/>
      <c r="E302" s="178"/>
    </row>
    <row r="303">
      <c r="A303" s="178"/>
      <c r="B303" s="178"/>
      <c r="C303" s="178"/>
      <c r="D303" s="178"/>
      <c r="E303" s="178"/>
    </row>
    <row r="304">
      <c r="A304" s="178"/>
      <c r="B304" s="178"/>
      <c r="C304" s="178"/>
      <c r="D304" s="178"/>
      <c r="E304" s="178"/>
    </row>
    <row r="305">
      <c r="A305" s="178"/>
      <c r="B305" s="178"/>
      <c r="C305" s="178"/>
      <c r="D305" s="178"/>
      <c r="E305" s="178"/>
    </row>
    <row r="306">
      <c r="A306" s="178"/>
      <c r="B306" s="178"/>
      <c r="C306" s="178"/>
      <c r="D306" s="178"/>
      <c r="E306" s="178"/>
    </row>
    <row r="307">
      <c r="A307" s="178"/>
      <c r="B307" s="178"/>
      <c r="C307" s="178"/>
      <c r="D307" s="178"/>
      <c r="E307" s="178"/>
    </row>
    <row r="308">
      <c r="A308" s="178"/>
      <c r="B308" s="178"/>
      <c r="C308" s="178"/>
      <c r="D308" s="178"/>
      <c r="E308" s="178"/>
    </row>
    <row r="309">
      <c r="A309" s="178"/>
      <c r="B309" s="178"/>
      <c r="C309" s="178"/>
      <c r="D309" s="178"/>
      <c r="E309" s="178"/>
    </row>
    <row r="310">
      <c r="A310" s="178"/>
      <c r="B310" s="178"/>
      <c r="C310" s="178"/>
      <c r="D310" s="178"/>
      <c r="E310" s="178"/>
    </row>
    <row r="311">
      <c r="A311" s="178"/>
      <c r="B311" s="178"/>
      <c r="C311" s="178"/>
      <c r="D311" s="178"/>
      <c r="E311" s="178"/>
    </row>
    <row r="312">
      <c r="A312" s="178"/>
      <c r="B312" s="178"/>
      <c r="C312" s="178"/>
      <c r="D312" s="178"/>
      <c r="E312" s="178"/>
    </row>
    <row r="313">
      <c r="A313" s="178"/>
      <c r="B313" s="178"/>
      <c r="C313" s="178"/>
      <c r="D313" s="178"/>
      <c r="E313" s="178"/>
    </row>
    <row r="314">
      <c r="A314" s="178"/>
      <c r="B314" s="178"/>
      <c r="C314" s="178"/>
      <c r="D314" s="178"/>
      <c r="E314" s="178"/>
    </row>
    <row r="315">
      <c r="A315" s="178"/>
      <c r="B315" s="178"/>
      <c r="C315" s="178"/>
      <c r="D315" s="178"/>
      <c r="E315" s="178"/>
    </row>
    <row r="316">
      <c r="A316" s="178"/>
      <c r="B316" s="178"/>
      <c r="C316" s="178"/>
      <c r="D316" s="178"/>
      <c r="E316" s="178"/>
    </row>
    <row r="317">
      <c r="A317" s="178"/>
      <c r="B317" s="178"/>
      <c r="C317" s="178"/>
      <c r="D317" s="178"/>
      <c r="E317" s="178"/>
    </row>
    <row r="318">
      <c r="A318" s="178"/>
      <c r="B318" s="178"/>
      <c r="C318" s="178"/>
      <c r="D318" s="178"/>
      <c r="E318" s="178"/>
    </row>
    <row r="319">
      <c r="A319" s="178"/>
      <c r="B319" s="178"/>
      <c r="C319" s="178"/>
      <c r="D319" s="178"/>
      <c r="E319" s="178"/>
    </row>
    <row r="320">
      <c r="A320" s="178"/>
      <c r="B320" s="178"/>
      <c r="C320" s="178"/>
      <c r="D320" s="178"/>
      <c r="E320" s="178"/>
    </row>
    <row r="321">
      <c r="A321" s="178"/>
      <c r="B321" s="178"/>
      <c r="C321" s="178"/>
      <c r="D321" s="178"/>
      <c r="E321" s="178"/>
    </row>
    <row r="322">
      <c r="A322" s="178"/>
      <c r="B322" s="178"/>
      <c r="C322" s="178"/>
      <c r="D322" s="178"/>
      <c r="E322" s="178"/>
    </row>
    <row r="323">
      <c r="A323" s="178"/>
      <c r="B323" s="178"/>
      <c r="C323" s="178"/>
      <c r="D323" s="178"/>
      <c r="E323" s="178"/>
    </row>
    <row r="324">
      <c r="A324" s="178"/>
      <c r="B324" s="178"/>
      <c r="C324" s="178"/>
      <c r="D324" s="178"/>
      <c r="E324" s="178"/>
    </row>
    <row r="325">
      <c r="A325" s="178"/>
      <c r="B325" s="178"/>
      <c r="C325" s="178"/>
      <c r="D325" s="178"/>
      <c r="E325" s="178"/>
    </row>
    <row r="326">
      <c r="A326" s="178"/>
      <c r="B326" s="178"/>
      <c r="C326" s="178"/>
      <c r="D326" s="178"/>
      <c r="E326" s="178"/>
    </row>
    <row r="327">
      <c r="A327" s="178"/>
      <c r="B327" s="178"/>
      <c r="C327" s="178"/>
      <c r="D327" s="178"/>
      <c r="E327" s="178"/>
    </row>
    <row r="328">
      <c r="A328" s="178"/>
      <c r="B328" s="178"/>
      <c r="C328" s="178"/>
      <c r="D328" s="178"/>
      <c r="E328" s="178"/>
    </row>
    <row r="329">
      <c r="A329" s="178"/>
      <c r="B329" s="178"/>
      <c r="C329" s="178"/>
      <c r="D329" s="178"/>
      <c r="E329" s="178"/>
    </row>
    <row r="330">
      <c r="A330" s="178"/>
      <c r="B330" s="178"/>
      <c r="C330" s="178"/>
      <c r="D330" s="178"/>
      <c r="E330" s="178"/>
    </row>
    <row r="331">
      <c r="A331" s="178"/>
      <c r="B331" s="178"/>
      <c r="C331" s="178"/>
      <c r="D331" s="178"/>
      <c r="E331" s="178"/>
    </row>
    <row r="332">
      <c r="A332" s="178"/>
      <c r="B332" s="178"/>
      <c r="C332" s="178"/>
      <c r="D332" s="178"/>
      <c r="E332" s="178"/>
    </row>
    <row r="333">
      <c r="A333" s="178"/>
      <c r="B333" s="178"/>
      <c r="C333" s="178"/>
      <c r="D333" s="178"/>
      <c r="E333" s="178"/>
    </row>
    <row r="334">
      <c r="A334" s="178"/>
      <c r="B334" s="178"/>
      <c r="C334" s="178"/>
      <c r="D334" s="178"/>
      <c r="E334" s="178"/>
    </row>
    <row r="335">
      <c r="A335" s="178"/>
      <c r="B335" s="178"/>
      <c r="C335" s="178"/>
      <c r="D335" s="178"/>
      <c r="E335" s="178"/>
    </row>
    <row r="336">
      <c r="A336" s="178"/>
      <c r="B336" s="178"/>
      <c r="C336" s="178"/>
      <c r="D336" s="178"/>
      <c r="E336" s="178"/>
    </row>
    <row r="337">
      <c r="A337" s="178"/>
      <c r="B337" s="178"/>
      <c r="C337" s="178"/>
      <c r="D337" s="178"/>
      <c r="E337" s="178"/>
    </row>
    <row r="338">
      <c r="A338" s="178"/>
      <c r="B338" s="178"/>
      <c r="C338" s="178"/>
      <c r="D338" s="178"/>
      <c r="E338" s="178"/>
    </row>
    <row r="339">
      <c r="A339" s="178"/>
      <c r="B339" s="178"/>
      <c r="C339" s="178"/>
      <c r="D339" s="178"/>
      <c r="E339" s="178"/>
    </row>
    <row r="340">
      <c r="A340" s="178"/>
      <c r="B340" s="178"/>
      <c r="C340" s="178"/>
      <c r="D340" s="178"/>
      <c r="E340" s="178"/>
    </row>
    <row r="341">
      <c r="A341" s="178"/>
      <c r="B341" s="178"/>
      <c r="C341" s="178"/>
      <c r="D341" s="178"/>
      <c r="E341" s="178"/>
    </row>
    <row r="342">
      <c r="A342" s="178"/>
      <c r="B342" s="178"/>
      <c r="C342" s="178"/>
      <c r="D342" s="178"/>
      <c r="E342" s="178"/>
    </row>
    <row r="343">
      <c r="A343" s="178"/>
      <c r="B343" s="178"/>
      <c r="C343" s="178"/>
      <c r="D343" s="178"/>
      <c r="E343" s="178"/>
    </row>
    <row r="344">
      <c r="A344" s="178"/>
      <c r="B344" s="178"/>
      <c r="C344" s="178"/>
      <c r="D344" s="178"/>
      <c r="E344" s="178"/>
    </row>
    <row r="345">
      <c r="A345" s="178"/>
      <c r="B345" s="178"/>
      <c r="C345" s="178"/>
      <c r="D345" s="178"/>
      <c r="E345" s="178"/>
    </row>
    <row r="346">
      <c r="A346" s="178"/>
      <c r="B346" s="178"/>
      <c r="C346" s="178"/>
      <c r="D346" s="178"/>
      <c r="E346" s="178"/>
    </row>
    <row r="347">
      <c r="A347" s="178"/>
      <c r="B347" s="178"/>
      <c r="C347" s="178"/>
      <c r="D347" s="178"/>
      <c r="E347" s="178"/>
    </row>
    <row r="348">
      <c r="A348" s="178"/>
      <c r="B348" s="178"/>
      <c r="C348" s="178"/>
      <c r="D348" s="178"/>
      <c r="E348" s="178"/>
    </row>
    <row r="349">
      <c r="A349" s="178"/>
      <c r="B349" s="178"/>
      <c r="C349" s="178"/>
      <c r="D349" s="178"/>
      <c r="E349" s="178"/>
    </row>
    <row r="350">
      <c r="A350" s="178"/>
      <c r="B350" s="178"/>
      <c r="C350" s="178"/>
      <c r="D350" s="178"/>
      <c r="E350" s="178"/>
    </row>
    <row r="351">
      <c r="A351" s="178"/>
      <c r="B351" s="178"/>
      <c r="C351" s="178"/>
      <c r="D351" s="178"/>
      <c r="E351" s="178"/>
    </row>
    <row r="352">
      <c r="A352" s="178"/>
      <c r="B352" s="178"/>
      <c r="C352" s="178"/>
      <c r="D352" s="178"/>
      <c r="E352" s="178"/>
    </row>
    <row r="353">
      <c r="A353" s="178"/>
      <c r="B353" s="178"/>
      <c r="C353" s="178"/>
      <c r="D353" s="178"/>
      <c r="E353" s="178"/>
    </row>
    <row r="354">
      <c r="A354" s="178"/>
      <c r="B354" s="178"/>
      <c r="C354" s="178"/>
      <c r="D354" s="178"/>
      <c r="E354" s="178"/>
    </row>
    <row r="355">
      <c r="A355" s="178"/>
      <c r="B355" s="178"/>
      <c r="C355" s="178"/>
      <c r="D355" s="178"/>
      <c r="E355" s="178"/>
    </row>
    <row r="356">
      <c r="A356" s="178"/>
      <c r="B356" s="178"/>
      <c r="C356" s="178"/>
      <c r="D356" s="178"/>
      <c r="E356" s="178"/>
    </row>
    <row r="357">
      <c r="A357" s="178"/>
      <c r="B357" s="178"/>
      <c r="C357" s="178"/>
      <c r="D357" s="178"/>
      <c r="E357" s="178"/>
    </row>
    <row r="358">
      <c r="A358" s="178"/>
      <c r="B358" s="178"/>
      <c r="C358" s="178"/>
      <c r="D358" s="178"/>
      <c r="E358" s="178"/>
    </row>
    <row r="359">
      <c r="A359" s="178"/>
      <c r="B359" s="178"/>
      <c r="C359" s="178"/>
      <c r="D359" s="178"/>
      <c r="E359" s="178"/>
    </row>
    <row r="360">
      <c r="A360" s="178"/>
      <c r="B360" s="178"/>
      <c r="C360" s="178"/>
      <c r="D360" s="178"/>
      <c r="E360" s="178"/>
    </row>
    <row r="361">
      <c r="A361" s="178"/>
      <c r="B361" s="178"/>
      <c r="C361" s="178"/>
      <c r="D361" s="178"/>
      <c r="E361" s="178"/>
    </row>
    <row r="362">
      <c r="A362" s="178"/>
      <c r="B362" s="178"/>
      <c r="C362" s="178"/>
      <c r="D362" s="178"/>
      <c r="E362" s="178"/>
    </row>
    <row r="363">
      <c r="A363" s="178"/>
      <c r="B363" s="178"/>
      <c r="C363" s="178"/>
      <c r="D363" s="178"/>
      <c r="E363" s="178"/>
    </row>
    <row r="364">
      <c r="A364" s="178"/>
      <c r="B364" s="178"/>
      <c r="C364" s="178"/>
      <c r="D364" s="178"/>
      <c r="E364" s="178"/>
    </row>
    <row r="365">
      <c r="A365" s="178"/>
      <c r="B365" s="178"/>
      <c r="C365" s="178"/>
      <c r="D365" s="178"/>
      <c r="E365" s="178"/>
    </row>
    <row r="366">
      <c r="A366" s="178"/>
      <c r="B366" s="178"/>
      <c r="C366" s="178"/>
      <c r="D366" s="178"/>
      <c r="E366" s="178"/>
    </row>
    <row r="367">
      <c r="A367" s="178"/>
      <c r="B367" s="178"/>
      <c r="C367" s="178"/>
      <c r="D367" s="178"/>
      <c r="E367" s="178"/>
    </row>
    <row r="368">
      <c r="A368" s="178"/>
      <c r="B368" s="178"/>
      <c r="C368" s="178"/>
      <c r="D368" s="178"/>
      <c r="E368" s="178"/>
    </row>
    <row r="369">
      <c r="A369" s="178"/>
      <c r="B369" s="178"/>
      <c r="C369" s="178"/>
      <c r="D369" s="178"/>
      <c r="E369" s="178"/>
    </row>
    <row r="370">
      <c r="A370" s="178"/>
      <c r="B370" s="178"/>
      <c r="C370" s="178"/>
      <c r="D370" s="178"/>
      <c r="E370" s="178"/>
    </row>
    <row r="371">
      <c r="A371" s="178"/>
      <c r="B371" s="178"/>
      <c r="C371" s="178"/>
      <c r="D371" s="178"/>
      <c r="E371" s="178"/>
    </row>
    <row r="372">
      <c r="A372" s="178"/>
      <c r="B372" s="178"/>
      <c r="C372" s="178"/>
      <c r="D372" s="178"/>
      <c r="E372" s="178"/>
    </row>
    <row r="373">
      <c r="A373" s="178"/>
      <c r="B373" s="178"/>
      <c r="C373" s="178"/>
      <c r="D373" s="178"/>
      <c r="E373" s="178"/>
    </row>
    <row r="374">
      <c r="A374" s="178"/>
      <c r="B374" s="178"/>
      <c r="C374" s="178"/>
      <c r="D374" s="178"/>
      <c r="E374" s="178"/>
    </row>
    <row r="375">
      <c r="A375" s="178"/>
      <c r="B375" s="178"/>
      <c r="C375" s="178"/>
      <c r="D375" s="178"/>
      <c r="E375" s="178"/>
    </row>
    <row r="376">
      <c r="A376" s="178"/>
      <c r="B376" s="178"/>
      <c r="C376" s="178"/>
      <c r="D376" s="178"/>
      <c r="E376" s="178"/>
    </row>
    <row r="377">
      <c r="A377" s="178"/>
      <c r="B377" s="178"/>
      <c r="C377" s="178"/>
      <c r="D377" s="178"/>
      <c r="E377" s="178"/>
    </row>
    <row r="378">
      <c r="A378" s="178"/>
      <c r="B378" s="178"/>
      <c r="C378" s="178"/>
      <c r="D378" s="178"/>
      <c r="E378" s="178"/>
    </row>
    <row r="379">
      <c r="A379" s="178"/>
      <c r="B379" s="178"/>
      <c r="C379" s="178"/>
      <c r="D379" s="178"/>
      <c r="E379" s="178"/>
    </row>
    <row r="380">
      <c r="A380" s="178"/>
      <c r="B380" s="178"/>
      <c r="C380" s="178"/>
      <c r="D380" s="178"/>
      <c r="E380" s="178"/>
    </row>
    <row r="381">
      <c r="A381" s="178"/>
      <c r="B381" s="178"/>
      <c r="C381" s="178"/>
      <c r="D381" s="178"/>
      <c r="E381" s="178"/>
    </row>
    <row r="382">
      <c r="A382" s="178"/>
      <c r="B382" s="178"/>
      <c r="C382" s="178"/>
      <c r="D382" s="178"/>
      <c r="E382" s="178"/>
    </row>
    <row r="383">
      <c r="A383" s="178"/>
      <c r="B383" s="178"/>
      <c r="C383" s="178"/>
      <c r="D383" s="178"/>
      <c r="E383" s="178"/>
    </row>
    <row r="384">
      <c r="A384" s="178"/>
      <c r="B384" s="178"/>
      <c r="C384" s="178"/>
      <c r="D384" s="178"/>
      <c r="E384" s="178"/>
    </row>
    <row r="385">
      <c r="A385" s="178"/>
      <c r="B385" s="178"/>
      <c r="C385" s="178"/>
      <c r="D385" s="178"/>
      <c r="E385" s="178"/>
    </row>
    <row r="386">
      <c r="A386" s="178"/>
      <c r="B386" s="178"/>
      <c r="C386" s="178"/>
      <c r="D386" s="178"/>
      <c r="E386" s="178"/>
    </row>
    <row r="387">
      <c r="A387" s="178"/>
      <c r="B387" s="178"/>
      <c r="C387" s="178"/>
      <c r="D387" s="178"/>
      <c r="E387" s="178"/>
    </row>
    <row r="388">
      <c r="A388" s="178"/>
      <c r="B388" s="178"/>
      <c r="C388" s="178"/>
      <c r="D388" s="178"/>
      <c r="E388" s="178"/>
    </row>
    <row r="389">
      <c r="A389" s="178"/>
      <c r="B389" s="178"/>
      <c r="C389" s="178"/>
      <c r="D389" s="178"/>
      <c r="E389" s="178"/>
    </row>
    <row r="390">
      <c r="A390" s="178"/>
      <c r="B390" s="178"/>
      <c r="C390" s="178"/>
      <c r="D390" s="178"/>
      <c r="E390" s="178"/>
    </row>
    <row r="391">
      <c r="A391" s="178"/>
      <c r="B391" s="178"/>
      <c r="C391" s="178"/>
      <c r="D391" s="178"/>
      <c r="E391" s="178"/>
    </row>
    <row r="392">
      <c r="A392" s="178"/>
      <c r="B392" s="178"/>
      <c r="C392" s="178"/>
      <c r="D392" s="178"/>
      <c r="E392" s="178"/>
    </row>
    <row r="393">
      <c r="A393" s="178"/>
      <c r="B393" s="178"/>
      <c r="C393" s="178"/>
      <c r="D393" s="178"/>
      <c r="E393" s="178"/>
    </row>
    <row r="394">
      <c r="A394" s="178"/>
      <c r="B394" s="178"/>
      <c r="C394" s="178"/>
      <c r="D394" s="178"/>
      <c r="E394" s="178"/>
    </row>
    <row r="395">
      <c r="A395" s="178"/>
      <c r="B395" s="178"/>
      <c r="C395" s="178"/>
      <c r="D395" s="178"/>
      <c r="E395" s="178"/>
    </row>
    <row r="396">
      <c r="A396" s="178"/>
      <c r="B396" s="178"/>
      <c r="C396" s="178"/>
      <c r="D396" s="178"/>
      <c r="E396" s="178"/>
    </row>
    <row r="397">
      <c r="A397" s="178"/>
      <c r="B397" s="178"/>
      <c r="C397" s="178"/>
      <c r="D397" s="178"/>
      <c r="E397" s="178"/>
    </row>
    <row r="398">
      <c r="A398" s="178"/>
      <c r="B398" s="178"/>
      <c r="C398" s="178"/>
      <c r="D398" s="178"/>
      <c r="E398" s="178"/>
    </row>
    <row r="399">
      <c r="A399" s="178"/>
      <c r="B399" s="178"/>
      <c r="C399" s="178"/>
      <c r="D399" s="178"/>
      <c r="E399" s="178"/>
    </row>
    <row r="400">
      <c r="A400" s="178"/>
      <c r="B400" s="178"/>
      <c r="C400" s="178"/>
      <c r="D400" s="178"/>
      <c r="E400" s="178"/>
    </row>
    <row r="401">
      <c r="A401" s="178"/>
      <c r="B401" s="178"/>
      <c r="C401" s="178"/>
      <c r="D401" s="178"/>
      <c r="E401" s="178"/>
    </row>
    <row r="402">
      <c r="A402" s="178"/>
      <c r="B402" s="178"/>
      <c r="C402" s="178"/>
      <c r="D402" s="178"/>
      <c r="E402" s="178"/>
    </row>
    <row r="403">
      <c r="A403" s="178"/>
      <c r="B403" s="178"/>
      <c r="C403" s="178"/>
      <c r="D403" s="178"/>
      <c r="E403" s="178"/>
    </row>
    <row r="404">
      <c r="A404" s="178"/>
      <c r="B404" s="178"/>
      <c r="C404" s="178"/>
      <c r="D404" s="178"/>
      <c r="E404" s="178"/>
    </row>
    <row r="405">
      <c r="A405" s="178"/>
      <c r="B405" s="178"/>
      <c r="C405" s="178"/>
      <c r="D405" s="178"/>
      <c r="E405" s="178"/>
    </row>
    <row r="406">
      <c r="A406" s="178"/>
      <c r="B406" s="178"/>
      <c r="C406" s="178"/>
      <c r="D406" s="178"/>
      <c r="E406" s="178"/>
    </row>
    <row r="407">
      <c r="A407" s="178"/>
      <c r="B407" s="178"/>
      <c r="C407" s="178"/>
      <c r="D407" s="178"/>
      <c r="E407" s="178"/>
    </row>
    <row r="408">
      <c r="A408" s="178"/>
      <c r="B408" s="178"/>
      <c r="C408" s="178"/>
      <c r="D408" s="178"/>
      <c r="E408" s="178"/>
    </row>
    <row r="409">
      <c r="A409" s="178"/>
      <c r="B409" s="178"/>
      <c r="C409" s="178"/>
      <c r="D409" s="178"/>
      <c r="E409" s="178"/>
    </row>
    <row r="410">
      <c r="A410" s="178"/>
      <c r="B410" s="178"/>
      <c r="C410" s="178"/>
      <c r="D410" s="178"/>
      <c r="E410" s="178"/>
    </row>
    <row r="411">
      <c r="A411" s="178"/>
      <c r="B411" s="178"/>
      <c r="C411" s="178"/>
      <c r="D411" s="178"/>
      <c r="E411" s="178"/>
    </row>
    <row r="412">
      <c r="A412" s="178"/>
      <c r="B412" s="178"/>
      <c r="C412" s="178"/>
      <c r="D412" s="178"/>
      <c r="E412" s="178"/>
    </row>
    <row r="413">
      <c r="A413" s="178"/>
      <c r="B413" s="178"/>
      <c r="C413" s="178"/>
      <c r="D413" s="178"/>
      <c r="E413" s="178"/>
    </row>
    <row r="414">
      <c r="A414" s="178"/>
      <c r="B414" s="178"/>
      <c r="C414" s="178"/>
      <c r="D414" s="178"/>
      <c r="E414" s="178"/>
    </row>
    <row r="415">
      <c r="A415" s="178"/>
      <c r="B415" s="178"/>
      <c r="C415" s="178"/>
      <c r="D415" s="178"/>
      <c r="E415" s="178"/>
    </row>
    <row r="416">
      <c r="A416" s="178"/>
      <c r="B416" s="178"/>
      <c r="C416" s="178"/>
      <c r="D416" s="178"/>
      <c r="E416" s="178"/>
    </row>
    <row r="417">
      <c r="A417" s="178"/>
      <c r="B417" s="178"/>
      <c r="C417" s="178"/>
      <c r="D417" s="178"/>
      <c r="E417" s="178"/>
    </row>
    <row r="418">
      <c r="A418" s="178"/>
      <c r="B418" s="178"/>
      <c r="C418" s="178"/>
      <c r="D418" s="178"/>
      <c r="E418" s="178"/>
    </row>
    <row r="419">
      <c r="A419" s="178"/>
      <c r="B419" s="178"/>
      <c r="C419" s="178"/>
      <c r="D419" s="178"/>
      <c r="E419" s="178"/>
    </row>
    <row r="420">
      <c r="A420" s="178"/>
      <c r="B420" s="178"/>
      <c r="C420" s="178"/>
      <c r="D420" s="178"/>
      <c r="E420" s="178"/>
    </row>
    <row r="421">
      <c r="A421" s="178"/>
      <c r="B421" s="178"/>
      <c r="C421" s="178"/>
      <c r="D421" s="178"/>
      <c r="E421" s="178"/>
    </row>
    <row r="422">
      <c r="A422" s="178"/>
      <c r="B422" s="178"/>
      <c r="C422" s="178"/>
      <c r="D422" s="178"/>
      <c r="E422" s="178"/>
    </row>
    <row r="423">
      <c r="A423" s="178"/>
      <c r="B423" s="178"/>
      <c r="C423" s="178"/>
      <c r="D423" s="178"/>
      <c r="E423" s="178"/>
    </row>
    <row r="424">
      <c r="A424" s="178"/>
      <c r="B424" s="178"/>
      <c r="C424" s="178"/>
      <c r="D424" s="178"/>
      <c r="E424" s="178"/>
    </row>
    <row r="425">
      <c r="A425" s="178"/>
      <c r="B425" s="178"/>
      <c r="C425" s="178"/>
      <c r="D425" s="178"/>
      <c r="E425" s="178"/>
    </row>
    <row r="426">
      <c r="A426" s="178"/>
      <c r="B426" s="178"/>
      <c r="C426" s="178"/>
      <c r="D426" s="178"/>
      <c r="E426" s="178"/>
    </row>
    <row r="427">
      <c r="A427" s="178"/>
      <c r="B427" s="178"/>
      <c r="C427" s="178"/>
      <c r="D427" s="178"/>
      <c r="E427" s="178"/>
    </row>
    <row r="428">
      <c r="A428" s="178"/>
      <c r="B428" s="178"/>
      <c r="C428" s="178"/>
      <c r="D428" s="178"/>
      <c r="E428" s="178"/>
    </row>
    <row r="429">
      <c r="A429" s="178"/>
      <c r="B429" s="178"/>
      <c r="C429" s="178"/>
      <c r="D429" s="178"/>
      <c r="E429" s="178"/>
    </row>
    <row r="430">
      <c r="A430" s="178"/>
      <c r="B430" s="178"/>
      <c r="C430" s="178"/>
      <c r="D430" s="178"/>
      <c r="E430" s="178"/>
    </row>
    <row r="431">
      <c r="A431" s="178"/>
      <c r="B431" s="178"/>
      <c r="C431" s="178"/>
      <c r="D431" s="178"/>
      <c r="E431" s="178"/>
    </row>
    <row r="432">
      <c r="A432" s="178"/>
      <c r="B432" s="178"/>
      <c r="C432" s="178"/>
      <c r="D432" s="178"/>
      <c r="E432" s="178"/>
    </row>
    <row r="433">
      <c r="A433" s="178"/>
      <c r="B433" s="178"/>
      <c r="C433" s="178"/>
      <c r="D433" s="178"/>
      <c r="E433" s="178"/>
    </row>
    <row r="434">
      <c r="A434" s="178"/>
      <c r="B434" s="178"/>
      <c r="C434" s="178"/>
      <c r="D434" s="178"/>
      <c r="E434" s="178"/>
    </row>
    <row r="435">
      <c r="A435" s="178"/>
      <c r="B435" s="178"/>
      <c r="C435" s="178"/>
      <c r="D435" s="178"/>
      <c r="E435" s="178"/>
    </row>
    <row r="436">
      <c r="A436" s="178"/>
      <c r="B436" s="178"/>
      <c r="C436" s="178"/>
      <c r="D436" s="178"/>
      <c r="E436" s="178"/>
    </row>
    <row r="437">
      <c r="A437" s="178"/>
      <c r="B437" s="178"/>
      <c r="C437" s="178"/>
      <c r="D437" s="178"/>
      <c r="E437" s="178"/>
    </row>
    <row r="438">
      <c r="A438" s="178"/>
      <c r="B438" s="178"/>
      <c r="C438" s="178"/>
      <c r="D438" s="178"/>
      <c r="E438" s="178"/>
    </row>
    <row r="439">
      <c r="A439" s="178"/>
      <c r="B439" s="178"/>
      <c r="C439" s="178"/>
      <c r="D439" s="178"/>
      <c r="E439" s="178"/>
    </row>
    <row r="440">
      <c r="A440" s="178"/>
      <c r="B440" s="178"/>
      <c r="C440" s="178"/>
      <c r="D440" s="178"/>
      <c r="E440" s="178"/>
    </row>
    <row r="441">
      <c r="A441" s="178"/>
      <c r="B441" s="178"/>
      <c r="C441" s="178"/>
      <c r="D441" s="178"/>
      <c r="E441" s="178"/>
    </row>
    <row r="442">
      <c r="A442" s="178"/>
      <c r="B442" s="178"/>
      <c r="C442" s="178"/>
      <c r="D442" s="178"/>
      <c r="E442" s="178"/>
    </row>
    <row r="443">
      <c r="A443" s="178"/>
      <c r="B443" s="178"/>
      <c r="C443" s="178"/>
      <c r="D443" s="178"/>
      <c r="E443" s="178"/>
    </row>
    <row r="444">
      <c r="A444" s="178"/>
      <c r="B444" s="178"/>
      <c r="C444" s="178"/>
      <c r="D444" s="178"/>
      <c r="E444" s="178"/>
    </row>
    <row r="445">
      <c r="A445" s="178"/>
      <c r="B445" s="178"/>
      <c r="C445" s="178"/>
      <c r="D445" s="178"/>
      <c r="E445" s="178"/>
    </row>
    <row r="446">
      <c r="A446" s="178"/>
      <c r="B446" s="178"/>
      <c r="C446" s="178"/>
      <c r="D446" s="178"/>
      <c r="E446" s="178"/>
    </row>
    <row r="447">
      <c r="A447" s="178"/>
      <c r="B447" s="178"/>
      <c r="C447" s="178"/>
      <c r="D447" s="178"/>
      <c r="E447" s="178"/>
    </row>
    <row r="448">
      <c r="A448" s="178"/>
      <c r="B448" s="178"/>
      <c r="C448" s="178"/>
      <c r="D448" s="178"/>
      <c r="E448" s="178"/>
    </row>
    <row r="449">
      <c r="A449" s="178"/>
      <c r="B449" s="178"/>
      <c r="C449" s="178"/>
      <c r="D449" s="178"/>
      <c r="E449" s="178"/>
    </row>
    <row r="450">
      <c r="A450" s="178"/>
      <c r="B450" s="178"/>
      <c r="C450" s="178"/>
      <c r="D450" s="178"/>
      <c r="E450" s="178"/>
    </row>
    <row r="451">
      <c r="A451" s="178"/>
      <c r="B451" s="178"/>
      <c r="C451" s="178"/>
      <c r="D451" s="178"/>
      <c r="E451" s="178"/>
    </row>
    <row r="452">
      <c r="A452" s="178"/>
      <c r="B452" s="178"/>
      <c r="C452" s="178"/>
      <c r="D452" s="178"/>
      <c r="E452" s="178"/>
    </row>
    <row r="453">
      <c r="A453" s="178"/>
      <c r="B453" s="178"/>
      <c r="C453" s="178"/>
      <c r="D453" s="178"/>
      <c r="E453" s="178"/>
    </row>
    <row r="454">
      <c r="A454" s="178"/>
      <c r="B454" s="178"/>
      <c r="C454" s="178"/>
      <c r="D454" s="178"/>
      <c r="E454" s="178"/>
    </row>
    <row r="455">
      <c r="A455" s="178"/>
      <c r="B455" s="178"/>
      <c r="C455" s="178"/>
      <c r="D455" s="178"/>
      <c r="E455" s="178"/>
    </row>
    <row r="456">
      <c r="A456" s="178"/>
      <c r="B456" s="178"/>
      <c r="C456" s="178"/>
      <c r="D456" s="178"/>
      <c r="E456" s="178"/>
    </row>
    <row r="457">
      <c r="A457" s="178"/>
      <c r="B457" s="178"/>
      <c r="C457" s="178"/>
      <c r="D457" s="178"/>
      <c r="E457" s="178"/>
    </row>
    <row r="458">
      <c r="A458" s="178"/>
      <c r="B458" s="178"/>
      <c r="C458" s="178"/>
      <c r="D458" s="178"/>
      <c r="E458" s="178"/>
    </row>
    <row r="459">
      <c r="A459" s="178"/>
      <c r="B459" s="178"/>
      <c r="C459" s="178"/>
      <c r="D459" s="178"/>
      <c r="E459" s="178"/>
    </row>
    <row r="460">
      <c r="A460" s="178"/>
      <c r="B460" s="178"/>
      <c r="C460" s="178"/>
      <c r="D460" s="178"/>
      <c r="E460" s="178"/>
    </row>
    <row r="461">
      <c r="A461" s="178"/>
      <c r="B461" s="178"/>
      <c r="C461" s="178"/>
      <c r="D461" s="178"/>
      <c r="E461" s="178"/>
    </row>
    <row r="462">
      <c r="A462" s="178"/>
      <c r="B462" s="178"/>
      <c r="C462" s="178"/>
      <c r="D462" s="178"/>
      <c r="E462" s="178"/>
    </row>
    <row r="463">
      <c r="A463" s="178"/>
      <c r="B463" s="178"/>
      <c r="C463" s="178"/>
      <c r="D463" s="178"/>
      <c r="E463" s="178"/>
    </row>
    <row r="464">
      <c r="A464" s="178"/>
      <c r="B464" s="178"/>
      <c r="C464" s="178"/>
      <c r="D464" s="178"/>
      <c r="E464" s="178"/>
    </row>
    <row r="465">
      <c r="A465" s="178"/>
      <c r="B465" s="178"/>
      <c r="C465" s="178"/>
      <c r="D465" s="178"/>
      <c r="E465" s="178"/>
    </row>
    <row r="466">
      <c r="A466" s="178"/>
      <c r="B466" s="178"/>
      <c r="C466" s="178"/>
      <c r="D466" s="178"/>
      <c r="E466" s="178"/>
    </row>
    <row r="467">
      <c r="A467" s="178"/>
      <c r="B467" s="178"/>
      <c r="C467" s="178"/>
      <c r="D467" s="178"/>
      <c r="E467" s="178"/>
    </row>
    <row r="468">
      <c r="A468" s="178"/>
      <c r="B468" s="178"/>
      <c r="C468" s="178"/>
      <c r="D468" s="178"/>
      <c r="E468" s="178"/>
    </row>
    <row r="469">
      <c r="A469" s="178"/>
      <c r="B469" s="178"/>
      <c r="C469" s="178"/>
      <c r="D469" s="178"/>
      <c r="E469" s="178"/>
    </row>
    <row r="470">
      <c r="A470" s="178"/>
      <c r="B470" s="178"/>
      <c r="C470" s="178"/>
      <c r="D470" s="178"/>
      <c r="E470" s="178"/>
    </row>
    <row r="471">
      <c r="A471" s="178"/>
      <c r="B471" s="178"/>
      <c r="C471" s="178"/>
      <c r="D471" s="178"/>
      <c r="E471" s="178"/>
    </row>
    <row r="472">
      <c r="A472" s="178"/>
      <c r="B472" s="178"/>
      <c r="C472" s="178"/>
      <c r="D472" s="178"/>
      <c r="E472" s="178"/>
    </row>
    <row r="473">
      <c r="A473" s="178"/>
      <c r="B473" s="178"/>
      <c r="C473" s="178"/>
      <c r="D473" s="178"/>
      <c r="E473" s="178"/>
    </row>
    <row r="474">
      <c r="A474" s="178"/>
      <c r="B474" s="178"/>
      <c r="C474" s="178"/>
      <c r="D474" s="178"/>
      <c r="E474" s="178"/>
    </row>
    <row r="475">
      <c r="A475" s="178"/>
      <c r="B475" s="178"/>
      <c r="C475" s="178"/>
      <c r="D475" s="178"/>
      <c r="E475" s="178"/>
    </row>
    <row r="476">
      <c r="A476" s="178"/>
      <c r="B476" s="178"/>
      <c r="C476" s="178"/>
      <c r="D476" s="178"/>
      <c r="E476" s="178"/>
    </row>
    <row r="477">
      <c r="A477" s="178"/>
      <c r="B477" s="178"/>
      <c r="C477" s="178"/>
      <c r="D477" s="178"/>
      <c r="E477" s="178"/>
    </row>
    <row r="478">
      <c r="A478" s="178"/>
      <c r="B478" s="178"/>
      <c r="C478" s="178"/>
      <c r="D478" s="178"/>
      <c r="E478" s="178"/>
    </row>
    <row r="479">
      <c r="A479" s="178"/>
      <c r="B479" s="178"/>
      <c r="C479" s="178"/>
      <c r="D479" s="178"/>
      <c r="E479" s="178"/>
    </row>
    <row r="480">
      <c r="A480" s="178"/>
      <c r="B480" s="178"/>
      <c r="C480" s="178"/>
      <c r="D480" s="178"/>
      <c r="E480" s="178"/>
    </row>
    <row r="481">
      <c r="A481" s="178"/>
      <c r="B481" s="178"/>
      <c r="C481" s="178"/>
      <c r="D481" s="178"/>
      <c r="E481" s="178"/>
    </row>
    <row r="482">
      <c r="A482" s="178"/>
      <c r="B482" s="178"/>
      <c r="C482" s="178"/>
      <c r="D482" s="178"/>
      <c r="E482" s="178"/>
    </row>
    <row r="483">
      <c r="A483" s="178"/>
      <c r="B483" s="178"/>
      <c r="C483" s="178"/>
      <c r="D483" s="178"/>
      <c r="E483" s="178"/>
    </row>
    <row r="484">
      <c r="A484" s="178"/>
      <c r="B484" s="178"/>
      <c r="C484" s="178"/>
      <c r="D484" s="178"/>
      <c r="E484" s="178"/>
    </row>
    <row r="485">
      <c r="A485" s="178"/>
      <c r="B485" s="178"/>
      <c r="C485" s="178"/>
      <c r="D485" s="178"/>
      <c r="E485" s="178"/>
    </row>
    <row r="486">
      <c r="A486" s="178"/>
      <c r="B486" s="178"/>
      <c r="C486" s="178"/>
      <c r="D486" s="178"/>
      <c r="E486" s="178"/>
    </row>
    <row r="487">
      <c r="A487" s="178"/>
      <c r="B487" s="178"/>
      <c r="C487" s="178"/>
      <c r="D487" s="178"/>
      <c r="E487" s="178"/>
    </row>
    <row r="488">
      <c r="A488" s="178"/>
      <c r="B488" s="178"/>
      <c r="C488" s="178"/>
      <c r="D488" s="178"/>
      <c r="E488" s="178"/>
    </row>
    <row r="489">
      <c r="A489" s="178"/>
      <c r="B489" s="178"/>
      <c r="C489" s="178"/>
      <c r="D489" s="178"/>
      <c r="E489" s="178"/>
    </row>
    <row r="490">
      <c r="A490" s="178"/>
      <c r="B490" s="178"/>
      <c r="C490" s="178"/>
      <c r="D490" s="178"/>
      <c r="E490" s="178"/>
    </row>
    <row r="491">
      <c r="A491" s="178"/>
      <c r="B491" s="178"/>
      <c r="C491" s="178"/>
      <c r="D491" s="178"/>
      <c r="E491" s="178"/>
    </row>
    <row r="492">
      <c r="A492" s="178"/>
      <c r="B492" s="178"/>
      <c r="C492" s="178"/>
      <c r="D492" s="178"/>
      <c r="E492" s="178"/>
    </row>
    <row r="493">
      <c r="A493" s="178"/>
      <c r="B493" s="178"/>
      <c r="C493" s="178"/>
      <c r="D493" s="178"/>
      <c r="E493" s="178"/>
    </row>
    <row r="494">
      <c r="A494" s="178"/>
      <c r="B494" s="178"/>
      <c r="C494" s="178"/>
      <c r="D494" s="178"/>
      <c r="E494" s="178"/>
    </row>
    <row r="495">
      <c r="A495" s="178"/>
      <c r="B495" s="178"/>
      <c r="C495" s="178"/>
      <c r="D495" s="178"/>
      <c r="E495" s="178"/>
    </row>
    <row r="496">
      <c r="A496" s="178"/>
      <c r="B496" s="178"/>
      <c r="C496" s="178"/>
      <c r="D496" s="178"/>
      <c r="E496" s="178"/>
    </row>
    <row r="497">
      <c r="A497" s="178"/>
      <c r="B497" s="178"/>
      <c r="C497" s="178"/>
      <c r="D497" s="178"/>
      <c r="E497" s="178"/>
    </row>
    <row r="498">
      <c r="A498" s="178"/>
      <c r="B498" s="178"/>
      <c r="C498" s="178"/>
      <c r="D498" s="178"/>
      <c r="E498" s="178"/>
    </row>
    <row r="499">
      <c r="A499" s="178"/>
      <c r="B499" s="178"/>
      <c r="C499" s="178"/>
      <c r="D499" s="178"/>
      <c r="E499" s="178"/>
    </row>
    <row r="500">
      <c r="A500" s="178"/>
      <c r="B500" s="178"/>
      <c r="C500" s="178"/>
      <c r="D500" s="178"/>
      <c r="E500" s="178"/>
    </row>
    <row r="501">
      <c r="A501" s="178"/>
      <c r="B501" s="178"/>
      <c r="C501" s="178"/>
      <c r="D501" s="178"/>
      <c r="E501" s="178"/>
    </row>
    <row r="502">
      <c r="A502" s="178"/>
      <c r="B502" s="178"/>
      <c r="C502" s="178"/>
      <c r="D502" s="178"/>
      <c r="E502" s="178"/>
    </row>
    <row r="503">
      <c r="A503" s="178"/>
      <c r="B503" s="178"/>
      <c r="C503" s="178"/>
      <c r="D503" s="178"/>
      <c r="E503" s="178"/>
    </row>
    <row r="504">
      <c r="A504" s="178"/>
      <c r="B504" s="178"/>
      <c r="C504" s="178"/>
      <c r="D504" s="178"/>
      <c r="E504" s="178"/>
    </row>
    <row r="505">
      <c r="A505" s="178"/>
      <c r="B505" s="178"/>
      <c r="C505" s="178"/>
      <c r="D505" s="178"/>
      <c r="E505" s="178"/>
    </row>
    <row r="506">
      <c r="A506" s="178"/>
      <c r="B506" s="178"/>
      <c r="C506" s="178"/>
      <c r="D506" s="178"/>
      <c r="E506" s="178"/>
    </row>
    <row r="507">
      <c r="A507" s="178"/>
      <c r="B507" s="178"/>
      <c r="C507" s="178"/>
      <c r="D507" s="178"/>
      <c r="E507" s="178"/>
    </row>
    <row r="508">
      <c r="A508" s="178"/>
      <c r="B508" s="178"/>
      <c r="C508" s="178"/>
      <c r="D508" s="178"/>
      <c r="E508" s="178"/>
    </row>
    <row r="509">
      <c r="A509" s="178"/>
      <c r="B509" s="178"/>
      <c r="C509" s="178"/>
      <c r="D509" s="178"/>
      <c r="E509" s="178"/>
    </row>
    <row r="510">
      <c r="A510" s="178"/>
      <c r="B510" s="178"/>
      <c r="C510" s="178"/>
      <c r="D510" s="178"/>
      <c r="E510" s="178"/>
    </row>
    <row r="511">
      <c r="A511" s="178"/>
      <c r="B511" s="178"/>
      <c r="C511" s="178"/>
      <c r="D511" s="178"/>
      <c r="E511" s="178"/>
    </row>
    <row r="512">
      <c r="A512" s="178"/>
      <c r="B512" s="178"/>
      <c r="C512" s="178"/>
      <c r="D512" s="178"/>
      <c r="E512" s="178"/>
    </row>
    <row r="513">
      <c r="A513" s="178"/>
      <c r="B513" s="178"/>
      <c r="C513" s="178"/>
      <c r="D513" s="178"/>
      <c r="E513" s="178"/>
    </row>
    <row r="514">
      <c r="A514" s="178"/>
      <c r="B514" s="178"/>
      <c r="C514" s="178"/>
      <c r="D514" s="178"/>
      <c r="E514" s="178"/>
    </row>
    <row r="515">
      <c r="A515" s="178"/>
      <c r="B515" s="178"/>
      <c r="C515" s="178"/>
      <c r="D515" s="178"/>
      <c r="E515" s="178"/>
    </row>
    <row r="516">
      <c r="A516" s="178"/>
      <c r="B516" s="178"/>
      <c r="C516" s="178"/>
      <c r="D516" s="178"/>
      <c r="E516" s="178"/>
    </row>
    <row r="517">
      <c r="A517" s="178"/>
      <c r="B517" s="178"/>
      <c r="C517" s="178"/>
      <c r="D517" s="178"/>
      <c r="E517" s="178"/>
    </row>
    <row r="518">
      <c r="A518" s="178"/>
      <c r="B518" s="178"/>
      <c r="C518" s="178"/>
      <c r="D518" s="178"/>
      <c r="E518" s="178"/>
    </row>
    <row r="519">
      <c r="A519" s="178"/>
      <c r="B519" s="178"/>
      <c r="C519" s="178"/>
      <c r="D519" s="178"/>
      <c r="E519" s="178"/>
    </row>
    <row r="520">
      <c r="A520" s="178"/>
      <c r="B520" s="178"/>
      <c r="C520" s="178"/>
      <c r="D520" s="178"/>
      <c r="E520" s="178"/>
    </row>
    <row r="521">
      <c r="A521" s="178"/>
      <c r="B521" s="178"/>
      <c r="C521" s="178"/>
      <c r="D521" s="178"/>
      <c r="E521" s="178"/>
    </row>
    <row r="522">
      <c r="A522" s="178"/>
      <c r="B522" s="178"/>
      <c r="C522" s="178"/>
      <c r="D522" s="178"/>
      <c r="E522" s="178"/>
    </row>
    <row r="523">
      <c r="A523" s="178"/>
      <c r="B523" s="178"/>
      <c r="C523" s="178"/>
      <c r="D523" s="178"/>
      <c r="E523" s="178"/>
    </row>
    <row r="524">
      <c r="A524" s="178"/>
      <c r="B524" s="178"/>
      <c r="C524" s="178"/>
      <c r="D524" s="178"/>
      <c r="E524" s="178"/>
    </row>
    <row r="525">
      <c r="A525" s="178"/>
      <c r="B525" s="178"/>
      <c r="C525" s="178"/>
      <c r="D525" s="178"/>
      <c r="E525" s="178"/>
    </row>
    <row r="526">
      <c r="A526" s="178"/>
      <c r="B526" s="178"/>
      <c r="C526" s="178"/>
      <c r="D526" s="178"/>
      <c r="E526" s="178"/>
    </row>
    <row r="527">
      <c r="A527" s="178"/>
      <c r="B527" s="178"/>
      <c r="C527" s="178"/>
      <c r="D527" s="178"/>
      <c r="E527" s="178"/>
    </row>
    <row r="528">
      <c r="A528" s="178"/>
      <c r="B528" s="178"/>
      <c r="C528" s="178"/>
      <c r="D528" s="178"/>
      <c r="E528" s="178"/>
    </row>
    <row r="529">
      <c r="A529" s="178"/>
      <c r="B529" s="178"/>
      <c r="C529" s="178"/>
      <c r="D529" s="178"/>
      <c r="E529" s="178"/>
    </row>
    <row r="530">
      <c r="A530" s="178"/>
      <c r="B530" s="178"/>
      <c r="C530" s="178"/>
      <c r="D530" s="178"/>
      <c r="E530" s="178"/>
    </row>
    <row r="531">
      <c r="A531" s="178"/>
      <c r="B531" s="178"/>
      <c r="C531" s="178"/>
      <c r="D531" s="178"/>
      <c r="E531" s="178"/>
    </row>
    <row r="532">
      <c r="A532" s="178"/>
      <c r="B532" s="178"/>
      <c r="C532" s="178"/>
      <c r="D532" s="178"/>
      <c r="E532" s="178"/>
    </row>
    <row r="533">
      <c r="A533" s="178"/>
      <c r="B533" s="178"/>
      <c r="C533" s="178"/>
      <c r="D533" s="178"/>
      <c r="E533" s="178"/>
    </row>
    <row r="534">
      <c r="A534" s="178"/>
      <c r="B534" s="178"/>
      <c r="C534" s="178"/>
      <c r="D534" s="178"/>
      <c r="E534" s="178"/>
    </row>
    <row r="535">
      <c r="A535" s="178"/>
      <c r="B535" s="178"/>
      <c r="C535" s="178"/>
      <c r="D535" s="178"/>
      <c r="E535" s="178"/>
    </row>
    <row r="536">
      <c r="A536" s="178"/>
      <c r="B536" s="178"/>
      <c r="C536" s="178"/>
      <c r="D536" s="178"/>
      <c r="E536" s="178"/>
    </row>
    <row r="537">
      <c r="A537" s="178"/>
      <c r="B537" s="178"/>
      <c r="C537" s="178"/>
      <c r="D537" s="178"/>
      <c r="E537" s="178"/>
    </row>
    <row r="538">
      <c r="A538" s="178"/>
      <c r="B538" s="178"/>
      <c r="C538" s="178"/>
      <c r="D538" s="178"/>
      <c r="E538" s="178"/>
    </row>
    <row r="539">
      <c r="A539" s="178"/>
      <c r="B539" s="178"/>
      <c r="C539" s="178"/>
      <c r="D539" s="178"/>
      <c r="E539" s="178"/>
    </row>
    <row r="540">
      <c r="A540" s="178"/>
      <c r="B540" s="178"/>
      <c r="C540" s="178"/>
      <c r="D540" s="178"/>
      <c r="E540" s="178"/>
    </row>
    <row r="541">
      <c r="A541" s="178"/>
      <c r="B541" s="178"/>
      <c r="C541" s="178"/>
      <c r="D541" s="178"/>
      <c r="E541" s="178"/>
    </row>
    <row r="542">
      <c r="A542" s="178"/>
      <c r="B542" s="178"/>
      <c r="C542" s="178"/>
      <c r="D542" s="178"/>
      <c r="E542" s="178"/>
    </row>
    <row r="543">
      <c r="A543" s="178"/>
      <c r="B543" s="178"/>
      <c r="C543" s="178"/>
      <c r="D543" s="178"/>
      <c r="E543" s="178"/>
    </row>
    <row r="544">
      <c r="A544" s="178"/>
      <c r="B544" s="178"/>
      <c r="C544" s="178"/>
      <c r="D544" s="178"/>
      <c r="E544" s="178"/>
    </row>
    <row r="545">
      <c r="A545" s="178"/>
      <c r="B545" s="178"/>
      <c r="C545" s="178"/>
      <c r="D545" s="178"/>
      <c r="E545" s="178"/>
    </row>
    <row r="546">
      <c r="A546" s="178"/>
      <c r="B546" s="178"/>
      <c r="C546" s="178"/>
      <c r="D546" s="178"/>
      <c r="E546" s="178"/>
    </row>
    <row r="547">
      <c r="A547" s="178"/>
      <c r="B547" s="178"/>
      <c r="C547" s="178"/>
      <c r="D547" s="178"/>
      <c r="E547" s="178"/>
    </row>
    <row r="548">
      <c r="A548" s="178"/>
      <c r="B548" s="178"/>
      <c r="C548" s="178"/>
      <c r="D548" s="178"/>
      <c r="E548" s="178"/>
    </row>
    <row r="549">
      <c r="A549" s="178"/>
      <c r="B549" s="178"/>
      <c r="C549" s="178"/>
      <c r="D549" s="178"/>
      <c r="E549" s="178"/>
    </row>
    <row r="550">
      <c r="A550" s="178"/>
      <c r="B550" s="178"/>
      <c r="C550" s="178"/>
      <c r="D550" s="178"/>
      <c r="E550" s="178"/>
    </row>
    <row r="551">
      <c r="A551" s="178"/>
      <c r="B551" s="178"/>
      <c r="C551" s="178"/>
      <c r="D551" s="178"/>
      <c r="E551" s="178"/>
    </row>
    <row r="552">
      <c r="A552" s="178"/>
      <c r="B552" s="178"/>
      <c r="C552" s="178"/>
      <c r="D552" s="178"/>
      <c r="E552" s="178"/>
    </row>
    <row r="553">
      <c r="A553" s="178"/>
      <c r="B553" s="178"/>
      <c r="C553" s="178"/>
      <c r="D553" s="178"/>
      <c r="E553" s="178"/>
    </row>
    <row r="554">
      <c r="A554" s="178"/>
      <c r="B554" s="178"/>
      <c r="C554" s="178"/>
      <c r="D554" s="178"/>
      <c r="E554" s="178"/>
    </row>
    <row r="555">
      <c r="A555" s="178"/>
      <c r="B555" s="178"/>
      <c r="C555" s="178"/>
      <c r="D555" s="178"/>
      <c r="E555" s="178"/>
    </row>
    <row r="556">
      <c r="A556" s="178"/>
      <c r="B556" s="178"/>
      <c r="C556" s="178"/>
      <c r="D556" s="178"/>
      <c r="E556" s="178"/>
    </row>
    <row r="557">
      <c r="A557" s="178"/>
      <c r="B557" s="178"/>
      <c r="C557" s="178"/>
      <c r="D557" s="178"/>
      <c r="E557" s="178"/>
    </row>
    <row r="558">
      <c r="A558" s="178"/>
      <c r="B558" s="178"/>
      <c r="C558" s="178"/>
      <c r="D558" s="178"/>
      <c r="E558" s="178"/>
    </row>
    <row r="559">
      <c r="A559" s="178"/>
      <c r="B559" s="178"/>
      <c r="C559" s="178"/>
      <c r="D559" s="178"/>
      <c r="E559" s="178"/>
    </row>
    <row r="560">
      <c r="A560" s="178"/>
      <c r="B560" s="178"/>
      <c r="C560" s="178"/>
      <c r="D560" s="178"/>
      <c r="E560" s="178"/>
    </row>
    <row r="561">
      <c r="A561" s="178"/>
      <c r="B561" s="178"/>
      <c r="C561" s="178"/>
      <c r="D561" s="178"/>
      <c r="E561" s="178"/>
    </row>
    <row r="562">
      <c r="A562" s="178"/>
      <c r="B562" s="178"/>
      <c r="C562" s="178"/>
      <c r="D562" s="178"/>
      <c r="E562" s="178"/>
    </row>
    <row r="563">
      <c r="A563" s="178"/>
      <c r="B563" s="178"/>
      <c r="C563" s="178"/>
      <c r="D563" s="178"/>
      <c r="E563" s="178"/>
    </row>
    <row r="564">
      <c r="A564" s="178"/>
      <c r="B564" s="178"/>
      <c r="C564" s="178"/>
      <c r="D564" s="178"/>
      <c r="E564" s="178"/>
    </row>
    <row r="565">
      <c r="A565" s="178"/>
      <c r="B565" s="178"/>
      <c r="C565" s="178"/>
      <c r="D565" s="178"/>
      <c r="E565" s="178"/>
    </row>
    <row r="566">
      <c r="A566" s="178"/>
      <c r="B566" s="178"/>
      <c r="C566" s="178"/>
      <c r="D566" s="178"/>
      <c r="E566" s="178"/>
    </row>
    <row r="567">
      <c r="A567" s="178"/>
      <c r="B567" s="178"/>
      <c r="C567" s="178"/>
      <c r="D567" s="178"/>
      <c r="E567" s="178"/>
    </row>
    <row r="568">
      <c r="A568" s="178"/>
      <c r="B568" s="178"/>
      <c r="C568" s="178"/>
      <c r="D568" s="178"/>
      <c r="E568" s="178"/>
    </row>
    <row r="569">
      <c r="A569" s="178"/>
      <c r="B569" s="178"/>
      <c r="C569" s="178"/>
      <c r="D569" s="178"/>
      <c r="E569" s="178"/>
    </row>
    <row r="570">
      <c r="A570" s="178"/>
      <c r="B570" s="178"/>
      <c r="C570" s="178"/>
      <c r="D570" s="178"/>
      <c r="E570" s="178"/>
    </row>
    <row r="571">
      <c r="A571" s="178"/>
      <c r="B571" s="178"/>
      <c r="C571" s="178"/>
      <c r="D571" s="178"/>
      <c r="E571" s="178"/>
    </row>
    <row r="572">
      <c r="A572" s="178"/>
      <c r="B572" s="178"/>
      <c r="C572" s="178"/>
      <c r="D572" s="178"/>
      <c r="E572" s="178"/>
    </row>
    <row r="573">
      <c r="A573" s="178"/>
      <c r="B573" s="178"/>
      <c r="C573" s="178"/>
      <c r="D573" s="178"/>
      <c r="E573" s="178"/>
    </row>
    <row r="574">
      <c r="A574" s="178"/>
      <c r="B574" s="178"/>
      <c r="C574" s="178"/>
      <c r="D574" s="178"/>
      <c r="E574" s="178"/>
    </row>
    <row r="575">
      <c r="A575" s="178"/>
      <c r="B575" s="178"/>
      <c r="C575" s="178"/>
      <c r="D575" s="178"/>
      <c r="E575" s="178"/>
    </row>
    <row r="576">
      <c r="A576" s="178"/>
      <c r="B576" s="178"/>
      <c r="C576" s="178"/>
      <c r="D576" s="178"/>
      <c r="E576" s="178"/>
    </row>
    <row r="577">
      <c r="A577" s="178"/>
      <c r="B577" s="178"/>
      <c r="C577" s="178"/>
      <c r="D577" s="178"/>
      <c r="E577" s="178"/>
    </row>
    <row r="578">
      <c r="A578" s="178"/>
      <c r="B578" s="178"/>
      <c r="C578" s="178"/>
      <c r="D578" s="178"/>
      <c r="E578" s="178"/>
    </row>
    <row r="579">
      <c r="A579" s="178"/>
      <c r="B579" s="178"/>
      <c r="C579" s="178"/>
      <c r="D579" s="178"/>
      <c r="E579" s="178"/>
    </row>
    <row r="580">
      <c r="A580" s="178"/>
      <c r="B580" s="178"/>
      <c r="C580" s="178"/>
      <c r="D580" s="178"/>
      <c r="E580" s="178"/>
    </row>
    <row r="581">
      <c r="A581" s="178"/>
      <c r="B581" s="178"/>
      <c r="C581" s="178"/>
      <c r="D581" s="178"/>
      <c r="E581" s="178"/>
    </row>
    <row r="582">
      <c r="A582" s="178"/>
      <c r="B582" s="178"/>
      <c r="C582" s="178"/>
      <c r="D582" s="178"/>
      <c r="E582" s="178"/>
    </row>
    <row r="583">
      <c r="A583" s="178"/>
      <c r="B583" s="178"/>
      <c r="C583" s="178"/>
      <c r="D583" s="178"/>
      <c r="E583" s="178"/>
    </row>
    <row r="584">
      <c r="A584" s="178"/>
      <c r="B584" s="178"/>
      <c r="C584" s="178"/>
      <c r="D584" s="178"/>
      <c r="E584" s="178"/>
    </row>
    <row r="585">
      <c r="A585" s="178"/>
      <c r="B585" s="178"/>
      <c r="C585" s="178"/>
      <c r="D585" s="178"/>
      <c r="E585" s="178"/>
    </row>
    <row r="586">
      <c r="A586" s="178"/>
      <c r="B586" s="178"/>
      <c r="C586" s="178"/>
      <c r="D586" s="178"/>
      <c r="E586" s="178"/>
    </row>
    <row r="587">
      <c r="A587" s="178"/>
      <c r="B587" s="178"/>
      <c r="C587" s="178"/>
      <c r="D587" s="178"/>
      <c r="E587" s="178"/>
    </row>
    <row r="588">
      <c r="A588" s="178"/>
      <c r="B588" s="178"/>
      <c r="C588" s="178"/>
      <c r="D588" s="178"/>
      <c r="E588" s="178"/>
    </row>
    <row r="589">
      <c r="A589" s="178"/>
      <c r="B589" s="178"/>
      <c r="C589" s="178"/>
      <c r="D589" s="178"/>
      <c r="E589" s="178"/>
    </row>
    <row r="590">
      <c r="A590" s="178"/>
      <c r="B590" s="178"/>
      <c r="C590" s="178"/>
      <c r="D590" s="178"/>
      <c r="E590" s="178"/>
    </row>
    <row r="591">
      <c r="A591" s="178"/>
      <c r="B591" s="178"/>
      <c r="C591" s="178"/>
      <c r="D591" s="178"/>
      <c r="E591" s="178"/>
    </row>
    <row r="592">
      <c r="A592" s="178"/>
      <c r="B592" s="178"/>
      <c r="C592" s="178"/>
      <c r="D592" s="178"/>
      <c r="E592" s="178"/>
    </row>
    <row r="593">
      <c r="A593" s="178"/>
      <c r="B593" s="178"/>
      <c r="C593" s="178"/>
      <c r="D593" s="178"/>
      <c r="E593" s="178"/>
    </row>
    <row r="594">
      <c r="A594" s="178"/>
      <c r="B594" s="178"/>
      <c r="C594" s="178"/>
      <c r="D594" s="178"/>
      <c r="E594" s="178"/>
    </row>
    <row r="595">
      <c r="A595" s="178"/>
      <c r="B595" s="178"/>
      <c r="C595" s="178"/>
      <c r="D595" s="178"/>
      <c r="E595" s="178"/>
    </row>
    <row r="596">
      <c r="A596" s="178"/>
      <c r="B596" s="178"/>
      <c r="C596" s="178"/>
      <c r="D596" s="178"/>
      <c r="E596" s="178"/>
    </row>
    <row r="597">
      <c r="A597" s="178"/>
      <c r="B597" s="178"/>
      <c r="C597" s="178"/>
      <c r="D597" s="178"/>
      <c r="E597" s="178"/>
    </row>
    <row r="598">
      <c r="A598" s="178"/>
      <c r="B598" s="178"/>
      <c r="C598" s="178"/>
      <c r="D598" s="178"/>
      <c r="E598" s="178"/>
    </row>
    <row r="599">
      <c r="A599" s="178"/>
      <c r="B599" s="178"/>
      <c r="C599" s="178"/>
      <c r="D599" s="178"/>
      <c r="E599" s="178"/>
    </row>
    <row r="600">
      <c r="A600" s="178"/>
      <c r="B600" s="178"/>
      <c r="C600" s="178"/>
      <c r="D600" s="178"/>
      <c r="E600" s="178"/>
    </row>
    <row r="601">
      <c r="A601" s="178"/>
      <c r="B601" s="178"/>
      <c r="C601" s="178"/>
      <c r="D601" s="178"/>
      <c r="E601" s="178"/>
    </row>
    <row r="602">
      <c r="A602" s="178"/>
      <c r="B602" s="178"/>
      <c r="C602" s="178"/>
      <c r="D602" s="178"/>
      <c r="E602" s="178"/>
    </row>
    <row r="603">
      <c r="A603" s="178"/>
      <c r="B603" s="178"/>
      <c r="C603" s="178"/>
      <c r="D603" s="178"/>
      <c r="E603" s="178"/>
    </row>
    <row r="604">
      <c r="A604" s="178"/>
      <c r="B604" s="178"/>
      <c r="C604" s="178"/>
      <c r="D604" s="178"/>
      <c r="E604" s="178"/>
    </row>
    <row r="605">
      <c r="A605" s="178"/>
      <c r="B605" s="178"/>
      <c r="C605" s="178"/>
      <c r="D605" s="178"/>
      <c r="E605" s="178"/>
    </row>
    <row r="606">
      <c r="A606" s="178"/>
      <c r="B606" s="178"/>
      <c r="C606" s="178"/>
      <c r="D606" s="178"/>
      <c r="E606" s="178"/>
    </row>
    <row r="607">
      <c r="A607" s="178"/>
      <c r="B607" s="178"/>
      <c r="C607" s="178"/>
      <c r="D607" s="178"/>
      <c r="E607" s="178"/>
    </row>
    <row r="608">
      <c r="A608" s="178"/>
      <c r="B608" s="178"/>
      <c r="C608" s="178"/>
      <c r="D608" s="178"/>
      <c r="E608" s="178"/>
    </row>
    <row r="609">
      <c r="A609" s="178"/>
      <c r="B609" s="178"/>
      <c r="C609" s="178"/>
      <c r="D609" s="178"/>
      <c r="E609" s="178"/>
    </row>
    <row r="610">
      <c r="A610" s="178"/>
      <c r="B610" s="178"/>
      <c r="C610" s="178"/>
      <c r="D610" s="178"/>
      <c r="E610" s="178"/>
    </row>
    <row r="611">
      <c r="A611" s="178"/>
      <c r="B611" s="178"/>
      <c r="C611" s="178"/>
      <c r="D611" s="178"/>
      <c r="E611" s="178"/>
    </row>
    <row r="612">
      <c r="A612" s="178"/>
      <c r="B612" s="178"/>
      <c r="C612" s="178"/>
      <c r="D612" s="178"/>
      <c r="E612" s="178"/>
    </row>
    <row r="613">
      <c r="A613" s="178"/>
      <c r="B613" s="178"/>
      <c r="C613" s="178"/>
      <c r="D613" s="178"/>
      <c r="E613" s="178"/>
    </row>
    <row r="614">
      <c r="A614" s="178"/>
      <c r="B614" s="178"/>
      <c r="C614" s="178"/>
      <c r="D614" s="178"/>
      <c r="E614" s="178"/>
    </row>
    <row r="615">
      <c r="A615" s="178"/>
      <c r="B615" s="178"/>
      <c r="C615" s="178"/>
      <c r="D615" s="178"/>
      <c r="E615" s="178"/>
    </row>
    <row r="616">
      <c r="A616" s="178"/>
      <c r="B616" s="178"/>
      <c r="C616" s="178"/>
      <c r="D616" s="178"/>
      <c r="E616" s="178"/>
    </row>
    <row r="617">
      <c r="A617" s="178"/>
      <c r="B617" s="178"/>
      <c r="C617" s="178"/>
      <c r="D617" s="178"/>
      <c r="E617" s="178"/>
    </row>
    <row r="618">
      <c r="A618" s="178"/>
      <c r="B618" s="178"/>
      <c r="C618" s="178"/>
      <c r="D618" s="178"/>
      <c r="E618" s="178"/>
    </row>
    <row r="619">
      <c r="A619" s="178"/>
      <c r="B619" s="178"/>
      <c r="C619" s="178"/>
      <c r="D619" s="178"/>
      <c r="E619" s="178"/>
    </row>
    <row r="620">
      <c r="A620" s="178"/>
      <c r="B620" s="178"/>
      <c r="C620" s="178"/>
      <c r="D620" s="178"/>
      <c r="E620" s="178"/>
    </row>
    <row r="621">
      <c r="A621" s="178"/>
      <c r="B621" s="178"/>
      <c r="C621" s="178"/>
      <c r="D621" s="178"/>
      <c r="E621" s="178"/>
    </row>
    <row r="622">
      <c r="A622" s="178"/>
      <c r="B622" s="178"/>
      <c r="C622" s="178"/>
      <c r="D622" s="178"/>
      <c r="E622" s="178"/>
    </row>
    <row r="623">
      <c r="A623" s="178"/>
      <c r="B623" s="178"/>
      <c r="C623" s="178"/>
      <c r="D623" s="178"/>
      <c r="E623" s="178"/>
    </row>
    <row r="624">
      <c r="A624" s="178"/>
      <c r="B624" s="178"/>
      <c r="C624" s="178"/>
      <c r="D624" s="178"/>
      <c r="E624" s="178"/>
    </row>
    <row r="625">
      <c r="A625" s="178"/>
      <c r="B625" s="178"/>
      <c r="C625" s="178"/>
      <c r="D625" s="178"/>
      <c r="E625" s="178"/>
    </row>
    <row r="626">
      <c r="A626" s="178"/>
      <c r="B626" s="178"/>
      <c r="C626" s="178"/>
      <c r="D626" s="178"/>
      <c r="E626" s="178"/>
    </row>
    <row r="627">
      <c r="A627" s="178"/>
      <c r="B627" s="178"/>
      <c r="C627" s="178"/>
      <c r="D627" s="178"/>
      <c r="E627" s="178"/>
    </row>
    <row r="628">
      <c r="A628" s="178"/>
      <c r="B628" s="178"/>
      <c r="C628" s="178"/>
      <c r="D628" s="178"/>
      <c r="E628" s="178"/>
    </row>
    <row r="629">
      <c r="A629" s="178"/>
      <c r="B629" s="178"/>
      <c r="C629" s="178"/>
      <c r="D629" s="178"/>
      <c r="E629" s="178"/>
    </row>
    <row r="630">
      <c r="A630" s="178"/>
      <c r="B630" s="178"/>
      <c r="C630" s="178"/>
      <c r="D630" s="178"/>
      <c r="E630" s="178"/>
    </row>
    <row r="631">
      <c r="A631" s="178"/>
      <c r="B631" s="178"/>
      <c r="C631" s="178"/>
      <c r="D631" s="178"/>
      <c r="E631" s="178"/>
    </row>
    <row r="632">
      <c r="A632" s="178"/>
      <c r="B632" s="178"/>
      <c r="C632" s="178"/>
      <c r="D632" s="178"/>
      <c r="E632" s="178"/>
    </row>
    <row r="633">
      <c r="A633" s="178"/>
      <c r="B633" s="178"/>
      <c r="C633" s="178"/>
      <c r="D633" s="178"/>
      <c r="E633" s="178"/>
    </row>
    <row r="634">
      <c r="A634" s="178"/>
      <c r="B634" s="178"/>
      <c r="C634" s="178"/>
      <c r="D634" s="178"/>
      <c r="E634" s="178"/>
    </row>
    <row r="635">
      <c r="A635" s="178"/>
      <c r="B635" s="178"/>
      <c r="C635" s="178"/>
      <c r="D635" s="178"/>
      <c r="E635" s="178"/>
    </row>
    <row r="636">
      <c r="A636" s="178"/>
      <c r="B636" s="178"/>
      <c r="C636" s="178"/>
      <c r="D636" s="178"/>
      <c r="E636" s="178"/>
    </row>
    <row r="637">
      <c r="A637" s="178"/>
      <c r="B637" s="178"/>
      <c r="C637" s="178"/>
      <c r="D637" s="178"/>
      <c r="E637" s="178"/>
    </row>
    <row r="638">
      <c r="A638" s="178"/>
      <c r="B638" s="178"/>
      <c r="C638" s="178"/>
      <c r="D638" s="178"/>
      <c r="E638" s="178"/>
    </row>
    <row r="639">
      <c r="A639" s="178"/>
      <c r="B639" s="178"/>
      <c r="C639" s="178"/>
      <c r="D639" s="178"/>
      <c r="E639" s="178"/>
    </row>
    <row r="640">
      <c r="A640" s="178"/>
      <c r="B640" s="178"/>
      <c r="C640" s="178"/>
      <c r="D640" s="178"/>
      <c r="E640" s="178"/>
    </row>
    <row r="641">
      <c r="A641" s="178"/>
      <c r="B641" s="178"/>
      <c r="C641" s="178"/>
      <c r="D641" s="178"/>
      <c r="E641" s="178"/>
    </row>
    <row r="642">
      <c r="A642" s="178"/>
      <c r="B642" s="178"/>
      <c r="C642" s="178"/>
      <c r="D642" s="178"/>
      <c r="E642" s="178"/>
    </row>
    <row r="643">
      <c r="A643" s="178"/>
      <c r="B643" s="178"/>
      <c r="C643" s="178"/>
      <c r="D643" s="178"/>
      <c r="E643" s="178"/>
    </row>
    <row r="644">
      <c r="A644" s="178"/>
      <c r="B644" s="178"/>
      <c r="C644" s="178"/>
      <c r="D644" s="178"/>
      <c r="E644" s="178"/>
    </row>
    <row r="645">
      <c r="A645" s="178"/>
      <c r="B645" s="178"/>
      <c r="C645" s="178"/>
      <c r="D645" s="178"/>
      <c r="E645" s="178"/>
    </row>
    <row r="646">
      <c r="A646" s="178"/>
      <c r="B646" s="178"/>
      <c r="C646" s="178"/>
      <c r="D646" s="178"/>
      <c r="E646" s="178"/>
    </row>
    <row r="647">
      <c r="A647" s="178"/>
      <c r="B647" s="178"/>
      <c r="C647" s="178"/>
      <c r="D647" s="178"/>
      <c r="E647" s="178"/>
    </row>
    <row r="648">
      <c r="A648" s="178"/>
      <c r="B648" s="178"/>
      <c r="C648" s="178"/>
      <c r="D648" s="178"/>
      <c r="E648" s="178"/>
    </row>
    <row r="649">
      <c r="A649" s="178"/>
      <c r="B649" s="178"/>
      <c r="C649" s="178"/>
      <c r="D649" s="178"/>
      <c r="E649" s="178"/>
    </row>
    <row r="650">
      <c r="A650" s="178"/>
      <c r="B650" s="178"/>
      <c r="C650" s="178"/>
      <c r="D650" s="178"/>
      <c r="E650" s="178"/>
    </row>
    <row r="651">
      <c r="A651" s="178"/>
      <c r="B651" s="178"/>
      <c r="C651" s="178"/>
      <c r="D651" s="178"/>
      <c r="E651" s="178"/>
    </row>
    <row r="652">
      <c r="A652" s="178"/>
      <c r="B652" s="178"/>
      <c r="C652" s="178"/>
      <c r="D652" s="178"/>
      <c r="E652" s="178"/>
    </row>
    <row r="653">
      <c r="A653" s="178"/>
      <c r="B653" s="178"/>
      <c r="C653" s="178"/>
      <c r="D653" s="178"/>
      <c r="E653" s="178"/>
    </row>
    <row r="654">
      <c r="A654" s="178"/>
      <c r="B654" s="178"/>
      <c r="C654" s="178"/>
      <c r="D654" s="178"/>
      <c r="E654" s="178"/>
    </row>
    <row r="655">
      <c r="A655" s="178"/>
      <c r="B655" s="178"/>
      <c r="C655" s="178"/>
      <c r="D655" s="178"/>
      <c r="E655" s="178"/>
    </row>
    <row r="656">
      <c r="A656" s="178"/>
      <c r="B656" s="178"/>
      <c r="C656" s="178"/>
      <c r="D656" s="178"/>
      <c r="E656" s="178"/>
    </row>
    <row r="657">
      <c r="A657" s="178"/>
      <c r="B657" s="178"/>
      <c r="C657" s="178"/>
      <c r="D657" s="178"/>
      <c r="E657" s="178"/>
    </row>
    <row r="658">
      <c r="A658" s="178"/>
      <c r="B658" s="178"/>
      <c r="C658" s="178"/>
      <c r="D658" s="178"/>
      <c r="E658" s="178"/>
    </row>
    <row r="659">
      <c r="A659" s="178"/>
      <c r="B659" s="178"/>
      <c r="C659" s="178"/>
      <c r="D659" s="178"/>
      <c r="E659" s="178"/>
    </row>
    <row r="660">
      <c r="A660" s="178"/>
      <c r="B660" s="178"/>
      <c r="C660" s="178"/>
      <c r="D660" s="178"/>
      <c r="E660" s="178"/>
    </row>
    <row r="661">
      <c r="A661" s="178"/>
      <c r="B661" s="178"/>
      <c r="C661" s="178"/>
      <c r="D661" s="178"/>
      <c r="E661" s="178"/>
    </row>
    <row r="662">
      <c r="A662" s="178"/>
      <c r="B662" s="178"/>
      <c r="C662" s="178"/>
      <c r="D662" s="178"/>
      <c r="E662" s="178"/>
    </row>
    <row r="663">
      <c r="A663" s="178"/>
      <c r="B663" s="178"/>
      <c r="C663" s="178"/>
      <c r="D663" s="178"/>
      <c r="E663" s="178"/>
    </row>
    <row r="664">
      <c r="A664" s="178"/>
      <c r="B664" s="178"/>
      <c r="C664" s="178"/>
      <c r="D664" s="178"/>
      <c r="E664" s="178"/>
    </row>
    <row r="665">
      <c r="A665" s="178"/>
      <c r="B665" s="178"/>
      <c r="C665" s="178"/>
      <c r="D665" s="178"/>
      <c r="E665" s="178"/>
    </row>
    <row r="666">
      <c r="A666" s="178"/>
      <c r="B666" s="178"/>
      <c r="C666" s="178"/>
      <c r="D666" s="178"/>
      <c r="E666" s="178"/>
    </row>
    <row r="667">
      <c r="A667" s="178"/>
      <c r="B667" s="178"/>
      <c r="C667" s="178"/>
      <c r="D667" s="178"/>
      <c r="E667" s="178"/>
    </row>
    <row r="668">
      <c r="A668" s="178"/>
      <c r="B668" s="178"/>
      <c r="C668" s="178"/>
      <c r="D668" s="178"/>
      <c r="E668" s="178"/>
    </row>
    <row r="669">
      <c r="A669" s="178"/>
      <c r="B669" s="178"/>
      <c r="C669" s="178"/>
      <c r="D669" s="178"/>
      <c r="E669" s="178"/>
    </row>
    <row r="670">
      <c r="A670" s="178"/>
      <c r="B670" s="178"/>
      <c r="C670" s="178"/>
      <c r="D670" s="178"/>
      <c r="E670" s="178"/>
    </row>
    <row r="671">
      <c r="A671" s="178"/>
      <c r="B671" s="178"/>
      <c r="C671" s="178"/>
      <c r="D671" s="178"/>
      <c r="E671" s="178"/>
    </row>
    <row r="672">
      <c r="A672" s="178"/>
      <c r="B672" s="178"/>
      <c r="C672" s="178"/>
      <c r="D672" s="178"/>
      <c r="E672" s="178"/>
    </row>
    <row r="673">
      <c r="A673" s="178"/>
      <c r="B673" s="178"/>
      <c r="C673" s="178"/>
      <c r="D673" s="178"/>
      <c r="E673" s="178"/>
    </row>
    <row r="674">
      <c r="A674" s="178"/>
      <c r="B674" s="178"/>
      <c r="C674" s="178"/>
      <c r="D674" s="178"/>
      <c r="E674" s="178"/>
    </row>
    <row r="675">
      <c r="A675" s="178"/>
      <c r="B675" s="178"/>
      <c r="C675" s="178"/>
      <c r="D675" s="178"/>
      <c r="E675" s="178"/>
    </row>
    <row r="676">
      <c r="A676" s="178"/>
      <c r="B676" s="178"/>
      <c r="C676" s="178"/>
      <c r="D676" s="178"/>
      <c r="E676" s="178"/>
    </row>
    <row r="677">
      <c r="A677" s="178"/>
      <c r="B677" s="178"/>
      <c r="C677" s="178"/>
      <c r="D677" s="178"/>
      <c r="E677" s="178"/>
    </row>
    <row r="678">
      <c r="A678" s="178"/>
      <c r="B678" s="178"/>
      <c r="C678" s="178"/>
      <c r="D678" s="178"/>
      <c r="E678" s="178"/>
    </row>
    <row r="679">
      <c r="A679" s="178"/>
      <c r="B679" s="178"/>
      <c r="C679" s="178"/>
      <c r="D679" s="178"/>
      <c r="E679" s="178"/>
    </row>
    <row r="680">
      <c r="A680" s="178"/>
      <c r="B680" s="178"/>
      <c r="C680" s="178"/>
      <c r="D680" s="178"/>
      <c r="E680" s="178"/>
    </row>
    <row r="681">
      <c r="A681" s="178"/>
      <c r="B681" s="178"/>
      <c r="C681" s="178"/>
      <c r="D681" s="178"/>
      <c r="E681" s="178"/>
    </row>
    <row r="682">
      <c r="A682" s="178"/>
      <c r="B682" s="178"/>
      <c r="C682" s="178"/>
      <c r="D682" s="178"/>
      <c r="E682" s="178"/>
    </row>
    <row r="683">
      <c r="A683" s="178"/>
      <c r="B683" s="178"/>
      <c r="C683" s="178"/>
      <c r="D683" s="178"/>
      <c r="E683" s="178"/>
    </row>
    <row r="684">
      <c r="A684" s="178"/>
      <c r="B684" s="178"/>
      <c r="C684" s="178"/>
      <c r="D684" s="178"/>
      <c r="E684" s="178"/>
    </row>
    <row r="685">
      <c r="A685" s="178"/>
      <c r="B685" s="178"/>
      <c r="C685" s="178"/>
      <c r="D685" s="178"/>
      <c r="E685" s="178"/>
    </row>
    <row r="686">
      <c r="A686" s="178"/>
      <c r="B686" s="178"/>
      <c r="C686" s="178"/>
      <c r="D686" s="178"/>
      <c r="E686" s="178"/>
    </row>
    <row r="687">
      <c r="A687" s="178"/>
      <c r="B687" s="178"/>
      <c r="C687" s="178"/>
      <c r="D687" s="178"/>
      <c r="E687" s="178"/>
    </row>
    <row r="688">
      <c r="A688" s="178"/>
      <c r="B688" s="178"/>
      <c r="C688" s="178"/>
      <c r="D688" s="178"/>
      <c r="E688" s="178"/>
    </row>
    <row r="689">
      <c r="A689" s="178"/>
      <c r="B689" s="178"/>
      <c r="C689" s="178"/>
      <c r="D689" s="178"/>
      <c r="E689" s="178"/>
    </row>
    <row r="690">
      <c r="A690" s="178"/>
      <c r="B690" s="178"/>
      <c r="C690" s="178"/>
      <c r="D690" s="178"/>
      <c r="E690" s="178"/>
    </row>
    <row r="691">
      <c r="A691" s="178"/>
      <c r="B691" s="178"/>
      <c r="C691" s="178"/>
      <c r="D691" s="178"/>
      <c r="E691" s="178"/>
    </row>
    <row r="692">
      <c r="A692" s="178"/>
      <c r="B692" s="178"/>
      <c r="C692" s="178"/>
      <c r="D692" s="178"/>
      <c r="E692" s="178"/>
    </row>
    <row r="693">
      <c r="A693" s="178"/>
      <c r="B693" s="178"/>
      <c r="C693" s="178"/>
      <c r="D693" s="178"/>
      <c r="E693" s="178"/>
    </row>
    <row r="694">
      <c r="A694" s="178"/>
      <c r="B694" s="178"/>
      <c r="C694" s="178"/>
      <c r="D694" s="178"/>
      <c r="E694" s="178"/>
    </row>
    <row r="695">
      <c r="A695" s="178"/>
      <c r="B695" s="178"/>
      <c r="C695" s="178"/>
      <c r="D695" s="178"/>
      <c r="E695" s="178"/>
    </row>
    <row r="696">
      <c r="A696" s="178"/>
      <c r="B696" s="178"/>
      <c r="C696" s="178"/>
      <c r="D696" s="178"/>
      <c r="E696" s="178"/>
    </row>
    <row r="697">
      <c r="A697" s="178"/>
      <c r="B697" s="178"/>
      <c r="C697" s="178"/>
      <c r="D697" s="178"/>
      <c r="E697" s="178"/>
    </row>
    <row r="698">
      <c r="A698" s="178"/>
      <c r="B698" s="178"/>
      <c r="C698" s="178"/>
      <c r="D698" s="178"/>
      <c r="E698" s="178"/>
    </row>
    <row r="699">
      <c r="A699" s="178"/>
      <c r="B699" s="178"/>
      <c r="C699" s="178"/>
      <c r="D699" s="178"/>
      <c r="E699" s="178"/>
    </row>
    <row r="700">
      <c r="A700" s="178"/>
      <c r="B700" s="178"/>
      <c r="C700" s="178"/>
      <c r="D700" s="178"/>
      <c r="E700" s="178"/>
    </row>
    <row r="701">
      <c r="A701" s="178"/>
      <c r="B701" s="178"/>
      <c r="C701" s="178"/>
      <c r="D701" s="178"/>
      <c r="E701" s="178"/>
    </row>
    <row r="702">
      <c r="A702" s="178"/>
      <c r="B702" s="178"/>
      <c r="C702" s="178"/>
      <c r="D702" s="178"/>
      <c r="E702" s="178"/>
    </row>
    <row r="703">
      <c r="A703" s="178"/>
      <c r="B703" s="178"/>
      <c r="C703" s="178"/>
      <c r="D703" s="178"/>
      <c r="E703" s="178"/>
    </row>
    <row r="704">
      <c r="A704" s="178"/>
      <c r="B704" s="178"/>
      <c r="C704" s="178"/>
      <c r="D704" s="178"/>
      <c r="E704" s="178"/>
    </row>
    <row r="705">
      <c r="A705" s="178"/>
      <c r="B705" s="178"/>
      <c r="C705" s="178"/>
      <c r="D705" s="178"/>
      <c r="E705" s="178"/>
    </row>
    <row r="706">
      <c r="A706" s="178"/>
      <c r="B706" s="178"/>
      <c r="C706" s="178"/>
      <c r="D706" s="178"/>
      <c r="E706" s="178"/>
    </row>
    <row r="707">
      <c r="A707" s="178"/>
      <c r="B707" s="178"/>
      <c r="C707" s="178"/>
      <c r="D707" s="178"/>
      <c r="E707" s="178"/>
    </row>
    <row r="708">
      <c r="A708" s="178"/>
      <c r="B708" s="178"/>
      <c r="C708" s="178"/>
      <c r="D708" s="178"/>
      <c r="E708" s="178"/>
    </row>
    <row r="709">
      <c r="A709" s="178"/>
      <c r="B709" s="178"/>
      <c r="C709" s="178"/>
      <c r="D709" s="178"/>
      <c r="E709" s="178"/>
    </row>
    <row r="710">
      <c r="A710" s="178"/>
      <c r="B710" s="178"/>
      <c r="C710" s="178"/>
      <c r="D710" s="178"/>
      <c r="E710" s="178"/>
    </row>
    <row r="711">
      <c r="A711" s="178"/>
      <c r="B711" s="178"/>
      <c r="C711" s="178"/>
      <c r="D711" s="178"/>
      <c r="E711" s="178"/>
    </row>
    <row r="712">
      <c r="A712" s="178"/>
      <c r="B712" s="178"/>
      <c r="C712" s="178"/>
      <c r="D712" s="178"/>
      <c r="E712" s="178"/>
    </row>
    <row r="713">
      <c r="A713" s="178"/>
      <c r="B713" s="178"/>
      <c r="C713" s="178"/>
      <c r="D713" s="178"/>
      <c r="E713" s="178"/>
    </row>
    <row r="714">
      <c r="A714" s="178"/>
      <c r="B714" s="178"/>
      <c r="C714" s="178"/>
      <c r="D714" s="178"/>
      <c r="E714" s="178"/>
    </row>
    <row r="715">
      <c r="A715" s="178"/>
      <c r="B715" s="178"/>
      <c r="C715" s="178"/>
      <c r="D715" s="178"/>
      <c r="E715" s="178"/>
    </row>
    <row r="716">
      <c r="A716" s="178"/>
      <c r="B716" s="178"/>
      <c r="C716" s="178"/>
      <c r="D716" s="178"/>
      <c r="E716" s="178"/>
    </row>
    <row r="717">
      <c r="A717" s="178"/>
      <c r="B717" s="178"/>
      <c r="C717" s="178"/>
      <c r="D717" s="178"/>
      <c r="E717" s="178"/>
    </row>
    <row r="718">
      <c r="A718" s="178"/>
      <c r="B718" s="178"/>
      <c r="C718" s="178"/>
      <c r="D718" s="178"/>
      <c r="E718" s="178"/>
    </row>
    <row r="719">
      <c r="A719" s="178"/>
      <c r="B719" s="178"/>
      <c r="C719" s="178"/>
      <c r="D719" s="178"/>
      <c r="E719" s="178"/>
    </row>
    <row r="720">
      <c r="A720" s="178"/>
      <c r="B720" s="178"/>
      <c r="C720" s="178"/>
      <c r="D720" s="178"/>
      <c r="E720" s="178"/>
    </row>
    <row r="721">
      <c r="A721" s="178"/>
      <c r="B721" s="178"/>
      <c r="C721" s="178"/>
      <c r="D721" s="178"/>
      <c r="E721" s="178"/>
    </row>
    <row r="722">
      <c r="A722" s="178"/>
      <c r="B722" s="178"/>
      <c r="C722" s="178"/>
      <c r="D722" s="178"/>
      <c r="E722" s="178"/>
    </row>
    <row r="723">
      <c r="A723" s="178"/>
      <c r="B723" s="178"/>
      <c r="C723" s="178"/>
      <c r="D723" s="178"/>
      <c r="E723" s="178"/>
    </row>
    <row r="724">
      <c r="A724" s="178"/>
      <c r="B724" s="178"/>
      <c r="C724" s="178"/>
      <c r="D724" s="178"/>
      <c r="E724" s="178"/>
    </row>
    <row r="725">
      <c r="A725" s="178"/>
      <c r="B725" s="178"/>
      <c r="C725" s="178"/>
      <c r="D725" s="178"/>
      <c r="E725" s="178"/>
    </row>
    <row r="726">
      <c r="A726" s="178"/>
      <c r="B726" s="178"/>
      <c r="C726" s="178"/>
      <c r="D726" s="178"/>
      <c r="E726" s="178"/>
    </row>
    <row r="727">
      <c r="A727" s="178"/>
      <c r="B727" s="178"/>
      <c r="C727" s="178"/>
      <c r="D727" s="178"/>
      <c r="E727" s="178"/>
    </row>
    <row r="728">
      <c r="A728" s="178"/>
      <c r="B728" s="178"/>
      <c r="C728" s="178"/>
      <c r="D728" s="178"/>
      <c r="E728" s="178"/>
    </row>
    <row r="729">
      <c r="A729" s="178"/>
      <c r="B729" s="178"/>
      <c r="C729" s="178"/>
      <c r="D729" s="178"/>
      <c r="E729" s="178"/>
    </row>
    <row r="730">
      <c r="A730" s="178"/>
      <c r="B730" s="178"/>
      <c r="C730" s="178"/>
      <c r="D730" s="178"/>
      <c r="E730" s="178"/>
    </row>
    <row r="731">
      <c r="A731" s="178"/>
      <c r="B731" s="178"/>
      <c r="C731" s="178"/>
      <c r="D731" s="178"/>
      <c r="E731" s="178"/>
    </row>
    <row r="732">
      <c r="A732" s="178"/>
      <c r="B732" s="178"/>
      <c r="C732" s="178"/>
      <c r="D732" s="178"/>
      <c r="E732" s="178"/>
    </row>
    <row r="733">
      <c r="A733" s="178"/>
      <c r="B733" s="178"/>
      <c r="C733" s="178"/>
      <c r="D733" s="178"/>
      <c r="E733" s="178"/>
    </row>
    <row r="734">
      <c r="A734" s="178"/>
      <c r="B734" s="178"/>
      <c r="C734" s="178"/>
      <c r="D734" s="178"/>
      <c r="E734" s="178"/>
    </row>
    <row r="735">
      <c r="A735" s="178"/>
      <c r="B735" s="178"/>
      <c r="C735" s="178"/>
      <c r="D735" s="178"/>
      <c r="E735" s="178"/>
    </row>
    <row r="736">
      <c r="A736" s="178"/>
      <c r="B736" s="178"/>
      <c r="C736" s="178"/>
      <c r="D736" s="178"/>
      <c r="E736" s="178"/>
    </row>
    <row r="737">
      <c r="A737" s="178"/>
      <c r="B737" s="178"/>
      <c r="C737" s="178"/>
      <c r="D737" s="178"/>
      <c r="E737" s="178"/>
    </row>
    <row r="738">
      <c r="A738" s="178"/>
      <c r="B738" s="178"/>
      <c r="C738" s="178"/>
      <c r="D738" s="178"/>
      <c r="E738" s="178"/>
    </row>
    <row r="739">
      <c r="A739" s="178"/>
      <c r="B739" s="178"/>
      <c r="C739" s="178"/>
      <c r="D739" s="178"/>
      <c r="E739" s="178"/>
    </row>
    <row r="740">
      <c r="A740" s="178"/>
      <c r="B740" s="178"/>
      <c r="C740" s="178"/>
      <c r="D740" s="178"/>
      <c r="E740" s="178"/>
    </row>
    <row r="741">
      <c r="A741" s="178"/>
      <c r="B741" s="178"/>
      <c r="C741" s="178"/>
      <c r="D741" s="178"/>
      <c r="E741" s="178"/>
    </row>
    <row r="742">
      <c r="A742" s="178"/>
      <c r="B742" s="178"/>
      <c r="C742" s="178"/>
      <c r="D742" s="178"/>
      <c r="E742" s="178"/>
    </row>
    <row r="743">
      <c r="A743" s="178"/>
      <c r="B743" s="178"/>
      <c r="C743" s="178"/>
      <c r="D743" s="178"/>
      <c r="E743" s="178"/>
    </row>
    <row r="744">
      <c r="A744" s="178"/>
      <c r="B744" s="178"/>
      <c r="C744" s="178"/>
      <c r="D744" s="178"/>
      <c r="E744" s="178"/>
    </row>
    <row r="745">
      <c r="A745" s="178"/>
      <c r="B745" s="178"/>
      <c r="C745" s="178"/>
      <c r="D745" s="178"/>
      <c r="E745" s="178"/>
    </row>
    <row r="746">
      <c r="A746" s="178"/>
      <c r="B746" s="178"/>
      <c r="C746" s="178"/>
      <c r="D746" s="178"/>
      <c r="E746" s="178"/>
    </row>
    <row r="747">
      <c r="A747" s="178"/>
      <c r="B747" s="178"/>
      <c r="C747" s="178"/>
      <c r="D747" s="178"/>
      <c r="E747" s="178"/>
    </row>
    <row r="748">
      <c r="A748" s="178"/>
      <c r="B748" s="178"/>
      <c r="C748" s="178"/>
      <c r="D748" s="178"/>
      <c r="E748" s="178"/>
    </row>
    <row r="749">
      <c r="A749" s="178"/>
      <c r="B749" s="178"/>
      <c r="C749" s="178"/>
      <c r="D749" s="178"/>
      <c r="E749" s="178"/>
    </row>
    <row r="750">
      <c r="A750" s="178"/>
      <c r="B750" s="178"/>
      <c r="C750" s="178"/>
      <c r="D750" s="178"/>
      <c r="E750" s="178"/>
    </row>
    <row r="751">
      <c r="A751" s="178"/>
      <c r="B751" s="178"/>
      <c r="C751" s="178"/>
      <c r="D751" s="178"/>
      <c r="E751" s="178"/>
    </row>
    <row r="752">
      <c r="A752" s="178"/>
      <c r="B752" s="178"/>
      <c r="C752" s="178"/>
      <c r="D752" s="178"/>
      <c r="E752" s="178"/>
    </row>
    <row r="753">
      <c r="A753" s="178"/>
      <c r="B753" s="178"/>
      <c r="C753" s="178"/>
      <c r="D753" s="178"/>
      <c r="E753" s="178"/>
    </row>
    <row r="754">
      <c r="A754" s="178"/>
      <c r="B754" s="178"/>
      <c r="C754" s="178"/>
      <c r="D754" s="178"/>
      <c r="E754" s="178"/>
    </row>
    <row r="755">
      <c r="A755" s="178"/>
      <c r="B755" s="178"/>
      <c r="C755" s="178"/>
      <c r="D755" s="178"/>
      <c r="E755" s="178"/>
    </row>
    <row r="756">
      <c r="A756" s="178"/>
      <c r="B756" s="178"/>
      <c r="C756" s="178"/>
      <c r="D756" s="178"/>
      <c r="E756" s="178"/>
    </row>
    <row r="757">
      <c r="A757" s="178"/>
      <c r="B757" s="178"/>
      <c r="C757" s="178"/>
      <c r="D757" s="178"/>
      <c r="E757" s="178"/>
    </row>
    <row r="758">
      <c r="A758" s="178"/>
      <c r="B758" s="178"/>
      <c r="C758" s="178"/>
      <c r="D758" s="178"/>
      <c r="E758" s="178"/>
    </row>
    <row r="759">
      <c r="A759" s="178"/>
      <c r="B759" s="178"/>
      <c r="C759" s="178"/>
      <c r="D759" s="178"/>
      <c r="E759" s="178"/>
    </row>
    <row r="760">
      <c r="A760" s="178"/>
      <c r="B760" s="178"/>
      <c r="C760" s="178"/>
      <c r="D760" s="178"/>
      <c r="E760" s="178"/>
    </row>
    <row r="761">
      <c r="A761" s="178"/>
      <c r="B761" s="178"/>
      <c r="C761" s="178"/>
      <c r="D761" s="178"/>
      <c r="E761" s="178"/>
    </row>
    <row r="762">
      <c r="A762" s="178"/>
      <c r="B762" s="178"/>
      <c r="C762" s="178"/>
      <c r="D762" s="178"/>
      <c r="E762" s="178"/>
    </row>
    <row r="763">
      <c r="A763" s="178"/>
      <c r="B763" s="178"/>
      <c r="C763" s="178"/>
      <c r="D763" s="178"/>
      <c r="E763" s="178"/>
    </row>
    <row r="764">
      <c r="A764" s="178"/>
      <c r="B764" s="178"/>
      <c r="C764" s="178"/>
      <c r="D764" s="178"/>
      <c r="E764" s="178"/>
    </row>
    <row r="765">
      <c r="A765" s="178"/>
      <c r="B765" s="178"/>
      <c r="C765" s="178"/>
      <c r="D765" s="178"/>
      <c r="E765" s="178"/>
    </row>
    <row r="766">
      <c r="A766" s="178"/>
      <c r="B766" s="178"/>
      <c r="C766" s="178"/>
      <c r="D766" s="178"/>
      <c r="E766" s="178"/>
    </row>
    <row r="767">
      <c r="A767" s="178"/>
      <c r="B767" s="178"/>
      <c r="C767" s="178"/>
      <c r="D767" s="178"/>
      <c r="E767" s="178"/>
    </row>
    <row r="768">
      <c r="A768" s="178"/>
      <c r="B768" s="178"/>
      <c r="C768" s="178"/>
      <c r="D768" s="178"/>
      <c r="E768" s="178"/>
    </row>
    <row r="769">
      <c r="A769" s="178"/>
      <c r="B769" s="178"/>
      <c r="C769" s="178"/>
      <c r="D769" s="178"/>
      <c r="E769" s="178"/>
    </row>
    <row r="770">
      <c r="A770" s="178"/>
      <c r="B770" s="178"/>
      <c r="C770" s="178"/>
      <c r="D770" s="178"/>
      <c r="E770" s="178"/>
    </row>
    <row r="771">
      <c r="A771" s="178"/>
      <c r="B771" s="178"/>
      <c r="C771" s="178"/>
      <c r="D771" s="178"/>
      <c r="E771" s="178"/>
    </row>
    <row r="772">
      <c r="A772" s="178"/>
      <c r="B772" s="178"/>
      <c r="C772" s="178"/>
      <c r="D772" s="178"/>
      <c r="E772" s="178"/>
    </row>
    <row r="773">
      <c r="A773" s="178"/>
      <c r="B773" s="178"/>
      <c r="C773" s="178"/>
      <c r="D773" s="178"/>
      <c r="E773" s="178"/>
    </row>
    <row r="774">
      <c r="A774" s="178"/>
      <c r="B774" s="178"/>
      <c r="C774" s="178"/>
      <c r="D774" s="178"/>
      <c r="E774" s="178"/>
    </row>
    <row r="775">
      <c r="A775" s="178"/>
      <c r="B775" s="178"/>
      <c r="C775" s="178"/>
      <c r="D775" s="178"/>
      <c r="E775" s="178"/>
    </row>
    <row r="776">
      <c r="A776" s="178"/>
      <c r="B776" s="178"/>
      <c r="C776" s="178"/>
      <c r="D776" s="178"/>
      <c r="E776" s="178"/>
    </row>
    <row r="777">
      <c r="A777" s="178"/>
      <c r="B777" s="178"/>
      <c r="C777" s="178"/>
      <c r="D777" s="178"/>
      <c r="E777" s="178"/>
    </row>
    <row r="778">
      <c r="A778" s="178"/>
      <c r="B778" s="178"/>
      <c r="C778" s="178"/>
      <c r="D778" s="178"/>
      <c r="E778" s="178"/>
    </row>
    <row r="779">
      <c r="A779" s="178"/>
      <c r="B779" s="178"/>
      <c r="C779" s="178"/>
      <c r="D779" s="178"/>
      <c r="E779" s="178"/>
    </row>
    <row r="780">
      <c r="A780" s="178"/>
      <c r="B780" s="178"/>
      <c r="C780" s="178"/>
      <c r="D780" s="178"/>
      <c r="E780" s="178"/>
    </row>
    <row r="781">
      <c r="A781" s="178"/>
      <c r="B781" s="178"/>
      <c r="C781" s="178"/>
      <c r="D781" s="178"/>
      <c r="E781" s="178"/>
    </row>
    <row r="782">
      <c r="A782" s="178"/>
      <c r="B782" s="178"/>
      <c r="C782" s="178"/>
      <c r="D782" s="178"/>
      <c r="E782" s="178"/>
    </row>
    <row r="783">
      <c r="A783" s="178"/>
      <c r="B783" s="178"/>
      <c r="C783" s="178"/>
      <c r="D783" s="178"/>
      <c r="E783" s="178"/>
    </row>
    <row r="784">
      <c r="A784" s="178"/>
      <c r="B784" s="178"/>
      <c r="C784" s="178"/>
      <c r="D784" s="178"/>
      <c r="E784" s="178"/>
    </row>
    <row r="785">
      <c r="A785" s="178"/>
      <c r="B785" s="178"/>
      <c r="C785" s="178"/>
      <c r="D785" s="178"/>
      <c r="E785" s="178"/>
    </row>
    <row r="786">
      <c r="A786" s="178"/>
      <c r="B786" s="178"/>
      <c r="C786" s="178"/>
      <c r="D786" s="178"/>
      <c r="E786" s="178"/>
    </row>
    <row r="787">
      <c r="A787" s="178"/>
      <c r="B787" s="178"/>
      <c r="C787" s="178"/>
      <c r="D787" s="178"/>
      <c r="E787" s="178"/>
    </row>
    <row r="788">
      <c r="A788" s="178"/>
      <c r="B788" s="178"/>
      <c r="C788" s="178"/>
      <c r="D788" s="178"/>
      <c r="E788" s="178"/>
    </row>
    <row r="789">
      <c r="A789" s="178"/>
      <c r="B789" s="178"/>
      <c r="C789" s="178"/>
      <c r="D789" s="178"/>
      <c r="E789" s="178"/>
    </row>
    <row r="790">
      <c r="A790" s="178"/>
      <c r="B790" s="178"/>
      <c r="C790" s="178"/>
      <c r="D790" s="178"/>
      <c r="E790" s="178"/>
    </row>
    <row r="791">
      <c r="A791" s="178"/>
      <c r="B791" s="178"/>
      <c r="C791" s="178"/>
      <c r="D791" s="178"/>
      <c r="E791" s="178"/>
    </row>
    <row r="792">
      <c r="A792" s="178"/>
      <c r="B792" s="178"/>
      <c r="C792" s="178"/>
      <c r="D792" s="178"/>
      <c r="E792" s="178"/>
    </row>
    <row r="793">
      <c r="A793" s="178"/>
      <c r="B793" s="178"/>
      <c r="C793" s="178"/>
      <c r="D793" s="178"/>
      <c r="E793" s="178"/>
    </row>
    <row r="794">
      <c r="A794" s="178"/>
      <c r="B794" s="178"/>
      <c r="C794" s="178"/>
      <c r="D794" s="178"/>
      <c r="E794" s="178"/>
    </row>
    <row r="795">
      <c r="A795" s="178"/>
      <c r="B795" s="178"/>
      <c r="C795" s="178"/>
      <c r="D795" s="178"/>
      <c r="E795" s="178"/>
    </row>
    <row r="796">
      <c r="A796" s="178"/>
      <c r="B796" s="178"/>
      <c r="C796" s="178"/>
      <c r="D796" s="178"/>
      <c r="E796" s="178"/>
    </row>
    <row r="797">
      <c r="A797" s="178"/>
      <c r="B797" s="178"/>
      <c r="C797" s="178"/>
      <c r="D797" s="178"/>
      <c r="E797" s="178"/>
    </row>
    <row r="798">
      <c r="A798" s="178"/>
      <c r="B798" s="178"/>
      <c r="C798" s="178"/>
      <c r="D798" s="178"/>
      <c r="E798" s="178"/>
    </row>
    <row r="799">
      <c r="A799" s="178"/>
      <c r="B799" s="178"/>
      <c r="C799" s="178"/>
      <c r="D799" s="178"/>
      <c r="E799" s="178"/>
    </row>
    <row r="800">
      <c r="A800" s="178"/>
      <c r="B800" s="178"/>
      <c r="C800" s="178"/>
      <c r="D800" s="178"/>
      <c r="E800" s="178"/>
    </row>
    <row r="801">
      <c r="A801" s="178"/>
      <c r="B801" s="178"/>
      <c r="C801" s="178"/>
      <c r="D801" s="178"/>
      <c r="E801" s="178"/>
    </row>
    <row r="802">
      <c r="A802" s="178"/>
      <c r="B802" s="178"/>
      <c r="C802" s="178"/>
      <c r="D802" s="178"/>
      <c r="E802" s="178"/>
    </row>
    <row r="803">
      <c r="A803" s="178"/>
      <c r="B803" s="178"/>
      <c r="C803" s="178"/>
      <c r="D803" s="178"/>
      <c r="E803" s="178"/>
    </row>
    <row r="804">
      <c r="A804" s="178"/>
      <c r="B804" s="178"/>
      <c r="C804" s="178"/>
      <c r="D804" s="178"/>
      <c r="E804" s="178"/>
    </row>
    <row r="805">
      <c r="A805" s="178"/>
      <c r="B805" s="178"/>
      <c r="C805" s="178"/>
      <c r="D805" s="178"/>
      <c r="E805" s="178"/>
    </row>
    <row r="806">
      <c r="A806" s="178"/>
      <c r="B806" s="178"/>
      <c r="C806" s="178"/>
      <c r="D806" s="178"/>
      <c r="E806" s="178"/>
    </row>
    <row r="807">
      <c r="A807" s="178"/>
      <c r="B807" s="178"/>
      <c r="C807" s="178"/>
      <c r="D807" s="178"/>
      <c r="E807" s="178"/>
    </row>
    <row r="808">
      <c r="A808" s="178"/>
      <c r="B808" s="178"/>
      <c r="C808" s="178"/>
      <c r="D808" s="178"/>
      <c r="E808" s="178"/>
    </row>
    <row r="809">
      <c r="A809" s="178"/>
      <c r="B809" s="178"/>
      <c r="C809" s="178"/>
      <c r="D809" s="178"/>
      <c r="E809" s="178"/>
    </row>
    <row r="810">
      <c r="A810" s="178"/>
      <c r="B810" s="178"/>
      <c r="C810" s="178"/>
      <c r="D810" s="178"/>
      <c r="E810" s="178"/>
    </row>
    <row r="811">
      <c r="A811" s="178"/>
      <c r="B811" s="178"/>
      <c r="C811" s="178"/>
      <c r="D811" s="178"/>
      <c r="E811" s="178"/>
    </row>
    <row r="812">
      <c r="A812" s="178"/>
      <c r="B812" s="178"/>
      <c r="C812" s="178"/>
      <c r="D812" s="178"/>
      <c r="E812" s="178"/>
    </row>
    <row r="813">
      <c r="A813" s="178"/>
      <c r="B813" s="178"/>
      <c r="C813" s="178"/>
      <c r="D813" s="178"/>
      <c r="E813" s="178"/>
    </row>
    <row r="814">
      <c r="A814" s="178"/>
      <c r="B814" s="178"/>
      <c r="C814" s="178"/>
      <c r="D814" s="178"/>
      <c r="E814" s="178"/>
    </row>
    <row r="815">
      <c r="A815" s="178"/>
      <c r="B815" s="178"/>
      <c r="C815" s="178"/>
      <c r="D815" s="178"/>
      <c r="E815" s="178"/>
    </row>
    <row r="816">
      <c r="A816" s="178"/>
      <c r="B816" s="178"/>
      <c r="C816" s="178"/>
      <c r="D816" s="178"/>
      <c r="E816" s="178"/>
    </row>
    <row r="817">
      <c r="A817" s="178"/>
      <c r="B817" s="178"/>
      <c r="C817" s="178"/>
      <c r="D817" s="178"/>
      <c r="E817" s="178"/>
    </row>
    <row r="818">
      <c r="A818" s="178"/>
      <c r="B818" s="178"/>
      <c r="C818" s="178"/>
      <c r="D818" s="178"/>
      <c r="E818" s="178"/>
    </row>
    <row r="819">
      <c r="A819" s="178"/>
      <c r="B819" s="178"/>
      <c r="C819" s="178"/>
      <c r="D819" s="178"/>
      <c r="E819" s="178"/>
    </row>
    <row r="820">
      <c r="A820" s="178"/>
      <c r="B820" s="178"/>
      <c r="C820" s="178"/>
      <c r="D820" s="178"/>
      <c r="E820" s="178"/>
    </row>
    <row r="821">
      <c r="A821" s="178"/>
      <c r="B821" s="178"/>
      <c r="C821" s="178"/>
      <c r="D821" s="178"/>
      <c r="E821" s="178"/>
    </row>
    <row r="822">
      <c r="A822" s="178"/>
      <c r="B822" s="178"/>
      <c r="C822" s="178"/>
      <c r="D822" s="178"/>
      <c r="E822" s="178"/>
    </row>
    <row r="823">
      <c r="A823" s="178"/>
      <c r="B823" s="178"/>
      <c r="C823" s="178"/>
      <c r="D823" s="178"/>
      <c r="E823" s="178"/>
    </row>
    <row r="824">
      <c r="A824" s="178"/>
      <c r="B824" s="178"/>
      <c r="C824" s="178"/>
      <c r="D824" s="178"/>
      <c r="E824" s="178"/>
    </row>
    <row r="825">
      <c r="A825" s="178"/>
      <c r="B825" s="178"/>
      <c r="C825" s="178"/>
      <c r="D825" s="178"/>
      <c r="E825" s="178"/>
    </row>
    <row r="826">
      <c r="A826" s="178"/>
      <c r="B826" s="178"/>
      <c r="C826" s="178"/>
      <c r="D826" s="178"/>
      <c r="E826" s="178"/>
    </row>
    <row r="827">
      <c r="A827" s="178"/>
      <c r="B827" s="178"/>
      <c r="C827" s="178"/>
      <c r="D827" s="178"/>
      <c r="E827" s="178"/>
    </row>
    <row r="828">
      <c r="A828" s="178"/>
      <c r="B828" s="178"/>
      <c r="C828" s="178"/>
      <c r="D828" s="178"/>
      <c r="E828" s="178"/>
    </row>
    <row r="829">
      <c r="A829" s="178"/>
      <c r="B829" s="178"/>
      <c r="C829" s="178"/>
      <c r="D829" s="178"/>
      <c r="E829" s="178"/>
    </row>
    <row r="830">
      <c r="A830" s="178"/>
      <c r="B830" s="178"/>
      <c r="C830" s="178"/>
      <c r="D830" s="178"/>
      <c r="E830" s="178"/>
    </row>
    <row r="831">
      <c r="A831" s="178"/>
      <c r="B831" s="178"/>
      <c r="C831" s="178"/>
      <c r="D831" s="178"/>
      <c r="E831" s="178"/>
    </row>
    <row r="832">
      <c r="A832" s="178"/>
      <c r="B832" s="178"/>
      <c r="C832" s="178"/>
      <c r="D832" s="178"/>
      <c r="E832" s="178"/>
    </row>
    <row r="833">
      <c r="A833" s="178"/>
      <c r="B833" s="178"/>
      <c r="C833" s="178"/>
      <c r="D833" s="178"/>
      <c r="E833" s="178"/>
    </row>
    <row r="834">
      <c r="A834" s="178"/>
      <c r="B834" s="178"/>
      <c r="C834" s="178"/>
      <c r="D834" s="178"/>
      <c r="E834" s="178"/>
    </row>
    <row r="835">
      <c r="A835" s="178"/>
      <c r="B835" s="178"/>
      <c r="C835" s="178"/>
      <c r="D835" s="178"/>
      <c r="E835" s="178"/>
    </row>
    <row r="836">
      <c r="A836" s="178"/>
      <c r="B836" s="178"/>
      <c r="C836" s="178"/>
      <c r="D836" s="178"/>
      <c r="E836" s="178"/>
    </row>
    <row r="837">
      <c r="A837" s="178"/>
      <c r="B837" s="178"/>
      <c r="C837" s="178"/>
      <c r="D837" s="178"/>
      <c r="E837" s="178"/>
    </row>
    <row r="838">
      <c r="A838" s="178"/>
      <c r="B838" s="178"/>
      <c r="C838" s="178"/>
      <c r="D838" s="178"/>
      <c r="E838" s="178"/>
    </row>
    <row r="839">
      <c r="A839" s="178"/>
      <c r="B839" s="178"/>
      <c r="C839" s="178"/>
      <c r="D839" s="178"/>
      <c r="E839" s="178"/>
    </row>
    <row r="840">
      <c r="A840" s="178"/>
      <c r="B840" s="178"/>
      <c r="C840" s="178"/>
      <c r="D840" s="178"/>
      <c r="E840" s="178"/>
    </row>
    <row r="841">
      <c r="A841" s="178"/>
      <c r="B841" s="178"/>
      <c r="C841" s="178"/>
      <c r="D841" s="178"/>
      <c r="E841" s="178"/>
    </row>
    <row r="842">
      <c r="A842" s="178"/>
      <c r="B842" s="178"/>
      <c r="C842" s="178"/>
      <c r="D842" s="178"/>
      <c r="E842" s="178"/>
    </row>
    <row r="843">
      <c r="A843" s="178"/>
      <c r="B843" s="178"/>
      <c r="C843" s="178"/>
      <c r="D843" s="178"/>
      <c r="E843" s="178"/>
    </row>
    <row r="844">
      <c r="A844" s="178"/>
      <c r="B844" s="178"/>
      <c r="C844" s="178"/>
      <c r="D844" s="178"/>
      <c r="E844" s="178"/>
    </row>
    <row r="845">
      <c r="A845" s="178"/>
      <c r="B845" s="178"/>
      <c r="C845" s="178"/>
      <c r="D845" s="178"/>
      <c r="E845" s="178"/>
    </row>
    <row r="846">
      <c r="A846" s="178"/>
      <c r="B846" s="178"/>
      <c r="C846" s="178"/>
      <c r="D846" s="178"/>
      <c r="E846" s="178"/>
    </row>
    <row r="847">
      <c r="A847" s="178"/>
      <c r="B847" s="178"/>
      <c r="C847" s="178"/>
      <c r="D847" s="178"/>
      <c r="E847" s="178"/>
    </row>
    <row r="848">
      <c r="A848" s="178"/>
      <c r="B848" s="178"/>
      <c r="C848" s="178"/>
      <c r="D848" s="178"/>
      <c r="E848" s="178"/>
    </row>
    <row r="849">
      <c r="A849" s="178"/>
      <c r="B849" s="178"/>
      <c r="C849" s="178"/>
      <c r="D849" s="178"/>
      <c r="E849" s="178"/>
    </row>
    <row r="850">
      <c r="A850" s="178"/>
      <c r="B850" s="178"/>
      <c r="C850" s="178"/>
      <c r="D850" s="178"/>
      <c r="E850" s="178"/>
    </row>
    <row r="851">
      <c r="A851" s="178"/>
      <c r="B851" s="178"/>
      <c r="C851" s="178"/>
      <c r="D851" s="178"/>
      <c r="E851" s="178"/>
    </row>
    <row r="852">
      <c r="A852" s="178"/>
      <c r="B852" s="178"/>
      <c r="C852" s="178"/>
      <c r="D852" s="178"/>
      <c r="E852" s="178"/>
    </row>
    <row r="853">
      <c r="A853" s="178"/>
      <c r="B853" s="178"/>
      <c r="C853" s="178"/>
      <c r="D853" s="178"/>
      <c r="E853" s="178"/>
    </row>
    <row r="854">
      <c r="A854" s="178"/>
      <c r="B854" s="178"/>
      <c r="C854" s="178"/>
      <c r="D854" s="178"/>
      <c r="E854" s="178"/>
    </row>
    <row r="855">
      <c r="A855" s="178"/>
      <c r="B855" s="178"/>
      <c r="C855" s="178"/>
      <c r="D855" s="178"/>
      <c r="E855" s="178"/>
    </row>
    <row r="856">
      <c r="A856" s="178"/>
      <c r="B856" s="178"/>
      <c r="C856" s="178"/>
      <c r="D856" s="178"/>
      <c r="E856" s="178"/>
    </row>
    <row r="857">
      <c r="A857" s="178"/>
      <c r="B857" s="178"/>
      <c r="C857" s="178"/>
      <c r="D857" s="178"/>
      <c r="E857" s="178"/>
    </row>
    <row r="858">
      <c r="A858" s="178"/>
      <c r="B858" s="178"/>
      <c r="C858" s="178"/>
      <c r="D858" s="178"/>
      <c r="E858" s="178"/>
    </row>
    <row r="859">
      <c r="A859" s="178"/>
      <c r="B859" s="178"/>
      <c r="C859" s="178"/>
      <c r="D859" s="178"/>
      <c r="E859" s="178"/>
    </row>
    <row r="860">
      <c r="A860" s="178"/>
      <c r="B860" s="178"/>
      <c r="C860" s="178"/>
      <c r="D860" s="178"/>
      <c r="E860" s="178"/>
    </row>
    <row r="861">
      <c r="A861" s="178"/>
      <c r="B861" s="178"/>
      <c r="C861" s="178"/>
      <c r="D861" s="178"/>
      <c r="E861" s="178"/>
    </row>
    <row r="862">
      <c r="A862" s="178"/>
      <c r="B862" s="178"/>
      <c r="C862" s="178"/>
      <c r="D862" s="178"/>
      <c r="E862" s="178"/>
    </row>
    <row r="863">
      <c r="A863" s="178"/>
      <c r="B863" s="178"/>
      <c r="C863" s="178"/>
      <c r="D863" s="178"/>
      <c r="E863" s="178"/>
    </row>
    <row r="864">
      <c r="A864" s="178"/>
      <c r="B864" s="178"/>
      <c r="C864" s="178"/>
      <c r="D864" s="178"/>
      <c r="E864" s="178"/>
    </row>
    <row r="865">
      <c r="A865" s="178"/>
      <c r="B865" s="178"/>
      <c r="C865" s="178"/>
      <c r="D865" s="178"/>
      <c r="E865" s="178"/>
    </row>
    <row r="866">
      <c r="A866" s="178"/>
      <c r="B866" s="178"/>
      <c r="C866" s="178"/>
      <c r="D866" s="178"/>
      <c r="E866" s="178"/>
    </row>
    <row r="867">
      <c r="A867" s="178"/>
      <c r="B867" s="178"/>
      <c r="C867" s="178"/>
      <c r="D867" s="178"/>
      <c r="E867" s="178"/>
    </row>
    <row r="868">
      <c r="A868" s="178"/>
      <c r="B868" s="178"/>
      <c r="C868" s="178"/>
      <c r="D868" s="178"/>
      <c r="E868" s="178"/>
    </row>
    <row r="869">
      <c r="A869" s="178"/>
      <c r="B869" s="178"/>
      <c r="C869" s="178"/>
      <c r="D869" s="178"/>
      <c r="E869" s="178"/>
    </row>
    <row r="870">
      <c r="A870" s="178"/>
      <c r="B870" s="178"/>
      <c r="C870" s="178"/>
      <c r="D870" s="178"/>
      <c r="E870" s="178"/>
    </row>
    <row r="871">
      <c r="A871" s="178"/>
      <c r="B871" s="178"/>
      <c r="C871" s="178"/>
      <c r="D871" s="178"/>
      <c r="E871" s="178"/>
    </row>
    <row r="872">
      <c r="A872" s="178"/>
      <c r="B872" s="178"/>
      <c r="C872" s="178"/>
      <c r="D872" s="178"/>
      <c r="E872" s="178"/>
    </row>
    <row r="873">
      <c r="A873" s="178"/>
      <c r="B873" s="178"/>
      <c r="C873" s="178"/>
      <c r="D873" s="178"/>
      <c r="E873" s="178"/>
    </row>
    <row r="874">
      <c r="A874" s="178"/>
      <c r="B874" s="178"/>
      <c r="C874" s="178"/>
      <c r="D874" s="178"/>
      <c r="E874" s="178"/>
    </row>
    <row r="875">
      <c r="A875" s="178"/>
      <c r="B875" s="178"/>
      <c r="C875" s="178"/>
      <c r="D875" s="178"/>
      <c r="E875" s="178"/>
    </row>
    <row r="876">
      <c r="A876" s="178"/>
      <c r="B876" s="178"/>
      <c r="C876" s="178"/>
      <c r="D876" s="178"/>
      <c r="E876" s="178"/>
    </row>
    <row r="877">
      <c r="A877" s="178"/>
      <c r="B877" s="178"/>
      <c r="C877" s="178"/>
      <c r="D877" s="178"/>
      <c r="E877" s="178"/>
    </row>
    <row r="878">
      <c r="A878" s="178"/>
      <c r="B878" s="178"/>
      <c r="C878" s="178"/>
      <c r="D878" s="178"/>
      <c r="E878" s="178"/>
    </row>
    <row r="879">
      <c r="A879" s="178"/>
      <c r="B879" s="178"/>
      <c r="C879" s="178"/>
      <c r="D879" s="178"/>
      <c r="E879" s="178"/>
    </row>
    <row r="880">
      <c r="A880" s="178"/>
      <c r="B880" s="178"/>
      <c r="C880" s="178"/>
      <c r="D880" s="178"/>
      <c r="E880" s="178"/>
    </row>
    <row r="881">
      <c r="A881" s="178"/>
      <c r="B881" s="178"/>
      <c r="C881" s="178"/>
      <c r="D881" s="178"/>
      <c r="E881" s="178"/>
    </row>
    <row r="882">
      <c r="A882" s="178"/>
      <c r="B882" s="178"/>
      <c r="C882" s="178"/>
      <c r="D882" s="178"/>
      <c r="E882" s="178"/>
    </row>
    <row r="883">
      <c r="A883" s="178"/>
      <c r="B883" s="178"/>
      <c r="C883" s="178"/>
      <c r="D883" s="178"/>
      <c r="E883" s="178"/>
    </row>
    <row r="884">
      <c r="A884" s="178"/>
      <c r="B884" s="178"/>
      <c r="C884" s="178"/>
      <c r="D884" s="178"/>
      <c r="E884" s="178"/>
    </row>
    <row r="885">
      <c r="A885" s="178"/>
      <c r="B885" s="178"/>
      <c r="C885" s="178"/>
      <c r="D885" s="178"/>
      <c r="E885" s="178"/>
    </row>
    <row r="886">
      <c r="A886" s="178"/>
      <c r="B886" s="178"/>
      <c r="C886" s="178"/>
      <c r="D886" s="178"/>
      <c r="E886" s="178"/>
    </row>
    <row r="887">
      <c r="A887" s="178"/>
      <c r="B887" s="178"/>
      <c r="C887" s="178"/>
      <c r="D887" s="178"/>
      <c r="E887" s="178"/>
    </row>
    <row r="888">
      <c r="A888" s="178"/>
      <c r="B888" s="178"/>
      <c r="C888" s="178"/>
      <c r="D888" s="178"/>
      <c r="E888" s="178"/>
    </row>
    <row r="889">
      <c r="A889" s="178"/>
      <c r="B889" s="178"/>
      <c r="C889" s="178"/>
      <c r="D889" s="178"/>
      <c r="E889" s="178"/>
    </row>
    <row r="890">
      <c r="A890" s="178"/>
      <c r="B890" s="178"/>
      <c r="C890" s="178"/>
      <c r="D890" s="178"/>
      <c r="E890" s="178"/>
    </row>
    <row r="891">
      <c r="A891" s="178"/>
      <c r="B891" s="178"/>
      <c r="C891" s="178"/>
      <c r="D891" s="178"/>
      <c r="E891" s="178"/>
    </row>
    <row r="892">
      <c r="A892" s="178"/>
      <c r="B892" s="178"/>
      <c r="C892" s="178"/>
      <c r="D892" s="178"/>
      <c r="E892" s="178"/>
    </row>
    <row r="893">
      <c r="A893" s="178"/>
      <c r="B893" s="178"/>
      <c r="C893" s="178"/>
      <c r="D893" s="178"/>
      <c r="E893" s="178"/>
    </row>
    <row r="894">
      <c r="A894" s="178"/>
      <c r="B894" s="178"/>
      <c r="C894" s="178"/>
      <c r="D894" s="178"/>
      <c r="E894" s="178"/>
    </row>
    <row r="895">
      <c r="A895" s="178"/>
      <c r="B895" s="178"/>
      <c r="C895" s="178"/>
      <c r="D895" s="178"/>
      <c r="E895" s="178"/>
    </row>
    <row r="896">
      <c r="A896" s="178"/>
      <c r="B896" s="178"/>
      <c r="C896" s="178"/>
      <c r="D896" s="178"/>
      <c r="E896" s="178"/>
    </row>
    <row r="897">
      <c r="A897" s="178"/>
      <c r="B897" s="178"/>
      <c r="C897" s="178"/>
      <c r="D897" s="178"/>
      <c r="E897" s="178"/>
    </row>
    <row r="898">
      <c r="A898" s="178"/>
      <c r="B898" s="178"/>
      <c r="C898" s="178"/>
      <c r="D898" s="178"/>
      <c r="E898" s="178"/>
    </row>
    <row r="899">
      <c r="A899" s="178"/>
      <c r="B899" s="178"/>
      <c r="C899" s="178"/>
      <c r="D899" s="178"/>
      <c r="E899" s="178"/>
    </row>
    <row r="900">
      <c r="A900" s="178"/>
      <c r="B900" s="178"/>
      <c r="C900" s="178"/>
      <c r="D900" s="178"/>
      <c r="E900" s="178"/>
    </row>
    <row r="901">
      <c r="A901" s="178"/>
      <c r="B901" s="178"/>
      <c r="C901" s="178"/>
      <c r="D901" s="178"/>
      <c r="E901" s="178"/>
    </row>
    <row r="902">
      <c r="A902" s="178"/>
      <c r="B902" s="178"/>
      <c r="C902" s="178"/>
      <c r="D902" s="178"/>
      <c r="E902" s="178"/>
    </row>
    <row r="903">
      <c r="A903" s="178"/>
      <c r="B903" s="178"/>
      <c r="C903" s="178"/>
      <c r="D903" s="178"/>
      <c r="E903" s="178"/>
    </row>
    <row r="904">
      <c r="A904" s="178"/>
      <c r="B904" s="178"/>
      <c r="C904" s="178"/>
      <c r="D904" s="178"/>
      <c r="E904" s="178"/>
    </row>
    <row r="905">
      <c r="A905" s="178"/>
      <c r="B905" s="178"/>
      <c r="C905" s="178"/>
      <c r="D905" s="178"/>
      <c r="E905" s="178"/>
    </row>
    <row r="906">
      <c r="A906" s="178"/>
      <c r="B906" s="178"/>
      <c r="C906" s="178"/>
      <c r="D906" s="178"/>
      <c r="E906" s="178"/>
    </row>
    <row r="907">
      <c r="A907" s="178"/>
      <c r="B907" s="178"/>
      <c r="C907" s="178"/>
      <c r="D907" s="178"/>
      <c r="E907" s="178"/>
    </row>
    <row r="908">
      <c r="A908" s="178"/>
      <c r="B908" s="178"/>
      <c r="C908" s="178"/>
      <c r="D908" s="178"/>
      <c r="E908" s="178"/>
    </row>
    <row r="909">
      <c r="A909" s="178"/>
      <c r="B909" s="178"/>
      <c r="C909" s="178"/>
      <c r="D909" s="178"/>
      <c r="E909" s="178"/>
    </row>
    <row r="910">
      <c r="A910" s="178"/>
      <c r="B910" s="178"/>
      <c r="C910" s="178"/>
      <c r="D910" s="178"/>
      <c r="E910" s="178"/>
    </row>
    <row r="911">
      <c r="A911" s="178"/>
      <c r="B911" s="178"/>
      <c r="C911" s="178"/>
      <c r="D911" s="178"/>
      <c r="E911" s="178"/>
    </row>
    <row r="912">
      <c r="A912" s="178"/>
      <c r="B912" s="178"/>
      <c r="C912" s="178"/>
      <c r="D912" s="178"/>
      <c r="E912" s="178"/>
    </row>
    <row r="913">
      <c r="A913" s="178"/>
      <c r="B913" s="178"/>
      <c r="C913" s="178"/>
      <c r="D913" s="178"/>
      <c r="E913" s="178"/>
    </row>
    <row r="914">
      <c r="A914" s="178"/>
      <c r="B914" s="178"/>
      <c r="C914" s="178"/>
      <c r="D914" s="178"/>
      <c r="E914" s="178"/>
    </row>
    <row r="915">
      <c r="A915" s="178"/>
      <c r="B915" s="178"/>
      <c r="C915" s="178"/>
      <c r="D915" s="178"/>
      <c r="E915" s="178"/>
    </row>
    <row r="916">
      <c r="A916" s="178"/>
      <c r="B916" s="178"/>
      <c r="C916" s="178"/>
      <c r="D916" s="178"/>
      <c r="E916" s="178"/>
    </row>
    <row r="917">
      <c r="A917" s="178"/>
      <c r="B917" s="178"/>
      <c r="C917" s="178"/>
      <c r="D917" s="178"/>
      <c r="E917" s="178"/>
    </row>
    <row r="918">
      <c r="A918" s="178"/>
      <c r="B918" s="178"/>
      <c r="C918" s="178"/>
      <c r="D918" s="178"/>
      <c r="E918" s="178"/>
    </row>
    <row r="919">
      <c r="A919" s="178"/>
      <c r="B919" s="178"/>
      <c r="C919" s="178"/>
      <c r="D919" s="178"/>
      <c r="E919" s="178"/>
    </row>
    <row r="920">
      <c r="A920" s="178"/>
      <c r="B920" s="178"/>
      <c r="C920" s="178"/>
      <c r="D920" s="178"/>
      <c r="E920" s="178"/>
    </row>
    <row r="921">
      <c r="A921" s="178"/>
      <c r="B921" s="178"/>
      <c r="C921" s="178"/>
      <c r="D921" s="178"/>
      <c r="E921" s="178"/>
    </row>
    <row r="922">
      <c r="A922" s="178"/>
      <c r="B922" s="178"/>
      <c r="C922" s="178"/>
      <c r="D922" s="178"/>
      <c r="E922" s="178"/>
    </row>
    <row r="923">
      <c r="A923" s="178"/>
      <c r="B923" s="178"/>
      <c r="C923" s="178"/>
      <c r="D923" s="178"/>
      <c r="E923" s="178"/>
    </row>
    <row r="924">
      <c r="A924" s="178"/>
      <c r="B924" s="178"/>
      <c r="C924" s="178"/>
      <c r="D924" s="178"/>
      <c r="E924" s="178"/>
    </row>
    <row r="925">
      <c r="A925" s="178"/>
      <c r="B925" s="178"/>
      <c r="C925" s="178"/>
      <c r="D925" s="178"/>
      <c r="E925" s="178"/>
    </row>
    <row r="926">
      <c r="A926" s="178"/>
      <c r="B926" s="178"/>
      <c r="C926" s="178"/>
      <c r="D926" s="178"/>
      <c r="E926" s="178"/>
    </row>
    <row r="927">
      <c r="A927" s="178"/>
      <c r="B927" s="178"/>
      <c r="C927" s="178"/>
      <c r="D927" s="178"/>
      <c r="E927" s="178"/>
    </row>
    <row r="928">
      <c r="A928" s="178"/>
      <c r="B928" s="178"/>
      <c r="C928" s="178"/>
      <c r="D928" s="178"/>
      <c r="E928" s="178"/>
    </row>
    <row r="929">
      <c r="A929" s="178"/>
      <c r="B929" s="178"/>
      <c r="C929" s="178"/>
      <c r="D929" s="178"/>
      <c r="E929" s="178"/>
    </row>
    <row r="930">
      <c r="A930" s="178"/>
      <c r="B930" s="178"/>
      <c r="C930" s="178"/>
      <c r="D930" s="178"/>
      <c r="E930" s="178"/>
    </row>
    <row r="931">
      <c r="A931" s="178"/>
      <c r="B931" s="178"/>
      <c r="C931" s="178"/>
      <c r="D931" s="178"/>
      <c r="E931" s="178"/>
    </row>
    <row r="932">
      <c r="A932" s="178"/>
      <c r="B932" s="178"/>
      <c r="C932" s="178"/>
      <c r="D932" s="178"/>
      <c r="E932" s="178"/>
    </row>
    <row r="933">
      <c r="A933" s="178"/>
      <c r="B933" s="178"/>
      <c r="C933" s="178"/>
      <c r="D933" s="178"/>
      <c r="E933" s="178"/>
    </row>
    <row r="934">
      <c r="A934" s="178"/>
      <c r="B934" s="178"/>
      <c r="C934" s="178"/>
      <c r="D934" s="178"/>
      <c r="E934" s="178"/>
    </row>
    <row r="935">
      <c r="A935" s="178"/>
      <c r="B935" s="178"/>
      <c r="C935" s="178"/>
      <c r="D935" s="178"/>
      <c r="E935" s="178"/>
    </row>
    <row r="936">
      <c r="A936" s="178"/>
      <c r="B936" s="178"/>
      <c r="C936" s="178"/>
      <c r="D936" s="178"/>
      <c r="E936" s="178"/>
    </row>
    <row r="937">
      <c r="A937" s="178"/>
      <c r="B937" s="178"/>
      <c r="C937" s="178"/>
      <c r="D937" s="178"/>
      <c r="E937" s="178"/>
    </row>
    <row r="938">
      <c r="A938" s="178"/>
      <c r="B938" s="178"/>
      <c r="C938" s="178"/>
      <c r="D938" s="178"/>
      <c r="E938" s="178"/>
    </row>
    <row r="939">
      <c r="A939" s="178"/>
      <c r="B939" s="178"/>
      <c r="C939" s="178"/>
      <c r="D939" s="178"/>
      <c r="E939" s="178"/>
    </row>
    <row r="940">
      <c r="A940" s="178"/>
      <c r="B940" s="178"/>
      <c r="C940" s="178"/>
      <c r="D940" s="178"/>
      <c r="E940" s="178"/>
    </row>
    <row r="941">
      <c r="A941" s="178"/>
      <c r="B941" s="178"/>
      <c r="C941" s="178"/>
      <c r="D941" s="178"/>
      <c r="E941" s="178"/>
    </row>
    <row r="942">
      <c r="A942" s="178"/>
      <c r="B942" s="178"/>
      <c r="C942" s="178"/>
      <c r="D942" s="178"/>
      <c r="E942" s="178"/>
    </row>
    <row r="943">
      <c r="A943" s="178"/>
      <c r="B943" s="178"/>
      <c r="C943" s="178"/>
      <c r="D943" s="178"/>
      <c r="E943" s="178"/>
    </row>
    <row r="944">
      <c r="A944" s="178"/>
      <c r="B944" s="178"/>
      <c r="C944" s="178"/>
      <c r="D944" s="178"/>
      <c r="E944" s="178"/>
    </row>
    <row r="945">
      <c r="A945" s="178"/>
      <c r="B945" s="178"/>
      <c r="C945" s="178"/>
      <c r="D945" s="178"/>
      <c r="E945" s="178"/>
    </row>
    <row r="946">
      <c r="A946" s="178"/>
      <c r="B946" s="178"/>
      <c r="C946" s="178"/>
      <c r="D946" s="178"/>
      <c r="E946" s="178"/>
    </row>
    <row r="947">
      <c r="A947" s="178"/>
      <c r="B947" s="178"/>
      <c r="C947" s="178"/>
      <c r="D947" s="178"/>
      <c r="E947" s="178"/>
    </row>
    <row r="948">
      <c r="A948" s="178"/>
      <c r="B948" s="178"/>
      <c r="C948" s="178"/>
      <c r="D948" s="178"/>
      <c r="E948" s="178"/>
    </row>
    <row r="949">
      <c r="A949" s="178"/>
      <c r="B949" s="178"/>
      <c r="C949" s="178"/>
      <c r="D949" s="178"/>
      <c r="E949" s="178"/>
    </row>
    <row r="950">
      <c r="A950" s="178"/>
      <c r="B950" s="178"/>
      <c r="C950" s="178"/>
      <c r="D950" s="178"/>
      <c r="E950" s="178"/>
    </row>
    <row r="951">
      <c r="A951" s="178"/>
      <c r="B951" s="178"/>
      <c r="C951" s="178"/>
      <c r="D951" s="178"/>
      <c r="E951" s="178"/>
    </row>
    <row r="952">
      <c r="A952" s="178"/>
      <c r="B952" s="178"/>
      <c r="C952" s="178"/>
      <c r="D952" s="178"/>
      <c r="E952" s="178"/>
    </row>
    <row r="953">
      <c r="A953" s="178"/>
      <c r="B953" s="178"/>
      <c r="C953" s="178"/>
      <c r="D953" s="178"/>
      <c r="E953" s="178"/>
    </row>
    <row r="954">
      <c r="A954" s="178"/>
      <c r="B954" s="178"/>
      <c r="C954" s="178"/>
      <c r="D954" s="178"/>
      <c r="E954" s="178"/>
    </row>
    <row r="955">
      <c r="A955" s="178"/>
      <c r="B955" s="178"/>
      <c r="C955" s="178"/>
      <c r="D955" s="178"/>
      <c r="E955" s="178"/>
    </row>
    <row r="956">
      <c r="A956" s="178"/>
      <c r="B956" s="178"/>
      <c r="C956" s="178"/>
      <c r="D956" s="178"/>
      <c r="E956" s="178"/>
    </row>
    <row r="957">
      <c r="A957" s="178"/>
      <c r="B957" s="178"/>
      <c r="C957" s="178"/>
      <c r="D957" s="178"/>
      <c r="E957" s="178"/>
    </row>
    <row r="958">
      <c r="A958" s="178"/>
      <c r="B958" s="178"/>
      <c r="C958" s="178"/>
      <c r="D958" s="178"/>
      <c r="E958" s="178"/>
    </row>
    <row r="959">
      <c r="A959" s="178"/>
      <c r="B959" s="178"/>
      <c r="C959" s="178"/>
      <c r="D959" s="178"/>
      <c r="E959" s="178"/>
    </row>
    <row r="960">
      <c r="A960" s="178"/>
      <c r="B960" s="178"/>
      <c r="C960" s="178"/>
      <c r="D960" s="178"/>
      <c r="E960" s="178"/>
    </row>
    <row r="961">
      <c r="A961" s="178"/>
      <c r="B961" s="178"/>
      <c r="C961" s="178"/>
      <c r="D961" s="178"/>
      <c r="E961" s="178"/>
    </row>
    <row r="962">
      <c r="A962" s="178"/>
      <c r="B962" s="178"/>
      <c r="C962" s="178"/>
      <c r="D962" s="178"/>
      <c r="E962" s="178"/>
    </row>
    <row r="963">
      <c r="A963" s="178"/>
      <c r="B963" s="178"/>
      <c r="C963" s="178"/>
      <c r="D963" s="178"/>
      <c r="E963" s="178"/>
    </row>
    <row r="964">
      <c r="A964" s="178"/>
      <c r="B964" s="178"/>
      <c r="C964" s="178"/>
      <c r="D964" s="178"/>
      <c r="E964" s="178"/>
    </row>
    <row r="965">
      <c r="A965" s="178"/>
      <c r="B965" s="178"/>
      <c r="C965" s="178"/>
      <c r="D965" s="178"/>
      <c r="E965" s="178"/>
    </row>
    <row r="966">
      <c r="A966" s="178"/>
      <c r="B966" s="178"/>
      <c r="C966" s="178"/>
      <c r="D966" s="178"/>
      <c r="E966" s="178"/>
    </row>
    <row r="967">
      <c r="A967" s="178"/>
      <c r="B967" s="178"/>
      <c r="C967" s="178"/>
      <c r="D967" s="178"/>
      <c r="E967" s="178"/>
    </row>
    <row r="968">
      <c r="A968" s="178"/>
      <c r="B968" s="178"/>
      <c r="C968" s="178"/>
      <c r="D968" s="178"/>
      <c r="E968" s="178"/>
    </row>
    <row r="969">
      <c r="A969" s="178"/>
      <c r="B969" s="178"/>
      <c r="C969" s="178"/>
      <c r="D969" s="178"/>
      <c r="E969" s="178"/>
    </row>
    <row r="970">
      <c r="A970" s="178"/>
      <c r="B970" s="178"/>
      <c r="C970" s="178"/>
      <c r="D970" s="178"/>
      <c r="E970" s="178"/>
    </row>
    <row r="971">
      <c r="A971" s="178"/>
      <c r="B971" s="178"/>
      <c r="C971" s="178"/>
      <c r="D971" s="178"/>
      <c r="E971" s="178"/>
    </row>
    <row r="972">
      <c r="A972" s="178"/>
      <c r="B972" s="178"/>
      <c r="C972" s="178"/>
      <c r="D972" s="178"/>
      <c r="E972" s="178"/>
    </row>
    <row r="973">
      <c r="A973" s="178"/>
      <c r="B973" s="178"/>
      <c r="C973" s="178"/>
      <c r="D973" s="178"/>
      <c r="E973" s="178"/>
    </row>
    <row r="974">
      <c r="A974" s="178"/>
      <c r="B974" s="178"/>
      <c r="C974" s="178"/>
      <c r="D974" s="178"/>
      <c r="E974" s="178"/>
    </row>
    <row r="975">
      <c r="A975" s="178"/>
      <c r="B975" s="178"/>
      <c r="C975" s="178"/>
      <c r="D975" s="178"/>
      <c r="E975" s="178"/>
    </row>
    <row r="976">
      <c r="A976" s="178"/>
      <c r="B976" s="178"/>
      <c r="C976" s="178"/>
      <c r="D976" s="178"/>
      <c r="E976" s="178"/>
    </row>
    <row r="977">
      <c r="A977" s="178"/>
      <c r="B977" s="178"/>
      <c r="C977" s="178"/>
      <c r="D977" s="178"/>
      <c r="E977" s="178"/>
    </row>
    <row r="978">
      <c r="A978" s="178"/>
      <c r="B978" s="178"/>
      <c r="C978" s="178"/>
      <c r="D978" s="178"/>
      <c r="E978" s="178"/>
    </row>
    <row r="979">
      <c r="A979" s="178"/>
      <c r="B979" s="178"/>
      <c r="C979" s="178"/>
      <c r="D979" s="178"/>
      <c r="E979" s="178"/>
    </row>
    <row r="980">
      <c r="A980" s="178"/>
      <c r="B980" s="178"/>
      <c r="C980" s="178"/>
      <c r="D980" s="178"/>
      <c r="E980" s="178"/>
    </row>
    <row r="981">
      <c r="A981" s="178"/>
      <c r="B981" s="178"/>
      <c r="C981" s="178"/>
      <c r="D981" s="178"/>
      <c r="E981" s="178"/>
    </row>
    <row r="982">
      <c r="A982" s="178"/>
      <c r="B982" s="178"/>
      <c r="C982" s="178"/>
      <c r="D982" s="178"/>
      <c r="E982" s="178"/>
    </row>
    <row r="983">
      <c r="A983" s="178"/>
      <c r="B983" s="178"/>
      <c r="C983" s="178"/>
      <c r="D983" s="178"/>
      <c r="E983" s="178"/>
    </row>
    <row r="984">
      <c r="A984" s="178"/>
      <c r="B984" s="178"/>
      <c r="C984" s="178"/>
      <c r="D984" s="178"/>
      <c r="E984" s="178"/>
    </row>
    <row r="985">
      <c r="A985" s="178"/>
      <c r="B985" s="178"/>
      <c r="C985" s="178"/>
      <c r="D985" s="178"/>
      <c r="E985" s="178"/>
    </row>
    <row r="986">
      <c r="A986" s="178"/>
      <c r="B986" s="178"/>
      <c r="C986" s="178"/>
      <c r="D986" s="178"/>
      <c r="E986" s="178"/>
    </row>
    <row r="987">
      <c r="A987" s="178"/>
      <c r="B987" s="178"/>
      <c r="C987" s="178"/>
      <c r="D987" s="178"/>
      <c r="E987" s="178"/>
    </row>
    <row r="988">
      <c r="A988" s="178"/>
      <c r="B988" s="178"/>
      <c r="C988" s="178"/>
      <c r="D988" s="178"/>
      <c r="E988" s="178"/>
    </row>
    <row r="989">
      <c r="A989" s="178"/>
      <c r="B989" s="178"/>
      <c r="C989" s="178"/>
      <c r="D989" s="178"/>
      <c r="E989" s="178"/>
    </row>
    <row r="990">
      <c r="A990" s="178"/>
      <c r="B990" s="178"/>
      <c r="C990" s="178"/>
      <c r="D990" s="178"/>
      <c r="E990" s="178"/>
    </row>
    <row r="991">
      <c r="A991" s="178"/>
      <c r="B991" s="178"/>
      <c r="C991" s="178"/>
      <c r="D991" s="178"/>
      <c r="E991" s="178"/>
    </row>
    <row r="992">
      <c r="A992" s="178"/>
      <c r="B992" s="178"/>
      <c r="C992" s="178"/>
      <c r="D992" s="178"/>
      <c r="E992" s="178"/>
    </row>
    <row r="993">
      <c r="A993" s="178"/>
      <c r="B993" s="178"/>
      <c r="C993" s="178"/>
      <c r="D993" s="178"/>
      <c r="E993" s="178"/>
    </row>
    <row r="994">
      <c r="A994" s="178"/>
      <c r="B994" s="178"/>
      <c r="C994" s="178"/>
      <c r="D994" s="178"/>
      <c r="E994" s="178"/>
    </row>
    <row r="995">
      <c r="A995" s="178"/>
      <c r="B995" s="178"/>
      <c r="C995" s="178"/>
      <c r="D995" s="178"/>
      <c r="E995" s="178"/>
    </row>
    <row r="996">
      <c r="A996" s="178"/>
      <c r="B996" s="178"/>
      <c r="C996" s="178"/>
      <c r="D996" s="178"/>
      <c r="E996" s="178"/>
    </row>
    <row r="997">
      <c r="A997" s="178"/>
      <c r="B997" s="178"/>
      <c r="C997" s="178"/>
      <c r="D997" s="178"/>
      <c r="E997" s="178"/>
    </row>
    <row r="998">
      <c r="A998" s="178"/>
      <c r="B998" s="178"/>
      <c r="C998" s="178"/>
      <c r="D998" s="178"/>
      <c r="E998" s="178"/>
    </row>
    <row r="999">
      <c r="A999" s="178"/>
      <c r="B999" s="178"/>
      <c r="C999" s="178"/>
      <c r="D999" s="178"/>
      <c r="E999" s="178"/>
    </row>
    <row r="1000">
      <c r="A1000" s="178"/>
      <c r="B1000" s="178"/>
      <c r="C1000" s="178"/>
      <c r="D1000" s="178"/>
      <c r="E1000" s="178"/>
    </row>
    <row r="1001">
      <c r="A1001" s="178"/>
      <c r="B1001" s="178"/>
      <c r="C1001" s="178"/>
      <c r="D1001" s="178"/>
      <c r="E1001" s="178"/>
    </row>
    <row r="1002">
      <c r="A1002" s="23"/>
    </row>
    <row r="1003">
      <c r="A1003" s="23"/>
    </row>
    <row r="1004">
      <c r="A1004" s="23"/>
    </row>
  </sheetData>
  <mergeCells count="1">
    <mergeCell ref="G8:H8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40.63"/>
    <col customWidth="1" min="3" max="3" width="12.0"/>
    <col customWidth="1" min="4" max="4" width="36.0"/>
    <col customWidth="1" min="5" max="5" width="10.38"/>
    <col customWidth="1" min="7" max="7" width="76.8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178"/>
      <c r="G1" s="80" t="s">
        <v>5</v>
      </c>
      <c r="H1" s="81">
        <f>H4</f>
        <v>21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158" t="s">
        <v>958</v>
      </c>
      <c r="B2" s="73" t="s">
        <v>37</v>
      </c>
      <c r="C2" s="73" t="s">
        <v>38</v>
      </c>
      <c r="D2" s="73">
        <v>89.0</v>
      </c>
      <c r="E2" s="168">
        <v>0.16666666666666666</v>
      </c>
      <c r="F2" s="178"/>
      <c r="G2" s="82" t="s">
        <v>9</v>
      </c>
      <c r="H2" s="82">
        <f>COUNTIF(C:C,"*LSP*")
</f>
        <v>12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208" t="s">
        <v>959</v>
      </c>
      <c r="B3" s="73" t="s">
        <v>385</v>
      </c>
      <c r="C3" s="73" t="s">
        <v>89</v>
      </c>
      <c r="D3" s="73">
        <v>94.0</v>
      </c>
      <c r="E3" s="168">
        <v>0.25</v>
      </c>
      <c r="F3" s="178"/>
      <c r="G3" s="82" t="s">
        <v>13</v>
      </c>
      <c r="H3" s="82">
        <f>COUNTIF(C:C,"*SOC*")
</f>
        <v>15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208" t="s">
        <v>960</v>
      </c>
      <c r="B4" s="73" t="s">
        <v>84</v>
      </c>
      <c r="C4" s="73" t="s">
        <v>85</v>
      </c>
      <c r="D4" s="73">
        <v>97.0</v>
      </c>
      <c r="E4" s="168">
        <v>0.25</v>
      </c>
      <c r="F4" s="178"/>
      <c r="G4" s="82" t="s">
        <v>810</v>
      </c>
      <c r="H4" s="198">
        <f>COUNTIFS(D:D,"&gt;=5",D:D,"&lt;=114")</f>
        <v>21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208" t="s">
        <v>961</v>
      </c>
      <c r="B5" s="73" t="s">
        <v>326</v>
      </c>
      <c r="C5" s="73" t="s">
        <v>807</v>
      </c>
      <c r="D5" s="73">
        <v>23.0</v>
      </c>
      <c r="E5" s="168">
        <v>0.25</v>
      </c>
      <c r="F5" s="178"/>
      <c r="G5" s="82" t="s">
        <v>20</v>
      </c>
      <c r="H5" s="82">
        <f>COUNTIF(D:D,"*NÃO DOCOU*")</f>
        <v>4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208" t="s">
        <v>962</v>
      </c>
      <c r="B6" s="73" t="s">
        <v>742</v>
      </c>
      <c r="C6" s="73" t="s">
        <v>963</v>
      </c>
      <c r="D6" s="73">
        <v>46.0</v>
      </c>
      <c r="E6" s="168">
        <v>0.25</v>
      </c>
      <c r="F6" s="178"/>
      <c r="G6" s="198" t="s">
        <v>25</v>
      </c>
      <c r="H6" s="199">
        <f>COUNTIF(D:D,"*NÃO CHEGOU*")
</f>
        <v>2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208" t="s">
        <v>964</v>
      </c>
      <c r="B7" s="73" t="s">
        <v>34</v>
      </c>
      <c r="C7" s="73" t="s">
        <v>35</v>
      </c>
      <c r="D7" s="73">
        <v>22.0</v>
      </c>
      <c r="E7" s="168">
        <v>0.2708333333333333</v>
      </c>
      <c r="F7" s="178"/>
      <c r="G7" s="82" t="s">
        <v>815</v>
      </c>
      <c r="H7" s="82">
        <f>COUNTIF(D:D,"*DRIVER DUPLICADO*")</f>
        <v>0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208" t="s">
        <v>965</v>
      </c>
      <c r="B8" s="73" t="s">
        <v>37</v>
      </c>
      <c r="C8" s="73" t="s">
        <v>38</v>
      </c>
      <c r="D8" s="73" t="s">
        <v>167</v>
      </c>
      <c r="E8" s="168">
        <v>0.2916666666666667</v>
      </c>
      <c r="F8" s="178"/>
      <c r="G8" s="18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208" t="s">
        <v>966</v>
      </c>
      <c r="B9" s="146" t="s">
        <v>84</v>
      </c>
      <c r="C9" s="146" t="s">
        <v>85</v>
      </c>
      <c r="D9" s="73">
        <v>96.0</v>
      </c>
      <c r="E9" s="168">
        <v>0.2916666666666667</v>
      </c>
      <c r="F9" s="178"/>
      <c r="G9" s="9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208" t="s">
        <v>967</v>
      </c>
      <c r="B10" s="167" t="s">
        <v>318</v>
      </c>
      <c r="C10" s="167" t="s">
        <v>821</v>
      </c>
      <c r="D10" s="167" t="s">
        <v>167</v>
      </c>
      <c r="E10" s="168">
        <v>0.2916666666666667</v>
      </c>
      <c r="F10" s="178"/>
      <c r="G10" s="93"/>
      <c r="H10" s="9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208" t="s">
        <v>968</v>
      </c>
      <c r="B11" s="73" t="s">
        <v>672</v>
      </c>
      <c r="C11" s="73" t="s">
        <v>42</v>
      </c>
      <c r="D11" s="73">
        <v>87.0</v>
      </c>
      <c r="E11" s="168">
        <v>0.2916666666666667</v>
      </c>
      <c r="F11" s="178"/>
      <c r="G11" s="200"/>
      <c r="H11" s="178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208" t="s">
        <v>969</v>
      </c>
      <c r="B12" s="73" t="s">
        <v>970</v>
      </c>
      <c r="C12" s="73" t="s">
        <v>812</v>
      </c>
      <c r="D12" s="73">
        <v>98.0</v>
      </c>
      <c r="E12" s="168">
        <v>0.2916666666666667</v>
      </c>
      <c r="F12" s="178"/>
      <c r="G12" s="84" t="s">
        <v>971</v>
      </c>
      <c r="H12" s="9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158" t="s">
        <v>972</v>
      </c>
      <c r="B13" s="73" t="s">
        <v>48</v>
      </c>
      <c r="C13" s="167" t="s">
        <v>49</v>
      </c>
      <c r="D13" s="167">
        <v>34.0</v>
      </c>
      <c r="E13" s="168">
        <v>0.2916666666666667</v>
      </c>
      <c r="F13" s="178"/>
      <c r="G13" s="187" t="s">
        <v>653</v>
      </c>
      <c r="H13" s="178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08" t="s">
        <v>973</v>
      </c>
      <c r="B14" s="73" t="s">
        <v>54</v>
      </c>
      <c r="C14" s="167" t="s">
        <v>55</v>
      </c>
      <c r="D14" s="167">
        <v>45.0</v>
      </c>
      <c r="E14" s="168">
        <v>0.2916666666666667</v>
      </c>
      <c r="F14" s="178"/>
      <c r="G14" s="178"/>
      <c r="H14" s="178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08" t="s">
        <v>974</v>
      </c>
      <c r="B15" s="146" t="s">
        <v>118</v>
      </c>
      <c r="C15" s="146" t="s">
        <v>58</v>
      </c>
      <c r="D15" s="146">
        <v>39.0</v>
      </c>
      <c r="E15" s="168">
        <v>0.2916666666666667</v>
      </c>
      <c r="F15" s="178"/>
      <c r="G15" s="178"/>
      <c r="H15" s="178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08" t="s">
        <v>975</v>
      </c>
      <c r="B16" s="167" t="s">
        <v>22</v>
      </c>
      <c r="C16" s="167" t="s">
        <v>839</v>
      </c>
      <c r="D16" s="167">
        <v>27.0</v>
      </c>
      <c r="E16" s="168">
        <v>0.2916666666666667</v>
      </c>
      <c r="F16" s="178"/>
      <c r="G16" s="178"/>
      <c r="H16" s="178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139" t="s">
        <v>976</v>
      </c>
      <c r="B17" s="170" t="s">
        <v>61</v>
      </c>
      <c r="C17" s="170" t="s">
        <v>62</v>
      </c>
      <c r="D17" s="170">
        <v>38.0</v>
      </c>
      <c r="E17" s="168">
        <v>0.2916666666666667</v>
      </c>
      <c r="F17" s="178"/>
      <c r="G17" s="178"/>
      <c r="H17" s="178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139" t="s">
        <v>977</v>
      </c>
      <c r="B18" s="73" t="s">
        <v>124</v>
      </c>
      <c r="C18" s="73" t="s">
        <v>69</v>
      </c>
      <c r="D18" s="73" t="s">
        <v>25</v>
      </c>
      <c r="E18" s="168">
        <v>0.3125</v>
      </c>
      <c r="F18" s="178"/>
      <c r="G18" s="178"/>
      <c r="H18" s="178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208" t="s">
        <v>978</v>
      </c>
      <c r="B19" s="73" t="s">
        <v>71</v>
      </c>
      <c r="C19" s="73" t="s">
        <v>72</v>
      </c>
      <c r="D19" s="73">
        <v>28.0</v>
      </c>
      <c r="E19" s="150">
        <v>0.3125</v>
      </c>
      <c r="F19" s="178"/>
      <c r="G19" s="178"/>
      <c r="H19" s="178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208" t="s">
        <v>979</v>
      </c>
      <c r="B20" s="73" t="s">
        <v>75</v>
      </c>
      <c r="C20" s="73" t="s">
        <v>76</v>
      </c>
      <c r="D20" s="73">
        <v>9.0</v>
      </c>
      <c r="E20" s="150">
        <v>0.3125</v>
      </c>
      <c r="F20" s="178"/>
      <c r="G20" s="178"/>
      <c r="H20" s="178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139" t="s">
        <v>980</v>
      </c>
      <c r="B21" s="73" t="s">
        <v>399</v>
      </c>
      <c r="C21" s="73" t="s">
        <v>157</v>
      </c>
      <c r="D21" s="73">
        <v>36.0</v>
      </c>
      <c r="E21" s="150">
        <v>0.3125</v>
      </c>
      <c r="F21" s="178"/>
      <c r="G21" s="178"/>
      <c r="H21" s="178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208" t="s">
        <v>981</v>
      </c>
      <c r="B22" s="73" t="s">
        <v>78</v>
      </c>
      <c r="C22" s="73" t="s">
        <v>79</v>
      </c>
      <c r="D22" s="73" t="s">
        <v>25</v>
      </c>
      <c r="E22" s="150">
        <v>0.3125</v>
      </c>
      <c r="F22" s="178"/>
      <c r="G22" s="178"/>
      <c r="H22" s="178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208" t="s">
        <v>982</v>
      </c>
      <c r="B23" s="146" t="s">
        <v>44</v>
      </c>
      <c r="C23" s="146" t="s">
        <v>45</v>
      </c>
      <c r="D23" s="146">
        <v>91.0</v>
      </c>
      <c r="E23" s="150">
        <v>0.3333333333333333</v>
      </c>
      <c r="F23" s="178"/>
      <c r="G23" s="178"/>
      <c r="H23" s="178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208" t="s">
        <v>983</v>
      </c>
      <c r="B24" s="146" t="s">
        <v>970</v>
      </c>
      <c r="C24" s="146" t="s">
        <v>812</v>
      </c>
      <c r="D24" s="146">
        <v>99.0</v>
      </c>
      <c r="E24" s="150">
        <v>0.3333333333333333</v>
      </c>
      <c r="F24" s="178"/>
      <c r="G24" s="178"/>
      <c r="H24" s="178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208" t="s">
        <v>984</v>
      </c>
      <c r="B25" s="146" t="s">
        <v>84</v>
      </c>
      <c r="C25" s="146" t="s">
        <v>85</v>
      </c>
      <c r="D25" s="146" t="s">
        <v>167</v>
      </c>
      <c r="E25" s="150">
        <v>0.3333333333333333</v>
      </c>
      <c r="F25" s="178"/>
      <c r="G25" s="178"/>
      <c r="H25" s="178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208" t="s">
        <v>985</v>
      </c>
      <c r="B26" s="167" t="s">
        <v>986</v>
      </c>
      <c r="C26" s="167" t="s">
        <v>987</v>
      </c>
      <c r="D26" s="167">
        <v>29.0</v>
      </c>
      <c r="E26" s="150">
        <v>0.3333333333333333</v>
      </c>
      <c r="F26" s="178"/>
      <c r="G26" s="178"/>
      <c r="H26" s="178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208" t="s">
        <v>988</v>
      </c>
      <c r="B27" s="167" t="s">
        <v>672</v>
      </c>
      <c r="C27" s="167" t="s">
        <v>42</v>
      </c>
      <c r="D27" s="167" t="s">
        <v>167</v>
      </c>
      <c r="E27" s="150">
        <v>0.4166666666666667</v>
      </c>
      <c r="F27" s="178"/>
      <c r="G27" s="178"/>
      <c r="H27" s="178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208" t="s">
        <v>989</v>
      </c>
      <c r="B28" s="167" t="s">
        <v>44</v>
      </c>
      <c r="C28" s="167" t="s">
        <v>45</v>
      </c>
      <c r="D28" s="167">
        <v>90.0</v>
      </c>
      <c r="E28" s="150">
        <v>0.6666666666666666</v>
      </c>
      <c r="F28" s="178"/>
      <c r="G28" s="178"/>
      <c r="H28" s="178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213"/>
      <c r="B29" s="173"/>
      <c r="C29" s="173"/>
      <c r="D29" s="173"/>
      <c r="E29" s="166"/>
      <c r="F29" s="178"/>
      <c r="G29" s="178"/>
      <c r="H29" s="178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213"/>
      <c r="B30" s="173"/>
      <c r="C30" s="173"/>
      <c r="D30" s="173"/>
      <c r="E30" s="166"/>
      <c r="F30" s="178"/>
      <c r="G30" s="178"/>
      <c r="H30" s="178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13"/>
      <c r="B31" s="173"/>
      <c r="C31" s="173"/>
      <c r="D31" s="173"/>
      <c r="E31" s="214"/>
      <c r="F31" s="178"/>
      <c r="G31" s="178"/>
      <c r="H31" s="178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15"/>
      <c r="B32" s="173"/>
      <c r="C32" s="173"/>
      <c r="D32" s="173"/>
      <c r="E32" s="166"/>
      <c r="F32" s="178"/>
      <c r="G32" s="178"/>
      <c r="H32" s="178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215"/>
      <c r="B33" s="172"/>
      <c r="C33" s="172"/>
      <c r="D33" s="172"/>
      <c r="E33" s="166"/>
      <c r="F33" s="178"/>
      <c r="G33" s="178"/>
      <c r="H33" s="178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215"/>
      <c r="B34" s="131"/>
      <c r="C34" s="131"/>
      <c r="D34" s="131"/>
      <c r="E34" s="166"/>
      <c r="F34" s="178"/>
      <c r="G34" s="178"/>
      <c r="H34" s="178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216"/>
      <c r="B35" s="131"/>
      <c r="C35" s="131"/>
      <c r="D35" s="131"/>
      <c r="E35" s="166"/>
      <c r="F35" s="178"/>
      <c r="G35" s="178"/>
      <c r="H35" s="178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216"/>
      <c r="B36" s="131"/>
      <c r="C36" s="131"/>
      <c r="D36" s="131"/>
      <c r="E36" s="136"/>
      <c r="F36" s="178"/>
      <c r="G36" s="178"/>
      <c r="H36" s="178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215"/>
      <c r="B37" s="131"/>
      <c r="C37" s="131"/>
      <c r="D37" s="131"/>
      <c r="E37" s="136"/>
      <c r="F37" s="178"/>
      <c r="G37" s="178"/>
      <c r="H37" s="178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216"/>
      <c r="B38" s="131"/>
      <c r="C38" s="131"/>
      <c r="D38" s="131"/>
      <c r="E38" s="136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211"/>
      <c r="B39" s="131"/>
      <c r="C39" s="131"/>
      <c r="D39" s="131"/>
      <c r="E39" s="136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212"/>
      <c r="B40" s="110"/>
      <c r="C40" s="110"/>
      <c r="D40" s="110"/>
      <c r="E40" s="111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04"/>
      <c r="B41" s="131"/>
      <c r="C41" s="131"/>
      <c r="D41" s="131"/>
      <c r="E41" s="136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05"/>
      <c r="B42" s="131"/>
      <c r="C42" s="131"/>
      <c r="D42" s="131"/>
      <c r="E42" s="136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05"/>
      <c r="B43" s="131"/>
      <c r="C43" s="131"/>
      <c r="D43" s="131"/>
      <c r="E43" s="136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06"/>
      <c r="B44" s="131"/>
      <c r="C44" s="131"/>
      <c r="D44" s="131"/>
      <c r="E44" s="136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174"/>
      <c r="B45" s="110"/>
      <c r="C45" s="110"/>
      <c r="D45" s="110"/>
      <c r="E45" s="111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174"/>
      <c r="B46" s="110"/>
      <c r="C46" s="110"/>
      <c r="D46" s="110"/>
      <c r="E46" s="111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174"/>
      <c r="B47" s="110"/>
      <c r="C47" s="110"/>
      <c r="D47" s="110"/>
      <c r="E47" s="111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177"/>
      <c r="B48" s="110"/>
      <c r="C48" s="110"/>
      <c r="D48" s="110"/>
      <c r="E48" s="111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174"/>
      <c r="B49" s="110"/>
      <c r="C49" s="110"/>
      <c r="D49" s="110"/>
      <c r="E49" s="111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174"/>
      <c r="B50" s="110"/>
      <c r="C50" s="110"/>
      <c r="D50" s="110"/>
      <c r="E50" s="111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178"/>
      <c r="B51" s="178"/>
      <c r="C51" s="178"/>
      <c r="D51" s="178"/>
      <c r="E51" s="178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178"/>
      <c r="B52" s="178"/>
      <c r="C52" s="178"/>
      <c r="D52" s="178"/>
      <c r="E52" s="178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178"/>
      <c r="B53" s="178"/>
      <c r="C53" s="178"/>
      <c r="D53" s="178"/>
      <c r="E53" s="178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178"/>
      <c r="B54" s="178"/>
      <c r="C54" s="178"/>
      <c r="D54" s="178"/>
      <c r="E54" s="178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178"/>
      <c r="B55" s="178"/>
      <c r="C55" s="178"/>
      <c r="D55" s="178"/>
      <c r="E55" s="178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178"/>
      <c r="B56" s="178"/>
      <c r="C56" s="178"/>
      <c r="D56" s="178"/>
      <c r="E56" s="178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178"/>
      <c r="B57" s="178"/>
      <c r="C57" s="178"/>
      <c r="D57" s="178"/>
      <c r="E57" s="178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178"/>
      <c r="B58" s="178"/>
      <c r="C58" s="178"/>
      <c r="D58" s="178"/>
      <c r="E58" s="178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178"/>
      <c r="B59" s="178"/>
      <c r="C59" s="178"/>
      <c r="D59" s="178"/>
      <c r="E59" s="178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178"/>
      <c r="B60" s="178"/>
      <c r="C60" s="178"/>
      <c r="D60" s="178"/>
      <c r="E60" s="178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178"/>
      <c r="B61" s="178"/>
      <c r="C61" s="178"/>
      <c r="D61" s="178"/>
      <c r="E61" s="178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178"/>
      <c r="B62" s="178"/>
      <c r="C62" s="178"/>
      <c r="D62" s="178"/>
      <c r="E62" s="178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178"/>
      <c r="B63" s="178"/>
      <c r="C63" s="178"/>
      <c r="D63" s="178"/>
      <c r="E63" s="178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178"/>
      <c r="B64" s="178"/>
      <c r="C64" s="178"/>
      <c r="D64" s="178"/>
      <c r="E64" s="178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178"/>
      <c r="B65" s="178"/>
      <c r="C65" s="178"/>
      <c r="D65" s="178"/>
      <c r="E65" s="178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178"/>
      <c r="B66" s="178"/>
      <c r="C66" s="178"/>
      <c r="D66" s="178"/>
      <c r="E66" s="178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178"/>
      <c r="B67" s="178"/>
      <c r="C67" s="178"/>
      <c r="D67" s="178"/>
      <c r="E67" s="178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178"/>
      <c r="B68" s="178"/>
      <c r="C68" s="178"/>
      <c r="D68" s="178"/>
      <c r="E68" s="178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178"/>
      <c r="B69" s="178"/>
      <c r="C69" s="178"/>
      <c r="D69" s="178"/>
      <c r="E69" s="178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178"/>
      <c r="B70" s="178"/>
      <c r="C70" s="178"/>
      <c r="D70" s="178"/>
      <c r="E70" s="178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178"/>
      <c r="B71" s="178"/>
      <c r="C71" s="178"/>
      <c r="D71" s="178"/>
      <c r="E71" s="178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178"/>
      <c r="B72" s="178"/>
      <c r="C72" s="178"/>
      <c r="D72" s="178"/>
      <c r="E72" s="178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178"/>
      <c r="B73" s="178"/>
      <c r="C73" s="178"/>
      <c r="D73" s="178"/>
      <c r="E73" s="178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178"/>
      <c r="B74" s="178"/>
      <c r="C74" s="178"/>
      <c r="D74" s="178"/>
      <c r="E74" s="178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178"/>
      <c r="B75" s="178"/>
      <c r="C75" s="178"/>
      <c r="D75" s="178"/>
      <c r="E75" s="178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178"/>
      <c r="B76" s="178"/>
      <c r="C76" s="178"/>
      <c r="D76" s="178"/>
      <c r="E76" s="178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178"/>
      <c r="B77" s="178"/>
      <c r="C77" s="178"/>
      <c r="D77" s="178"/>
      <c r="E77" s="178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178"/>
      <c r="B78" s="178"/>
      <c r="C78" s="178"/>
      <c r="D78" s="178"/>
      <c r="E78" s="178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178"/>
      <c r="B79" s="178"/>
      <c r="C79" s="178"/>
      <c r="D79" s="178"/>
      <c r="E79" s="178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178"/>
      <c r="B80" s="178"/>
      <c r="C80" s="178"/>
      <c r="D80" s="178"/>
      <c r="E80" s="178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178"/>
      <c r="B81" s="178"/>
      <c r="C81" s="178"/>
      <c r="D81" s="178"/>
      <c r="E81" s="178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178"/>
      <c r="B82" s="178"/>
      <c r="C82" s="178"/>
      <c r="D82" s="178"/>
      <c r="E82" s="178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178"/>
      <c r="B83" s="178"/>
      <c r="C83" s="178"/>
      <c r="D83" s="178"/>
      <c r="E83" s="178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178"/>
      <c r="B84" s="178"/>
      <c r="C84" s="178"/>
      <c r="D84" s="178"/>
      <c r="E84" s="178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178"/>
      <c r="B85" s="178"/>
      <c r="C85" s="178"/>
      <c r="D85" s="178"/>
      <c r="E85" s="178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178"/>
      <c r="B86" s="178"/>
      <c r="C86" s="178"/>
      <c r="D86" s="178"/>
      <c r="E86" s="178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178"/>
      <c r="B87" s="178"/>
      <c r="C87" s="178"/>
      <c r="D87" s="178"/>
      <c r="E87" s="178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178"/>
      <c r="B88" s="178"/>
      <c r="C88" s="178"/>
      <c r="D88" s="178"/>
      <c r="E88" s="178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178"/>
      <c r="B89" s="178"/>
      <c r="C89" s="178"/>
      <c r="D89" s="178"/>
      <c r="E89" s="178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178"/>
      <c r="B90" s="178"/>
      <c r="C90" s="178"/>
      <c r="D90" s="178"/>
      <c r="E90" s="178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178"/>
      <c r="B91" s="178"/>
      <c r="C91" s="178"/>
      <c r="D91" s="178"/>
      <c r="E91" s="178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178"/>
      <c r="B92" s="178"/>
      <c r="C92" s="178"/>
      <c r="D92" s="178"/>
      <c r="E92" s="178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178"/>
      <c r="B93" s="178"/>
      <c r="C93" s="178"/>
      <c r="D93" s="178"/>
      <c r="E93" s="178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178"/>
      <c r="B94" s="178"/>
      <c r="C94" s="178"/>
      <c r="D94" s="178"/>
      <c r="E94" s="178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178"/>
      <c r="B95" s="178"/>
      <c r="C95" s="178"/>
      <c r="D95" s="178"/>
      <c r="E95" s="178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178"/>
      <c r="B96" s="178"/>
      <c r="C96" s="178"/>
      <c r="D96" s="178"/>
      <c r="E96" s="178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178"/>
      <c r="B97" s="178"/>
      <c r="C97" s="178"/>
      <c r="D97" s="178"/>
      <c r="E97" s="178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178"/>
      <c r="B98" s="178"/>
      <c r="C98" s="178"/>
      <c r="D98" s="178"/>
      <c r="E98" s="178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178"/>
      <c r="B99" s="178"/>
      <c r="C99" s="178"/>
      <c r="D99" s="178"/>
      <c r="E99" s="178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178"/>
      <c r="B100" s="178"/>
      <c r="C100" s="178"/>
      <c r="D100" s="178"/>
      <c r="E100" s="178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178"/>
      <c r="B101" s="178"/>
      <c r="C101" s="178"/>
      <c r="D101" s="178"/>
      <c r="E101" s="178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178"/>
      <c r="B102" s="178"/>
      <c r="C102" s="178"/>
      <c r="D102" s="178"/>
      <c r="E102" s="178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178"/>
      <c r="B103" s="178"/>
      <c r="C103" s="178"/>
      <c r="D103" s="178"/>
      <c r="E103" s="178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178"/>
      <c r="B104" s="178"/>
      <c r="C104" s="178"/>
      <c r="D104" s="178"/>
      <c r="E104" s="178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178"/>
      <c r="B105" s="178"/>
      <c r="C105" s="178"/>
      <c r="D105" s="178"/>
      <c r="E105" s="178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178"/>
      <c r="B106" s="178"/>
      <c r="C106" s="178"/>
      <c r="D106" s="178"/>
      <c r="E106" s="178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178"/>
      <c r="B107" s="178"/>
      <c r="C107" s="178"/>
      <c r="D107" s="178"/>
      <c r="E107" s="178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178"/>
      <c r="B108" s="178"/>
      <c r="C108" s="178"/>
      <c r="D108" s="178"/>
      <c r="E108" s="178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178"/>
      <c r="B109" s="178"/>
      <c r="C109" s="178"/>
      <c r="D109" s="178"/>
      <c r="E109" s="178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178"/>
      <c r="B110" s="178"/>
      <c r="C110" s="178"/>
      <c r="D110" s="178"/>
      <c r="E110" s="178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178"/>
      <c r="B111" s="178"/>
      <c r="C111" s="178"/>
      <c r="D111" s="178"/>
      <c r="E111" s="178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178"/>
      <c r="B112" s="178"/>
      <c r="C112" s="178"/>
      <c r="D112" s="178"/>
      <c r="E112" s="178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178"/>
      <c r="B113" s="178"/>
      <c r="C113" s="178"/>
      <c r="D113" s="178"/>
      <c r="E113" s="178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178"/>
      <c r="B114" s="178"/>
      <c r="C114" s="178"/>
      <c r="D114" s="178"/>
      <c r="E114" s="178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178"/>
      <c r="B115" s="178"/>
      <c r="C115" s="178"/>
      <c r="D115" s="178"/>
      <c r="E115" s="178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178"/>
      <c r="B116" s="178"/>
      <c r="C116" s="178"/>
      <c r="D116" s="178"/>
      <c r="E116" s="178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178"/>
      <c r="B117" s="178"/>
      <c r="C117" s="178"/>
      <c r="D117" s="178"/>
      <c r="E117" s="178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178"/>
      <c r="B118" s="178"/>
      <c r="C118" s="178"/>
      <c r="D118" s="178"/>
      <c r="E118" s="178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178"/>
      <c r="B119" s="178"/>
      <c r="C119" s="178"/>
      <c r="D119" s="178"/>
      <c r="E119" s="178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178"/>
      <c r="B120" s="178"/>
      <c r="C120" s="178"/>
      <c r="D120" s="178"/>
      <c r="E120" s="178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178"/>
      <c r="B121" s="178"/>
      <c r="C121" s="178"/>
      <c r="D121" s="178"/>
      <c r="E121" s="178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178"/>
      <c r="B122" s="178"/>
      <c r="C122" s="178"/>
      <c r="D122" s="178"/>
      <c r="E122" s="178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178"/>
      <c r="B123" s="178"/>
      <c r="C123" s="178"/>
      <c r="D123" s="178"/>
      <c r="E123" s="178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178"/>
      <c r="B124" s="178"/>
      <c r="C124" s="178"/>
      <c r="D124" s="178"/>
      <c r="E124" s="178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178"/>
      <c r="B125" s="178"/>
      <c r="C125" s="178"/>
      <c r="D125" s="178"/>
      <c r="E125" s="178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178"/>
      <c r="B126" s="178"/>
      <c r="C126" s="178"/>
      <c r="D126" s="178"/>
      <c r="E126" s="178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178"/>
      <c r="B127" s="178"/>
      <c r="C127" s="178"/>
      <c r="D127" s="178"/>
      <c r="E127" s="178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178"/>
      <c r="B128" s="178"/>
      <c r="C128" s="178"/>
      <c r="D128" s="178"/>
      <c r="E128" s="178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178"/>
      <c r="B129" s="178"/>
      <c r="C129" s="178"/>
      <c r="D129" s="178"/>
      <c r="E129" s="178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178"/>
      <c r="B130" s="178"/>
      <c r="C130" s="178"/>
      <c r="D130" s="178"/>
      <c r="E130" s="178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178"/>
      <c r="B131" s="178"/>
      <c r="C131" s="178"/>
      <c r="D131" s="178"/>
      <c r="E131" s="178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178"/>
      <c r="B132" s="178"/>
      <c r="C132" s="178"/>
      <c r="D132" s="178"/>
      <c r="E132" s="178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178"/>
      <c r="B133" s="178"/>
      <c r="C133" s="178"/>
      <c r="D133" s="178"/>
      <c r="E133" s="178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178"/>
      <c r="B134" s="178"/>
      <c r="C134" s="178"/>
      <c r="D134" s="178"/>
      <c r="E134" s="178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178"/>
      <c r="B135" s="178"/>
      <c r="C135" s="178"/>
      <c r="D135" s="178"/>
      <c r="E135" s="178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178"/>
      <c r="B136" s="178"/>
      <c r="C136" s="178"/>
      <c r="D136" s="178"/>
      <c r="E136" s="178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178"/>
      <c r="B137" s="178"/>
      <c r="C137" s="178"/>
      <c r="D137" s="178"/>
      <c r="E137" s="178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178"/>
      <c r="B138" s="178"/>
      <c r="C138" s="178"/>
      <c r="D138" s="178"/>
      <c r="E138" s="178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178"/>
      <c r="B139" s="178"/>
      <c r="C139" s="178"/>
      <c r="D139" s="178"/>
      <c r="E139" s="178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178"/>
      <c r="B140" s="178"/>
      <c r="C140" s="178"/>
      <c r="D140" s="178"/>
      <c r="E140" s="178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178"/>
      <c r="B141" s="178"/>
      <c r="C141" s="178"/>
      <c r="D141" s="178"/>
      <c r="E141" s="178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178"/>
      <c r="B142" s="178"/>
      <c r="C142" s="178"/>
      <c r="D142" s="178"/>
      <c r="E142" s="178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178"/>
      <c r="B143" s="178"/>
      <c r="C143" s="178"/>
      <c r="D143" s="178"/>
      <c r="E143" s="178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178"/>
      <c r="B144" s="178"/>
      <c r="C144" s="178"/>
      <c r="D144" s="178"/>
      <c r="E144" s="178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178"/>
      <c r="B145" s="178"/>
      <c r="C145" s="178"/>
      <c r="D145" s="178"/>
      <c r="E145" s="178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178"/>
      <c r="B146" s="178"/>
      <c r="C146" s="178"/>
      <c r="D146" s="178"/>
      <c r="E146" s="178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178"/>
      <c r="B147" s="178"/>
      <c r="C147" s="178"/>
      <c r="D147" s="178"/>
      <c r="E147" s="178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178"/>
      <c r="B148" s="178"/>
      <c r="C148" s="178"/>
      <c r="D148" s="178"/>
      <c r="E148" s="178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178"/>
      <c r="B149" s="178"/>
      <c r="C149" s="178"/>
      <c r="D149" s="178"/>
      <c r="E149" s="178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178"/>
      <c r="B150" s="178"/>
      <c r="C150" s="178"/>
      <c r="D150" s="178"/>
      <c r="E150" s="178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178"/>
      <c r="B151" s="178"/>
      <c r="C151" s="178"/>
      <c r="D151" s="178"/>
      <c r="E151" s="178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178"/>
      <c r="B152" s="178"/>
      <c r="C152" s="178"/>
      <c r="D152" s="178"/>
      <c r="E152" s="178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178"/>
      <c r="B153" s="178"/>
      <c r="C153" s="178"/>
      <c r="D153" s="178"/>
      <c r="E153" s="178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178"/>
      <c r="B154" s="178"/>
      <c r="C154" s="178"/>
      <c r="D154" s="178"/>
      <c r="E154" s="178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178"/>
      <c r="B155" s="178"/>
      <c r="C155" s="178"/>
      <c r="D155" s="178"/>
      <c r="E155" s="178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178"/>
      <c r="B156" s="178"/>
      <c r="C156" s="178"/>
      <c r="D156" s="178"/>
      <c r="E156" s="178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178"/>
      <c r="B157" s="178"/>
      <c r="C157" s="178"/>
      <c r="D157" s="178"/>
      <c r="E157" s="178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178"/>
      <c r="B158" s="178"/>
      <c r="C158" s="178"/>
      <c r="D158" s="178"/>
      <c r="E158" s="178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178"/>
      <c r="B159" s="178"/>
      <c r="C159" s="178"/>
      <c r="D159" s="178"/>
      <c r="E159" s="178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178"/>
      <c r="B160" s="178"/>
      <c r="C160" s="178"/>
      <c r="D160" s="178"/>
      <c r="E160" s="178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178"/>
      <c r="B161" s="178"/>
      <c r="C161" s="178"/>
      <c r="D161" s="178"/>
      <c r="E161" s="178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178"/>
      <c r="B162" s="178"/>
      <c r="C162" s="178"/>
      <c r="D162" s="178"/>
      <c r="E162" s="178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178"/>
      <c r="B163" s="178"/>
      <c r="C163" s="178"/>
      <c r="D163" s="178"/>
      <c r="E163" s="178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178"/>
      <c r="B164" s="178"/>
      <c r="C164" s="178"/>
      <c r="D164" s="178"/>
      <c r="E164" s="178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178"/>
      <c r="B165" s="178"/>
      <c r="C165" s="178"/>
      <c r="D165" s="178"/>
      <c r="E165" s="178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178"/>
      <c r="B166" s="178"/>
      <c r="C166" s="178"/>
      <c r="D166" s="178"/>
      <c r="E166" s="178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178"/>
      <c r="B167" s="178"/>
      <c r="C167" s="178"/>
      <c r="D167" s="178"/>
      <c r="E167" s="178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178"/>
      <c r="B168" s="178"/>
      <c r="C168" s="178"/>
      <c r="D168" s="178"/>
      <c r="E168" s="178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178"/>
      <c r="B169" s="178"/>
      <c r="C169" s="178"/>
      <c r="D169" s="178"/>
      <c r="E169" s="178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178"/>
      <c r="B170" s="178"/>
      <c r="C170" s="178"/>
      <c r="D170" s="178"/>
      <c r="E170" s="178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178"/>
      <c r="B171" s="178"/>
      <c r="C171" s="178"/>
      <c r="D171" s="178"/>
      <c r="E171" s="178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178"/>
      <c r="B172" s="178"/>
      <c r="C172" s="178"/>
      <c r="D172" s="178"/>
      <c r="E172" s="178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178"/>
      <c r="B173" s="178"/>
      <c r="C173" s="178"/>
      <c r="D173" s="178"/>
      <c r="E173" s="178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178"/>
      <c r="B174" s="178"/>
      <c r="C174" s="178"/>
      <c r="D174" s="178"/>
      <c r="E174" s="178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178"/>
      <c r="B175" s="178"/>
      <c r="C175" s="178"/>
      <c r="D175" s="178"/>
      <c r="E175" s="178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178"/>
      <c r="B176" s="178"/>
      <c r="C176" s="178"/>
      <c r="D176" s="178"/>
      <c r="E176" s="178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178"/>
      <c r="B177" s="178"/>
      <c r="C177" s="178"/>
      <c r="D177" s="178"/>
      <c r="E177" s="178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178"/>
      <c r="B178" s="178"/>
      <c r="C178" s="178"/>
      <c r="D178" s="178"/>
      <c r="E178" s="178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178"/>
      <c r="B179" s="178"/>
      <c r="C179" s="178"/>
      <c r="D179" s="178"/>
      <c r="E179" s="178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178"/>
      <c r="B180" s="178"/>
      <c r="C180" s="178"/>
      <c r="D180" s="178"/>
      <c r="E180" s="178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178"/>
      <c r="B181" s="178"/>
      <c r="C181" s="178"/>
      <c r="D181" s="178"/>
      <c r="E181" s="178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178"/>
      <c r="B182" s="178"/>
      <c r="C182" s="178"/>
      <c r="D182" s="178"/>
      <c r="E182" s="178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178"/>
      <c r="B183" s="178"/>
      <c r="C183" s="178"/>
      <c r="D183" s="178"/>
      <c r="E183" s="178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178"/>
      <c r="B184" s="178"/>
      <c r="C184" s="178"/>
      <c r="D184" s="178"/>
      <c r="E184" s="178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178"/>
      <c r="B185" s="178"/>
      <c r="C185" s="178"/>
      <c r="D185" s="178"/>
      <c r="E185" s="178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178"/>
      <c r="B186" s="178"/>
      <c r="C186" s="178"/>
      <c r="D186" s="178"/>
      <c r="E186" s="178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178"/>
      <c r="B187" s="178"/>
      <c r="C187" s="178"/>
      <c r="D187" s="178"/>
      <c r="E187" s="178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178"/>
      <c r="B188" s="178"/>
      <c r="C188" s="178"/>
      <c r="D188" s="178"/>
      <c r="E188" s="178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178"/>
      <c r="B189" s="178"/>
      <c r="C189" s="178"/>
      <c r="D189" s="178"/>
      <c r="E189" s="178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178"/>
      <c r="B190" s="178"/>
      <c r="C190" s="178"/>
      <c r="D190" s="178"/>
      <c r="E190" s="178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178"/>
      <c r="B191" s="178"/>
      <c r="C191" s="178"/>
      <c r="D191" s="178"/>
      <c r="E191" s="178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178"/>
      <c r="B192" s="178"/>
      <c r="C192" s="178"/>
      <c r="D192" s="178"/>
      <c r="E192" s="178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178"/>
      <c r="B193" s="178"/>
      <c r="C193" s="178"/>
      <c r="D193" s="178"/>
      <c r="E193" s="178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178"/>
      <c r="B194" s="178"/>
      <c r="C194" s="178"/>
      <c r="D194" s="178"/>
      <c r="E194" s="178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178"/>
      <c r="B195" s="178"/>
      <c r="C195" s="178"/>
      <c r="D195" s="178"/>
      <c r="E195" s="178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178"/>
      <c r="B196" s="178"/>
      <c r="C196" s="178"/>
      <c r="D196" s="178"/>
      <c r="E196" s="178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178"/>
      <c r="B197" s="178"/>
      <c r="C197" s="178"/>
      <c r="D197" s="178"/>
      <c r="E197" s="178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178"/>
      <c r="B198" s="178"/>
      <c r="C198" s="178"/>
      <c r="D198" s="178"/>
      <c r="E198" s="178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178"/>
      <c r="B199" s="178"/>
      <c r="C199" s="178"/>
      <c r="D199" s="178"/>
      <c r="E199" s="178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178"/>
      <c r="B200" s="178"/>
      <c r="C200" s="178"/>
      <c r="D200" s="178"/>
      <c r="E200" s="178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178"/>
      <c r="B201" s="178"/>
      <c r="C201" s="178"/>
      <c r="D201" s="178"/>
      <c r="E201" s="178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178"/>
      <c r="B202" s="178"/>
      <c r="C202" s="178"/>
      <c r="D202" s="178"/>
      <c r="E202" s="178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178"/>
      <c r="B203" s="178"/>
      <c r="C203" s="178"/>
      <c r="D203" s="178"/>
      <c r="E203" s="178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178"/>
      <c r="B204" s="178"/>
      <c r="C204" s="178"/>
      <c r="D204" s="178"/>
      <c r="E204" s="178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178"/>
      <c r="B205" s="178"/>
      <c r="C205" s="178"/>
      <c r="D205" s="178"/>
      <c r="E205" s="178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178"/>
      <c r="B206" s="178"/>
      <c r="C206" s="178"/>
      <c r="D206" s="178"/>
      <c r="E206" s="178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178"/>
      <c r="B207" s="178"/>
      <c r="C207" s="178"/>
      <c r="D207" s="178"/>
      <c r="E207" s="178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178"/>
      <c r="B208" s="178"/>
      <c r="C208" s="178"/>
      <c r="D208" s="178"/>
      <c r="E208" s="178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178"/>
      <c r="B209" s="178"/>
      <c r="C209" s="178"/>
      <c r="D209" s="178"/>
      <c r="E209" s="178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178"/>
      <c r="B210" s="178"/>
      <c r="C210" s="178"/>
      <c r="D210" s="178"/>
      <c r="E210" s="178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178"/>
      <c r="B211" s="178"/>
      <c r="C211" s="178"/>
      <c r="D211" s="178"/>
      <c r="E211" s="178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178"/>
      <c r="B212" s="178"/>
      <c r="C212" s="178"/>
      <c r="D212" s="178"/>
      <c r="E212" s="178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178"/>
      <c r="B213" s="178"/>
      <c r="C213" s="178"/>
      <c r="D213" s="178"/>
      <c r="E213" s="178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178"/>
      <c r="B214" s="178"/>
      <c r="C214" s="178"/>
      <c r="D214" s="178"/>
      <c r="E214" s="178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178"/>
      <c r="B215" s="178"/>
      <c r="C215" s="178"/>
      <c r="D215" s="178"/>
      <c r="E215" s="178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178"/>
      <c r="B216" s="178"/>
      <c r="C216" s="178"/>
      <c r="D216" s="178"/>
      <c r="E216" s="178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178"/>
      <c r="B217" s="178"/>
      <c r="C217" s="178"/>
      <c r="D217" s="178"/>
      <c r="E217" s="178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178"/>
      <c r="B218" s="178"/>
      <c r="C218" s="178"/>
      <c r="D218" s="178"/>
      <c r="E218" s="178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178"/>
      <c r="B219" s="178"/>
      <c r="C219" s="178"/>
      <c r="D219" s="178"/>
      <c r="E219" s="178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178"/>
      <c r="B220" s="178"/>
      <c r="C220" s="178"/>
      <c r="D220" s="178"/>
      <c r="E220" s="178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178"/>
      <c r="B221" s="178"/>
      <c r="C221" s="178"/>
      <c r="D221" s="178"/>
      <c r="E221" s="178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178"/>
      <c r="B222" s="178"/>
      <c r="C222" s="178"/>
      <c r="D222" s="178"/>
      <c r="E222" s="178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178"/>
      <c r="B223" s="178"/>
      <c r="C223" s="178"/>
      <c r="D223" s="178"/>
      <c r="E223" s="178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178"/>
      <c r="B224" s="178"/>
      <c r="C224" s="178"/>
      <c r="D224" s="178"/>
      <c r="E224" s="178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178"/>
      <c r="B225" s="178"/>
      <c r="C225" s="178"/>
      <c r="D225" s="178"/>
      <c r="E225" s="178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178"/>
      <c r="B226" s="178"/>
      <c r="C226" s="178"/>
      <c r="D226" s="178"/>
      <c r="E226" s="178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178"/>
      <c r="B227" s="178"/>
      <c r="C227" s="178"/>
      <c r="D227" s="178"/>
      <c r="E227" s="178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178"/>
      <c r="B228" s="178"/>
      <c r="C228" s="178"/>
      <c r="D228" s="178"/>
      <c r="E228" s="178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178"/>
      <c r="B229" s="178"/>
      <c r="C229" s="178"/>
      <c r="D229" s="178"/>
      <c r="E229" s="178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178"/>
      <c r="B230" s="178"/>
      <c r="C230" s="178"/>
      <c r="D230" s="178"/>
      <c r="E230" s="178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178"/>
      <c r="B231" s="178"/>
      <c r="C231" s="178"/>
      <c r="D231" s="178"/>
      <c r="E231" s="178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178"/>
      <c r="B232" s="178"/>
      <c r="C232" s="178"/>
      <c r="D232" s="178"/>
      <c r="E232" s="178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178"/>
      <c r="B233" s="178"/>
      <c r="C233" s="178"/>
      <c r="D233" s="178"/>
      <c r="E233" s="178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178"/>
      <c r="B234" s="178"/>
      <c r="C234" s="178"/>
      <c r="D234" s="178"/>
      <c r="E234" s="178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178"/>
      <c r="B235" s="178"/>
      <c r="C235" s="178"/>
      <c r="D235" s="178"/>
      <c r="E235" s="178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178"/>
      <c r="B236" s="178"/>
      <c r="C236" s="178"/>
      <c r="D236" s="178"/>
      <c r="E236" s="178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178"/>
      <c r="B237" s="178"/>
      <c r="C237" s="178"/>
      <c r="D237" s="178"/>
      <c r="E237" s="178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178"/>
      <c r="B238" s="178"/>
      <c r="C238" s="178"/>
      <c r="D238" s="178"/>
      <c r="E238" s="178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178"/>
      <c r="B239" s="178"/>
      <c r="C239" s="178"/>
      <c r="D239" s="178"/>
      <c r="E239" s="178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178"/>
      <c r="B240" s="178"/>
      <c r="C240" s="178"/>
      <c r="D240" s="178"/>
      <c r="E240" s="178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178"/>
      <c r="B241" s="178"/>
      <c r="C241" s="178"/>
      <c r="D241" s="178"/>
      <c r="E241" s="178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178"/>
      <c r="B242" s="178"/>
      <c r="C242" s="178"/>
      <c r="D242" s="178"/>
      <c r="E242" s="178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178"/>
      <c r="B243" s="178"/>
      <c r="C243" s="178"/>
      <c r="D243" s="178"/>
      <c r="E243" s="178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178"/>
      <c r="B244" s="178"/>
      <c r="C244" s="178"/>
      <c r="D244" s="178"/>
      <c r="E244" s="178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178"/>
      <c r="B245" s="178"/>
      <c r="C245" s="178"/>
      <c r="D245" s="178"/>
      <c r="E245" s="178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178"/>
      <c r="B246" s="178"/>
      <c r="C246" s="178"/>
      <c r="D246" s="178"/>
      <c r="E246" s="178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178"/>
      <c r="B247" s="178"/>
      <c r="C247" s="178"/>
      <c r="D247" s="178"/>
      <c r="E247" s="178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178"/>
      <c r="B248" s="178"/>
      <c r="C248" s="178"/>
      <c r="D248" s="178"/>
      <c r="E248" s="178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178"/>
      <c r="B249" s="178"/>
      <c r="C249" s="178"/>
      <c r="D249" s="178"/>
      <c r="E249" s="178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178"/>
      <c r="B250" s="178"/>
      <c r="C250" s="178"/>
      <c r="D250" s="178"/>
      <c r="E250" s="178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178"/>
      <c r="B251" s="178"/>
      <c r="C251" s="178"/>
      <c r="D251" s="178"/>
      <c r="E251" s="178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178"/>
      <c r="B252" s="178"/>
      <c r="C252" s="178"/>
      <c r="D252" s="178"/>
      <c r="E252" s="178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178"/>
      <c r="B253" s="178"/>
      <c r="C253" s="178"/>
      <c r="D253" s="178"/>
      <c r="E253" s="178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178"/>
      <c r="B254" s="178"/>
      <c r="C254" s="178"/>
      <c r="D254" s="178"/>
      <c r="E254" s="178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178"/>
      <c r="B255" s="178"/>
      <c r="C255" s="178"/>
      <c r="D255" s="178"/>
      <c r="E255" s="178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178"/>
      <c r="B256" s="178"/>
      <c r="C256" s="178"/>
      <c r="D256" s="178"/>
      <c r="E256" s="178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178"/>
      <c r="B257" s="178"/>
      <c r="C257" s="178"/>
      <c r="D257" s="178"/>
      <c r="E257" s="178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178"/>
      <c r="B258" s="178"/>
      <c r="C258" s="178"/>
      <c r="D258" s="178"/>
      <c r="E258" s="178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178"/>
      <c r="B259" s="178"/>
      <c r="C259" s="178"/>
      <c r="D259" s="178"/>
      <c r="E259" s="178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178"/>
      <c r="B260" s="178"/>
      <c r="C260" s="178"/>
      <c r="D260" s="178"/>
      <c r="E260" s="178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178"/>
      <c r="B261" s="178"/>
      <c r="C261" s="178"/>
      <c r="D261" s="178"/>
      <c r="E261" s="178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178"/>
      <c r="B262" s="178"/>
      <c r="C262" s="178"/>
      <c r="D262" s="178"/>
      <c r="E262" s="178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178"/>
      <c r="B263" s="178"/>
      <c r="C263" s="178"/>
      <c r="D263" s="178"/>
      <c r="E263" s="178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178"/>
      <c r="B264" s="178"/>
      <c r="C264" s="178"/>
      <c r="D264" s="178"/>
      <c r="E264" s="178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178"/>
      <c r="B265" s="178"/>
      <c r="C265" s="178"/>
      <c r="D265" s="178"/>
      <c r="E265" s="178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178"/>
      <c r="B266" s="178"/>
      <c r="C266" s="178"/>
      <c r="D266" s="178"/>
      <c r="E266" s="178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178"/>
      <c r="B267" s="178"/>
      <c r="C267" s="178"/>
      <c r="D267" s="178"/>
      <c r="E267" s="178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178"/>
      <c r="B268" s="178"/>
      <c r="C268" s="178"/>
      <c r="D268" s="178"/>
      <c r="E268" s="178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178"/>
      <c r="B269" s="178"/>
      <c r="C269" s="178"/>
      <c r="D269" s="178"/>
      <c r="E269" s="178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178"/>
      <c r="B270" s="178"/>
      <c r="C270" s="178"/>
      <c r="D270" s="178"/>
      <c r="E270" s="178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178"/>
      <c r="B271" s="178"/>
      <c r="C271" s="178"/>
      <c r="D271" s="178"/>
      <c r="E271" s="178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178"/>
      <c r="B272" s="178"/>
      <c r="C272" s="178"/>
      <c r="D272" s="178"/>
      <c r="E272" s="178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178"/>
      <c r="B273" s="178"/>
      <c r="C273" s="178"/>
      <c r="D273" s="178"/>
      <c r="E273" s="178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178"/>
      <c r="B274" s="178"/>
      <c r="C274" s="178"/>
      <c r="D274" s="178"/>
      <c r="E274" s="178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178"/>
      <c r="B275" s="178"/>
      <c r="C275" s="178"/>
      <c r="D275" s="178"/>
      <c r="E275" s="178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178"/>
      <c r="B276" s="178"/>
      <c r="C276" s="178"/>
      <c r="D276" s="178"/>
      <c r="E276" s="178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178"/>
      <c r="B277" s="178"/>
      <c r="C277" s="178"/>
      <c r="D277" s="178"/>
      <c r="E277" s="178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178"/>
      <c r="B278" s="178"/>
      <c r="C278" s="178"/>
      <c r="D278" s="178"/>
      <c r="E278" s="178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178"/>
      <c r="B279" s="178"/>
      <c r="C279" s="178"/>
      <c r="D279" s="178"/>
      <c r="E279" s="178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178"/>
      <c r="B280" s="178"/>
      <c r="C280" s="178"/>
      <c r="D280" s="178"/>
      <c r="E280" s="178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178"/>
      <c r="B281" s="178"/>
      <c r="C281" s="178"/>
      <c r="D281" s="178"/>
      <c r="E281" s="178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178"/>
      <c r="B282" s="178"/>
      <c r="C282" s="178"/>
      <c r="D282" s="178"/>
      <c r="E282" s="178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178"/>
      <c r="B283" s="178"/>
      <c r="C283" s="178"/>
      <c r="D283" s="178"/>
      <c r="E283" s="178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178"/>
      <c r="B284" s="178"/>
      <c r="C284" s="178"/>
      <c r="D284" s="178"/>
      <c r="E284" s="178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178"/>
      <c r="B285" s="178"/>
      <c r="C285" s="178"/>
      <c r="D285" s="178"/>
      <c r="E285" s="178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178"/>
      <c r="B286" s="178"/>
      <c r="C286" s="178"/>
      <c r="D286" s="178"/>
      <c r="E286" s="178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178"/>
      <c r="B287" s="178"/>
      <c r="C287" s="178"/>
      <c r="D287" s="178"/>
      <c r="E287" s="178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178"/>
      <c r="B288" s="178"/>
      <c r="C288" s="178"/>
      <c r="D288" s="178"/>
      <c r="E288" s="178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178"/>
      <c r="B289" s="178"/>
      <c r="C289" s="178"/>
      <c r="D289" s="178"/>
      <c r="E289" s="178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178"/>
      <c r="B290" s="178"/>
      <c r="C290" s="178"/>
      <c r="D290" s="178"/>
      <c r="E290" s="178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178"/>
      <c r="B291" s="178"/>
      <c r="C291" s="178"/>
      <c r="D291" s="178"/>
      <c r="E291" s="178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178"/>
      <c r="B292" s="178"/>
      <c r="C292" s="178"/>
      <c r="D292" s="178"/>
      <c r="E292" s="178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178"/>
      <c r="B293" s="178"/>
      <c r="C293" s="178"/>
      <c r="D293" s="178"/>
      <c r="E293" s="178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178"/>
      <c r="B294" s="178"/>
      <c r="C294" s="178"/>
      <c r="D294" s="178"/>
      <c r="E294" s="178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178"/>
      <c r="B295" s="178"/>
      <c r="C295" s="178"/>
      <c r="D295" s="178"/>
      <c r="E295" s="178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178"/>
      <c r="B296" s="178"/>
      <c r="C296" s="178"/>
      <c r="D296" s="178"/>
      <c r="E296" s="178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178"/>
      <c r="B297" s="178"/>
      <c r="C297" s="178"/>
      <c r="D297" s="178"/>
      <c r="E297" s="178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178"/>
      <c r="B298" s="178"/>
      <c r="C298" s="178"/>
      <c r="D298" s="178"/>
      <c r="E298" s="178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178"/>
      <c r="B299" s="178"/>
      <c r="C299" s="178"/>
      <c r="D299" s="178"/>
      <c r="E299" s="178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178"/>
      <c r="B300" s="178"/>
      <c r="C300" s="178"/>
      <c r="D300" s="178"/>
      <c r="E300" s="178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178"/>
      <c r="B301" s="178"/>
      <c r="C301" s="178"/>
      <c r="D301" s="178"/>
      <c r="E301" s="178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178"/>
      <c r="B302" s="178"/>
      <c r="C302" s="178"/>
      <c r="D302" s="178"/>
      <c r="E302" s="178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178"/>
      <c r="B303" s="178"/>
      <c r="C303" s="178"/>
      <c r="D303" s="178"/>
      <c r="E303" s="178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178"/>
      <c r="B304" s="178"/>
      <c r="C304" s="178"/>
      <c r="D304" s="178"/>
      <c r="E304" s="178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178"/>
      <c r="B305" s="178"/>
      <c r="C305" s="178"/>
      <c r="D305" s="178"/>
      <c r="E305" s="178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178"/>
      <c r="B306" s="178"/>
      <c r="C306" s="178"/>
      <c r="D306" s="178"/>
      <c r="E306" s="178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178"/>
      <c r="B307" s="178"/>
      <c r="C307" s="178"/>
      <c r="D307" s="178"/>
      <c r="E307" s="178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178"/>
      <c r="B308" s="178"/>
      <c r="C308" s="178"/>
      <c r="D308" s="178"/>
      <c r="E308" s="178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178"/>
      <c r="B309" s="178"/>
      <c r="C309" s="178"/>
      <c r="D309" s="178"/>
      <c r="E309" s="178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178"/>
      <c r="B310" s="178"/>
      <c r="C310" s="178"/>
      <c r="D310" s="178"/>
      <c r="E310" s="178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178"/>
      <c r="B311" s="178"/>
      <c r="C311" s="178"/>
      <c r="D311" s="178"/>
      <c r="E311" s="178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178"/>
      <c r="B312" s="178"/>
      <c r="C312" s="178"/>
      <c r="D312" s="178"/>
      <c r="E312" s="178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178"/>
      <c r="B313" s="178"/>
      <c r="C313" s="178"/>
      <c r="D313" s="178"/>
      <c r="E313" s="178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178"/>
      <c r="B314" s="178"/>
      <c r="C314" s="178"/>
      <c r="D314" s="178"/>
      <c r="E314" s="178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178"/>
      <c r="B315" s="178"/>
      <c r="C315" s="178"/>
      <c r="D315" s="178"/>
      <c r="E315" s="178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178"/>
      <c r="B316" s="178"/>
      <c r="C316" s="178"/>
      <c r="D316" s="178"/>
      <c r="E316" s="178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178"/>
      <c r="B317" s="178"/>
      <c r="C317" s="178"/>
      <c r="D317" s="178"/>
      <c r="E317" s="178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178"/>
      <c r="B318" s="178"/>
      <c r="C318" s="178"/>
      <c r="D318" s="178"/>
      <c r="E318" s="178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178"/>
      <c r="B319" s="178"/>
      <c r="C319" s="178"/>
      <c r="D319" s="178"/>
      <c r="E319" s="178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178"/>
      <c r="B320" s="178"/>
      <c r="C320" s="178"/>
      <c r="D320" s="178"/>
      <c r="E320" s="178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178"/>
      <c r="B321" s="178"/>
      <c r="C321" s="178"/>
      <c r="D321" s="178"/>
      <c r="E321" s="178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178"/>
      <c r="B322" s="178"/>
      <c r="C322" s="178"/>
      <c r="D322" s="178"/>
      <c r="E322" s="178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178"/>
      <c r="B323" s="178"/>
      <c r="C323" s="178"/>
      <c r="D323" s="178"/>
      <c r="E323" s="178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178"/>
      <c r="B324" s="178"/>
      <c r="C324" s="178"/>
      <c r="D324" s="178"/>
      <c r="E324" s="178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178"/>
      <c r="B325" s="178"/>
      <c r="C325" s="178"/>
      <c r="D325" s="178"/>
      <c r="E325" s="178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178"/>
      <c r="B326" s="178"/>
      <c r="C326" s="178"/>
      <c r="D326" s="178"/>
      <c r="E326" s="178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178"/>
      <c r="B327" s="178"/>
      <c r="C327" s="178"/>
      <c r="D327" s="178"/>
      <c r="E327" s="178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178"/>
      <c r="B328" s="178"/>
      <c r="C328" s="178"/>
      <c r="D328" s="178"/>
      <c r="E328" s="178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178"/>
      <c r="B329" s="178"/>
      <c r="C329" s="178"/>
      <c r="D329" s="178"/>
      <c r="E329" s="178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178"/>
      <c r="B330" s="178"/>
      <c r="C330" s="178"/>
      <c r="D330" s="178"/>
      <c r="E330" s="178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178"/>
      <c r="B331" s="178"/>
      <c r="C331" s="178"/>
      <c r="D331" s="178"/>
      <c r="E331" s="178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178"/>
      <c r="B332" s="178"/>
      <c r="C332" s="178"/>
      <c r="D332" s="178"/>
      <c r="E332" s="178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178"/>
      <c r="B333" s="178"/>
      <c r="C333" s="178"/>
      <c r="D333" s="178"/>
      <c r="E333" s="178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178"/>
      <c r="B334" s="178"/>
      <c r="C334" s="178"/>
      <c r="D334" s="178"/>
      <c r="E334" s="178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178"/>
      <c r="B335" s="178"/>
      <c r="C335" s="178"/>
      <c r="D335" s="178"/>
      <c r="E335" s="178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178"/>
      <c r="B336" s="178"/>
      <c r="C336" s="178"/>
      <c r="D336" s="178"/>
      <c r="E336" s="178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178"/>
      <c r="B337" s="178"/>
      <c r="C337" s="178"/>
      <c r="D337" s="178"/>
      <c r="E337" s="178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178"/>
      <c r="B338" s="178"/>
      <c r="C338" s="178"/>
      <c r="D338" s="178"/>
      <c r="E338" s="178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178"/>
      <c r="B339" s="178"/>
      <c r="C339" s="178"/>
      <c r="D339" s="178"/>
      <c r="E339" s="178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178"/>
      <c r="B340" s="178"/>
      <c r="C340" s="178"/>
      <c r="D340" s="178"/>
      <c r="E340" s="178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178"/>
      <c r="B341" s="178"/>
      <c r="C341" s="178"/>
      <c r="D341" s="178"/>
      <c r="E341" s="178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178"/>
      <c r="B342" s="178"/>
      <c r="C342" s="178"/>
      <c r="D342" s="178"/>
      <c r="E342" s="178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178"/>
      <c r="B343" s="178"/>
      <c r="C343" s="178"/>
      <c r="D343" s="178"/>
      <c r="E343" s="178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178"/>
      <c r="B344" s="178"/>
      <c r="C344" s="178"/>
      <c r="D344" s="178"/>
      <c r="E344" s="178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178"/>
      <c r="B345" s="178"/>
      <c r="C345" s="178"/>
      <c r="D345" s="178"/>
      <c r="E345" s="178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178"/>
      <c r="B346" s="178"/>
      <c r="C346" s="178"/>
      <c r="D346" s="178"/>
      <c r="E346" s="178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178"/>
      <c r="B347" s="178"/>
      <c r="C347" s="178"/>
      <c r="D347" s="178"/>
      <c r="E347" s="178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178"/>
      <c r="B348" s="178"/>
      <c r="C348" s="178"/>
      <c r="D348" s="178"/>
      <c r="E348" s="178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178"/>
      <c r="B349" s="178"/>
      <c r="C349" s="178"/>
      <c r="D349" s="178"/>
      <c r="E349" s="178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178"/>
      <c r="B350" s="178"/>
      <c r="C350" s="178"/>
      <c r="D350" s="178"/>
      <c r="E350" s="178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178"/>
      <c r="B351" s="178"/>
      <c r="C351" s="178"/>
      <c r="D351" s="178"/>
      <c r="E351" s="178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178"/>
      <c r="B352" s="178"/>
      <c r="C352" s="178"/>
      <c r="D352" s="178"/>
      <c r="E352" s="178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178"/>
      <c r="B353" s="178"/>
      <c r="C353" s="178"/>
      <c r="D353" s="178"/>
      <c r="E353" s="178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178"/>
      <c r="B354" s="178"/>
      <c r="C354" s="178"/>
      <c r="D354" s="178"/>
      <c r="E354" s="178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178"/>
      <c r="B355" s="178"/>
      <c r="C355" s="178"/>
      <c r="D355" s="178"/>
      <c r="E355" s="178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178"/>
      <c r="B356" s="178"/>
      <c r="C356" s="178"/>
      <c r="D356" s="178"/>
      <c r="E356" s="178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178"/>
      <c r="B357" s="178"/>
      <c r="C357" s="178"/>
      <c r="D357" s="178"/>
      <c r="E357" s="178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178"/>
      <c r="B358" s="178"/>
      <c r="C358" s="178"/>
      <c r="D358" s="178"/>
      <c r="E358" s="178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178"/>
      <c r="B359" s="178"/>
      <c r="C359" s="178"/>
      <c r="D359" s="178"/>
      <c r="E359" s="178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178"/>
      <c r="B360" s="178"/>
      <c r="C360" s="178"/>
      <c r="D360" s="178"/>
      <c r="E360" s="178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178"/>
      <c r="B361" s="178"/>
      <c r="C361" s="178"/>
      <c r="D361" s="178"/>
      <c r="E361" s="178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178"/>
      <c r="B362" s="178"/>
      <c r="C362" s="178"/>
      <c r="D362" s="178"/>
      <c r="E362" s="178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178"/>
      <c r="B363" s="178"/>
      <c r="C363" s="178"/>
      <c r="D363" s="178"/>
      <c r="E363" s="178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178"/>
      <c r="B364" s="178"/>
      <c r="C364" s="178"/>
      <c r="D364" s="178"/>
      <c r="E364" s="178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178"/>
      <c r="B365" s="178"/>
      <c r="C365" s="178"/>
      <c r="D365" s="178"/>
      <c r="E365" s="178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178"/>
      <c r="B366" s="178"/>
      <c r="C366" s="178"/>
      <c r="D366" s="178"/>
      <c r="E366" s="178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178"/>
      <c r="B367" s="178"/>
      <c r="C367" s="178"/>
      <c r="D367" s="178"/>
      <c r="E367" s="178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178"/>
      <c r="B368" s="178"/>
      <c r="C368" s="178"/>
      <c r="D368" s="178"/>
      <c r="E368" s="178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178"/>
      <c r="B369" s="178"/>
      <c r="C369" s="178"/>
      <c r="D369" s="178"/>
      <c r="E369" s="178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178"/>
      <c r="B370" s="178"/>
      <c r="C370" s="178"/>
      <c r="D370" s="178"/>
      <c r="E370" s="178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178"/>
      <c r="B371" s="178"/>
      <c r="C371" s="178"/>
      <c r="D371" s="178"/>
      <c r="E371" s="178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178"/>
      <c r="B372" s="178"/>
      <c r="C372" s="178"/>
      <c r="D372" s="178"/>
      <c r="E372" s="178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178"/>
      <c r="B373" s="178"/>
      <c r="C373" s="178"/>
      <c r="D373" s="178"/>
      <c r="E373" s="178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178"/>
      <c r="B374" s="178"/>
      <c r="C374" s="178"/>
      <c r="D374" s="178"/>
      <c r="E374" s="178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178"/>
      <c r="B375" s="178"/>
      <c r="C375" s="178"/>
      <c r="D375" s="178"/>
      <c r="E375" s="178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178"/>
      <c r="B376" s="178"/>
      <c r="C376" s="178"/>
      <c r="D376" s="178"/>
      <c r="E376" s="178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178"/>
      <c r="B377" s="178"/>
      <c r="C377" s="178"/>
      <c r="D377" s="178"/>
      <c r="E377" s="178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178"/>
      <c r="B378" s="178"/>
      <c r="C378" s="178"/>
      <c r="D378" s="178"/>
      <c r="E378" s="178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178"/>
      <c r="B379" s="178"/>
      <c r="C379" s="178"/>
      <c r="D379" s="178"/>
      <c r="E379" s="178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178"/>
      <c r="B380" s="178"/>
      <c r="C380" s="178"/>
      <c r="D380" s="178"/>
      <c r="E380" s="178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178"/>
      <c r="B381" s="178"/>
      <c r="C381" s="178"/>
      <c r="D381" s="178"/>
      <c r="E381" s="178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178"/>
      <c r="B382" s="178"/>
      <c r="C382" s="178"/>
      <c r="D382" s="178"/>
      <c r="E382" s="178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178"/>
      <c r="B383" s="178"/>
      <c r="C383" s="178"/>
      <c r="D383" s="178"/>
      <c r="E383" s="178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178"/>
      <c r="B384" s="178"/>
      <c r="C384" s="178"/>
      <c r="D384" s="178"/>
      <c r="E384" s="178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178"/>
      <c r="B385" s="178"/>
      <c r="C385" s="178"/>
      <c r="D385" s="178"/>
      <c r="E385" s="178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178"/>
      <c r="B386" s="178"/>
      <c r="C386" s="178"/>
      <c r="D386" s="178"/>
      <c r="E386" s="178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178"/>
      <c r="B387" s="178"/>
      <c r="C387" s="178"/>
      <c r="D387" s="178"/>
      <c r="E387" s="178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178"/>
      <c r="B388" s="178"/>
      <c r="C388" s="178"/>
      <c r="D388" s="178"/>
      <c r="E388" s="178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178"/>
      <c r="B389" s="178"/>
      <c r="C389" s="178"/>
      <c r="D389" s="178"/>
      <c r="E389" s="178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178"/>
      <c r="B390" s="178"/>
      <c r="C390" s="178"/>
      <c r="D390" s="178"/>
      <c r="E390" s="178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178"/>
      <c r="B391" s="178"/>
      <c r="C391" s="178"/>
      <c r="D391" s="178"/>
      <c r="E391" s="178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178"/>
      <c r="B392" s="178"/>
      <c r="C392" s="178"/>
      <c r="D392" s="178"/>
      <c r="E392" s="178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178"/>
      <c r="B393" s="178"/>
      <c r="C393" s="178"/>
      <c r="D393" s="178"/>
      <c r="E393" s="178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178"/>
      <c r="B394" s="178"/>
      <c r="C394" s="178"/>
      <c r="D394" s="178"/>
      <c r="E394" s="178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178"/>
      <c r="B395" s="178"/>
      <c r="C395" s="178"/>
      <c r="D395" s="178"/>
      <c r="E395" s="178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178"/>
      <c r="B396" s="178"/>
      <c r="C396" s="178"/>
      <c r="D396" s="178"/>
      <c r="E396" s="178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178"/>
      <c r="B397" s="178"/>
      <c r="C397" s="178"/>
      <c r="D397" s="178"/>
      <c r="E397" s="178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178"/>
      <c r="B398" s="178"/>
      <c r="C398" s="178"/>
      <c r="D398" s="178"/>
      <c r="E398" s="178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178"/>
      <c r="B399" s="178"/>
      <c r="C399" s="178"/>
      <c r="D399" s="178"/>
      <c r="E399" s="178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178"/>
      <c r="B400" s="178"/>
      <c r="C400" s="178"/>
      <c r="D400" s="178"/>
      <c r="E400" s="178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178"/>
      <c r="B401" s="178"/>
      <c r="C401" s="178"/>
      <c r="D401" s="178"/>
      <c r="E401" s="178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178"/>
      <c r="B402" s="178"/>
      <c r="C402" s="178"/>
      <c r="D402" s="178"/>
      <c r="E402" s="178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178"/>
      <c r="B403" s="178"/>
      <c r="C403" s="178"/>
      <c r="D403" s="178"/>
      <c r="E403" s="178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178"/>
      <c r="B404" s="178"/>
      <c r="C404" s="178"/>
      <c r="D404" s="178"/>
      <c r="E404" s="178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178"/>
      <c r="B405" s="178"/>
      <c r="C405" s="178"/>
      <c r="D405" s="178"/>
      <c r="E405" s="178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178"/>
      <c r="B406" s="178"/>
      <c r="C406" s="178"/>
      <c r="D406" s="178"/>
      <c r="E406" s="178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178"/>
      <c r="B407" s="178"/>
      <c r="C407" s="178"/>
      <c r="D407" s="178"/>
      <c r="E407" s="178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178"/>
      <c r="B408" s="178"/>
      <c r="C408" s="178"/>
      <c r="D408" s="178"/>
      <c r="E408" s="178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178"/>
      <c r="B409" s="178"/>
      <c r="C409" s="178"/>
      <c r="D409" s="178"/>
      <c r="E409" s="178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178"/>
      <c r="B410" s="178"/>
      <c r="C410" s="178"/>
      <c r="D410" s="178"/>
      <c r="E410" s="178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178"/>
      <c r="B411" s="178"/>
      <c r="C411" s="178"/>
      <c r="D411" s="178"/>
      <c r="E411" s="178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178"/>
      <c r="B412" s="178"/>
      <c r="C412" s="178"/>
      <c r="D412" s="178"/>
      <c r="E412" s="178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178"/>
      <c r="B413" s="178"/>
      <c r="C413" s="178"/>
      <c r="D413" s="178"/>
      <c r="E413" s="178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178"/>
      <c r="B414" s="178"/>
      <c r="C414" s="178"/>
      <c r="D414" s="178"/>
      <c r="E414" s="178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178"/>
      <c r="B415" s="178"/>
      <c r="C415" s="178"/>
      <c r="D415" s="178"/>
      <c r="E415" s="178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178"/>
      <c r="B416" s="178"/>
      <c r="C416" s="178"/>
      <c r="D416" s="178"/>
      <c r="E416" s="178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178"/>
      <c r="B417" s="178"/>
      <c r="C417" s="178"/>
      <c r="D417" s="178"/>
      <c r="E417" s="178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178"/>
      <c r="B418" s="178"/>
      <c r="C418" s="178"/>
      <c r="D418" s="178"/>
      <c r="E418" s="178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178"/>
      <c r="B419" s="178"/>
      <c r="C419" s="178"/>
      <c r="D419" s="178"/>
      <c r="E419" s="178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178"/>
      <c r="B420" s="178"/>
      <c r="C420" s="178"/>
      <c r="D420" s="178"/>
      <c r="E420" s="178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178"/>
      <c r="B421" s="178"/>
      <c r="C421" s="178"/>
      <c r="D421" s="178"/>
      <c r="E421" s="178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178"/>
      <c r="B422" s="178"/>
      <c r="C422" s="178"/>
      <c r="D422" s="178"/>
      <c r="E422" s="178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178"/>
      <c r="B423" s="178"/>
      <c r="C423" s="178"/>
      <c r="D423" s="178"/>
      <c r="E423" s="178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178"/>
      <c r="B424" s="178"/>
      <c r="C424" s="178"/>
      <c r="D424" s="178"/>
      <c r="E424" s="178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178"/>
      <c r="B425" s="178"/>
      <c r="C425" s="178"/>
      <c r="D425" s="178"/>
      <c r="E425" s="178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178"/>
      <c r="B426" s="178"/>
      <c r="C426" s="178"/>
      <c r="D426" s="178"/>
      <c r="E426" s="178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178"/>
      <c r="B427" s="178"/>
      <c r="C427" s="178"/>
      <c r="D427" s="178"/>
      <c r="E427" s="178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178"/>
      <c r="B428" s="178"/>
      <c r="C428" s="178"/>
      <c r="D428" s="178"/>
      <c r="E428" s="178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178"/>
      <c r="B429" s="178"/>
      <c r="C429" s="178"/>
      <c r="D429" s="178"/>
      <c r="E429" s="178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178"/>
      <c r="B430" s="178"/>
      <c r="C430" s="178"/>
      <c r="D430" s="178"/>
      <c r="E430" s="178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178"/>
      <c r="B431" s="178"/>
      <c r="C431" s="178"/>
      <c r="D431" s="178"/>
      <c r="E431" s="178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178"/>
      <c r="B432" s="178"/>
      <c r="C432" s="178"/>
      <c r="D432" s="178"/>
      <c r="E432" s="178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178"/>
      <c r="B433" s="178"/>
      <c r="C433" s="178"/>
      <c r="D433" s="178"/>
      <c r="E433" s="178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178"/>
      <c r="B434" s="178"/>
      <c r="C434" s="178"/>
      <c r="D434" s="178"/>
      <c r="E434" s="178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178"/>
      <c r="B435" s="178"/>
      <c r="C435" s="178"/>
      <c r="D435" s="178"/>
      <c r="E435" s="178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178"/>
      <c r="B436" s="178"/>
      <c r="C436" s="178"/>
      <c r="D436" s="178"/>
      <c r="E436" s="178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178"/>
      <c r="B437" s="178"/>
      <c r="C437" s="178"/>
      <c r="D437" s="178"/>
      <c r="E437" s="178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178"/>
      <c r="B438" s="178"/>
      <c r="C438" s="178"/>
      <c r="D438" s="178"/>
      <c r="E438" s="178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178"/>
      <c r="B439" s="178"/>
      <c r="C439" s="178"/>
      <c r="D439" s="178"/>
      <c r="E439" s="178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178"/>
      <c r="B440" s="178"/>
      <c r="C440" s="178"/>
      <c r="D440" s="178"/>
      <c r="E440" s="178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178"/>
      <c r="B441" s="178"/>
      <c r="C441" s="178"/>
      <c r="D441" s="178"/>
      <c r="E441" s="178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178"/>
      <c r="B442" s="178"/>
      <c r="C442" s="178"/>
      <c r="D442" s="178"/>
      <c r="E442" s="178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178"/>
      <c r="B443" s="178"/>
      <c r="C443" s="178"/>
      <c r="D443" s="178"/>
      <c r="E443" s="178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178"/>
      <c r="B444" s="178"/>
      <c r="C444" s="178"/>
      <c r="D444" s="178"/>
      <c r="E444" s="178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178"/>
      <c r="B445" s="178"/>
      <c r="C445" s="178"/>
      <c r="D445" s="178"/>
      <c r="E445" s="178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178"/>
      <c r="B446" s="178"/>
      <c r="C446" s="178"/>
      <c r="D446" s="178"/>
      <c r="E446" s="178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178"/>
      <c r="B447" s="178"/>
      <c r="C447" s="178"/>
      <c r="D447" s="178"/>
      <c r="E447" s="178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178"/>
      <c r="B448" s="178"/>
      <c r="C448" s="178"/>
      <c r="D448" s="178"/>
      <c r="E448" s="178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178"/>
      <c r="B449" s="178"/>
      <c r="C449" s="178"/>
      <c r="D449" s="178"/>
      <c r="E449" s="178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178"/>
      <c r="B450" s="178"/>
      <c r="C450" s="178"/>
      <c r="D450" s="178"/>
      <c r="E450" s="178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178"/>
      <c r="B451" s="178"/>
      <c r="C451" s="178"/>
      <c r="D451" s="178"/>
      <c r="E451" s="178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178"/>
      <c r="B452" s="178"/>
      <c r="C452" s="178"/>
      <c r="D452" s="178"/>
      <c r="E452" s="178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178"/>
      <c r="B453" s="178"/>
      <c r="C453" s="178"/>
      <c r="D453" s="178"/>
      <c r="E453" s="178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178"/>
      <c r="B454" s="178"/>
      <c r="C454" s="178"/>
      <c r="D454" s="178"/>
      <c r="E454" s="178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178"/>
      <c r="B455" s="178"/>
      <c r="C455" s="178"/>
      <c r="D455" s="178"/>
      <c r="E455" s="178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178"/>
      <c r="B456" s="178"/>
      <c r="C456" s="178"/>
      <c r="D456" s="178"/>
      <c r="E456" s="178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178"/>
      <c r="B457" s="178"/>
      <c r="C457" s="178"/>
      <c r="D457" s="178"/>
      <c r="E457" s="178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178"/>
      <c r="B458" s="178"/>
      <c r="C458" s="178"/>
      <c r="D458" s="178"/>
      <c r="E458" s="178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178"/>
      <c r="B459" s="178"/>
      <c r="C459" s="178"/>
      <c r="D459" s="178"/>
      <c r="E459" s="178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178"/>
      <c r="B460" s="178"/>
      <c r="C460" s="178"/>
      <c r="D460" s="178"/>
      <c r="E460" s="178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178"/>
      <c r="B461" s="178"/>
      <c r="C461" s="178"/>
      <c r="D461" s="178"/>
      <c r="E461" s="178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178"/>
      <c r="B462" s="178"/>
      <c r="C462" s="178"/>
      <c r="D462" s="178"/>
      <c r="E462" s="178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178"/>
      <c r="B463" s="178"/>
      <c r="C463" s="178"/>
      <c r="D463" s="178"/>
      <c r="E463" s="178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178"/>
      <c r="B464" s="178"/>
      <c r="C464" s="178"/>
      <c r="D464" s="178"/>
      <c r="E464" s="178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178"/>
      <c r="B465" s="178"/>
      <c r="C465" s="178"/>
      <c r="D465" s="178"/>
      <c r="E465" s="178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178"/>
      <c r="B466" s="178"/>
      <c r="C466" s="178"/>
      <c r="D466" s="178"/>
      <c r="E466" s="178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178"/>
      <c r="B467" s="178"/>
      <c r="C467" s="178"/>
      <c r="D467" s="178"/>
      <c r="E467" s="178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178"/>
      <c r="B468" s="178"/>
      <c r="C468" s="178"/>
      <c r="D468" s="178"/>
      <c r="E468" s="178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178"/>
      <c r="B469" s="178"/>
      <c r="C469" s="178"/>
      <c r="D469" s="178"/>
      <c r="E469" s="178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178"/>
      <c r="B470" s="178"/>
      <c r="C470" s="178"/>
      <c r="D470" s="178"/>
      <c r="E470" s="178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178"/>
      <c r="B471" s="178"/>
      <c r="C471" s="178"/>
      <c r="D471" s="178"/>
      <c r="E471" s="178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178"/>
      <c r="B472" s="178"/>
      <c r="C472" s="178"/>
      <c r="D472" s="178"/>
      <c r="E472" s="178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178"/>
      <c r="B473" s="178"/>
      <c r="C473" s="178"/>
      <c r="D473" s="178"/>
      <c r="E473" s="178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178"/>
      <c r="B474" s="178"/>
      <c r="C474" s="178"/>
      <c r="D474" s="178"/>
      <c r="E474" s="178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178"/>
      <c r="B475" s="178"/>
      <c r="C475" s="178"/>
      <c r="D475" s="178"/>
      <c r="E475" s="178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178"/>
      <c r="B476" s="178"/>
      <c r="C476" s="178"/>
      <c r="D476" s="178"/>
      <c r="E476" s="178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178"/>
      <c r="B477" s="178"/>
      <c r="C477" s="178"/>
      <c r="D477" s="178"/>
      <c r="E477" s="178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178"/>
      <c r="B478" s="178"/>
      <c r="C478" s="178"/>
      <c r="D478" s="178"/>
      <c r="E478" s="178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178"/>
      <c r="B479" s="178"/>
      <c r="C479" s="178"/>
      <c r="D479" s="178"/>
      <c r="E479" s="178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178"/>
      <c r="B480" s="178"/>
      <c r="C480" s="178"/>
      <c r="D480" s="178"/>
      <c r="E480" s="178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178"/>
      <c r="B481" s="178"/>
      <c r="C481" s="178"/>
      <c r="D481" s="178"/>
      <c r="E481" s="178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178"/>
      <c r="B482" s="178"/>
      <c r="C482" s="178"/>
      <c r="D482" s="178"/>
      <c r="E482" s="178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178"/>
      <c r="B483" s="178"/>
      <c r="C483" s="178"/>
      <c r="D483" s="178"/>
      <c r="E483" s="178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178"/>
      <c r="B484" s="178"/>
      <c r="C484" s="178"/>
      <c r="D484" s="178"/>
      <c r="E484" s="178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178"/>
      <c r="B485" s="178"/>
      <c r="C485" s="178"/>
      <c r="D485" s="178"/>
      <c r="E485" s="178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178"/>
      <c r="B486" s="178"/>
      <c r="C486" s="178"/>
      <c r="D486" s="178"/>
      <c r="E486" s="178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178"/>
      <c r="B487" s="178"/>
      <c r="C487" s="178"/>
      <c r="D487" s="178"/>
      <c r="E487" s="178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178"/>
      <c r="B488" s="178"/>
      <c r="C488" s="178"/>
      <c r="D488" s="178"/>
      <c r="E488" s="178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178"/>
      <c r="B489" s="178"/>
      <c r="C489" s="178"/>
      <c r="D489" s="178"/>
      <c r="E489" s="178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178"/>
      <c r="B490" s="178"/>
      <c r="C490" s="178"/>
      <c r="D490" s="178"/>
      <c r="E490" s="178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178"/>
      <c r="B491" s="178"/>
      <c r="C491" s="178"/>
      <c r="D491" s="178"/>
      <c r="E491" s="178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178"/>
      <c r="B492" s="178"/>
      <c r="C492" s="178"/>
      <c r="D492" s="178"/>
      <c r="E492" s="178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178"/>
      <c r="B493" s="178"/>
      <c r="C493" s="178"/>
      <c r="D493" s="178"/>
      <c r="E493" s="178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178"/>
      <c r="B494" s="178"/>
      <c r="C494" s="178"/>
      <c r="D494" s="178"/>
      <c r="E494" s="178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178"/>
      <c r="B495" s="178"/>
      <c r="C495" s="178"/>
      <c r="D495" s="178"/>
      <c r="E495" s="178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178"/>
      <c r="B496" s="178"/>
      <c r="C496" s="178"/>
      <c r="D496" s="178"/>
      <c r="E496" s="178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178"/>
      <c r="B497" s="178"/>
      <c r="C497" s="178"/>
      <c r="D497" s="178"/>
      <c r="E497" s="178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178"/>
      <c r="B498" s="178"/>
      <c r="C498" s="178"/>
      <c r="D498" s="178"/>
      <c r="E498" s="178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178"/>
      <c r="B499" s="178"/>
      <c r="C499" s="178"/>
      <c r="D499" s="178"/>
      <c r="E499" s="178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178"/>
      <c r="B500" s="178"/>
      <c r="C500" s="178"/>
      <c r="D500" s="178"/>
      <c r="E500" s="178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178"/>
      <c r="B501" s="178"/>
      <c r="C501" s="178"/>
      <c r="D501" s="178"/>
      <c r="E501" s="178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178"/>
      <c r="B502" s="178"/>
      <c r="C502" s="178"/>
      <c r="D502" s="178"/>
      <c r="E502" s="178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178"/>
      <c r="B503" s="178"/>
      <c r="C503" s="178"/>
      <c r="D503" s="178"/>
      <c r="E503" s="178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178"/>
      <c r="B504" s="178"/>
      <c r="C504" s="178"/>
      <c r="D504" s="178"/>
      <c r="E504" s="178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178"/>
      <c r="B505" s="178"/>
      <c r="C505" s="178"/>
      <c r="D505" s="178"/>
      <c r="E505" s="178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178"/>
      <c r="B506" s="178"/>
      <c r="C506" s="178"/>
      <c r="D506" s="178"/>
      <c r="E506" s="178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178"/>
      <c r="B507" s="178"/>
      <c r="C507" s="178"/>
      <c r="D507" s="178"/>
      <c r="E507" s="178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178"/>
      <c r="B508" s="178"/>
      <c r="C508" s="178"/>
      <c r="D508" s="178"/>
      <c r="E508" s="178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178"/>
      <c r="B509" s="178"/>
      <c r="C509" s="178"/>
      <c r="D509" s="178"/>
      <c r="E509" s="178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178"/>
      <c r="B510" s="178"/>
      <c r="C510" s="178"/>
      <c r="D510" s="178"/>
      <c r="E510" s="178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178"/>
      <c r="B511" s="178"/>
      <c r="C511" s="178"/>
      <c r="D511" s="178"/>
      <c r="E511" s="178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178"/>
      <c r="B512" s="178"/>
      <c r="C512" s="178"/>
      <c r="D512" s="178"/>
      <c r="E512" s="178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178"/>
      <c r="B513" s="178"/>
      <c r="C513" s="178"/>
      <c r="D513" s="178"/>
      <c r="E513" s="178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178"/>
      <c r="B514" s="178"/>
      <c r="C514" s="178"/>
      <c r="D514" s="178"/>
      <c r="E514" s="178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178"/>
      <c r="B515" s="178"/>
      <c r="C515" s="178"/>
      <c r="D515" s="178"/>
      <c r="E515" s="178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178"/>
      <c r="B516" s="178"/>
      <c r="C516" s="178"/>
      <c r="D516" s="178"/>
      <c r="E516" s="178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178"/>
      <c r="B517" s="178"/>
      <c r="C517" s="178"/>
      <c r="D517" s="178"/>
      <c r="E517" s="178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178"/>
      <c r="B518" s="178"/>
      <c r="C518" s="178"/>
      <c r="D518" s="178"/>
      <c r="E518" s="178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178"/>
      <c r="B519" s="178"/>
      <c r="C519" s="178"/>
      <c r="D519" s="178"/>
      <c r="E519" s="178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178"/>
      <c r="B520" s="178"/>
      <c r="C520" s="178"/>
      <c r="D520" s="178"/>
      <c r="E520" s="178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178"/>
      <c r="B521" s="178"/>
      <c r="C521" s="178"/>
      <c r="D521" s="178"/>
      <c r="E521" s="178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178"/>
      <c r="B522" s="178"/>
      <c r="C522" s="178"/>
      <c r="D522" s="178"/>
      <c r="E522" s="178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178"/>
      <c r="B523" s="178"/>
      <c r="C523" s="178"/>
      <c r="D523" s="178"/>
      <c r="E523" s="178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178"/>
      <c r="B524" s="178"/>
      <c r="C524" s="178"/>
      <c r="D524" s="178"/>
      <c r="E524" s="178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178"/>
      <c r="B525" s="178"/>
      <c r="C525" s="178"/>
      <c r="D525" s="178"/>
      <c r="E525" s="178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178"/>
      <c r="B526" s="178"/>
      <c r="C526" s="178"/>
      <c r="D526" s="178"/>
      <c r="E526" s="178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178"/>
      <c r="B527" s="178"/>
      <c r="C527" s="178"/>
      <c r="D527" s="178"/>
      <c r="E527" s="178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178"/>
      <c r="B528" s="178"/>
      <c r="C528" s="178"/>
      <c r="D528" s="178"/>
      <c r="E528" s="178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178"/>
      <c r="B529" s="178"/>
      <c r="C529" s="178"/>
      <c r="D529" s="178"/>
      <c r="E529" s="178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178"/>
      <c r="B530" s="178"/>
      <c r="C530" s="178"/>
      <c r="D530" s="178"/>
      <c r="E530" s="178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178"/>
      <c r="B531" s="178"/>
      <c r="C531" s="178"/>
      <c r="D531" s="178"/>
      <c r="E531" s="178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178"/>
      <c r="B532" s="178"/>
      <c r="C532" s="178"/>
      <c r="D532" s="178"/>
      <c r="E532" s="178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178"/>
      <c r="B533" s="178"/>
      <c r="C533" s="178"/>
      <c r="D533" s="178"/>
      <c r="E533" s="178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178"/>
      <c r="B534" s="178"/>
      <c r="C534" s="178"/>
      <c r="D534" s="178"/>
      <c r="E534" s="178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178"/>
      <c r="B535" s="178"/>
      <c r="C535" s="178"/>
      <c r="D535" s="178"/>
      <c r="E535" s="178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178"/>
      <c r="B536" s="178"/>
      <c r="C536" s="178"/>
      <c r="D536" s="178"/>
      <c r="E536" s="178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178"/>
      <c r="B537" s="178"/>
      <c r="C537" s="178"/>
      <c r="D537" s="178"/>
      <c r="E537" s="178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178"/>
      <c r="B538" s="178"/>
      <c r="C538" s="178"/>
      <c r="D538" s="178"/>
      <c r="E538" s="178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178"/>
      <c r="B539" s="178"/>
      <c r="C539" s="178"/>
      <c r="D539" s="178"/>
      <c r="E539" s="178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178"/>
      <c r="B540" s="178"/>
      <c r="C540" s="178"/>
      <c r="D540" s="178"/>
      <c r="E540" s="178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178"/>
      <c r="B541" s="178"/>
      <c r="C541" s="178"/>
      <c r="D541" s="178"/>
      <c r="E541" s="178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178"/>
      <c r="B542" s="178"/>
      <c r="C542" s="178"/>
      <c r="D542" s="178"/>
      <c r="E542" s="178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178"/>
      <c r="B543" s="178"/>
      <c r="C543" s="178"/>
      <c r="D543" s="178"/>
      <c r="E543" s="178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178"/>
      <c r="B544" s="178"/>
      <c r="C544" s="178"/>
      <c r="D544" s="178"/>
      <c r="E544" s="178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178"/>
      <c r="B545" s="178"/>
      <c r="C545" s="178"/>
      <c r="D545" s="178"/>
      <c r="E545" s="178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178"/>
      <c r="B546" s="178"/>
      <c r="C546" s="178"/>
      <c r="D546" s="178"/>
      <c r="E546" s="178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178"/>
      <c r="B547" s="178"/>
      <c r="C547" s="178"/>
      <c r="D547" s="178"/>
      <c r="E547" s="178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178"/>
      <c r="B548" s="178"/>
      <c r="C548" s="178"/>
      <c r="D548" s="178"/>
      <c r="E548" s="178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178"/>
      <c r="B549" s="178"/>
      <c r="C549" s="178"/>
      <c r="D549" s="178"/>
      <c r="E549" s="178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178"/>
      <c r="B550" s="178"/>
      <c r="C550" s="178"/>
      <c r="D550" s="178"/>
      <c r="E550" s="178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178"/>
      <c r="B551" s="178"/>
      <c r="C551" s="178"/>
      <c r="D551" s="178"/>
      <c r="E551" s="178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178"/>
      <c r="B552" s="178"/>
      <c r="C552" s="178"/>
      <c r="D552" s="178"/>
      <c r="E552" s="178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178"/>
      <c r="B553" s="178"/>
      <c r="C553" s="178"/>
      <c r="D553" s="178"/>
      <c r="E553" s="178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178"/>
      <c r="B554" s="178"/>
      <c r="C554" s="178"/>
      <c r="D554" s="178"/>
      <c r="E554" s="178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178"/>
      <c r="B555" s="178"/>
      <c r="C555" s="178"/>
      <c r="D555" s="178"/>
      <c r="E555" s="178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178"/>
      <c r="B556" s="178"/>
      <c r="C556" s="178"/>
      <c r="D556" s="178"/>
      <c r="E556" s="178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178"/>
      <c r="B557" s="178"/>
      <c r="C557" s="178"/>
      <c r="D557" s="178"/>
      <c r="E557" s="178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178"/>
      <c r="B558" s="178"/>
      <c r="C558" s="178"/>
      <c r="D558" s="178"/>
      <c r="E558" s="178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178"/>
      <c r="B559" s="178"/>
      <c r="C559" s="178"/>
      <c r="D559" s="178"/>
      <c r="E559" s="178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178"/>
      <c r="B560" s="178"/>
      <c r="C560" s="178"/>
      <c r="D560" s="178"/>
      <c r="E560" s="178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178"/>
      <c r="B561" s="178"/>
      <c r="C561" s="178"/>
      <c r="D561" s="178"/>
      <c r="E561" s="178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178"/>
      <c r="B562" s="178"/>
      <c r="C562" s="178"/>
      <c r="D562" s="178"/>
      <c r="E562" s="178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178"/>
      <c r="B563" s="178"/>
      <c r="C563" s="178"/>
      <c r="D563" s="178"/>
      <c r="E563" s="178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178"/>
      <c r="B564" s="178"/>
      <c r="C564" s="178"/>
      <c r="D564" s="178"/>
      <c r="E564" s="178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178"/>
      <c r="B565" s="178"/>
      <c r="C565" s="178"/>
      <c r="D565" s="178"/>
      <c r="E565" s="178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178"/>
      <c r="B566" s="178"/>
      <c r="C566" s="178"/>
      <c r="D566" s="178"/>
      <c r="E566" s="178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178"/>
      <c r="B567" s="178"/>
      <c r="C567" s="178"/>
      <c r="D567" s="178"/>
      <c r="E567" s="178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178"/>
      <c r="B568" s="178"/>
      <c r="C568" s="178"/>
      <c r="D568" s="178"/>
      <c r="E568" s="178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178"/>
      <c r="B569" s="178"/>
      <c r="C569" s="178"/>
      <c r="D569" s="178"/>
      <c r="E569" s="178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178"/>
      <c r="B570" s="178"/>
      <c r="C570" s="178"/>
      <c r="D570" s="178"/>
      <c r="E570" s="178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178"/>
      <c r="B571" s="178"/>
      <c r="C571" s="178"/>
      <c r="D571" s="178"/>
      <c r="E571" s="178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178"/>
      <c r="B572" s="178"/>
      <c r="C572" s="178"/>
      <c r="D572" s="178"/>
      <c r="E572" s="178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178"/>
      <c r="B573" s="178"/>
      <c r="C573" s="178"/>
      <c r="D573" s="178"/>
      <c r="E573" s="178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178"/>
      <c r="B574" s="178"/>
      <c r="C574" s="178"/>
      <c r="D574" s="178"/>
      <c r="E574" s="178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178"/>
      <c r="B575" s="178"/>
      <c r="C575" s="178"/>
      <c r="D575" s="178"/>
      <c r="E575" s="178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178"/>
      <c r="B576" s="178"/>
      <c r="C576" s="178"/>
      <c r="D576" s="178"/>
      <c r="E576" s="178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178"/>
      <c r="B577" s="178"/>
      <c r="C577" s="178"/>
      <c r="D577" s="178"/>
      <c r="E577" s="178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178"/>
      <c r="B578" s="178"/>
      <c r="C578" s="178"/>
      <c r="D578" s="178"/>
      <c r="E578" s="178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178"/>
      <c r="B579" s="178"/>
      <c r="C579" s="178"/>
      <c r="D579" s="178"/>
      <c r="E579" s="178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178"/>
      <c r="B580" s="178"/>
      <c r="C580" s="178"/>
      <c r="D580" s="178"/>
      <c r="E580" s="178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178"/>
      <c r="B581" s="178"/>
      <c r="C581" s="178"/>
      <c r="D581" s="178"/>
      <c r="E581" s="178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178"/>
      <c r="B582" s="178"/>
      <c r="C582" s="178"/>
      <c r="D582" s="178"/>
      <c r="E582" s="178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178"/>
      <c r="B583" s="178"/>
      <c r="C583" s="178"/>
      <c r="D583" s="178"/>
      <c r="E583" s="178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178"/>
      <c r="B584" s="178"/>
      <c r="C584" s="178"/>
      <c r="D584" s="178"/>
      <c r="E584" s="178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178"/>
      <c r="B585" s="178"/>
      <c r="C585" s="178"/>
      <c r="D585" s="178"/>
      <c r="E585" s="178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178"/>
      <c r="B586" s="178"/>
      <c r="C586" s="178"/>
      <c r="D586" s="178"/>
      <c r="E586" s="178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178"/>
      <c r="B587" s="178"/>
      <c r="C587" s="178"/>
      <c r="D587" s="178"/>
      <c r="E587" s="178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178"/>
      <c r="B588" s="178"/>
      <c r="C588" s="178"/>
      <c r="D588" s="178"/>
      <c r="E588" s="178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178"/>
      <c r="B589" s="178"/>
      <c r="C589" s="178"/>
      <c r="D589" s="178"/>
      <c r="E589" s="178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178"/>
      <c r="B590" s="178"/>
      <c r="C590" s="178"/>
      <c r="D590" s="178"/>
      <c r="E590" s="178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178"/>
      <c r="B591" s="178"/>
      <c r="C591" s="178"/>
      <c r="D591" s="178"/>
      <c r="E591" s="178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178"/>
      <c r="B592" s="178"/>
      <c r="C592" s="178"/>
      <c r="D592" s="178"/>
      <c r="E592" s="178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178"/>
      <c r="B593" s="178"/>
      <c r="C593" s="178"/>
      <c r="D593" s="178"/>
      <c r="E593" s="178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178"/>
      <c r="B594" s="178"/>
      <c r="C594" s="178"/>
      <c r="D594" s="178"/>
      <c r="E594" s="178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178"/>
      <c r="B595" s="178"/>
      <c r="C595" s="178"/>
      <c r="D595" s="178"/>
      <c r="E595" s="178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178"/>
      <c r="B596" s="178"/>
      <c r="C596" s="178"/>
      <c r="D596" s="178"/>
      <c r="E596" s="178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178"/>
      <c r="B597" s="178"/>
      <c r="C597" s="178"/>
      <c r="D597" s="178"/>
      <c r="E597" s="178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178"/>
      <c r="B598" s="178"/>
      <c r="C598" s="178"/>
      <c r="D598" s="178"/>
      <c r="E598" s="178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178"/>
      <c r="B599" s="178"/>
      <c r="C599" s="178"/>
      <c r="D599" s="178"/>
      <c r="E599" s="178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178"/>
      <c r="B600" s="178"/>
      <c r="C600" s="178"/>
      <c r="D600" s="178"/>
      <c r="E600" s="178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178"/>
      <c r="B601" s="178"/>
      <c r="C601" s="178"/>
      <c r="D601" s="178"/>
      <c r="E601" s="178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178"/>
      <c r="B602" s="178"/>
      <c r="C602" s="178"/>
      <c r="D602" s="178"/>
      <c r="E602" s="178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178"/>
      <c r="B603" s="178"/>
      <c r="C603" s="178"/>
      <c r="D603" s="178"/>
      <c r="E603" s="178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178"/>
      <c r="B604" s="178"/>
      <c r="C604" s="178"/>
      <c r="D604" s="178"/>
      <c r="E604" s="178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178"/>
      <c r="B605" s="178"/>
      <c r="C605" s="178"/>
      <c r="D605" s="178"/>
      <c r="E605" s="178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178"/>
      <c r="B606" s="178"/>
      <c r="C606" s="178"/>
      <c r="D606" s="178"/>
      <c r="E606" s="178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178"/>
      <c r="B607" s="178"/>
      <c r="C607" s="178"/>
      <c r="D607" s="178"/>
      <c r="E607" s="178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178"/>
      <c r="B608" s="178"/>
      <c r="C608" s="178"/>
      <c r="D608" s="178"/>
      <c r="E608" s="178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178"/>
      <c r="B609" s="178"/>
      <c r="C609" s="178"/>
      <c r="D609" s="178"/>
      <c r="E609" s="178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178"/>
      <c r="B610" s="178"/>
      <c r="C610" s="178"/>
      <c r="D610" s="178"/>
      <c r="E610" s="178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178"/>
      <c r="B611" s="178"/>
      <c r="C611" s="178"/>
      <c r="D611" s="178"/>
      <c r="E611" s="178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178"/>
      <c r="B612" s="178"/>
      <c r="C612" s="178"/>
      <c r="D612" s="178"/>
      <c r="E612" s="178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178"/>
      <c r="B613" s="178"/>
      <c r="C613" s="178"/>
      <c r="D613" s="178"/>
      <c r="E613" s="178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178"/>
      <c r="B614" s="178"/>
      <c r="C614" s="178"/>
      <c r="D614" s="178"/>
      <c r="E614" s="178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178"/>
      <c r="B615" s="178"/>
      <c r="C615" s="178"/>
      <c r="D615" s="178"/>
      <c r="E615" s="178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178"/>
      <c r="B616" s="178"/>
      <c r="C616" s="178"/>
      <c r="D616" s="178"/>
      <c r="E616" s="178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178"/>
      <c r="B617" s="178"/>
      <c r="C617" s="178"/>
      <c r="D617" s="178"/>
      <c r="E617" s="178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178"/>
      <c r="B618" s="178"/>
      <c r="C618" s="178"/>
      <c r="D618" s="178"/>
      <c r="E618" s="178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178"/>
      <c r="B619" s="178"/>
      <c r="C619" s="178"/>
      <c r="D619" s="178"/>
      <c r="E619" s="178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178"/>
      <c r="B620" s="178"/>
      <c r="C620" s="178"/>
      <c r="D620" s="178"/>
      <c r="E620" s="178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178"/>
      <c r="B621" s="178"/>
      <c r="C621" s="178"/>
      <c r="D621" s="178"/>
      <c r="E621" s="178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178"/>
      <c r="B622" s="178"/>
      <c r="C622" s="178"/>
      <c r="D622" s="178"/>
      <c r="E622" s="178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178"/>
      <c r="B623" s="178"/>
      <c r="C623" s="178"/>
      <c r="D623" s="178"/>
      <c r="E623" s="178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178"/>
      <c r="B624" s="178"/>
      <c r="C624" s="178"/>
      <c r="D624" s="178"/>
      <c r="E624" s="178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178"/>
      <c r="B625" s="178"/>
      <c r="C625" s="178"/>
      <c r="D625" s="178"/>
      <c r="E625" s="178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178"/>
      <c r="B626" s="178"/>
      <c r="C626" s="178"/>
      <c r="D626" s="178"/>
      <c r="E626" s="178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178"/>
      <c r="B627" s="178"/>
      <c r="C627" s="178"/>
      <c r="D627" s="178"/>
      <c r="E627" s="178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178"/>
      <c r="B628" s="178"/>
      <c r="C628" s="178"/>
      <c r="D628" s="178"/>
      <c r="E628" s="178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178"/>
      <c r="B629" s="178"/>
      <c r="C629" s="178"/>
      <c r="D629" s="178"/>
      <c r="E629" s="178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178"/>
      <c r="B630" s="178"/>
      <c r="C630" s="178"/>
      <c r="D630" s="178"/>
      <c r="E630" s="178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178"/>
      <c r="B631" s="178"/>
      <c r="C631" s="178"/>
      <c r="D631" s="178"/>
      <c r="E631" s="178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178"/>
      <c r="B632" s="178"/>
      <c r="C632" s="178"/>
      <c r="D632" s="178"/>
      <c r="E632" s="178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178"/>
      <c r="B633" s="178"/>
      <c r="C633" s="178"/>
      <c r="D633" s="178"/>
      <c r="E633" s="178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178"/>
      <c r="B634" s="178"/>
      <c r="C634" s="178"/>
      <c r="D634" s="178"/>
      <c r="E634" s="178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178"/>
      <c r="B635" s="178"/>
      <c r="C635" s="178"/>
      <c r="D635" s="178"/>
      <c r="E635" s="178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178"/>
      <c r="B636" s="178"/>
      <c r="C636" s="178"/>
      <c r="D636" s="178"/>
      <c r="E636" s="178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178"/>
      <c r="B637" s="178"/>
      <c r="C637" s="178"/>
      <c r="D637" s="178"/>
      <c r="E637" s="178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178"/>
      <c r="B638" s="178"/>
      <c r="C638" s="178"/>
      <c r="D638" s="178"/>
      <c r="E638" s="178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178"/>
      <c r="B639" s="178"/>
      <c r="C639" s="178"/>
      <c r="D639" s="178"/>
      <c r="E639" s="178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178"/>
      <c r="B640" s="178"/>
      <c r="C640" s="178"/>
      <c r="D640" s="178"/>
      <c r="E640" s="178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178"/>
      <c r="B641" s="178"/>
      <c r="C641" s="178"/>
      <c r="D641" s="178"/>
      <c r="E641" s="178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178"/>
      <c r="B642" s="178"/>
      <c r="C642" s="178"/>
      <c r="D642" s="178"/>
      <c r="E642" s="178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178"/>
      <c r="B643" s="178"/>
      <c r="C643" s="178"/>
      <c r="D643" s="178"/>
      <c r="E643" s="178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178"/>
      <c r="B644" s="178"/>
      <c r="C644" s="178"/>
      <c r="D644" s="178"/>
      <c r="E644" s="178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178"/>
      <c r="B645" s="178"/>
      <c r="C645" s="178"/>
      <c r="D645" s="178"/>
      <c r="E645" s="178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178"/>
      <c r="B646" s="178"/>
      <c r="C646" s="178"/>
      <c r="D646" s="178"/>
      <c r="E646" s="178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178"/>
      <c r="B647" s="178"/>
      <c r="C647" s="178"/>
      <c r="D647" s="178"/>
      <c r="E647" s="178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178"/>
      <c r="B648" s="178"/>
      <c r="C648" s="178"/>
      <c r="D648" s="178"/>
      <c r="E648" s="178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178"/>
      <c r="B649" s="178"/>
      <c r="C649" s="178"/>
      <c r="D649" s="178"/>
      <c r="E649" s="178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178"/>
      <c r="B650" s="178"/>
      <c r="C650" s="178"/>
      <c r="D650" s="178"/>
      <c r="E650" s="178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178"/>
      <c r="B651" s="178"/>
      <c r="C651" s="178"/>
      <c r="D651" s="178"/>
      <c r="E651" s="178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178"/>
      <c r="B652" s="178"/>
      <c r="C652" s="178"/>
      <c r="D652" s="178"/>
      <c r="E652" s="178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178"/>
      <c r="B653" s="178"/>
      <c r="C653" s="178"/>
      <c r="D653" s="178"/>
      <c r="E653" s="178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178"/>
      <c r="B654" s="178"/>
      <c r="C654" s="178"/>
      <c r="D654" s="178"/>
      <c r="E654" s="178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178"/>
      <c r="B655" s="178"/>
      <c r="C655" s="178"/>
      <c r="D655" s="178"/>
      <c r="E655" s="178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178"/>
      <c r="B656" s="178"/>
      <c r="C656" s="178"/>
      <c r="D656" s="178"/>
      <c r="E656" s="178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178"/>
      <c r="B657" s="178"/>
      <c r="C657" s="178"/>
      <c r="D657" s="178"/>
      <c r="E657" s="178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178"/>
      <c r="B658" s="178"/>
      <c r="C658" s="178"/>
      <c r="D658" s="178"/>
      <c r="E658" s="178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178"/>
      <c r="B659" s="178"/>
      <c r="C659" s="178"/>
      <c r="D659" s="178"/>
      <c r="E659" s="178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178"/>
      <c r="B660" s="178"/>
      <c r="C660" s="178"/>
      <c r="D660" s="178"/>
      <c r="E660" s="178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178"/>
      <c r="B661" s="178"/>
      <c r="C661" s="178"/>
      <c r="D661" s="178"/>
      <c r="E661" s="178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178"/>
      <c r="B662" s="178"/>
      <c r="C662" s="178"/>
      <c r="D662" s="178"/>
      <c r="E662" s="178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178"/>
      <c r="B663" s="178"/>
      <c r="C663" s="178"/>
      <c r="D663" s="178"/>
      <c r="E663" s="178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178"/>
      <c r="B664" s="178"/>
      <c r="C664" s="178"/>
      <c r="D664" s="178"/>
      <c r="E664" s="178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178"/>
      <c r="B665" s="178"/>
      <c r="C665" s="178"/>
      <c r="D665" s="178"/>
      <c r="E665" s="178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178"/>
      <c r="B666" s="178"/>
      <c r="C666" s="178"/>
      <c r="D666" s="178"/>
      <c r="E666" s="178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178"/>
      <c r="B667" s="178"/>
      <c r="C667" s="178"/>
      <c r="D667" s="178"/>
      <c r="E667" s="178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178"/>
      <c r="B668" s="178"/>
      <c r="C668" s="178"/>
      <c r="D668" s="178"/>
      <c r="E668" s="178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178"/>
      <c r="B669" s="178"/>
      <c r="C669" s="178"/>
      <c r="D669" s="178"/>
      <c r="E669" s="178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178"/>
      <c r="B670" s="178"/>
      <c r="C670" s="178"/>
      <c r="D670" s="178"/>
      <c r="E670" s="178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178"/>
      <c r="B671" s="178"/>
      <c r="C671" s="178"/>
      <c r="D671" s="178"/>
      <c r="E671" s="178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178"/>
      <c r="B672" s="178"/>
      <c r="C672" s="178"/>
      <c r="D672" s="178"/>
      <c r="E672" s="178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178"/>
      <c r="B673" s="178"/>
      <c r="C673" s="178"/>
      <c r="D673" s="178"/>
      <c r="E673" s="178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178"/>
      <c r="B674" s="178"/>
      <c r="C674" s="178"/>
      <c r="D674" s="178"/>
      <c r="E674" s="178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178"/>
      <c r="B675" s="178"/>
      <c r="C675" s="178"/>
      <c r="D675" s="178"/>
      <c r="E675" s="178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178"/>
      <c r="B676" s="178"/>
      <c r="C676" s="178"/>
      <c r="D676" s="178"/>
      <c r="E676" s="178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178"/>
      <c r="B677" s="178"/>
      <c r="C677" s="178"/>
      <c r="D677" s="178"/>
      <c r="E677" s="178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178"/>
      <c r="B678" s="178"/>
      <c r="C678" s="178"/>
      <c r="D678" s="178"/>
      <c r="E678" s="178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178"/>
      <c r="B679" s="178"/>
      <c r="C679" s="178"/>
      <c r="D679" s="178"/>
      <c r="E679" s="178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178"/>
      <c r="B680" s="178"/>
      <c r="C680" s="178"/>
      <c r="D680" s="178"/>
      <c r="E680" s="178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178"/>
      <c r="B681" s="178"/>
      <c r="C681" s="178"/>
      <c r="D681" s="178"/>
      <c r="E681" s="178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178"/>
      <c r="B682" s="178"/>
      <c r="C682" s="178"/>
      <c r="D682" s="178"/>
      <c r="E682" s="178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178"/>
      <c r="B683" s="178"/>
      <c r="C683" s="178"/>
      <c r="D683" s="178"/>
      <c r="E683" s="178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178"/>
      <c r="B684" s="178"/>
      <c r="C684" s="178"/>
      <c r="D684" s="178"/>
      <c r="E684" s="178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178"/>
      <c r="B685" s="178"/>
      <c r="C685" s="178"/>
      <c r="D685" s="178"/>
      <c r="E685" s="178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178"/>
      <c r="B686" s="178"/>
      <c r="C686" s="178"/>
      <c r="D686" s="178"/>
      <c r="E686" s="178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178"/>
      <c r="B687" s="178"/>
      <c r="C687" s="178"/>
      <c r="D687" s="178"/>
      <c r="E687" s="178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178"/>
      <c r="B688" s="178"/>
      <c r="C688" s="178"/>
      <c r="D688" s="178"/>
      <c r="E688" s="178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178"/>
      <c r="B689" s="178"/>
      <c r="C689" s="178"/>
      <c r="D689" s="178"/>
      <c r="E689" s="178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178"/>
      <c r="B690" s="178"/>
      <c r="C690" s="178"/>
      <c r="D690" s="178"/>
      <c r="E690" s="178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178"/>
      <c r="B691" s="178"/>
      <c r="C691" s="178"/>
      <c r="D691" s="178"/>
      <c r="E691" s="178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178"/>
      <c r="B692" s="178"/>
      <c r="C692" s="178"/>
      <c r="D692" s="178"/>
      <c r="E692" s="178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178"/>
      <c r="B693" s="178"/>
      <c r="C693" s="178"/>
      <c r="D693" s="178"/>
      <c r="E693" s="178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178"/>
      <c r="B694" s="178"/>
      <c r="C694" s="178"/>
      <c r="D694" s="178"/>
      <c r="E694" s="178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178"/>
      <c r="B695" s="178"/>
      <c r="C695" s="178"/>
      <c r="D695" s="178"/>
      <c r="E695" s="178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178"/>
      <c r="B696" s="178"/>
      <c r="C696" s="178"/>
      <c r="D696" s="178"/>
      <c r="E696" s="178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178"/>
      <c r="B697" s="178"/>
      <c r="C697" s="178"/>
      <c r="D697" s="178"/>
      <c r="E697" s="178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178"/>
      <c r="B698" s="178"/>
      <c r="C698" s="178"/>
      <c r="D698" s="178"/>
      <c r="E698" s="178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178"/>
      <c r="B699" s="178"/>
      <c r="C699" s="178"/>
      <c r="D699" s="178"/>
      <c r="E699" s="178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178"/>
      <c r="B700" s="178"/>
      <c r="C700" s="178"/>
      <c r="D700" s="178"/>
      <c r="E700" s="178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178"/>
      <c r="B701" s="178"/>
      <c r="C701" s="178"/>
      <c r="D701" s="178"/>
      <c r="E701" s="178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178"/>
      <c r="B702" s="178"/>
      <c r="C702" s="178"/>
      <c r="D702" s="178"/>
      <c r="E702" s="178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178"/>
      <c r="B703" s="178"/>
      <c r="C703" s="178"/>
      <c r="D703" s="178"/>
      <c r="E703" s="178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178"/>
      <c r="B704" s="178"/>
      <c r="C704" s="178"/>
      <c r="D704" s="178"/>
      <c r="E704" s="178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178"/>
      <c r="B705" s="178"/>
      <c r="C705" s="178"/>
      <c r="D705" s="178"/>
      <c r="E705" s="178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178"/>
      <c r="B706" s="178"/>
      <c r="C706" s="178"/>
      <c r="D706" s="178"/>
      <c r="E706" s="178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178"/>
      <c r="B707" s="178"/>
      <c r="C707" s="178"/>
      <c r="D707" s="178"/>
      <c r="E707" s="178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178"/>
      <c r="B708" s="178"/>
      <c r="C708" s="178"/>
      <c r="D708" s="178"/>
      <c r="E708" s="178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178"/>
      <c r="B709" s="178"/>
      <c r="C709" s="178"/>
      <c r="D709" s="178"/>
      <c r="E709" s="178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178"/>
      <c r="B710" s="178"/>
      <c r="C710" s="178"/>
      <c r="D710" s="178"/>
      <c r="E710" s="178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178"/>
      <c r="B711" s="178"/>
      <c r="C711" s="178"/>
      <c r="D711" s="178"/>
      <c r="E711" s="178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178"/>
      <c r="B712" s="178"/>
      <c r="C712" s="178"/>
      <c r="D712" s="178"/>
      <c r="E712" s="178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178"/>
      <c r="B713" s="178"/>
      <c r="C713" s="178"/>
      <c r="D713" s="178"/>
      <c r="E713" s="178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178"/>
      <c r="B714" s="178"/>
      <c r="C714" s="178"/>
      <c r="D714" s="178"/>
      <c r="E714" s="178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178"/>
      <c r="B715" s="178"/>
      <c r="C715" s="178"/>
      <c r="D715" s="178"/>
      <c r="E715" s="178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178"/>
      <c r="B716" s="178"/>
      <c r="C716" s="178"/>
      <c r="D716" s="178"/>
      <c r="E716" s="178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178"/>
      <c r="B717" s="178"/>
      <c r="C717" s="178"/>
      <c r="D717" s="178"/>
      <c r="E717" s="178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178"/>
      <c r="B718" s="178"/>
      <c r="C718" s="178"/>
      <c r="D718" s="178"/>
      <c r="E718" s="178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178"/>
      <c r="B719" s="178"/>
      <c r="C719" s="178"/>
      <c r="D719" s="178"/>
      <c r="E719" s="178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178"/>
      <c r="B720" s="178"/>
      <c r="C720" s="178"/>
      <c r="D720" s="178"/>
      <c r="E720" s="178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178"/>
      <c r="B721" s="178"/>
      <c r="C721" s="178"/>
      <c r="D721" s="178"/>
      <c r="E721" s="178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178"/>
      <c r="B722" s="178"/>
      <c r="C722" s="178"/>
      <c r="D722" s="178"/>
      <c r="E722" s="178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178"/>
      <c r="B723" s="178"/>
      <c r="C723" s="178"/>
      <c r="D723" s="178"/>
      <c r="E723" s="178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178"/>
      <c r="B724" s="178"/>
      <c r="C724" s="178"/>
      <c r="D724" s="178"/>
      <c r="E724" s="178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178"/>
      <c r="B725" s="178"/>
      <c r="C725" s="178"/>
      <c r="D725" s="178"/>
      <c r="E725" s="178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178"/>
      <c r="B726" s="178"/>
      <c r="C726" s="178"/>
      <c r="D726" s="178"/>
      <c r="E726" s="178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178"/>
      <c r="B727" s="178"/>
      <c r="C727" s="178"/>
      <c r="D727" s="178"/>
      <c r="E727" s="178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178"/>
      <c r="B728" s="178"/>
      <c r="C728" s="178"/>
      <c r="D728" s="178"/>
      <c r="E728" s="178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178"/>
      <c r="B729" s="178"/>
      <c r="C729" s="178"/>
      <c r="D729" s="178"/>
      <c r="E729" s="178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178"/>
      <c r="B730" s="178"/>
      <c r="C730" s="178"/>
      <c r="D730" s="178"/>
      <c r="E730" s="178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178"/>
      <c r="B731" s="178"/>
      <c r="C731" s="178"/>
      <c r="D731" s="178"/>
      <c r="E731" s="178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178"/>
      <c r="B732" s="178"/>
      <c r="C732" s="178"/>
      <c r="D732" s="178"/>
      <c r="E732" s="178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178"/>
      <c r="B733" s="178"/>
      <c r="C733" s="178"/>
      <c r="D733" s="178"/>
      <c r="E733" s="178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178"/>
      <c r="B734" s="178"/>
      <c r="C734" s="178"/>
      <c r="D734" s="178"/>
      <c r="E734" s="178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178"/>
      <c r="B735" s="178"/>
      <c r="C735" s="178"/>
      <c r="D735" s="178"/>
      <c r="E735" s="178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178"/>
      <c r="B736" s="178"/>
      <c r="C736" s="178"/>
      <c r="D736" s="178"/>
      <c r="E736" s="178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178"/>
      <c r="B737" s="178"/>
      <c r="C737" s="178"/>
      <c r="D737" s="178"/>
      <c r="E737" s="178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178"/>
      <c r="B738" s="178"/>
      <c r="C738" s="178"/>
      <c r="D738" s="178"/>
      <c r="E738" s="178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178"/>
      <c r="B739" s="178"/>
      <c r="C739" s="178"/>
      <c r="D739" s="178"/>
      <c r="E739" s="178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178"/>
      <c r="B740" s="178"/>
      <c r="C740" s="178"/>
      <c r="D740" s="178"/>
      <c r="E740" s="178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178"/>
      <c r="B741" s="178"/>
      <c r="C741" s="178"/>
      <c r="D741" s="178"/>
      <c r="E741" s="178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178"/>
      <c r="B742" s="178"/>
      <c r="C742" s="178"/>
      <c r="D742" s="178"/>
      <c r="E742" s="178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178"/>
      <c r="B743" s="178"/>
      <c r="C743" s="178"/>
      <c r="D743" s="178"/>
      <c r="E743" s="178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178"/>
      <c r="B744" s="178"/>
      <c r="C744" s="178"/>
      <c r="D744" s="178"/>
      <c r="E744" s="178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178"/>
      <c r="B745" s="178"/>
      <c r="C745" s="178"/>
      <c r="D745" s="178"/>
      <c r="E745" s="178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178"/>
      <c r="B746" s="178"/>
      <c r="C746" s="178"/>
      <c r="D746" s="178"/>
      <c r="E746" s="178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178"/>
      <c r="B747" s="178"/>
      <c r="C747" s="178"/>
      <c r="D747" s="178"/>
      <c r="E747" s="178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178"/>
      <c r="B748" s="178"/>
      <c r="C748" s="178"/>
      <c r="D748" s="178"/>
      <c r="E748" s="178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178"/>
      <c r="B749" s="178"/>
      <c r="C749" s="178"/>
      <c r="D749" s="178"/>
      <c r="E749" s="178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178"/>
      <c r="B750" s="178"/>
      <c r="C750" s="178"/>
      <c r="D750" s="178"/>
      <c r="E750" s="178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178"/>
      <c r="B751" s="178"/>
      <c r="C751" s="178"/>
      <c r="D751" s="178"/>
      <c r="E751" s="178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178"/>
      <c r="B752" s="178"/>
      <c r="C752" s="178"/>
      <c r="D752" s="178"/>
      <c r="E752" s="178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178"/>
      <c r="B753" s="178"/>
      <c r="C753" s="178"/>
      <c r="D753" s="178"/>
      <c r="E753" s="178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178"/>
      <c r="B754" s="178"/>
      <c r="C754" s="178"/>
      <c r="D754" s="178"/>
      <c r="E754" s="178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178"/>
      <c r="B755" s="178"/>
      <c r="C755" s="178"/>
      <c r="D755" s="178"/>
      <c r="E755" s="178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178"/>
      <c r="B756" s="178"/>
      <c r="C756" s="178"/>
      <c r="D756" s="178"/>
      <c r="E756" s="178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178"/>
      <c r="B757" s="178"/>
      <c r="C757" s="178"/>
      <c r="D757" s="178"/>
      <c r="E757" s="178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178"/>
      <c r="B758" s="178"/>
      <c r="C758" s="178"/>
      <c r="D758" s="178"/>
      <c r="E758" s="178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178"/>
      <c r="B759" s="178"/>
      <c r="C759" s="178"/>
      <c r="D759" s="178"/>
      <c r="E759" s="178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178"/>
      <c r="B760" s="178"/>
      <c r="C760" s="178"/>
      <c r="D760" s="178"/>
      <c r="E760" s="178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178"/>
      <c r="B761" s="178"/>
      <c r="C761" s="178"/>
      <c r="D761" s="178"/>
      <c r="E761" s="178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178"/>
      <c r="B762" s="178"/>
      <c r="C762" s="178"/>
      <c r="D762" s="178"/>
      <c r="E762" s="178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178"/>
      <c r="B763" s="178"/>
      <c r="C763" s="178"/>
      <c r="D763" s="178"/>
      <c r="E763" s="178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178"/>
      <c r="B764" s="178"/>
      <c r="C764" s="178"/>
      <c r="D764" s="178"/>
      <c r="E764" s="178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178"/>
      <c r="B765" s="178"/>
      <c r="C765" s="178"/>
      <c r="D765" s="178"/>
      <c r="E765" s="178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178"/>
      <c r="B766" s="178"/>
      <c r="C766" s="178"/>
      <c r="D766" s="178"/>
      <c r="E766" s="178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178"/>
      <c r="B767" s="178"/>
      <c r="C767" s="178"/>
      <c r="D767" s="178"/>
      <c r="E767" s="178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178"/>
      <c r="B768" s="178"/>
      <c r="C768" s="178"/>
      <c r="D768" s="178"/>
      <c r="E768" s="178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178"/>
      <c r="B769" s="178"/>
      <c r="C769" s="178"/>
      <c r="D769" s="178"/>
      <c r="E769" s="178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178"/>
      <c r="B770" s="178"/>
      <c r="C770" s="178"/>
      <c r="D770" s="178"/>
      <c r="E770" s="178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178"/>
      <c r="B771" s="178"/>
      <c r="C771" s="178"/>
      <c r="D771" s="178"/>
      <c r="E771" s="178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178"/>
      <c r="B772" s="178"/>
      <c r="C772" s="178"/>
      <c r="D772" s="178"/>
      <c r="E772" s="178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178"/>
      <c r="B773" s="178"/>
      <c r="C773" s="178"/>
      <c r="D773" s="178"/>
      <c r="E773" s="178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178"/>
      <c r="B774" s="178"/>
      <c r="C774" s="178"/>
      <c r="D774" s="178"/>
      <c r="E774" s="178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178"/>
      <c r="B775" s="178"/>
      <c r="C775" s="178"/>
      <c r="D775" s="178"/>
      <c r="E775" s="178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178"/>
      <c r="B776" s="178"/>
      <c r="C776" s="178"/>
      <c r="D776" s="178"/>
      <c r="E776" s="178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178"/>
      <c r="B777" s="178"/>
      <c r="C777" s="178"/>
      <c r="D777" s="178"/>
      <c r="E777" s="178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178"/>
      <c r="B778" s="178"/>
      <c r="C778" s="178"/>
      <c r="D778" s="178"/>
      <c r="E778" s="178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178"/>
      <c r="B779" s="178"/>
      <c r="C779" s="178"/>
      <c r="D779" s="178"/>
      <c r="E779" s="178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178"/>
      <c r="B780" s="178"/>
      <c r="C780" s="178"/>
      <c r="D780" s="178"/>
      <c r="E780" s="178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178"/>
      <c r="B781" s="178"/>
      <c r="C781" s="178"/>
      <c r="D781" s="178"/>
      <c r="E781" s="178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178"/>
      <c r="B782" s="178"/>
      <c r="C782" s="178"/>
      <c r="D782" s="178"/>
      <c r="E782" s="178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178"/>
      <c r="B783" s="178"/>
      <c r="C783" s="178"/>
      <c r="D783" s="178"/>
      <c r="E783" s="178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178"/>
      <c r="B784" s="178"/>
      <c r="C784" s="178"/>
      <c r="D784" s="178"/>
      <c r="E784" s="178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178"/>
      <c r="B785" s="178"/>
      <c r="C785" s="178"/>
      <c r="D785" s="178"/>
      <c r="E785" s="178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178"/>
      <c r="B786" s="178"/>
      <c r="C786" s="178"/>
      <c r="D786" s="178"/>
      <c r="E786" s="178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178"/>
      <c r="B787" s="178"/>
      <c r="C787" s="178"/>
      <c r="D787" s="178"/>
      <c r="E787" s="178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178"/>
      <c r="B788" s="178"/>
      <c r="C788" s="178"/>
      <c r="D788" s="178"/>
      <c r="E788" s="178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178"/>
      <c r="B789" s="178"/>
      <c r="C789" s="178"/>
      <c r="D789" s="178"/>
      <c r="E789" s="178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178"/>
      <c r="B790" s="178"/>
      <c r="C790" s="178"/>
      <c r="D790" s="178"/>
      <c r="E790" s="178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178"/>
      <c r="B791" s="178"/>
      <c r="C791" s="178"/>
      <c r="D791" s="178"/>
      <c r="E791" s="178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178"/>
      <c r="B792" s="178"/>
      <c r="C792" s="178"/>
      <c r="D792" s="178"/>
      <c r="E792" s="178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178"/>
      <c r="B793" s="178"/>
      <c r="C793" s="178"/>
      <c r="D793" s="178"/>
      <c r="E793" s="178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178"/>
      <c r="B794" s="178"/>
      <c r="C794" s="178"/>
      <c r="D794" s="178"/>
      <c r="E794" s="178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178"/>
      <c r="B795" s="178"/>
      <c r="C795" s="178"/>
      <c r="D795" s="178"/>
      <c r="E795" s="178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178"/>
      <c r="B796" s="178"/>
      <c r="C796" s="178"/>
      <c r="D796" s="178"/>
      <c r="E796" s="178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178"/>
      <c r="B797" s="178"/>
      <c r="C797" s="178"/>
      <c r="D797" s="178"/>
      <c r="E797" s="178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178"/>
      <c r="B798" s="178"/>
      <c r="C798" s="178"/>
      <c r="D798" s="178"/>
      <c r="E798" s="178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178"/>
      <c r="B799" s="178"/>
      <c r="C799" s="178"/>
      <c r="D799" s="178"/>
      <c r="E799" s="178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178"/>
      <c r="B800" s="178"/>
      <c r="C800" s="178"/>
      <c r="D800" s="178"/>
      <c r="E800" s="178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178"/>
      <c r="B801" s="178"/>
      <c r="C801" s="178"/>
      <c r="D801" s="178"/>
      <c r="E801" s="178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178"/>
      <c r="B802" s="178"/>
      <c r="C802" s="178"/>
      <c r="D802" s="178"/>
      <c r="E802" s="178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178"/>
      <c r="B803" s="178"/>
      <c r="C803" s="178"/>
      <c r="D803" s="178"/>
      <c r="E803" s="178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178"/>
      <c r="B804" s="178"/>
      <c r="C804" s="178"/>
      <c r="D804" s="178"/>
      <c r="E804" s="178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178"/>
      <c r="B805" s="178"/>
      <c r="C805" s="178"/>
      <c r="D805" s="178"/>
      <c r="E805" s="178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178"/>
      <c r="B806" s="178"/>
      <c r="C806" s="178"/>
      <c r="D806" s="178"/>
      <c r="E806" s="178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178"/>
      <c r="B807" s="178"/>
      <c r="C807" s="178"/>
      <c r="D807" s="178"/>
      <c r="E807" s="178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178"/>
      <c r="B808" s="178"/>
      <c r="C808" s="178"/>
      <c r="D808" s="178"/>
      <c r="E808" s="178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178"/>
      <c r="B809" s="178"/>
      <c r="C809" s="178"/>
      <c r="D809" s="178"/>
      <c r="E809" s="178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178"/>
      <c r="B810" s="178"/>
      <c r="C810" s="178"/>
      <c r="D810" s="178"/>
      <c r="E810" s="178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178"/>
      <c r="B811" s="178"/>
      <c r="C811" s="178"/>
      <c r="D811" s="178"/>
      <c r="E811" s="178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178"/>
      <c r="B812" s="178"/>
      <c r="C812" s="178"/>
      <c r="D812" s="178"/>
      <c r="E812" s="178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178"/>
      <c r="B813" s="178"/>
      <c r="C813" s="178"/>
      <c r="D813" s="178"/>
      <c r="E813" s="178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178"/>
      <c r="B814" s="178"/>
      <c r="C814" s="178"/>
      <c r="D814" s="178"/>
      <c r="E814" s="178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178"/>
      <c r="B815" s="178"/>
      <c r="C815" s="178"/>
      <c r="D815" s="178"/>
      <c r="E815" s="178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178"/>
      <c r="B816" s="178"/>
      <c r="C816" s="178"/>
      <c r="D816" s="178"/>
      <c r="E816" s="178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178"/>
      <c r="B817" s="178"/>
      <c r="C817" s="178"/>
      <c r="D817" s="178"/>
      <c r="E817" s="178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178"/>
      <c r="B818" s="178"/>
      <c r="C818" s="178"/>
      <c r="D818" s="178"/>
      <c r="E818" s="178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178"/>
      <c r="B819" s="178"/>
      <c r="C819" s="178"/>
      <c r="D819" s="178"/>
      <c r="E819" s="178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178"/>
      <c r="B820" s="178"/>
      <c r="C820" s="178"/>
      <c r="D820" s="178"/>
      <c r="E820" s="178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178"/>
      <c r="B821" s="178"/>
      <c r="C821" s="178"/>
      <c r="D821" s="178"/>
      <c r="E821" s="178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178"/>
      <c r="B822" s="178"/>
      <c r="C822" s="178"/>
      <c r="D822" s="178"/>
      <c r="E822" s="178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178"/>
      <c r="B823" s="178"/>
      <c r="C823" s="178"/>
      <c r="D823" s="178"/>
      <c r="E823" s="178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178"/>
      <c r="B824" s="178"/>
      <c r="C824" s="178"/>
      <c r="D824" s="178"/>
      <c r="E824" s="178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178"/>
      <c r="B825" s="178"/>
      <c r="C825" s="178"/>
      <c r="D825" s="178"/>
      <c r="E825" s="178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178"/>
      <c r="B826" s="178"/>
      <c r="C826" s="178"/>
      <c r="D826" s="178"/>
      <c r="E826" s="178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178"/>
      <c r="B827" s="178"/>
      <c r="C827" s="178"/>
      <c r="D827" s="178"/>
      <c r="E827" s="178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178"/>
      <c r="B828" s="178"/>
      <c r="C828" s="178"/>
      <c r="D828" s="178"/>
      <c r="E828" s="178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178"/>
      <c r="B829" s="178"/>
      <c r="C829" s="178"/>
      <c r="D829" s="178"/>
      <c r="E829" s="178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178"/>
      <c r="B830" s="178"/>
      <c r="C830" s="178"/>
      <c r="D830" s="178"/>
      <c r="E830" s="178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178"/>
      <c r="B831" s="178"/>
      <c r="C831" s="178"/>
      <c r="D831" s="178"/>
      <c r="E831" s="178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178"/>
      <c r="B832" s="178"/>
      <c r="C832" s="178"/>
      <c r="D832" s="178"/>
      <c r="E832" s="178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178"/>
      <c r="B833" s="178"/>
      <c r="C833" s="178"/>
      <c r="D833" s="178"/>
      <c r="E833" s="178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178"/>
      <c r="B834" s="178"/>
      <c r="C834" s="178"/>
      <c r="D834" s="178"/>
      <c r="E834" s="178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178"/>
      <c r="B835" s="178"/>
      <c r="C835" s="178"/>
      <c r="D835" s="178"/>
      <c r="E835" s="178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178"/>
      <c r="B836" s="178"/>
      <c r="C836" s="178"/>
      <c r="D836" s="178"/>
      <c r="E836" s="178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178"/>
      <c r="B837" s="178"/>
      <c r="C837" s="178"/>
      <c r="D837" s="178"/>
      <c r="E837" s="178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178"/>
      <c r="B838" s="178"/>
      <c r="C838" s="178"/>
      <c r="D838" s="178"/>
      <c r="E838" s="178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178"/>
      <c r="B839" s="178"/>
      <c r="C839" s="178"/>
      <c r="D839" s="178"/>
      <c r="E839" s="178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178"/>
      <c r="B840" s="178"/>
      <c r="C840" s="178"/>
      <c r="D840" s="178"/>
      <c r="E840" s="178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178"/>
      <c r="B841" s="178"/>
      <c r="C841" s="178"/>
      <c r="D841" s="178"/>
      <c r="E841" s="178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178"/>
      <c r="B842" s="178"/>
      <c r="C842" s="178"/>
      <c r="D842" s="178"/>
      <c r="E842" s="178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178"/>
      <c r="B843" s="178"/>
      <c r="C843" s="178"/>
      <c r="D843" s="178"/>
      <c r="E843" s="178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178"/>
      <c r="B844" s="178"/>
      <c r="C844" s="178"/>
      <c r="D844" s="178"/>
      <c r="E844" s="178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178"/>
      <c r="B845" s="178"/>
      <c r="C845" s="178"/>
      <c r="D845" s="178"/>
      <c r="E845" s="178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178"/>
      <c r="B846" s="178"/>
      <c r="C846" s="178"/>
      <c r="D846" s="178"/>
      <c r="E846" s="178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178"/>
      <c r="B847" s="178"/>
      <c r="C847" s="178"/>
      <c r="D847" s="178"/>
      <c r="E847" s="178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178"/>
      <c r="B848" s="178"/>
      <c r="C848" s="178"/>
      <c r="D848" s="178"/>
      <c r="E848" s="178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178"/>
      <c r="B849" s="178"/>
      <c r="C849" s="178"/>
      <c r="D849" s="178"/>
      <c r="E849" s="178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178"/>
      <c r="B850" s="178"/>
      <c r="C850" s="178"/>
      <c r="D850" s="178"/>
      <c r="E850" s="178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178"/>
      <c r="B851" s="178"/>
      <c r="C851" s="178"/>
      <c r="D851" s="178"/>
      <c r="E851" s="178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178"/>
      <c r="B852" s="178"/>
      <c r="C852" s="178"/>
      <c r="D852" s="178"/>
      <c r="E852" s="178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178"/>
      <c r="B853" s="178"/>
      <c r="C853" s="178"/>
      <c r="D853" s="178"/>
      <c r="E853" s="178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178"/>
      <c r="B854" s="178"/>
      <c r="C854" s="178"/>
      <c r="D854" s="178"/>
      <c r="E854" s="178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178"/>
      <c r="B855" s="178"/>
      <c r="C855" s="178"/>
      <c r="D855" s="178"/>
      <c r="E855" s="178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178"/>
      <c r="B856" s="178"/>
      <c r="C856" s="178"/>
      <c r="D856" s="178"/>
      <c r="E856" s="178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178"/>
      <c r="B857" s="178"/>
      <c r="C857" s="178"/>
      <c r="D857" s="178"/>
      <c r="E857" s="178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178"/>
      <c r="B858" s="178"/>
      <c r="C858" s="178"/>
      <c r="D858" s="178"/>
      <c r="E858" s="178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178"/>
      <c r="B859" s="178"/>
      <c r="C859" s="178"/>
      <c r="D859" s="178"/>
      <c r="E859" s="178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178"/>
      <c r="B860" s="178"/>
      <c r="C860" s="178"/>
      <c r="D860" s="178"/>
      <c r="E860" s="178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178"/>
      <c r="B861" s="178"/>
      <c r="C861" s="178"/>
      <c r="D861" s="178"/>
      <c r="E861" s="178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178"/>
      <c r="B862" s="178"/>
      <c r="C862" s="178"/>
      <c r="D862" s="178"/>
      <c r="E862" s="178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178"/>
      <c r="B863" s="178"/>
      <c r="C863" s="178"/>
      <c r="D863" s="178"/>
      <c r="E863" s="178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178"/>
      <c r="B864" s="178"/>
      <c r="C864" s="178"/>
      <c r="D864" s="178"/>
      <c r="E864" s="178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178"/>
      <c r="B865" s="178"/>
      <c r="C865" s="178"/>
      <c r="D865" s="178"/>
      <c r="E865" s="178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178"/>
      <c r="B866" s="178"/>
      <c r="C866" s="178"/>
      <c r="D866" s="178"/>
      <c r="E866" s="178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178"/>
      <c r="B867" s="178"/>
      <c r="C867" s="178"/>
      <c r="D867" s="178"/>
      <c r="E867" s="178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178"/>
      <c r="B868" s="178"/>
      <c r="C868" s="178"/>
      <c r="D868" s="178"/>
      <c r="E868" s="178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178"/>
      <c r="B869" s="178"/>
      <c r="C869" s="178"/>
      <c r="D869" s="178"/>
      <c r="E869" s="178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178"/>
      <c r="B870" s="178"/>
      <c r="C870" s="178"/>
      <c r="D870" s="178"/>
      <c r="E870" s="178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178"/>
      <c r="B871" s="178"/>
      <c r="C871" s="178"/>
      <c r="D871" s="178"/>
      <c r="E871" s="178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178"/>
      <c r="B872" s="178"/>
      <c r="C872" s="178"/>
      <c r="D872" s="178"/>
      <c r="E872" s="178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178"/>
      <c r="B873" s="178"/>
      <c r="C873" s="178"/>
      <c r="D873" s="178"/>
      <c r="E873" s="178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178"/>
      <c r="B874" s="178"/>
      <c r="C874" s="178"/>
      <c r="D874" s="178"/>
      <c r="E874" s="178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178"/>
      <c r="B875" s="178"/>
      <c r="C875" s="178"/>
      <c r="D875" s="178"/>
      <c r="E875" s="178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178"/>
      <c r="B876" s="178"/>
      <c r="C876" s="178"/>
      <c r="D876" s="178"/>
      <c r="E876" s="178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178"/>
      <c r="B877" s="178"/>
      <c r="C877" s="178"/>
      <c r="D877" s="178"/>
      <c r="E877" s="178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178"/>
      <c r="B878" s="178"/>
      <c r="C878" s="178"/>
      <c r="D878" s="178"/>
      <c r="E878" s="178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178"/>
      <c r="B879" s="178"/>
      <c r="C879" s="178"/>
      <c r="D879" s="178"/>
      <c r="E879" s="178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178"/>
      <c r="B880" s="178"/>
      <c r="C880" s="178"/>
      <c r="D880" s="178"/>
      <c r="E880" s="178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178"/>
      <c r="B881" s="178"/>
      <c r="C881" s="178"/>
      <c r="D881" s="178"/>
      <c r="E881" s="178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178"/>
      <c r="B882" s="178"/>
      <c r="C882" s="178"/>
      <c r="D882" s="178"/>
      <c r="E882" s="178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178"/>
      <c r="B883" s="178"/>
      <c r="C883" s="178"/>
      <c r="D883" s="178"/>
      <c r="E883" s="178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178"/>
      <c r="B884" s="178"/>
      <c r="C884" s="178"/>
      <c r="D884" s="178"/>
      <c r="E884" s="178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178"/>
      <c r="B885" s="178"/>
      <c r="C885" s="178"/>
      <c r="D885" s="178"/>
      <c r="E885" s="178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178"/>
      <c r="B886" s="178"/>
      <c r="C886" s="178"/>
      <c r="D886" s="178"/>
      <c r="E886" s="178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178"/>
      <c r="B887" s="178"/>
      <c r="C887" s="178"/>
      <c r="D887" s="178"/>
      <c r="E887" s="178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178"/>
      <c r="B888" s="178"/>
      <c r="C888" s="178"/>
      <c r="D888" s="178"/>
      <c r="E888" s="178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178"/>
      <c r="B889" s="178"/>
      <c r="C889" s="178"/>
      <c r="D889" s="178"/>
      <c r="E889" s="178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178"/>
      <c r="B890" s="178"/>
      <c r="C890" s="178"/>
      <c r="D890" s="178"/>
      <c r="E890" s="178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178"/>
      <c r="B891" s="178"/>
      <c r="C891" s="178"/>
      <c r="D891" s="178"/>
      <c r="E891" s="178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178"/>
      <c r="B892" s="178"/>
      <c r="C892" s="178"/>
      <c r="D892" s="178"/>
      <c r="E892" s="178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178"/>
      <c r="B893" s="178"/>
      <c r="C893" s="178"/>
      <c r="D893" s="178"/>
      <c r="E893" s="178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178"/>
      <c r="B894" s="178"/>
      <c r="C894" s="178"/>
      <c r="D894" s="178"/>
      <c r="E894" s="178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178"/>
      <c r="B895" s="178"/>
      <c r="C895" s="178"/>
      <c r="D895" s="178"/>
      <c r="E895" s="178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178"/>
      <c r="B896" s="178"/>
      <c r="C896" s="178"/>
      <c r="D896" s="178"/>
      <c r="E896" s="178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178"/>
      <c r="B897" s="178"/>
      <c r="C897" s="178"/>
      <c r="D897" s="178"/>
      <c r="E897" s="178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178"/>
      <c r="B898" s="178"/>
      <c r="C898" s="178"/>
      <c r="D898" s="178"/>
      <c r="E898" s="178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178"/>
      <c r="B899" s="178"/>
      <c r="C899" s="178"/>
      <c r="D899" s="178"/>
      <c r="E899" s="178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178"/>
      <c r="B900" s="178"/>
      <c r="C900" s="178"/>
      <c r="D900" s="178"/>
      <c r="E900" s="178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178"/>
      <c r="B901" s="178"/>
      <c r="C901" s="178"/>
      <c r="D901" s="178"/>
      <c r="E901" s="178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178"/>
      <c r="B902" s="178"/>
      <c r="C902" s="178"/>
      <c r="D902" s="178"/>
      <c r="E902" s="178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178"/>
      <c r="B903" s="178"/>
      <c r="C903" s="178"/>
      <c r="D903" s="178"/>
      <c r="E903" s="178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178"/>
      <c r="B904" s="178"/>
      <c r="C904" s="178"/>
      <c r="D904" s="178"/>
      <c r="E904" s="178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178"/>
      <c r="B905" s="178"/>
      <c r="C905" s="178"/>
      <c r="D905" s="178"/>
      <c r="E905" s="178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178"/>
      <c r="B906" s="178"/>
      <c r="C906" s="178"/>
      <c r="D906" s="178"/>
      <c r="E906" s="178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178"/>
      <c r="B907" s="178"/>
      <c r="C907" s="178"/>
      <c r="D907" s="178"/>
      <c r="E907" s="178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178"/>
      <c r="B908" s="178"/>
      <c r="C908" s="178"/>
      <c r="D908" s="178"/>
      <c r="E908" s="178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178"/>
      <c r="B909" s="178"/>
      <c r="C909" s="178"/>
      <c r="D909" s="178"/>
      <c r="E909" s="178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178"/>
      <c r="B910" s="178"/>
      <c r="C910" s="178"/>
      <c r="D910" s="178"/>
      <c r="E910" s="178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178"/>
      <c r="B911" s="178"/>
      <c r="C911" s="178"/>
      <c r="D911" s="178"/>
      <c r="E911" s="178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178"/>
      <c r="B912" s="178"/>
      <c r="C912" s="178"/>
      <c r="D912" s="178"/>
      <c r="E912" s="178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178"/>
      <c r="B913" s="178"/>
      <c r="C913" s="178"/>
      <c r="D913" s="178"/>
      <c r="E913" s="178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178"/>
      <c r="B914" s="178"/>
      <c r="C914" s="178"/>
      <c r="D914" s="178"/>
      <c r="E914" s="178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178"/>
      <c r="B915" s="178"/>
      <c r="C915" s="178"/>
      <c r="D915" s="178"/>
      <c r="E915" s="178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178"/>
      <c r="B916" s="178"/>
      <c r="C916" s="178"/>
      <c r="D916" s="178"/>
      <c r="E916" s="178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178"/>
      <c r="B917" s="178"/>
      <c r="C917" s="178"/>
      <c r="D917" s="178"/>
      <c r="E917" s="178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178"/>
      <c r="B918" s="178"/>
      <c r="C918" s="178"/>
      <c r="D918" s="178"/>
      <c r="E918" s="178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178"/>
      <c r="B919" s="178"/>
      <c r="C919" s="178"/>
      <c r="D919" s="178"/>
      <c r="E919" s="178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178"/>
      <c r="B920" s="178"/>
      <c r="C920" s="178"/>
      <c r="D920" s="178"/>
      <c r="E920" s="178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178"/>
      <c r="B921" s="178"/>
      <c r="C921" s="178"/>
      <c r="D921" s="178"/>
      <c r="E921" s="178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178"/>
      <c r="B922" s="178"/>
      <c r="C922" s="178"/>
      <c r="D922" s="178"/>
      <c r="E922" s="178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178"/>
      <c r="B923" s="178"/>
      <c r="C923" s="178"/>
      <c r="D923" s="178"/>
      <c r="E923" s="178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178"/>
      <c r="B924" s="178"/>
      <c r="C924" s="178"/>
      <c r="D924" s="178"/>
      <c r="E924" s="178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178"/>
      <c r="B925" s="178"/>
      <c r="C925" s="178"/>
      <c r="D925" s="178"/>
      <c r="E925" s="178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178"/>
      <c r="B926" s="178"/>
      <c r="C926" s="178"/>
      <c r="D926" s="178"/>
      <c r="E926" s="178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178"/>
      <c r="B927" s="178"/>
      <c r="C927" s="178"/>
      <c r="D927" s="178"/>
      <c r="E927" s="178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178"/>
      <c r="B928" s="178"/>
      <c r="C928" s="178"/>
      <c r="D928" s="178"/>
      <c r="E928" s="178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178"/>
      <c r="B929" s="178"/>
      <c r="C929" s="178"/>
      <c r="D929" s="178"/>
      <c r="E929" s="178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178"/>
      <c r="B930" s="178"/>
      <c r="C930" s="178"/>
      <c r="D930" s="178"/>
      <c r="E930" s="178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178"/>
      <c r="B931" s="178"/>
      <c r="C931" s="178"/>
      <c r="D931" s="178"/>
      <c r="E931" s="178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178"/>
      <c r="B932" s="178"/>
      <c r="C932" s="178"/>
      <c r="D932" s="178"/>
      <c r="E932" s="178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178"/>
      <c r="B933" s="178"/>
      <c r="C933" s="178"/>
      <c r="D933" s="178"/>
      <c r="E933" s="178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178"/>
      <c r="B934" s="178"/>
      <c r="C934" s="178"/>
      <c r="D934" s="178"/>
      <c r="E934" s="178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178"/>
      <c r="B935" s="178"/>
      <c r="C935" s="178"/>
      <c r="D935" s="178"/>
      <c r="E935" s="178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178"/>
      <c r="B936" s="178"/>
      <c r="C936" s="178"/>
      <c r="D936" s="178"/>
      <c r="E936" s="178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178"/>
      <c r="B937" s="178"/>
      <c r="C937" s="178"/>
      <c r="D937" s="178"/>
      <c r="E937" s="178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178"/>
      <c r="B938" s="178"/>
      <c r="C938" s="178"/>
      <c r="D938" s="178"/>
      <c r="E938" s="178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178"/>
      <c r="B939" s="178"/>
      <c r="C939" s="178"/>
      <c r="D939" s="178"/>
      <c r="E939" s="178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178"/>
      <c r="B940" s="178"/>
      <c r="C940" s="178"/>
      <c r="D940" s="178"/>
      <c r="E940" s="178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178"/>
      <c r="B941" s="178"/>
      <c r="C941" s="178"/>
      <c r="D941" s="178"/>
      <c r="E941" s="178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178"/>
      <c r="B942" s="178"/>
      <c r="C942" s="178"/>
      <c r="D942" s="178"/>
      <c r="E942" s="178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178"/>
      <c r="B943" s="178"/>
      <c r="C943" s="178"/>
      <c r="D943" s="178"/>
      <c r="E943" s="178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178"/>
      <c r="B944" s="178"/>
      <c r="C944" s="178"/>
      <c r="D944" s="178"/>
      <c r="E944" s="178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178"/>
      <c r="B945" s="178"/>
      <c r="C945" s="178"/>
      <c r="D945" s="178"/>
      <c r="E945" s="178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178"/>
      <c r="B946" s="178"/>
      <c r="C946" s="178"/>
      <c r="D946" s="178"/>
      <c r="E946" s="178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178"/>
      <c r="B947" s="178"/>
      <c r="C947" s="178"/>
      <c r="D947" s="178"/>
      <c r="E947" s="178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178"/>
      <c r="B948" s="178"/>
      <c r="C948" s="178"/>
      <c r="D948" s="178"/>
      <c r="E948" s="178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178"/>
      <c r="B949" s="178"/>
      <c r="C949" s="178"/>
      <c r="D949" s="178"/>
      <c r="E949" s="178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178"/>
      <c r="B950" s="178"/>
      <c r="C950" s="178"/>
      <c r="D950" s="178"/>
      <c r="E950" s="178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178"/>
      <c r="B951" s="178"/>
      <c r="C951" s="178"/>
      <c r="D951" s="178"/>
      <c r="E951" s="178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178"/>
      <c r="B952" s="178"/>
      <c r="C952" s="178"/>
      <c r="D952" s="178"/>
      <c r="E952" s="178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178"/>
      <c r="B953" s="178"/>
      <c r="C953" s="178"/>
      <c r="D953" s="178"/>
      <c r="E953" s="178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178"/>
      <c r="B954" s="178"/>
      <c r="C954" s="178"/>
      <c r="D954" s="178"/>
      <c r="E954" s="178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178"/>
      <c r="B955" s="178"/>
      <c r="C955" s="178"/>
      <c r="D955" s="178"/>
      <c r="E955" s="178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178"/>
      <c r="B956" s="178"/>
      <c r="C956" s="178"/>
      <c r="D956" s="178"/>
      <c r="E956" s="178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178"/>
      <c r="B957" s="178"/>
      <c r="C957" s="178"/>
      <c r="D957" s="178"/>
      <c r="E957" s="178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178"/>
      <c r="B958" s="178"/>
      <c r="C958" s="178"/>
      <c r="D958" s="178"/>
      <c r="E958" s="178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178"/>
      <c r="B959" s="178"/>
      <c r="C959" s="178"/>
      <c r="D959" s="178"/>
      <c r="E959" s="178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178"/>
      <c r="B960" s="178"/>
      <c r="C960" s="178"/>
      <c r="D960" s="178"/>
      <c r="E960" s="178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178"/>
      <c r="B961" s="178"/>
      <c r="C961" s="178"/>
      <c r="D961" s="178"/>
      <c r="E961" s="178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178"/>
      <c r="B962" s="178"/>
      <c r="C962" s="178"/>
      <c r="D962" s="178"/>
      <c r="E962" s="178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178"/>
      <c r="B963" s="178"/>
      <c r="C963" s="178"/>
      <c r="D963" s="178"/>
      <c r="E963" s="178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178"/>
      <c r="B964" s="178"/>
      <c r="C964" s="178"/>
      <c r="D964" s="178"/>
      <c r="E964" s="178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178"/>
      <c r="B965" s="178"/>
      <c r="C965" s="178"/>
      <c r="D965" s="178"/>
      <c r="E965" s="178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178"/>
      <c r="B966" s="178"/>
      <c r="C966" s="178"/>
      <c r="D966" s="178"/>
      <c r="E966" s="178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178"/>
      <c r="B967" s="178"/>
      <c r="C967" s="178"/>
      <c r="D967" s="178"/>
      <c r="E967" s="178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178"/>
      <c r="B968" s="178"/>
      <c r="C968" s="178"/>
      <c r="D968" s="178"/>
      <c r="E968" s="178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178"/>
      <c r="B969" s="178"/>
      <c r="C969" s="178"/>
      <c r="D969" s="178"/>
      <c r="E969" s="178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178"/>
      <c r="B970" s="178"/>
      <c r="C970" s="178"/>
      <c r="D970" s="178"/>
      <c r="E970" s="178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178"/>
      <c r="B971" s="178"/>
      <c r="C971" s="178"/>
      <c r="D971" s="178"/>
      <c r="E971" s="178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178"/>
      <c r="B972" s="178"/>
      <c r="C972" s="178"/>
      <c r="D972" s="178"/>
      <c r="E972" s="178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178"/>
      <c r="B973" s="178"/>
      <c r="C973" s="178"/>
      <c r="D973" s="178"/>
      <c r="E973" s="178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178"/>
      <c r="B974" s="178"/>
      <c r="C974" s="178"/>
      <c r="D974" s="178"/>
      <c r="E974" s="178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178"/>
      <c r="B975" s="178"/>
      <c r="C975" s="178"/>
      <c r="D975" s="178"/>
      <c r="E975" s="178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178"/>
      <c r="B976" s="178"/>
      <c r="C976" s="178"/>
      <c r="D976" s="178"/>
      <c r="E976" s="178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178"/>
      <c r="B977" s="178"/>
      <c r="C977" s="178"/>
      <c r="D977" s="178"/>
      <c r="E977" s="178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178"/>
      <c r="B978" s="178"/>
      <c r="C978" s="178"/>
      <c r="D978" s="178"/>
      <c r="E978" s="178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178"/>
      <c r="B979" s="178"/>
      <c r="C979" s="178"/>
      <c r="D979" s="178"/>
      <c r="E979" s="178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178"/>
      <c r="B980" s="178"/>
      <c r="C980" s="178"/>
      <c r="D980" s="178"/>
      <c r="E980" s="178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178"/>
      <c r="B981" s="178"/>
      <c r="C981" s="178"/>
      <c r="D981" s="178"/>
      <c r="E981" s="178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178"/>
      <c r="B982" s="178"/>
      <c r="C982" s="178"/>
      <c r="D982" s="178"/>
      <c r="E982" s="178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178"/>
      <c r="B983" s="178"/>
      <c r="C983" s="178"/>
      <c r="D983" s="178"/>
      <c r="E983" s="178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178"/>
      <c r="B984" s="178"/>
      <c r="C984" s="178"/>
      <c r="D984" s="178"/>
      <c r="E984" s="178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178"/>
      <c r="B985" s="178"/>
      <c r="C985" s="178"/>
      <c r="D985" s="178"/>
      <c r="E985" s="178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178"/>
      <c r="B986" s="178"/>
      <c r="C986" s="178"/>
      <c r="D986" s="178"/>
      <c r="E986" s="178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178"/>
      <c r="B987" s="178"/>
      <c r="C987" s="178"/>
      <c r="D987" s="178"/>
      <c r="E987" s="178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178"/>
      <c r="B988" s="178"/>
      <c r="C988" s="178"/>
      <c r="D988" s="178"/>
      <c r="E988" s="178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178"/>
      <c r="B989" s="178"/>
      <c r="C989" s="178"/>
      <c r="D989" s="178"/>
      <c r="E989" s="178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178"/>
      <c r="B990" s="178"/>
      <c r="C990" s="178"/>
      <c r="D990" s="178"/>
      <c r="E990" s="178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178"/>
      <c r="B991" s="178"/>
      <c r="C991" s="178"/>
      <c r="D991" s="178"/>
      <c r="E991" s="178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178"/>
      <c r="B992" s="178"/>
      <c r="C992" s="178"/>
      <c r="D992" s="178"/>
      <c r="E992" s="178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178"/>
      <c r="B993" s="178"/>
      <c r="C993" s="178"/>
      <c r="D993" s="178"/>
      <c r="E993" s="178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178"/>
      <c r="B994" s="178"/>
      <c r="C994" s="178"/>
      <c r="D994" s="178"/>
      <c r="E994" s="178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178"/>
      <c r="B995" s="178"/>
      <c r="C995" s="178"/>
      <c r="D995" s="178"/>
      <c r="E995" s="178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178"/>
      <c r="B996" s="178"/>
      <c r="C996" s="178"/>
      <c r="D996" s="178"/>
      <c r="E996" s="178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>
      <c r="A997" s="178"/>
      <c r="B997" s="178"/>
      <c r="C997" s="178"/>
      <c r="D997" s="178"/>
      <c r="E997" s="178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>
      <c r="A998" s="178"/>
      <c r="B998" s="178"/>
      <c r="C998" s="178"/>
      <c r="D998" s="178"/>
      <c r="E998" s="178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>
      <c r="A999" s="178"/>
      <c r="B999" s="178"/>
      <c r="C999" s="178"/>
      <c r="D999" s="178"/>
      <c r="E999" s="178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  <row r="1001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</row>
    <row r="1002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</row>
  </sheetData>
  <mergeCells count="1">
    <mergeCell ref="G8:H8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40.63"/>
    <col customWidth="1" min="3" max="3" width="12.0"/>
    <col customWidth="1" min="4" max="4" width="36.0"/>
    <col customWidth="1" min="5" max="5" width="10.38"/>
    <col customWidth="1" min="7" max="7" width="76.8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178"/>
      <c r="G1" s="80" t="s">
        <v>5</v>
      </c>
      <c r="H1" s="81">
        <f>H4</f>
        <v>27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149" t="s">
        <v>990</v>
      </c>
      <c r="B2" s="73" t="s">
        <v>742</v>
      </c>
      <c r="C2" s="73" t="s">
        <v>963</v>
      </c>
      <c r="D2" s="73">
        <v>21.0</v>
      </c>
      <c r="E2" s="168">
        <v>0.25</v>
      </c>
      <c r="F2" s="178"/>
      <c r="G2" s="82" t="s">
        <v>9</v>
      </c>
      <c r="H2" s="82">
        <f>COUNTIF(C:C,"*LSP*")
</f>
        <v>19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169" t="s">
        <v>991</v>
      </c>
      <c r="B3" s="73" t="s">
        <v>97</v>
      </c>
      <c r="C3" s="73" t="s">
        <v>12</v>
      </c>
      <c r="D3" s="73">
        <v>25.0</v>
      </c>
      <c r="E3" s="168">
        <v>0.25</v>
      </c>
      <c r="F3" s="178"/>
      <c r="G3" s="82" t="s">
        <v>13</v>
      </c>
      <c r="H3" s="82">
        <f>COUNTIF(C:C,"*SOC*")
</f>
        <v>10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169" t="s">
        <v>992</v>
      </c>
      <c r="B4" s="73" t="s">
        <v>7</v>
      </c>
      <c r="C4" s="73" t="s">
        <v>8</v>
      </c>
      <c r="D4" s="73">
        <v>23.0</v>
      </c>
      <c r="E4" s="168">
        <v>0.25</v>
      </c>
      <c r="F4" s="178"/>
      <c r="G4" s="82" t="s">
        <v>810</v>
      </c>
      <c r="H4" s="198">
        <f>COUNTIFS(D:D,"&gt;=5",D:D,"&lt;=114")</f>
        <v>27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69" t="s">
        <v>993</v>
      </c>
      <c r="B5" s="73" t="s">
        <v>27</v>
      </c>
      <c r="C5" s="73" t="s">
        <v>28</v>
      </c>
      <c r="D5" s="73">
        <v>16.0</v>
      </c>
      <c r="E5" s="168">
        <v>0.2708333333333333</v>
      </c>
      <c r="F5" s="178"/>
      <c r="G5" s="82" t="s">
        <v>20</v>
      </c>
      <c r="H5" s="82">
        <f>COUNTIF(D:D,"*NÃO DOCOU*")</f>
        <v>1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169" t="s">
        <v>994</v>
      </c>
      <c r="B6" s="73" t="s">
        <v>34</v>
      </c>
      <c r="C6" s="73" t="s">
        <v>35</v>
      </c>
      <c r="D6" s="73">
        <v>47.0</v>
      </c>
      <c r="E6" s="168">
        <v>0.2708333333333333</v>
      </c>
      <c r="F6" s="178"/>
      <c r="G6" s="198" t="s">
        <v>25</v>
      </c>
      <c r="H6" s="199">
        <f>COUNTIF(D:D,"*NÃO CHEGOU*")
</f>
        <v>1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169" t="s">
        <v>995</v>
      </c>
      <c r="B7" s="73" t="s">
        <v>37</v>
      </c>
      <c r="C7" s="73" t="s">
        <v>38</v>
      </c>
      <c r="D7" s="73">
        <v>88.0</v>
      </c>
      <c r="E7" s="168">
        <v>0.2916666666666667</v>
      </c>
      <c r="F7" s="178"/>
      <c r="G7" s="82" t="s">
        <v>815</v>
      </c>
      <c r="H7" s="82">
        <f>COUNTIF(D:D,"*DRIVER DUPLICADO*")</f>
        <v>0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169" t="s">
        <v>996</v>
      </c>
      <c r="B8" s="146" t="s">
        <v>37</v>
      </c>
      <c r="C8" s="146" t="s">
        <v>38</v>
      </c>
      <c r="D8" s="73">
        <v>89.0</v>
      </c>
      <c r="E8" s="168">
        <v>0.2916666666666667</v>
      </c>
      <c r="F8" s="178"/>
      <c r="G8" s="18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169" t="s">
        <v>997</v>
      </c>
      <c r="B9" s="73" t="s">
        <v>264</v>
      </c>
      <c r="C9" s="73" t="s">
        <v>812</v>
      </c>
      <c r="D9" s="73">
        <v>98.0</v>
      </c>
      <c r="E9" s="168">
        <v>0.2916666666666667</v>
      </c>
      <c r="F9" s="178"/>
      <c r="G9" s="9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149" t="s">
        <v>998</v>
      </c>
      <c r="B10" s="73" t="s">
        <v>563</v>
      </c>
      <c r="C10" s="167" t="s">
        <v>138</v>
      </c>
      <c r="D10" s="167">
        <v>102.0</v>
      </c>
      <c r="E10" s="168">
        <v>0.2916666666666667</v>
      </c>
      <c r="F10" s="178"/>
      <c r="G10" s="200"/>
      <c r="H10" s="178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169" t="s">
        <v>999</v>
      </c>
      <c r="B11" s="73" t="s">
        <v>563</v>
      </c>
      <c r="C11" s="167" t="s">
        <v>138</v>
      </c>
      <c r="D11" s="167">
        <v>103.0</v>
      </c>
      <c r="E11" s="168">
        <v>0.2916666666666667</v>
      </c>
      <c r="F11" s="178"/>
      <c r="G11" s="84" t="s">
        <v>1000</v>
      </c>
      <c r="H11" s="9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169" t="s">
        <v>1001</v>
      </c>
      <c r="B12" s="146" t="s">
        <v>563</v>
      </c>
      <c r="C12" s="146" t="s">
        <v>138</v>
      </c>
      <c r="D12" s="146" t="s">
        <v>167</v>
      </c>
      <c r="E12" s="168">
        <v>0.2916666666666667</v>
      </c>
      <c r="F12" s="178"/>
      <c r="G12" s="187" t="s">
        <v>653</v>
      </c>
      <c r="H12" s="178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169" t="s">
        <v>1002</v>
      </c>
      <c r="B13" s="167" t="s">
        <v>326</v>
      </c>
      <c r="C13" s="167" t="s">
        <v>807</v>
      </c>
      <c r="D13" s="167">
        <v>18.0</v>
      </c>
      <c r="E13" s="168">
        <v>0.2916666666666667</v>
      </c>
      <c r="F13" s="178"/>
      <c r="G13" s="178"/>
      <c r="H13" s="178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94" t="s">
        <v>1003</v>
      </c>
      <c r="B14" s="170" t="s">
        <v>48</v>
      </c>
      <c r="C14" s="170" t="s">
        <v>49</v>
      </c>
      <c r="D14" s="170">
        <v>35.0</v>
      </c>
      <c r="E14" s="168">
        <v>0.2916666666666667</v>
      </c>
      <c r="F14" s="178"/>
      <c r="G14" s="178"/>
      <c r="H14" s="178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94" t="s">
        <v>1004</v>
      </c>
      <c r="B15" s="73" t="s">
        <v>51</v>
      </c>
      <c r="C15" s="73" t="s">
        <v>52</v>
      </c>
      <c r="D15" s="73">
        <v>32.0</v>
      </c>
      <c r="E15" s="168">
        <v>0.2916666666666667</v>
      </c>
      <c r="F15" s="178"/>
      <c r="G15" s="178"/>
      <c r="H15" s="178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169" t="s">
        <v>1005</v>
      </c>
      <c r="B16" s="73" t="s">
        <v>54</v>
      </c>
      <c r="C16" s="73" t="s">
        <v>55</v>
      </c>
      <c r="D16" s="73">
        <v>46.0</v>
      </c>
      <c r="E16" s="150">
        <v>0.2916666666666667</v>
      </c>
      <c r="F16" s="178"/>
      <c r="G16" s="178"/>
      <c r="H16" s="178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169" t="s">
        <v>1006</v>
      </c>
      <c r="B17" s="73" t="s">
        <v>118</v>
      </c>
      <c r="C17" s="73" t="s">
        <v>58</v>
      </c>
      <c r="D17" s="73">
        <v>14.0</v>
      </c>
      <c r="E17" s="150">
        <v>0.2916666666666667</v>
      </c>
      <c r="F17" s="178"/>
      <c r="G17" s="178"/>
      <c r="H17" s="178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94" t="s">
        <v>1007</v>
      </c>
      <c r="B18" s="73" t="s">
        <v>68</v>
      </c>
      <c r="C18" s="73" t="s">
        <v>69</v>
      </c>
      <c r="D18" s="73">
        <v>33.0</v>
      </c>
      <c r="E18" s="150">
        <v>0.3125</v>
      </c>
      <c r="F18" s="178"/>
      <c r="G18" s="178"/>
      <c r="H18" s="178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169" t="s">
        <v>1008</v>
      </c>
      <c r="B19" s="73" t="s">
        <v>399</v>
      </c>
      <c r="C19" s="73" t="s">
        <v>157</v>
      </c>
      <c r="D19" s="73">
        <v>34.0</v>
      </c>
      <c r="E19" s="150">
        <v>0.3125</v>
      </c>
      <c r="F19" s="178"/>
      <c r="G19" s="178"/>
      <c r="H19" s="178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169" t="s">
        <v>1009</v>
      </c>
      <c r="B20" s="146" t="s">
        <v>78</v>
      </c>
      <c r="C20" s="146" t="s">
        <v>79</v>
      </c>
      <c r="D20" s="146">
        <v>17.0</v>
      </c>
      <c r="E20" s="150">
        <v>0.3125</v>
      </c>
      <c r="F20" s="178"/>
      <c r="G20" s="178"/>
      <c r="H20" s="178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169" t="s">
        <v>1010</v>
      </c>
      <c r="B21" s="146" t="s">
        <v>81</v>
      </c>
      <c r="C21" s="146" t="s">
        <v>82</v>
      </c>
      <c r="D21" s="146" t="s">
        <v>25</v>
      </c>
      <c r="E21" s="150">
        <v>0.3125</v>
      </c>
      <c r="F21" s="178"/>
      <c r="G21" s="178"/>
      <c r="H21" s="178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169" t="s">
        <v>1011</v>
      </c>
      <c r="B22" s="146" t="s">
        <v>71</v>
      </c>
      <c r="C22" s="146" t="s">
        <v>72</v>
      </c>
      <c r="D22" s="146">
        <v>6.0</v>
      </c>
      <c r="E22" s="150">
        <v>0.3125</v>
      </c>
      <c r="F22" s="178"/>
      <c r="G22" s="178"/>
      <c r="H22" s="178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169" t="s">
        <v>1012</v>
      </c>
      <c r="B23" s="167" t="s">
        <v>672</v>
      </c>
      <c r="C23" s="167" t="s">
        <v>42</v>
      </c>
      <c r="D23" s="167">
        <v>87.0</v>
      </c>
      <c r="E23" s="181">
        <v>0.3333333333333333</v>
      </c>
      <c r="F23" s="178"/>
      <c r="G23" s="178"/>
      <c r="H23" s="178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169" t="s">
        <v>1013</v>
      </c>
      <c r="B24" s="167" t="s">
        <v>986</v>
      </c>
      <c r="C24" s="167" t="s">
        <v>987</v>
      </c>
      <c r="D24" s="167">
        <v>12.0</v>
      </c>
      <c r="E24" s="181">
        <v>0.3333333333333333</v>
      </c>
      <c r="F24" s="178"/>
      <c r="G24" s="178"/>
      <c r="H24" s="178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169" t="s">
        <v>1014</v>
      </c>
      <c r="B25" s="167" t="s">
        <v>248</v>
      </c>
      <c r="C25" s="167" t="s">
        <v>249</v>
      </c>
      <c r="D25" s="167">
        <v>28.0</v>
      </c>
      <c r="E25" s="181">
        <v>0.3333333333333333</v>
      </c>
      <c r="F25" s="178"/>
      <c r="G25" s="178"/>
      <c r="H25" s="178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169" t="s">
        <v>1015</v>
      </c>
      <c r="B26" s="167" t="s">
        <v>410</v>
      </c>
      <c r="C26" s="167" t="s">
        <v>94</v>
      </c>
      <c r="D26" s="167">
        <v>27.0</v>
      </c>
      <c r="E26" s="181">
        <v>0.3333333333333333</v>
      </c>
      <c r="F26" s="178"/>
      <c r="G26" s="178"/>
      <c r="H26" s="178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169" t="s">
        <v>1016</v>
      </c>
      <c r="B27" s="167" t="s">
        <v>61</v>
      </c>
      <c r="C27" s="167" t="s">
        <v>62</v>
      </c>
      <c r="D27" s="167">
        <v>41.0</v>
      </c>
      <c r="E27" s="181">
        <v>0.3333333333333333</v>
      </c>
      <c r="F27" s="178"/>
      <c r="G27" s="178"/>
      <c r="H27" s="178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167" t="s">
        <v>1017</v>
      </c>
      <c r="B28" s="167" t="s">
        <v>31</v>
      </c>
      <c r="C28" s="167" t="s">
        <v>32</v>
      </c>
      <c r="D28" s="167">
        <v>9.0</v>
      </c>
      <c r="E28" s="181">
        <v>0.3333333333333333</v>
      </c>
      <c r="F28" s="178"/>
      <c r="G28" s="178"/>
      <c r="H28" s="178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167" t="s">
        <v>1018</v>
      </c>
      <c r="B29" s="73" t="s">
        <v>845</v>
      </c>
      <c r="C29" s="73" t="s">
        <v>846</v>
      </c>
      <c r="D29" s="73">
        <v>45.0</v>
      </c>
      <c r="E29" s="181">
        <v>0.3333333333333333</v>
      </c>
      <c r="F29" s="178"/>
      <c r="G29" s="178"/>
      <c r="H29" s="178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167" t="s">
        <v>1019</v>
      </c>
      <c r="B30" s="170" t="s">
        <v>84</v>
      </c>
      <c r="C30" s="170" t="s">
        <v>85</v>
      </c>
      <c r="D30" s="170">
        <v>96.0</v>
      </c>
      <c r="E30" s="181">
        <v>0.625</v>
      </c>
      <c r="F30" s="178"/>
      <c r="G30" s="178"/>
      <c r="H30" s="178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167"/>
      <c r="B31" s="170"/>
      <c r="C31" s="170"/>
      <c r="D31" s="170"/>
      <c r="E31" s="181"/>
      <c r="F31" s="178"/>
      <c r="G31" s="178"/>
      <c r="H31" s="178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173"/>
      <c r="B32" s="172"/>
      <c r="C32" s="172"/>
      <c r="D32" s="172"/>
      <c r="E32" s="166"/>
      <c r="F32" s="178"/>
      <c r="G32" s="178"/>
      <c r="H32" s="178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173"/>
      <c r="B33" s="172"/>
      <c r="C33" s="172"/>
      <c r="D33" s="172"/>
      <c r="E33" s="166"/>
      <c r="F33" s="178"/>
      <c r="G33" s="178"/>
      <c r="H33" s="178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216"/>
      <c r="B34" s="131"/>
      <c r="C34" s="131"/>
      <c r="D34" s="131"/>
      <c r="E34" s="166"/>
      <c r="F34" s="178"/>
      <c r="G34" s="178"/>
      <c r="H34" s="178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216"/>
      <c r="B35" s="131"/>
      <c r="C35" s="131"/>
      <c r="D35" s="131"/>
      <c r="E35" s="136"/>
      <c r="F35" s="178"/>
      <c r="G35" s="178"/>
      <c r="H35" s="178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215"/>
      <c r="B36" s="131"/>
      <c r="C36" s="131"/>
      <c r="D36" s="131"/>
      <c r="E36" s="136"/>
      <c r="F36" s="178"/>
      <c r="G36" s="178"/>
      <c r="H36" s="178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216"/>
      <c r="B37" s="131"/>
      <c r="C37" s="131"/>
      <c r="D37" s="131"/>
      <c r="E37" s="136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211"/>
      <c r="B38" s="131"/>
      <c r="C38" s="131"/>
      <c r="D38" s="131"/>
      <c r="E38" s="136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212"/>
      <c r="B39" s="110"/>
      <c r="C39" s="110"/>
      <c r="D39" s="110"/>
      <c r="E39" s="111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204"/>
      <c r="B40" s="131"/>
      <c r="C40" s="131"/>
      <c r="D40" s="131"/>
      <c r="E40" s="136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05"/>
      <c r="B41" s="131"/>
      <c r="C41" s="131"/>
      <c r="D41" s="131"/>
      <c r="E41" s="136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05"/>
      <c r="B42" s="131"/>
      <c r="C42" s="131"/>
      <c r="D42" s="131"/>
      <c r="E42" s="136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06"/>
      <c r="B43" s="131"/>
      <c r="C43" s="131"/>
      <c r="D43" s="131"/>
      <c r="E43" s="136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174"/>
      <c r="B44" s="110"/>
      <c r="C44" s="110"/>
      <c r="D44" s="110"/>
      <c r="E44" s="111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174"/>
      <c r="B45" s="110"/>
      <c r="C45" s="110"/>
      <c r="D45" s="110"/>
      <c r="E45" s="111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174"/>
      <c r="B46" s="110"/>
      <c r="C46" s="110"/>
      <c r="D46" s="110"/>
      <c r="E46" s="111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177"/>
      <c r="B47" s="110"/>
      <c r="C47" s="110"/>
      <c r="D47" s="110"/>
      <c r="E47" s="111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174"/>
      <c r="B48" s="110"/>
      <c r="C48" s="110"/>
      <c r="D48" s="110"/>
      <c r="E48" s="111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174"/>
      <c r="B49" s="110"/>
      <c r="C49" s="110"/>
      <c r="D49" s="110"/>
      <c r="E49" s="111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178"/>
      <c r="B50" s="178"/>
      <c r="C50" s="178"/>
      <c r="D50" s="178"/>
      <c r="E50" s="178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178"/>
      <c r="B51" s="178"/>
      <c r="C51" s="178"/>
      <c r="D51" s="178"/>
      <c r="E51" s="178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178"/>
      <c r="B52" s="178"/>
      <c r="C52" s="178"/>
      <c r="D52" s="178"/>
      <c r="E52" s="178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178"/>
      <c r="B53" s="178"/>
      <c r="C53" s="178"/>
      <c r="D53" s="178"/>
      <c r="E53" s="178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178"/>
      <c r="B54" s="178"/>
      <c r="C54" s="178"/>
      <c r="D54" s="178"/>
      <c r="E54" s="178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178"/>
      <c r="B55" s="178"/>
      <c r="C55" s="178"/>
      <c r="D55" s="178"/>
      <c r="E55" s="178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178"/>
      <c r="B56" s="178"/>
      <c r="C56" s="178"/>
      <c r="D56" s="178"/>
      <c r="E56" s="178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178"/>
      <c r="B57" s="178"/>
      <c r="C57" s="178"/>
      <c r="D57" s="178"/>
      <c r="E57" s="178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178"/>
      <c r="B58" s="178"/>
      <c r="C58" s="178"/>
      <c r="D58" s="178"/>
      <c r="E58" s="178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178"/>
      <c r="B59" s="178"/>
      <c r="C59" s="178"/>
      <c r="D59" s="178"/>
      <c r="E59" s="178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178"/>
      <c r="B60" s="178"/>
      <c r="C60" s="178"/>
      <c r="D60" s="178"/>
      <c r="E60" s="178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178"/>
      <c r="B61" s="178"/>
      <c r="C61" s="178"/>
      <c r="D61" s="178"/>
      <c r="E61" s="178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178"/>
      <c r="B62" s="178"/>
      <c r="C62" s="178"/>
      <c r="D62" s="178"/>
      <c r="E62" s="178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178"/>
      <c r="B63" s="178"/>
      <c r="C63" s="178"/>
      <c r="D63" s="178"/>
      <c r="E63" s="178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178"/>
      <c r="B64" s="178"/>
      <c r="C64" s="178"/>
      <c r="D64" s="178"/>
      <c r="E64" s="178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178"/>
      <c r="B65" s="178"/>
      <c r="C65" s="178"/>
      <c r="D65" s="178"/>
      <c r="E65" s="178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178"/>
      <c r="B66" s="178"/>
      <c r="C66" s="178"/>
      <c r="D66" s="178"/>
      <c r="E66" s="178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178"/>
      <c r="B67" s="178"/>
      <c r="C67" s="178"/>
      <c r="D67" s="178"/>
      <c r="E67" s="178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178"/>
      <c r="B68" s="178"/>
      <c r="C68" s="178"/>
      <c r="D68" s="178"/>
      <c r="E68" s="178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178"/>
      <c r="B69" s="178"/>
      <c r="C69" s="178"/>
      <c r="D69" s="178"/>
      <c r="E69" s="178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178"/>
      <c r="B70" s="178"/>
      <c r="C70" s="178"/>
      <c r="D70" s="178"/>
      <c r="E70" s="178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178"/>
      <c r="B71" s="178"/>
      <c r="C71" s="178"/>
      <c r="D71" s="178"/>
      <c r="E71" s="178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178"/>
      <c r="B72" s="178"/>
      <c r="C72" s="178"/>
      <c r="D72" s="178"/>
      <c r="E72" s="178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178"/>
      <c r="B73" s="178"/>
      <c r="C73" s="178"/>
      <c r="D73" s="178"/>
      <c r="E73" s="178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178"/>
      <c r="B74" s="178"/>
      <c r="C74" s="178"/>
      <c r="D74" s="178"/>
      <c r="E74" s="178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178"/>
      <c r="B75" s="178"/>
      <c r="C75" s="178"/>
      <c r="D75" s="178"/>
      <c r="E75" s="178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178"/>
      <c r="B76" s="178"/>
      <c r="C76" s="178"/>
      <c r="D76" s="178"/>
      <c r="E76" s="178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178"/>
      <c r="B77" s="178"/>
      <c r="C77" s="178"/>
      <c r="D77" s="178"/>
      <c r="E77" s="178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178"/>
      <c r="B78" s="178"/>
      <c r="C78" s="178"/>
      <c r="D78" s="178"/>
      <c r="E78" s="178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178"/>
      <c r="B79" s="178"/>
      <c r="C79" s="178"/>
      <c r="D79" s="178"/>
      <c r="E79" s="178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178"/>
      <c r="B80" s="178"/>
      <c r="C80" s="178"/>
      <c r="D80" s="178"/>
      <c r="E80" s="178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178"/>
      <c r="B81" s="178"/>
      <c r="C81" s="178"/>
      <c r="D81" s="178"/>
      <c r="E81" s="178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178"/>
      <c r="B82" s="178"/>
      <c r="C82" s="178"/>
      <c r="D82" s="178"/>
      <c r="E82" s="178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178"/>
      <c r="B83" s="178"/>
      <c r="C83" s="178"/>
      <c r="D83" s="178"/>
      <c r="E83" s="178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178"/>
      <c r="B84" s="178"/>
      <c r="C84" s="178"/>
      <c r="D84" s="178"/>
      <c r="E84" s="178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178"/>
      <c r="B85" s="178"/>
      <c r="C85" s="178"/>
      <c r="D85" s="178"/>
      <c r="E85" s="178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178"/>
      <c r="B86" s="178"/>
      <c r="C86" s="178"/>
      <c r="D86" s="178"/>
      <c r="E86" s="178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178"/>
      <c r="B87" s="178"/>
      <c r="C87" s="178"/>
      <c r="D87" s="178"/>
      <c r="E87" s="178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178"/>
      <c r="B88" s="178"/>
      <c r="C88" s="178"/>
      <c r="D88" s="178"/>
      <c r="E88" s="178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178"/>
      <c r="B89" s="178"/>
      <c r="C89" s="178"/>
      <c r="D89" s="178"/>
      <c r="E89" s="178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178"/>
      <c r="B90" s="178"/>
      <c r="C90" s="178"/>
      <c r="D90" s="178"/>
      <c r="E90" s="178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178"/>
      <c r="B91" s="178"/>
      <c r="C91" s="178"/>
      <c r="D91" s="178"/>
      <c r="E91" s="178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178"/>
      <c r="B92" s="178"/>
      <c r="C92" s="178"/>
      <c r="D92" s="178"/>
      <c r="E92" s="178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178"/>
      <c r="B93" s="178"/>
      <c r="C93" s="178"/>
      <c r="D93" s="178"/>
      <c r="E93" s="178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178"/>
      <c r="B94" s="178"/>
      <c r="C94" s="178"/>
      <c r="D94" s="178"/>
      <c r="E94" s="178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178"/>
      <c r="B95" s="178"/>
      <c r="C95" s="178"/>
      <c r="D95" s="178"/>
      <c r="E95" s="178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178"/>
      <c r="B96" s="178"/>
      <c r="C96" s="178"/>
      <c r="D96" s="178"/>
      <c r="E96" s="178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178"/>
      <c r="B97" s="178"/>
      <c r="C97" s="178"/>
      <c r="D97" s="178"/>
      <c r="E97" s="178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178"/>
      <c r="B98" s="178"/>
      <c r="C98" s="178"/>
      <c r="D98" s="178"/>
      <c r="E98" s="178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178"/>
      <c r="B99" s="178"/>
      <c r="C99" s="178"/>
      <c r="D99" s="178"/>
      <c r="E99" s="178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178"/>
      <c r="B100" s="178"/>
      <c r="C100" s="178"/>
      <c r="D100" s="178"/>
      <c r="E100" s="178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178"/>
      <c r="B101" s="178"/>
      <c r="C101" s="178"/>
      <c r="D101" s="178"/>
      <c r="E101" s="178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178"/>
      <c r="B102" s="178"/>
      <c r="C102" s="178"/>
      <c r="D102" s="178"/>
      <c r="E102" s="178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178"/>
      <c r="B103" s="178"/>
      <c r="C103" s="178"/>
      <c r="D103" s="178"/>
      <c r="E103" s="178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178"/>
      <c r="B104" s="178"/>
      <c r="C104" s="178"/>
      <c r="D104" s="178"/>
      <c r="E104" s="178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178"/>
      <c r="B105" s="178"/>
      <c r="C105" s="178"/>
      <c r="D105" s="178"/>
      <c r="E105" s="178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178"/>
      <c r="B106" s="178"/>
      <c r="C106" s="178"/>
      <c r="D106" s="178"/>
      <c r="E106" s="178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178"/>
      <c r="B107" s="178"/>
      <c r="C107" s="178"/>
      <c r="D107" s="178"/>
      <c r="E107" s="178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178"/>
      <c r="B108" s="178"/>
      <c r="C108" s="178"/>
      <c r="D108" s="178"/>
      <c r="E108" s="178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178"/>
      <c r="B109" s="178"/>
      <c r="C109" s="178"/>
      <c r="D109" s="178"/>
      <c r="E109" s="178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178"/>
      <c r="B110" s="178"/>
      <c r="C110" s="178"/>
      <c r="D110" s="178"/>
      <c r="E110" s="178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178"/>
      <c r="B111" s="178"/>
      <c r="C111" s="178"/>
      <c r="D111" s="178"/>
      <c r="E111" s="178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178"/>
      <c r="B112" s="178"/>
      <c r="C112" s="178"/>
      <c r="D112" s="178"/>
      <c r="E112" s="178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178"/>
      <c r="B113" s="178"/>
      <c r="C113" s="178"/>
      <c r="D113" s="178"/>
      <c r="E113" s="178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178"/>
      <c r="B114" s="178"/>
      <c r="C114" s="178"/>
      <c r="D114" s="178"/>
      <c r="E114" s="178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178"/>
      <c r="B115" s="178"/>
      <c r="C115" s="178"/>
      <c r="D115" s="178"/>
      <c r="E115" s="178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178"/>
      <c r="B116" s="178"/>
      <c r="C116" s="178"/>
      <c r="D116" s="178"/>
      <c r="E116" s="178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178"/>
      <c r="B117" s="178"/>
      <c r="C117" s="178"/>
      <c r="D117" s="178"/>
      <c r="E117" s="178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178"/>
      <c r="B118" s="178"/>
      <c r="C118" s="178"/>
      <c r="D118" s="178"/>
      <c r="E118" s="178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178"/>
      <c r="B119" s="178"/>
      <c r="C119" s="178"/>
      <c r="D119" s="178"/>
      <c r="E119" s="178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178"/>
      <c r="B120" s="178"/>
      <c r="C120" s="178"/>
      <c r="D120" s="178"/>
      <c r="E120" s="178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178"/>
      <c r="B121" s="178"/>
      <c r="C121" s="178"/>
      <c r="D121" s="178"/>
      <c r="E121" s="178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178"/>
      <c r="B122" s="178"/>
      <c r="C122" s="178"/>
      <c r="D122" s="178"/>
      <c r="E122" s="178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178"/>
      <c r="B123" s="178"/>
      <c r="C123" s="178"/>
      <c r="D123" s="178"/>
      <c r="E123" s="178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178"/>
      <c r="B124" s="178"/>
      <c r="C124" s="178"/>
      <c r="D124" s="178"/>
      <c r="E124" s="178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178"/>
      <c r="B125" s="178"/>
      <c r="C125" s="178"/>
      <c r="D125" s="178"/>
      <c r="E125" s="178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178"/>
      <c r="B126" s="178"/>
      <c r="C126" s="178"/>
      <c r="D126" s="178"/>
      <c r="E126" s="178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178"/>
      <c r="B127" s="178"/>
      <c r="C127" s="178"/>
      <c r="D127" s="178"/>
      <c r="E127" s="178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178"/>
      <c r="B128" s="178"/>
      <c r="C128" s="178"/>
      <c r="D128" s="178"/>
      <c r="E128" s="178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178"/>
      <c r="B129" s="178"/>
      <c r="C129" s="178"/>
      <c r="D129" s="178"/>
      <c r="E129" s="178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178"/>
      <c r="B130" s="178"/>
      <c r="C130" s="178"/>
      <c r="D130" s="178"/>
      <c r="E130" s="178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178"/>
      <c r="B131" s="178"/>
      <c r="C131" s="178"/>
      <c r="D131" s="178"/>
      <c r="E131" s="178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178"/>
      <c r="B132" s="178"/>
      <c r="C132" s="178"/>
      <c r="D132" s="178"/>
      <c r="E132" s="178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178"/>
      <c r="B133" s="178"/>
      <c r="C133" s="178"/>
      <c r="D133" s="178"/>
      <c r="E133" s="178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178"/>
      <c r="B134" s="178"/>
      <c r="C134" s="178"/>
      <c r="D134" s="178"/>
      <c r="E134" s="178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178"/>
      <c r="B135" s="178"/>
      <c r="C135" s="178"/>
      <c r="D135" s="178"/>
      <c r="E135" s="178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178"/>
      <c r="B136" s="178"/>
      <c r="C136" s="178"/>
      <c r="D136" s="178"/>
      <c r="E136" s="178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178"/>
      <c r="B137" s="178"/>
      <c r="C137" s="178"/>
      <c r="D137" s="178"/>
      <c r="E137" s="178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178"/>
      <c r="B138" s="178"/>
      <c r="C138" s="178"/>
      <c r="D138" s="178"/>
      <c r="E138" s="178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178"/>
      <c r="B139" s="178"/>
      <c r="C139" s="178"/>
      <c r="D139" s="178"/>
      <c r="E139" s="178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178"/>
      <c r="B140" s="178"/>
      <c r="C140" s="178"/>
      <c r="D140" s="178"/>
      <c r="E140" s="178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178"/>
      <c r="B141" s="178"/>
      <c r="C141" s="178"/>
      <c r="D141" s="178"/>
      <c r="E141" s="178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178"/>
      <c r="B142" s="178"/>
      <c r="C142" s="178"/>
      <c r="D142" s="178"/>
      <c r="E142" s="178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178"/>
      <c r="B143" s="178"/>
      <c r="C143" s="178"/>
      <c r="D143" s="178"/>
      <c r="E143" s="178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178"/>
      <c r="B144" s="178"/>
      <c r="C144" s="178"/>
      <c r="D144" s="178"/>
      <c r="E144" s="178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178"/>
      <c r="B145" s="178"/>
      <c r="C145" s="178"/>
      <c r="D145" s="178"/>
      <c r="E145" s="178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178"/>
      <c r="B146" s="178"/>
      <c r="C146" s="178"/>
      <c r="D146" s="178"/>
      <c r="E146" s="178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178"/>
      <c r="B147" s="178"/>
      <c r="C147" s="178"/>
      <c r="D147" s="178"/>
      <c r="E147" s="178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178"/>
      <c r="B148" s="178"/>
      <c r="C148" s="178"/>
      <c r="D148" s="178"/>
      <c r="E148" s="178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178"/>
      <c r="B149" s="178"/>
      <c r="C149" s="178"/>
      <c r="D149" s="178"/>
      <c r="E149" s="178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178"/>
      <c r="B150" s="178"/>
      <c r="C150" s="178"/>
      <c r="D150" s="178"/>
      <c r="E150" s="178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178"/>
      <c r="B151" s="178"/>
      <c r="C151" s="178"/>
      <c r="D151" s="178"/>
      <c r="E151" s="178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178"/>
      <c r="B152" s="178"/>
      <c r="C152" s="178"/>
      <c r="D152" s="178"/>
      <c r="E152" s="178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178"/>
      <c r="B153" s="178"/>
      <c r="C153" s="178"/>
      <c r="D153" s="178"/>
      <c r="E153" s="178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178"/>
      <c r="B154" s="178"/>
      <c r="C154" s="178"/>
      <c r="D154" s="178"/>
      <c r="E154" s="178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178"/>
      <c r="B155" s="178"/>
      <c r="C155" s="178"/>
      <c r="D155" s="178"/>
      <c r="E155" s="178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178"/>
      <c r="B156" s="178"/>
      <c r="C156" s="178"/>
      <c r="D156" s="178"/>
      <c r="E156" s="178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178"/>
      <c r="B157" s="178"/>
      <c r="C157" s="178"/>
      <c r="D157" s="178"/>
      <c r="E157" s="178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178"/>
      <c r="B158" s="178"/>
      <c r="C158" s="178"/>
      <c r="D158" s="178"/>
      <c r="E158" s="178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178"/>
      <c r="B159" s="178"/>
      <c r="C159" s="178"/>
      <c r="D159" s="178"/>
      <c r="E159" s="178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178"/>
      <c r="B160" s="178"/>
      <c r="C160" s="178"/>
      <c r="D160" s="178"/>
      <c r="E160" s="178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178"/>
      <c r="B161" s="178"/>
      <c r="C161" s="178"/>
      <c r="D161" s="178"/>
      <c r="E161" s="178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178"/>
      <c r="B162" s="178"/>
      <c r="C162" s="178"/>
      <c r="D162" s="178"/>
      <c r="E162" s="178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178"/>
      <c r="B163" s="178"/>
      <c r="C163" s="178"/>
      <c r="D163" s="178"/>
      <c r="E163" s="178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178"/>
      <c r="B164" s="178"/>
      <c r="C164" s="178"/>
      <c r="D164" s="178"/>
      <c r="E164" s="178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178"/>
      <c r="B165" s="178"/>
      <c r="C165" s="178"/>
      <c r="D165" s="178"/>
      <c r="E165" s="178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178"/>
      <c r="B166" s="178"/>
      <c r="C166" s="178"/>
      <c r="D166" s="178"/>
      <c r="E166" s="178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178"/>
      <c r="B167" s="178"/>
      <c r="C167" s="178"/>
      <c r="D167" s="178"/>
      <c r="E167" s="178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178"/>
      <c r="B168" s="178"/>
      <c r="C168" s="178"/>
      <c r="D168" s="178"/>
      <c r="E168" s="178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178"/>
      <c r="B169" s="178"/>
      <c r="C169" s="178"/>
      <c r="D169" s="178"/>
      <c r="E169" s="178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178"/>
      <c r="B170" s="178"/>
      <c r="C170" s="178"/>
      <c r="D170" s="178"/>
      <c r="E170" s="178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178"/>
      <c r="B171" s="178"/>
      <c r="C171" s="178"/>
      <c r="D171" s="178"/>
      <c r="E171" s="178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178"/>
      <c r="B172" s="178"/>
      <c r="C172" s="178"/>
      <c r="D172" s="178"/>
      <c r="E172" s="178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178"/>
      <c r="B173" s="178"/>
      <c r="C173" s="178"/>
      <c r="D173" s="178"/>
      <c r="E173" s="178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178"/>
      <c r="B174" s="178"/>
      <c r="C174" s="178"/>
      <c r="D174" s="178"/>
      <c r="E174" s="178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178"/>
      <c r="B175" s="178"/>
      <c r="C175" s="178"/>
      <c r="D175" s="178"/>
      <c r="E175" s="178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178"/>
      <c r="B176" s="178"/>
      <c r="C176" s="178"/>
      <c r="D176" s="178"/>
      <c r="E176" s="178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178"/>
      <c r="B177" s="178"/>
      <c r="C177" s="178"/>
      <c r="D177" s="178"/>
      <c r="E177" s="178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178"/>
      <c r="B178" s="178"/>
      <c r="C178" s="178"/>
      <c r="D178" s="178"/>
      <c r="E178" s="178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178"/>
      <c r="B179" s="178"/>
      <c r="C179" s="178"/>
      <c r="D179" s="178"/>
      <c r="E179" s="178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178"/>
      <c r="B180" s="178"/>
      <c r="C180" s="178"/>
      <c r="D180" s="178"/>
      <c r="E180" s="178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178"/>
      <c r="B181" s="178"/>
      <c r="C181" s="178"/>
      <c r="D181" s="178"/>
      <c r="E181" s="178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178"/>
      <c r="B182" s="178"/>
      <c r="C182" s="178"/>
      <c r="D182" s="178"/>
      <c r="E182" s="178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178"/>
      <c r="B183" s="178"/>
      <c r="C183" s="178"/>
      <c r="D183" s="178"/>
      <c r="E183" s="178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178"/>
      <c r="B184" s="178"/>
      <c r="C184" s="178"/>
      <c r="D184" s="178"/>
      <c r="E184" s="178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178"/>
      <c r="B185" s="178"/>
      <c r="C185" s="178"/>
      <c r="D185" s="178"/>
      <c r="E185" s="178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178"/>
      <c r="B186" s="178"/>
      <c r="C186" s="178"/>
      <c r="D186" s="178"/>
      <c r="E186" s="178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178"/>
      <c r="B187" s="178"/>
      <c r="C187" s="178"/>
      <c r="D187" s="178"/>
      <c r="E187" s="178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178"/>
      <c r="B188" s="178"/>
      <c r="C188" s="178"/>
      <c r="D188" s="178"/>
      <c r="E188" s="178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178"/>
      <c r="B189" s="178"/>
      <c r="C189" s="178"/>
      <c r="D189" s="178"/>
      <c r="E189" s="178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178"/>
      <c r="B190" s="178"/>
      <c r="C190" s="178"/>
      <c r="D190" s="178"/>
      <c r="E190" s="178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178"/>
      <c r="B191" s="178"/>
      <c r="C191" s="178"/>
      <c r="D191" s="178"/>
      <c r="E191" s="178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178"/>
      <c r="B192" s="178"/>
      <c r="C192" s="178"/>
      <c r="D192" s="178"/>
      <c r="E192" s="178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178"/>
      <c r="B193" s="178"/>
      <c r="C193" s="178"/>
      <c r="D193" s="178"/>
      <c r="E193" s="178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178"/>
      <c r="B194" s="178"/>
      <c r="C194" s="178"/>
      <c r="D194" s="178"/>
      <c r="E194" s="178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178"/>
      <c r="B195" s="178"/>
      <c r="C195" s="178"/>
      <c r="D195" s="178"/>
      <c r="E195" s="178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178"/>
      <c r="B196" s="178"/>
      <c r="C196" s="178"/>
      <c r="D196" s="178"/>
      <c r="E196" s="178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178"/>
      <c r="B197" s="178"/>
      <c r="C197" s="178"/>
      <c r="D197" s="178"/>
      <c r="E197" s="178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178"/>
      <c r="B198" s="178"/>
      <c r="C198" s="178"/>
      <c r="D198" s="178"/>
      <c r="E198" s="178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178"/>
      <c r="B199" s="178"/>
      <c r="C199" s="178"/>
      <c r="D199" s="178"/>
      <c r="E199" s="178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178"/>
      <c r="B200" s="178"/>
      <c r="C200" s="178"/>
      <c r="D200" s="178"/>
      <c r="E200" s="178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178"/>
      <c r="B201" s="178"/>
      <c r="C201" s="178"/>
      <c r="D201" s="178"/>
      <c r="E201" s="178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178"/>
      <c r="B202" s="178"/>
      <c r="C202" s="178"/>
      <c r="D202" s="178"/>
      <c r="E202" s="178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178"/>
      <c r="B203" s="178"/>
      <c r="C203" s="178"/>
      <c r="D203" s="178"/>
      <c r="E203" s="178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178"/>
      <c r="B204" s="178"/>
      <c r="C204" s="178"/>
      <c r="D204" s="178"/>
      <c r="E204" s="178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178"/>
      <c r="B205" s="178"/>
      <c r="C205" s="178"/>
      <c r="D205" s="178"/>
      <c r="E205" s="178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178"/>
      <c r="B206" s="178"/>
      <c r="C206" s="178"/>
      <c r="D206" s="178"/>
      <c r="E206" s="178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178"/>
      <c r="B207" s="178"/>
      <c r="C207" s="178"/>
      <c r="D207" s="178"/>
      <c r="E207" s="178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178"/>
      <c r="B208" s="178"/>
      <c r="C208" s="178"/>
      <c r="D208" s="178"/>
      <c r="E208" s="178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178"/>
      <c r="B209" s="178"/>
      <c r="C209" s="178"/>
      <c r="D209" s="178"/>
      <c r="E209" s="178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178"/>
      <c r="B210" s="178"/>
      <c r="C210" s="178"/>
      <c r="D210" s="178"/>
      <c r="E210" s="178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178"/>
      <c r="B211" s="178"/>
      <c r="C211" s="178"/>
      <c r="D211" s="178"/>
      <c r="E211" s="178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178"/>
      <c r="B212" s="178"/>
      <c r="C212" s="178"/>
      <c r="D212" s="178"/>
      <c r="E212" s="178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178"/>
      <c r="B213" s="178"/>
      <c r="C213" s="178"/>
      <c r="D213" s="178"/>
      <c r="E213" s="178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178"/>
      <c r="B214" s="178"/>
      <c r="C214" s="178"/>
      <c r="D214" s="178"/>
      <c r="E214" s="178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178"/>
      <c r="B215" s="178"/>
      <c r="C215" s="178"/>
      <c r="D215" s="178"/>
      <c r="E215" s="178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178"/>
      <c r="B216" s="178"/>
      <c r="C216" s="178"/>
      <c r="D216" s="178"/>
      <c r="E216" s="178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178"/>
      <c r="B217" s="178"/>
      <c r="C217" s="178"/>
      <c r="D217" s="178"/>
      <c r="E217" s="178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178"/>
      <c r="B218" s="178"/>
      <c r="C218" s="178"/>
      <c r="D218" s="178"/>
      <c r="E218" s="178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178"/>
      <c r="B219" s="178"/>
      <c r="C219" s="178"/>
      <c r="D219" s="178"/>
      <c r="E219" s="178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178"/>
      <c r="B220" s="178"/>
      <c r="C220" s="178"/>
      <c r="D220" s="178"/>
      <c r="E220" s="178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178"/>
      <c r="B221" s="178"/>
      <c r="C221" s="178"/>
      <c r="D221" s="178"/>
      <c r="E221" s="178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178"/>
      <c r="B222" s="178"/>
      <c r="C222" s="178"/>
      <c r="D222" s="178"/>
      <c r="E222" s="178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178"/>
      <c r="B223" s="178"/>
      <c r="C223" s="178"/>
      <c r="D223" s="178"/>
      <c r="E223" s="178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178"/>
      <c r="B224" s="178"/>
      <c r="C224" s="178"/>
      <c r="D224" s="178"/>
      <c r="E224" s="178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178"/>
      <c r="B225" s="178"/>
      <c r="C225" s="178"/>
      <c r="D225" s="178"/>
      <c r="E225" s="178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178"/>
      <c r="B226" s="178"/>
      <c r="C226" s="178"/>
      <c r="D226" s="178"/>
      <c r="E226" s="178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178"/>
      <c r="B227" s="178"/>
      <c r="C227" s="178"/>
      <c r="D227" s="178"/>
      <c r="E227" s="178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178"/>
      <c r="B228" s="178"/>
      <c r="C228" s="178"/>
      <c r="D228" s="178"/>
      <c r="E228" s="178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178"/>
      <c r="B229" s="178"/>
      <c r="C229" s="178"/>
      <c r="D229" s="178"/>
      <c r="E229" s="178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178"/>
      <c r="B230" s="178"/>
      <c r="C230" s="178"/>
      <c r="D230" s="178"/>
      <c r="E230" s="178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178"/>
      <c r="B231" s="178"/>
      <c r="C231" s="178"/>
      <c r="D231" s="178"/>
      <c r="E231" s="178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178"/>
      <c r="B232" s="178"/>
      <c r="C232" s="178"/>
      <c r="D232" s="178"/>
      <c r="E232" s="178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178"/>
      <c r="B233" s="178"/>
      <c r="C233" s="178"/>
      <c r="D233" s="178"/>
      <c r="E233" s="178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178"/>
      <c r="B234" s="178"/>
      <c r="C234" s="178"/>
      <c r="D234" s="178"/>
      <c r="E234" s="178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178"/>
      <c r="B235" s="178"/>
      <c r="C235" s="178"/>
      <c r="D235" s="178"/>
      <c r="E235" s="178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178"/>
      <c r="B236" s="178"/>
      <c r="C236" s="178"/>
      <c r="D236" s="178"/>
      <c r="E236" s="178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178"/>
      <c r="B237" s="178"/>
      <c r="C237" s="178"/>
      <c r="D237" s="178"/>
      <c r="E237" s="178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178"/>
      <c r="B238" s="178"/>
      <c r="C238" s="178"/>
      <c r="D238" s="178"/>
      <c r="E238" s="178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178"/>
      <c r="B239" s="178"/>
      <c r="C239" s="178"/>
      <c r="D239" s="178"/>
      <c r="E239" s="178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178"/>
      <c r="B240" s="178"/>
      <c r="C240" s="178"/>
      <c r="D240" s="178"/>
      <c r="E240" s="178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178"/>
      <c r="B241" s="178"/>
      <c r="C241" s="178"/>
      <c r="D241" s="178"/>
      <c r="E241" s="178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178"/>
      <c r="B242" s="178"/>
      <c r="C242" s="178"/>
      <c r="D242" s="178"/>
      <c r="E242" s="178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178"/>
      <c r="B243" s="178"/>
      <c r="C243" s="178"/>
      <c r="D243" s="178"/>
      <c r="E243" s="178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178"/>
      <c r="B244" s="178"/>
      <c r="C244" s="178"/>
      <c r="D244" s="178"/>
      <c r="E244" s="178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178"/>
      <c r="B245" s="178"/>
      <c r="C245" s="178"/>
      <c r="D245" s="178"/>
      <c r="E245" s="178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178"/>
      <c r="B246" s="178"/>
      <c r="C246" s="178"/>
      <c r="D246" s="178"/>
      <c r="E246" s="178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178"/>
      <c r="B247" s="178"/>
      <c r="C247" s="178"/>
      <c r="D247" s="178"/>
      <c r="E247" s="178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178"/>
      <c r="B248" s="178"/>
      <c r="C248" s="178"/>
      <c r="D248" s="178"/>
      <c r="E248" s="178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178"/>
      <c r="B249" s="178"/>
      <c r="C249" s="178"/>
      <c r="D249" s="178"/>
      <c r="E249" s="178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178"/>
      <c r="B250" s="178"/>
      <c r="C250" s="178"/>
      <c r="D250" s="178"/>
      <c r="E250" s="178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178"/>
      <c r="B251" s="178"/>
      <c r="C251" s="178"/>
      <c r="D251" s="178"/>
      <c r="E251" s="178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178"/>
      <c r="B252" s="178"/>
      <c r="C252" s="178"/>
      <c r="D252" s="178"/>
      <c r="E252" s="178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178"/>
      <c r="B253" s="178"/>
      <c r="C253" s="178"/>
      <c r="D253" s="178"/>
      <c r="E253" s="178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178"/>
      <c r="B254" s="178"/>
      <c r="C254" s="178"/>
      <c r="D254" s="178"/>
      <c r="E254" s="178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178"/>
      <c r="B255" s="178"/>
      <c r="C255" s="178"/>
      <c r="D255" s="178"/>
      <c r="E255" s="178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178"/>
      <c r="B256" s="178"/>
      <c r="C256" s="178"/>
      <c r="D256" s="178"/>
      <c r="E256" s="178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178"/>
      <c r="B257" s="178"/>
      <c r="C257" s="178"/>
      <c r="D257" s="178"/>
      <c r="E257" s="178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178"/>
      <c r="B258" s="178"/>
      <c r="C258" s="178"/>
      <c r="D258" s="178"/>
      <c r="E258" s="178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178"/>
      <c r="B259" s="178"/>
      <c r="C259" s="178"/>
      <c r="D259" s="178"/>
      <c r="E259" s="178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178"/>
      <c r="B260" s="178"/>
      <c r="C260" s="178"/>
      <c r="D260" s="178"/>
      <c r="E260" s="178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178"/>
      <c r="B261" s="178"/>
      <c r="C261" s="178"/>
      <c r="D261" s="178"/>
      <c r="E261" s="178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178"/>
      <c r="B262" s="178"/>
      <c r="C262" s="178"/>
      <c r="D262" s="178"/>
      <c r="E262" s="178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178"/>
      <c r="B263" s="178"/>
      <c r="C263" s="178"/>
      <c r="D263" s="178"/>
      <c r="E263" s="178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178"/>
      <c r="B264" s="178"/>
      <c r="C264" s="178"/>
      <c r="D264" s="178"/>
      <c r="E264" s="178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178"/>
      <c r="B265" s="178"/>
      <c r="C265" s="178"/>
      <c r="D265" s="178"/>
      <c r="E265" s="178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178"/>
      <c r="B266" s="178"/>
      <c r="C266" s="178"/>
      <c r="D266" s="178"/>
      <c r="E266" s="178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178"/>
      <c r="B267" s="178"/>
      <c r="C267" s="178"/>
      <c r="D267" s="178"/>
      <c r="E267" s="178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178"/>
      <c r="B268" s="178"/>
      <c r="C268" s="178"/>
      <c r="D268" s="178"/>
      <c r="E268" s="178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178"/>
      <c r="B269" s="178"/>
      <c r="C269" s="178"/>
      <c r="D269" s="178"/>
      <c r="E269" s="178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178"/>
      <c r="B270" s="178"/>
      <c r="C270" s="178"/>
      <c r="D270" s="178"/>
      <c r="E270" s="178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178"/>
      <c r="B271" s="178"/>
      <c r="C271" s="178"/>
      <c r="D271" s="178"/>
      <c r="E271" s="178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178"/>
      <c r="B272" s="178"/>
      <c r="C272" s="178"/>
      <c r="D272" s="178"/>
      <c r="E272" s="178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178"/>
      <c r="B273" s="178"/>
      <c r="C273" s="178"/>
      <c r="D273" s="178"/>
      <c r="E273" s="178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178"/>
      <c r="B274" s="178"/>
      <c r="C274" s="178"/>
      <c r="D274" s="178"/>
      <c r="E274" s="178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178"/>
      <c r="B275" s="178"/>
      <c r="C275" s="178"/>
      <c r="D275" s="178"/>
      <c r="E275" s="178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178"/>
      <c r="B276" s="178"/>
      <c r="C276" s="178"/>
      <c r="D276" s="178"/>
      <c r="E276" s="178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178"/>
      <c r="B277" s="178"/>
      <c r="C277" s="178"/>
      <c r="D277" s="178"/>
      <c r="E277" s="178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178"/>
      <c r="B278" s="178"/>
      <c r="C278" s="178"/>
      <c r="D278" s="178"/>
      <c r="E278" s="178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178"/>
      <c r="B279" s="178"/>
      <c r="C279" s="178"/>
      <c r="D279" s="178"/>
      <c r="E279" s="178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178"/>
      <c r="B280" s="178"/>
      <c r="C280" s="178"/>
      <c r="D280" s="178"/>
      <c r="E280" s="178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178"/>
      <c r="B281" s="178"/>
      <c r="C281" s="178"/>
      <c r="D281" s="178"/>
      <c r="E281" s="178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178"/>
      <c r="B282" s="178"/>
      <c r="C282" s="178"/>
      <c r="D282" s="178"/>
      <c r="E282" s="178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178"/>
      <c r="B283" s="178"/>
      <c r="C283" s="178"/>
      <c r="D283" s="178"/>
      <c r="E283" s="178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178"/>
      <c r="B284" s="178"/>
      <c r="C284" s="178"/>
      <c r="D284" s="178"/>
      <c r="E284" s="178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178"/>
      <c r="B285" s="178"/>
      <c r="C285" s="178"/>
      <c r="D285" s="178"/>
      <c r="E285" s="178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178"/>
      <c r="B286" s="178"/>
      <c r="C286" s="178"/>
      <c r="D286" s="178"/>
      <c r="E286" s="178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178"/>
      <c r="B287" s="178"/>
      <c r="C287" s="178"/>
      <c r="D287" s="178"/>
      <c r="E287" s="178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178"/>
      <c r="B288" s="178"/>
      <c r="C288" s="178"/>
      <c r="D288" s="178"/>
      <c r="E288" s="178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178"/>
      <c r="B289" s="178"/>
      <c r="C289" s="178"/>
      <c r="D289" s="178"/>
      <c r="E289" s="178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178"/>
      <c r="B290" s="178"/>
      <c r="C290" s="178"/>
      <c r="D290" s="178"/>
      <c r="E290" s="178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178"/>
      <c r="B291" s="178"/>
      <c r="C291" s="178"/>
      <c r="D291" s="178"/>
      <c r="E291" s="178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178"/>
      <c r="B292" s="178"/>
      <c r="C292" s="178"/>
      <c r="D292" s="178"/>
      <c r="E292" s="178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178"/>
      <c r="B293" s="178"/>
      <c r="C293" s="178"/>
      <c r="D293" s="178"/>
      <c r="E293" s="178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178"/>
      <c r="B294" s="178"/>
      <c r="C294" s="178"/>
      <c r="D294" s="178"/>
      <c r="E294" s="178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178"/>
      <c r="B295" s="178"/>
      <c r="C295" s="178"/>
      <c r="D295" s="178"/>
      <c r="E295" s="178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178"/>
      <c r="B296" s="178"/>
      <c r="C296" s="178"/>
      <c r="D296" s="178"/>
      <c r="E296" s="178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178"/>
      <c r="B297" s="178"/>
      <c r="C297" s="178"/>
      <c r="D297" s="178"/>
      <c r="E297" s="178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178"/>
      <c r="B298" s="178"/>
      <c r="C298" s="178"/>
      <c r="D298" s="178"/>
      <c r="E298" s="178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178"/>
      <c r="B299" s="178"/>
      <c r="C299" s="178"/>
      <c r="D299" s="178"/>
      <c r="E299" s="178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178"/>
      <c r="B300" s="178"/>
      <c r="C300" s="178"/>
      <c r="D300" s="178"/>
      <c r="E300" s="178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178"/>
      <c r="B301" s="178"/>
      <c r="C301" s="178"/>
      <c r="D301" s="178"/>
      <c r="E301" s="178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178"/>
      <c r="B302" s="178"/>
      <c r="C302" s="178"/>
      <c r="D302" s="178"/>
      <c r="E302" s="178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178"/>
      <c r="B303" s="178"/>
      <c r="C303" s="178"/>
      <c r="D303" s="178"/>
      <c r="E303" s="178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178"/>
      <c r="B304" s="178"/>
      <c r="C304" s="178"/>
      <c r="D304" s="178"/>
      <c r="E304" s="178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178"/>
      <c r="B305" s="178"/>
      <c r="C305" s="178"/>
      <c r="D305" s="178"/>
      <c r="E305" s="178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178"/>
      <c r="B306" s="178"/>
      <c r="C306" s="178"/>
      <c r="D306" s="178"/>
      <c r="E306" s="178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178"/>
      <c r="B307" s="178"/>
      <c r="C307" s="178"/>
      <c r="D307" s="178"/>
      <c r="E307" s="178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178"/>
      <c r="B308" s="178"/>
      <c r="C308" s="178"/>
      <c r="D308" s="178"/>
      <c r="E308" s="178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178"/>
      <c r="B309" s="178"/>
      <c r="C309" s="178"/>
      <c r="D309" s="178"/>
      <c r="E309" s="178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178"/>
      <c r="B310" s="178"/>
      <c r="C310" s="178"/>
      <c r="D310" s="178"/>
      <c r="E310" s="178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178"/>
      <c r="B311" s="178"/>
      <c r="C311" s="178"/>
      <c r="D311" s="178"/>
      <c r="E311" s="178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178"/>
      <c r="B312" s="178"/>
      <c r="C312" s="178"/>
      <c r="D312" s="178"/>
      <c r="E312" s="178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178"/>
      <c r="B313" s="178"/>
      <c r="C313" s="178"/>
      <c r="D313" s="178"/>
      <c r="E313" s="178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178"/>
      <c r="B314" s="178"/>
      <c r="C314" s="178"/>
      <c r="D314" s="178"/>
      <c r="E314" s="178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178"/>
      <c r="B315" s="178"/>
      <c r="C315" s="178"/>
      <c r="D315" s="178"/>
      <c r="E315" s="178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178"/>
      <c r="B316" s="178"/>
      <c r="C316" s="178"/>
      <c r="D316" s="178"/>
      <c r="E316" s="178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178"/>
      <c r="B317" s="178"/>
      <c r="C317" s="178"/>
      <c r="D317" s="178"/>
      <c r="E317" s="178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178"/>
      <c r="B318" s="178"/>
      <c r="C318" s="178"/>
      <c r="D318" s="178"/>
      <c r="E318" s="178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178"/>
      <c r="B319" s="178"/>
      <c r="C319" s="178"/>
      <c r="D319" s="178"/>
      <c r="E319" s="178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178"/>
      <c r="B320" s="178"/>
      <c r="C320" s="178"/>
      <c r="D320" s="178"/>
      <c r="E320" s="178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178"/>
      <c r="B321" s="178"/>
      <c r="C321" s="178"/>
      <c r="D321" s="178"/>
      <c r="E321" s="178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178"/>
      <c r="B322" s="178"/>
      <c r="C322" s="178"/>
      <c r="D322" s="178"/>
      <c r="E322" s="178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178"/>
      <c r="B323" s="178"/>
      <c r="C323" s="178"/>
      <c r="D323" s="178"/>
      <c r="E323" s="178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178"/>
      <c r="B324" s="178"/>
      <c r="C324" s="178"/>
      <c r="D324" s="178"/>
      <c r="E324" s="178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178"/>
      <c r="B325" s="178"/>
      <c r="C325" s="178"/>
      <c r="D325" s="178"/>
      <c r="E325" s="178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178"/>
      <c r="B326" s="178"/>
      <c r="C326" s="178"/>
      <c r="D326" s="178"/>
      <c r="E326" s="178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178"/>
      <c r="B327" s="178"/>
      <c r="C327" s="178"/>
      <c r="D327" s="178"/>
      <c r="E327" s="178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178"/>
      <c r="B328" s="178"/>
      <c r="C328" s="178"/>
      <c r="D328" s="178"/>
      <c r="E328" s="178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178"/>
      <c r="B329" s="178"/>
      <c r="C329" s="178"/>
      <c r="D329" s="178"/>
      <c r="E329" s="178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178"/>
      <c r="B330" s="178"/>
      <c r="C330" s="178"/>
      <c r="D330" s="178"/>
      <c r="E330" s="178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178"/>
      <c r="B331" s="178"/>
      <c r="C331" s="178"/>
      <c r="D331" s="178"/>
      <c r="E331" s="178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178"/>
      <c r="B332" s="178"/>
      <c r="C332" s="178"/>
      <c r="D332" s="178"/>
      <c r="E332" s="178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178"/>
      <c r="B333" s="178"/>
      <c r="C333" s="178"/>
      <c r="D333" s="178"/>
      <c r="E333" s="178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178"/>
      <c r="B334" s="178"/>
      <c r="C334" s="178"/>
      <c r="D334" s="178"/>
      <c r="E334" s="178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178"/>
      <c r="B335" s="178"/>
      <c r="C335" s="178"/>
      <c r="D335" s="178"/>
      <c r="E335" s="178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178"/>
      <c r="B336" s="178"/>
      <c r="C336" s="178"/>
      <c r="D336" s="178"/>
      <c r="E336" s="178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178"/>
      <c r="B337" s="178"/>
      <c r="C337" s="178"/>
      <c r="D337" s="178"/>
      <c r="E337" s="178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178"/>
      <c r="B338" s="178"/>
      <c r="C338" s="178"/>
      <c r="D338" s="178"/>
      <c r="E338" s="178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178"/>
      <c r="B339" s="178"/>
      <c r="C339" s="178"/>
      <c r="D339" s="178"/>
      <c r="E339" s="178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178"/>
      <c r="B340" s="178"/>
      <c r="C340" s="178"/>
      <c r="D340" s="178"/>
      <c r="E340" s="178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178"/>
      <c r="B341" s="178"/>
      <c r="C341" s="178"/>
      <c r="D341" s="178"/>
      <c r="E341" s="178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178"/>
      <c r="B342" s="178"/>
      <c r="C342" s="178"/>
      <c r="D342" s="178"/>
      <c r="E342" s="178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178"/>
      <c r="B343" s="178"/>
      <c r="C343" s="178"/>
      <c r="D343" s="178"/>
      <c r="E343" s="178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178"/>
      <c r="B344" s="178"/>
      <c r="C344" s="178"/>
      <c r="D344" s="178"/>
      <c r="E344" s="178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178"/>
      <c r="B345" s="178"/>
      <c r="C345" s="178"/>
      <c r="D345" s="178"/>
      <c r="E345" s="178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178"/>
      <c r="B346" s="178"/>
      <c r="C346" s="178"/>
      <c r="D346" s="178"/>
      <c r="E346" s="178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178"/>
      <c r="B347" s="178"/>
      <c r="C347" s="178"/>
      <c r="D347" s="178"/>
      <c r="E347" s="178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178"/>
      <c r="B348" s="178"/>
      <c r="C348" s="178"/>
      <c r="D348" s="178"/>
      <c r="E348" s="178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178"/>
      <c r="B349" s="178"/>
      <c r="C349" s="178"/>
      <c r="D349" s="178"/>
      <c r="E349" s="178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178"/>
      <c r="B350" s="178"/>
      <c r="C350" s="178"/>
      <c r="D350" s="178"/>
      <c r="E350" s="178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178"/>
      <c r="B351" s="178"/>
      <c r="C351" s="178"/>
      <c r="D351" s="178"/>
      <c r="E351" s="178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178"/>
      <c r="B352" s="178"/>
      <c r="C352" s="178"/>
      <c r="D352" s="178"/>
      <c r="E352" s="178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178"/>
      <c r="B353" s="178"/>
      <c r="C353" s="178"/>
      <c r="D353" s="178"/>
      <c r="E353" s="178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178"/>
      <c r="B354" s="178"/>
      <c r="C354" s="178"/>
      <c r="D354" s="178"/>
      <c r="E354" s="178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178"/>
      <c r="B355" s="178"/>
      <c r="C355" s="178"/>
      <c r="D355" s="178"/>
      <c r="E355" s="178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178"/>
      <c r="B356" s="178"/>
      <c r="C356" s="178"/>
      <c r="D356" s="178"/>
      <c r="E356" s="178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178"/>
      <c r="B357" s="178"/>
      <c r="C357" s="178"/>
      <c r="D357" s="178"/>
      <c r="E357" s="178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178"/>
      <c r="B358" s="178"/>
      <c r="C358" s="178"/>
      <c r="D358" s="178"/>
      <c r="E358" s="178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178"/>
      <c r="B359" s="178"/>
      <c r="C359" s="178"/>
      <c r="D359" s="178"/>
      <c r="E359" s="178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178"/>
      <c r="B360" s="178"/>
      <c r="C360" s="178"/>
      <c r="D360" s="178"/>
      <c r="E360" s="178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178"/>
      <c r="B361" s="178"/>
      <c r="C361" s="178"/>
      <c r="D361" s="178"/>
      <c r="E361" s="178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178"/>
      <c r="B362" s="178"/>
      <c r="C362" s="178"/>
      <c r="D362" s="178"/>
      <c r="E362" s="178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178"/>
      <c r="B363" s="178"/>
      <c r="C363" s="178"/>
      <c r="D363" s="178"/>
      <c r="E363" s="178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178"/>
      <c r="B364" s="178"/>
      <c r="C364" s="178"/>
      <c r="D364" s="178"/>
      <c r="E364" s="178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178"/>
      <c r="B365" s="178"/>
      <c r="C365" s="178"/>
      <c r="D365" s="178"/>
      <c r="E365" s="178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178"/>
      <c r="B366" s="178"/>
      <c r="C366" s="178"/>
      <c r="D366" s="178"/>
      <c r="E366" s="178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178"/>
      <c r="B367" s="178"/>
      <c r="C367" s="178"/>
      <c r="D367" s="178"/>
      <c r="E367" s="178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178"/>
      <c r="B368" s="178"/>
      <c r="C368" s="178"/>
      <c r="D368" s="178"/>
      <c r="E368" s="178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178"/>
      <c r="B369" s="178"/>
      <c r="C369" s="178"/>
      <c r="D369" s="178"/>
      <c r="E369" s="178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178"/>
      <c r="B370" s="178"/>
      <c r="C370" s="178"/>
      <c r="D370" s="178"/>
      <c r="E370" s="178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178"/>
      <c r="B371" s="178"/>
      <c r="C371" s="178"/>
      <c r="D371" s="178"/>
      <c r="E371" s="178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178"/>
      <c r="B372" s="178"/>
      <c r="C372" s="178"/>
      <c r="D372" s="178"/>
      <c r="E372" s="178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178"/>
      <c r="B373" s="178"/>
      <c r="C373" s="178"/>
      <c r="D373" s="178"/>
      <c r="E373" s="178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178"/>
      <c r="B374" s="178"/>
      <c r="C374" s="178"/>
      <c r="D374" s="178"/>
      <c r="E374" s="178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178"/>
      <c r="B375" s="178"/>
      <c r="C375" s="178"/>
      <c r="D375" s="178"/>
      <c r="E375" s="178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178"/>
      <c r="B376" s="178"/>
      <c r="C376" s="178"/>
      <c r="D376" s="178"/>
      <c r="E376" s="178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178"/>
      <c r="B377" s="178"/>
      <c r="C377" s="178"/>
      <c r="D377" s="178"/>
      <c r="E377" s="178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178"/>
      <c r="B378" s="178"/>
      <c r="C378" s="178"/>
      <c r="D378" s="178"/>
      <c r="E378" s="178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178"/>
      <c r="B379" s="178"/>
      <c r="C379" s="178"/>
      <c r="D379" s="178"/>
      <c r="E379" s="178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178"/>
      <c r="B380" s="178"/>
      <c r="C380" s="178"/>
      <c r="D380" s="178"/>
      <c r="E380" s="178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178"/>
      <c r="B381" s="178"/>
      <c r="C381" s="178"/>
      <c r="D381" s="178"/>
      <c r="E381" s="178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178"/>
      <c r="B382" s="178"/>
      <c r="C382" s="178"/>
      <c r="D382" s="178"/>
      <c r="E382" s="178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178"/>
      <c r="B383" s="178"/>
      <c r="C383" s="178"/>
      <c r="D383" s="178"/>
      <c r="E383" s="178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178"/>
      <c r="B384" s="178"/>
      <c r="C384" s="178"/>
      <c r="D384" s="178"/>
      <c r="E384" s="178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178"/>
      <c r="B385" s="178"/>
      <c r="C385" s="178"/>
      <c r="D385" s="178"/>
      <c r="E385" s="178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178"/>
      <c r="B386" s="178"/>
      <c r="C386" s="178"/>
      <c r="D386" s="178"/>
      <c r="E386" s="178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178"/>
      <c r="B387" s="178"/>
      <c r="C387" s="178"/>
      <c r="D387" s="178"/>
      <c r="E387" s="178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178"/>
      <c r="B388" s="178"/>
      <c r="C388" s="178"/>
      <c r="D388" s="178"/>
      <c r="E388" s="178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178"/>
      <c r="B389" s="178"/>
      <c r="C389" s="178"/>
      <c r="D389" s="178"/>
      <c r="E389" s="178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178"/>
      <c r="B390" s="178"/>
      <c r="C390" s="178"/>
      <c r="D390" s="178"/>
      <c r="E390" s="178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178"/>
      <c r="B391" s="178"/>
      <c r="C391" s="178"/>
      <c r="D391" s="178"/>
      <c r="E391" s="178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178"/>
      <c r="B392" s="178"/>
      <c r="C392" s="178"/>
      <c r="D392" s="178"/>
      <c r="E392" s="178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178"/>
      <c r="B393" s="178"/>
      <c r="C393" s="178"/>
      <c r="D393" s="178"/>
      <c r="E393" s="178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178"/>
      <c r="B394" s="178"/>
      <c r="C394" s="178"/>
      <c r="D394" s="178"/>
      <c r="E394" s="178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178"/>
      <c r="B395" s="178"/>
      <c r="C395" s="178"/>
      <c r="D395" s="178"/>
      <c r="E395" s="178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178"/>
      <c r="B396" s="178"/>
      <c r="C396" s="178"/>
      <c r="D396" s="178"/>
      <c r="E396" s="178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178"/>
      <c r="B397" s="178"/>
      <c r="C397" s="178"/>
      <c r="D397" s="178"/>
      <c r="E397" s="178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178"/>
      <c r="B398" s="178"/>
      <c r="C398" s="178"/>
      <c r="D398" s="178"/>
      <c r="E398" s="178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178"/>
      <c r="B399" s="178"/>
      <c r="C399" s="178"/>
      <c r="D399" s="178"/>
      <c r="E399" s="178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178"/>
      <c r="B400" s="178"/>
      <c r="C400" s="178"/>
      <c r="D400" s="178"/>
      <c r="E400" s="178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178"/>
      <c r="B401" s="178"/>
      <c r="C401" s="178"/>
      <c r="D401" s="178"/>
      <c r="E401" s="178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178"/>
      <c r="B402" s="178"/>
      <c r="C402" s="178"/>
      <c r="D402" s="178"/>
      <c r="E402" s="178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178"/>
      <c r="B403" s="178"/>
      <c r="C403" s="178"/>
      <c r="D403" s="178"/>
      <c r="E403" s="178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178"/>
      <c r="B404" s="178"/>
      <c r="C404" s="178"/>
      <c r="D404" s="178"/>
      <c r="E404" s="178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178"/>
      <c r="B405" s="178"/>
      <c r="C405" s="178"/>
      <c r="D405" s="178"/>
      <c r="E405" s="178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178"/>
      <c r="B406" s="178"/>
      <c r="C406" s="178"/>
      <c r="D406" s="178"/>
      <c r="E406" s="178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178"/>
      <c r="B407" s="178"/>
      <c r="C407" s="178"/>
      <c r="D407" s="178"/>
      <c r="E407" s="178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178"/>
      <c r="B408" s="178"/>
      <c r="C408" s="178"/>
      <c r="D408" s="178"/>
      <c r="E408" s="178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178"/>
      <c r="B409" s="178"/>
      <c r="C409" s="178"/>
      <c r="D409" s="178"/>
      <c r="E409" s="178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178"/>
      <c r="B410" s="178"/>
      <c r="C410" s="178"/>
      <c r="D410" s="178"/>
      <c r="E410" s="178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178"/>
      <c r="B411" s="178"/>
      <c r="C411" s="178"/>
      <c r="D411" s="178"/>
      <c r="E411" s="178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178"/>
      <c r="B412" s="178"/>
      <c r="C412" s="178"/>
      <c r="D412" s="178"/>
      <c r="E412" s="178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178"/>
      <c r="B413" s="178"/>
      <c r="C413" s="178"/>
      <c r="D413" s="178"/>
      <c r="E413" s="178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178"/>
      <c r="B414" s="178"/>
      <c r="C414" s="178"/>
      <c r="D414" s="178"/>
      <c r="E414" s="178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178"/>
      <c r="B415" s="178"/>
      <c r="C415" s="178"/>
      <c r="D415" s="178"/>
      <c r="E415" s="178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178"/>
      <c r="B416" s="178"/>
      <c r="C416" s="178"/>
      <c r="D416" s="178"/>
      <c r="E416" s="178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178"/>
      <c r="B417" s="178"/>
      <c r="C417" s="178"/>
      <c r="D417" s="178"/>
      <c r="E417" s="178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178"/>
      <c r="B418" s="178"/>
      <c r="C418" s="178"/>
      <c r="D418" s="178"/>
      <c r="E418" s="178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178"/>
      <c r="B419" s="178"/>
      <c r="C419" s="178"/>
      <c r="D419" s="178"/>
      <c r="E419" s="178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178"/>
      <c r="B420" s="178"/>
      <c r="C420" s="178"/>
      <c r="D420" s="178"/>
      <c r="E420" s="178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178"/>
      <c r="B421" s="178"/>
      <c r="C421" s="178"/>
      <c r="D421" s="178"/>
      <c r="E421" s="178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178"/>
      <c r="B422" s="178"/>
      <c r="C422" s="178"/>
      <c r="D422" s="178"/>
      <c r="E422" s="178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178"/>
      <c r="B423" s="178"/>
      <c r="C423" s="178"/>
      <c r="D423" s="178"/>
      <c r="E423" s="178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178"/>
      <c r="B424" s="178"/>
      <c r="C424" s="178"/>
      <c r="D424" s="178"/>
      <c r="E424" s="178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178"/>
      <c r="B425" s="178"/>
      <c r="C425" s="178"/>
      <c r="D425" s="178"/>
      <c r="E425" s="178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178"/>
      <c r="B426" s="178"/>
      <c r="C426" s="178"/>
      <c r="D426" s="178"/>
      <c r="E426" s="178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178"/>
      <c r="B427" s="178"/>
      <c r="C427" s="178"/>
      <c r="D427" s="178"/>
      <c r="E427" s="178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178"/>
      <c r="B428" s="178"/>
      <c r="C428" s="178"/>
      <c r="D428" s="178"/>
      <c r="E428" s="178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178"/>
      <c r="B429" s="178"/>
      <c r="C429" s="178"/>
      <c r="D429" s="178"/>
      <c r="E429" s="178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178"/>
      <c r="B430" s="178"/>
      <c r="C430" s="178"/>
      <c r="D430" s="178"/>
      <c r="E430" s="178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178"/>
      <c r="B431" s="178"/>
      <c r="C431" s="178"/>
      <c r="D431" s="178"/>
      <c r="E431" s="178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178"/>
      <c r="B432" s="178"/>
      <c r="C432" s="178"/>
      <c r="D432" s="178"/>
      <c r="E432" s="178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178"/>
      <c r="B433" s="178"/>
      <c r="C433" s="178"/>
      <c r="D433" s="178"/>
      <c r="E433" s="178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178"/>
      <c r="B434" s="178"/>
      <c r="C434" s="178"/>
      <c r="D434" s="178"/>
      <c r="E434" s="178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178"/>
      <c r="B435" s="178"/>
      <c r="C435" s="178"/>
      <c r="D435" s="178"/>
      <c r="E435" s="178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178"/>
      <c r="B436" s="178"/>
      <c r="C436" s="178"/>
      <c r="D436" s="178"/>
      <c r="E436" s="178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178"/>
      <c r="B437" s="178"/>
      <c r="C437" s="178"/>
      <c r="D437" s="178"/>
      <c r="E437" s="178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178"/>
      <c r="B438" s="178"/>
      <c r="C438" s="178"/>
      <c r="D438" s="178"/>
      <c r="E438" s="178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178"/>
      <c r="B439" s="178"/>
      <c r="C439" s="178"/>
      <c r="D439" s="178"/>
      <c r="E439" s="178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178"/>
      <c r="B440" s="178"/>
      <c r="C440" s="178"/>
      <c r="D440" s="178"/>
      <c r="E440" s="178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178"/>
      <c r="B441" s="178"/>
      <c r="C441" s="178"/>
      <c r="D441" s="178"/>
      <c r="E441" s="178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178"/>
      <c r="B442" s="178"/>
      <c r="C442" s="178"/>
      <c r="D442" s="178"/>
      <c r="E442" s="178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178"/>
      <c r="B443" s="178"/>
      <c r="C443" s="178"/>
      <c r="D443" s="178"/>
      <c r="E443" s="178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178"/>
      <c r="B444" s="178"/>
      <c r="C444" s="178"/>
      <c r="D444" s="178"/>
      <c r="E444" s="178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178"/>
      <c r="B445" s="178"/>
      <c r="C445" s="178"/>
      <c r="D445" s="178"/>
      <c r="E445" s="178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178"/>
      <c r="B446" s="178"/>
      <c r="C446" s="178"/>
      <c r="D446" s="178"/>
      <c r="E446" s="178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178"/>
      <c r="B447" s="178"/>
      <c r="C447" s="178"/>
      <c r="D447" s="178"/>
      <c r="E447" s="178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178"/>
      <c r="B448" s="178"/>
      <c r="C448" s="178"/>
      <c r="D448" s="178"/>
      <c r="E448" s="178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178"/>
      <c r="B449" s="178"/>
      <c r="C449" s="178"/>
      <c r="D449" s="178"/>
      <c r="E449" s="178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178"/>
      <c r="B450" s="178"/>
      <c r="C450" s="178"/>
      <c r="D450" s="178"/>
      <c r="E450" s="178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178"/>
      <c r="B451" s="178"/>
      <c r="C451" s="178"/>
      <c r="D451" s="178"/>
      <c r="E451" s="178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178"/>
      <c r="B452" s="178"/>
      <c r="C452" s="178"/>
      <c r="D452" s="178"/>
      <c r="E452" s="178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178"/>
      <c r="B453" s="178"/>
      <c r="C453" s="178"/>
      <c r="D453" s="178"/>
      <c r="E453" s="178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178"/>
      <c r="B454" s="178"/>
      <c r="C454" s="178"/>
      <c r="D454" s="178"/>
      <c r="E454" s="178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178"/>
      <c r="B455" s="178"/>
      <c r="C455" s="178"/>
      <c r="D455" s="178"/>
      <c r="E455" s="178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178"/>
      <c r="B456" s="178"/>
      <c r="C456" s="178"/>
      <c r="D456" s="178"/>
      <c r="E456" s="178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178"/>
      <c r="B457" s="178"/>
      <c r="C457" s="178"/>
      <c r="D457" s="178"/>
      <c r="E457" s="178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178"/>
      <c r="B458" s="178"/>
      <c r="C458" s="178"/>
      <c r="D458" s="178"/>
      <c r="E458" s="178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178"/>
      <c r="B459" s="178"/>
      <c r="C459" s="178"/>
      <c r="D459" s="178"/>
      <c r="E459" s="178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178"/>
      <c r="B460" s="178"/>
      <c r="C460" s="178"/>
      <c r="D460" s="178"/>
      <c r="E460" s="178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178"/>
      <c r="B461" s="178"/>
      <c r="C461" s="178"/>
      <c r="D461" s="178"/>
      <c r="E461" s="178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178"/>
      <c r="B462" s="178"/>
      <c r="C462" s="178"/>
      <c r="D462" s="178"/>
      <c r="E462" s="178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178"/>
      <c r="B463" s="178"/>
      <c r="C463" s="178"/>
      <c r="D463" s="178"/>
      <c r="E463" s="178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178"/>
      <c r="B464" s="178"/>
      <c r="C464" s="178"/>
      <c r="D464" s="178"/>
      <c r="E464" s="178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178"/>
      <c r="B465" s="178"/>
      <c r="C465" s="178"/>
      <c r="D465" s="178"/>
      <c r="E465" s="178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178"/>
      <c r="B466" s="178"/>
      <c r="C466" s="178"/>
      <c r="D466" s="178"/>
      <c r="E466" s="178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178"/>
      <c r="B467" s="178"/>
      <c r="C467" s="178"/>
      <c r="D467" s="178"/>
      <c r="E467" s="178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178"/>
      <c r="B468" s="178"/>
      <c r="C468" s="178"/>
      <c r="D468" s="178"/>
      <c r="E468" s="178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178"/>
      <c r="B469" s="178"/>
      <c r="C469" s="178"/>
      <c r="D469" s="178"/>
      <c r="E469" s="178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178"/>
      <c r="B470" s="178"/>
      <c r="C470" s="178"/>
      <c r="D470" s="178"/>
      <c r="E470" s="178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178"/>
      <c r="B471" s="178"/>
      <c r="C471" s="178"/>
      <c r="D471" s="178"/>
      <c r="E471" s="178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178"/>
      <c r="B472" s="178"/>
      <c r="C472" s="178"/>
      <c r="D472" s="178"/>
      <c r="E472" s="178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178"/>
      <c r="B473" s="178"/>
      <c r="C473" s="178"/>
      <c r="D473" s="178"/>
      <c r="E473" s="178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178"/>
      <c r="B474" s="178"/>
      <c r="C474" s="178"/>
      <c r="D474" s="178"/>
      <c r="E474" s="178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178"/>
      <c r="B475" s="178"/>
      <c r="C475" s="178"/>
      <c r="D475" s="178"/>
      <c r="E475" s="178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178"/>
      <c r="B476" s="178"/>
      <c r="C476" s="178"/>
      <c r="D476" s="178"/>
      <c r="E476" s="178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178"/>
      <c r="B477" s="178"/>
      <c r="C477" s="178"/>
      <c r="D477" s="178"/>
      <c r="E477" s="178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178"/>
      <c r="B478" s="178"/>
      <c r="C478" s="178"/>
      <c r="D478" s="178"/>
      <c r="E478" s="178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178"/>
      <c r="B479" s="178"/>
      <c r="C479" s="178"/>
      <c r="D479" s="178"/>
      <c r="E479" s="178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178"/>
      <c r="B480" s="178"/>
      <c r="C480" s="178"/>
      <c r="D480" s="178"/>
      <c r="E480" s="178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178"/>
      <c r="B481" s="178"/>
      <c r="C481" s="178"/>
      <c r="D481" s="178"/>
      <c r="E481" s="178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178"/>
      <c r="B482" s="178"/>
      <c r="C482" s="178"/>
      <c r="D482" s="178"/>
      <c r="E482" s="178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178"/>
      <c r="B483" s="178"/>
      <c r="C483" s="178"/>
      <c r="D483" s="178"/>
      <c r="E483" s="178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178"/>
      <c r="B484" s="178"/>
      <c r="C484" s="178"/>
      <c r="D484" s="178"/>
      <c r="E484" s="178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178"/>
      <c r="B485" s="178"/>
      <c r="C485" s="178"/>
      <c r="D485" s="178"/>
      <c r="E485" s="178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178"/>
      <c r="B486" s="178"/>
      <c r="C486" s="178"/>
      <c r="D486" s="178"/>
      <c r="E486" s="178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178"/>
      <c r="B487" s="178"/>
      <c r="C487" s="178"/>
      <c r="D487" s="178"/>
      <c r="E487" s="178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178"/>
      <c r="B488" s="178"/>
      <c r="C488" s="178"/>
      <c r="D488" s="178"/>
      <c r="E488" s="178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178"/>
      <c r="B489" s="178"/>
      <c r="C489" s="178"/>
      <c r="D489" s="178"/>
      <c r="E489" s="178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178"/>
      <c r="B490" s="178"/>
      <c r="C490" s="178"/>
      <c r="D490" s="178"/>
      <c r="E490" s="178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178"/>
      <c r="B491" s="178"/>
      <c r="C491" s="178"/>
      <c r="D491" s="178"/>
      <c r="E491" s="178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178"/>
      <c r="B492" s="178"/>
      <c r="C492" s="178"/>
      <c r="D492" s="178"/>
      <c r="E492" s="178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178"/>
      <c r="B493" s="178"/>
      <c r="C493" s="178"/>
      <c r="D493" s="178"/>
      <c r="E493" s="178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178"/>
      <c r="B494" s="178"/>
      <c r="C494" s="178"/>
      <c r="D494" s="178"/>
      <c r="E494" s="178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178"/>
      <c r="B495" s="178"/>
      <c r="C495" s="178"/>
      <c r="D495" s="178"/>
      <c r="E495" s="178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178"/>
      <c r="B496" s="178"/>
      <c r="C496" s="178"/>
      <c r="D496" s="178"/>
      <c r="E496" s="178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178"/>
      <c r="B497" s="178"/>
      <c r="C497" s="178"/>
      <c r="D497" s="178"/>
      <c r="E497" s="178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178"/>
      <c r="B498" s="178"/>
      <c r="C498" s="178"/>
      <c r="D498" s="178"/>
      <c r="E498" s="178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178"/>
      <c r="B499" s="178"/>
      <c r="C499" s="178"/>
      <c r="D499" s="178"/>
      <c r="E499" s="178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178"/>
      <c r="B500" s="178"/>
      <c r="C500" s="178"/>
      <c r="D500" s="178"/>
      <c r="E500" s="178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178"/>
      <c r="B501" s="178"/>
      <c r="C501" s="178"/>
      <c r="D501" s="178"/>
      <c r="E501" s="178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178"/>
      <c r="B502" s="178"/>
      <c r="C502" s="178"/>
      <c r="D502" s="178"/>
      <c r="E502" s="178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178"/>
      <c r="B503" s="178"/>
      <c r="C503" s="178"/>
      <c r="D503" s="178"/>
      <c r="E503" s="178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178"/>
      <c r="B504" s="178"/>
      <c r="C504" s="178"/>
      <c r="D504" s="178"/>
      <c r="E504" s="178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178"/>
      <c r="B505" s="178"/>
      <c r="C505" s="178"/>
      <c r="D505" s="178"/>
      <c r="E505" s="178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178"/>
      <c r="B506" s="178"/>
      <c r="C506" s="178"/>
      <c r="D506" s="178"/>
      <c r="E506" s="178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178"/>
      <c r="B507" s="178"/>
      <c r="C507" s="178"/>
      <c r="D507" s="178"/>
      <c r="E507" s="178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178"/>
      <c r="B508" s="178"/>
      <c r="C508" s="178"/>
      <c r="D508" s="178"/>
      <c r="E508" s="178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178"/>
      <c r="B509" s="178"/>
      <c r="C509" s="178"/>
      <c r="D509" s="178"/>
      <c r="E509" s="178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178"/>
      <c r="B510" s="178"/>
      <c r="C510" s="178"/>
      <c r="D510" s="178"/>
      <c r="E510" s="178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178"/>
      <c r="B511" s="178"/>
      <c r="C511" s="178"/>
      <c r="D511" s="178"/>
      <c r="E511" s="178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178"/>
      <c r="B512" s="178"/>
      <c r="C512" s="178"/>
      <c r="D512" s="178"/>
      <c r="E512" s="178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178"/>
      <c r="B513" s="178"/>
      <c r="C513" s="178"/>
      <c r="D513" s="178"/>
      <c r="E513" s="178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178"/>
      <c r="B514" s="178"/>
      <c r="C514" s="178"/>
      <c r="D514" s="178"/>
      <c r="E514" s="178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178"/>
      <c r="B515" s="178"/>
      <c r="C515" s="178"/>
      <c r="D515" s="178"/>
      <c r="E515" s="178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178"/>
      <c r="B516" s="178"/>
      <c r="C516" s="178"/>
      <c r="D516" s="178"/>
      <c r="E516" s="178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178"/>
      <c r="B517" s="178"/>
      <c r="C517" s="178"/>
      <c r="D517" s="178"/>
      <c r="E517" s="178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178"/>
      <c r="B518" s="178"/>
      <c r="C518" s="178"/>
      <c r="D518" s="178"/>
      <c r="E518" s="178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178"/>
      <c r="B519" s="178"/>
      <c r="C519" s="178"/>
      <c r="D519" s="178"/>
      <c r="E519" s="178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178"/>
      <c r="B520" s="178"/>
      <c r="C520" s="178"/>
      <c r="D520" s="178"/>
      <c r="E520" s="178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178"/>
      <c r="B521" s="178"/>
      <c r="C521" s="178"/>
      <c r="D521" s="178"/>
      <c r="E521" s="178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178"/>
      <c r="B522" s="178"/>
      <c r="C522" s="178"/>
      <c r="D522" s="178"/>
      <c r="E522" s="178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178"/>
      <c r="B523" s="178"/>
      <c r="C523" s="178"/>
      <c r="D523" s="178"/>
      <c r="E523" s="178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178"/>
      <c r="B524" s="178"/>
      <c r="C524" s="178"/>
      <c r="D524" s="178"/>
      <c r="E524" s="178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178"/>
      <c r="B525" s="178"/>
      <c r="C525" s="178"/>
      <c r="D525" s="178"/>
      <c r="E525" s="178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178"/>
      <c r="B526" s="178"/>
      <c r="C526" s="178"/>
      <c r="D526" s="178"/>
      <c r="E526" s="178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178"/>
      <c r="B527" s="178"/>
      <c r="C527" s="178"/>
      <c r="D527" s="178"/>
      <c r="E527" s="178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178"/>
      <c r="B528" s="178"/>
      <c r="C528" s="178"/>
      <c r="D528" s="178"/>
      <c r="E528" s="178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178"/>
      <c r="B529" s="178"/>
      <c r="C529" s="178"/>
      <c r="D529" s="178"/>
      <c r="E529" s="178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178"/>
      <c r="B530" s="178"/>
      <c r="C530" s="178"/>
      <c r="D530" s="178"/>
      <c r="E530" s="178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178"/>
      <c r="B531" s="178"/>
      <c r="C531" s="178"/>
      <c r="D531" s="178"/>
      <c r="E531" s="178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178"/>
      <c r="B532" s="178"/>
      <c r="C532" s="178"/>
      <c r="D532" s="178"/>
      <c r="E532" s="178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178"/>
      <c r="B533" s="178"/>
      <c r="C533" s="178"/>
      <c r="D533" s="178"/>
      <c r="E533" s="178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178"/>
      <c r="B534" s="178"/>
      <c r="C534" s="178"/>
      <c r="D534" s="178"/>
      <c r="E534" s="178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178"/>
      <c r="B535" s="178"/>
      <c r="C535" s="178"/>
      <c r="D535" s="178"/>
      <c r="E535" s="178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178"/>
      <c r="B536" s="178"/>
      <c r="C536" s="178"/>
      <c r="D536" s="178"/>
      <c r="E536" s="178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178"/>
      <c r="B537" s="178"/>
      <c r="C537" s="178"/>
      <c r="D537" s="178"/>
      <c r="E537" s="178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178"/>
      <c r="B538" s="178"/>
      <c r="C538" s="178"/>
      <c r="D538" s="178"/>
      <c r="E538" s="178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178"/>
      <c r="B539" s="178"/>
      <c r="C539" s="178"/>
      <c r="D539" s="178"/>
      <c r="E539" s="178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178"/>
      <c r="B540" s="178"/>
      <c r="C540" s="178"/>
      <c r="D540" s="178"/>
      <c r="E540" s="178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178"/>
      <c r="B541" s="178"/>
      <c r="C541" s="178"/>
      <c r="D541" s="178"/>
      <c r="E541" s="178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178"/>
      <c r="B542" s="178"/>
      <c r="C542" s="178"/>
      <c r="D542" s="178"/>
      <c r="E542" s="178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178"/>
      <c r="B543" s="178"/>
      <c r="C543" s="178"/>
      <c r="D543" s="178"/>
      <c r="E543" s="178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178"/>
      <c r="B544" s="178"/>
      <c r="C544" s="178"/>
      <c r="D544" s="178"/>
      <c r="E544" s="178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178"/>
      <c r="B545" s="178"/>
      <c r="C545" s="178"/>
      <c r="D545" s="178"/>
      <c r="E545" s="178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178"/>
      <c r="B546" s="178"/>
      <c r="C546" s="178"/>
      <c r="D546" s="178"/>
      <c r="E546" s="178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178"/>
      <c r="B547" s="178"/>
      <c r="C547" s="178"/>
      <c r="D547" s="178"/>
      <c r="E547" s="178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178"/>
      <c r="B548" s="178"/>
      <c r="C548" s="178"/>
      <c r="D548" s="178"/>
      <c r="E548" s="178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178"/>
      <c r="B549" s="178"/>
      <c r="C549" s="178"/>
      <c r="D549" s="178"/>
      <c r="E549" s="178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178"/>
      <c r="B550" s="178"/>
      <c r="C550" s="178"/>
      <c r="D550" s="178"/>
      <c r="E550" s="178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178"/>
      <c r="B551" s="178"/>
      <c r="C551" s="178"/>
      <c r="D551" s="178"/>
      <c r="E551" s="178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178"/>
      <c r="B552" s="178"/>
      <c r="C552" s="178"/>
      <c r="D552" s="178"/>
      <c r="E552" s="178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178"/>
      <c r="B553" s="178"/>
      <c r="C553" s="178"/>
      <c r="D553" s="178"/>
      <c r="E553" s="178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178"/>
      <c r="B554" s="178"/>
      <c r="C554" s="178"/>
      <c r="D554" s="178"/>
      <c r="E554" s="178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178"/>
      <c r="B555" s="178"/>
      <c r="C555" s="178"/>
      <c r="D555" s="178"/>
      <c r="E555" s="178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178"/>
      <c r="B556" s="178"/>
      <c r="C556" s="178"/>
      <c r="D556" s="178"/>
      <c r="E556" s="178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178"/>
      <c r="B557" s="178"/>
      <c r="C557" s="178"/>
      <c r="D557" s="178"/>
      <c r="E557" s="178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178"/>
      <c r="B558" s="178"/>
      <c r="C558" s="178"/>
      <c r="D558" s="178"/>
      <c r="E558" s="178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178"/>
      <c r="B559" s="178"/>
      <c r="C559" s="178"/>
      <c r="D559" s="178"/>
      <c r="E559" s="178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178"/>
      <c r="B560" s="178"/>
      <c r="C560" s="178"/>
      <c r="D560" s="178"/>
      <c r="E560" s="178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178"/>
      <c r="B561" s="178"/>
      <c r="C561" s="178"/>
      <c r="D561" s="178"/>
      <c r="E561" s="178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178"/>
      <c r="B562" s="178"/>
      <c r="C562" s="178"/>
      <c r="D562" s="178"/>
      <c r="E562" s="178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178"/>
      <c r="B563" s="178"/>
      <c r="C563" s="178"/>
      <c r="D563" s="178"/>
      <c r="E563" s="178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178"/>
      <c r="B564" s="178"/>
      <c r="C564" s="178"/>
      <c r="D564" s="178"/>
      <c r="E564" s="178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178"/>
      <c r="B565" s="178"/>
      <c r="C565" s="178"/>
      <c r="D565" s="178"/>
      <c r="E565" s="178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178"/>
      <c r="B566" s="178"/>
      <c r="C566" s="178"/>
      <c r="D566" s="178"/>
      <c r="E566" s="178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178"/>
      <c r="B567" s="178"/>
      <c r="C567" s="178"/>
      <c r="D567" s="178"/>
      <c r="E567" s="178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178"/>
      <c r="B568" s="178"/>
      <c r="C568" s="178"/>
      <c r="D568" s="178"/>
      <c r="E568" s="178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178"/>
      <c r="B569" s="178"/>
      <c r="C569" s="178"/>
      <c r="D569" s="178"/>
      <c r="E569" s="178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178"/>
      <c r="B570" s="178"/>
      <c r="C570" s="178"/>
      <c r="D570" s="178"/>
      <c r="E570" s="178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178"/>
      <c r="B571" s="178"/>
      <c r="C571" s="178"/>
      <c r="D571" s="178"/>
      <c r="E571" s="178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178"/>
      <c r="B572" s="178"/>
      <c r="C572" s="178"/>
      <c r="D572" s="178"/>
      <c r="E572" s="178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178"/>
      <c r="B573" s="178"/>
      <c r="C573" s="178"/>
      <c r="D573" s="178"/>
      <c r="E573" s="178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178"/>
      <c r="B574" s="178"/>
      <c r="C574" s="178"/>
      <c r="D574" s="178"/>
      <c r="E574" s="178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178"/>
      <c r="B575" s="178"/>
      <c r="C575" s="178"/>
      <c r="D575" s="178"/>
      <c r="E575" s="178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178"/>
      <c r="B576" s="178"/>
      <c r="C576" s="178"/>
      <c r="D576" s="178"/>
      <c r="E576" s="178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178"/>
      <c r="B577" s="178"/>
      <c r="C577" s="178"/>
      <c r="D577" s="178"/>
      <c r="E577" s="178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178"/>
      <c r="B578" s="178"/>
      <c r="C578" s="178"/>
      <c r="D578" s="178"/>
      <c r="E578" s="178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178"/>
      <c r="B579" s="178"/>
      <c r="C579" s="178"/>
      <c r="D579" s="178"/>
      <c r="E579" s="178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178"/>
      <c r="B580" s="178"/>
      <c r="C580" s="178"/>
      <c r="D580" s="178"/>
      <c r="E580" s="178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178"/>
      <c r="B581" s="178"/>
      <c r="C581" s="178"/>
      <c r="D581" s="178"/>
      <c r="E581" s="178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178"/>
      <c r="B582" s="178"/>
      <c r="C582" s="178"/>
      <c r="D582" s="178"/>
      <c r="E582" s="178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178"/>
      <c r="B583" s="178"/>
      <c r="C583" s="178"/>
      <c r="D583" s="178"/>
      <c r="E583" s="178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178"/>
      <c r="B584" s="178"/>
      <c r="C584" s="178"/>
      <c r="D584" s="178"/>
      <c r="E584" s="178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178"/>
      <c r="B585" s="178"/>
      <c r="C585" s="178"/>
      <c r="D585" s="178"/>
      <c r="E585" s="178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178"/>
      <c r="B586" s="178"/>
      <c r="C586" s="178"/>
      <c r="D586" s="178"/>
      <c r="E586" s="178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178"/>
      <c r="B587" s="178"/>
      <c r="C587" s="178"/>
      <c r="D587" s="178"/>
      <c r="E587" s="178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178"/>
      <c r="B588" s="178"/>
      <c r="C588" s="178"/>
      <c r="D588" s="178"/>
      <c r="E588" s="178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178"/>
      <c r="B589" s="178"/>
      <c r="C589" s="178"/>
      <c r="D589" s="178"/>
      <c r="E589" s="178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178"/>
      <c r="B590" s="178"/>
      <c r="C590" s="178"/>
      <c r="D590" s="178"/>
      <c r="E590" s="178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178"/>
      <c r="B591" s="178"/>
      <c r="C591" s="178"/>
      <c r="D591" s="178"/>
      <c r="E591" s="178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178"/>
      <c r="B592" s="178"/>
      <c r="C592" s="178"/>
      <c r="D592" s="178"/>
      <c r="E592" s="178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178"/>
      <c r="B593" s="178"/>
      <c r="C593" s="178"/>
      <c r="D593" s="178"/>
      <c r="E593" s="178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178"/>
      <c r="B594" s="178"/>
      <c r="C594" s="178"/>
      <c r="D594" s="178"/>
      <c r="E594" s="178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178"/>
      <c r="B595" s="178"/>
      <c r="C595" s="178"/>
      <c r="D595" s="178"/>
      <c r="E595" s="178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178"/>
      <c r="B596" s="178"/>
      <c r="C596" s="178"/>
      <c r="D596" s="178"/>
      <c r="E596" s="178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178"/>
      <c r="B597" s="178"/>
      <c r="C597" s="178"/>
      <c r="D597" s="178"/>
      <c r="E597" s="178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178"/>
      <c r="B598" s="178"/>
      <c r="C598" s="178"/>
      <c r="D598" s="178"/>
      <c r="E598" s="178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178"/>
      <c r="B599" s="178"/>
      <c r="C599" s="178"/>
      <c r="D599" s="178"/>
      <c r="E599" s="178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178"/>
      <c r="B600" s="178"/>
      <c r="C600" s="178"/>
      <c r="D600" s="178"/>
      <c r="E600" s="178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178"/>
      <c r="B601" s="178"/>
      <c r="C601" s="178"/>
      <c r="D601" s="178"/>
      <c r="E601" s="178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178"/>
      <c r="B602" s="178"/>
      <c r="C602" s="178"/>
      <c r="D602" s="178"/>
      <c r="E602" s="178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178"/>
      <c r="B603" s="178"/>
      <c r="C603" s="178"/>
      <c r="D603" s="178"/>
      <c r="E603" s="178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178"/>
      <c r="B604" s="178"/>
      <c r="C604" s="178"/>
      <c r="D604" s="178"/>
      <c r="E604" s="178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178"/>
      <c r="B605" s="178"/>
      <c r="C605" s="178"/>
      <c r="D605" s="178"/>
      <c r="E605" s="178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178"/>
      <c r="B606" s="178"/>
      <c r="C606" s="178"/>
      <c r="D606" s="178"/>
      <c r="E606" s="178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178"/>
      <c r="B607" s="178"/>
      <c r="C607" s="178"/>
      <c r="D607" s="178"/>
      <c r="E607" s="178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178"/>
      <c r="B608" s="178"/>
      <c r="C608" s="178"/>
      <c r="D608" s="178"/>
      <c r="E608" s="178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178"/>
      <c r="B609" s="178"/>
      <c r="C609" s="178"/>
      <c r="D609" s="178"/>
      <c r="E609" s="178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178"/>
      <c r="B610" s="178"/>
      <c r="C610" s="178"/>
      <c r="D610" s="178"/>
      <c r="E610" s="178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178"/>
      <c r="B611" s="178"/>
      <c r="C611" s="178"/>
      <c r="D611" s="178"/>
      <c r="E611" s="178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178"/>
      <c r="B612" s="178"/>
      <c r="C612" s="178"/>
      <c r="D612" s="178"/>
      <c r="E612" s="178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178"/>
      <c r="B613" s="178"/>
      <c r="C613" s="178"/>
      <c r="D613" s="178"/>
      <c r="E613" s="178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178"/>
      <c r="B614" s="178"/>
      <c r="C614" s="178"/>
      <c r="D614" s="178"/>
      <c r="E614" s="178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178"/>
      <c r="B615" s="178"/>
      <c r="C615" s="178"/>
      <c r="D615" s="178"/>
      <c r="E615" s="178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178"/>
      <c r="B616" s="178"/>
      <c r="C616" s="178"/>
      <c r="D616" s="178"/>
      <c r="E616" s="178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178"/>
      <c r="B617" s="178"/>
      <c r="C617" s="178"/>
      <c r="D617" s="178"/>
      <c r="E617" s="178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178"/>
      <c r="B618" s="178"/>
      <c r="C618" s="178"/>
      <c r="D618" s="178"/>
      <c r="E618" s="178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178"/>
      <c r="B619" s="178"/>
      <c r="C619" s="178"/>
      <c r="D619" s="178"/>
      <c r="E619" s="178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178"/>
      <c r="B620" s="178"/>
      <c r="C620" s="178"/>
      <c r="D620" s="178"/>
      <c r="E620" s="178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178"/>
      <c r="B621" s="178"/>
      <c r="C621" s="178"/>
      <c r="D621" s="178"/>
      <c r="E621" s="178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178"/>
      <c r="B622" s="178"/>
      <c r="C622" s="178"/>
      <c r="D622" s="178"/>
      <c r="E622" s="178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178"/>
      <c r="B623" s="178"/>
      <c r="C623" s="178"/>
      <c r="D623" s="178"/>
      <c r="E623" s="178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178"/>
      <c r="B624" s="178"/>
      <c r="C624" s="178"/>
      <c r="D624" s="178"/>
      <c r="E624" s="178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178"/>
      <c r="B625" s="178"/>
      <c r="C625" s="178"/>
      <c r="D625" s="178"/>
      <c r="E625" s="178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178"/>
      <c r="B626" s="178"/>
      <c r="C626" s="178"/>
      <c r="D626" s="178"/>
      <c r="E626" s="178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178"/>
      <c r="B627" s="178"/>
      <c r="C627" s="178"/>
      <c r="D627" s="178"/>
      <c r="E627" s="178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178"/>
      <c r="B628" s="178"/>
      <c r="C628" s="178"/>
      <c r="D628" s="178"/>
      <c r="E628" s="178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178"/>
      <c r="B629" s="178"/>
      <c r="C629" s="178"/>
      <c r="D629" s="178"/>
      <c r="E629" s="178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178"/>
      <c r="B630" s="178"/>
      <c r="C630" s="178"/>
      <c r="D630" s="178"/>
      <c r="E630" s="178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178"/>
      <c r="B631" s="178"/>
      <c r="C631" s="178"/>
      <c r="D631" s="178"/>
      <c r="E631" s="178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178"/>
      <c r="B632" s="178"/>
      <c r="C632" s="178"/>
      <c r="D632" s="178"/>
      <c r="E632" s="178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178"/>
      <c r="B633" s="178"/>
      <c r="C633" s="178"/>
      <c r="D633" s="178"/>
      <c r="E633" s="178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178"/>
      <c r="B634" s="178"/>
      <c r="C634" s="178"/>
      <c r="D634" s="178"/>
      <c r="E634" s="178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178"/>
      <c r="B635" s="178"/>
      <c r="C635" s="178"/>
      <c r="D635" s="178"/>
      <c r="E635" s="178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178"/>
      <c r="B636" s="178"/>
      <c r="C636" s="178"/>
      <c r="D636" s="178"/>
      <c r="E636" s="178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178"/>
      <c r="B637" s="178"/>
      <c r="C637" s="178"/>
      <c r="D637" s="178"/>
      <c r="E637" s="178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178"/>
      <c r="B638" s="178"/>
      <c r="C638" s="178"/>
      <c r="D638" s="178"/>
      <c r="E638" s="178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178"/>
      <c r="B639" s="178"/>
      <c r="C639" s="178"/>
      <c r="D639" s="178"/>
      <c r="E639" s="178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178"/>
      <c r="B640" s="178"/>
      <c r="C640" s="178"/>
      <c r="D640" s="178"/>
      <c r="E640" s="178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178"/>
      <c r="B641" s="178"/>
      <c r="C641" s="178"/>
      <c r="D641" s="178"/>
      <c r="E641" s="178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178"/>
      <c r="B642" s="178"/>
      <c r="C642" s="178"/>
      <c r="D642" s="178"/>
      <c r="E642" s="178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178"/>
      <c r="B643" s="178"/>
      <c r="C643" s="178"/>
      <c r="D643" s="178"/>
      <c r="E643" s="178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178"/>
      <c r="B644" s="178"/>
      <c r="C644" s="178"/>
      <c r="D644" s="178"/>
      <c r="E644" s="178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178"/>
      <c r="B645" s="178"/>
      <c r="C645" s="178"/>
      <c r="D645" s="178"/>
      <c r="E645" s="178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178"/>
      <c r="B646" s="178"/>
      <c r="C646" s="178"/>
      <c r="D646" s="178"/>
      <c r="E646" s="178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178"/>
      <c r="B647" s="178"/>
      <c r="C647" s="178"/>
      <c r="D647" s="178"/>
      <c r="E647" s="178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178"/>
      <c r="B648" s="178"/>
      <c r="C648" s="178"/>
      <c r="D648" s="178"/>
      <c r="E648" s="178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178"/>
      <c r="B649" s="178"/>
      <c r="C649" s="178"/>
      <c r="D649" s="178"/>
      <c r="E649" s="178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178"/>
      <c r="B650" s="178"/>
      <c r="C650" s="178"/>
      <c r="D650" s="178"/>
      <c r="E650" s="178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178"/>
      <c r="B651" s="178"/>
      <c r="C651" s="178"/>
      <c r="D651" s="178"/>
      <c r="E651" s="178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178"/>
      <c r="B652" s="178"/>
      <c r="C652" s="178"/>
      <c r="D652" s="178"/>
      <c r="E652" s="178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178"/>
      <c r="B653" s="178"/>
      <c r="C653" s="178"/>
      <c r="D653" s="178"/>
      <c r="E653" s="178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178"/>
      <c r="B654" s="178"/>
      <c r="C654" s="178"/>
      <c r="D654" s="178"/>
      <c r="E654" s="178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178"/>
      <c r="B655" s="178"/>
      <c r="C655" s="178"/>
      <c r="D655" s="178"/>
      <c r="E655" s="178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178"/>
      <c r="B656" s="178"/>
      <c r="C656" s="178"/>
      <c r="D656" s="178"/>
      <c r="E656" s="178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178"/>
      <c r="B657" s="178"/>
      <c r="C657" s="178"/>
      <c r="D657" s="178"/>
      <c r="E657" s="178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178"/>
      <c r="B658" s="178"/>
      <c r="C658" s="178"/>
      <c r="D658" s="178"/>
      <c r="E658" s="178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178"/>
      <c r="B659" s="178"/>
      <c r="C659" s="178"/>
      <c r="D659" s="178"/>
      <c r="E659" s="178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178"/>
      <c r="B660" s="178"/>
      <c r="C660" s="178"/>
      <c r="D660" s="178"/>
      <c r="E660" s="178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178"/>
      <c r="B661" s="178"/>
      <c r="C661" s="178"/>
      <c r="D661" s="178"/>
      <c r="E661" s="178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178"/>
      <c r="B662" s="178"/>
      <c r="C662" s="178"/>
      <c r="D662" s="178"/>
      <c r="E662" s="178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178"/>
      <c r="B663" s="178"/>
      <c r="C663" s="178"/>
      <c r="D663" s="178"/>
      <c r="E663" s="178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178"/>
      <c r="B664" s="178"/>
      <c r="C664" s="178"/>
      <c r="D664" s="178"/>
      <c r="E664" s="178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178"/>
      <c r="B665" s="178"/>
      <c r="C665" s="178"/>
      <c r="D665" s="178"/>
      <c r="E665" s="178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178"/>
      <c r="B666" s="178"/>
      <c r="C666" s="178"/>
      <c r="D666" s="178"/>
      <c r="E666" s="178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178"/>
      <c r="B667" s="178"/>
      <c r="C667" s="178"/>
      <c r="D667" s="178"/>
      <c r="E667" s="178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178"/>
      <c r="B668" s="178"/>
      <c r="C668" s="178"/>
      <c r="D668" s="178"/>
      <c r="E668" s="178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178"/>
      <c r="B669" s="178"/>
      <c r="C669" s="178"/>
      <c r="D669" s="178"/>
      <c r="E669" s="178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178"/>
      <c r="B670" s="178"/>
      <c r="C670" s="178"/>
      <c r="D670" s="178"/>
      <c r="E670" s="178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178"/>
      <c r="B671" s="178"/>
      <c r="C671" s="178"/>
      <c r="D671" s="178"/>
      <c r="E671" s="178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178"/>
      <c r="B672" s="178"/>
      <c r="C672" s="178"/>
      <c r="D672" s="178"/>
      <c r="E672" s="178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178"/>
      <c r="B673" s="178"/>
      <c r="C673" s="178"/>
      <c r="D673" s="178"/>
      <c r="E673" s="178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178"/>
      <c r="B674" s="178"/>
      <c r="C674" s="178"/>
      <c r="D674" s="178"/>
      <c r="E674" s="178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178"/>
      <c r="B675" s="178"/>
      <c r="C675" s="178"/>
      <c r="D675" s="178"/>
      <c r="E675" s="178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178"/>
      <c r="B676" s="178"/>
      <c r="C676" s="178"/>
      <c r="D676" s="178"/>
      <c r="E676" s="178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178"/>
      <c r="B677" s="178"/>
      <c r="C677" s="178"/>
      <c r="D677" s="178"/>
      <c r="E677" s="178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178"/>
      <c r="B678" s="178"/>
      <c r="C678" s="178"/>
      <c r="D678" s="178"/>
      <c r="E678" s="178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178"/>
      <c r="B679" s="178"/>
      <c r="C679" s="178"/>
      <c r="D679" s="178"/>
      <c r="E679" s="178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178"/>
      <c r="B680" s="178"/>
      <c r="C680" s="178"/>
      <c r="D680" s="178"/>
      <c r="E680" s="178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178"/>
      <c r="B681" s="178"/>
      <c r="C681" s="178"/>
      <c r="D681" s="178"/>
      <c r="E681" s="178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178"/>
      <c r="B682" s="178"/>
      <c r="C682" s="178"/>
      <c r="D682" s="178"/>
      <c r="E682" s="178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178"/>
      <c r="B683" s="178"/>
      <c r="C683" s="178"/>
      <c r="D683" s="178"/>
      <c r="E683" s="178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178"/>
      <c r="B684" s="178"/>
      <c r="C684" s="178"/>
      <c r="D684" s="178"/>
      <c r="E684" s="178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178"/>
      <c r="B685" s="178"/>
      <c r="C685" s="178"/>
      <c r="D685" s="178"/>
      <c r="E685" s="178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178"/>
      <c r="B686" s="178"/>
      <c r="C686" s="178"/>
      <c r="D686" s="178"/>
      <c r="E686" s="178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178"/>
      <c r="B687" s="178"/>
      <c r="C687" s="178"/>
      <c r="D687" s="178"/>
      <c r="E687" s="178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178"/>
      <c r="B688" s="178"/>
      <c r="C688" s="178"/>
      <c r="D688" s="178"/>
      <c r="E688" s="178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178"/>
      <c r="B689" s="178"/>
      <c r="C689" s="178"/>
      <c r="D689" s="178"/>
      <c r="E689" s="178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178"/>
      <c r="B690" s="178"/>
      <c r="C690" s="178"/>
      <c r="D690" s="178"/>
      <c r="E690" s="178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178"/>
      <c r="B691" s="178"/>
      <c r="C691" s="178"/>
      <c r="D691" s="178"/>
      <c r="E691" s="178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178"/>
      <c r="B692" s="178"/>
      <c r="C692" s="178"/>
      <c r="D692" s="178"/>
      <c r="E692" s="178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178"/>
      <c r="B693" s="178"/>
      <c r="C693" s="178"/>
      <c r="D693" s="178"/>
      <c r="E693" s="178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178"/>
      <c r="B694" s="178"/>
      <c r="C694" s="178"/>
      <c r="D694" s="178"/>
      <c r="E694" s="178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178"/>
      <c r="B695" s="178"/>
      <c r="C695" s="178"/>
      <c r="D695" s="178"/>
      <c r="E695" s="178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178"/>
      <c r="B696" s="178"/>
      <c r="C696" s="178"/>
      <c r="D696" s="178"/>
      <c r="E696" s="178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178"/>
      <c r="B697" s="178"/>
      <c r="C697" s="178"/>
      <c r="D697" s="178"/>
      <c r="E697" s="178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178"/>
      <c r="B698" s="178"/>
      <c r="C698" s="178"/>
      <c r="D698" s="178"/>
      <c r="E698" s="178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178"/>
      <c r="B699" s="178"/>
      <c r="C699" s="178"/>
      <c r="D699" s="178"/>
      <c r="E699" s="178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178"/>
      <c r="B700" s="178"/>
      <c r="C700" s="178"/>
      <c r="D700" s="178"/>
      <c r="E700" s="178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178"/>
      <c r="B701" s="178"/>
      <c r="C701" s="178"/>
      <c r="D701" s="178"/>
      <c r="E701" s="178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178"/>
      <c r="B702" s="178"/>
      <c r="C702" s="178"/>
      <c r="D702" s="178"/>
      <c r="E702" s="178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178"/>
      <c r="B703" s="178"/>
      <c r="C703" s="178"/>
      <c r="D703" s="178"/>
      <c r="E703" s="178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178"/>
      <c r="B704" s="178"/>
      <c r="C704" s="178"/>
      <c r="D704" s="178"/>
      <c r="E704" s="178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178"/>
      <c r="B705" s="178"/>
      <c r="C705" s="178"/>
      <c r="D705" s="178"/>
      <c r="E705" s="178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178"/>
      <c r="B706" s="178"/>
      <c r="C706" s="178"/>
      <c r="D706" s="178"/>
      <c r="E706" s="178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178"/>
      <c r="B707" s="178"/>
      <c r="C707" s="178"/>
      <c r="D707" s="178"/>
      <c r="E707" s="178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178"/>
      <c r="B708" s="178"/>
      <c r="C708" s="178"/>
      <c r="D708" s="178"/>
      <c r="E708" s="178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178"/>
      <c r="B709" s="178"/>
      <c r="C709" s="178"/>
      <c r="D709" s="178"/>
      <c r="E709" s="178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178"/>
      <c r="B710" s="178"/>
      <c r="C710" s="178"/>
      <c r="D710" s="178"/>
      <c r="E710" s="178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178"/>
      <c r="B711" s="178"/>
      <c r="C711" s="178"/>
      <c r="D711" s="178"/>
      <c r="E711" s="178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178"/>
      <c r="B712" s="178"/>
      <c r="C712" s="178"/>
      <c r="D712" s="178"/>
      <c r="E712" s="178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178"/>
      <c r="B713" s="178"/>
      <c r="C713" s="178"/>
      <c r="D713" s="178"/>
      <c r="E713" s="178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178"/>
      <c r="B714" s="178"/>
      <c r="C714" s="178"/>
      <c r="D714" s="178"/>
      <c r="E714" s="178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178"/>
      <c r="B715" s="178"/>
      <c r="C715" s="178"/>
      <c r="D715" s="178"/>
      <c r="E715" s="178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178"/>
      <c r="B716" s="178"/>
      <c r="C716" s="178"/>
      <c r="D716" s="178"/>
      <c r="E716" s="178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178"/>
      <c r="B717" s="178"/>
      <c r="C717" s="178"/>
      <c r="D717" s="178"/>
      <c r="E717" s="178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178"/>
      <c r="B718" s="178"/>
      <c r="C718" s="178"/>
      <c r="D718" s="178"/>
      <c r="E718" s="178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178"/>
      <c r="B719" s="178"/>
      <c r="C719" s="178"/>
      <c r="D719" s="178"/>
      <c r="E719" s="178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178"/>
      <c r="B720" s="178"/>
      <c r="C720" s="178"/>
      <c r="D720" s="178"/>
      <c r="E720" s="178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178"/>
      <c r="B721" s="178"/>
      <c r="C721" s="178"/>
      <c r="D721" s="178"/>
      <c r="E721" s="178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178"/>
      <c r="B722" s="178"/>
      <c r="C722" s="178"/>
      <c r="D722" s="178"/>
      <c r="E722" s="178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178"/>
      <c r="B723" s="178"/>
      <c r="C723" s="178"/>
      <c r="D723" s="178"/>
      <c r="E723" s="178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178"/>
      <c r="B724" s="178"/>
      <c r="C724" s="178"/>
      <c r="D724" s="178"/>
      <c r="E724" s="178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178"/>
      <c r="B725" s="178"/>
      <c r="C725" s="178"/>
      <c r="D725" s="178"/>
      <c r="E725" s="178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178"/>
      <c r="B726" s="178"/>
      <c r="C726" s="178"/>
      <c r="D726" s="178"/>
      <c r="E726" s="178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178"/>
      <c r="B727" s="178"/>
      <c r="C727" s="178"/>
      <c r="D727" s="178"/>
      <c r="E727" s="178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178"/>
      <c r="B728" s="178"/>
      <c r="C728" s="178"/>
      <c r="D728" s="178"/>
      <c r="E728" s="178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178"/>
      <c r="B729" s="178"/>
      <c r="C729" s="178"/>
      <c r="D729" s="178"/>
      <c r="E729" s="178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178"/>
      <c r="B730" s="178"/>
      <c r="C730" s="178"/>
      <c r="D730" s="178"/>
      <c r="E730" s="178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178"/>
      <c r="B731" s="178"/>
      <c r="C731" s="178"/>
      <c r="D731" s="178"/>
      <c r="E731" s="178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178"/>
      <c r="B732" s="178"/>
      <c r="C732" s="178"/>
      <c r="D732" s="178"/>
      <c r="E732" s="178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178"/>
      <c r="B733" s="178"/>
      <c r="C733" s="178"/>
      <c r="D733" s="178"/>
      <c r="E733" s="178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178"/>
      <c r="B734" s="178"/>
      <c r="C734" s="178"/>
      <c r="D734" s="178"/>
      <c r="E734" s="178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178"/>
      <c r="B735" s="178"/>
      <c r="C735" s="178"/>
      <c r="D735" s="178"/>
      <c r="E735" s="178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178"/>
      <c r="B736" s="178"/>
      <c r="C736" s="178"/>
      <c r="D736" s="178"/>
      <c r="E736" s="178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178"/>
      <c r="B737" s="178"/>
      <c r="C737" s="178"/>
      <c r="D737" s="178"/>
      <c r="E737" s="178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178"/>
      <c r="B738" s="178"/>
      <c r="C738" s="178"/>
      <c r="D738" s="178"/>
      <c r="E738" s="178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178"/>
      <c r="B739" s="178"/>
      <c r="C739" s="178"/>
      <c r="D739" s="178"/>
      <c r="E739" s="178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178"/>
      <c r="B740" s="178"/>
      <c r="C740" s="178"/>
      <c r="D740" s="178"/>
      <c r="E740" s="178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178"/>
      <c r="B741" s="178"/>
      <c r="C741" s="178"/>
      <c r="D741" s="178"/>
      <c r="E741" s="178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178"/>
      <c r="B742" s="178"/>
      <c r="C742" s="178"/>
      <c r="D742" s="178"/>
      <c r="E742" s="178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178"/>
      <c r="B743" s="178"/>
      <c r="C743" s="178"/>
      <c r="D743" s="178"/>
      <c r="E743" s="178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178"/>
      <c r="B744" s="178"/>
      <c r="C744" s="178"/>
      <c r="D744" s="178"/>
      <c r="E744" s="178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178"/>
      <c r="B745" s="178"/>
      <c r="C745" s="178"/>
      <c r="D745" s="178"/>
      <c r="E745" s="178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178"/>
      <c r="B746" s="178"/>
      <c r="C746" s="178"/>
      <c r="D746" s="178"/>
      <c r="E746" s="178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178"/>
      <c r="B747" s="178"/>
      <c r="C747" s="178"/>
      <c r="D747" s="178"/>
      <c r="E747" s="178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178"/>
      <c r="B748" s="178"/>
      <c r="C748" s="178"/>
      <c r="D748" s="178"/>
      <c r="E748" s="178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178"/>
      <c r="B749" s="178"/>
      <c r="C749" s="178"/>
      <c r="D749" s="178"/>
      <c r="E749" s="178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178"/>
      <c r="B750" s="178"/>
      <c r="C750" s="178"/>
      <c r="D750" s="178"/>
      <c r="E750" s="178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178"/>
      <c r="B751" s="178"/>
      <c r="C751" s="178"/>
      <c r="D751" s="178"/>
      <c r="E751" s="178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178"/>
      <c r="B752" s="178"/>
      <c r="C752" s="178"/>
      <c r="D752" s="178"/>
      <c r="E752" s="178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178"/>
      <c r="B753" s="178"/>
      <c r="C753" s="178"/>
      <c r="D753" s="178"/>
      <c r="E753" s="178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178"/>
      <c r="B754" s="178"/>
      <c r="C754" s="178"/>
      <c r="D754" s="178"/>
      <c r="E754" s="178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178"/>
      <c r="B755" s="178"/>
      <c r="C755" s="178"/>
      <c r="D755" s="178"/>
      <c r="E755" s="178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178"/>
      <c r="B756" s="178"/>
      <c r="C756" s="178"/>
      <c r="D756" s="178"/>
      <c r="E756" s="178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178"/>
      <c r="B757" s="178"/>
      <c r="C757" s="178"/>
      <c r="D757" s="178"/>
      <c r="E757" s="178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178"/>
      <c r="B758" s="178"/>
      <c r="C758" s="178"/>
      <c r="D758" s="178"/>
      <c r="E758" s="178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178"/>
      <c r="B759" s="178"/>
      <c r="C759" s="178"/>
      <c r="D759" s="178"/>
      <c r="E759" s="178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178"/>
      <c r="B760" s="178"/>
      <c r="C760" s="178"/>
      <c r="D760" s="178"/>
      <c r="E760" s="178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178"/>
      <c r="B761" s="178"/>
      <c r="C761" s="178"/>
      <c r="D761" s="178"/>
      <c r="E761" s="178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178"/>
      <c r="B762" s="178"/>
      <c r="C762" s="178"/>
      <c r="D762" s="178"/>
      <c r="E762" s="178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178"/>
      <c r="B763" s="178"/>
      <c r="C763" s="178"/>
      <c r="D763" s="178"/>
      <c r="E763" s="178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178"/>
      <c r="B764" s="178"/>
      <c r="C764" s="178"/>
      <c r="D764" s="178"/>
      <c r="E764" s="178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178"/>
      <c r="B765" s="178"/>
      <c r="C765" s="178"/>
      <c r="D765" s="178"/>
      <c r="E765" s="178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178"/>
      <c r="B766" s="178"/>
      <c r="C766" s="178"/>
      <c r="D766" s="178"/>
      <c r="E766" s="178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178"/>
      <c r="B767" s="178"/>
      <c r="C767" s="178"/>
      <c r="D767" s="178"/>
      <c r="E767" s="178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178"/>
      <c r="B768" s="178"/>
      <c r="C768" s="178"/>
      <c r="D768" s="178"/>
      <c r="E768" s="178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178"/>
      <c r="B769" s="178"/>
      <c r="C769" s="178"/>
      <c r="D769" s="178"/>
      <c r="E769" s="178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178"/>
      <c r="B770" s="178"/>
      <c r="C770" s="178"/>
      <c r="D770" s="178"/>
      <c r="E770" s="178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178"/>
      <c r="B771" s="178"/>
      <c r="C771" s="178"/>
      <c r="D771" s="178"/>
      <c r="E771" s="178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178"/>
      <c r="B772" s="178"/>
      <c r="C772" s="178"/>
      <c r="D772" s="178"/>
      <c r="E772" s="178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178"/>
      <c r="B773" s="178"/>
      <c r="C773" s="178"/>
      <c r="D773" s="178"/>
      <c r="E773" s="178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178"/>
      <c r="B774" s="178"/>
      <c r="C774" s="178"/>
      <c r="D774" s="178"/>
      <c r="E774" s="178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178"/>
      <c r="B775" s="178"/>
      <c r="C775" s="178"/>
      <c r="D775" s="178"/>
      <c r="E775" s="178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178"/>
      <c r="B776" s="178"/>
      <c r="C776" s="178"/>
      <c r="D776" s="178"/>
      <c r="E776" s="178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178"/>
      <c r="B777" s="178"/>
      <c r="C777" s="178"/>
      <c r="D777" s="178"/>
      <c r="E777" s="178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178"/>
      <c r="B778" s="178"/>
      <c r="C778" s="178"/>
      <c r="D778" s="178"/>
      <c r="E778" s="178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178"/>
      <c r="B779" s="178"/>
      <c r="C779" s="178"/>
      <c r="D779" s="178"/>
      <c r="E779" s="178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178"/>
      <c r="B780" s="178"/>
      <c r="C780" s="178"/>
      <c r="D780" s="178"/>
      <c r="E780" s="178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178"/>
      <c r="B781" s="178"/>
      <c r="C781" s="178"/>
      <c r="D781" s="178"/>
      <c r="E781" s="178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178"/>
      <c r="B782" s="178"/>
      <c r="C782" s="178"/>
      <c r="D782" s="178"/>
      <c r="E782" s="178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178"/>
      <c r="B783" s="178"/>
      <c r="C783" s="178"/>
      <c r="D783" s="178"/>
      <c r="E783" s="178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178"/>
      <c r="B784" s="178"/>
      <c r="C784" s="178"/>
      <c r="D784" s="178"/>
      <c r="E784" s="178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178"/>
      <c r="B785" s="178"/>
      <c r="C785" s="178"/>
      <c r="D785" s="178"/>
      <c r="E785" s="178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178"/>
      <c r="B786" s="178"/>
      <c r="C786" s="178"/>
      <c r="D786" s="178"/>
      <c r="E786" s="178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178"/>
      <c r="B787" s="178"/>
      <c r="C787" s="178"/>
      <c r="D787" s="178"/>
      <c r="E787" s="178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178"/>
      <c r="B788" s="178"/>
      <c r="C788" s="178"/>
      <c r="D788" s="178"/>
      <c r="E788" s="178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178"/>
      <c r="B789" s="178"/>
      <c r="C789" s="178"/>
      <c r="D789" s="178"/>
      <c r="E789" s="178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178"/>
      <c r="B790" s="178"/>
      <c r="C790" s="178"/>
      <c r="D790" s="178"/>
      <c r="E790" s="178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178"/>
      <c r="B791" s="178"/>
      <c r="C791" s="178"/>
      <c r="D791" s="178"/>
      <c r="E791" s="178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178"/>
      <c r="B792" s="178"/>
      <c r="C792" s="178"/>
      <c r="D792" s="178"/>
      <c r="E792" s="178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178"/>
      <c r="B793" s="178"/>
      <c r="C793" s="178"/>
      <c r="D793" s="178"/>
      <c r="E793" s="178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178"/>
      <c r="B794" s="178"/>
      <c r="C794" s="178"/>
      <c r="D794" s="178"/>
      <c r="E794" s="178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178"/>
      <c r="B795" s="178"/>
      <c r="C795" s="178"/>
      <c r="D795" s="178"/>
      <c r="E795" s="178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178"/>
      <c r="B796" s="178"/>
      <c r="C796" s="178"/>
      <c r="D796" s="178"/>
      <c r="E796" s="178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178"/>
      <c r="B797" s="178"/>
      <c r="C797" s="178"/>
      <c r="D797" s="178"/>
      <c r="E797" s="178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178"/>
      <c r="B798" s="178"/>
      <c r="C798" s="178"/>
      <c r="D798" s="178"/>
      <c r="E798" s="178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178"/>
      <c r="B799" s="178"/>
      <c r="C799" s="178"/>
      <c r="D799" s="178"/>
      <c r="E799" s="178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178"/>
      <c r="B800" s="178"/>
      <c r="C800" s="178"/>
      <c r="D800" s="178"/>
      <c r="E800" s="178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178"/>
      <c r="B801" s="178"/>
      <c r="C801" s="178"/>
      <c r="D801" s="178"/>
      <c r="E801" s="178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178"/>
      <c r="B802" s="178"/>
      <c r="C802" s="178"/>
      <c r="D802" s="178"/>
      <c r="E802" s="178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178"/>
      <c r="B803" s="178"/>
      <c r="C803" s="178"/>
      <c r="D803" s="178"/>
      <c r="E803" s="178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178"/>
      <c r="B804" s="178"/>
      <c r="C804" s="178"/>
      <c r="D804" s="178"/>
      <c r="E804" s="178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178"/>
      <c r="B805" s="178"/>
      <c r="C805" s="178"/>
      <c r="D805" s="178"/>
      <c r="E805" s="178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178"/>
      <c r="B806" s="178"/>
      <c r="C806" s="178"/>
      <c r="D806" s="178"/>
      <c r="E806" s="178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178"/>
      <c r="B807" s="178"/>
      <c r="C807" s="178"/>
      <c r="D807" s="178"/>
      <c r="E807" s="178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178"/>
      <c r="B808" s="178"/>
      <c r="C808" s="178"/>
      <c r="D808" s="178"/>
      <c r="E808" s="178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178"/>
      <c r="B809" s="178"/>
      <c r="C809" s="178"/>
      <c r="D809" s="178"/>
      <c r="E809" s="178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178"/>
      <c r="B810" s="178"/>
      <c r="C810" s="178"/>
      <c r="D810" s="178"/>
      <c r="E810" s="178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178"/>
      <c r="B811" s="178"/>
      <c r="C811" s="178"/>
      <c r="D811" s="178"/>
      <c r="E811" s="178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178"/>
      <c r="B812" s="178"/>
      <c r="C812" s="178"/>
      <c r="D812" s="178"/>
      <c r="E812" s="178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178"/>
      <c r="B813" s="178"/>
      <c r="C813" s="178"/>
      <c r="D813" s="178"/>
      <c r="E813" s="178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178"/>
      <c r="B814" s="178"/>
      <c r="C814" s="178"/>
      <c r="D814" s="178"/>
      <c r="E814" s="178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178"/>
      <c r="B815" s="178"/>
      <c r="C815" s="178"/>
      <c r="D815" s="178"/>
      <c r="E815" s="178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178"/>
      <c r="B816" s="178"/>
      <c r="C816" s="178"/>
      <c r="D816" s="178"/>
      <c r="E816" s="178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178"/>
      <c r="B817" s="178"/>
      <c r="C817" s="178"/>
      <c r="D817" s="178"/>
      <c r="E817" s="178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178"/>
      <c r="B818" s="178"/>
      <c r="C818" s="178"/>
      <c r="D818" s="178"/>
      <c r="E818" s="178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178"/>
      <c r="B819" s="178"/>
      <c r="C819" s="178"/>
      <c r="D819" s="178"/>
      <c r="E819" s="178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178"/>
      <c r="B820" s="178"/>
      <c r="C820" s="178"/>
      <c r="D820" s="178"/>
      <c r="E820" s="178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178"/>
      <c r="B821" s="178"/>
      <c r="C821" s="178"/>
      <c r="D821" s="178"/>
      <c r="E821" s="178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178"/>
      <c r="B822" s="178"/>
      <c r="C822" s="178"/>
      <c r="D822" s="178"/>
      <c r="E822" s="178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178"/>
      <c r="B823" s="178"/>
      <c r="C823" s="178"/>
      <c r="D823" s="178"/>
      <c r="E823" s="178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178"/>
      <c r="B824" s="178"/>
      <c r="C824" s="178"/>
      <c r="D824" s="178"/>
      <c r="E824" s="178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178"/>
      <c r="B825" s="178"/>
      <c r="C825" s="178"/>
      <c r="D825" s="178"/>
      <c r="E825" s="178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178"/>
      <c r="B826" s="178"/>
      <c r="C826" s="178"/>
      <c r="D826" s="178"/>
      <c r="E826" s="178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178"/>
      <c r="B827" s="178"/>
      <c r="C827" s="178"/>
      <c r="D827" s="178"/>
      <c r="E827" s="178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178"/>
      <c r="B828" s="178"/>
      <c r="C828" s="178"/>
      <c r="D828" s="178"/>
      <c r="E828" s="178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178"/>
      <c r="B829" s="178"/>
      <c r="C829" s="178"/>
      <c r="D829" s="178"/>
      <c r="E829" s="178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178"/>
      <c r="B830" s="178"/>
      <c r="C830" s="178"/>
      <c r="D830" s="178"/>
      <c r="E830" s="178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178"/>
      <c r="B831" s="178"/>
      <c r="C831" s="178"/>
      <c r="D831" s="178"/>
      <c r="E831" s="178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178"/>
      <c r="B832" s="178"/>
      <c r="C832" s="178"/>
      <c r="D832" s="178"/>
      <c r="E832" s="178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178"/>
      <c r="B833" s="178"/>
      <c r="C833" s="178"/>
      <c r="D833" s="178"/>
      <c r="E833" s="178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178"/>
      <c r="B834" s="178"/>
      <c r="C834" s="178"/>
      <c r="D834" s="178"/>
      <c r="E834" s="178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178"/>
      <c r="B835" s="178"/>
      <c r="C835" s="178"/>
      <c r="D835" s="178"/>
      <c r="E835" s="178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178"/>
      <c r="B836" s="178"/>
      <c r="C836" s="178"/>
      <c r="D836" s="178"/>
      <c r="E836" s="178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178"/>
      <c r="B837" s="178"/>
      <c r="C837" s="178"/>
      <c r="D837" s="178"/>
      <c r="E837" s="178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178"/>
      <c r="B838" s="178"/>
      <c r="C838" s="178"/>
      <c r="D838" s="178"/>
      <c r="E838" s="178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178"/>
      <c r="B839" s="178"/>
      <c r="C839" s="178"/>
      <c r="D839" s="178"/>
      <c r="E839" s="178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178"/>
      <c r="B840" s="178"/>
      <c r="C840" s="178"/>
      <c r="D840" s="178"/>
      <c r="E840" s="178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178"/>
      <c r="B841" s="178"/>
      <c r="C841" s="178"/>
      <c r="D841" s="178"/>
      <c r="E841" s="178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178"/>
      <c r="B842" s="178"/>
      <c r="C842" s="178"/>
      <c r="D842" s="178"/>
      <c r="E842" s="178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178"/>
      <c r="B843" s="178"/>
      <c r="C843" s="178"/>
      <c r="D843" s="178"/>
      <c r="E843" s="178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178"/>
      <c r="B844" s="178"/>
      <c r="C844" s="178"/>
      <c r="D844" s="178"/>
      <c r="E844" s="178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178"/>
      <c r="B845" s="178"/>
      <c r="C845" s="178"/>
      <c r="D845" s="178"/>
      <c r="E845" s="178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178"/>
      <c r="B846" s="178"/>
      <c r="C846" s="178"/>
      <c r="D846" s="178"/>
      <c r="E846" s="178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178"/>
      <c r="B847" s="178"/>
      <c r="C847" s="178"/>
      <c r="D847" s="178"/>
      <c r="E847" s="178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178"/>
      <c r="B848" s="178"/>
      <c r="C848" s="178"/>
      <c r="D848" s="178"/>
      <c r="E848" s="178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178"/>
      <c r="B849" s="178"/>
      <c r="C849" s="178"/>
      <c r="D849" s="178"/>
      <c r="E849" s="178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178"/>
      <c r="B850" s="178"/>
      <c r="C850" s="178"/>
      <c r="D850" s="178"/>
      <c r="E850" s="178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178"/>
      <c r="B851" s="178"/>
      <c r="C851" s="178"/>
      <c r="D851" s="178"/>
      <c r="E851" s="178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178"/>
      <c r="B852" s="178"/>
      <c r="C852" s="178"/>
      <c r="D852" s="178"/>
      <c r="E852" s="178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178"/>
      <c r="B853" s="178"/>
      <c r="C853" s="178"/>
      <c r="D853" s="178"/>
      <c r="E853" s="178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178"/>
      <c r="B854" s="178"/>
      <c r="C854" s="178"/>
      <c r="D854" s="178"/>
      <c r="E854" s="178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178"/>
      <c r="B855" s="178"/>
      <c r="C855" s="178"/>
      <c r="D855" s="178"/>
      <c r="E855" s="178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178"/>
      <c r="B856" s="178"/>
      <c r="C856" s="178"/>
      <c r="D856" s="178"/>
      <c r="E856" s="178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178"/>
      <c r="B857" s="178"/>
      <c r="C857" s="178"/>
      <c r="D857" s="178"/>
      <c r="E857" s="178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178"/>
      <c r="B858" s="178"/>
      <c r="C858" s="178"/>
      <c r="D858" s="178"/>
      <c r="E858" s="178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178"/>
      <c r="B859" s="178"/>
      <c r="C859" s="178"/>
      <c r="D859" s="178"/>
      <c r="E859" s="178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178"/>
      <c r="B860" s="178"/>
      <c r="C860" s="178"/>
      <c r="D860" s="178"/>
      <c r="E860" s="178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178"/>
      <c r="B861" s="178"/>
      <c r="C861" s="178"/>
      <c r="D861" s="178"/>
      <c r="E861" s="178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178"/>
      <c r="B862" s="178"/>
      <c r="C862" s="178"/>
      <c r="D862" s="178"/>
      <c r="E862" s="178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178"/>
      <c r="B863" s="178"/>
      <c r="C863" s="178"/>
      <c r="D863" s="178"/>
      <c r="E863" s="178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178"/>
      <c r="B864" s="178"/>
      <c r="C864" s="178"/>
      <c r="D864" s="178"/>
      <c r="E864" s="178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178"/>
      <c r="B865" s="178"/>
      <c r="C865" s="178"/>
      <c r="D865" s="178"/>
      <c r="E865" s="178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178"/>
      <c r="B866" s="178"/>
      <c r="C866" s="178"/>
      <c r="D866" s="178"/>
      <c r="E866" s="178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178"/>
      <c r="B867" s="178"/>
      <c r="C867" s="178"/>
      <c r="D867" s="178"/>
      <c r="E867" s="178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178"/>
      <c r="B868" s="178"/>
      <c r="C868" s="178"/>
      <c r="D868" s="178"/>
      <c r="E868" s="178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178"/>
      <c r="B869" s="178"/>
      <c r="C869" s="178"/>
      <c r="D869" s="178"/>
      <c r="E869" s="178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178"/>
      <c r="B870" s="178"/>
      <c r="C870" s="178"/>
      <c r="D870" s="178"/>
      <c r="E870" s="178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178"/>
      <c r="B871" s="178"/>
      <c r="C871" s="178"/>
      <c r="D871" s="178"/>
      <c r="E871" s="178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178"/>
      <c r="B872" s="178"/>
      <c r="C872" s="178"/>
      <c r="D872" s="178"/>
      <c r="E872" s="178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178"/>
      <c r="B873" s="178"/>
      <c r="C873" s="178"/>
      <c r="D873" s="178"/>
      <c r="E873" s="178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178"/>
      <c r="B874" s="178"/>
      <c r="C874" s="178"/>
      <c r="D874" s="178"/>
      <c r="E874" s="178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178"/>
      <c r="B875" s="178"/>
      <c r="C875" s="178"/>
      <c r="D875" s="178"/>
      <c r="E875" s="178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178"/>
      <c r="B876" s="178"/>
      <c r="C876" s="178"/>
      <c r="D876" s="178"/>
      <c r="E876" s="178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178"/>
      <c r="B877" s="178"/>
      <c r="C877" s="178"/>
      <c r="D877" s="178"/>
      <c r="E877" s="178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178"/>
      <c r="B878" s="178"/>
      <c r="C878" s="178"/>
      <c r="D878" s="178"/>
      <c r="E878" s="178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178"/>
      <c r="B879" s="178"/>
      <c r="C879" s="178"/>
      <c r="D879" s="178"/>
      <c r="E879" s="178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178"/>
      <c r="B880" s="178"/>
      <c r="C880" s="178"/>
      <c r="D880" s="178"/>
      <c r="E880" s="178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178"/>
      <c r="B881" s="178"/>
      <c r="C881" s="178"/>
      <c r="D881" s="178"/>
      <c r="E881" s="178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178"/>
      <c r="B882" s="178"/>
      <c r="C882" s="178"/>
      <c r="D882" s="178"/>
      <c r="E882" s="178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178"/>
      <c r="B883" s="178"/>
      <c r="C883" s="178"/>
      <c r="D883" s="178"/>
      <c r="E883" s="178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178"/>
      <c r="B884" s="178"/>
      <c r="C884" s="178"/>
      <c r="D884" s="178"/>
      <c r="E884" s="178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178"/>
      <c r="B885" s="178"/>
      <c r="C885" s="178"/>
      <c r="D885" s="178"/>
      <c r="E885" s="178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178"/>
      <c r="B886" s="178"/>
      <c r="C886" s="178"/>
      <c r="D886" s="178"/>
      <c r="E886" s="178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178"/>
      <c r="B887" s="178"/>
      <c r="C887" s="178"/>
      <c r="D887" s="178"/>
      <c r="E887" s="178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178"/>
      <c r="B888" s="178"/>
      <c r="C888" s="178"/>
      <c r="D888" s="178"/>
      <c r="E888" s="178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178"/>
      <c r="B889" s="178"/>
      <c r="C889" s="178"/>
      <c r="D889" s="178"/>
      <c r="E889" s="178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178"/>
      <c r="B890" s="178"/>
      <c r="C890" s="178"/>
      <c r="D890" s="178"/>
      <c r="E890" s="178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178"/>
      <c r="B891" s="178"/>
      <c r="C891" s="178"/>
      <c r="D891" s="178"/>
      <c r="E891" s="178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178"/>
      <c r="B892" s="178"/>
      <c r="C892" s="178"/>
      <c r="D892" s="178"/>
      <c r="E892" s="178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178"/>
      <c r="B893" s="178"/>
      <c r="C893" s="178"/>
      <c r="D893" s="178"/>
      <c r="E893" s="178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178"/>
      <c r="B894" s="178"/>
      <c r="C894" s="178"/>
      <c r="D894" s="178"/>
      <c r="E894" s="178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178"/>
      <c r="B895" s="178"/>
      <c r="C895" s="178"/>
      <c r="D895" s="178"/>
      <c r="E895" s="178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178"/>
      <c r="B896" s="178"/>
      <c r="C896" s="178"/>
      <c r="D896" s="178"/>
      <c r="E896" s="178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178"/>
      <c r="B897" s="178"/>
      <c r="C897" s="178"/>
      <c r="D897" s="178"/>
      <c r="E897" s="178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178"/>
      <c r="B898" s="178"/>
      <c r="C898" s="178"/>
      <c r="D898" s="178"/>
      <c r="E898" s="178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178"/>
      <c r="B899" s="178"/>
      <c r="C899" s="178"/>
      <c r="D899" s="178"/>
      <c r="E899" s="178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178"/>
      <c r="B900" s="178"/>
      <c r="C900" s="178"/>
      <c r="D900" s="178"/>
      <c r="E900" s="178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178"/>
      <c r="B901" s="178"/>
      <c r="C901" s="178"/>
      <c r="D901" s="178"/>
      <c r="E901" s="178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178"/>
      <c r="B902" s="178"/>
      <c r="C902" s="178"/>
      <c r="D902" s="178"/>
      <c r="E902" s="178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178"/>
      <c r="B903" s="178"/>
      <c r="C903" s="178"/>
      <c r="D903" s="178"/>
      <c r="E903" s="178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178"/>
      <c r="B904" s="178"/>
      <c r="C904" s="178"/>
      <c r="D904" s="178"/>
      <c r="E904" s="178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178"/>
      <c r="B905" s="178"/>
      <c r="C905" s="178"/>
      <c r="D905" s="178"/>
      <c r="E905" s="178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178"/>
      <c r="B906" s="178"/>
      <c r="C906" s="178"/>
      <c r="D906" s="178"/>
      <c r="E906" s="178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178"/>
      <c r="B907" s="178"/>
      <c r="C907" s="178"/>
      <c r="D907" s="178"/>
      <c r="E907" s="178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178"/>
      <c r="B908" s="178"/>
      <c r="C908" s="178"/>
      <c r="D908" s="178"/>
      <c r="E908" s="178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178"/>
      <c r="B909" s="178"/>
      <c r="C909" s="178"/>
      <c r="D909" s="178"/>
      <c r="E909" s="178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178"/>
      <c r="B910" s="178"/>
      <c r="C910" s="178"/>
      <c r="D910" s="178"/>
      <c r="E910" s="178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178"/>
      <c r="B911" s="178"/>
      <c r="C911" s="178"/>
      <c r="D911" s="178"/>
      <c r="E911" s="178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178"/>
      <c r="B912" s="178"/>
      <c r="C912" s="178"/>
      <c r="D912" s="178"/>
      <c r="E912" s="178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178"/>
      <c r="B913" s="178"/>
      <c r="C913" s="178"/>
      <c r="D913" s="178"/>
      <c r="E913" s="178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178"/>
      <c r="B914" s="178"/>
      <c r="C914" s="178"/>
      <c r="D914" s="178"/>
      <c r="E914" s="178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178"/>
      <c r="B915" s="178"/>
      <c r="C915" s="178"/>
      <c r="D915" s="178"/>
      <c r="E915" s="178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178"/>
      <c r="B916" s="178"/>
      <c r="C916" s="178"/>
      <c r="D916" s="178"/>
      <c r="E916" s="178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178"/>
      <c r="B917" s="178"/>
      <c r="C917" s="178"/>
      <c r="D917" s="178"/>
      <c r="E917" s="178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178"/>
      <c r="B918" s="178"/>
      <c r="C918" s="178"/>
      <c r="D918" s="178"/>
      <c r="E918" s="178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178"/>
      <c r="B919" s="178"/>
      <c r="C919" s="178"/>
      <c r="D919" s="178"/>
      <c r="E919" s="178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178"/>
      <c r="B920" s="178"/>
      <c r="C920" s="178"/>
      <c r="D920" s="178"/>
      <c r="E920" s="178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178"/>
      <c r="B921" s="178"/>
      <c r="C921" s="178"/>
      <c r="D921" s="178"/>
      <c r="E921" s="178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178"/>
      <c r="B922" s="178"/>
      <c r="C922" s="178"/>
      <c r="D922" s="178"/>
      <c r="E922" s="178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178"/>
      <c r="B923" s="178"/>
      <c r="C923" s="178"/>
      <c r="D923" s="178"/>
      <c r="E923" s="178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178"/>
      <c r="B924" s="178"/>
      <c r="C924" s="178"/>
      <c r="D924" s="178"/>
      <c r="E924" s="178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178"/>
      <c r="B925" s="178"/>
      <c r="C925" s="178"/>
      <c r="D925" s="178"/>
      <c r="E925" s="178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178"/>
      <c r="B926" s="178"/>
      <c r="C926" s="178"/>
      <c r="D926" s="178"/>
      <c r="E926" s="178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178"/>
      <c r="B927" s="178"/>
      <c r="C927" s="178"/>
      <c r="D927" s="178"/>
      <c r="E927" s="178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178"/>
      <c r="B928" s="178"/>
      <c r="C928" s="178"/>
      <c r="D928" s="178"/>
      <c r="E928" s="178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178"/>
      <c r="B929" s="178"/>
      <c r="C929" s="178"/>
      <c r="D929" s="178"/>
      <c r="E929" s="178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178"/>
      <c r="B930" s="178"/>
      <c r="C930" s="178"/>
      <c r="D930" s="178"/>
      <c r="E930" s="178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178"/>
      <c r="B931" s="178"/>
      <c r="C931" s="178"/>
      <c r="D931" s="178"/>
      <c r="E931" s="178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178"/>
      <c r="B932" s="178"/>
      <c r="C932" s="178"/>
      <c r="D932" s="178"/>
      <c r="E932" s="178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178"/>
      <c r="B933" s="178"/>
      <c r="C933" s="178"/>
      <c r="D933" s="178"/>
      <c r="E933" s="178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178"/>
      <c r="B934" s="178"/>
      <c r="C934" s="178"/>
      <c r="D934" s="178"/>
      <c r="E934" s="178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178"/>
      <c r="B935" s="178"/>
      <c r="C935" s="178"/>
      <c r="D935" s="178"/>
      <c r="E935" s="178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178"/>
      <c r="B936" s="178"/>
      <c r="C936" s="178"/>
      <c r="D936" s="178"/>
      <c r="E936" s="178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178"/>
      <c r="B937" s="178"/>
      <c r="C937" s="178"/>
      <c r="D937" s="178"/>
      <c r="E937" s="178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178"/>
      <c r="B938" s="178"/>
      <c r="C938" s="178"/>
      <c r="D938" s="178"/>
      <c r="E938" s="178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178"/>
      <c r="B939" s="178"/>
      <c r="C939" s="178"/>
      <c r="D939" s="178"/>
      <c r="E939" s="178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178"/>
      <c r="B940" s="178"/>
      <c r="C940" s="178"/>
      <c r="D940" s="178"/>
      <c r="E940" s="178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178"/>
      <c r="B941" s="178"/>
      <c r="C941" s="178"/>
      <c r="D941" s="178"/>
      <c r="E941" s="178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178"/>
      <c r="B942" s="178"/>
      <c r="C942" s="178"/>
      <c r="D942" s="178"/>
      <c r="E942" s="178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178"/>
      <c r="B943" s="178"/>
      <c r="C943" s="178"/>
      <c r="D943" s="178"/>
      <c r="E943" s="178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178"/>
      <c r="B944" s="178"/>
      <c r="C944" s="178"/>
      <c r="D944" s="178"/>
      <c r="E944" s="178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178"/>
      <c r="B945" s="178"/>
      <c r="C945" s="178"/>
      <c r="D945" s="178"/>
      <c r="E945" s="178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178"/>
      <c r="B946" s="178"/>
      <c r="C946" s="178"/>
      <c r="D946" s="178"/>
      <c r="E946" s="178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178"/>
      <c r="B947" s="178"/>
      <c r="C947" s="178"/>
      <c r="D947" s="178"/>
      <c r="E947" s="178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178"/>
      <c r="B948" s="178"/>
      <c r="C948" s="178"/>
      <c r="D948" s="178"/>
      <c r="E948" s="178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178"/>
      <c r="B949" s="178"/>
      <c r="C949" s="178"/>
      <c r="D949" s="178"/>
      <c r="E949" s="178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178"/>
      <c r="B950" s="178"/>
      <c r="C950" s="178"/>
      <c r="D950" s="178"/>
      <c r="E950" s="178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178"/>
      <c r="B951" s="178"/>
      <c r="C951" s="178"/>
      <c r="D951" s="178"/>
      <c r="E951" s="178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178"/>
      <c r="B952" s="178"/>
      <c r="C952" s="178"/>
      <c r="D952" s="178"/>
      <c r="E952" s="178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178"/>
      <c r="B953" s="178"/>
      <c r="C953" s="178"/>
      <c r="D953" s="178"/>
      <c r="E953" s="178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178"/>
      <c r="B954" s="178"/>
      <c r="C954" s="178"/>
      <c r="D954" s="178"/>
      <c r="E954" s="178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178"/>
      <c r="B955" s="178"/>
      <c r="C955" s="178"/>
      <c r="D955" s="178"/>
      <c r="E955" s="178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178"/>
      <c r="B956" s="178"/>
      <c r="C956" s="178"/>
      <c r="D956" s="178"/>
      <c r="E956" s="178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178"/>
      <c r="B957" s="178"/>
      <c r="C957" s="178"/>
      <c r="D957" s="178"/>
      <c r="E957" s="178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178"/>
      <c r="B958" s="178"/>
      <c r="C958" s="178"/>
      <c r="D958" s="178"/>
      <c r="E958" s="178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178"/>
      <c r="B959" s="178"/>
      <c r="C959" s="178"/>
      <c r="D959" s="178"/>
      <c r="E959" s="178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178"/>
      <c r="B960" s="178"/>
      <c r="C960" s="178"/>
      <c r="D960" s="178"/>
      <c r="E960" s="178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178"/>
      <c r="B961" s="178"/>
      <c r="C961" s="178"/>
      <c r="D961" s="178"/>
      <c r="E961" s="178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178"/>
      <c r="B962" s="178"/>
      <c r="C962" s="178"/>
      <c r="D962" s="178"/>
      <c r="E962" s="178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178"/>
      <c r="B963" s="178"/>
      <c r="C963" s="178"/>
      <c r="D963" s="178"/>
      <c r="E963" s="178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178"/>
      <c r="B964" s="178"/>
      <c r="C964" s="178"/>
      <c r="D964" s="178"/>
      <c r="E964" s="178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178"/>
      <c r="B965" s="178"/>
      <c r="C965" s="178"/>
      <c r="D965" s="178"/>
      <c r="E965" s="178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178"/>
      <c r="B966" s="178"/>
      <c r="C966" s="178"/>
      <c r="D966" s="178"/>
      <c r="E966" s="178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178"/>
      <c r="B967" s="178"/>
      <c r="C967" s="178"/>
      <c r="D967" s="178"/>
      <c r="E967" s="178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178"/>
      <c r="B968" s="178"/>
      <c r="C968" s="178"/>
      <c r="D968" s="178"/>
      <c r="E968" s="178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178"/>
      <c r="B969" s="178"/>
      <c r="C969" s="178"/>
      <c r="D969" s="178"/>
      <c r="E969" s="178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178"/>
      <c r="B970" s="178"/>
      <c r="C970" s="178"/>
      <c r="D970" s="178"/>
      <c r="E970" s="178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178"/>
      <c r="B971" s="178"/>
      <c r="C971" s="178"/>
      <c r="D971" s="178"/>
      <c r="E971" s="178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178"/>
      <c r="B972" s="178"/>
      <c r="C972" s="178"/>
      <c r="D972" s="178"/>
      <c r="E972" s="178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178"/>
      <c r="B973" s="178"/>
      <c r="C973" s="178"/>
      <c r="D973" s="178"/>
      <c r="E973" s="178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178"/>
      <c r="B974" s="178"/>
      <c r="C974" s="178"/>
      <c r="D974" s="178"/>
      <c r="E974" s="178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178"/>
      <c r="B975" s="178"/>
      <c r="C975" s="178"/>
      <c r="D975" s="178"/>
      <c r="E975" s="178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178"/>
      <c r="B976" s="178"/>
      <c r="C976" s="178"/>
      <c r="D976" s="178"/>
      <c r="E976" s="178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178"/>
      <c r="B977" s="178"/>
      <c r="C977" s="178"/>
      <c r="D977" s="178"/>
      <c r="E977" s="178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178"/>
      <c r="B978" s="178"/>
      <c r="C978" s="178"/>
      <c r="D978" s="178"/>
      <c r="E978" s="178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178"/>
      <c r="B979" s="178"/>
      <c r="C979" s="178"/>
      <c r="D979" s="178"/>
      <c r="E979" s="178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178"/>
      <c r="B980" s="178"/>
      <c r="C980" s="178"/>
      <c r="D980" s="178"/>
      <c r="E980" s="178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178"/>
      <c r="B981" s="178"/>
      <c r="C981" s="178"/>
      <c r="D981" s="178"/>
      <c r="E981" s="178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178"/>
      <c r="B982" s="178"/>
      <c r="C982" s="178"/>
      <c r="D982" s="178"/>
      <c r="E982" s="178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178"/>
      <c r="B983" s="178"/>
      <c r="C983" s="178"/>
      <c r="D983" s="178"/>
      <c r="E983" s="178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178"/>
      <c r="B984" s="178"/>
      <c r="C984" s="178"/>
      <c r="D984" s="178"/>
      <c r="E984" s="178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178"/>
      <c r="B985" s="178"/>
      <c r="C985" s="178"/>
      <c r="D985" s="178"/>
      <c r="E985" s="178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178"/>
      <c r="B986" s="178"/>
      <c r="C986" s="178"/>
      <c r="D986" s="178"/>
      <c r="E986" s="178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178"/>
      <c r="B987" s="178"/>
      <c r="C987" s="178"/>
      <c r="D987" s="178"/>
      <c r="E987" s="178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178"/>
      <c r="B988" s="178"/>
      <c r="C988" s="178"/>
      <c r="D988" s="178"/>
      <c r="E988" s="178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178"/>
      <c r="B989" s="178"/>
      <c r="C989" s="178"/>
      <c r="D989" s="178"/>
      <c r="E989" s="178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178"/>
      <c r="B990" s="178"/>
      <c r="C990" s="178"/>
      <c r="D990" s="178"/>
      <c r="E990" s="178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178"/>
      <c r="B991" s="178"/>
      <c r="C991" s="178"/>
      <c r="D991" s="178"/>
      <c r="E991" s="178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178"/>
      <c r="B992" s="178"/>
      <c r="C992" s="178"/>
      <c r="D992" s="178"/>
      <c r="E992" s="178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178"/>
      <c r="B993" s="178"/>
      <c r="C993" s="178"/>
      <c r="D993" s="178"/>
      <c r="E993" s="178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178"/>
      <c r="B994" s="178"/>
      <c r="C994" s="178"/>
      <c r="D994" s="178"/>
      <c r="E994" s="178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178"/>
      <c r="B995" s="178"/>
      <c r="C995" s="178"/>
      <c r="D995" s="178"/>
      <c r="E995" s="178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178"/>
      <c r="B996" s="178"/>
      <c r="C996" s="178"/>
      <c r="D996" s="178"/>
      <c r="E996" s="178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>
      <c r="A997" s="178"/>
      <c r="B997" s="178"/>
      <c r="C997" s="178"/>
      <c r="D997" s="178"/>
      <c r="E997" s="178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>
      <c r="A998" s="178"/>
      <c r="B998" s="178"/>
      <c r="C998" s="178"/>
      <c r="D998" s="178"/>
      <c r="E998" s="178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  <row r="1001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</row>
  </sheetData>
  <mergeCells count="1">
    <mergeCell ref="G8:H8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40.63"/>
    <col customWidth="1" min="3" max="3" width="12.0"/>
    <col customWidth="1" min="4" max="4" width="36.0"/>
    <col customWidth="1" min="5" max="5" width="10.38"/>
    <col customWidth="1" min="7" max="7" width="76.8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178"/>
      <c r="G1" s="80" t="s">
        <v>5</v>
      </c>
      <c r="H1" s="81">
        <f>H4</f>
        <v>33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73" t="s">
        <v>1020</v>
      </c>
      <c r="B2" s="73" t="s">
        <v>84</v>
      </c>
      <c r="C2" s="73" t="s">
        <v>85</v>
      </c>
      <c r="D2" s="73">
        <v>96.0</v>
      </c>
      <c r="E2" s="168">
        <v>0.25</v>
      </c>
      <c r="F2" s="178"/>
      <c r="G2" s="82" t="s">
        <v>9</v>
      </c>
      <c r="H2" s="82">
        <f>COUNTIF(C:C,"*LSP*")
</f>
        <v>20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145" t="s">
        <v>1021</v>
      </c>
      <c r="B3" s="73" t="s">
        <v>27</v>
      </c>
      <c r="C3" s="73" t="s">
        <v>28</v>
      </c>
      <c r="D3" s="73">
        <v>22.0</v>
      </c>
      <c r="E3" s="168">
        <v>0.2708333333333333</v>
      </c>
      <c r="F3" s="178"/>
      <c r="G3" s="82" t="s">
        <v>13</v>
      </c>
      <c r="H3" s="82">
        <f>COUNTIF(C:C,"*SOC*")
</f>
        <v>20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119" t="s">
        <v>1022</v>
      </c>
      <c r="B4" s="73" t="s">
        <v>228</v>
      </c>
      <c r="C4" s="73" t="s">
        <v>35</v>
      </c>
      <c r="D4" s="73">
        <v>47.0</v>
      </c>
      <c r="E4" s="168">
        <v>0.2708333333333333</v>
      </c>
      <c r="F4" s="178"/>
      <c r="G4" s="82" t="s">
        <v>810</v>
      </c>
      <c r="H4" s="198">
        <f>COUNTIFS(D:D,"&gt;=5",D:D,"&lt;=114")</f>
        <v>33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19" t="s">
        <v>1023</v>
      </c>
      <c r="B5" s="73" t="s">
        <v>672</v>
      </c>
      <c r="C5" s="73" t="s">
        <v>42</v>
      </c>
      <c r="D5" s="73">
        <v>87.0</v>
      </c>
      <c r="E5" s="168">
        <v>0.2916666666666667</v>
      </c>
      <c r="F5" s="178"/>
      <c r="G5" s="82" t="s">
        <v>20</v>
      </c>
      <c r="H5" s="82">
        <f>COUNTIF(D:D,"*NÃO DOCOU*")</f>
        <v>3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119" t="s">
        <v>1024</v>
      </c>
      <c r="B6" s="73" t="s">
        <v>84</v>
      </c>
      <c r="C6" s="73" t="s">
        <v>85</v>
      </c>
      <c r="D6" s="73" t="s">
        <v>167</v>
      </c>
      <c r="E6" s="168">
        <v>0.2916666666666667</v>
      </c>
      <c r="F6" s="178"/>
      <c r="G6" s="198" t="s">
        <v>25</v>
      </c>
      <c r="H6" s="199">
        <f>COUNTIF(D:D,"*NÃO CHEGOU*")
</f>
        <v>4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119" t="s">
        <v>1025</v>
      </c>
      <c r="B7" s="73" t="s">
        <v>385</v>
      </c>
      <c r="C7" s="73" t="s">
        <v>89</v>
      </c>
      <c r="D7" s="73">
        <v>94.0</v>
      </c>
      <c r="E7" s="168">
        <v>0.2916666666666667</v>
      </c>
      <c r="F7" s="178"/>
      <c r="G7" s="82" t="s">
        <v>815</v>
      </c>
      <c r="H7" s="82">
        <f>COUNTIF(D:D,"*DRIVER DUPLICADO*")</f>
        <v>0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119" t="s">
        <v>1026</v>
      </c>
      <c r="B8" s="146" t="s">
        <v>37</v>
      </c>
      <c r="C8" s="146" t="s">
        <v>38</v>
      </c>
      <c r="D8" s="73">
        <v>89.0</v>
      </c>
      <c r="E8" s="168">
        <v>0.2916666666666667</v>
      </c>
      <c r="F8" s="178"/>
      <c r="G8" s="18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145" t="s">
        <v>1027</v>
      </c>
      <c r="B9" s="73" t="s">
        <v>498</v>
      </c>
      <c r="C9" s="73" t="s">
        <v>66</v>
      </c>
      <c r="D9" s="73">
        <v>36.0</v>
      </c>
      <c r="E9" s="168">
        <v>0.2916666666666667</v>
      </c>
      <c r="F9" s="178"/>
      <c r="G9" s="9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119" t="s">
        <v>1028</v>
      </c>
      <c r="B10" s="73" t="s">
        <v>48</v>
      </c>
      <c r="C10" s="167" t="s">
        <v>49</v>
      </c>
      <c r="D10" s="167" t="s">
        <v>25</v>
      </c>
      <c r="E10" s="168">
        <v>0.2916666666666667</v>
      </c>
      <c r="F10" s="178"/>
      <c r="G10" s="200"/>
      <c r="H10" s="178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119" t="s">
        <v>1029</v>
      </c>
      <c r="B11" s="73" t="s">
        <v>51</v>
      </c>
      <c r="C11" s="167" t="s">
        <v>52</v>
      </c>
      <c r="D11" s="167">
        <v>29.0</v>
      </c>
      <c r="E11" s="168">
        <v>0.2916666666666667</v>
      </c>
      <c r="F11" s="178"/>
      <c r="G11" s="84" t="s">
        <v>1030</v>
      </c>
      <c r="H11" s="9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119" t="s">
        <v>1031</v>
      </c>
      <c r="B12" s="146" t="s">
        <v>54</v>
      </c>
      <c r="C12" s="146" t="s">
        <v>55</v>
      </c>
      <c r="D12" s="146">
        <v>46.0</v>
      </c>
      <c r="E12" s="168">
        <v>0.2916666666666667</v>
      </c>
      <c r="F12" s="178"/>
      <c r="G12" s="187" t="s">
        <v>653</v>
      </c>
      <c r="H12" s="178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94" t="s">
        <v>1032</v>
      </c>
      <c r="B13" s="167" t="s">
        <v>118</v>
      </c>
      <c r="C13" s="167" t="s">
        <v>58</v>
      </c>
      <c r="D13" s="167">
        <v>38.0</v>
      </c>
      <c r="E13" s="168">
        <v>0.2916666666666667</v>
      </c>
      <c r="F13" s="178"/>
      <c r="G13" s="178"/>
      <c r="H13" s="178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95" t="s">
        <v>1033</v>
      </c>
      <c r="B14" s="170" t="s">
        <v>68</v>
      </c>
      <c r="C14" s="170" t="s">
        <v>35</v>
      </c>
      <c r="D14" s="170">
        <v>33.0</v>
      </c>
      <c r="E14" s="168">
        <v>0.3125</v>
      </c>
      <c r="F14" s="178"/>
      <c r="G14" s="178"/>
      <c r="H14" s="178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119" t="s">
        <v>1034</v>
      </c>
      <c r="B15" s="73" t="s">
        <v>399</v>
      </c>
      <c r="C15" s="73" t="s">
        <v>157</v>
      </c>
      <c r="D15" s="73"/>
      <c r="E15" s="168">
        <v>0.3125</v>
      </c>
      <c r="F15" s="178"/>
      <c r="G15" s="178"/>
      <c r="H15" s="178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119" t="s">
        <v>1035</v>
      </c>
      <c r="B16" s="73" t="s">
        <v>78</v>
      </c>
      <c r="C16" s="73" t="s">
        <v>79</v>
      </c>
      <c r="D16" s="73">
        <v>18.0</v>
      </c>
      <c r="E16" s="168">
        <v>0.3125</v>
      </c>
      <c r="F16" s="178"/>
      <c r="G16" s="178"/>
      <c r="H16" s="178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95" t="s">
        <v>1036</v>
      </c>
      <c r="B17" s="73" t="s">
        <v>81</v>
      </c>
      <c r="C17" s="73" t="s">
        <v>82</v>
      </c>
      <c r="D17" s="73" t="s">
        <v>25</v>
      </c>
      <c r="E17" s="168">
        <v>0.3125</v>
      </c>
      <c r="F17" s="178"/>
      <c r="G17" s="178"/>
      <c r="H17" s="178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119" t="s">
        <v>1037</v>
      </c>
      <c r="B18" s="73" t="s">
        <v>285</v>
      </c>
      <c r="C18" s="73" t="s">
        <v>839</v>
      </c>
      <c r="D18" s="73" t="s">
        <v>25</v>
      </c>
      <c r="E18" s="168">
        <v>0.3125</v>
      </c>
      <c r="F18" s="178"/>
      <c r="G18" s="178"/>
      <c r="H18" s="178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119" t="s">
        <v>1038</v>
      </c>
      <c r="B19" s="73" t="s">
        <v>71</v>
      </c>
      <c r="C19" s="73" t="s">
        <v>72</v>
      </c>
      <c r="D19" s="73" t="s">
        <v>25</v>
      </c>
      <c r="E19" s="168">
        <v>0.3125</v>
      </c>
      <c r="F19" s="178"/>
      <c r="G19" s="178"/>
      <c r="H19" s="178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119" t="s">
        <v>1039</v>
      </c>
      <c r="B20" s="146" t="s">
        <v>44</v>
      </c>
      <c r="C20" s="146" t="s">
        <v>45</v>
      </c>
      <c r="D20" s="146">
        <v>110.0</v>
      </c>
      <c r="E20" s="150">
        <v>0.3333333333333333</v>
      </c>
      <c r="F20" s="178"/>
      <c r="G20" s="178"/>
      <c r="H20" s="178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119" t="s">
        <v>1040</v>
      </c>
      <c r="B21" s="146" t="s">
        <v>986</v>
      </c>
      <c r="C21" s="146" t="s">
        <v>987</v>
      </c>
      <c r="D21" s="146">
        <v>13.0</v>
      </c>
      <c r="E21" s="150">
        <v>0.3333333333333333</v>
      </c>
      <c r="F21" s="178"/>
      <c r="G21" s="178"/>
      <c r="H21" s="178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119" t="s">
        <v>1041</v>
      </c>
      <c r="B22" s="146" t="s">
        <v>410</v>
      </c>
      <c r="C22" s="146" t="s">
        <v>94</v>
      </c>
      <c r="D22" s="146">
        <v>34.0</v>
      </c>
      <c r="E22" s="150">
        <v>0.3333333333333333</v>
      </c>
      <c r="F22" s="178"/>
      <c r="G22" s="178"/>
      <c r="H22" s="178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119" t="s">
        <v>1042</v>
      </c>
      <c r="B23" s="167" t="s">
        <v>845</v>
      </c>
      <c r="C23" s="167" t="s">
        <v>846</v>
      </c>
      <c r="D23" s="167">
        <v>23.0</v>
      </c>
      <c r="E23" s="150">
        <v>0.3333333333333333</v>
      </c>
      <c r="F23" s="178"/>
      <c r="G23" s="178"/>
      <c r="H23" s="178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119" t="s">
        <v>1043</v>
      </c>
      <c r="B24" s="167" t="s">
        <v>18</v>
      </c>
      <c r="C24" s="167" t="s">
        <v>19</v>
      </c>
      <c r="D24" s="167">
        <v>32.0</v>
      </c>
      <c r="E24" s="181">
        <v>0.3541666666666667</v>
      </c>
      <c r="F24" s="178"/>
      <c r="G24" s="178"/>
      <c r="H24" s="178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119" t="s">
        <v>1044</v>
      </c>
      <c r="B25" s="167" t="s">
        <v>37</v>
      </c>
      <c r="C25" s="167" t="s">
        <v>38</v>
      </c>
      <c r="D25" s="167">
        <v>114.0</v>
      </c>
      <c r="E25" s="181">
        <v>0.375</v>
      </c>
      <c r="F25" s="178"/>
      <c r="G25" s="178"/>
      <c r="H25" s="178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119" t="s">
        <v>1045</v>
      </c>
      <c r="B26" s="167" t="s">
        <v>84</v>
      </c>
      <c r="C26" s="167" t="s">
        <v>85</v>
      </c>
      <c r="D26" s="167">
        <v>113.0</v>
      </c>
      <c r="E26" s="181">
        <v>0.375</v>
      </c>
      <c r="F26" s="178"/>
      <c r="G26" s="178"/>
      <c r="H26" s="178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119" t="s">
        <v>1046</v>
      </c>
      <c r="B27" s="167" t="s">
        <v>251</v>
      </c>
      <c r="C27" s="167" t="s">
        <v>252</v>
      </c>
      <c r="D27" s="167">
        <v>21.0</v>
      </c>
      <c r="E27" s="181">
        <v>0.375</v>
      </c>
      <c r="F27" s="178"/>
      <c r="G27" s="178"/>
      <c r="H27" s="178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119" t="s">
        <v>1047</v>
      </c>
      <c r="B28" s="73" t="s">
        <v>44</v>
      </c>
      <c r="C28" s="73" t="s">
        <v>45</v>
      </c>
      <c r="D28" s="73">
        <v>90.0</v>
      </c>
      <c r="E28" s="181">
        <v>0.375</v>
      </c>
      <c r="F28" s="178"/>
      <c r="G28" s="178"/>
      <c r="H28" s="178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119" t="s">
        <v>1048</v>
      </c>
      <c r="B29" s="73" t="s">
        <v>37</v>
      </c>
      <c r="C29" s="73" t="s">
        <v>38</v>
      </c>
      <c r="D29" s="73" t="s">
        <v>167</v>
      </c>
      <c r="E29" s="181">
        <v>0.4583333333333333</v>
      </c>
      <c r="F29" s="178"/>
      <c r="G29" s="178"/>
      <c r="H29" s="178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95" t="s">
        <v>1049</v>
      </c>
      <c r="B30" s="170" t="s">
        <v>37</v>
      </c>
      <c r="C30" s="170" t="s">
        <v>38</v>
      </c>
      <c r="D30" s="170">
        <v>89.0</v>
      </c>
      <c r="E30" s="181">
        <v>0.6666666666666666</v>
      </c>
      <c r="F30" s="178"/>
      <c r="G30" s="178"/>
      <c r="H30" s="178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95" t="s">
        <v>1050</v>
      </c>
      <c r="B31" s="170" t="s">
        <v>264</v>
      </c>
      <c r="C31" s="170" t="s">
        <v>812</v>
      </c>
      <c r="D31" s="170" t="s">
        <v>167</v>
      </c>
      <c r="E31" s="181">
        <v>0.3333333333333333</v>
      </c>
      <c r="F31" s="178"/>
      <c r="G31" s="178"/>
      <c r="H31" s="178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119" t="s">
        <v>1051</v>
      </c>
      <c r="B32" s="170" t="s">
        <v>61</v>
      </c>
      <c r="C32" s="170" t="s">
        <v>62</v>
      </c>
      <c r="D32" s="170">
        <v>12.0</v>
      </c>
      <c r="E32" s="181">
        <v>0.3333333333333333</v>
      </c>
      <c r="F32" s="178"/>
      <c r="G32" s="178"/>
      <c r="H32" s="178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95" t="s">
        <v>1052</v>
      </c>
      <c r="B33" s="170" t="s">
        <v>1053</v>
      </c>
      <c r="C33" s="170" t="s">
        <v>634</v>
      </c>
      <c r="D33" s="170">
        <v>40.0</v>
      </c>
      <c r="E33" s="181">
        <v>0.3333333333333333</v>
      </c>
      <c r="F33" s="178"/>
      <c r="G33" s="178"/>
      <c r="H33" s="178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119" t="s">
        <v>1054</v>
      </c>
      <c r="B34" s="73" t="s">
        <v>31</v>
      </c>
      <c r="C34" s="73" t="s">
        <v>32</v>
      </c>
      <c r="D34" s="73">
        <v>16.0</v>
      </c>
      <c r="E34" s="181">
        <v>0.3333333333333333</v>
      </c>
      <c r="F34" s="178"/>
      <c r="G34" s="178"/>
      <c r="H34" s="178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119" t="s">
        <v>1055</v>
      </c>
      <c r="B35" s="73" t="s">
        <v>563</v>
      </c>
      <c r="C35" s="73" t="s">
        <v>138</v>
      </c>
      <c r="D35" s="73">
        <v>102.0</v>
      </c>
      <c r="E35" s="74">
        <v>0.4166666666666667</v>
      </c>
      <c r="F35" s="178"/>
      <c r="G35" s="178"/>
      <c r="H35" s="178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95" t="s">
        <v>1056</v>
      </c>
      <c r="B36" s="73" t="s">
        <v>318</v>
      </c>
      <c r="C36" s="73" t="s">
        <v>821</v>
      </c>
      <c r="D36" s="73">
        <v>101.0</v>
      </c>
      <c r="E36" s="74">
        <v>0.4583333333333333</v>
      </c>
      <c r="F36" s="178"/>
      <c r="G36" s="178"/>
      <c r="H36" s="178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95" t="s">
        <v>1057</v>
      </c>
      <c r="B37" s="73" t="s">
        <v>672</v>
      </c>
      <c r="C37" s="73" t="s">
        <v>42</v>
      </c>
      <c r="D37" s="73">
        <v>111.0</v>
      </c>
      <c r="E37" s="74">
        <v>0.5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95" t="s">
        <v>1058</v>
      </c>
      <c r="B38" s="73" t="s">
        <v>264</v>
      </c>
      <c r="C38" s="73" t="s">
        <v>812</v>
      </c>
      <c r="D38" s="73">
        <v>98.0</v>
      </c>
      <c r="E38" s="74">
        <v>0.5</v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95" t="s">
        <v>1059</v>
      </c>
      <c r="B39" s="73" t="s">
        <v>264</v>
      </c>
      <c r="C39" s="73" t="s">
        <v>812</v>
      </c>
      <c r="D39" s="73">
        <v>99.0</v>
      </c>
      <c r="E39" s="74">
        <v>0.5416666666666666</v>
      </c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95" t="s">
        <v>1060</v>
      </c>
      <c r="B40" s="73" t="s">
        <v>1061</v>
      </c>
      <c r="C40" s="73" t="s">
        <v>1062</v>
      </c>
      <c r="D40" s="73">
        <v>6.0</v>
      </c>
      <c r="E40" s="74">
        <v>0.5833333333333334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95" t="s">
        <v>1063</v>
      </c>
      <c r="B41" s="73" t="s">
        <v>44</v>
      </c>
      <c r="C41" s="73" t="s">
        <v>45</v>
      </c>
      <c r="D41" s="73">
        <v>91.0</v>
      </c>
      <c r="E41" s="74">
        <v>0.6666666666666666</v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95" t="s">
        <v>1064</v>
      </c>
      <c r="B42" s="73" t="s">
        <v>563</v>
      </c>
      <c r="C42" s="73" t="s">
        <v>138</v>
      </c>
      <c r="D42" s="73">
        <v>93.0</v>
      </c>
      <c r="E42" s="74">
        <v>0.6666666666666666</v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130"/>
      <c r="B43" s="131"/>
      <c r="C43" s="131"/>
      <c r="D43" s="131"/>
      <c r="E43" s="136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133"/>
      <c r="B44" s="110"/>
      <c r="C44" s="110"/>
      <c r="D44" s="110"/>
      <c r="E44" s="111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133"/>
      <c r="B45" s="110"/>
      <c r="C45" s="110"/>
      <c r="D45" s="110"/>
      <c r="E45" s="111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133"/>
      <c r="B46" s="110"/>
      <c r="C46" s="110"/>
      <c r="D46" s="110"/>
      <c r="E46" s="111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133"/>
      <c r="B47" s="110"/>
      <c r="C47" s="110"/>
      <c r="D47" s="110"/>
      <c r="E47" s="111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133"/>
      <c r="B48" s="110"/>
      <c r="C48" s="110"/>
      <c r="D48" s="110"/>
      <c r="E48" s="111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133"/>
      <c r="B49" s="110"/>
      <c r="C49" s="110"/>
      <c r="D49" s="110"/>
      <c r="E49" s="111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133"/>
      <c r="B50" s="178"/>
      <c r="C50" s="178"/>
      <c r="D50" s="178"/>
      <c r="E50" s="178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178"/>
      <c r="B51" s="178"/>
      <c r="C51" s="178"/>
      <c r="D51" s="178"/>
      <c r="E51" s="178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178"/>
      <c r="B52" s="178"/>
      <c r="C52" s="178"/>
      <c r="D52" s="178"/>
      <c r="E52" s="178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178"/>
      <c r="B53" s="178"/>
      <c r="C53" s="178"/>
      <c r="D53" s="178"/>
      <c r="E53" s="178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178"/>
      <c r="B54" s="178"/>
      <c r="C54" s="178"/>
      <c r="D54" s="178"/>
      <c r="E54" s="178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178"/>
      <c r="B55" s="178"/>
      <c r="C55" s="178"/>
      <c r="D55" s="178"/>
      <c r="E55" s="178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178"/>
      <c r="B56" s="178"/>
      <c r="C56" s="178"/>
      <c r="D56" s="178"/>
      <c r="E56" s="178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178"/>
      <c r="B57" s="178"/>
      <c r="C57" s="178"/>
      <c r="D57" s="178"/>
      <c r="E57" s="178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178"/>
      <c r="B58" s="178"/>
      <c r="C58" s="178"/>
      <c r="D58" s="178"/>
      <c r="E58" s="178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178"/>
      <c r="B59" s="178"/>
      <c r="C59" s="178"/>
      <c r="D59" s="178"/>
      <c r="E59" s="178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178"/>
      <c r="B60" s="178"/>
      <c r="C60" s="178"/>
      <c r="D60" s="178"/>
      <c r="E60" s="178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178"/>
      <c r="B61" s="178"/>
      <c r="C61" s="178"/>
      <c r="D61" s="178"/>
      <c r="E61" s="178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178"/>
      <c r="B62" s="178"/>
      <c r="C62" s="178"/>
      <c r="D62" s="178"/>
      <c r="E62" s="178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178"/>
      <c r="B63" s="178"/>
      <c r="C63" s="178"/>
      <c r="D63" s="178"/>
      <c r="E63" s="178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178"/>
      <c r="B64" s="178"/>
      <c r="C64" s="178"/>
      <c r="D64" s="178"/>
      <c r="E64" s="178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178"/>
      <c r="B65" s="178"/>
      <c r="C65" s="178"/>
      <c r="D65" s="178"/>
      <c r="E65" s="178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178"/>
      <c r="B66" s="178"/>
      <c r="C66" s="178"/>
      <c r="D66" s="178"/>
      <c r="E66" s="178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178"/>
      <c r="B67" s="178"/>
      <c r="C67" s="178"/>
      <c r="D67" s="178"/>
      <c r="E67" s="178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178"/>
      <c r="B68" s="178"/>
      <c r="C68" s="178"/>
      <c r="D68" s="178"/>
      <c r="E68" s="178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178"/>
      <c r="B69" s="178"/>
      <c r="C69" s="178"/>
      <c r="D69" s="178"/>
      <c r="E69" s="178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178"/>
      <c r="B70" s="178"/>
      <c r="C70" s="178"/>
      <c r="D70" s="178"/>
      <c r="E70" s="178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178"/>
      <c r="B71" s="178"/>
      <c r="C71" s="178"/>
      <c r="D71" s="178"/>
      <c r="E71" s="178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178"/>
      <c r="B72" s="178"/>
      <c r="C72" s="178"/>
      <c r="D72" s="178"/>
      <c r="E72" s="178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178"/>
      <c r="B73" s="178"/>
      <c r="C73" s="178"/>
      <c r="D73" s="178"/>
      <c r="E73" s="178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178"/>
      <c r="B74" s="178"/>
      <c r="C74" s="178"/>
      <c r="D74" s="178"/>
      <c r="E74" s="178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178"/>
      <c r="B75" s="178"/>
      <c r="C75" s="178"/>
      <c r="D75" s="178"/>
      <c r="E75" s="178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178"/>
      <c r="B76" s="178"/>
      <c r="C76" s="178"/>
      <c r="D76" s="178"/>
      <c r="E76" s="178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178"/>
      <c r="B77" s="178"/>
      <c r="C77" s="178"/>
      <c r="D77" s="178"/>
      <c r="E77" s="178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178"/>
      <c r="B78" s="178"/>
      <c r="C78" s="178"/>
      <c r="D78" s="178"/>
      <c r="E78" s="178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178"/>
      <c r="B79" s="178"/>
      <c r="C79" s="178"/>
      <c r="D79" s="178"/>
      <c r="E79" s="178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178"/>
      <c r="B80" s="178"/>
      <c r="C80" s="178"/>
      <c r="D80" s="178"/>
      <c r="E80" s="178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178"/>
      <c r="B81" s="178"/>
      <c r="C81" s="178"/>
      <c r="D81" s="178"/>
      <c r="E81" s="178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178"/>
      <c r="B82" s="178"/>
      <c r="C82" s="178"/>
      <c r="D82" s="178"/>
      <c r="E82" s="178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178"/>
      <c r="B83" s="178"/>
      <c r="C83" s="178"/>
      <c r="D83" s="178"/>
      <c r="E83" s="178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178"/>
      <c r="B84" s="178"/>
      <c r="C84" s="178"/>
      <c r="D84" s="178"/>
      <c r="E84" s="178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178"/>
      <c r="B85" s="178"/>
      <c r="C85" s="178"/>
      <c r="D85" s="178"/>
      <c r="E85" s="178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178"/>
      <c r="B86" s="178"/>
      <c r="C86" s="178"/>
      <c r="D86" s="178"/>
      <c r="E86" s="178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178"/>
      <c r="B87" s="178"/>
      <c r="C87" s="178"/>
      <c r="D87" s="178"/>
      <c r="E87" s="178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178"/>
      <c r="B88" s="178"/>
      <c r="C88" s="178"/>
      <c r="D88" s="178"/>
      <c r="E88" s="178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178"/>
      <c r="B89" s="178"/>
      <c r="C89" s="178"/>
      <c r="D89" s="178"/>
      <c r="E89" s="178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178"/>
      <c r="B90" s="178"/>
      <c r="C90" s="178"/>
      <c r="D90" s="178"/>
      <c r="E90" s="178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178"/>
      <c r="B91" s="178"/>
      <c r="C91" s="178"/>
      <c r="D91" s="178"/>
      <c r="E91" s="178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178"/>
      <c r="B92" s="178"/>
      <c r="C92" s="178"/>
      <c r="D92" s="178"/>
      <c r="E92" s="178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178"/>
      <c r="B93" s="178"/>
      <c r="C93" s="178"/>
      <c r="D93" s="178"/>
      <c r="E93" s="178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178"/>
      <c r="B94" s="178"/>
      <c r="C94" s="178"/>
      <c r="D94" s="178"/>
      <c r="E94" s="178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178"/>
      <c r="B95" s="178"/>
      <c r="C95" s="178"/>
      <c r="D95" s="178"/>
      <c r="E95" s="178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178"/>
      <c r="B96" s="178"/>
      <c r="C96" s="178"/>
      <c r="D96" s="178"/>
      <c r="E96" s="178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178"/>
      <c r="B97" s="178"/>
      <c r="C97" s="178"/>
      <c r="D97" s="178"/>
      <c r="E97" s="178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178"/>
      <c r="B98" s="178"/>
      <c r="C98" s="178"/>
      <c r="D98" s="178"/>
      <c r="E98" s="178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178"/>
      <c r="B99" s="178"/>
      <c r="C99" s="178"/>
      <c r="D99" s="178"/>
      <c r="E99" s="178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178"/>
      <c r="B100" s="178"/>
      <c r="C100" s="178"/>
      <c r="D100" s="178"/>
      <c r="E100" s="178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178"/>
      <c r="B101" s="178"/>
      <c r="C101" s="178"/>
      <c r="D101" s="178"/>
      <c r="E101" s="178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178"/>
      <c r="B102" s="178"/>
      <c r="C102" s="178"/>
      <c r="D102" s="178"/>
      <c r="E102" s="178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178"/>
      <c r="B103" s="178"/>
      <c r="C103" s="178"/>
      <c r="D103" s="178"/>
      <c r="E103" s="178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178"/>
      <c r="B104" s="178"/>
      <c r="C104" s="178"/>
      <c r="D104" s="178"/>
      <c r="E104" s="178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178"/>
      <c r="B105" s="178"/>
      <c r="C105" s="178"/>
      <c r="D105" s="178"/>
      <c r="E105" s="178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178"/>
      <c r="B106" s="178"/>
      <c r="C106" s="178"/>
      <c r="D106" s="178"/>
      <c r="E106" s="178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178"/>
      <c r="B107" s="178"/>
      <c r="C107" s="178"/>
      <c r="D107" s="178"/>
      <c r="E107" s="178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178"/>
      <c r="B108" s="178"/>
      <c r="C108" s="178"/>
      <c r="D108" s="178"/>
      <c r="E108" s="178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178"/>
      <c r="B109" s="178"/>
      <c r="C109" s="178"/>
      <c r="D109" s="178"/>
      <c r="E109" s="178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178"/>
      <c r="B110" s="178"/>
      <c r="C110" s="178"/>
      <c r="D110" s="178"/>
      <c r="E110" s="178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178"/>
      <c r="B111" s="178"/>
      <c r="C111" s="178"/>
      <c r="D111" s="178"/>
      <c r="E111" s="178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178"/>
      <c r="B112" s="178"/>
      <c r="C112" s="178"/>
      <c r="D112" s="178"/>
      <c r="E112" s="178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178"/>
      <c r="B113" s="178"/>
      <c r="C113" s="178"/>
      <c r="D113" s="178"/>
      <c r="E113" s="178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178"/>
      <c r="B114" s="178"/>
      <c r="C114" s="178"/>
      <c r="D114" s="178"/>
      <c r="E114" s="178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178"/>
      <c r="B115" s="178"/>
      <c r="C115" s="178"/>
      <c r="D115" s="178"/>
      <c r="E115" s="178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178"/>
      <c r="B116" s="178"/>
      <c r="C116" s="178"/>
      <c r="D116" s="178"/>
      <c r="E116" s="178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178"/>
      <c r="B117" s="178"/>
      <c r="C117" s="178"/>
      <c r="D117" s="178"/>
      <c r="E117" s="178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178"/>
      <c r="B118" s="178"/>
      <c r="C118" s="178"/>
      <c r="D118" s="178"/>
      <c r="E118" s="178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178"/>
      <c r="B119" s="178"/>
      <c r="C119" s="178"/>
      <c r="D119" s="178"/>
      <c r="E119" s="178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178"/>
      <c r="B120" s="178"/>
      <c r="C120" s="178"/>
      <c r="D120" s="178"/>
      <c r="E120" s="178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178"/>
      <c r="B121" s="178"/>
      <c r="C121" s="178"/>
      <c r="D121" s="178"/>
      <c r="E121" s="178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178"/>
      <c r="B122" s="178"/>
      <c r="C122" s="178"/>
      <c r="D122" s="178"/>
      <c r="E122" s="178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178"/>
      <c r="B123" s="178"/>
      <c r="C123" s="178"/>
      <c r="D123" s="178"/>
      <c r="E123" s="178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178"/>
      <c r="B124" s="178"/>
      <c r="C124" s="178"/>
      <c r="D124" s="178"/>
      <c r="E124" s="178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178"/>
      <c r="B125" s="178"/>
      <c r="C125" s="178"/>
      <c r="D125" s="178"/>
      <c r="E125" s="178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178"/>
      <c r="B126" s="178"/>
      <c r="C126" s="178"/>
      <c r="D126" s="178"/>
      <c r="E126" s="178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178"/>
      <c r="B127" s="178"/>
      <c r="C127" s="178"/>
      <c r="D127" s="178"/>
      <c r="E127" s="178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178"/>
      <c r="B128" s="178"/>
      <c r="C128" s="178"/>
      <c r="D128" s="178"/>
      <c r="E128" s="178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178"/>
      <c r="B129" s="178"/>
      <c r="C129" s="178"/>
      <c r="D129" s="178"/>
      <c r="E129" s="178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178"/>
      <c r="B130" s="178"/>
      <c r="C130" s="178"/>
      <c r="D130" s="178"/>
      <c r="E130" s="178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178"/>
      <c r="B131" s="178"/>
      <c r="C131" s="178"/>
      <c r="D131" s="178"/>
      <c r="E131" s="178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178"/>
      <c r="B132" s="178"/>
      <c r="C132" s="178"/>
      <c r="D132" s="178"/>
      <c r="E132" s="178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178"/>
      <c r="B133" s="178"/>
      <c r="C133" s="178"/>
      <c r="D133" s="178"/>
      <c r="E133" s="178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178"/>
      <c r="B134" s="178"/>
      <c r="C134" s="178"/>
      <c r="D134" s="178"/>
      <c r="E134" s="178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178"/>
      <c r="B135" s="178"/>
      <c r="C135" s="178"/>
      <c r="D135" s="178"/>
      <c r="E135" s="178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178"/>
      <c r="B136" s="178"/>
      <c r="C136" s="178"/>
      <c r="D136" s="178"/>
      <c r="E136" s="178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178"/>
      <c r="B137" s="178"/>
      <c r="C137" s="178"/>
      <c r="D137" s="178"/>
      <c r="E137" s="178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178"/>
      <c r="B138" s="178"/>
      <c r="C138" s="178"/>
      <c r="D138" s="178"/>
      <c r="E138" s="178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178"/>
      <c r="B139" s="178"/>
      <c r="C139" s="178"/>
      <c r="D139" s="178"/>
      <c r="E139" s="178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178"/>
      <c r="B140" s="178"/>
      <c r="C140" s="178"/>
      <c r="D140" s="178"/>
      <c r="E140" s="178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178"/>
      <c r="B141" s="178"/>
      <c r="C141" s="178"/>
      <c r="D141" s="178"/>
      <c r="E141" s="178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178"/>
      <c r="B142" s="178"/>
      <c r="C142" s="178"/>
      <c r="D142" s="178"/>
      <c r="E142" s="178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178"/>
      <c r="B143" s="178"/>
      <c r="C143" s="178"/>
      <c r="D143" s="178"/>
      <c r="E143" s="178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178"/>
      <c r="B144" s="178"/>
      <c r="C144" s="178"/>
      <c r="D144" s="178"/>
      <c r="E144" s="178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178"/>
      <c r="B145" s="178"/>
      <c r="C145" s="178"/>
      <c r="D145" s="178"/>
      <c r="E145" s="178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178"/>
      <c r="B146" s="178"/>
      <c r="C146" s="178"/>
      <c r="D146" s="178"/>
      <c r="E146" s="178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178"/>
      <c r="B147" s="178"/>
      <c r="C147" s="178"/>
      <c r="D147" s="178"/>
      <c r="E147" s="178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178"/>
      <c r="B148" s="178"/>
      <c r="C148" s="178"/>
      <c r="D148" s="178"/>
      <c r="E148" s="178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178"/>
      <c r="B149" s="178"/>
      <c r="C149" s="178"/>
      <c r="D149" s="178"/>
      <c r="E149" s="178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178"/>
      <c r="B150" s="178"/>
      <c r="C150" s="178"/>
      <c r="D150" s="178"/>
      <c r="E150" s="178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178"/>
      <c r="B151" s="178"/>
      <c r="C151" s="178"/>
      <c r="D151" s="178"/>
      <c r="E151" s="178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178"/>
      <c r="B152" s="178"/>
      <c r="C152" s="178"/>
      <c r="D152" s="178"/>
      <c r="E152" s="178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178"/>
      <c r="B153" s="178"/>
      <c r="C153" s="178"/>
      <c r="D153" s="178"/>
      <c r="E153" s="178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178"/>
      <c r="B154" s="178"/>
      <c r="C154" s="178"/>
      <c r="D154" s="178"/>
      <c r="E154" s="178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178"/>
      <c r="B155" s="178"/>
      <c r="C155" s="178"/>
      <c r="D155" s="178"/>
      <c r="E155" s="178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178"/>
      <c r="B156" s="178"/>
      <c r="C156" s="178"/>
      <c r="D156" s="178"/>
      <c r="E156" s="178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178"/>
      <c r="B157" s="178"/>
      <c r="C157" s="178"/>
      <c r="D157" s="178"/>
      <c r="E157" s="178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178"/>
      <c r="B158" s="178"/>
      <c r="C158" s="178"/>
      <c r="D158" s="178"/>
      <c r="E158" s="178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178"/>
      <c r="B159" s="178"/>
      <c r="C159" s="178"/>
      <c r="D159" s="178"/>
      <c r="E159" s="178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178"/>
      <c r="B160" s="178"/>
      <c r="C160" s="178"/>
      <c r="D160" s="178"/>
      <c r="E160" s="178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178"/>
      <c r="B161" s="178"/>
      <c r="C161" s="178"/>
      <c r="D161" s="178"/>
      <c r="E161" s="178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178"/>
      <c r="B162" s="178"/>
      <c r="C162" s="178"/>
      <c r="D162" s="178"/>
      <c r="E162" s="178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178"/>
      <c r="B163" s="178"/>
      <c r="C163" s="178"/>
      <c r="D163" s="178"/>
      <c r="E163" s="178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178"/>
      <c r="B164" s="178"/>
      <c r="C164" s="178"/>
      <c r="D164" s="178"/>
      <c r="E164" s="178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178"/>
      <c r="B165" s="178"/>
      <c r="C165" s="178"/>
      <c r="D165" s="178"/>
      <c r="E165" s="178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178"/>
      <c r="B166" s="178"/>
      <c r="C166" s="178"/>
      <c r="D166" s="178"/>
      <c r="E166" s="178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178"/>
      <c r="B167" s="178"/>
      <c r="C167" s="178"/>
      <c r="D167" s="178"/>
      <c r="E167" s="178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178"/>
      <c r="B168" s="178"/>
      <c r="C168" s="178"/>
      <c r="D168" s="178"/>
      <c r="E168" s="178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178"/>
      <c r="B169" s="178"/>
      <c r="C169" s="178"/>
      <c r="D169" s="178"/>
      <c r="E169" s="178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178"/>
      <c r="B170" s="178"/>
      <c r="C170" s="178"/>
      <c r="D170" s="178"/>
      <c r="E170" s="178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178"/>
      <c r="B171" s="178"/>
      <c r="C171" s="178"/>
      <c r="D171" s="178"/>
      <c r="E171" s="178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178"/>
      <c r="B172" s="178"/>
      <c r="C172" s="178"/>
      <c r="D172" s="178"/>
      <c r="E172" s="178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178"/>
      <c r="B173" s="178"/>
      <c r="C173" s="178"/>
      <c r="D173" s="178"/>
      <c r="E173" s="178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178"/>
      <c r="B174" s="178"/>
      <c r="C174" s="178"/>
      <c r="D174" s="178"/>
      <c r="E174" s="178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178"/>
      <c r="B175" s="178"/>
      <c r="C175" s="178"/>
      <c r="D175" s="178"/>
      <c r="E175" s="178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178"/>
      <c r="B176" s="178"/>
      <c r="C176" s="178"/>
      <c r="D176" s="178"/>
      <c r="E176" s="178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178"/>
      <c r="B177" s="178"/>
      <c r="C177" s="178"/>
      <c r="D177" s="178"/>
      <c r="E177" s="178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178"/>
      <c r="B178" s="178"/>
      <c r="C178" s="178"/>
      <c r="D178" s="178"/>
      <c r="E178" s="178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178"/>
      <c r="B179" s="178"/>
      <c r="C179" s="178"/>
      <c r="D179" s="178"/>
      <c r="E179" s="178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178"/>
      <c r="B180" s="178"/>
      <c r="C180" s="178"/>
      <c r="D180" s="178"/>
      <c r="E180" s="178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178"/>
      <c r="B181" s="178"/>
      <c r="C181" s="178"/>
      <c r="D181" s="178"/>
      <c r="E181" s="178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178"/>
      <c r="B182" s="178"/>
      <c r="C182" s="178"/>
      <c r="D182" s="178"/>
      <c r="E182" s="178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178"/>
      <c r="B183" s="178"/>
      <c r="C183" s="178"/>
      <c r="D183" s="178"/>
      <c r="E183" s="178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178"/>
      <c r="B184" s="178"/>
      <c r="C184" s="178"/>
      <c r="D184" s="178"/>
      <c r="E184" s="178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178"/>
      <c r="B185" s="178"/>
      <c r="C185" s="178"/>
      <c r="D185" s="178"/>
      <c r="E185" s="178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178"/>
      <c r="B186" s="178"/>
      <c r="C186" s="178"/>
      <c r="D186" s="178"/>
      <c r="E186" s="178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178"/>
      <c r="B187" s="178"/>
      <c r="C187" s="178"/>
      <c r="D187" s="178"/>
      <c r="E187" s="178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178"/>
      <c r="B188" s="178"/>
      <c r="C188" s="178"/>
      <c r="D188" s="178"/>
      <c r="E188" s="178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178"/>
      <c r="B189" s="178"/>
      <c r="C189" s="178"/>
      <c r="D189" s="178"/>
      <c r="E189" s="178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178"/>
      <c r="B190" s="178"/>
      <c r="C190" s="178"/>
      <c r="D190" s="178"/>
      <c r="E190" s="178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178"/>
      <c r="B191" s="178"/>
      <c r="C191" s="178"/>
      <c r="D191" s="178"/>
      <c r="E191" s="178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178"/>
      <c r="B192" s="178"/>
      <c r="C192" s="178"/>
      <c r="D192" s="178"/>
      <c r="E192" s="178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178"/>
      <c r="B193" s="178"/>
      <c r="C193" s="178"/>
      <c r="D193" s="178"/>
      <c r="E193" s="178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178"/>
      <c r="B194" s="178"/>
      <c r="C194" s="178"/>
      <c r="D194" s="178"/>
      <c r="E194" s="178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178"/>
      <c r="B195" s="178"/>
      <c r="C195" s="178"/>
      <c r="D195" s="178"/>
      <c r="E195" s="178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178"/>
      <c r="B196" s="178"/>
      <c r="C196" s="178"/>
      <c r="D196" s="178"/>
      <c r="E196" s="178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178"/>
      <c r="B197" s="178"/>
      <c r="C197" s="178"/>
      <c r="D197" s="178"/>
      <c r="E197" s="178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178"/>
      <c r="B198" s="178"/>
      <c r="C198" s="178"/>
      <c r="D198" s="178"/>
      <c r="E198" s="178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178"/>
      <c r="B199" s="178"/>
      <c r="C199" s="178"/>
      <c r="D199" s="178"/>
      <c r="E199" s="178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178"/>
      <c r="B200" s="178"/>
      <c r="C200" s="178"/>
      <c r="D200" s="178"/>
      <c r="E200" s="178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178"/>
      <c r="B201" s="178"/>
      <c r="C201" s="178"/>
      <c r="D201" s="178"/>
      <c r="E201" s="178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178"/>
      <c r="B202" s="178"/>
      <c r="C202" s="178"/>
      <c r="D202" s="178"/>
      <c r="E202" s="178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178"/>
      <c r="B203" s="178"/>
      <c r="C203" s="178"/>
      <c r="D203" s="178"/>
      <c r="E203" s="178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178"/>
      <c r="B204" s="178"/>
      <c r="C204" s="178"/>
      <c r="D204" s="178"/>
      <c r="E204" s="178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178"/>
      <c r="B205" s="178"/>
      <c r="C205" s="178"/>
      <c r="D205" s="178"/>
      <c r="E205" s="178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178"/>
      <c r="B206" s="178"/>
      <c r="C206" s="178"/>
      <c r="D206" s="178"/>
      <c r="E206" s="178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178"/>
      <c r="B207" s="178"/>
      <c r="C207" s="178"/>
      <c r="D207" s="178"/>
      <c r="E207" s="178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178"/>
      <c r="B208" s="178"/>
      <c r="C208" s="178"/>
      <c r="D208" s="178"/>
      <c r="E208" s="178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178"/>
      <c r="B209" s="178"/>
      <c r="C209" s="178"/>
      <c r="D209" s="178"/>
      <c r="E209" s="178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178"/>
      <c r="B210" s="178"/>
      <c r="C210" s="178"/>
      <c r="D210" s="178"/>
      <c r="E210" s="178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178"/>
      <c r="B211" s="178"/>
      <c r="C211" s="178"/>
      <c r="D211" s="178"/>
      <c r="E211" s="178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178"/>
      <c r="B212" s="178"/>
      <c r="C212" s="178"/>
      <c r="D212" s="178"/>
      <c r="E212" s="178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178"/>
      <c r="B213" s="178"/>
      <c r="C213" s="178"/>
      <c r="D213" s="178"/>
      <c r="E213" s="178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178"/>
      <c r="B214" s="178"/>
      <c r="C214" s="178"/>
      <c r="D214" s="178"/>
      <c r="E214" s="178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178"/>
      <c r="B215" s="178"/>
      <c r="C215" s="178"/>
      <c r="D215" s="178"/>
      <c r="E215" s="178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178"/>
      <c r="B216" s="178"/>
      <c r="C216" s="178"/>
      <c r="D216" s="178"/>
      <c r="E216" s="178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178"/>
      <c r="B217" s="178"/>
      <c r="C217" s="178"/>
      <c r="D217" s="178"/>
      <c r="E217" s="178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178"/>
      <c r="B218" s="178"/>
      <c r="C218" s="178"/>
      <c r="D218" s="178"/>
      <c r="E218" s="178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178"/>
      <c r="B219" s="178"/>
      <c r="C219" s="178"/>
      <c r="D219" s="178"/>
      <c r="E219" s="178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178"/>
      <c r="B220" s="178"/>
      <c r="C220" s="178"/>
      <c r="D220" s="178"/>
      <c r="E220" s="178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178"/>
      <c r="B221" s="178"/>
      <c r="C221" s="178"/>
      <c r="D221" s="178"/>
      <c r="E221" s="178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178"/>
      <c r="B222" s="178"/>
      <c r="C222" s="178"/>
      <c r="D222" s="178"/>
      <c r="E222" s="178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178"/>
      <c r="B223" s="178"/>
      <c r="C223" s="178"/>
      <c r="D223" s="178"/>
      <c r="E223" s="178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178"/>
      <c r="B224" s="178"/>
      <c r="C224" s="178"/>
      <c r="D224" s="178"/>
      <c r="E224" s="178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178"/>
      <c r="B225" s="178"/>
      <c r="C225" s="178"/>
      <c r="D225" s="178"/>
      <c r="E225" s="178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178"/>
      <c r="B226" s="178"/>
      <c r="C226" s="178"/>
      <c r="D226" s="178"/>
      <c r="E226" s="178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178"/>
      <c r="B227" s="178"/>
      <c r="C227" s="178"/>
      <c r="D227" s="178"/>
      <c r="E227" s="178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178"/>
      <c r="B228" s="178"/>
      <c r="C228" s="178"/>
      <c r="D228" s="178"/>
      <c r="E228" s="178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178"/>
      <c r="B229" s="178"/>
      <c r="C229" s="178"/>
      <c r="D229" s="178"/>
      <c r="E229" s="178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178"/>
      <c r="B230" s="178"/>
      <c r="C230" s="178"/>
      <c r="D230" s="178"/>
      <c r="E230" s="178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178"/>
      <c r="B231" s="178"/>
      <c r="C231" s="178"/>
      <c r="D231" s="178"/>
      <c r="E231" s="178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178"/>
      <c r="B232" s="178"/>
      <c r="C232" s="178"/>
      <c r="D232" s="178"/>
      <c r="E232" s="178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178"/>
      <c r="B233" s="178"/>
      <c r="C233" s="178"/>
      <c r="D233" s="178"/>
      <c r="E233" s="178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178"/>
      <c r="B234" s="178"/>
      <c r="C234" s="178"/>
      <c r="D234" s="178"/>
      <c r="E234" s="178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178"/>
      <c r="B235" s="178"/>
      <c r="C235" s="178"/>
      <c r="D235" s="178"/>
      <c r="E235" s="178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178"/>
      <c r="B236" s="178"/>
      <c r="C236" s="178"/>
      <c r="D236" s="178"/>
      <c r="E236" s="178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178"/>
      <c r="B237" s="178"/>
      <c r="C237" s="178"/>
      <c r="D237" s="178"/>
      <c r="E237" s="178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178"/>
      <c r="B238" s="178"/>
      <c r="C238" s="178"/>
      <c r="D238" s="178"/>
      <c r="E238" s="178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178"/>
      <c r="B239" s="178"/>
      <c r="C239" s="178"/>
      <c r="D239" s="178"/>
      <c r="E239" s="178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178"/>
      <c r="B240" s="178"/>
      <c r="C240" s="178"/>
      <c r="D240" s="178"/>
      <c r="E240" s="178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178"/>
      <c r="B241" s="178"/>
      <c r="C241" s="178"/>
      <c r="D241" s="178"/>
      <c r="E241" s="178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178"/>
      <c r="B242" s="178"/>
      <c r="C242" s="178"/>
      <c r="D242" s="178"/>
      <c r="E242" s="178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178"/>
      <c r="B243" s="178"/>
      <c r="C243" s="178"/>
      <c r="D243" s="178"/>
      <c r="E243" s="178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178"/>
      <c r="B244" s="178"/>
      <c r="C244" s="178"/>
      <c r="D244" s="178"/>
      <c r="E244" s="178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178"/>
      <c r="B245" s="178"/>
      <c r="C245" s="178"/>
      <c r="D245" s="178"/>
      <c r="E245" s="178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178"/>
      <c r="B246" s="178"/>
      <c r="C246" s="178"/>
      <c r="D246" s="178"/>
      <c r="E246" s="178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178"/>
      <c r="B247" s="178"/>
      <c r="C247" s="178"/>
      <c r="D247" s="178"/>
      <c r="E247" s="178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178"/>
      <c r="B248" s="178"/>
      <c r="C248" s="178"/>
      <c r="D248" s="178"/>
      <c r="E248" s="178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178"/>
      <c r="B249" s="178"/>
      <c r="C249" s="178"/>
      <c r="D249" s="178"/>
      <c r="E249" s="178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178"/>
      <c r="B250" s="178"/>
      <c r="C250" s="178"/>
      <c r="D250" s="178"/>
      <c r="E250" s="178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178"/>
      <c r="B251" s="178"/>
      <c r="C251" s="178"/>
      <c r="D251" s="178"/>
      <c r="E251" s="178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178"/>
      <c r="B252" s="178"/>
      <c r="C252" s="178"/>
      <c r="D252" s="178"/>
      <c r="E252" s="178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178"/>
      <c r="B253" s="178"/>
      <c r="C253" s="178"/>
      <c r="D253" s="178"/>
      <c r="E253" s="178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178"/>
      <c r="B254" s="178"/>
      <c r="C254" s="178"/>
      <c r="D254" s="178"/>
      <c r="E254" s="178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178"/>
      <c r="B255" s="178"/>
      <c r="C255" s="178"/>
      <c r="D255" s="178"/>
      <c r="E255" s="178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178"/>
      <c r="B256" s="178"/>
      <c r="C256" s="178"/>
      <c r="D256" s="178"/>
      <c r="E256" s="178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178"/>
      <c r="B257" s="178"/>
      <c r="C257" s="178"/>
      <c r="D257" s="178"/>
      <c r="E257" s="178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178"/>
      <c r="B258" s="178"/>
      <c r="C258" s="178"/>
      <c r="D258" s="178"/>
      <c r="E258" s="178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178"/>
      <c r="B259" s="178"/>
      <c r="C259" s="178"/>
      <c r="D259" s="178"/>
      <c r="E259" s="178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178"/>
      <c r="B260" s="178"/>
      <c r="C260" s="178"/>
      <c r="D260" s="178"/>
      <c r="E260" s="178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178"/>
      <c r="B261" s="178"/>
      <c r="C261" s="178"/>
      <c r="D261" s="178"/>
      <c r="E261" s="178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178"/>
      <c r="B262" s="178"/>
      <c r="C262" s="178"/>
      <c r="D262" s="178"/>
      <c r="E262" s="178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178"/>
      <c r="B263" s="178"/>
      <c r="C263" s="178"/>
      <c r="D263" s="178"/>
      <c r="E263" s="178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178"/>
      <c r="B264" s="178"/>
      <c r="C264" s="178"/>
      <c r="D264" s="178"/>
      <c r="E264" s="178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178"/>
      <c r="B265" s="178"/>
      <c r="C265" s="178"/>
      <c r="D265" s="178"/>
      <c r="E265" s="178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178"/>
      <c r="B266" s="178"/>
      <c r="C266" s="178"/>
      <c r="D266" s="178"/>
      <c r="E266" s="178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178"/>
      <c r="B267" s="178"/>
      <c r="C267" s="178"/>
      <c r="D267" s="178"/>
      <c r="E267" s="178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178"/>
      <c r="B268" s="178"/>
      <c r="C268" s="178"/>
      <c r="D268" s="178"/>
      <c r="E268" s="178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178"/>
      <c r="B269" s="178"/>
      <c r="C269" s="178"/>
      <c r="D269" s="178"/>
      <c r="E269" s="178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178"/>
      <c r="B270" s="178"/>
      <c r="C270" s="178"/>
      <c r="D270" s="178"/>
      <c r="E270" s="178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178"/>
      <c r="B271" s="178"/>
      <c r="C271" s="178"/>
      <c r="D271" s="178"/>
      <c r="E271" s="178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178"/>
      <c r="B272" s="178"/>
      <c r="C272" s="178"/>
      <c r="D272" s="178"/>
      <c r="E272" s="178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178"/>
      <c r="B273" s="178"/>
      <c r="C273" s="178"/>
      <c r="D273" s="178"/>
      <c r="E273" s="178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178"/>
      <c r="B274" s="178"/>
      <c r="C274" s="178"/>
      <c r="D274" s="178"/>
      <c r="E274" s="178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178"/>
      <c r="B275" s="178"/>
      <c r="C275" s="178"/>
      <c r="D275" s="178"/>
      <c r="E275" s="178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178"/>
      <c r="B276" s="178"/>
      <c r="C276" s="178"/>
      <c r="D276" s="178"/>
      <c r="E276" s="178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178"/>
      <c r="B277" s="178"/>
      <c r="C277" s="178"/>
      <c r="D277" s="178"/>
      <c r="E277" s="178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178"/>
      <c r="B278" s="178"/>
      <c r="C278" s="178"/>
      <c r="D278" s="178"/>
      <c r="E278" s="178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178"/>
      <c r="B279" s="178"/>
      <c r="C279" s="178"/>
      <c r="D279" s="178"/>
      <c r="E279" s="178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178"/>
      <c r="B280" s="178"/>
      <c r="C280" s="178"/>
      <c r="D280" s="178"/>
      <c r="E280" s="178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178"/>
      <c r="B281" s="178"/>
      <c r="C281" s="178"/>
      <c r="D281" s="178"/>
      <c r="E281" s="178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178"/>
      <c r="B282" s="178"/>
      <c r="C282" s="178"/>
      <c r="D282" s="178"/>
      <c r="E282" s="178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178"/>
      <c r="B283" s="178"/>
      <c r="C283" s="178"/>
      <c r="D283" s="178"/>
      <c r="E283" s="178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178"/>
      <c r="B284" s="178"/>
      <c r="C284" s="178"/>
      <c r="D284" s="178"/>
      <c r="E284" s="178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178"/>
      <c r="B285" s="178"/>
      <c r="C285" s="178"/>
      <c r="D285" s="178"/>
      <c r="E285" s="178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178"/>
      <c r="B286" s="178"/>
      <c r="C286" s="178"/>
      <c r="D286" s="178"/>
      <c r="E286" s="178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178"/>
      <c r="B287" s="178"/>
      <c r="C287" s="178"/>
      <c r="D287" s="178"/>
      <c r="E287" s="178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178"/>
      <c r="B288" s="178"/>
      <c r="C288" s="178"/>
      <c r="D288" s="178"/>
      <c r="E288" s="178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178"/>
      <c r="B289" s="178"/>
      <c r="C289" s="178"/>
      <c r="D289" s="178"/>
      <c r="E289" s="178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178"/>
      <c r="B290" s="178"/>
      <c r="C290" s="178"/>
      <c r="D290" s="178"/>
      <c r="E290" s="178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178"/>
      <c r="B291" s="178"/>
      <c r="C291" s="178"/>
      <c r="D291" s="178"/>
      <c r="E291" s="178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178"/>
      <c r="B292" s="178"/>
      <c r="C292" s="178"/>
      <c r="D292" s="178"/>
      <c r="E292" s="178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178"/>
      <c r="B293" s="178"/>
      <c r="C293" s="178"/>
      <c r="D293" s="178"/>
      <c r="E293" s="178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178"/>
      <c r="B294" s="178"/>
      <c r="C294" s="178"/>
      <c r="D294" s="178"/>
      <c r="E294" s="178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178"/>
      <c r="B295" s="178"/>
      <c r="C295" s="178"/>
      <c r="D295" s="178"/>
      <c r="E295" s="178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178"/>
      <c r="B296" s="178"/>
      <c r="C296" s="178"/>
      <c r="D296" s="178"/>
      <c r="E296" s="178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178"/>
      <c r="B297" s="178"/>
      <c r="C297" s="178"/>
      <c r="D297" s="178"/>
      <c r="E297" s="178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178"/>
      <c r="B298" s="178"/>
      <c r="C298" s="178"/>
      <c r="D298" s="178"/>
      <c r="E298" s="178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178"/>
      <c r="B299" s="178"/>
      <c r="C299" s="178"/>
      <c r="D299" s="178"/>
      <c r="E299" s="178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178"/>
      <c r="B300" s="178"/>
      <c r="C300" s="178"/>
      <c r="D300" s="178"/>
      <c r="E300" s="178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178"/>
      <c r="B301" s="178"/>
      <c r="C301" s="178"/>
      <c r="D301" s="178"/>
      <c r="E301" s="178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178"/>
      <c r="B302" s="178"/>
      <c r="C302" s="178"/>
      <c r="D302" s="178"/>
      <c r="E302" s="178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178"/>
      <c r="B303" s="178"/>
      <c r="C303" s="178"/>
      <c r="D303" s="178"/>
      <c r="E303" s="178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178"/>
      <c r="B304" s="178"/>
      <c r="C304" s="178"/>
      <c r="D304" s="178"/>
      <c r="E304" s="178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178"/>
      <c r="B305" s="178"/>
      <c r="C305" s="178"/>
      <c r="D305" s="178"/>
      <c r="E305" s="178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178"/>
      <c r="B306" s="178"/>
      <c r="C306" s="178"/>
      <c r="D306" s="178"/>
      <c r="E306" s="178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178"/>
      <c r="B307" s="178"/>
      <c r="C307" s="178"/>
      <c r="D307" s="178"/>
      <c r="E307" s="178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178"/>
      <c r="B308" s="178"/>
      <c r="C308" s="178"/>
      <c r="D308" s="178"/>
      <c r="E308" s="178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178"/>
      <c r="B309" s="178"/>
      <c r="C309" s="178"/>
      <c r="D309" s="178"/>
      <c r="E309" s="178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178"/>
      <c r="B310" s="178"/>
      <c r="C310" s="178"/>
      <c r="D310" s="178"/>
      <c r="E310" s="178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178"/>
      <c r="B311" s="178"/>
      <c r="C311" s="178"/>
      <c r="D311" s="178"/>
      <c r="E311" s="178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178"/>
      <c r="B312" s="178"/>
      <c r="C312" s="178"/>
      <c r="D312" s="178"/>
      <c r="E312" s="178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178"/>
      <c r="B313" s="178"/>
      <c r="C313" s="178"/>
      <c r="D313" s="178"/>
      <c r="E313" s="178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178"/>
      <c r="B314" s="178"/>
      <c r="C314" s="178"/>
      <c r="D314" s="178"/>
      <c r="E314" s="178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178"/>
      <c r="B315" s="178"/>
      <c r="C315" s="178"/>
      <c r="D315" s="178"/>
      <c r="E315" s="178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178"/>
      <c r="B316" s="178"/>
      <c r="C316" s="178"/>
      <c r="D316" s="178"/>
      <c r="E316" s="178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178"/>
      <c r="B317" s="178"/>
      <c r="C317" s="178"/>
      <c r="D317" s="178"/>
      <c r="E317" s="178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178"/>
      <c r="B318" s="178"/>
      <c r="C318" s="178"/>
      <c r="D318" s="178"/>
      <c r="E318" s="178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178"/>
      <c r="B319" s="178"/>
      <c r="C319" s="178"/>
      <c r="D319" s="178"/>
      <c r="E319" s="178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178"/>
      <c r="B320" s="178"/>
      <c r="C320" s="178"/>
      <c r="D320" s="178"/>
      <c r="E320" s="178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178"/>
      <c r="B321" s="178"/>
      <c r="C321" s="178"/>
      <c r="D321" s="178"/>
      <c r="E321" s="178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178"/>
      <c r="B322" s="178"/>
      <c r="C322" s="178"/>
      <c r="D322" s="178"/>
      <c r="E322" s="178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178"/>
      <c r="B323" s="178"/>
      <c r="C323" s="178"/>
      <c r="D323" s="178"/>
      <c r="E323" s="178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178"/>
      <c r="B324" s="178"/>
      <c r="C324" s="178"/>
      <c r="D324" s="178"/>
      <c r="E324" s="178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178"/>
      <c r="B325" s="178"/>
      <c r="C325" s="178"/>
      <c r="D325" s="178"/>
      <c r="E325" s="178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178"/>
      <c r="B326" s="178"/>
      <c r="C326" s="178"/>
      <c r="D326" s="178"/>
      <c r="E326" s="178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178"/>
      <c r="B327" s="178"/>
      <c r="C327" s="178"/>
      <c r="D327" s="178"/>
      <c r="E327" s="178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178"/>
      <c r="B328" s="178"/>
      <c r="C328" s="178"/>
      <c r="D328" s="178"/>
      <c r="E328" s="178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178"/>
      <c r="B329" s="178"/>
      <c r="C329" s="178"/>
      <c r="D329" s="178"/>
      <c r="E329" s="178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178"/>
      <c r="B330" s="178"/>
      <c r="C330" s="178"/>
      <c r="D330" s="178"/>
      <c r="E330" s="178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178"/>
      <c r="B331" s="178"/>
      <c r="C331" s="178"/>
      <c r="D331" s="178"/>
      <c r="E331" s="178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178"/>
      <c r="B332" s="178"/>
      <c r="C332" s="178"/>
      <c r="D332" s="178"/>
      <c r="E332" s="178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178"/>
      <c r="B333" s="178"/>
      <c r="C333" s="178"/>
      <c r="D333" s="178"/>
      <c r="E333" s="178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178"/>
      <c r="B334" s="178"/>
      <c r="C334" s="178"/>
      <c r="D334" s="178"/>
      <c r="E334" s="178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178"/>
      <c r="B335" s="178"/>
      <c r="C335" s="178"/>
      <c r="D335" s="178"/>
      <c r="E335" s="178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178"/>
      <c r="B336" s="178"/>
      <c r="C336" s="178"/>
      <c r="D336" s="178"/>
      <c r="E336" s="178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178"/>
      <c r="B337" s="178"/>
      <c r="C337" s="178"/>
      <c r="D337" s="178"/>
      <c r="E337" s="178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178"/>
      <c r="B338" s="178"/>
      <c r="C338" s="178"/>
      <c r="D338" s="178"/>
      <c r="E338" s="178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178"/>
      <c r="B339" s="178"/>
      <c r="C339" s="178"/>
      <c r="D339" s="178"/>
      <c r="E339" s="178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178"/>
      <c r="B340" s="178"/>
      <c r="C340" s="178"/>
      <c r="D340" s="178"/>
      <c r="E340" s="178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178"/>
      <c r="B341" s="178"/>
      <c r="C341" s="178"/>
      <c r="D341" s="178"/>
      <c r="E341" s="178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178"/>
      <c r="B342" s="178"/>
      <c r="C342" s="178"/>
      <c r="D342" s="178"/>
      <c r="E342" s="178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178"/>
      <c r="B343" s="178"/>
      <c r="C343" s="178"/>
      <c r="D343" s="178"/>
      <c r="E343" s="178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178"/>
      <c r="B344" s="178"/>
      <c r="C344" s="178"/>
      <c r="D344" s="178"/>
      <c r="E344" s="178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178"/>
      <c r="B345" s="178"/>
      <c r="C345" s="178"/>
      <c r="D345" s="178"/>
      <c r="E345" s="178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178"/>
      <c r="B346" s="178"/>
      <c r="C346" s="178"/>
      <c r="D346" s="178"/>
      <c r="E346" s="178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178"/>
      <c r="B347" s="178"/>
      <c r="C347" s="178"/>
      <c r="D347" s="178"/>
      <c r="E347" s="178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178"/>
      <c r="B348" s="178"/>
      <c r="C348" s="178"/>
      <c r="D348" s="178"/>
      <c r="E348" s="178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178"/>
      <c r="B349" s="178"/>
      <c r="C349" s="178"/>
      <c r="D349" s="178"/>
      <c r="E349" s="178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178"/>
      <c r="B350" s="178"/>
      <c r="C350" s="178"/>
      <c r="D350" s="178"/>
      <c r="E350" s="178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178"/>
      <c r="B351" s="178"/>
      <c r="C351" s="178"/>
      <c r="D351" s="178"/>
      <c r="E351" s="178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178"/>
      <c r="B352" s="178"/>
      <c r="C352" s="178"/>
      <c r="D352" s="178"/>
      <c r="E352" s="178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178"/>
      <c r="B353" s="178"/>
      <c r="C353" s="178"/>
      <c r="D353" s="178"/>
      <c r="E353" s="178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178"/>
      <c r="B354" s="178"/>
      <c r="C354" s="178"/>
      <c r="D354" s="178"/>
      <c r="E354" s="178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178"/>
      <c r="B355" s="178"/>
      <c r="C355" s="178"/>
      <c r="D355" s="178"/>
      <c r="E355" s="178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178"/>
      <c r="B356" s="178"/>
      <c r="C356" s="178"/>
      <c r="D356" s="178"/>
      <c r="E356" s="178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178"/>
      <c r="B357" s="178"/>
      <c r="C357" s="178"/>
      <c r="D357" s="178"/>
      <c r="E357" s="178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178"/>
      <c r="B358" s="178"/>
      <c r="C358" s="178"/>
      <c r="D358" s="178"/>
      <c r="E358" s="178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178"/>
      <c r="B359" s="178"/>
      <c r="C359" s="178"/>
      <c r="D359" s="178"/>
      <c r="E359" s="178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178"/>
      <c r="B360" s="178"/>
      <c r="C360" s="178"/>
      <c r="D360" s="178"/>
      <c r="E360" s="178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178"/>
      <c r="B361" s="178"/>
      <c r="C361" s="178"/>
      <c r="D361" s="178"/>
      <c r="E361" s="178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178"/>
      <c r="B362" s="178"/>
      <c r="C362" s="178"/>
      <c r="D362" s="178"/>
      <c r="E362" s="178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178"/>
      <c r="B363" s="178"/>
      <c r="C363" s="178"/>
      <c r="D363" s="178"/>
      <c r="E363" s="178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178"/>
      <c r="B364" s="178"/>
      <c r="C364" s="178"/>
      <c r="D364" s="178"/>
      <c r="E364" s="178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178"/>
      <c r="B365" s="178"/>
      <c r="C365" s="178"/>
      <c r="D365" s="178"/>
      <c r="E365" s="178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178"/>
      <c r="B366" s="178"/>
      <c r="C366" s="178"/>
      <c r="D366" s="178"/>
      <c r="E366" s="178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178"/>
      <c r="B367" s="178"/>
      <c r="C367" s="178"/>
      <c r="D367" s="178"/>
      <c r="E367" s="178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178"/>
      <c r="B368" s="178"/>
      <c r="C368" s="178"/>
      <c r="D368" s="178"/>
      <c r="E368" s="178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178"/>
      <c r="B369" s="178"/>
      <c r="C369" s="178"/>
      <c r="D369" s="178"/>
      <c r="E369" s="178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178"/>
      <c r="B370" s="178"/>
      <c r="C370" s="178"/>
      <c r="D370" s="178"/>
      <c r="E370" s="178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178"/>
      <c r="B371" s="178"/>
      <c r="C371" s="178"/>
      <c r="D371" s="178"/>
      <c r="E371" s="178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178"/>
      <c r="B372" s="178"/>
      <c r="C372" s="178"/>
      <c r="D372" s="178"/>
      <c r="E372" s="178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178"/>
      <c r="B373" s="178"/>
      <c r="C373" s="178"/>
      <c r="D373" s="178"/>
      <c r="E373" s="178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178"/>
      <c r="B374" s="178"/>
      <c r="C374" s="178"/>
      <c r="D374" s="178"/>
      <c r="E374" s="178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178"/>
      <c r="B375" s="178"/>
      <c r="C375" s="178"/>
      <c r="D375" s="178"/>
      <c r="E375" s="178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178"/>
      <c r="B376" s="178"/>
      <c r="C376" s="178"/>
      <c r="D376" s="178"/>
      <c r="E376" s="178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178"/>
      <c r="B377" s="178"/>
      <c r="C377" s="178"/>
      <c r="D377" s="178"/>
      <c r="E377" s="178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178"/>
      <c r="B378" s="178"/>
      <c r="C378" s="178"/>
      <c r="D378" s="178"/>
      <c r="E378" s="178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178"/>
      <c r="B379" s="178"/>
      <c r="C379" s="178"/>
      <c r="D379" s="178"/>
      <c r="E379" s="178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178"/>
      <c r="B380" s="178"/>
      <c r="C380" s="178"/>
      <c r="D380" s="178"/>
      <c r="E380" s="178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178"/>
      <c r="B381" s="178"/>
      <c r="C381" s="178"/>
      <c r="D381" s="178"/>
      <c r="E381" s="178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178"/>
      <c r="B382" s="178"/>
      <c r="C382" s="178"/>
      <c r="D382" s="178"/>
      <c r="E382" s="178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178"/>
      <c r="B383" s="178"/>
      <c r="C383" s="178"/>
      <c r="D383" s="178"/>
      <c r="E383" s="178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178"/>
      <c r="B384" s="178"/>
      <c r="C384" s="178"/>
      <c r="D384" s="178"/>
      <c r="E384" s="178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178"/>
      <c r="B385" s="178"/>
      <c r="C385" s="178"/>
      <c r="D385" s="178"/>
      <c r="E385" s="178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178"/>
      <c r="B386" s="178"/>
      <c r="C386" s="178"/>
      <c r="D386" s="178"/>
      <c r="E386" s="178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178"/>
      <c r="B387" s="178"/>
      <c r="C387" s="178"/>
      <c r="D387" s="178"/>
      <c r="E387" s="178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178"/>
      <c r="B388" s="178"/>
      <c r="C388" s="178"/>
      <c r="D388" s="178"/>
      <c r="E388" s="178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178"/>
      <c r="B389" s="178"/>
      <c r="C389" s="178"/>
      <c r="D389" s="178"/>
      <c r="E389" s="178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178"/>
      <c r="B390" s="178"/>
      <c r="C390" s="178"/>
      <c r="D390" s="178"/>
      <c r="E390" s="178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178"/>
      <c r="B391" s="178"/>
      <c r="C391" s="178"/>
      <c r="D391" s="178"/>
      <c r="E391" s="178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178"/>
      <c r="B392" s="178"/>
      <c r="C392" s="178"/>
      <c r="D392" s="178"/>
      <c r="E392" s="178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178"/>
      <c r="B393" s="178"/>
      <c r="C393" s="178"/>
      <c r="D393" s="178"/>
      <c r="E393" s="178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178"/>
      <c r="B394" s="178"/>
      <c r="C394" s="178"/>
      <c r="D394" s="178"/>
      <c r="E394" s="178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178"/>
      <c r="B395" s="178"/>
      <c r="C395" s="178"/>
      <c r="D395" s="178"/>
      <c r="E395" s="178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178"/>
      <c r="B396" s="178"/>
      <c r="C396" s="178"/>
      <c r="D396" s="178"/>
      <c r="E396" s="178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178"/>
      <c r="B397" s="178"/>
      <c r="C397" s="178"/>
      <c r="D397" s="178"/>
      <c r="E397" s="178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178"/>
      <c r="B398" s="178"/>
      <c r="C398" s="178"/>
      <c r="D398" s="178"/>
      <c r="E398" s="178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178"/>
      <c r="B399" s="178"/>
      <c r="C399" s="178"/>
      <c r="D399" s="178"/>
      <c r="E399" s="178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178"/>
      <c r="B400" s="178"/>
      <c r="C400" s="178"/>
      <c r="D400" s="178"/>
      <c r="E400" s="178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178"/>
      <c r="B401" s="178"/>
      <c r="C401" s="178"/>
      <c r="D401" s="178"/>
      <c r="E401" s="178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178"/>
      <c r="B402" s="178"/>
      <c r="C402" s="178"/>
      <c r="D402" s="178"/>
      <c r="E402" s="178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178"/>
      <c r="B403" s="178"/>
      <c r="C403" s="178"/>
      <c r="D403" s="178"/>
      <c r="E403" s="178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178"/>
      <c r="B404" s="178"/>
      <c r="C404" s="178"/>
      <c r="D404" s="178"/>
      <c r="E404" s="178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178"/>
      <c r="B405" s="178"/>
      <c r="C405" s="178"/>
      <c r="D405" s="178"/>
      <c r="E405" s="178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178"/>
      <c r="B406" s="178"/>
      <c r="C406" s="178"/>
      <c r="D406" s="178"/>
      <c r="E406" s="178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178"/>
      <c r="B407" s="178"/>
      <c r="C407" s="178"/>
      <c r="D407" s="178"/>
      <c r="E407" s="178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178"/>
      <c r="B408" s="178"/>
      <c r="C408" s="178"/>
      <c r="D408" s="178"/>
      <c r="E408" s="178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178"/>
      <c r="B409" s="178"/>
      <c r="C409" s="178"/>
      <c r="D409" s="178"/>
      <c r="E409" s="178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178"/>
      <c r="B410" s="178"/>
      <c r="C410" s="178"/>
      <c r="D410" s="178"/>
      <c r="E410" s="178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178"/>
      <c r="B411" s="178"/>
      <c r="C411" s="178"/>
      <c r="D411" s="178"/>
      <c r="E411" s="178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178"/>
      <c r="B412" s="178"/>
      <c r="C412" s="178"/>
      <c r="D412" s="178"/>
      <c r="E412" s="178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178"/>
      <c r="B413" s="178"/>
      <c r="C413" s="178"/>
      <c r="D413" s="178"/>
      <c r="E413" s="178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178"/>
      <c r="B414" s="178"/>
      <c r="C414" s="178"/>
      <c r="D414" s="178"/>
      <c r="E414" s="178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178"/>
      <c r="B415" s="178"/>
      <c r="C415" s="178"/>
      <c r="D415" s="178"/>
      <c r="E415" s="178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178"/>
      <c r="B416" s="178"/>
      <c r="C416" s="178"/>
      <c r="D416" s="178"/>
      <c r="E416" s="178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178"/>
      <c r="B417" s="178"/>
      <c r="C417" s="178"/>
      <c r="D417" s="178"/>
      <c r="E417" s="178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178"/>
      <c r="B418" s="178"/>
      <c r="C418" s="178"/>
      <c r="D418" s="178"/>
      <c r="E418" s="178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178"/>
      <c r="B419" s="178"/>
      <c r="C419" s="178"/>
      <c r="D419" s="178"/>
      <c r="E419" s="178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178"/>
      <c r="B420" s="178"/>
      <c r="C420" s="178"/>
      <c r="D420" s="178"/>
      <c r="E420" s="178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178"/>
      <c r="B421" s="178"/>
      <c r="C421" s="178"/>
      <c r="D421" s="178"/>
      <c r="E421" s="178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178"/>
      <c r="B422" s="178"/>
      <c r="C422" s="178"/>
      <c r="D422" s="178"/>
      <c r="E422" s="178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178"/>
      <c r="B423" s="178"/>
      <c r="C423" s="178"/>
      <c r="D423" s="178"/>
      <c r="E423" s="178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178"/>
      <c r="B424" s="178"/>
      <c r="C424" s="178"/>
      <c r="D424" s="178"/>
      <c r="E424" s="178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178"/>
      <c r="B425" s="178"/>
      <c r="C425" s="178"/>
      <c r="D425" s="178"/>
      <c r="E425" s="178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178"/>
      <c r="B426" s="178"/>
      <c r="C426" s="178"/>
      <c r="D426" s="178"/>
      <c r="E426" s="178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178"/>
      <c r="B427" s="178"/>
      <c r="C427" s="178"/>
      <c r="D427" s="178"/>
      <c r="E427" s="178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178"/>
      <c r="B428" s="178"/>
      <c r="C428" s="178"/>
      <c r="D428" s="178"/>
      <c r="E428" s="178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178"/>
      <c r="B429" s="178"/>
      <c r="C429" s="178"/>
      <c r="D429" s="178"/>
      <c r="E429" s="178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178"/>
      <c r="B430" s="178"/>
      <c r="C430" s="178"/>
      <c r="D430" s="178"/>
      <c r="E430" s="178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178"/>
      <c r="B431" s="178"/>
      <c r="C431" s="178"/>
      <c r="D431" s="178"/>
      <c r="E431" s="178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178"/>
      <c r="B432" s="178"/>
      <c r="C432" s="178"/>
      <c r="D432" s="178"/>
      <c r="E432" s="178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178"/>
      <c r="B433" s="178"/>
      <c r="C433" s="178"/>
      <c r="D433" s="178"/>
      <c r="E433" s="178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178"/>
      <c r="B434" s="178"/>
      <c r="C434" s="178"/>
      <c r="D434" s="178"/>
      <c r="E434" s="178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178"/>
      <c r="B435" s="178"/>
      <c r="C435" s="178"/>
      <c r="D435" s="178"/>
      <c r="E435" s="178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178"/>
      <c r="B436" s="178"/>
      <c r="C436" s="178"/>
      <c r="D436" s="178"/>
      <c r="E436" s="178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178"/>
      <c r="B437" s="178"/>
      <c r="C437" s="178"/>
      <c r="D437" s="178"/>
      <c r="E437" s="178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178"/>
      <c r="B438" s="178"/>
      <c r="C438" s="178"/>
      <c r="D438" s="178"/>
      <c r="E438" s="178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178"/>
      <c r="B439" s="178"/>
      <c r="C439" s="178"/>
      <c r="D439" s="178"/>
      <c r="E439" s="178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178"/>
      <c r="B440" s="178"/>
      <c r="C440" s="178"/>
      <c r="D440" s="178"/>
      <c r="E440" s="178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178"/>
      <c r="B441" s="178"/>
      <c r="C441" s="178"/>
      <c r="D441" s="178"/>
      <c r="E441" s="178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178"/>
      <c r="B442" s="178"/>
      <c r="C442" s="178"/>
      <c r="D442" s="178"/>
      <c r="E442" s="178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178"/>
      <c r="B443" s="178"/>
      <c r="C443" s="178"/>
      <c r="D443" s="178"/>
      <c r="E443" s="178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178"/>
      <c r="B444" s="178"/>
      <c r="C444" s="178"/>
      <c r="D444" s="178"/>
      <c r="E444" s="178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178"/>
      <c r="B445" s="178"/>
      <c r="C445" s="178"/>
      <c r="D445" s="178"/>
      <c r="E445" s="178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178"/>
      <c r="B446" s="178"/>
      <c r="C446" s="178"/>
      <c r="D446" s="178"/>
      <c r="E446" s="178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178"/>
      <c r="B447" s="178"/>
      <c r="C447" s="178"/>
      <c r="D447" s="178"/>
      <c r="E447" s="178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178"/>
      <c r="B448" s="178"/>
      <c r="C448" s="178"/>
      <c r="D448" s="178"/>
      <c r="E448" s="178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178"/>
      <c r="B449" s="178"/>
      <c r="C449" s="178"/>
      <c r="D449" s="178"/>
      <c r="E449" s="178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178"/>
      <c r="B450" s="178"/>
      <c r="C450" s="178"/>
      <c r="D450" s="178"/>
      <c r="E450" s="178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178"/>
      <c r="B451" s="178"/>
      <c r="C451" s="178"/>
      <c r="D451" s="178"/>
      <c r="E451" s="178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178"/>
      <c r="B452" s="178"/>
      <c r="C452" s="178"/>
      <c r="D452" s="178"/>
      <c r="E452" s="178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178"/>
      <c r="B453" s="178"/>
      <c r="C453" s="178"/>
      <c r="D453" s="178"/>
      <c r="E453" s="178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178"/>
      <c r="B454" s="178"/>
      <c r="C454" s="178"/>
      <c r="D454" s="178"/>
      <c r="E454" s="178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178"/>
      <c r="B455" s="178"/>
      <c r="C455" s="178"/>
      <c r="D455" s="178"/>
      <c r="E455" s="178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178"/>
      <c r="B456" s="178"/>
      <c r="C456" s="178"/>
      <c r="D456" s="178"/>
      <c r="E456" s="178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178"/>
      <c r="B457" s="178"/>
      <c r="C457" s="178"/>
      <c r="D457" s="178"/>
      <c r="E457" s="178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178"/>
      <c r="B458" s="178"/>
      <c r="C458" s="178"/>
      <c r="D458" s="178"/>
      <c r="E458" s="178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178"/>
      <c r="B459" s="178"/>
      <c r="C459" s="178"/>
      <c r="D459" s="178"/>
      <c r="E459" s="178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178"/>
      <c r="B460" s="178"/>
      <c r="C460" s="178"/>
      <c r="D460" s="178"/>
      <c r="E460" s="178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178"/>
      <c r="B461" s="178"/>
      <c r="C461" s="178"/>
      <c r="D461" s="178"/>
      <c r="E461" s="178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178"/>
      <c r="B462" s="178"/>
      <c r="C462" s="178"/>
      <c r="D462" s="178"/>
      <c r="E462" s="178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178"/>
      <c r="B463" s="178"/>
      <c r="C463" s="178"/>
      <c r="D463" s="178"/>
      <c r="E463" s="178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178"/>
      <c r="B464" s="178"/>
      <c r="C464" s="178"/>
      <c r="D464" s="178"/>
      <c r="E464" s="178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178"/>
      <c r="B465" s="178"/>
      <c r="C465" s="178"/>
      <c r="D465" s="178"/>
      <c r="E465" s="178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178"/>
      <c r="B466" s="178"/>
      <c r="C466" s="178"/>
      <c r="D466" s="178"/>
      <c r="E466" s="178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178"/>
      <c r="B467" s="178"/>
      <c r="C467" s="178"/>
      <c r="D467" s="178"/>
      <c r="E467" s="178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178"/>
      <c r="B468" s="178"/>
      <c r="C468" s="178"/>
      <c r="D468" s="178"/>
      <c r="E468" s="178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178"/>
      <c r="B469" s="178"/>
      <c r="C469" s="178"/>
      <c r="D469" s="178"/>
      <c r="E469" s="178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178"/>
      <c r="B470" s="178"/>
      <c r="C470" s="178"/>
      <c r="D470" s="178"/>
      <c r="E470" s="178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178"/>
      <c r="B471" s="178"/>
      <c r="C471" s="178"/>
      <c r="D471" s="178"/>
      <c r="E471" s="178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178"/>
      <c r="B472" s="178"/>
      <c r="C472" s="178"/>
      <c r="D472" s="178"/>
      <c r="E472" s="178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178"/>
      <c r="B473" s="178"/>
      <c r="C473" s="178"/>
      <c r="D473" s="178"/>
      <c r="E473" s="178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178"/>
      <c r="B474" s="178"/>
      <c r="C474" s="178"/>
      <c r="D474" s="178"/>
      <c r="E474" s="178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178"/>
      <c r="B475" s="178"/>
      <c r="C475" s="178"/>
      <c r="D475" s="178"/>
      <c r="E475" s="178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178"/>
      <c r="B476" s="178"/>
      <c r="C476" s="178"/>
      <c r="D476" s="178"/>
      <c r="E476" s="178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178"/>
      <c r="B477" s="178"/>
      <c r="C477" s="178"/>
      <c r="D477" s="178"/>
      <c r="E477" s="178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178"/>
      <c r="B478" s="178"/>
      <c r="C478" s="178"/>
      <c r="D478" s="178"/>
      <c r="E478" s="178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178"/>
      <c r="B479" s="178"/>
      <c r="C479" s="178"/>
      <c r="D479" s="178"/>
      <c r="E479" s="178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178"/>
      <c r="B480" s="178"/>
      <c r="C480" s="178"/>
      <c r="D480" s="178"/>
      <c r="E480" s="178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178"/>
      <c r="B481" s="178"/>
      <c r="C481" s="178"/>
      <c r="D481" s="178"/>
      <c r="E481" s="178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178"/>
      <c r="B482" s="178"/>
      <c r="C482" s="178"/>
      <c r="D482" s="178"/>
      <c r="E482" s="178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178"/>
      <c r="B483" s="178"/>
      <c r="C483" s="178"/>
      <c r="D483" s="178"/>
      <c r="E483" s="178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178"/>
      <c r="B484" s="178"/>
      <c r="C484" s="178"/>
      <c r="D484" s="178"/>
      <c r="E484" s="178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178"/>
      <c r="B485" s="178"/>
      <c r="C485" s="178"/>
      <c r="D485" s="178"/>
      <c r="E485" s="178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178"/>
      <c r="B486" s="178"/>
      <c r="C486" s="178"/>
      <c r="D486" s="178"/>
      <c r="E486" s="178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178"/>
      <c r="B487" s="178"/>
      <c r="C487" s="178"/>
      <c r="D487" s="178"/>
      <c r="E487" s="178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178"/>
      <c r="B488" s="178"/>
      <c r="C488" s="178"/>
      <c r="D488" s="178"/>
      <c r="E488" s="178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178"/>
      <c r="B489" s="178"/>
      <c r="C489" s="178"/>
      <c r="D489" s="178"/>
      <c r="E489" s="178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178"/>
      <c r="B490" s="178"/>
      <c r="C490" s="178"/>
      <c r="D490" s="178"/>
      <c r="E490" s="178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178"/>
      <c r="B491" s="178"/>
      <c r="C491" s="178"/>
      <c r="D491" s="178"/>
      <c r="E491" s="178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178"/>
      <c r="B492" s="178"/>
      <c r="C492" s="178"/>
      <c r="D492" s="178"/>
      <c r="E492" s="178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178"/>
      <c r="B493" s="178"/>
      <c r="C493" s="178"/>
      <c r="D493" s="178"/>
      <c r="E493" s="178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178"/>
      <c r="B494" s="178"/>
      <c r="C494" s="178"/>
      <c r="D494" s="178"/>
      <c r="E494" s="178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178"/>
      <c r="B495" s="178"/>
      <c r="C495" s="178"/>
      <c r="D495" s="178"/>
      <c r="E495" s="178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178"/>
      <c r="B496" s="178"/>
      <c r="C496" s="178"/>
      <c r="D496" s="178"/>
      <c r="E496" s="178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178"/>
      <c r="B497" s="178"/>
      <c r="C497" s="178"/>
      <c r="D497" s="178"/>
      <c r="E497" s="178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178"/>
      <c r="B498" s="178"/>
      <c r="C498" s="178"/>
      <c r="D498" s="178"/>
      <c r="E498" s="178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178"/>
      <c r="B499" s="178"/>
      <c r="C499" s="178"/>
      <c r="D499" s="178"/>
      <c r="E499" s="178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178"/>
      <c r="B500" s="178"/>
      <c r="C500" s="178"/>
      <c r="D500" s="178"/>
      <c r="E500" s="178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178"/>
      <c r="B501" s="178"/>
      <c r="C501" s="178"/>
      <c r="D501" s="178"/>
      <c r="E501" s="178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178"/>
      <c r="B502" s="178"/>
      <c r="C502" s="178"/>
      <c r="D502" s="178"/>
      <c r="E502" s="178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178"/>
      <c r="B503" s="178"/>
      <c r="C503" s="178"/>
      <c r="D503" s="178"/>
      <c r="E503" s="178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178"/>
      <c r="B504" s="178"/>
      <c r="C504" s="178"/>
      <c r="D504" s="178"/>
      <c r="E504" s="178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178"/>
      <c r="B505" s="178"/>
      <c r="C505" s="178"/>
      <c r="D505" s="178"/>
      <c r="E505" s="178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178"/>
      <c r="B506" s="178"/>
      <c r="C506" s="178"/>
      <c r="D506" s="178"/>
      <c r="E506" s="178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178"/>
      <c r="B507" s="178"/>
      <c r="C507" s="178"/>
      <c r="D507" s="178"/>
      <c r="E507" s="178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178"/>
      <c r="B508" s="178"/>
      <c r="C508" s="178"/>
      <c r="D508" s="178"/>
      <c r="E508" s="178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178"/>
      <c r="B509" s="178"/>
      <c r="C509" s="178"/>
      <c r="D509" s="178"/>
      <c r="E509" s="178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178"/>
      <c r="B510" s="178"/>
      <c r="C510" s="178"/>
      <c r="D510" s="178"/>
      <c r="E510" s="178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178"/>
      <c r="B511" s="178"/>
      <c r="C511" s="178"/>
      <c r="D511" s="178"/>
      <c r="E511" s="178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178"/>
      <c r="B512" s="178"/>
      <c r="C512" s="178"/>
      <c r="D512" s="178"/>
      <c r="E512" s="178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178"/>
      <c r="B513" s="178"/>
      <c r="C513" s="178"/>
      <c r="D513" s="178"/>
      <c r="E513" s="178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178"/>
      <c r="B514" s="178"/>
      <c r="C514" s="178"/>
      <c r="D514" s="178"/>
      <c r="E514" s="178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178"/>
      <c r="B515" s="178"/>
      <c r="C515" s="178"/>
      <c r="D515" s="178"/>
      <c r="E515" s="178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178"/>
      <c r="B516" s="178"/>
      <c r="C516" s="178"/>
      <c r="D516" s="178"/>
      <c r="E516" s="178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178"/>
      <c r="B517" s="178"/>
      <c r="C517" s="178"/>
      <c r="D517" s="178"/>
      <c r="E517" s="178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178"/>
      <c r="B518" s="178"/>
      <c r="C518" s="178"/>
      <c r="D518" s="178"/>
      <c r="E518" s="178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178"/>
      <c r="B519" s="178"/>
      <c r="C519" s="178"/>
      <c r="D519" s="178"/>
      <c r="E519" s="178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178"/>
      <c r="B520" s="178"/>
      <c r="C520" s="178"/>
      <c r="D520" s="178"/>
      <c r="E520" s="178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178"/>
      <c r="B521" s="178"/>
      <c r="C521" s="178"/>
      <c r="D521" s="178"/>
      <c r="E521" s="178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178"/>
      <c r="B522" s="178"/>
      <c r="C522" s="178"/>
      <c r="D522" s="178"/>
      <c r="E522" s="178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178"/>
      <c r="B523" s="178"/>
      <c r="C523" s="178"/>
      <c r="D523" s="178"/>
      <c r="E523" s="178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178"/>
      <c r="B524" s="178"/>
      <c r="C524" s="178"/>
      <c r="D524" s="178"/>
      <c r="E524" s="178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178"/>
      <c r="B525" s="178"/>
      <c r="C525" s="178"/>
      <c r="D525" s="178"/>
      <c r="E525" s="178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178"/>
      <c r="B526" s="178"/>
      <c r="C526" s="178"/>
      <c r="D526" s="178"/>
      <c r="E526" s="178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178"/>
      <c r="B527" s="178"/>
      <c r="C527" s="178"/>
      <c r="D527" s="178"/>
      <c r="E527" s="178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178"/>
      <c r="B528" s="178"/>
      <c r="C528" s="178"/>
      <c r="D528" s="178"/>
      <c r="E528" s="178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178"/>
      <c r="B529" s="178"/>
      <c r="C529" s="178"/>
      <c r="D529" s="178"/>
      <c r="E529" s="178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178"/>
      <c r="B530" s="178"/>
      <c r="C530" s="178"/>
      <c r="D530" s="178"/>
      <c r="E530" s="178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178"/>
      <c r="B531" s="178"/>
      <c r="C531" s="178"/>
      <c r="D531" s="178"/>
      <c r="E531" s="178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178"/>
      <c r="B532" s="178"/>
      <c r="C532" s="178"/>
      <c r="D532" s="178"/>
      <c r="E532" s="178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178"/>
      <c r="B533" s="178"/>
      <c r="C533" s="178"/>
      <c r="D533" s="178"/>
      <c r="E533" s="178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178"/>
      <c r="B534" s="178"/>
      <c r="C534" s="178"/>
      <c r="D534" s="178"/>
      <c r="E534" s="178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178"/>
      <c r="B535" s="178"/>
      <c r="C535" s="178"/>
      <c r="D535" s="178"/>
      <c r="E535" s="178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178"/>
      <c r="B536" s="178"/>
      <c r="C536" s="178"/>
      <c r="D536" s="178"/>
      <c r="E536" s="178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178"/>
      <c r="B537" s="178"/>
      <c r="C537" s="178"/>
      <c r="D537" s="178"/>
      <c r="E537" s="178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178"/>
      <c r="B538" s="178"/>
      <c r="C538" s="178"/>
      <c r="D538" s="178"/>
      <c r="E538" s="178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178"/>
      <c r="B539" s="178"/>
      <c r="C539" s="178"/>
      <c r="D539" s="178"/>
      <c r="E539" s="178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178"/>
      <c r="B540" s="178"/>
      <c r="C540" s="178"/>
      <c r="D540" s="178"/>
      <c r="E540" s="178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178"/>
      <c r="B541" s="178"/>
      <c r="C541" s="178"/>
      <c r="D541" s="178"/>
      <c r="E541" s="178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178"/>
      <c r="B542" s="178"/>
      <c r="C542" s="178"/>
      <c r="D542" s="178"/>
      <c r="E542" s="178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178"/>
      <c r="B543" s="178"/>
      <c r="C543" s="178"/>
      <c r="D543" s="178"/>
      <c r="E543" s="178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178"/>
      <c r="B544" s="178"/>
      <c r="C544" s="178"/>
      <c r="D544" s="178"/>
      <c r="E544" s="178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178"/>
      <c r="B545" s="178"/>
      <c r="C545" s="178"/>
      <c r="D545" s="178"/>
      <c r="E545" s="178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178"/>
      <c r="B546" s="178"/>
      <c r="C546" s="178"/>
      <c r="D546" s="178"/>
      <c r="E546" s="178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178"/>
      <c r="B547" s="178"/>
      <c r="C547" s="178"/>
      <c r="D547" s="178"/>
      <c r="E547" s="178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178"/>
      <c r="B548" s="178"/>
      <c r="C548" s="178"/>
      <c r="D548" s="178"/>
      <c r="E548" s="178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178"/>
      <c r="B549" s="178"/>
      <c r="C549" s="178"/>
      <c r="D549" s="178"/>
      <c r="E549" s="178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178"/>
      <c r="B550" s="178"/>
      <c r="C550" s="178"/>
      <c r="D550" s="178"/>
      <c r="E550" s="178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178"/>
      <c r="B551" s="178"/>
      <c r="C551" s="178"/>
      <c r="D551" s="178"/>
      <c r="E551" s="178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178"/>
      <c r="B552" s="178"/>
      <c r="C552" s="178"/>
      <c r="D552" s="178"/>
      <c r="E552" s="178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178"/>
      <c r="B553" s="178"/>
      <c r="C553" s="178"/>
      <c r="D553" s="178"/>
      <c r="E553" s="178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178"/>
      <c r="B554" s="178"/>
      <c r="C554" s="178"/>
      <c r="D554" s="178"/>
      <c r="E554" s="178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178"/>
      <c r="B555" s="178"/>
      <c r="C555" s="178"/>
      <c r="D555" s="178"/>
      <c r="E555" s="178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178"/>
      <c r="B556" s="178"/>
      <c r="C556" s="178"/>
      <c r="D556" s="178"/>
      <c r="E556" s="178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178"/>
      <c r="B557" s="178"/>
      <c r="C557" s="178"/>
      <c r="D557" s="178"/>
      <c r="E557" s="178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178"/>
      <c r="B558" s="178"/>
      <c r="C558" s="178"/>
      <c r="D558" s="178"/>
      <c r="E558" s="178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178"/>
      <c r="B559" s="178"/>
      <c r="C559" s="178"/>
      <c r="D559" s="178"/>
      <c r="E559" s="178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178"/>
      <c r="B560" s="178"/>
      <c r="C560" s="178"/>
      <c r="D560" s="178"/>
      <c r="E560" s="178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178"/>
      <c r="B561" s="178"/>
      <c r="C561" s="178"/>
      <c r="D561" s="178"/>
      <c r="E561" s="178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178"/>
      <c r="B562" s="178"/>
      <c r="C562" s="178"/>
      <c r="D562" s="178"/>
      <c r="E562" s="178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178"/>
      <c r="B563" s="178"/>
      <c r="C563" s="178"/>
      <c r="D563" s="178"/>
      <c r="E563" s="178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178"/>
      <c r="B564" s="178"/>
      <c r="C564" s="178"/>
      <c r="D564" s="178"/>
      <c r="E564" s="178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178"/>
      <c r="B565" s="178"/>
      <c r="C565" s="178"/>
      <c r="D565" s="178"/>
      <c r="E565" s="178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178"/>
      <c r="B566" s="178"/>
      <c r="C566" s="178"/>
      <c r="D566" s="178"/>
      <c r="E566" s="178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178"/>
      <c r="B567" s="178"/>
      <c r="C567" s="178"/>
      <c r="D567" s="178"/>
      <c r="E567" s="178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178"/>
      <c r="B568" s="178"/>
      <c r="C568" s="178"/>
      <c r="D568" s="178"/>
      <c r="E568" s="178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178"/>
      <c r="B569" s="178"/>
      <c r="C569" s="178"/>
      <c r="D569" s="178"/>
      <c r="E569" s="178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178"/>
      <c r="B570" s="178"/>
      <c r="C570" s="178"/>
      <c r="D570" s="178"/>
      <c r="E570" s="178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178"/>
      <c r="B571" s="178"/>
      <c r="C571" s="178"/>
      <c r="D571" s="178"/>
      <c r="E571" s="178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178"/>
      <c r="B572" s="178"/>
      <c r="C572" s="178"/>
      <c r="D572" s="178"/>
      <c r="E572" s="178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178"/>
      <c r="B573" s="178"/>
      <c r="C573" s="178"/>
      <c r="D573" s="178"/>
      <c r="E573" s="178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178"/>
      <c r="B574" s="178"/>
      <c r="C574" s="178"/>
      <c r="D574" s="178"/>
      <c r="E574" s="178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178"/>
      <c r="B575" s="178"/>
      <c r="C575" s="178"/>
      <c r="D575" s="178"/>
      <c r="E575" s="178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178"/>
      <c r="B576" s="178"/>
      <c r="C576" s="178"/>
      <c r="D576" s="178"/>
      <c r="E576" s="178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178"/>
      <c r="B577" s="178"/>
      <c r="C577" s="178"/>
      <c r="D577" s="178"/>
      <c r="E577" s="178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178"/>
      <c r="B578" s="178"/>
      <c r="C578" s="178"/>
      <c r="D578" s="178"/>
      <c r="E578" s="178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178"/>
      <c r="B579" s="178"/>
      <c r="C579" s="178"/>
      <c r="D579" s="178"/>
      <c r="E579" s="178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178"/>
      <c r="B580" s="178"/>
      <c r="C580" s="178"/>
      <c r="D580" s="178"/>
      <c r="E580" s="178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178"/>
      <c r="B581" s="178"/>
      <c r="C581" s="178"/>
      <c r="D581" s="178"/>
      <c r="E581" s="178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178"/>
      <c r="B582" s="178"/>
      <c r="C582" s="178"/>
      <c r="D582" s="178"/>
      <c r="E582" s="178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178"/>
      <c r="B583" s="178"/>
      <c r="C583" s="178"/>
      <c r="D583" s="178"/>
      <c r="E583" s="178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178"/>
      <c r="B584" s="178"/>
      <c r="C584" s="178"/>
      <c r="D584" s="178"/>
      <c r="E584" s="178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178"/>
      <c r="B585" s="178"/>
      <c r="C585" s="178"/>
      <c r="D585" s="178"/>
      <c r="E585" s="178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178"/>
      <c r="B586" s="178"/>
      <c r="C586" s="178"/>
      <c r="D586" s="178"/>
      <c r="E586" s="178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178"/>
      <c r="B587" s="178"/>
      <c r="C587" s="178"/>
      <c r="D587" s="178"/>
      <c r="E587" s="178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178"/>
      <c r="B588" s="178"/>
      <c r="C588" s="178"/>
      <c r="D588" s="178"/>
      <c r="E588" s="178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178"/>
      <c r="B589" s="178"/>
      <c r="C589" s="178"/>
      <c r="D589" s="178"/>
      <c r="E589" s="178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178"/>
      <c r="B590" s="178"/>
      <c r="C590" s="178"/>
      <c r="D590" s="178"/>
      <c r="E590" s="178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178"/>
      <c r="B591" s="178"/>
      <c r="C591" s="178"/>
      <c r="D591" s="178"/>
      <c r="E591" s="178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178"/>
      <c r="B592" s="178"/>
      <c r="C592" s="178"/>
      <c r="D592" s="178"/>
      <c r="E592" s="178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178"/>
      <c r="B593" s="178"/>
      <c r="C593" s="178"/>
      <c r="D593" s="178"/>
      <c r="E593" s="178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178"/>
      <c r="B594" s="178"/>
      <c r="C594" s="178"/>
      <c r="D594" s="178"/>
      <c r="E594" s="178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178"/>
      <c r="B595" s="178"/>
      <c r="C595" s="178"/>
      <c r="D595" s="178"/>
      <c r="E595" s="178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178"/>
      <c r="B596" s="178"/>
      <c r="C596" s="178"/>
      <c r="D596" s="178"/>
      <c r="E596" s="178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178"/>
      <c r="B597" s="178"/>
      <c r="C597" s="178"/>
      <c r="D597" s="178"/>
      <c r="E597" s="178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178"/>
      <c r="B598" s="178"/>
      <c r="C598" s="178"/>
      <c r="D598" s="178"/>
      <c r="E598" s="178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178"/>
      <c r="B599" s="178"/>
      <c r="C599" s="178"/>
      <c r="D599" s="178"/>
      <c r="E599" s="178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178"/>
      <c r="B600" s="178"/>
      <c r="C600" s="178"/>
      <c r="D600" s="178"/>
      <c r="E600" s="178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178"/>
      <c r="B601" s="178"/>
      <c r="C601" s="178"/>
      <c r="D601" s="178"/>
      <c r="E601" s="178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178"/>
      <c r="B602" s="178"/>
      <c r="C602" s="178"/>
      <c r="D602" s="178"/>
      <c r="E602" s="178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178"/>
      <c r="B603" s="178"/>
      <c r="C603" s="178"/>
      <c r="D603" s="178"/>
      <c r="E603" s="178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178"/>
      <c r="B604" s="178"/>
      <c r="C604" s="178"/>
      <c r="D604" s="178"/>
      <c r="E604" s="178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178"/>
      <c r="B605" s="178"/>
      <c r="C605" s="178"/>
      <c r="D605" s="178"/>
      <c r="E605" s="178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178"/>
      <c r="B606" s="178"/>
      <c r="C606" s="178"/>
      <c r="D606" s="178"/>
      <c r="E606" s="178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178"/>
      <c r="B607" s="178"/>
      <c r="C607" s="178"/>
      <c r="D607" s="178"/>
      <c r="E607" s="178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178"/>
      <c r="B608" s="178"/>
      <c r="C608" s="178"/>
      <c r="D608" s="178"/>
      <c r="E608" s="178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178"/>
      <c r="B609" s="178"/>
      <c r="C609" s="178"/>
      <c r="D609" s="178"/>
      <c r="E609" s="178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178"/>
      <c r="B610" s="178"/>
      <c r="C610" s="178"/>
      <c r="D610" s="178"/>
      <c r="E610" s="178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178"/>
      <c r="B611" s="178"/>
      <c r="C611" s="178"/>
      <c r="D611" s="178"/>
      <c r="E611" s="178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178"/>
      <c r="B612" s="178"/>
      <c r="C612" s="178"/>
      <c r="D612" s="178"/>
      <c r="E612" s="178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178"/>
      <c r="B613" s="178"/>
      <c r="C613" s="178"/>
      <c r="D613" s="178"/>
      <c r="E613" s="178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178"/>
      <c r="B614" s="178"/>
      <c r="C614" s="178"/>
      <c r="D614" s="178"/>
      <c r="E614" s="178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178"/>
      <c r="B615" s="178"/>
      <c r="C615" s="178"/>
      <c r="D615" s="178"/>
      <c r="E615" s="178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178"/>
      <c r="B616" s="178"/>
      <c r="C616" s="178"/>
      <c r="D616" s="178"/>
      <c r="E616" s="178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178"/>
      <c r="B617" s="178"/>
      <c r="C617" s="178"/>
      <c r="D617" s="178"/>
      <c r="E617" s="178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178"/>
      <c r="B618" s="178"/>
      <c r="C618" s="178"/>
      <c r="D618" s="178"/>
      <c r="E618" s="178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178"/>
      <c r="B619" s="178"/>
      <c r="C619" s="178"/>
      <c r="D619" s="178"/>
      <c r="E619" s="178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178"/>
      <c r="B620" s="178"/>
      <c r="C620" s="178"/>
      <c r="D620" s="178"/>
      <c r="E620" s="178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178"/>
      <c r="B621" s="178"/>
      <c r="C621" s="178"/>
      <c r="D621" s="178"/>
      <c r="E621" s="178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178"/>
      <c r="B622" s="178"/>
      <c r="C622" s="178"/>
      <c r="D622" s="178"/>
      <c r="E622" s="178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178"/>
      <c r="B623" s="178"/>
      <c r="C623" s="178"/>
      <c r="D623" s="178"/>
      <c r="E623" s="178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178"/>
      <c r="B624" s="178"/>
      <c r="C624" s="178"/>
      <c r="D624" s="178"/>
      <c r="E624" s="178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178"/>
      <c r="B625" s="178"/>
      <c r="C625" s="178"/>
      <c r="D625" s="178"/>
      <c r="E625" s="178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178"/>
      <c r="B626" s="178"/>
      <c r="C626" s="178"/>
      <c r="D626" s="178"/>
      <c r="E626" s="178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178"/>
      <c r="B627" s="178"/>
      <c r="C627" s="178"/>
      <c r="D627" s="178"/>
      <c r="E627" s="178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178"/>
      <c r="B628" s="178"/>
      <c r="C628" s="178"/>
      <c r="D628" s="178"/>
      <c r="E628" s="178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178"/>
      <c r="B629" s="178"/>
      <c r="C629" s="178"/>
      <c r="D629" s="178"/>
      <c r="E629" s="178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178"/>
      <c r="B630" s="178"/>
      <c r="C630" s="178"/>
      <c r="D630" s="178"/>
      <c r="E630" s="178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178"/>
      <c r="B631" s="178"/>
      <c r="C631" s="178"/>
      <c r="D631" s="178"/>
      <c r="E631" s="178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178"/>
      <c r="B632" s="178"/>
      <c r="C632" s="178"/>
      <c r="D632" s="178"/>
      <c r="E632" s="178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178"/>
      <c r="B633" s="178"/>
      <c r="C633" s="178"/>
      <c r="D633" s="178"/>
      <c r="E633" s="178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178"/>
      <c r="B634" s="178"/>
      <c r="C634" s="178"/>
      <c r="D634" s="178"/>
      <c r="E634" s="178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178"/>
      <c r="B635" s="178"/>
      <c r="C635" s="178"/>
      <c r="D635" s="178"/>
      <c r="E635" s="178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178"/>
      <c r="B636" s="178"/>
      <c r="C636" s="178"/>
      <c r="D636" s="178"/>
      <c r="E636" s="178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178"/>
      <c r="B637" s="178"/>
      <c r="C637" s="178"/>
      <c r="D637" s="178"/>
      <c r="E637" s="178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178"/>
      <c r="B638" s="178"/>
      <c r="C638" s="178"/>
      <c r="D638" s="178"/>
      <c r="E638" s="178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178"/>
      <c r="B639" s="178"/>
      <c r="C639" s="178"/>
      <c r="D639" s="178"/>
      <c r="E639" s="178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178"/>
      <c r="B640" s="178"/>
      <c r="C640" s="178"/>
      <c r="D640" s="178"/>
      <c r="E640" s="178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178"/>
      <c r="B641" s="178"/>
      <c r="C641" s="178"/>
      <c r="D641" s="178"/>
      <c r="E641" s="178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178"/>
      <c r="B642" s="178"/>
      <c r="C642" s="178"/>
      <c r="D642" s="178"/>
      <c r="E642" s="178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178"/>
      <c r="B643" s="178"/>
      <c r="C643" s="178"/>
      <c r="D643" s="178"/>
      <c r="E643" s="178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178"/>
      <c r="B644" s="178"/>
      <c r="C644" s="178"/>
      <c r="D644" s="178"/>
      <c r="E644" s="178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178"/>
      <c r="B645" s="178"/>
      <c r="C645" s="178"/>
      <c r="D645" s="178"/>
      <c r="E645" s="178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178"/>
      <c r="B646" s="178"/>
      <c r="C646" s="178"/>
      <c r="D646" s="178"/>
      <c r="E646" s="178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178"/>
      <c r="B647" s="178"/>
      <c r="C647" s="178"/>
      <c r="D647" s="178"/>
      <c r="E647" s="178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178"/>
      <c r="B648" s="178"/>
      <c r="C648" s="178"/>
      <c r="D648" s="178"/>
      <c r="E648" s="178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178"/>
      <c r="B649" s="178"/>
      <c r="C649" s="178"/>
      <c r="D649" s="178"/>
      <c r="E649" s="178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178"/>
      <c r="B650" s="178"/>
      <c r="C650" s="178"/>
      <c r="D650" s="178"/>
      <c r="E650" s="178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178"/>
      <c r="B651" s="178"/>
      <c r="C651" s="178"/>
      <c r="D651" s="178"/>
      <c r="E651" s="178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178"/>
      <c r="B652" s="178"/>
      <c r="C652" s="178"/>
      <c r="D652" s="178"/>
      <c r="E652" s="178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178"/>
      <c r="B653" s="178"/>
      <c r="C653" s="178"/>
      <c r="D653" s="178"/>
      <c r="E653" s="178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178"/>
      <c r="B654" s="178"/>
      <c r="C654" s="178"/>
      <c r="D654" s="178"/>
      <c r="E654" s="178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178"/>
      <c r="B655" s="178"/>
      <c r="C655" s="178"/>
      <c r="D655" s="178"/>
      <c r="E655" s="178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178"/>
      <c r="B656" s="178"/>
      <c r="C656" s="178"/>
      <c r="D656" s="178"/>
      <c r="E656" s="178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178"/>
      <c r="B657" s="178"/>
      <c r="C657" s="178"/>
      <c r="D657" s="178"/>
      <c r="E657" s="178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178"/>
      <c r="B658" s="178"/>
      <c r="C658" s="178"/>
      <c r="D658" s="178"/>
      <c r="E658" s="178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178"/>
      <c r="B659" s="178"/>
      <c r="C659" s="178"/>
      <c r="D659" s="178"/>
      <c r="E659" s="178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178"/>
      <c r="B660" s="178"/>
      <c r="C660" s="178"/>
      <c r="D660" s="178"/>
      <c r="E660" s="178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178"/>
      <c r="B661" s="178"/>
      <c r="C661" s="178"/>
      <c r="D661" s="178"/>
      <c r="E661" s="178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178"/>
      <c r="B662" s="178"/>
      <c r="C662" s="178"/>
      <c r="D662" s="178"/>
      <c r="E662" s="178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178"/>
      <c r="B663" s="178"/>
      <c r="C663" s="178"/>
      <c r="D663" s="178"/>
      <c r="E663" s="178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178"/>
      <c r="B664" s="178"/>
      <c r="C664" s="178"/>
      <c r="D664" s="178"/>
      <c r="E664" s="178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178"/>
      <c r="B665" s="178"/>
      <c r="C665" s="178"/>
      <c r="D665" s="178"/>
      <c r="E665" s="178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178"/>
      <c r="B666" s="178"/>
      <c r="C666" s="178"/>
      <c r="D666" s="178"/>
      <c r="E666" s="178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178"/>
      <c r="B667" s="178"/>
      <c r="C667" s="178"/>
      <c r="D667" s="178"/>
      <c r="E667" s="178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178"/>
      <c r="B668" s="178"/>
      <c r="C668" s="178"/>
      <c r="D668" s="178"/>
      <c r="E668" s="178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178"/>
      <c r="B669" s="178"/>
      <c r="C669" s="178"/>
      <c r="D669" s="178"/>
      <c r="E669" s="178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178"/>
      <c r="B670" s="178"/>
      <c r="C670" s="178"/>
      <c r="D670" s="178"/>
      <c r="E670" s="178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178"/>
      <c r="B671" s="178"/>
      <c r="C671" s="178"/>
      <c r="D671" s="178"/>
      <c r="E671" s="178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178"/>
      <c r="B672" s="178"/>
      <c r="C672" s="178"/>
      <c r="D672" s="178"/>
      <c r="E672" s="178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178"/>
      <c r="B673" s="178"/>
      <c r="C673" s="178"/>
      <c r="D673" s="178"/>
      <c r="E673" s="178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178"/>
      <c r="B674" s="178"/>
      <c r="C674" s="178"/>
      <c r="D674" s="178"/>
      <c r="E674" s="178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178"/>
      <c r="B675" s="178"/>
      <c r="C675" s="178"/>
      <c r="D675" s="178"/>
      <c r="E675" s="178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178"/>
      <c r="B676" s="178"/>
      <c r="C676" s="178"/>
      <c r="D676" s="178"/>
      <c r="E676" s="178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178"/>
      <c r="B677" s="178"/>
      <c r="C677" s="178"/>
      <c r="D677" s="178"/>
      <c r="E677" s="178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178"/>
      <c r="B678" s="178"/>
      <c r="C678" s="178"/>
      <c r="D678" s="178"/>
      <c r="E678" s="178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178"/>
      <c r="B679" s="178"/>
      <c r="C679" s="178"/>
      <c r="D679" s="178"/>
      <c r="E679" s="178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178"/>
      <c r="B680" s="178"/>
      <c r="C680" s="178"/>
      <c r="D680" s="178"/>
      <c r="E680" s="178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178"/>
      <c r="B681" s="178"/>
      <c r="C681" s="178"/>
      <c r="D681" s="178"/>
      <c r="E681" s="178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178"/>
      <c r="B682" s="178"/>
      <c r="C682" s="178"/>
      <c r="D682" s="178"/>
      <c r="E682" s="178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178"/>
      <c r="B683" s="178"/>
      <c r="C683" s="178"/>
      <c r="D683" s="178"/>
      <c r="E683" s="178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178"/>
      <c r="B684" s="178"/>
      <c r="C684" s="178"/>
      <c r="D684" s="178"/>
      <c r="E684" s="178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178"/>
      <c r="B685" s="178"/>
      <c r="C685" s="178"/>
      <c r="D685" s="178"/>
      <c r="E685" s="178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178"/>
      <c r="B686" s="178"/>
      <c r="C686" s="178"/>
      <c r="D686" s="178"/>
      <c r="E686" s="178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178"/>
      <c r="B687" s="178"/>
      <c r="C687" s="178"/>
      <c r="D687" s="178"/>
      <c r="E687" s="178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178"/>
      <c r="B688" s="178"/>
      <c r="C688" s="178"/>
      <c r="D688" s="178"/>
      <c r="E688" s="178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178"/>
      <c r="B689" s="178"/>
      <c r="C689" s="178"/>
      <c r="D689" s="178"/>
      <c r="E689" s="178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178"/>
      <c r="B690" s="178"/>
      <c r="C690" s="178"/>
      <c r="D690" s="178"/>
      <c r="E690" s="178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178"/>
      <c r="B691" s="178"/>
      <c r="C691" s="178"/>
      <c r="D691" s="178"/>
      <c r="E691" s="178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178"/>
      <c r="B692" s="178"/>
      <c r="C692" s="178"/>
      <c r="D692" s="178"/>
      <c r="E692" s="178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178"/>
      <c r="B693" s="178"/>
      <c r="C693" s="178"/>
      <c r="D693" s="178"/>
      <c r="E693" s="178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178"/>
      <c r="B694" s="178"/>
      <c r="C694" s="178"/>
      <c r="D694" s="178"/>
      <c r="E694" s="178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178"/>
      <c r="B695" s="178"/>
      <c r="C695" s="178"/>
      <c r="D695" s="178"/>
      <c r="E695" s="178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178"/>
      <c r="B696" s="178"/>
      <c r="C696" s="178"/>
      <c r="D696" s="178"/>
      <c r="E696" s="178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178"/>
      <c r="B697" s="178"/>
      <c r="C697" s="178"/>
      <c r="D697" s="178"/>
      <c r="E697" s="178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178"/>
      <c r="B698" s="178"/>
      <c r="C698" s="178"/>
      <c r="D698" s="178"/>
      <c r="E698" s="178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178"/>
      <c r="B699" s="178"/>
      <c r="C699" s="178"/>
      <c r="D699" s="178"/>
      <c r="E699" s="178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178"/>
      <c r="B700" s="178"/>
      <c r="C700" s="178"/>
      <c r="D700" s="178"/>
      <c r="E700" s="178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178"/>
      <c r="B701" s="178"/>
      <c r="C701" s="178"/>
      <c r="D701" s="178"/>
      <c r="E701" s="178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178"/>
      <c r="B702" s="178"/>
      <c r="C702" s="178"/>
      <c r="D702" s="178"/>
      <c r="E702" s="178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178"/>
      <c r="B703" s="178"/>
      <c r="C703" s="178"/>
      <c r="D703" s="178"/>
      <c r="E703" s="178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178"/>
      <c r="B704" s="178"/>
      <c r="C704" s="178"/>
      <c r="D704" s="178"/>
      <c r="E704" s="178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178"/>
      <c r="B705" s="178"/>
      <c r="C705" s="178"/>
      <c r="D705" s="178"/>
      <c r="E705" s="178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178"/>
      <c r="B706" s="178"/>
      <c r="C706" s="178"/>
      <c r="D706" s="178"/>
      <c r="E706" s="178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178"/>
      <c r="B707" s="178"/>
      <c r="C707" s="178"/>
      <c r="D707" s="178"/>
      <c r="E707" s="178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178"/>
      <c r="B708" s="178"/>
      <c r="C708" s="178"/>
      <c r="D708" s="178"/>
      <c r="E708" s="178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178"/>
      <c r="B709" s="178"/>
      <c r="C709" s="178"/>
      <c r="D709" s="178"/>
      <c r="E709" s="178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178"/>
      <c r="B710" s="178"/>
      <c r="C710" s="178"/>
      <c r="D710" s="178"/>
      <c r="E710" s="178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178"/>
      <c r="B711" s="178"/>
      <c r="C711" s="178"/>
      <c r="D711" s="178"/>
      <c r="E711" s="178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178"/>
      <c r="B712" s="178"/>
      <c r="C712" s="178"/>
      <c r="D712" s="178"/>
      <c r="E712" s="178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178"/>
      <c r="B713" s="178"/>
      <c r="C713" s="178"/>
      <c r="D713" s="178"/>
      <c r="E713" s="178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178"/>
      <c r="B714" s="178"/>
      <c r="C714" s="178"/>
      <c r="D714" s="178"/>
      <c r="E714" s="178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178"/>
      <c r="B715" s="178"/>
      <c r="C715" s="178"/>
      <c r="D715" s="178"/>
      <c r="E715" s="178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178"/>
      <c r="B716" s="178"/>
      <c r="C716" s="178"/>
      <c r="D716" s="178"/>
      <c r="E716" s="178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178"/>
      <c r="B717" s="178"/>
      <c r="C717" s="178"/>
      <c r="D717" s="178"/>
      <c r="E717" s="178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178"/>
      <c r="B718" s="178"/>
      <c r="C718" s="178"/>
      <c r="D718" s="178"/>
      <c r="E718" s="178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178"/>
      <c r="B719" s="178"/>
      <c r="C719" s="178"/>
      <c r="D719" s="178"/>
      <c r="E719" s="178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178"/>
      <c r="B720" s="178"/>
      <c r="C720" s="178"/>
      <c r="D720" s="178"/>
      <c r="E720" s="178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178"/>
      <c r="B721" s="178"/>
      <c r="C721" s="178"/>
      <c r="D721" s="178"/>
      <c r="E721" s="178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178"/>
      <c r="B722" s="178"/>
      <c r="C722" s="178"/>
      <c r="D722" s="178"/>
      <c r="E722" s="178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178"/>
      <c r="B723" s="178"/>
      <c r="C723" s="178"/>
      <c r="D723" s="178"/>
      <c r="E723" s="178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178"/>
      <c r="B724" s="178"/>
      <c r="C724" s="178"/>
      <c r="D724" s="178"/>
      <c r="E724" s="178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178"/>
      <c r="B725" s="178"/>
      <c r="C725" s="178"/>
      <c r="D725" s="178"/>
      <c r="E725" s="178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178"/>
      <c r="B726" s="178"/>
      <c r="C726" s="178"/>
      <c r="D726" s="178"/>
      <c r="E726" s="178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178"/>
      <c r="B727" s="178"/>
      <c r="C727" s="178"/>
      <c r="D727" s="178"/>
      <c r="E727" s="178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178"/>
      <c r="B728" s="178"/>
      <c r="C728" s="178"/>
      <c r="D728" s="178"/>
      <c r="E728" s="178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178"/>
      <c r="B729" s="178"/>
      <c r="C729" s="178"/>
      <c r="D729" s="178"/>
      <c r="E729" s="178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178"/>
      <c r="B730" s="178"/>
      <c r="C730" s="178"/>
      <c r="D730" s="178"/>
      <c r="E730" s="178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178"/>
      <c r="B731" s="178"/>
      <c r="C731" s="178"/>
      <c r="D731" s="178"/>
      <c r="E731" s="178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178"/>
      <c r="B732" s="178"/>
      <c r="C732" s="178"/>
      <c r="D732" s="178"/>
      <c r="E732" s="178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178"/>
      <c r="B733" s="178"/>
      <c r="C733" s="178"/>
      <c r="D733" s="178"/>
      <c r="E733" s="178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178"/>
      <c r="B734" s="178"/>
      <c r="C734" s="178"/>
      <c r="D734" s="178"/>
      <c r="E734" s="178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178"/>
      <c r="B735" s="178"/>
      <c r="C735" s="178"/>
      <c r="D735" s="178"/>
      <c r="E735" s="178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178"/>
      <c r="B736" s="178"/>
      <c r="C736" s="178"/>
      <c r="D736" s="178"/>
      <c r="E736" s="178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178"/>
      <c r="B737" s="178"/>
      <c r="C737" s="178"/>
      <c r="D737" s="178"/>
      <c r="E737" s="178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178"/>
      <c r="B738" s="178"/>
      <c r="C738" s="178"/>
      <c r="D738" s="178"/>
      <c r="E738" s="178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178"/>
      <c r="B739" s="178"/>
      <c r="C739" s="178"/>
      <c r="D739" s="178"/>
      <c r="E739" s="178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178"/>
      <c r="B740" s="178"/>
      <c r="C740" s="178"/>
      <c r="D740" s="178"/>
      <c r="E740" s="178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178"/>
      <c r="B741" s="178"/>
      <c r="C741" s="178"/>
      <c r="D741" s="178"/>
      <c r="E741" s="178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178"/>
      <c r="B742" s="178"/>
      <c r="C742" s="178"/>
      <c r="D742" s="178"/>
      <c r="E742" s="178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178"/>
      <c r="B743" s="178"/>
      <c r="C743" s="178"/>
      <c r="D743" s="178"/>
      <c r="E743" s="178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178"/>
      <c r="B744" s="178"/>
      <c r="C744" s="178"/>
      <c r="D744" s="178"/>
      <c r="E744" s="178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178"/>
      <c r="B745" s="178"/>
      <c r="C745" s="178"/>
      <c r="D745" s="178"/>
      <c r="E745" s="178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178"/>
      <c r="B746" s="178"/>
      <c r="C746" s="178"/>
      <c r="D746" s="178"/>
      <c r="E746" s="178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178"/>
      <c r="B747" s="178"/>
      <c r="C747" s="178"/>
      <c r="D747" s="178"/>
      <c r="E747" s="178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178"/>
      <c r="B748" s="178"/>
      <c r="C748" s="178"/>
      <c r="D748" s="178"/>
      <c r="E748" s="178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178"/>
      <c r="B749" s="178"/>
      <c r="C749" s="178"/>
      <c r="D749" s="178"/>
      <c r="E749" s="178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178"/>
      <c r="B750" s="178"/>
      <c r="C750" s="178"/>
      <c r="D750" s="178"/>
      <c r="E750" s="178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178"/>
      <c r="B751" s="178"/>
      <c r="C751" s="178"/>
      <c r="D751" s="178"/>
      <c r="E751" s="178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178"/>
      <c r="B752" s="178"/>
      <c r="C752" s="178"/>
      <c r="D752" s="178"/>
      <c r="E752" s="178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178"/>
      <c r="B753" s="178"/>
      <c r="C753" s="178"/>
      <c r="D753" s="178"/>
      <c r="E753" s="178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178"/>
      <c r="B754" s="178"/>
      <c r="C754" s="178"/>
      <c r="D754" s="178"/>
      <c r="E754" s="178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178"/>
      <c r="B755" s="178"/>
      <c r="C755" s="178"/>
      <c r="D755" s="178"/>
      <c r="E755" s="178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178"/>
      <c r="B756" s="178"/>
      <c r="C756" s="178"/>
      <c r="D756" s="178"/>
      <c r="E756" s="178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178"/>
      <c r="B757" s="178"/>
      <c r="C757" s="178"/>
      <c r="D757" s="178"/>
      <c r="E757" s="178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178"/>
      <c r="B758" s="178"/>
      <c r="C758" s="178"/>
      <c r="D758" s="178"/>
      <c r="E758" s="178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178"/>
      <c r="B759" s="178"/>
      <c r="C759" s="178"/>
      <c r="D759" s="178"/>
      <c r="E759" s="178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178"/>
      <c r="B760" s="178"/>
      <c r="C760" s="178"/>
      <c r="D760" s="178"/>
      <c r="E760" s="178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178"/>
      <c r="B761" s="178"/>
      <c r="C761" s="178"/>
      <c r="D761" s="178"/>
      <c r="E761" s="178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178"/>
      <c r="B762" s="178"/>
      <c r="C762" s="178"/>
      <c r="D762" s="178"/>
      <c r="E762" s="178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178"/>
      <c r="B763" s="178"/>
      <c r="C763" s="178"/>
      <c r="D763" s="178"/>
      <c r="E763" s="178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178"/>
      <c r="B764" s="178"/>
      <c r="C764" s="178"/>
      <c r="D764" s="178"/>
      <c r="E764" s="178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178"/>
      <c r="B765" s="178"/>
      <c r="C765" s="178"/>
      <c r="D765" s="178"/>
      <c r="E765" s="178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178"/>
      <c r="B766" s="178"/>
      <c r="C766" s="178"/>
      <c r="D766" s="178"/>
      <c r="E766" s="178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178"/>
      <c r="B767" s="178"/>
      <c r="C767" s="178"/>
      <c r="D767" s="178"/>
      <c r="E767" s="178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178"/>
      <c r="B768" s="178"/>
      <c r="C768" s="178"/>
      <c r="D768" s="178"/>
      <c r="E768" s="178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178"/>
      <c r="B769" s="178"/>
      <c r="C769" s="178"/>
      <c r="D769" s="178"/>
      <c r="E769" s="178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178"/>
      <c r="B770" s="178"/>
      <c r="C770" s="178"/>
      <c r="D770" s="178"/>
      <c r="E770" s="178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178"/>
      <c r="B771" s="178"/>
      <c r="C771" s="178"/>
      <c r="D771" s="178"/>
      <c r="E771" s="178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178"/>
      <c r="B772" s="178"/>
      <c r="C772" s="178"/>
      <c r="D772" s="178"/>
      <c r="E772" s="178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178"/>
      <c r="B773" s="178"/>
      <c r="C773" s="178"/>
      <c r="D773" s="178"/>
      <c r="E773" s="178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178"/>
      <c r="B774" s="178"/>
      <c r="C774" s="178"/>
      <c r="D774" s="178"/>
      <c r="E774" s="178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178"/>
      <c r="B775" s="178"/>
      <c r="C775" s="178"/>
      <c r="D775" s="178"/>
      <c r="E775" s="178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178"/>
      <c r="B776" s="178"/>
      <c r="C776" s="178"/>
      <c r="D776" s="178"/>
      <c r="E776" s="178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178"/>
      <c r="B777" s="178"/>
      <c r="C777" s="178"/>
      <c r="D777" s="178"/>
      <c r="E777" s="178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178"/>
      <c r="B778" s="178"/>
      <c r="C778" s="178"/>
      <c r="D778" s="178"/>
      <c r="E778" s="178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178"/>
      <c r="B779" s="178"/>
      <c r="C779" s="178"/>
      <c r="D779" s="178"/>
      <c r="E779" s="178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178"/>
      <c r="B780" s="178"/>
      <c r="C780" s="178"/>
      <c r="D780" s="178"/>
      <c r="E780" s="178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178"/>
      <c r="B781" s="178"/>
      <c r="C781" s="178"/>
      <c r="D781" s="178"/>
      <c r="E781" s="178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178"/>
      <c r="B782" s="178"/>
      <c r="C782" s="178"/>
      <c r="D782" s="178"/>
      <c r="E782" s="178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178"/>
      <c r="B783" s="178"/>
      <c r="C783" s="178"/>
      <c r="D783" s="178"/>
      <c r="E783" s="178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178"/>
      <c r="B784" s="178"/>
      <c r="C784" s="178"/>
      <c r="D784" s="178"/>
      <c r="E784" s="178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178"/>
      <c r="B785" s="178"/>
      <c r="C785" s="178"/>
      <c r="D785" s="178"/>
      <c r="E785" s="178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178"/>
      <c r="B786" s="178"/>
      <c r="C786" s="178"/>
      <c r="D786" s="178"/>
      <c r="E786" s="178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178"/>
      <c r="B787" s="178"/>
      <c r="C787" s="178"/>
      <c r="D787" s="178"/>
      <c r="E787" s="178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178"/>
      <c r="B788" s="178"/>
      <c r="C788" s="178"/>
      <c r="D788" s="178"/>
      <c r="E788" s="178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178"/>
      <c r="B789" s="178"/>
      <c r="C789" s="178"/>
      <c r="D789" s="178"/>
      <c r="E789" s="178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178"/>
      <c r="B790" s="178"/>
      <c r="C790" s="178"/>
      <c r="D790" s="178"/>
      <c r="E790" s="178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178"/>
      <c r="B791" s="178"/>
      <c r="C791" s="178"/>
      <c r="D791" s="178"/>
      <c r="E791" s="178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178"/>
      <c r="B792" s="178"/>
      <c r="C792" s="178"/>
      <c r="D792" s="178"/>
      <c r="E792" s="178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178"/>
      <c r="B793" s="178"/>
      <c r="C793" s="178"/>
      <c r="D793" s="178"/>
      <c r="E793" s="178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178"/>
      <c r="B794" s="178"/>
      <c r="C794" s="178"/>
      <c r="D794" s="178"/>
      <c r="E794" s="178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178"/>
      <c r="B795" s="178"/>
      <c r="C795" s="178"/>
      <c r="D795" s="178"/>
      <c r="E795" s="178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178"/>
      <c r="B796" s="178"/>
      <c r="C796" s="178"/>
      <c r="D796" s="178"/>
      <c r="E796" s="178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178"/>
      <c r="B797" s="178"/>
      <c r="C797" s="178"/>
      <c r="D797" s="178"/>
      <c r="E797" s="178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178"/>
      <c r="B798" s="178"/>
      <c r="C798" s="178"/>
      <c r="D798" s="178"/>
      <c r="E798" s="178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178"/>
      <c r="B799" s="178"/>
      <c r="C799" s="178"/>
      <c r="D799" s="178"/>
      <c r="E799" s="178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178"/>
      <c r="B800" s="178"/>
      <c r="C800" s="178"/>
      <c r="D800" s="178"/>
      <c r="E800" s="178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178"/>
      <c r="B801" s="178"/>
      <c r="C801" s="178"/>
      <c r="D801" s="178"/>
      <c r="E801" s="178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178"/>
      <c r="B802" s="178"/>
      <c r="C802" s="178"/>
      <c r="D802" s="178"/>
      <c r="E802" s="178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178"/>
      <c r="B803" s="178"/>
      <c r="C803" s="178"/>
      <c r="D803" s="178"/>
      <c r="E803" s="178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178"/>
      <c r="B804" s="178"/>
      <c r="C804" s="178"/>
      <c r="D804" s="178"/>
      <c r="E804" s="178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178"/>
      <c r="B805" s="178"/>
      <c r="C805" s="178"/>
      <c r="D805" s="178"/>
      <c r="E805" s="178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178"/>
      <c r="B806" s="178"/>
      <c r="C806" s="178"/>
      <c r="D806" s="178"/>
      <c r="E806" s="178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178"/>
      <c r="B807" s="178"/>
      <c r="C807" s="178"/>
      <c r="D807" s="178"/>
      <c r="E807" s="178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178"/>
      <c r="B808" s="178"/>
      <c r="C808" s="178"/>
      <c r="D808" s="178"/>
      <c r="E808" s="178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178"/>
      <c r="B809" s="178"/>
      <c r="C809" s="178"/>
      <c r="D809" s="178"/>
      <c r="E809" s="178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178"/>
      <c r="B810" s="178"/>
      <c r="C810" s="178"/>
      <c r="D810" s="178"/>
      <c r="E810" s="178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178"/>
      <c r="B811" s="178"/>
      <c r="C811" s="178"/>
      <c r="D811" s="178"/>
      <c r="E811" s="178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178"/>
      <c r="B812" s="178"/>
      <c r="C812" s="178"/>
      <c r="D812" s="178"/>
      <c r="E812" s="178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178"/>
      <c r="B813" s="178"/>
      <c r="C813" s="178"/>
      <c r="D813" s="178"/>
      <c r="E813" s="178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178"/>
      <c r="B814" s="178"/>
      <c r="C814" s="178"/>
      <c r="D814" s="178"/>
      <c r="E814" s="178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178"/>
      <c r="B815" s="178"/>
      <c r="C815" s="178"/>
      <c r="D815" s="178"/>
      <c r="E815" s="178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178"/>
      <c r="B816" s="178"/>
      <c r="C816" s="178"/>
      <c r="D816" s="178"/>
      <c r="E816" s="178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178"/>
      <c r="B817" s="178"/>
      <c r="C817" s="178"/>
      <c r="D817" s="178"/>
      <c r="E817" s="178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178"/>
      <c r="B818" s="178"/>
      <c r="C818" s="178"/>
      <c r="D818" s="178"/>
      <c r="E818" s="178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178"/>
      <c r="B819" s="178"/>
      <c r="C819" s="178"/>
      <c r="D819" s="178"/>
      <c r="E819" s="178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178"/>
      <c r="B820" s="178"/>
      <c r="C820" s="178"/>
      <c r="D820" s="178"/>
      <c r="E820" s="178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178"/>
      <c r="B821" s="178"/>
      <c r="C821" s="178"/>
      <c r="D821" s="178"/>
      <c r="E821" s="178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178"/>
      <c r="B822" s="178"/>
      <c r="C822" s="178"/>
      <c r="D822" s="178"/>
      <c r="E822" s="178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178"/>
      <c r="B823" s="178"/>
      <c r="C823" s="178"/>
      <c r="D823" s="178"/>
      <c r="E823" s="178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178"/>
      <c r="B824" s="178"/>
      <c r="C824" s="178"/>
      <c r="D824" s="178"/>
      <c r="E824" s="178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178"/>
      <c r="B825" s="178"/>
      <c r="C825" s="178"/>
      <c r="D825" s="178"/>
      <c r="E825" s="178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178"/>
      <c r="B826" s="178"/>
      <c r="C826" s="178"/>
      <c r="D826" s="178"/>
      <c r="E826" s="178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178"/>
      <c r="B827" s="178"/>
      <c r="C827" s="178"/>
      <c r="D827" s="178"/>
      <c r="E827" s="178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178"/>
      <c r="B828" s="178"/>
      <c r="C828" s="178"/>
      <c r="D828" s="178"/>
      <c r="E828" s="178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178"/>
      <c r="B829" s="178"/>
      <c r="C829" s="178"/>
      <c r="D829" s="178"/>
      <c r="E829" s="178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178"/>
      <c r="B830" s="178"/>
      <c r="C830" s="178"/>
      <c r="D830" s="178"/>
      <c r="E830" s="178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178"/>
      <c r="B831" s="178"/>
      <c r="C831" s="178"/>
      <c r="D831" s="178"/>
      <c r="E831" s="178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178"/>
      <c r="B832" s="178"/>
      <c r="C832" s="178"/>
      <c r="D832" s="178"/>
      <c r="E832" s="178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178"/>
      <c r="B833" s="178"/>
      <c r="C833" s="178"/>
      <c r="D833" s="178"/>
      <c r="E833" s="178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178"/>
      <c r="B834" s="178"/>
      <c r="C834" s="178"/>
      <c r="D834" s="178"/>
      <c r="E834" s="178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178"/>
      <c r="B835" s="178"/>
      <c r="C835" s="178"/>
      <c r="D835" s="178"/>
      <c r="E835" s="178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178"/>
      <c r="B836" s="178"/>
      <c r="C836" s="178"/>
      <c r="D836" s="178"/>
      <c r="E836" s="178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178"/>
      <c r="B837" s="178"/>
      <c r="C837" s="178"/>
      <c r="D837" s="178"/>
      <c r="E837" s="178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178"/>
      <c r="B838" s="178"/>
      <c r="C838" s="178"/>
      <c r="D838" s="178"/>
      <c r="E838" s="178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178"/>
      <c r="B839" s="178"/>
      <c r="C839" s="178"/>
      <c r="D839" s="178"/>
      <c r="E839" s="178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178"/>
      <c r="B840" s="178"/>
      <c r="C840" s="178"/>
      <c r="D840" s="178"/>
      <c r="E840" s="178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178"/>
      <c r="B841" s="178"/>
      <c r="C841" s="178"/>
      <c r="D841" s="178"/>
      <c r="E841" s="178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178"/>
      <c r="B842" s="178"/>
      <c r="C842" s="178"/>
      <c r="D842" s="178"/>
      <c r="E842" s="178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178"/>
      <c r="B843" s="178"/>
      <c r="C843" s="178"/>
      <c r="D843" s="178"/>
      <c r="E843" s="178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178"/>
      <c r="B844" s="178"/>
      <c r="C844" s="178"/>
      <c r="D844" s="178"/>
      <c r="E844" s="178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178"/>
      <c r="B845" s="178"/>
      <c r="C845" s="178"/>
      <c r="D845" s="178"/>
      <c r="E845" s="178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178"/>
      <c r="B846" s="178"/>
      <c r="C846" s="178"/>
      <c r="D846" s="178"/>
      <c r="E846" s="178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178"/>
      <c r="B847" s="178"/>
      <c r="C847" s="178"/>
      <c r="D847" s="178"/>
      <c r="E847" s="178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178"/>
      <c r="B848" s="178"/>
      <c r="C848" s="178"/>
      <c r="D848" s="178"/>
      <c r="E848" s="178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178"/>
      <c r="B849" s="178"/>
      <c r="C849" s="178"/>
      <c r="D849" s="178"/>
      <c r="E849" s="178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178"/>
      <c r="B850" s="178"/>
      <c r="C850" s="178"/>
      <c r="D850" s="178"/>
      <c r="E850" s="178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178"/>
      <c r="B851" s="178"/>
      <c r="C851" s="178"/>
      <c r="D851" s="178"/>
      <c r="E851" s="178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178"/>
      <c r="B852" s="178"/>
      <c r="C852" s="178"/>
      <c r="D852" s="178"/>
      <c r="E852" s="178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178"/>
      <c r="B853" s="178"/>
      <c r="C853" s="178"/>
      <c r="D853" s="178"/>
      <c r="E853" s="178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178"/>
      <c r="B854" s="178"/>
      <c r="C854" s="178"/>
      <c r="D854" s="178"/>
      <c r="E854" s="178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178"/>
      <c r="B855" s="178"/>
      <c r="C855" s="178"/>
      <c r="D855" s="178"/>
      <c r="E855" s="178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178"/>
      <c r="B856" s="178"/>
      <c r="C856" s="178"/>
      <c r="D856" s="178"/>
      <c r="E856" s="178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178"/>
      <c r="B857" s="178"/>
      <c r="C857" s="178"/>
      <c r="D857" s="178"/>
      <c r="E857" s="178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178"/>
      <c r="B858" s="178"/>
      <c r="C858" s="178"/>
      <c r="D858" s="178"/>
      <c r="E858" s="178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178"/>
      <c r="B859" s="178"/>
      <c r="C859" s="178"/>
      <c r="D859" s="178"/>
      <c r="E859" s="178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178"/>
      <c r="B860" s="178"/>
      <c r="C860" s="178"/>
      <c r="D860" s="178"/>
      <c r="E860" s="178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178"/>
      <c r="B861" s="178"/>
      <c r="C861" s="178"/>
      <c r="D861" s="178"/>
      <c r="E861" s="178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178"/>
      <c r="B862" s="178"/>
      <c r="C862" s="178"/>
      <c r="D862" s="178"/>
      <c r="E862" s="178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178"/>
      <c r="B863" s="178"/>
      <c r="C863" s="178"/>
      <c r="D863" s="178"/>
      <c r="E863" s="178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178"/>
      <c r="B864" s="178"/>
      <c r="C864" s="178"/>
      <c r="D864" s="178"/>
      <c r="E864" s="178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178"/>
      <c r="B865" s="178"/>
      <c r="C865" s="178"/>
      <c r="D865" s="178"/>
      <c r="E865" s="178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178"/>
      <c r="B866" s="178"/>
      <c r="C866" s="178"/>
      <c r="D866" s="178"/>
      <c r="E866" s="178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178"/>
      <c r="B867" s="178"/>
      <c r="C867" s="178"/>
      <c r="D867" s="178"/>
      <c r="E867" s="178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178"/>
      <c r="B868" s="178"/>
      <c r="C868" s="178"/>
      <c r="D868" s="178"/>
      <c r="E868" s="178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178"/>
      <c r="B869" s="178"/>
      <c r="C869" s="178"/>
      <c r="D869" s="178"/>
      <c r="E869" s="178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178"/>
      <c r="B870" s="178"/>
      <c r="C870" s="178"/>
      <c r="D870" s="178"/>
      <c r="E870" s="178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178"/>
      <c r="B871" s="178"/>
      <c r="C871" s="178"/>
      <c r="D871" s="178"/>
      <c r="E871" s="178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178"/>
      <c r="B872" s="178"/>
      <c r="C872" s="178"/>
      <c r="D872" s="178"/>
      <c r="E872" s="178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178"/>
      <c r="B873" s="178"/>
      <c r="C873" s="178"/>
      <c r="D873" s="178"/>
      <c r="E873" s="178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178"/>
      <c r="B874" s="178"/>
      <c r="C874" s="178"/>
      <c r="D874" s="178"/>
      <c r="E874" s="178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178"/>
      <c r="B875" s="178"/>
      <c r="C875" s="178"/>
      <c r="D875" s="178"/>
      <c r="E875" s="178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178"/>
      <c r="B876" s="178"/>
      <c r="C876" s="178"/>
      <c r="D876" s="178"/>
      <c r="E876" s="178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178"/>
      <c r="B877" s="178"/>
      <c r="C877" s="178"/>
      <c r="D877" s="178"/>
      <c r="E877" s="178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178"/>
      <c r="B878" s="178"/>
      <c r="C878" s="178"/>
      <c r="D878" s="178"/>
      <c r="E878" s="178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178"/>
      <c r="B879" s="178"/>
      <c r="C879" s="178"/>
      <c r="D879" s="178"/>
      <c r="E879" s="178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178"/>
      <c r="B880" s="178"/>
      <c r="C880" s="178"/>
      <c r="D880" s="178"/>
      <c r="E880" s="178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178"/>
      <c r="B881" s="178"/>
      <c r="C881" s="178"/>
      <c r="D881" s="178"/>
      <c r="E881" s="178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178"/>
      <c r="B882" s="178"/>
      <c r="C882" s="178"/>
      <c r="D882" s="178"/>
      <c r="E882" s="178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178"/>
      <c r="B883" s="178"/>
      <c r="C883" s="178"/>
      <c r="D883" s="178"/>
      <c r="E883" s="178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178"/>
      <c r="B884" s="178"/>
      <c r="C884" s="178"/>
      <c r="D884" s="178"/>
      <c r="E884" s="178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178"/>
      <c r="B885" s="178"/>
      <c r="C885" s="178"/>
      <c r="D885" s="178"/>
      <c r="E885" s="178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178"/>
      <c r="B886" s="178"/>
      <c r="C886" s="178"/>
      <c r="D886" s="178"/>
      <c r="E886" s="178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178"/>
      <c r="B887" s="178"/>
      <c r="C887" s="178"/>
      <c r="D887" s="178"/>
      <c r="E887" s="178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178"/>
      <c r="B888" s="178"/>
      <c r="C888" s="178"/>
      <c r="D888" s="178"/>
      <c r="E888" s="178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178"/>
      <c r="B889" s="178"/>
      <c r="C889" s="178"/>
      <c r="D889" s="178"/>
      <c r="E889" s="178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178"/>
      <c r="B890" s="178"/>
      <c r="C890" s="178"/>
      <c r="D890" s="178"/>
      <c r="E890" s="178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178"/>
      <c r="B891" s="178"/>
      <c r="C891" s="178"/>
      <c r="D891" s="178"/>
      <c r="E891" s="178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178"/>
      <c r="B892" s="178"/>
      <c r="C892" s="178"/>
      <c r="D892" s="178"/>
      <c r="E892" s="178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178"/>
      <c r="B893" s="178"/>
      <c r="C893" s="178"/>
      <c r="D893" s="178"/>
      <c r="E893" s="178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178"/>
      <c r="B894" s="178"/>
      <c r="C894" s="178"/>
      <c r="D894" s="178"/>
      <c r="E894" s="178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178"/>
      <c r="B895" s="178"/>
      <c r="C895" s="178"/>
      <c r="D895" s="178"/>
      <c r="E895" s="178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178"/>
      <c r="B896" s="178"/>
      <c r="C896" s="178"/>
      <c r="D896" s="178"/>
      <c r="E896" s="178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178"/>
      <c r="B897" s="178"/>
      <c r="C897" s="178"/>
      <c r="D897" s="178"/>
      <c r="E897" s="178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178"/>
      <c r="B898" s="178"/>
      <c r="C898" s="178"/>
      <c r="D898" s="178"/>
      <c r="E898" s="178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178"/>
      <c r="B899" s="178"/>
      <c r="C899" s="178"/>
      <c r="D899" s="178"/>
      <c r="E899" s="178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178"/>
      <c r="B900" s="178"/>
      <c r="C900" s="178"/>
      <c r="D900" s="178"/>
      <c r="E900" s="178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178"/>
      <c r="B901" s="178"/>
      <c r="C901" s="178"/>
      <c r="D901" s="178"/>
      <c r="E901" s="178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178"/>
      <c r="B902" s="178"/>
      <c r="C902" s="178"/>
      <c r="D902" s="178"/>
      <c r="E902" s="178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178"/>
      <c r="B903" s="178"/>
      <c r="C903" s="178"/>
      <c r="D903" s="178"/>
      <c r="E903" s="178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178"/>
      <c r="B904" s="178"/>
      <c r="C904" s="178"/>
      <c r="D904" s="178"/>
      <c r="E904" s="178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178"/>
      <c r="B905" s="178"/>
      <c r="C905" s="178"/>
      <c r="D905" s="178"/>
      <c r="E905" s="178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178"/>
      <c r="B906" s="178"/>
      <c r="C906" s="178"/>
      <c r="D906" s="178"/>
      <c r="E906" s="178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178"/>
      <c r="B907" s="178"/>
      <c r="C907" s="178"/>
      <c r="D907" s="178"/>
      <c r="E907" s="178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178"/>
      <c r="B908" s="178"/>
      <c r="C908" s="178"/>
      <c r="D908" s="178"/>
      <c r="E908" s="178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178"/>
      <c r="B909" s="178"/>
      <c r="C909" s="178"/>
      <c r="D909" s="178"/>
      <c r="E909" s="178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178"/>
      <c r="B910" s="178"/>
      <c r="C910" s="178"/>
      <c r="D910" s="178"/>
      <c r="E910" s="178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178"/>
      <c r="B911" s="178"/>
      <c r="C911" s="178"/>
      <c r="D911" s="178"/>
      <c r="E911" s="178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178"/>
      <c r="B912" s="178"/>
      <c r="C912" s="178"/>
      <c r="D912" s="178"/>
      <c r="E912" s="178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178"/>
      <c r="B913" s="178"/>
      <c r="C913" s="178"/>
      <c r="D913" s="178"/>
      <c r="E913" s="178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178"/>
      <c r="B914" s="178"/>
      <c r="C914" s="178"/>
      <c r="D914" s="178"/>
      <c r="E914" s="178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178"/>
      <c r="B915" s="178"/>
      <c r="C915" s="178"/>
      <c r="D915" s="178"/>
      <c r="E915" s="178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178"/>
      <c r="B916" s="178"/>
      <c r="C916" s="178"/>
      <c r="D916" s="178"/>
      <c r="E916" s="178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178"/>
      <c r="B917" s="178"/>
      <c r="C917" s="178"/>
      <c r="D917" s="178"/>
      <c r="E917" s="178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178"/>
      <c r="B918" s="178"/>
      <c r="C918" s="178"/>
      <c r="D918" s="178"/>
      <c r="E918" s="178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178"/>
      <c r="B919" s="178"/>
      <c r="C919" s="178"/>
      <c r="D919" s="178"/>
      <c r="E919" s="178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178"/>
      <c r="B920" s="178"/>
      <c r="C920" s="178"/>
      <c r="D920" s="178"/>
      <c r="E920" s="178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178"/>
      <c r="B921" s="178"/>
      <c r="C921" s="178"/>
      <c r="D921" s="178"/>
      <c r="E921" s="178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178"/>
      <c r="B922" s="178"/>
      <c r="C922" s="178"/>
      <c r="D922" s="178"/>
      <c r="E922" s="178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178"/>
      <c r="B923" s="178"/>
      <c r="C923" s="178"/>
      <c r="D923" s="178"/>
      <c r="E923" s="178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178"/>
      <c r="B924" s="178"/>
      <c r="C924" s="178"/>
      <c r="D924" s="178"/>
      <c r="E924" s="178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178"/>
      <c r="B925" s="178"/>
      <c r="C925" s="178"/>
      <c r="D925" s="178"/>
      <c r="E925" s="178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178"/>
      <c r="B926" s="178"/>
      <c r="C926" s="178"/>
      <c r="D926" s="178"/>
      <c r="E926" s="178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178"/>
      <c r="B927" s="178"/>
      <c r="C927" s="178"/>
      <c r="D927" s="178"/>
      <c r="E927" s="178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178"/>
      <c r="B928" s="178"/>
      <c r="C928" s="178"/>
      <c r="D928" s="178"/>
      <c r="E928" s="178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178"/>
      <c r="B929" s="178"/>
      <c r="C929" s="178"/>
      <c r="D929" s="178"/>
      <c r="E929" s="178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178"/>
      <c r="B930" s="178"/>
      <c r="C930" s="178"/>
      <c r="D930" s="178"/>
      <c r="E930" s="178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178"/>
      <c r="B931" s="178"/>
      <c r="C931" s="178"/>
      <c r="D931" s="178"/>
      <c r="E931" s="178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178"/>
      <c r="B932" s="178"/>
      <c r="C932" s="178"/>
      <c r="D932" s="178"/>
      <c r="E932" s="178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178"/>
      <c r="B933" s="178"/>
      <c r="C933" s="178"/>
      <c r="D933" s="178"/>
      <c r="E933" s="178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178"/>
      <c r="B934" s="178"/>
      <c r="C934" s="178"/>
      <c r="D934" s="178"/>
      <c r="E934" s="178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178"/>
      <c r="B935" s="178"/>
      <c r="C935" s="178"/>
      <c r="D935" s="178"/>
      <c r="E935" s="178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178"/>
      <c r="B936" s="178"/>
      <c r="C936" s="178"/>
      <c r="D936" s="178"/>
      <c r="E936" s="178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178"/>
      <c r="B937" s="178"/>
      <c r="C937" s="178"/>
      <c r="D937" s="178"/>
      <c r="E937" s="178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178"/>
      <c r="B938" s="178"/>
      <c r="C938" s="178"/>
      <c r="D938" s="178"/>
      <c r="E938" s="178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178"/>
      <c r="B939" s="178"/>
      <c r="C939" s="178"/>
      <c r="D939" s="178"/>
      <c r="E939" s="178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178"/>
      <c r="B940" s="178"/>
      <c r="C940" s="178"/>
      <c r="D940" s="178"/>
      <c r="E940" s="178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178"/>
      <c r="B941" s="178"/>
      <c r="C941" s="178"/>
      <c r="D941" s="178"/>
      <c r="E941" s="178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178"/>
      <c r="B942" s="178"/>
      <c r="C942" s="178"/>
      <c r="D942" s="178"/>
      <c r="E942" s="178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178"/>
      <c r="B943" s="178"/>
      <c r="C943" s="178"/>
      <c r="D943" s="178"/>
      <c r="E943" s="178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178"/>
      <c r="B944" s="178"/>
      <c r="C944" s="178"/>
      <c r="D944" s="178"/>
      <c r="E944" s="178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178"/>
      <c r="B945" s="178"/>
      <c r="C945" s="178"/>
      <c r="D945" s="178"/>
      <c r="E945" s="178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178"/>
      <c r="B946" s="178"/>
      <c r="C946" s="178"/>
      <c r="D946" s="178"/>
      <c r="E946" s="178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178"/>
      <c r="B947" s="178"/>
      <c r="C947" s="178"/>
      <c r="D947" s="178"/>
      <c r="E947" s="178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178"/>
      <c r="B948" s="178"/>
      <c r="C948" s="178"/>
      <c r="D948" s="178"/>
      <c r="E948" s="178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178"/>
      <c r="B949" s="178"/>
      <c r="C949" s="178"/>
      <c r="D949" s="178"/>
      <c r="E949" s="178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178"/>
      <c r="B950" s="178"/>
      <c r="C950" s="178"/>
      <c r="D950" s="178"/>
      <c r="E950" s="178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178"/>
      <c r="B951" s="178"/>
      <c r="C951" s="178"/>
      <c r="D951" s="178"/>
      <c r="E951" s="178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178"/>
      <c r="B952" s="178"/>
      <c r="C952" s="178"/>
      <c r="D952" s="178"/>
      <c r="E952" s="178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178"/>
      <c r="B953" s="178"/>
      <c r="C953" s="178"/>
      <c r="D953" s="178"/>
      <c r="E953" s="178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178"/>
      <c r="B954" s="178"/>
      <c r="C954" s="178"/>
      <c r="D954" s="178"/>
      <c r="E954" s="178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178"/>
      <c r="B955" s="178"/>
      <c r="C955" s="178"/>
      <c r="D955" s="178"/>
      <c r="E955" s="178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178"/>
      <c r="B956" s="178"/>
      <c r="C956" s="178"/>
      <c r="D956" s="178"/>
      <c r="E956" s="178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178"/>
      <c r="B957" s="178"/>
      <c r="C957" s="178"/>
      <c r="D957" s="178"/>
      <c r="E957" s="178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178"/>
      <c r="B958" s="178"/>
      <c r="C958" s="178"/>
      <c r="D958" s="178"/>
      <c r="E958" s="178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178"/>
      <c r="B959" s="178"/>
      <c r="C959" s="178"/>
      <c r="D959" s="178"/>
      <c r="E959" s="178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178"/>
      <c r="B960" s="178"/>
      <c r="C960" s="178"/>
      <c r="D960" s="178"/>
      <c r="E960" s="178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178"/>
      <c r="B961" s="178"/>
      <c r="C961" s="178"/>
      <c r="D961" s="178"/>
      <c r="E961" s="178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178"/>
      <c r="B962" s="178"/>
      <c r="C962" s="178"/>
      <c r="D962" s="178"/>
      <c r="E962" s="178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178"/>
      <c r="B963" s="178"/>
      <c r="C963" s="178"/>
      <c r="D963" s="178"/>
      <c r="E963" s="178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178"/>
      <c r="B964" s="178"/>
      <c r="C964" s="178"/>
      <c r="D964" s="178"/>
      <c r="E964" s="178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178"/>
      <c r="B965" s="178"/>
      <c r="C965" s="178"/>
      <c r="D965" s="178"/>
      <c r="E965" s="178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178"/>
      <c r="B966" s="178"/>
      <c r="C966" s="178"/>
      <c r="D966" s="178"/>
      <c r="E966" s="178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178"/>
      <c r="B967" s="178"/>
      <c r="C967" s="178"/>
      <c r="D967" s="178"/>
      <c r="E967" s="178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178"/>
      <c r="B968" s="178"/>
      <c r="C968" s="178"/>
      <c r="D968" s="178"/>
      <c r="E968" s="178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178"/>
      <c r="B969" s="178"/>
      <c r="C969" s="178"/>
      <c r="D969" s="178"/>
      <c r="E969" s="178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178"/>
      <c r="B970" s="178"/>
      <c r="C970" s="178"/>
      <c r="D970" s="178"/>
      <c r="E970" s="178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178"/>
      <c r="B971" s="178"/>
      <c r="C971" s="178"/>
      <c r="D971" s="178"/>
      <c r="E971" s="178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178"/>
      <c r="B972" s="178"/>
      <c r="C972" s="178"/>
      <c r="D972" s="178"/>
      <c r="E972" s="178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178"/>
      <c r="B973" s="178"/>
      <c r="C973" s="178"/>
      <c r="D973" s="178"/>
      <c r="E973" s="178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178"/>
      <c r="B974" s="178"/>
      <c r="C974" s="178"/>
      <c r="D974" s="178"/>
      <c r="E974" s="178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178"/>
      <c r="B975" s="178"/>
      <c r="C975" s="178"/>
      <c r="D975" s="178"/>
      <c r="E975" s="178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178"/>
      <c r="B976" s="178"/>
      <c r="C976" s="178"/>
      <c r="D976" s="178"/>
      <c r="E976" s="178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178"/>
      <c r="B977" s="178"/>
      <c r="C977" s="178"/>
      <c r="D977" s="178"/>
      <c r="E977" s="178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178"/>
      <c r="B978" s="178"/>
      <c r="C978" s="178"/>
      <c r="D978" s="178"/>
      <c r="E978" s="178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178"/>
      <c r="B979" s="178"/>
      <c r="C979" s="178"/>
      <c r="D979" s="178"/>
      <c r="E979" s="178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178"/>
      <c r="B980" s="178"/>
      <c r="C980" s="178"/>
      <c r="D980" s="178"/>
      <c r="E980" s="178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178"/>
      <c r="B981" s="178"/>
      <c r="C981" s="178"/>
      <c r="D981" s="178"/>
      <c r="E981" s="178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178"/>
      <c r="B982" s="178"/>
      <c r="C982" s="178"/>
      <c r="D982" s="178"/>
      <c r="E982" s="178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178"/>
      <c r="B983" s="178"/>
      <c r="C983" s="178"/>
      <c r="D983" s="178"/>
      <c r="E983" s="178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178"/>
      <c r="B984" s="178"/>
      <c r="C984" s="178"/>
      <c r="D984" s="178"/>
      <c r="E984" s="178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178"/>
      <c r="B985" s="178"/>
      <c r="C985" s="178"/>
      <c r="D985" s="178"/>
      <c r="E985" s="178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178"/>
      <c r="B986" s="178"/>
      <c r="C986" s="178"/>
      <c r="D986" s="178"/>
      <c r="E986" s="178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178"/>
      <c r="B987" s="178"/>
      <c r="C987" s="178"/>
      <c r="D987" s="178"/>
      <c r="E987" s="178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178"/>
      <c r="B988" s="178"/>
      <c r="C988" s="178"/>
      <c r="D988" s="178"/>
      <c r="E988" s="178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178"/>
      <c r="B989" s="178"/>
      <c r="C989" s="178"/>
      <c r="D989" s="178"/>
      <c r="E989" s="178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178"/>
      <c r="B990" s="178"/>
      <c r="C990" s="178"/>
      <c r="D990" s="178"/>
      <c r="E990" s="178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178"/>
      <c r="B991" s="178"/>
      <c r="C991" s="178"/>
      <c r="D991" s="178"/>
      <c r="E991" s="178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178"/>
      <c r="B992" s="178"/>
      <c r="C992" s="178"/>
      <c r="D992" s="178"/>
      <c r="E992" s="178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178"/>
      <c r="B993" s="178"/>
      <c r="C993" s="178"/>
      <c r="D993" s="178"/>
      <c r="E993" s="178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178"/>
      <c r="B994" s="178"/>
      <c r="C994" s="178"/>
      <c r="D994" s="178"/>
      <c r="E994" s="178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178"/>
      <c r="B995" s="178"/>
      <c r="C995" s="178"/>
      <c r="D995" s="178"/>
      <c r="E995" s="178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178"/>
      <c r="B996" s="178"/>
      <c r="C996" s="178"/>
      <c r="D996" s="178"/>
      <c r="E996" s="178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>
      <c r="A997" s="178"/>
      <c r="B997" s="178"/>
      <c r="C997" s="178"/>
      <c r="D997" s="178"/>
      <c r="E997" s="178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>
      <c r="A998" s="178"/>
      <c r="B998" s="178"/>
      <c r="C998" s="178"/>
      <c r="D998" s="178"/>
      <c r="E998" s="178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  <row r="1001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</row>
  </sheetData>
  <mergeCells count="1">
    <mergeCell ref="G8:H8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40.63"/>
    <col customWidth="1" min="3" max="3" width="12.0"/>
    <col customWidth="1" min="4" max="4" width="36.0"/>
    <col customWidth="1" min="5" max="5" width="10.38"/>
    <col customWidth="1" min="7" max="7" width="76.8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178"/>
      <c r="G1" s="80" t="s">
        <v>5</v>
      </c>
      <c r="H1" s="81">
        <f>H4</f>
        <v>33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119" t="s">
        <v>1065</v>
      </c>
      <c r="B2" s="73" t="s">
        <v>27</v>
      </c>
      <c r="C2" s="73" t="s">
        <v>28</v>
      </c>
      <c r="D2" s="73">
        <v>19.0</v>
      </c>
      <c r="E2" s="168">
        <v>0.25</v>
      </c>
      <c r="F2" s="178"/>
      <c r="G2" s="82" t="s">
        <v>9</v>
      </c>
      <c r="H2" s="82">
        <f>COUNTIF(C:C,"*LSP*")
</f>
        <v>23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145" t="s">
        <v>1066</v>
      </c>
      <c r="B3" s="73" t="s">
        <v>34</v>
      </c>
      <c r="C3" s="73" t="s">
        <v>35</v>
      </c>
      <c r="D3" s="73">
        <v>13.0</v>
      </c>
      <c r="E3" s="168">
        <v>0.2708333333333333</v>
      </c>
      <c r="F3" s="178"/>
      <c r="G3" s="82" t="s">
        <v>13</v>
      </c>
      <c r="H3" s="82">
        <f>COUNTIF(C:C,"*SOC*")
</f>
        <v>13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119" t="s">
        <v>1067</v>
      </c>
      <c r="B4" s="73" t="s">
        <v>264</v>
      </c>
      <c r="C4" s="73" t="s">
        <v>812</v>
      </c>
      <c r="D4" s="73">
        <v>98.0</v>
      </c>
      <c r="E4" s="168">
        <v>0.2708333333333333</v>
      </c>
      <c r="F4" s="178"/>
      <c r="G4" s="82" t="s">
        <v>810</v>
      </c>
      <c r="H4" s="198">
        <f>COUNTIFS(D:D,"&gt;=5",D:D,"&lt;=114")</f>
        <v>33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19" t="s">
        <v>1068</v>
      </c>
      <c r="B5" s="73" t="s">
        <v>672</v>
      </c>
      <c r="C5" s="73" t="s">
        <v>42</v>
      </c>
      <c r="D5" s="73">
        <v>86.0</v>
      </c>
      <c r="E5" s="168">
        <v>0.2916666666666667</v>
      </c>
      <c r="F5" s="178"/>
      <c r="G5" s="82" t="s">
        <v>20</v>
      </c>
      <c r="H5" s="82">
        <f>COUNTIF(D:D,"*NÃO DOCOU*")</f>
        <v>2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119" t="s">
        <v>1069</v>
      </c>
      <c r="B6" s="73" t="s">
        <v>318</v>
      </c>
      <c r="C6" s="73" t="s">
        <v>821</v>
      </c>
      <c r="D6" s="73">
        <v>100.0</v>
      </c>
      <c r="E6" s="168">
        <v>0.2916666666666667</v>
      </c>
      <c r="F6" s="178"/>
      <c r="G6" s="198" t="s">
        <v>25</v>
      </c>
      <c r="H6" s="199">
        <f>COUNTIF(D:D,"*NÃO CHEGOU*")
</f>
        <v>1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119" t="s">
        <v>1070</v>
      </c>
      <c r="B7" s="73" t="s">
        <v>672</v>
      </c>
      <c r="C7" s="73" t="s">
        <v>42</v>
      </c>
      <c r="D7" s="73" t="s">
        <v>167</v>
      </c>
      <c r="E7" s="168">
        <v>0.2916666666666667</v>
      </c>
      <c r="F7" s="178"/>
      <c r="G7" s="82" t="s">
        <v>815</v>
      </c>
      <c r="H7" s="82">
        <f>COUNTIF(D:D,"*DRIVER DUPLICADO*")</f>
        <v>0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145" t="s">
        <v>1071</v>
      </c>
      <c r="B8" s="146" t="s">
        <v>37</v>
      </c>
      <c r="C8" s="146" t="s">
        <v>38</v>
      </c>
      <c r="D8" s="73">
        <v>112.0</v>
      </c>
      <c r="E8" s="168">
        <v>0.2916666666666667</v>
      </c>
      <c r="F8" s="178"/>
      <c r="G8" s="18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119" t="s">
        <v>1072</v>
      </c>
      <c r="B9" s="73" t="s">
        <v>48</v>
      </c>
      <c r="C9" s="73" t="s">
        <v>49</v>
      </c>
      <c r="D9" s="73">
        <v>8.0</v>
      </c>
      <c r="E9" s="168">
        <v>0.2916666666666667</v>
      </c>
      <c r="F9" s="178"/>
      <c r="G9" s="9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119" t="s">
        <v>1073</v>
      </c>
      <c r="B10" s="73" t="s">
        <v>51</v>
      </c>
      <c r="C10" s="167" t="s">
        <v>52</v>
      </c>
      <c r="D10" s="167">
        <v>36.0</v>
      </c>
      <c r="E10" s="168">
        <v>0.2916666666666667</v>
      </c>
      <c r="F10" s="178"/>
      <c r="G10" s="200"/>
      <c r="H10" s="178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119" t="s">
        <v>1074</v>
      </c>
      <c r="B11" s="73" t="s">
        <v>54</v>
      </c>
      <c r="C11" s="167" t="s">
        <v>55</v>
      </c>
      <c r="D11" s="167">
        <v>39.0</v>
      </c>
      <c r="E11" s="168">
        <v>0.2916666666666667</v>
      </c>
      <c r="F11" s="178"/>
      <c r="G11" s="84" t="s">
        <v>1075</v>
      </c>
      <c r="H11" s="9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95" t="s">
        <v>1076</v>
      </c>
      <c r="B12" s="146" t="s">
        <v>118</v>
      </c>
      <c r="C12" s="146" t="s">
        <v>58</v>
      </c>
      <c r="D12" s="146">
        <v>17.0</v>
      </c>
      <c r="E12" s="168">
        <v>0.2916666666666667</v>
      </c>
      <c r="F12" s="178"/>
      <c r="G12" s="187" t="s">
        <v>653</v>
      </c>
      <c r="H12" s="178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95" t="s">
        <v>1077</v>
      </c>
      <c r="B13" s="167" t="s">
        <v>124</v>
      </c>
      <c r="C13" s="167" t="s">
        <v>69</v>
      </c>
      <c r="D13" s="167" t="s">
        <v>25</v>
      </c>
      <c r="E13" s="168">
        <v>0.3125</v>
      </c>
      <c r="F13" s="178"/>
      <c r="G13" s="178"/>
      <c r="H13" s="178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95" t="s">
        <v>1078</v>
      </c>
      <c r="B14" s="170" t="s">
        <v>399</v>
      </c>
      <c r="C14" s="170" t="s">
        <v>157</v>
      </c>
      <c r="D14" s="170">
        <v>32.0</v>
      </c>
      <c r="E14" s="168">
        <v>0.3125</v>
      </c>
      <c r="F14" s="178"/>
      <c r="G14" s="178"/>
      <c r="H14" s="178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119" t="s">
        <v>1079</v>
      </c>
      <c r="B15" s="73" t="s">
        <v>78</v>
      </c>
      <c r="C15" s="73" t="s">
        <v>79</v>
      </c>
      <c r="D15" s="73">
        <v>15.0</v>
      </c>
      <c r="E15" s="168">
        <v>0.3125</v>
      </c>
      <c r="F15" s="178"/>
      <c r="G15" s="178"/>
      <c r="H15" s="178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119" t="s">
        <v>1080</v>
      </c>
      <c r="B16" s="73" t="s">
        <v>81</v>
      </c>
      <c r="C16" s="73" t="s">
        <v>82</v>
      </c>
      <c r="D16" s="73">
        <v>49.0</v>
      </c>
      <c r="E16" s="168">
        <v>0.3125</v>
      </c>
      <c r="F16" s="178"/>
      <c r="G16" s="178"/>
      <c r="H16" s="178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95" t="s">
        <v>1081</v>
      </c>
      <c r="B17" s="73" t="s">
        <v>22</v>
      </c>
      <c r="C17" s="73" t="s">
        <v>839</v>
      </c>
      <c r="D17" s="73">
        <v>26.0</v>
      </c>
      <c r="E17" s="168">
        <v>0.3125</v>
      </c>
      <c r="F17" s="178"/>
      <c r="G17" s="178"/>
      <c r="H17" s="178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119" t="s">
        <v>1082</v>
      </c>
      <c r="B18" s="73" t="s">
        <v>71</v>
      </c>
      <c r="C18" s="73" t="s">
        <v>72</v>
      </c>
      <c r="D18" s="73">
        <v>12.0</v>
      </c>
      <c r="E18" s="168">
        <v>0.3125</v>
      </c>
      <c r="F18" s="178"/>
      <c r="G18" s="178"/>
      <c r="H18" s="178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119" t="s">
        <v>1083</v>
      </c>
      <c r="B19" s="73" t="s">
        <v>410</v>
      </c>
      <c r="C19" s="73" t="s">
        <v>94</v>
      </c>
      <c r="D19" s="73">
        <v>28.0</v>
      </c>
      <c r="E19" s="150">
        <v>0.3333333333333333</v>
      </c>
      <c r="F19" s="178"/>
      <c r="G19" s="178"/>
      <c r="H19" s="178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119" t="s">
        <v>1084</v>
      </c>
      <c r="B20" s="73" t="s">
        <v>845</v>
      </c>
      <c r="C20" s="73" t="s">
        <v>846</v>
      </c>
      <c r="D20" s="73">
        <v>24.0</v>
      </c>
      <c r="E20" s="150">
        <v>0.3333333333333333</v>
      </c>
      <c r="F20" s="178"/>
      <c r="G20" s="178"/>
      <c r="H20" s="178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119" t="s">
        <v>1085</v>
      </c>
      <c r="B21" s="73" t="s">
        <v>245</v>
      </c>
      <c r="C21" s="73" t="s">
        <v>246</v>
      </c>
      <c r="D21" s="73">
        <v>5.0</v>
      </c>
      <c r="E21" s="150">
        <v>0.3333333333333333</v>
      </c>
      <c r="F21" s="178"/>
      <c r="G21" s="178"/>
      <c r="H21" s="178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217" t="s">
        <v>1086</v>
      </c>
      <c r="B22" s="73" t="s">
        <v>633</v>
      </c>
      <c r="C22" s="73" t="s">
        <v>634</v>
      </c>
      <c r="D22" s="73">
        <v>40.0</v>
      </c>
      <c r="E22" s="150">
        <v>0.3333333333333333</v>
      </c>
      <c r="F22" s="178"/>
      <c r="G22" s="178"/>
      <c r="H22" s="178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119" t="s">
        <v>1087</v>
      </c>
      <c r="B23" s="73" t="s">
        <v>75</v>
      </c>
      <c r="C23" s="73" t="s">
        <v>76</v>
      </c>
      <c r="D23" s="73">
        <v>25.0</v>
      </c>
      <c r="E23" s="150">
        <v>0.3333333333333333</v>
      </c>
      <c r="F23" s="178"/>
      <c r="G23" s="178"/>
      <c r="H23" s="178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218" t="s">
        <v>1088</v>
      </c>
      <c r="B24" s="146" t="s">
        <v>986</v>
      </c>
      <c r="C24" s="146" t="s">
        <v>987</v>
      </c>
      <c r="D24" s="146">
        <v>21.0</v>
      </c>
      <c r="E24" s="150">
        <v>0.3333333333333333</v>
      </c>
      <c r="F24" s="178"/>
      <c r="G24" s="178"/>
      <c r="H24" s="178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119" t="s">
        <v>1089</v>
      </c>
      <c r="B25" s="167" t="s">
        <v>84</v>
      </c>
      <c r="C25" s="167" t="s">
        <v>85</v>
      </c>
      <c r="D25" s="167">
        <v>97.0</v>
      </c>
      <c r="E25" s="150">
        <v>0.3333333333333333</v>
      </c>
      <c r="F25" s="178"/>
      <c r="G25" s="178"/>
      <c r="H25" s="178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119" t="s">
        <v>1090</v>
      </c>
      <c r="B26" s="167" t="s">
        <v>848</v>
      </c>
      <c r="C26" s="167" t="s">
        <v>849</v>
      </c>
      <c r="D26" s="167">
        <v>45.0</v>
      </c>
      <c r="E26" s="150">
        <v>0.3333333333333333</v>
      </c>
      <c r="F26" s="178"/>
      <c r="G26" s="178"/>
      <c r="H26" s="178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119" t="s">
        <v>1091</v>
      </c>
      <c r="B27" s="73" t="s">
        <v>1092</v>
      </c>
      <c r="C27" s="73" t="s">
        <v>590</v>
      </c>
      <c r="D27" s="73" t="s">
        <v>167</v>
      </c>
      <c r="E27" s="181">
        <v>0.3541666666666667</v>
      </c>
      <c r="F27" s="178"/>
      <c r="G27" s="178"/>
      <c r="H27" s="178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106" t="s">
        <v>1093</v>
      </c>
      <c r="B28" s="73" t="s">
        <v>18</v>
      </c>
      <c r="C28" s="73" t="s">
        <v>19</v>
      </c>
      <c r="D28" s="73">
        <v>27.0</v>
      </c>
      <c r="E28" s="181">
        <v>0.3541666666666667</v>
      </c>
      <c r="F28" s="178"/>
      <c r="G28" s="178"/>
      <c r="H28" s="178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95" t="s">
        <v>1094</v>
      </c>
      <c r="B29" s="170" t="s">
        <v>81</v>
      </c>
      <c r="C29" s="170" t="s">
        <v>82</v>
      </c>
      <c r="D29" s="170">
        <v>48.0</v>
      </c>
      <c r="E29" s="181">
        <v>0.375</v>
      </c>
      <c r="F29" s="178"/>
      <c r="G29" s="178"/>
      <c r="H29" s="178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142" t="s">
        <v>1095</v>
      </c>
      <c r="B30" s="170" t="s">
        <v>251</v>
      </c>
      <c r="C30" s="170" t="s">
        <v>252</v>
      </c>
      <c r="D30" s="170">
        <v>14.0</v>
      </c>
      <c r="E30" s="181">
        <v>0.375</v>
      </c>
      <c r="F30" s="178"/>
      <c r="G30" s="178"/>
      <c r="H30" s="178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119" t="s">
        <v>1096</v>
      </c>
      <c r="B31" s="170" t="s">
        <v>593</v>
      </c>
      <c r="C31" s="170" t="s">
        <v>594</v>
      </c>
      <c r="D31" s="170">
        <v>34.0</v>
      </c>
      <c r="E31" s="181">
        <v>0.375</v>
      </c>
      <c r="F31" s="178"/>
      <c r="G31" s="178"/>
      <c r="H31" s="178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119" t="s">
        <v>1097</v>
      </c>
      <c r="B32" s="73" t="s">
        <v>385</v>
      </c>
      <c r="C32" s="73" t="s">
        <v>89</v>
      </c>
      <c r="D32" s="73">
        <v>95.0</v>
      </c>
      <c r="E32" s="74">
        <v>0.4583333333333333</v>
      </c>
      <c r="F32" s="178"/>
      <c r="G32" s="178"/>
      <c r="H32" s="178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119" t="s">
        <v>1098</v>
      </c>
      <c r="B33" s="73" t="s">
        <v>385</v>
      </c>
      <c r="C33" s="73" t="s">
        <v>89</v>
      </c>
      <c r="D33" s="73">
        <v>94.0</v>
      </c>
      <c r="E33" s="74">
        <v>0.4583333333333333</v>
      </c>
      <c r="F33" s="178"/>
      <c r="G33" s="178"/>
      <c r="H33" s="178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95" t="s">
        <v>1099</v>
      </c>
      <c r="B34" s="73" t="s">
        <v>672</v>
      </c>
      <c r="C34" s="73" t="s">
        <v>42</v>
      </c>
      <c r="D34" s="73">
        <v>87.0</v>
      </c>
      <c r="E34" s="74">
        <v>0.4583333333333333</v>
      </c>
      <c r="F34" s="178"/>
      <c r="G34" s="178"/>
      <c r="H34" s="178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95" t="s">
        <v>1100</v>
      </c>
      <c r="B35" s="73" t="s">
        <v>44</v>
      </c>
      <c r="C35" s="73" t="s">
        <v>45</v>
      </c>
      <c r="D35" s="73">
        <v>90.0</v>
      </c>
      <c r="E35" s="74">
        <v>0.6666666666666666</v>
      </c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95" t="s">
        <v>1101</v>
      </c>
      <c r="B36" s="73" t="s">
        <v>37</v>
      </c>
      <c r="C36" s="73" t="s">
        <v>38</v>
      </c>
      <c r="D36" s="73">
        <v>89.0</v>
      </c>
      <c r="E36" s="74">
        <v>0.6666666666666666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95" t="s">
        <v>1102</v>
      </c>
      <c r="B37" s="73" t="s">
        <v>84</v>
      </c>
      <c r="C37" s="73" t="s">
        <v>85</v>
      </c>
      <c r="D37" s="73">
        <v>96.0</v>
      </c>
      <c r="E37" s="74">
        <v>0.6666666666666666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133"/>
      <c r="B38" s="131"/>
      <c r="C38" s="131"/>
      <c r="D38" s="131"/>
      <c r="E38" s="136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133"/>
      <c r="B39" s="131"/>
      <c r="C39" s="131"/>
      <c r="D39" s="131"/>
      <c r="E39" s="136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133"/>
      <c r="B40" s="131"/>
      <c r="C40" s="131"/>
      <c r="D40" s="131"/>
      <c r="E40" s="136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130"/>
      <c r="B41" s="131"/>
      <c r="C41" s="131"/>
      <c r="D41" s="131"/>
      <c r="E41" s="136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133"/>
      <c r="B42" s="110"/>
      <c r="C42" s="110"/>
      <c r="D42" s="110"/>
      <c r="E42" s="111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133"/>
      <c r="B43" s="110"/>
      <c r="C43" s="110"/>
      <c r="D43" s="110"/>
      <c r="E43" s="111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133"/>
      <c r="B44" s="110"/>
      <c r="C44" s="110"/>
      <c r="D44" s="110"/>
      <c r="E44" s="111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133"/>
      <c r="B45" s="110"/>
      <c r="C45" s="110"/>
      <c r="D45" s="110"/>
      <c r="E45" s="111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133"/>
      <c r="B46" s="110"/>
      <c r="C46" s="110"/>
      <c r="D46" s="110"/>
      <c r="E46" s="111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133"/>
      <c r="B47" s="110"/>
      <c r="C47" s="110"/>
      <c r="D47" s="110"/>
      <c r="E47" s="111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133"/>
      <c r="B48" s="178"/>
      <c r="C48" s="178"/>
      <c r="D48" s="178"/>
      <c r="E48" s="178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178"/>
      <c r="B49" s="178"/>
      <c r="C49" s="178"/>
      <c r="D49" s="178"/>
      <c r="E49" s="178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178"/>
      <c r="B50" s="178"/>
      <c r="C50" s="178"/>
      <c r="D50" s="178"/>
      <c r="E50" s="178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178"/>
      <c r="B51" s="178"/>
      <c r="C51" s="178"/>
      <c r="D51" s="178"/>
      <c r="E51" s="178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178"/>
      <c r="B52" s="178"/>
      <c r="C52" s="178"/>
      <c r="D52" s="178"/>
      <c r="E52" s="178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178"/>
      <c r="B53" s="178"/>
      <c r="C53" s="178"/>
      <c r="D53" s="178"/>
      <c r="E53" s="178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178"/>
      <c r="B54" s="178"/>
      <c r="C54" s="178"/>
      <c r="D54" s="178"/>
      <c r="E54" s="178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178"/>
      <c r="B55" s="178"/>
      <c r="C55" s="178"/>
      <c r="D55" s="178"/>
      <c r="E55" s="178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178"/>
      <c r="B56" s="178"/>
      <c r="C56" s="178"/>
      <c r="D56" s="178"/>
      <c r="E56" s="178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178"/>
      <c r="B57" s="178"/>
      <c r="C57" s="178"/>
      <c r="D57" s="178"/>
      <c r="E57" s="178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178"/>
      <c r="B58" s="178"/>
      <c r="C58" s="178"/>
      <c r="D58" s="178"/>
      <c r="E58" s="178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178"/>
      <c r="B59" s="178"/>
      <c r="C59" s="178"/>
      <c r="D59" s="178"/>
      <c r="E59" s="178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178"/>
      <c r="B60" s="178"/>
      <c r="C60" s="178"/>
      <c r="D60" s="178"/>
      <c r="E60" s="178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178"/>
      <c r="B61" s="178"/>
      <c r="C61" s="178"/>
      <c r="D61" s="178"/>
      <c r="E61" s="178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178"/>
      <c r="B62" s="178"/>
      <c r="C62" s="178"/>
      <c r="D62" s="178"/>
      <c r="E62" s="178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178"/>
      <c r="B63" s="178"/>
      <c r="C63" s="178"/>
      <c r="D63" s="178"/>
      <c r="E63" s="178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178"/>
      <c r="B64" s="178"/>
      <c r="C64" s="178"/>
      <c r="D64" s="178"/>
      <c r="E64" s="178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178"/>
      <c r="B65" s="178"/>
      <c r="C65" s="178"/>
      <c r="D65" s="178"/>
      <c r="E65" s="178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178"/>
      <c r="B66" s="178"/>
      <c r="C66" s="178"/>
      <c r="D66" s="178"/>
      <c r="E66" s="178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178"/>
      <c r="B67" s="178"/>
      <c r="C67" s="178"/>
      <c r="D67" s="178"/>
      <c r="E67" s="178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178"/>
      <c r="B68" s="178"/>
      <c r="C68" s="178"/>
      <c r="D68" s="178"/>
      <c r="E68" s="178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178"/>
      <c r="B69" s="178"/>
      <c r="C69" s="178"/>
      <c r="D69" s="178"/>
      <c r="E69" s="178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178"/>
      <c r="B70" s="178"/>
      <c r="C70" s="178"/>
      <c r="D70" s="178"/>
      <c r="E70" s="178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178"/>
      <c r="B71" s="178"/>
      <c r="C71" s="178"/>
      <c r="D71" s="178"/>
      <c r="E71" s="178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178"/>
      <c r="B72" s="178"/>
      <c r="C72" s="178"/>
      <c r="D72" s="178"/>
      <c r="E72" s="178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178"/>
      <c r="B73" s="178"/>
      <c r="C73" s="178"/>
      <c r="D73" s="178"/>
      <c r="E73" s="178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178"/>
      <c r="B74" s="178"/>
      <c r="C74" s="178"/>
      <c r="D74" s="178"/>
      <c r="E74" s="178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178"/>
      <c r="B75" s="178"/>
      <c r="C75" s="178"/>
      <c r="D75" s="178"/>
      <c r="E75" s="178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178"/>
      <c r="B76" s="178"/>
      <c r="C76" s="178"/>
      <c r="D76" s="178"/>
      <c r="E76" s="178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178"/>
      <c r="B77" s="178"/>
      <c r="C77" s="178"/>
      <c r="D77" s="178"/>
      <c r="E77" s="178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178"/>
      <c r="B78" s="178"/>
      <c r="C78" s="178"/>
      <c r="D78" s="178"/>
      <c r="E78" s="178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178"/>
      <c r="B79" s="178"/>
      <c r="C79" s="178"/>
      <c r="D79" s="178"/>
      <c r="E79" s="178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178"/>
      <c r="B80" s="178"/>
      <c r="C80" s="178"/>
      <c r="D80" s="178"/>
      <c r="E80" s="178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178"/>
      <c r="B81" s="178"/>
      <c r="C81" s="178"/>
      <c r="D81" s="178"/>
      <c r="E81" s="178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178"/>
      <c r="B82" s="178"/>
      <c r="C82" s="178"/>
      <c r="D82" s="178"/>
      <c r="E82" s="178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178"/>
      <c r="B83" s="178"/>
      <c r="C83" s="178"/>
      <c r="D83" s="178"/>
      <c r="E83" s="178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178"/>
      <c r="B84" s="178"/>
      <c r="C84" s="178"/>
      <c r="D84" s="178"/>
      <c r="E84" s="178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178"/>
      <c r="B85" s="178"/>
      <c r="C85" s="178"/>
      <c r="D85" s="178"/>
      <c r="E85" s="178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178"/>
      <c r="B86" s="178"/>
      <c r="C86" s="178"/>
      <c r="D86" s="178"/>
      <c r="E86" s="178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178"/>
      <c r="B87" s="178"/>
      <c r="C87" s="178"/>
      <c r="D87" s="178"/>
      <c r="E87" s="178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178"/>
      <c r="B88" s="178"/>
      <c r="C88" s="178"/>
      <c r="D88" s="178"/>
      <c r="E88" s="178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178"/>
      <c r="B89" s="178"/>
      <c r="C89" s="178"/>
      <c r="D89" s="178"/>
      <c r="E89" s="178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178"/>
      <c r="B90" s="178"/>
      <c r="C90" s="178"/>
      <c r="D90" s="178"/>
      <c r="E90" s="178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178"/>
      <c r="B91" s="178"/>
      <c r="C91" s="178"/>
      <c r="D91" s="178"/>
      <c r="E91" s="178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178"/>
      <c r="B92" s="178"/>
      <c r="C92" s="178"/>
      <c r="D92" s="178"/>
      <c r="E92" s="178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178"/>
      <c r="B93" s="178"/>
      <c r="C93" s="178"/>
      <c r="D93" s="178"/>
      <c r="E93" s="178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178"/>
      <c r="B94" s="178"/>
      <c r="C94" s="178"/>
      <c r="D94" s="178"/>
      <c r="E94" s="178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178"/>
      <c r="B95" s="178"/>
      <c r="C95" s="178"/>
      <c r="D95" s="178"/>
      <c r="E95" s="178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178"/>
      <c r="B96" s="178"/>
      <c r="C96" s="178"/>
      <c r="D96" s="178"/>
      <c r="E96" s="178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178"/>
      <c r="B97" s="178"/>
      <c r="C97" s="178"/>
      <c r="D97" s="178"/>
      <c r="E97" s="178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178"/>
      <c r="B98" s="178"/>
      <c r="C98" s="178"/>
      <c r="D98" s="178"/>
      <c r="E98" s="178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178"/>
      <c r="B99" s="178"/>
      <c r="C99" s="178"/>
      <c r="D99" s="178"/>
      <c r="E99" s="178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178"/>
      <c r="B100" s="178"/>
      <c r="C100" s="178"/>
      <c r="D100" s="178"/>
      <c r="E100" s="178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178"/>
      <c r="B101" s="178"/>
      <c r="C101" s="178"/>
      <c r="D101" s="178"/>
      <c r="E101" s="178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178"/>
      <c r="B102" s="178"/>
      <c r="C102" s="178"/>
      <c r="D102" s="178"/>
      <c r="E102" s="178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178"/>
      <c r="B103" s="178"/>
      <c r="C103" s="178"/>
      <c r="D103" s="178"/>
      <c r="E103" s="178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178"/>
      <c r="B104" s="178"/>
      <c r="C104" s="178"/>
      <c r="D104" s="178"/>
      <c r="E104" s="178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178"/>
      <c r="B105" s="178"/>
      <c r="C105" s="178"/>
      <c r="D105" s="178"/>
      <c r="E105" s="178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178"/>
      <c r="B106" s="178"/>
      <c r="C106" s="178"/>
      <c r="D106" s="178"/>
      <c r="E106" s="178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178"/>
      <c r="B107" s="178"/>
      <c r="C107" s="178"/>
      <c r="D107" s="178"/>
      <c r="E107" s="178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178"/>
      <c r="B108" s="178"/>
      <c r="C108" s="178"/>
      <c r="D108" s="178"/>
      <c r="E108" s="178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178"/>
      <c r="B109" s="178"/>
      <c r="C109" s="178"/>
      <c r="D109" s="178"/>
      <c r="E109" s="178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178"/>
      <c r="B110" s="178"/>
      <c r="C110" s="178"/>
      <c r="D110" s="178"/>
      <c r="E110" s="178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178"/>
      <c r="B111" s="178"/>
      <c r="C111" s="178"/>
      <c r="D111" s="178"/>
      <c r="E111" s="178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178"/>
      <c r="B112" s="178"/>
      <c r="C112" s="178"/>
      <c r="D112" s="178"/>
      <c r="E112" s="178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178"/>
      <c r="B113" s="178"/>
      <c r="C113" s="178"/>
      <c r="D113" s="178"/>
      <c r="E113" s="178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178"/>
      <c r="B114" s="178"/>
      <c r="C114" s="178"/>
      <c r="D114" s="178"/>
      <c r="E114" s="178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178"/>
      <c r="B115" s="178"/>
      <c r="C115" s="178"/>
      <c r="D115" s="178"/>
      <c r="E115" s="178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178"/>
      <c r="B116" s="178"/>
      <c r="C116" s="178"/>
      <c r="D116" s="178"/>
      <c r="E116" s="178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178"/>
      <c r="B117" s="178"/>
      <c r="C117" s="178"/>
      <c r="D117" s="178"/>
      <c r="E117" s="178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178"/>
      <c r="B118" s="178"/>
      <c r="C118" s="178"/>
      <c r="D118" s="178"/>
      <c r="E118" s="178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178"/>
      <c r="B119" s="178"/>
      <c r="C119" s="178"/>
      <c r="D119" s="178"/>
      <c r="E119" s="178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178"/>
      <c r="B120" s="178"/>
      <c r="C120" s="178"/>
      <c r="D120" s="178"/>
      <c r="E120" s="178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178"/>
      <c r="B121" s="178"/>
      <c r="C121" s="178"/>
      <c r="D121" s="178"/>
      <c r="E121" s="178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178"/>
      <c r="B122" s="178"/>
      <c r="C122" s="178"/>
      <c r="D122" s="178"/>
      <c r="E122" s="178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178"/>
      <c r="B123" s="178"/>
      <c r="C123" s="178"/>
      <c r="D123" s="178"/>
      <c r="E123" s="178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178"/>
      <c r="B124" s="178"/>
      <c r="C124" s="178"/>
      <c r="D124" s="178"/>
      <c r="E124" s="178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178"/>
      <c r="B125" s="178"/>
      <c r="C125" s="178"/>
      <c r="D125" s="178"/>
      <c r="E125" s="178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178"/>
      <c r="B126" s="178"/>
      <c r="C126" s="178"/>
      <c r="D126" s="178"/>
      <c r="E126" s="178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178"/>
      <c r="B127" s="178"/>
      <c r="C127" s="178"/>
      <c r="D127" s="178"/>
      <c r="E127" s="178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178"/>
      <c r="B128" s="178"/>
      <c r="C128" s="178"/>
      <c r="D128" s="178"/>
      <c r="E128" s="178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178"/>
      <c r="B129" s="178"/>
      <c r="C129" s="178"/>
      <c r="D129" s="178"/>
      <c r="E129" s="178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178"/>
      <c r="B130" s="178"/>
      <c r="C130" s="178"/>
      <c r="D130" s="178"/>
      <c r="E130" s="178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178"/>
      <c r="B131" s="178"/>
      <c r="C131" s="178"/>
      <c r="D131" s="178"/>
      <c r="E131" s="178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178"/>
      <c r="B132" s="178"/>
      <c r="C132" s="178"/>
      <c r="D132" s="178"/>
      <c r="E132" s="178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178"/>
      <c r="B133" s="178"/>
      <c r="C133" s="178"/>
      <c r="D133" s="178"/>
      <c r="E133" s="178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178"/>
      <c r="B134" s="178"/>
      <c r="C134" s="178"/>
      <c r="D134" s="178"/>
      <c r="E134" s="178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178"/>
      <c r="B135" s="178"/>
      <c r="C135" s="178"/>
      <c r="D135" s="178"/>
      <c r="E135" s="178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178"/>
      <c r="B136" s="178"/>
      <c r="C136" s="178"/>
      <c r="D136" s="178"/>
      <c r="E136" s="178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178"/>
      <c r="B137" s="178"/>
      <c r="C137" s="178"/>
      <c r="D137" s="178"/>
      <c r="E137" s="178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178"/>
      <c r="B138" s="178"/>
      <c r="C138" s="178"/>
      <c r="D138" s="178"/>
      <c r="E138" s="178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178"/>
      <c r="B139" s="178"/>
      <c r="C139" s="178"/>
      <c r="D139" s="178"/>
      <c r="E139" s="178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178"/>
      <c r="B140" s="178"/>
      <c r="C140" s="178"/>
      <c r="D140" s="178"/>
      <c r="E140" s="178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178"/>
      <c r="B141" s="178"/>
      <c r="C141" s="178"/>
      <c r="D141" s="178"/>
      <c r="E141" s="178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178"/>
      <c r="B142" s="178"/>
      <c r="C142" s="178"/>
      <c r="D142" s="178"/>
      <c r="E142" s="178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178"/>
      <c r="B143" s="178"/>
      <c r="C143" s="178"/>
      <c r="D143" s="178"/>
      <c r="E143" s="178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178"/>
      <c r="B144" s="178"/>
      <c r="C144" s="178"/>
      <c r="D144" s="178"/>
      <c r="E144" s="178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178"/>
      <c r="B145" s="178"/>
      <c r="C145" s="178"/>
      <c r="D145" s="178"/>
      <c r="E145" s="178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178"/>
      <c r="B146" s="178"/>
      <c r="C146" s="178"/>
      <c r="D146" s="178"/>
      <c r="E146" s="178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178"/>
      <c r="B147" s="178"/>
      <c r="C147" s="178"/>
      <c r="D147" s="178"/>
      <c r="E147" s="178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178"/>
      <c r="B148" s="178"/>
      <c r="C148" s="178"/>
      <c r="D148" s="178"/>
      <c r="E148" s="178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178"/>
      <c r="B149" s="178"/>
      <c r="C149" s="178"/>
      <c r="D149" s="178"/>
      <c r="E149" s="178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178"/>
      <c r="B150" s="178"/>
      <c r="C150" s="178"/>
      <c r="D150" s="178"/>
      <c r="E150" s="178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178"/>
      <c r="B151" s="178"/>
      <c r="C151" s="178"/>
      <c r="D151" s="178"/>
      <c r="E151" s="178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178"/>
      <c r="B152" s="178"/>
      <c r="C152" s="178"/>
      <c r="D152" s="178"/>
      <c r="E152" s="178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178"/>
      <c r="B153" s="178"/>
      <c r="C153" s="178"/>
      <c r="D153" s="178"/>
      <c r="E153" s="178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178"/>
      <c r="B154" s="178"/>
      <c r="C154" s="178"/>
      <c r="D154" s="178"/>
      <c r="E154" s="178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178"/>
      <c r="B155" s="178"/>
      <c r="C155" s="178"/>
      <c r="D155" s="178"/>
      <c r="E155" s="178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178"/>
      <c r="B156" s="178"/>
      <c r="C156" s="178"/>
      <c r="D156" s="178"/>
      <c r="E156" s="178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178"/>
      <c r="B157" s="178"/>
      <c r="C157" s="178"/>
      <c r="D157" s="178"/>
      <c r="E157" s="178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178"/>
      <c r="B158" s="178"/>
      <c r="C158" s="178"/>
      <c r="D158" s="178"/>
      <c r="E158" s="178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178"/>
      <c r="B159" s="178"/>
      <c r="C159" s="178"/>
      <c r="D159" s="178"/>
      <c r="E159" s="178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178"/>
      <c r="B160" s="178"/>
      <c r="C160" s="178"/>
      <c r="D160" s="178"/>
      <c r="E160" s="178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178"/>
      <c r="B161" s="178"/>
      <c r="C161" s="178"/>
      <c r="D161" s="178"/>
      <c r="E161" s="178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178"/>
      <c r="B162" s="178"/>
      <c r="C162" s="178"/>
      <c r="D162" s="178"/>
      <c r="E162" s="178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178"/>
      <c r="B163" s="178"/>
      <c r="C163" s="178"/>
      <c r="D163" s="178"/>
      <c r="E163" s="178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178"/>
      <c r="B164" s="178"/>
      <c r="C164" s="178"/>
      <c r="D164" s="178"/>
      <c r="E164" s="178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178"/>
      <c r="B165" s="178"/>
      <c r="C165" s="178"/>
      <c r="D165" s="178"/>
      <c r="E165" s="178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178"/>
      <c r="B166" s="178"/>
      <c r="C166" s="178"/>
      <c r="D166" s="178"/>
      <c r="E166" s="178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178"/>
      <c r="B167" s="178"/>
      <c r="C167" s="178"/>
      <c r="D167" s="178"/>
      <c r="E167" s="178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178"/>
      <c r="B168" s="178"/>
      <c r="C168" s="178"/>
      <c r="D168" s="178"/>
      <c r="E168" s="178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178"/>
      <c r="B169" s="178"/>
      <c r="C169" s="178"/>
      <c r="D169" s="178"/>
      <c r="E169" s="178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178"/>
      <c r="B170" s="178"/>
      <c r="C170" s="178"/>
      <c r="D170" s="178"/>
      <c r="E170" s="178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178"/>
      <c r="B171" s="178"/>
      <c r="C171" s="178"/>
      <c r="D171" s="178"/>
      <c r="E171" s="178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178"/>
      <c r="B172" s="178"/>
      <c r="C172" s="178"/>
      <c r="D172" s="178"/>
      <c r="E172" s="178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178"/>
      <c r="B173" s="178"/>
      <c r="C173" s="178"/>
      <c r="D173" s="178"/>
      <c r="E173" s="178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178"/>
      <c r="B174" s="178"/>
      <c r="C174" s="178"/>
      <c r="D174" s="178"/>
      <c r="E174" s="178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178"/>
      <c r="B175" s="178"/>
      <c r="C175" s="178"/>
      <c r="D175" s="178"/>
      <c r="E175" s="178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178"/>
      <c r="B176" s="178"/>
      <c r="C176" s="178"/>
      <c r="D176" s="178"/>
      <c r="E176" s="178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178"/>
      <c r="B177" s="178"/>
      <c r="C177" s="178"/>
      <c r="D177" s="178"/>
      <c r="E177" s="178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178"/>
      <c r="B178" s="178"/>
      <c r="C178" s="178"/>
      <c r="D178" s="178"/>
      <c r="E178" s="178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178"/>
      <c r="B179" s="178"/>
      <c r="C179" s="178"/>
      <c r="D179" s="178"/>
      <c r="E179" s="178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178"/>
      <c r="B180" s="178"/>
      <c r="C180" s="178"/>
      <c r="D180" s="178"/>
      <c r="E180" s="178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178"/>
      <c r="B181" s="178"/>
      <c r="C181" s="178"/>
      <c r="D181" s="178"/>
      <c r="E181" s="178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178"/>
      <c r="B182" s="178"/>
      <c r="C182" s="178"/>
      <c r="D182" s="178"/>
      <c r="E182" s="178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178"/>
      <c r="B183" s="178"/>
      <c r="C183" s="178"/>
      <c r="D183" s="178"/>
      <c r="E183" s="178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178"/>
      <c r="B184" s="178"/>
      <c r="C184" s="178"/>
      <c r="D184" s="178"/>
      <c r="E184" s="178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178"/>
      <c r="B185" s="178"/>
      <c r="C185" s="178"/>
      <c r="D185" s="178"/>
      <c r="E185" s="178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178"/>
      <c r="B186" s="178"/>
      <c r="C186" s="178"/>
      <c r="D186" s="178"/>
      <c r="E186" s="178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178"/>
      <c r="B187" s="178"/>
      <c r="C187" s="178"/>
      <c r="D187" s="178"/>
      <c r="E187" s="178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178"/>
      <c r="B188" s="178"/>
      <c r="C188" s="178"/>
      <c r="D188" s="178"/>
      <c r="E188" s="178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178"/>
      <c r="B189" s="178"/>
      <c r="C189" s="178"/>
      <c r="D189" s="178"/>
      <c r="E189" s="178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178"/>
      <c r="B190" s="178"/>
      <c r="C190" s="178"/>
      <c r="D190" s="178"/>
      <c r="E190" s="178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178"/>
      <c r="B191" s="178"/>
      <c r="C191" s="178"/>
      <c r="D191" s="178"/>
      <c r="E191" s="178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178"/>
      <c r="B192" s="178"/>
      <c r="C192" s="178"/>
      <c r="D192" s="178"/>
      <c r="E192" s="178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178"/>
      <c r="B193" s="178"/>
      <c r="C193" s="178"/>
      <c r="D193" s="178"/>
      <c r="E193" s="178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178"/>
      <c r="B194" s="178"/>
      <c r="C194" s="178"/>
      <c r="D194" s="178"/>
      <c r="E194" s="178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178"/>
      <c r="B195" s="178"/>
      <c r="C195" s="178"/>
      <c r="D195" s="178"/>
      <c r="E195" s="178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178"/>
      <c r="B196" s="178"/>
      <c r="C196" s="178"/>
      <c r="D196" s="178"/>
      <c r="E196" s="178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178"/>
      <c r="B197" s="178"/>
      <c r="C197" s="178"/>
      <c r="D197" s="178"/>
      <c r="E197" s="178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178"/>
      <c r="B198" s="178"/>
      <c r="C198" s="178"/>
      <c r="D198" s="178"/>
      <c r="E198" s="178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178"/>
      <c r="B199" s="178"/>
      <c r="C199" s="178"/>
      <c r="D199" s="178"/>
      <c r="E199" s="178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178"/>
      <c r="B200" s="178"/>
      <c r="C200" s="178"/>
      <c r="D200" s="178"/>
      <c r="E200" s="178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178"/>
      <c r="B201" s="178"/>
      <c r="C201" s="178"/>
      <c r="D201" s="178"/>
      <c r="E201" s="178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178"/>
      <c r="B202" s="178"/>
      <c r="C202" s="178"/>
      <c r="D202" s="178"/>
      <c r="E202" s="178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178"/>
      <c r="B203" s="178"/>
      <c r="C203" s="178"/>
      <c r="D203" s="178"/>
      <c r="E203" s="178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178"/>
      <c r="B204" s="178"/>
      <c r="C204" s="178"/>
      <c r="D204" s="178"/>
      <c r="E204" s="178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178"/>
      <c r="B205" s="178"/>
      <c r="C205" s="178"/>
      <c r="D205" s="178"/>
      <c r="E205" s="178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178"/>
      <c r="B206" s="178"/>
      <c r="C206" s="178"/>
      <c r="D206" s="178"/>
      <c r="E206" s="178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178"/>
      <c r="B207" s="178"/>
      <c r="C207" s="178"/>
      <c r="D207" s="178"/>
      <c r="E207" s="178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178"/>
      <c r="B208" s="178"/>
      <c r="C208" s="178"/>
      <c r="D208" s="178"/>
      <c r="E208" s="178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178"/>
      <c r="B209" s="178"/>
      <c r="C209" s="178"/>
      <c r="D209" s="178"/>
      <c r="E209" s="178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178"/>
      <c r="B210" s="178"/>
      <c r="C210" s="178"/>
      <c r="D210" s="178"/>
      <c r="E210" s="178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178"/>
      <c r="B211" s="178"/>
      <c r="C211" s="178"/>
      <c r="D211" s="178"/>
      <c r="E211" s="178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178"/>
      <c r="B212" s="178"/>
      <c r="C212" s="178"/>
      <c r="D212" s="178"/>
      <c r="E212" s="178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178"/>
      <c r="B213" s="178"/>
      <c r="C213" s="178"/>
      <c r="D213" s="178"/>
      <c r="E213" s="178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178"/>
      <c r="B214" s="178"/>
      <c r="C214" s="178"/>
      <c r="D214" s="178"/>
      <c r="E214" s="178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178"/>
      <c r="B215" s="178"/>
      <c r="C215" s="178"/>
      <c r="D215" s="178"/>
      <c r="E215" s="178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178"/>
      <c r="B216" s="178"/>
      <c r="C216" s="178"/>
      <c r="D216" s="178"/>
      <c r="E216" s="178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178"/>
      <c r="B217" s="178"/>
      <c r="C217" s="178"/>
      <c r="D217" s="178"/>
      <c r="E217" s="178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178"/>
      <c r="B218" s="178"/>
      <c r="C218" s="178"/>
      <c r="D218" s="178"/>
      <c r="E218" s="178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178"/>
      <c r="B219" s="178"/>
      <c r="C219" s="178"/>
      <c r="D219" s="178"/>
      <c r="E219" s="178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178"/>
      <c r="B220" s="178"/>
      <c r="C220" s="178"/>
      <c r="D220" s="178"/>
      <c r="E220" s="178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178"/>
      <c r="B221" s="178"/>
      <c r="C221" s="178"/>
      <c r="D221" s="178"/>
      <c r="E221" s="178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178"/>
      <c r="B222" s="178"/>
      <c r="C222" s="178"/>
      <c r="D222" s="178"/>
      <c r="E222" s="178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178"/>
      <c r="B223" s="178"/>
      <c r="C223" s="178"/>
      <c r="D223" s="178"/>
      <c r="E223" s="178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178"/>
      <c r="B224" s="178"/>
      <c r="C224" s="178"/>
      <c r="D224" s="178"/>
      <c r="E224" s="178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178"/>
      <c r="B225" s="178"/>
      <c r="C225" s="178"/>
      <c r="D225" s="178"/>
      <c r="E225" s="178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178"/>
      <c r="B226" s="178"/>
      <c r="C226" s="178"/>
      <c r="D226" s="178"/>
      <c r="E226" s="178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178"/>
      <c r="B227" s="178"/>
      <c r="C227" s="178"/>
      <c r="D227" s="178"/>
      <c r="E227" s="178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178"/>
      <c r="B228" s="178"/>
      <c r="C228" s="178"/>
      <c r="D228" s="178"/>
      <c r="E228" s="178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178"/>
      <c r="B229" s="178"/>
      <c r="C229" s="178"/>
      <c r="D229" s="178"/>
      <c r="E229" s="178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178"/>
      <c r="B230" s="178"/>
      <c r="C230" s="178"/>
      <c r="D230" s="178"/>
      <c r="E230" s="178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178"/>
      <c r="B231" s="178"/>
      <c r="C231" s="178"/>
      <c r="D231" s="178"/>
      <c r="E231" s="178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178"/>
      <c r="B232" s="178"/>
      <c r="C232" s="178"/>
      <c r="D232" s="178"/>
      <c r="E232" s="178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178"/>
      <c r="B233" s="178"/>
      <c r="C233" s="178"/>
      <c r="D233" s="178"/>
      <c r="E233" s="178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178"/>
      <c r="B234" s="178"/>
      <c r="C234" s="178"/>
      <c r="D234" s="178"/>
      <c r="E234" s="178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178"/>
      <c r="B235" s="178"/>
      <c r="C235" s="178"/>
      <c r="D235" s="178"/>
      <c r="E235" s="178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178"/>
      <c r="B236" s="178"/>
      <c r="C236" s="178"/>
      <c r="D236" s="178"/>
      <c r="E236" s="178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178"/>
      <c r="B237" s="178"/>
      <c r="C237" s="178"/>
      <c r="D237" s="178"/>
      <c r="E237" s="178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178"/>
      <c r="B238" s="178"/>
      <c r="C238" s="178"/>
      <c r="D238" s="178"/>
      <c r="E238" s="178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178"/>
      <c r="B239" s="178"/>
      <c r="C239" s="178"/>
      <c r="D239" s="178"/>
      <c r="E239" s="178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178"/>
      <c r="B240" s="178"/>
      <c r="C240" s="178"/>
      <c r="D240" s="178"/>
      <c r="E240" s="178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178"/>
      <c r="B241" s="178"/>
      <c r="C241" s="178"/>
      <c r="D241" s="178"/>
      <c r="E241" s="178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178"/>
      <c r="B242" s="178"/>
      <c r="C242" s="178"/>
      <c r="D242" s="178"/>
      <c r="E242" s="178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178"/>
      <c r="B243" s="178"/>
      <c r="C243" s="178"/>
      <c r="D243" s="178"/>
      <c r="E243" s="178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178"/>
      <c r="B244" s="178"/>
      <c r="C244" s="178"/>
      <c r="D244" s="178"/>
      <c r="E244" s="178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178"/>
      <c r="B245" s="178"/>
      <c r="C245" s="178"/>
      <c r="D245" s="178"/>
      <c r="E245" s="178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178"/>
      <c r="B246" s="178"/>
      <c r="C246" s="178"/>
      <c r="D246" s="178"/>
      <c r="E246" s="178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178"/>
      <c r="B247" s="178"/>
      <c r="C247" s="178"/>
      <c r="D247" s="178"/>
      <c r="E247" s="178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178"/>
      <c r="B248" s="178"/>
      <c r="C248" s="178"/>
      <c r="D248" s="178"/>
      <c r="E248" s="178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178"/>
      <c r="B249" s="178"/>
      <c r="C249" s="178"/>
      <c r="D249" s="178"/>
      <c r="E249" s="178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178"/>
      <c r="B250" s="178"/>
      <c r="C250" s="178"/>
      <c r="D250" s="178"/>
      <c r="E250" s="178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178"/>
      <c r="B251" s="178"/>
      <c r="C251" s="178"/>
      <c r="D251" s="178"/>
      <c r="E251" s="178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178"/>
      <c r="B252" s="178"/>
      <c r="C252" s="178"/>
      <c r="D252" s="178"/>
      <c r="E252" s="178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178"/>
      <c r="B253" s="178"/>
      <c r="C253" s="178"/>
      <c r="D253" s="178"/>
      <c r="E253" s="178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178"/>
      <c r="B254" s="178"/>
      <c r="C254" s="178"/>
      <c r="D254" s="178"/>
      <c r="E254" s="178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178"/>
      <c r="B255" s="178"/>
      <c r="C255" s="178"/>
      <c r="D255" s="178"/>
      <c r="E255" s="178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178"/>
      <c r="B256" s="178"/>
      <c r="C256" s="178"/>
      <c r="D256" s="178"/>
      <c r="E256" s="178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178"/>
      <c r="B257" s="178"/>
      <c r="C257" s="178"/>
      <c r="D257" s="178"/>
      <c r="E257" s="178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178"/>
      <c r="B258" s="178"/>
      <c r="C258" s="178"/>
      <c r="D258" s="178"/>
      <c r="E258" s="178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178"/>
      <c r="B259" s="178"/>
      <c r="C259" s="178"/>
      <c r="D259" s="178"/>
      <c r="E259" s="178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178"/>
      <c r="B260" s="178"/>
      <c r="C260" s="178"/>
      <c r="D260" s="178"/>
      <c r="E260" s="178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178"/>
      <c r="B261" s="178"/>
      <c r="C261" s="178"/>
      <c r="D261" s="178"/>
      <c r="E261" s="178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178"/>
      <c r="B262" s="178"/>
      <c r="C262" s="178"/>
      <c r="D262" s="178"/>
      <c r="E262" s="178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178"/>
      <c r="B263" s="178"/>
      <c r="C263" s="178"/>
      <c r="D263" s="178"/>
      <c r="E263" s="178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178"/>
      <c r="B264" s="178"/>
      <c r="C264" s="178"/>
      <c r="D264" s="178"/>
      <c r="E264" s="178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178"/>
      <c r="B265" s="178"/>
      <c r="C265" s="178"/>
      <c r="D265" s="178"/>
      <c r="E265" s="178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178"/>
      <c r="B266" s="178"/>
      <c r="C266" s="178"/>
      <c r="D266" s="178"/>
      <c r="E266" s="178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178"/>
      <c r="B267" s="178"/>
      <c r="C267" s="178"/>
      <c r="D267" s="178"/>
      <c r="E267" s="178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178"/>
      <c r="B268" s="178"/>
      <c r="C268" s="178"/>
      <c r="D268" s="178"/>
      <c r="E268" s="178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178"/>
      <c r="B269" s="178"/>
      <c r="C269" s="178"/>
      <c r="D269" s="178"/>
      <c r="E269" s="178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178"/>
      <c r="B270" s="178"/>
      <c r="C270" s="178"/>
      <c r="D270" s="178"/>
      <c r="E270" s="178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178"/>
      <c r="B271" s="178"/>
      <c r="C271" s="178"/>
      <c r="D271" s="178"/>
      <c r="E271" s="178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178"/>
      <c r="B272" s="178"/>
      <c r="C272" s="178"/>
      <c r="D272" s="178"/>
      <c r="E272" s="178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178"/>
      <c r="B273" s="178"/>
      <c r="C273" s="178"/>
      <c r="D273" s="178"/>
      <c r="E273" s="178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178"/>
      <c r="B274" s="178"/>
      <c r="C274" s="178"/>
      <c r="D274" s="178"/>
      <c r="E274" s="178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178"/>
      <c r="B275" s="178"/>
      <c r="C275" s="178"/>
      <c r="D275" s="178"/>
      <c r="E275" s="178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178"/>
      <c r="B276" s="178"/>
      <c r="C276" s="178"/>
      <c r="D276" s="178"/>
      <c r="E276" s="178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178"/>
      <c r="B277" s="178"/>
      <c r="C277" s="178"/>
      <c r="D277" s="178"/>
      <c r="E277" s="178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178"/>
      <c r="B278" s="178"/>
      <c r="C278" s="178"/>
      <c r="D278" s="178"/>
      <c r="E278" s="178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178"/>
      <c r="B279" s="178"/>
      <c r="C279" s="178"/>
      <c r="D279" s="178"/>
      <c r="E279" s="178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178"/>
      <c r="B280" s="178"/>
      <c r="C280" s="178"/>
      <c r="D280" s="178"/>
      <c r="E280" s="178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178"/>
      <c r="B281" s="178"/>
      <c r="C281" s="178"/>
      <c r="D281" s="178"/>
      <c r="E281" s="178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178"/>
      <c r="B282" s="178"/>
      <c r="C282" s="178"/>
      <c r="D282" s="178"/>
      <c r="E282" s="178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178"/>
      <c r="B283" s="178"/>
      <c r="C283" s="178"/>
      <c r="D283" s="178"/>
      <c r="E283" s="178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178"/>
      <c r="B284" s="178"/>
      <c r="C284" s="178"/>
      <c r="D284" s="178"/>
      <c r="E284" s="178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178"/>
      <c r="B285" s="178"/>
      <c r="C285" s="178"/>
      <c r="D285" s="178"/>
      <c r="E285" s="178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178"/>
      <c r="B286" s="178"/>
      <c r="C286" s="178"/>
      <c r="D286" s="178"/>
      <c r="E286" s="178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178"/>
      <c r="B287" s="178"/>
      <c r="C287" s="178"/>
      <c r="D287" s="178"/>
      <c r="E287" s="178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178"/>
      <c r="B288" s="178"/>
      <c r="C288" s="178"/>
      <c r="D288" s="178"/>
      <c r="E288" s="178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178"/>
      <c r="B289" s="178"/>
      <c r="C289" s="178"/>
      <c r="D289" s="178"/>
      <c r="E289" s="178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178"/>
      <c r="B290" s="178"/>
      <c r="C290" s="178"/>
      <c r="D290" s="178"/>
      <c r="E290" s="178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178"/>
      <c r="B291" s="178"/>
      <c r="C291" s="178"/>
      <c r="D291" s="178"/>
      <c r="E291" s="178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178"/>
      <c r="B292" s="178"/>
      <c r="C292" s="178"/>
      <c r="D292" s="178"/>
      <c r="E292" s="178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178"/>
      <c r="B293" s="178"/>
      <c r="C293" s="178"/>
      <c r="D293" s="178"/>
      <c r="E293" s="178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178"/>
      <c r="B294" s="178"/>
      <c r="C294" s="178"/>
      <c r="D294" s="178"/>
      <c r="E294" s="178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178"/>
      <c r="B295" s="178"/>
      <c r="C295" s="178"/>
      <c r="D295" s="178"/>
      <c r="E295" s="178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178"/>
      <c r="B296" s="178"/>
      <c r="C296" s="178"/>
      <c r="D296" s="178"/>
      <c r="E296" s="178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178"/>
      <c r="B297" s="178"/>
      <c r="C297" s="178"/>
      <c r="D297" s="178"/>
      <c r="E297" s="178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178"/>
      <c r="B298" s="178"/>
      <c r="C298" s="178"/>
      <c r="D298" s="178"/>
      <c r="E298" s="178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178"/>
      <c r="B299" s="178"/>
      <c r="C299" s="178"/>
      <c r="D299" s="178"/>
      <c r="E299" s="178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178"/>
      <c r="B300" s="178"/>
      <c r="C300" s="178"/>
      <c r="D300" s="178"/>
      <c r="E300" s="178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178"/>
      <c r="B301" s="178"/>
      <c r="C301" s="178"/>
      <c r="D301" s="178"/>
      <c r="E301" s="178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178"/>
      <c r="B302" s="178"/>
      <c r="C302" s="178"/>
      <c r="D302" s="178"/>
      <c r="E302" s="178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178"/>
      <c r="B303" s="178"/>
      <c r="C303" s="178"/>
      <c r="D303" s="178"/>
      <c r="E303" s="178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178"/>
      <c r="B304" s="178"/>
      <c r="C304" s="178"/>
      <c r="D304" s="178"/>
      <c r="E304" s="178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178"/>
      <c r="B305" s="178"/>
      <c r="C305" s="178"/>
      <c r="D305" s="178"/>
      <c r="E305" s="178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178"/>
      <c r="B306" s="178"/>
      <c r="C306" s="178"/>
      <c r="D306" s="178"/>
      <c r="E306" s="178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178"/>
      <c r="B307" s="178"/>
      <c r="C307" s="178"/>
      <c r="D307" s="178"/>
      <c r="E307" s="178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178"/>
      <c r="B308" s="178"/>
      <c r="C308" s="178"/>
      <c r="D308" s="178"/>
      <c r="E308" s="178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178"/>
      <c r="B309" s="178"/>
      <c r="C309" s="178"/>
      <c r="D309" s="178"/>
      <c r="E309" s="178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178"/>
      <c r="B310" s="178"/>
      <c r="C310" s="178"/>
      <c r="D310" s="178"/>
      <c r="E310" s="178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178"/>
      <c r="B311" s="178"/>
      <c r="C311" s="178"/>
      <c r="D311" s="178"/>
      <c r="E311" s="178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178"/>
      <c r="B312" s="178"/>
      <c r="C312" s="178"/>
      <c r="D312" s="178"/>
      <c r="E312" s="178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178"/>
      <c r="B313" s="178"/>
      <c r="C313" s="178"/>
      <c r="D313" s="178"/>
      <c r="E313" s="178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178"/>
      <c r="B314" s="178"/>
      <c r="C314" s="178"/>
      <c r="D314" s="178"/>
      <c r="E314" s="178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178"/>
      <c r="B315" s="178"/>
      <c r="C315" s="178"/>
      <c r="D315" s="178"/>
      <c r="E315" s="178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178"/>
      <c r="B316" s="178"/>
      <c r="C316" s="178"/>
      <c r="D316" s="178"/>
      <c r="E316" s="178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178"/>
      <c r="B317" s="178"/>
      <c r="C317" s="178"/>
      <c r="D317" s="178"/>
      <c r="E317" s="178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178"/>
      <c r="B318" s="178"/>
      <c r="C318" s="178"/>
      <c r="D318" s="178"/>
      <c r="E318" s="178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178"/>
      <c r="B319" s="178"/>
      <c r="C319" s="178"/>
      <c r="D319" s="178"/>
      <c r="E319" s="178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178"/>
      <c r="B320" s="178"/>
      <c r="C320" s="178"/>
      <c r="D320" s="178"/>
      <c r="E320" s="178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178"/>
      <c r="B321" s="178"/>
      <c r="C321" s="178"/>
      <c r="D321" s="178"/>
      <c r="E321" s="178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178"/>
      <c r="B322" s="178"/>
      <c r="C322" s="178"/>
      <c r="D322" s="178"/>
      <c r="E322" s="178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178"/>
      <c r="B323" s="178"/>
      <c r="C323" s="178"/>
      <c r="D323" s="178"/>
      <c r="E323" s="178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178"/>
      <c r="B324" s="178"/>
      <c r="C324" s="178"/>
      <c r="D324" s="178"/>
      <c r="E324" s="178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178"/>
      <c r="B325" s="178"/>
      <c r="C325" s="178"/>
      <c r="D325" s="178"/>
      <c r="E325" s="178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178"/>
      <c r="B326" s="178"/>
      <c r="C326" s="178"/>
      <c r="D326" s="178"/>
      <c r="E326" s="178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178"/>
      <c r="B327" s="178"/>
      <c r="C327" s="178"/>
      <c r="D327" s="178"/>
      <c r="E327" s="178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178"/>
      <c r="B328" s="178"/>
      <c r="C328" s="178"/>
      <c r="D328" s="178"/>
      <c r="E328" s="178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178"/>
      <c r="B329" s="178"/>
      <c r="C329" s="178"/>
      <c r="D329" s="178"/>
      <c r="E329" s="178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178"/>
      <c r="B330" s="178"/>
      <c r="C330" s="178"/>
      <c r="D330" s="178"/>
      <c r="E330" s="178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178"/>
      <c r="B331" s="178"/>
      <c r="C331" s="178"/>
      <c r="D331" s="178"/>
      <c r="E331" s="178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178"/>
      <c r="B332" s="178"/>
      <c r="C332" s="178"/>
      <c r="D332" s="178"/>
      <c r="E332" s="178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178"/>
      <c r="B333" s="178"/>
      <c r="C333" s="178"/>
      <c r="D333" s="178"/>
      <c r="E333" s="178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178"/>
      <c r="B334" s="178"/>
      <c r="C334" s="178"/>
      <c r="D334" s="178"/>
      <c r="E334" s="178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178"/>
      <c r="B335" s="178"/>
      <c r="C335" s="178"/>
      <c r="D335" s="178"/>
      <c r="E335" s="178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178"/>
      <c r="B336" s="178"/>
      <c r="C336" s="178"/>
      <c r="D336" s="178"/>
      <c r="E336" s="178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178"/>
      <c r="B337" s="178"/>
      <c r="C337" s="178"/>
      <c r="D337" s="178"/>
      <c r="E337" s="178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178"/>
      <c r="B338" s="178"/>
      <c r="C338" s="178"/>
      <c r="D338" s="178"/>
      <c r="E338" s="178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178"/>
      <c r="B339" s="178"/>
      <c r="C339" s="178"/>
      <c r="D339" s="178"/>
      <c r="E339" s="178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178"/>
      <c r="B340" s="178"/>
      <c r="C340" s="178"/>
      <c r="D340" s="178"/>
      <c r="E340" s="178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178"/>
      <c r="B341" s="178"/>
      <c r="C341" s="178"/>
      <c r="D341" s="178"/>
      <c r="E341" s="178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178"/>
      <c r="B342" s="178"/>
      <c r="C342" s="178"/>
      <c r="D342" s="178"/>
      <c r="E342" s="178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178"/>
      <c r="B343" s="178"/>
      <c r="C343" s="178"/>
      <c r="D343" s="178"/>
      <c r="E343" s="178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178"/>
      <c r="B344" s="178"/>
      <c r="C344" s="178"/>
      <c r="D344" s="178"/>
      <c r="E344" s="178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178"/>
      <c r="B345" s="178"/>
      <c r="C345" s="178"/>
      <c r="D345" s="178"/>
      <c r="E345" s="178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178"/>
      <c r="B346" s="178"/>
      <c r="C346" s="178"/>
      <c r="D346" s="178"/>
      <c r="E346" s="178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178"/>
      <c r="B347" s="178"/>
      <c r="C347" s="178"/>
      <c r="D347" s="178"/>
      <c r="E347" s="178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178"/>
      <c r="B348" s="178"/>
      <c r="C348" s="178"/>
      <c r="D348" s="178"/>
      <c r="E348" s="178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178"/>
      <c r="B349" s="178"/>
      <c r="C349" s="178"/>
      <c r="D349" s="178"/>
      <c r="E349" s="178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178"/>
      <c r="B350" s="178"/>
      <c r="C350" s="178"/>
      <c r="D350" s="178"/>
      <c r="E350" s="178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178"/>
      <c r="B351" s="178"/>
      <c r="C351" s="178"/>
      <c r="D351" s="178"/>
      <c r="E351" s="178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178"/>
      <c r="B352" s="178"/>
      <c r="C352" s="178"/>
      <c r="D352" s="178"/>
      <c r="E352" s="178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178"/>
      <c r="B353" s="178"/>
      <c r="C353" s="178"/>
      <c r="D353" s="178"/>
      <c r="E353" s="178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178"/>
      <c r="B354" s="178"/>
      <c r="C354" s="178"/>
      <c r="D354" s="178"/>
      <c r="E354" s="178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178"/>
      <c r="B355" s="178"/>
      <c r="C355" s="178"/>
      <c r="D355" s="178"/>
      <c r="E355" s="178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178"/>
      <c r="B356" s="178"/>
      <c r="C356" s="178"/>
      <c r="D356" s="178"/>
      <c r="E356" s="178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178"/>
      <c r="B357" s="178"/>
      <c r="C357" s="178"/>
      <c r="D357" s="178"/>
      <c r="E357" s="178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178"/>
      <c r="B358" s="178"/>
      <c r="C358" s="178"/>
      <c r="D358" s="178"/>
      <c r="E358" s="178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178"/>
      <c r="B359" s="178"/>
      <c r="C359" s="178"/>
      <c r="D359" s="178"/>
      <c r="E359" s="178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178"/>
      <c r="B360" s="178"/>
      <c r="C360" s="178"/>
      <c r="D360" s="178"/>
      <c r="E360" s="178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178"/>
      <c r="B361" s="178"/>
      <c r="C361" s="178"/>
      <c r="D361" s="178"/>
      <c r="E361" s="178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178"/>
      <c r="B362" s="178"/>
      <c r="C362" s="178"/>
      <c r="D362" s="178"/>
      <c r="E362" s="178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178"/>
      <c r="B363" s="178"/>
      <c r="C363" s="178"/>
      <c r="D363" s="178"/>
      <c r="E363" s="178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178"/>
      <c r="B364" s="178"/>
      <c r="C364" s="178"/>
      <c r="D364" s="178"/>
      <c r="E364" s="178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178"/>
      <c r="B365" s="178"/>
      <c r="C365" s="178"/>
      <c r="D365" s="178"/>
      <c r="E365" s="178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178"/>
      <c r="B366" s="178"/>
      <c r="C366" s="178"/>
      <c r="D366" s="178"/>
      <c r="E366" s="178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178"/>
      <c r="B367" s="178"/>
      <c r="C367" s="178"/>
      <c r="D367" s="178"/>
      <c r="E367" s="178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178"/>
      <c r="B368" s="178"/>
      <c r="C368" s="178"/>
      <c r="D368" s="178"/>
      <c r="E368" s="178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178"/>
      <c r="B369" s="178"/>
      <c r="C369" s="178"/>
      <c r="D369" s="178"/>
      <c r="E369" s="178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178"/>
      <c r="B370" s="178"/>
      <c r="C370" s="178"/>
      <c r="D370" s="178"/>
      <c r="E370" s="178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178"/>
      <c r="B371" s="178"/>
      <c r="C371" s="178"/>
      <c r="D371" s="178"/>
      <c r="E371" s="178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178"/>
      <c r="B372" s="178"/>
      <c r="C372" s="178"/>
      <c r="D372" s="178"/>
      <c r="E372" s="178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178"/>
      <c r="B373" s="178"/>
      <c r="C373" s="178"/>
      <c r="D373" s="178"/>
      <c r="E373" s="178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178"/>
      <c r="B374" s="178"/>
      <c r="C374" s="178"/>
      <c r="D374" s="178"/>
      <c r="E374" s="178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178"/>
      <c r="B375" s="178"/>
      <c r="C375" s="178"/>
      <c r="D375" s="178"/>
      <c r="E375" s="178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178"/>
      <c r="B376" s="178"/>
      <c r="C376" s="178"/>
      <c r="D376" s="178"/>
      <c r="E376" s="178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178"/>
      <c r="B377" s="178"/>
      <c r="C377" s="178"/>
      <c r="D377" s="178"/>
      <c r="E377" s="178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178"/>
      <c r="B378" s="178"/>
      <c r="C378" s="178"/>
      <c r="D378" s="178"/>
      <c r="E378" s="178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178"/>
      <c r="B379" s="178"/>
      <c r="C379" s="178"/>
      <c r="D379" s="178"/>
      <c r="E379" s="178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178"/>
      <c r="B380" s="178"/>
      <c r="C380" s="178"/>
      <c r="D380" s="178"/>
      <c r="E380" s="178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178"/>
      <c r="B381" s="178"/>
      <c r="C381" s="178"/>
      <c r="D381" s="178"/>
      <c r="E381" s="178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178"/>
      <c r="B382" s="178"/>
      <c r="C382" s="178"/>
      <c r="D382" s="178"/>
      <c r="E382" s="178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178"/>
      <c r="B383" s="178"/>
      <c r="C383" s="178"/>
      <c r="D383" s="178"/>
      <c r="E383" s="178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178"/>
      <c r="B384" s="178"/>
      <c r="C384" s="178"/>
      <c r="D384" s="178"/>
      <c r="E384" s="178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178"/>
      <c r="B385" s="178"/>
      <c r="C385" s="178"/>
      <c r="D385" s="178"/>
      <c r="E385" s="178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178"/>
      <c r="B386" s="178"/>
      <c r="C386" s="178"/>
      <c r="D386" s="178"/>
      <c r="E386" s="178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178"/>
      <c r="B387" s="178"/>
      <c r="C387" s="178"/>
      <c r="D387" s="178"/>
      <c r="E387" s="178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178"/>
      <c r="B388" s="178"/>
      <c r="C388" s="178"/>
      <c r="D388" s="178"/>
      <c r="E388" s="178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178"/>
      <c r="B389" s="178"/>
      <c r="C389" s="178"/>
      <c r="D389" s="178"/>
      <c r="E389" s="178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178"/>
      <c r="B390" s="178"/>
      <c r="C390" s="178"/>
      <c r="D390" s="178"/>
      <c r="E390" s="178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178"/>
      <c r="B391" s="178"/>
      <c r="C391" s="178"/>
      <c r="D391" s="178"/>
      <c r="E391" s="178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178"/>
      <c r="B392" s="178"/>
      <c r="C392" s="178"/>
      <c r="D392" s="178"/>
      <c r="E392" s="178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178"/>
      <c r="B393" s="178"/>
      <c r="C393" s="178"/>
      <c r="D393" s="178"/>
      <c r="E393" s="178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178"/>
      <c r="B394" s="178"/>
      <c r="C394" s="178"/>
      <c r="D394" s="178"/>
      <c r="E394" s="178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178"/>
      <c r="B395" s="178"/>
      <c r="C395" s="178"/>
      <c r="D395" s="178"/>
      <c r="E395" s="178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178"/>
      <c r="B396" s="178"/>
      <c r="C396" s="178"/>
      <c r="D396" s="178"/>
      <c r="E396" s="178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178"/>
      <c r="B397" s="178"/>
      <c r="C397" s="178"/>
      <c r="D397" s="178"/>
      <c r="E397" s="178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178"/>
      <c r="B398" s="178"/>
      <c r="C398" s="178"/>
      <c r="D398" s="178"/>
      <c r="E398" s="178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178"/>
      <c r="B399" s="178"/>
      <c r="C399" s="178"/>
      <c r="D399" s="178"/>
      <c r="E399" s="178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178"/>
      <c r="B400" s="178"/>
      <c r="C400" s="178"/>
      <c r="D400" s="178"/>
      <c r="E400" s="178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178"/>
      <c r="B401" s="178"/>
      <c r="C401" s="178"/>
      <c r="D401" s="178"/>
      <c r="E401" s="178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178"/>
      <c r="B402" s="178"/>
      <c r="C402" s="178"/>
      <c r="D402" s="178"/>
      <c r="E402" s="178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178"/>
      <c r="B403" s="178"/>
      <c r="C403" s="178"/>
      <c r="D403" s="178"/>
      <c r="E403" s="178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178"/>
      <c r="B404" s="178"/>
      <c r="C404" s="178"/>
      <c r="D404" s="178"/>
      <c r="E404" s="178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178"/>
      <c r="B405" s="178"/>
      <c r="C405" s="178"/>
      <c r="D405" s="178"/>
      <c r="E405" s="178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178"/>
      <c r="B406" s="178"/>
      <c r="C406" s="178"/>
      <c r="D406" s="178"/>
      <c r="E406" s="178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178"/>
      <c r="B407" s="178"/>
      <c r="C407" s="178"/>
      <c r="D407" s="178"/>
      <c r="E407" s="178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178"/>
      <c r="B408" s="178"/>
      <c r="C408" s="178"/>
      <c r="D408" s="178"/>
      <c r="E408" s="178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178"/>
      <c r="B409" s="178"/>
      <c r="C409" s="178"/>
      <c r="D409" s="178"/>
      <c r="E409" s="178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178"/>
      <c r="B410" s="178"/>
      <c r="C410" s="178"/>
      <c r="D410" s="178"/>
      <c r="E410" s="178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178"/>
      <c r="B411" s="178"/>
      <c r="C411" s="178"/>
      <c r="D411" s="178"/>
      <c r="E411" s="178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178"/>
      <c r="B412" s="178"/>
      <c r="C412" s="178"/>
      <c r="D412" s="178"/>
      <c r="E412" s="178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178"/>
      <c r="B413" s="178"/>
      <c r="C413" s="178"/>
      <c r="D413" s="178"/>
      <c r="E413" s="178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178"/>
      <c r="B414" s="178"/>
      <c r="C414" s="178"/>
      <c r="D414" s="178"/>
      <c r="E414" s="178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178"/>
      <c r="B415" s="178"/>
      <c r="C415" s="178"/>
      <c r="D415" s="178"/>
      <c r="E415" s="178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178"/>
      <c r="B416" s="178"/>
      <c r="C416" s="178"/>
      <c r="D416" s="178"/>
      <c r="E416" s="178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178"/>
      <c r="B417" s="178"/>
      <c r="C417" s="178"/>
      <c r="D417" s="178"/>
      <c r="E417" s="178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178"/>
      <c r="B418" s="178"/>
      <c r="C418" s="178"/>
      <c r="D418" s="178"/>
      <c r="E418" s="178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178"/>
      <c r="B419" s="178"/>
      <c r="C419" s="178"/>
      <c r="D419" s="178"/>
      <c r="E419" s="178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178"/>
      <c r="B420" s="178"/>
      <c r="C420" s="178"/>
      <c r="D420" s="178"/>
      <c r="E420" s="178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178"/>
      <c r="B421" s="178"/>
      <c r="C421" s="178"/>
      <c r="D421" s="178"/>
      <c r="E421" s="178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178"/>
      <c r="B422" s="178"/>
      <c r="C422" s="178"/>
      <c r="D422" s="178"/>
      <c r="E422" s="178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178"/>
      <c r="B423" s="178"/>
      <c r="C423" s="178"/>
      <c r="D423" s="178"/>
      <c r="E423" s="178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178"/>
      <c r="B424" s="178"/>
      <c r="C424" s="178"/>
      <c r="D424" s="178"/>
      <c r="E424" s="178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178"/>
      <c r="B425" s="178"/>
      <c r="C425" s="178"/>
      <c r="D425" s="178"/>
      <c r="E425" s="178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178"/>
      <c r="B426" s="178"/>
      <c r="C426" s="178"/>
      <c r="D426" s="178"/>
      <c r="E426" s="178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178"/>
      <c r="B427" s="178"/>
      <c r="C427" s="178"/>
      <c r="D427" s="178"/>
      <c r="E427" s="178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178"/>
      <c r="B428" s="178"/>
      <c r="C428" s="178"/>
      <c r="D428" s="178"/>
      <c r="E428" s="178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178"/>
      <c r="B429" s="178"/>
      <c r="C429" s="178"/>
      <c r="D429" s="178"/>
      <c r="E429" s="178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178"/>
      <c r="B430" s="178"/>
      <c r="C430" s="178"/>
      <c r="D430" s="178"/>
      <c r="E430" s="178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178"/>
      <c r="B431" s="178"/>
      <c r="C431" s="178"/>
      <c r="D431" s="178"/>
      <c r="E431" s="178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178"/>
      <c r="B432" s="178"/>
      <c r="C432" s="178"/>
      <c r="D432" s="178"/>
      <c r="E432" s="178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178"/>
      <c r="B433" s="178"/>
      <c r="C433" s="178"/>
      <c r="D433" s="178"/>
      <c r="E433" s="178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178"/>
      <c r="B434" s="178"/>
      <c r="C434" s="178"/>
      <c r="D434" s="178"/>
      <c r="E434" s="178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178"/>
      <c r="B435" s="178"/>
      <c r="C435" s="178"/>
      <c r="D435" s="178"/>
      <c r="E435" s="178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178"/>
      <c r="B436" s="178"/>
      <c r="C436" s="178"/>
      <c r="D436" s="178"/>
      <c r="E436" s="178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178"/>
      <c r="B437" s="178"/>
      <c r="C437" s="178"/>
      <c r="D437" s="178"/>
      <c r="E437" s="178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178"/>
      <c r="B438" s="178"/>
      <c r="C438" s="178"/>
      <c r="D438" s="178"/>
      <c r="E438" s="178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178"/>
      <c r="B439" s="178"/>
      <c r="C439" s="178"/>
      <c r="D439" s="178"/>
      <c r="E439" s="178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178"/>
      <c r="B440" s="178"/>
      <c r="C440" s="178"/>
      <c r="D440" s="178"/>
      <c r="E440" s="178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178"/>
      <c r="B441" s="178"/>
      <c r="C441" s="178"/>
      <c r="D441" s="178"/>
      <c r="E441" s="178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178"/>
      <c r="B442" s="178"/>
      <c r="C442" s="178"/>
      <c r="D442" s="178"/>
      <c r="E442" s="178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178"/>
      <c r="B443" s="178"/>
      <c r="C443" s="178"/>
      <c r="D443" s="178"/>
      <c r="E443" s="178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178"/>
      <c r="B444" s="178"/>
      <c r="C444" s="178"/>
      <c r="D444" s="178"/>
      <c r="E444" s="178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178"/>
      <c r="B445" s="178"/>
      <c r="C445" s="178"/>
      <c r="D445" s="178"/>
      <c r="E445" s="178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178"/>
      <c r="B446" s="178"/>
      <c r="C446" s="178"/>
      <c r="D446" s="178"/>
      <c r="E446" s="178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178"/>
      <c r="B447" s="178"/>
      <c r="C447" s="178"/>
      <c r="D447" s="178"/>
      <c r="E447" s="178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178"/>
      <c r="B448" s="178"/>
      <c r="C448" s="178"/>
      <c r="D448" s="178"/>
      <c r="E448" s="178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178"/>
      <c r="B449" s="178"/>
      <c r="C449" s="178"/>
      <c r="D449" s="178"/>
      <c r="E449" s="178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178"/>
      <c r="B450" s="178"/>
      <c r="C450" s="178"/>
      <c r="D450" s="178"/>
      <c r="E450" s="178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178"/>
      <c r="B451" s="178"/>
      <c r="C451" s="178"/>
      <c r="D451" s="178"/>
      <c r="E451" s="178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178"/>
      <c r="B452" s="178"/>
      <c r="C452" s="178"/>
      <c r="D452" s="178"/>
      <c r="E452" s="178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178"/>
      <c r="B453" s="178"/>
      <c r="C453" s="178"/>
      <c r="D453" s="178"/>
      <c r="E453" s="178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178"/>
      <c r="B454" s="178"/>
      <c r="C454" s="178"/>
      <c r="D454" s="178"/>
      <c r="E454" s="178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178"/>
      <c r="B455" s="178"/>
      <c r="C455" s="178"/>
      <c r="D455" s="178"/>
      <c r="E455" s="178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178"/>
      <c r="B456" s="178"/>
      <c r="C456" s="178"/>
      <c r="D456" s="178"/>
      <c r="E456" s="178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178"/>
      <c r="B457" s="178"/>
      <c r="C457" s="178"/>
      <c r="D457" s="178"/>
      <c r="E457" s="178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178"/>
      <c r="B458" s="178"/>
      <c r="C458" s="178"/>
      <c r="D458" s="178"/>
      <c r="E458" s="178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178"/>
      <c r="B459" s="178"/>
      <c r="C459" s="178"/>
      <c r="D459" s="178"/>
      <c r="E459" s="178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178"/>
      <c r="B460" s="178"/>
      <c r="C460" s="178"/>
      <c r="D460" s="178"/>
      <c r="E460" s="178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178"/>
      <c r="B461" s="178"/>
      <c r="C461" s="178"/>
      <c r="D461" s="178"/>
      <c r="E461" s="178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178"/>
      <c r="B462" s="178"/>
      <c r="C462" s="178"/>
      <c r="D462" s="178"/>
      <c r="E462" s="178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178"/>
      <c r="B463" s="178"/>
      <c r="C463" s="178"/>
      <c r="D463" s="178"/>
      <c r="E463" s="178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178"/>
      <c r="B464" s="178"/>
      <c r="C464" s="178"/>
      <c r="D464" s="178"/>
      <c r="E464" s="178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178"/>
      <c r="B465" s="178"/>
      <c r="C465" s="178"/>
      <c r="D465" s="178"/>
      <c r="E465" s="178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178"/>
      <c r="B466" s="178"/>
      <c r="C466" s="178"/>
      <c r="D466" s="178"/>
      <c r="E466" s="178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178"/>
      <c r="B467" s="178"/>
      <c r="C467" s="178"/>
      <c r="D467" s="178"/>
      <c r="E467" s="178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178"/>
      <c r="B468" s="178"/>
      <c r="C468" s="178"/>
      <c r="D468" s="178"/>
      <c r="E468" s="178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178"/>
      <c r="B469" s="178"/>
      <c r="C469" s="178"/>
      <c r="D469" s="178"/>
      <c r="E469" s="178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178"/>
      <c r="B470" s="178"/>
      <c r="C470" s="178"/>
      <c r="D470" s="178"/>
      <c r="E470" s="178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178"/>
      <c r="B471" s="178"/>
      <c r="C471" s="178"/>
      <c r="D471" s="178"/>
      <c r="E471" s="178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178"/>
      <c r="B472" s="178"/>
      <c r="C472" s="178"/>
      <c r="D472" s="178"/>
      <c r="E472" s="178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178"/>
      <c r="B473" s="178"/>
      <c r="C473" s="178"/>
      <c r="D473" s="178"/>
      <c r="E473" s="178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178"/>
      <c r="B474" s="178"/>
      <c r="C474" s="178"/>
      <c r="D474" s="178"/>
      <c r="E474" s="178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178"/>
      <c r="B475" s="178"/>
      <c r="C475" s="178"/>
      <c r="D475" s="178"/>
      <c r="E475" s="178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178"/>
      <c r="B476" s="178"/>
      <c r="C476" s="178"/>
      <c r="D476" s="178"/>
      <c r="E476" s="178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178"/>
      <c r="B477" s="178"/>
      <c r="C477" s="178"/>
      <c r="D477" s="178"/>
      <c r="E477" s="178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178"/>
      <c r="B478" s="178"/>
      <c r="C478" s="178"/>
      <c r="D478" s="178"/>
      <c r="E478" s="178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178"/>
      <c r="B479" s="178"/>
      <c r="C479" s="178"/>
      <c r="D479" s="178"/>
      <c r="E479" s="178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178"/>
      <c r="B480" s="178"/>
      <c r="C480" s="178"/>
      <c r="D480" s="178"/>
      <c r="E480" s="178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178"/>
      <c r="B481" s="178"/>
      <c r="C481" s="178"/>
      <c r="D481" s="178"/>
      <c r="E481" s="178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178"/>
      <c r="B482" s="178"/>
      <c r="C482" s="178"/>
      <c r="D482" s="178"/>
      <c r="E482" s="178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178"/>
      <c r="B483" s="178"/>
      <c r="C483" s="178"/>
      <c r="D483" s="178"/>
      <c r="E483" s="178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178"/>
      <c r="B484" s="178"/>
      <c r="C484" s="178"/>
      <c r="D484" s="178"/>
      <c r="E484" s="178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178"/>
      <c r="B485" s="178"/>
      <c r="C485" s="178"/>
      <c r="D485" s="178"/>
      <c r="E485" s="178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178"/>
      <c r="B486" s="178"/>
      <c r="C486" s="178"/>
      <c r="D486" s="178"/>
      <c r="E486" s="178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178"/>
      <c r="B487" s="178"/>
      <c r="C487" s="178"/>
      <c r="D487" s="178"/>
      <c r="E487" s="178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178"/>
      <c r="B488" s="178"/>
      <c r="C488" s="178"/>
      <c r="D488" s="178"/>
      <c r="E488" s="178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178"/>
      <c r="B489" s="178"/>
      <c r="C489" s="178"/>
      <c r="D489" s="178"/>
      <c r="E489" s="178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178"/>
      <c r="B490" s="178"/>
      <c r="C490" s="178"/>
      <c r="D490" s="178"/>
      <c r="E490" s="178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178"/>
      <c r="B491" s="178"/>
      <c r="C491" s="178"/>
      <c r="D491" s="178"/>
      <c r="E491" s="178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178"/>
      <c r="B492" s="178"/>
      <c r="C492" s="178"/>
      <c r="D492" s="178"/>
      <c r="E492" s="178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178"/>
      <c r="B493" s="178"/>
      <c r="C493" s="178"/>
      <c r="D493" s="178"/>
      <c r="E493" s="178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178"/>
      <c r="B494" s="178"/>
      <c r="C494" s="178"/>
      <c r="D494" s="178"/>
      <c r="E494" s="178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178"/>
      <c r="B495" s="178"/>
      <c r="C495" s="178"/>
      <c r="D495" s="178"/>
      <c r="E495" s="178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178"/>
      <c r="B496" s="178"/>
      <c r="C496" s="178"/>
      <c r="D496" s="178"/>
      <c r="E496" s="178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178"/>
      <c r="B497" s="178"/>
      <c r="C497" s="178"/>
      <c r="D497" s="178"/>
      <c r="E497" s="178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178"/>
      <c r="B498" s="178"/>
      <c r="C498" s="178"/>
      <c r="D498" s="178"/>
      <c r="E498" s="178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178"/>
      <c r="B499" s="178"/>
      <c r="C499" s="178"/>
      <c r="D499" s="178"/>
      <c r="E499" s="178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178"/>
      <c r="B500" s="178"/>
      <c r="C500" s="178"/>
      <c r="D500" s="178"/>
      <c r="E500" s="178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178"/>
      <c r="B501" s="178"/>
      <c r="C501" s="178"/>
      <c r="D501" s="178"/>
      <c r="E501" s="178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178"/>
      <c r="B502" s="178"/>
      <c r="C502" s="178"/>
      <c r="D502" s="178"/>
      <c r="E502" s="178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178"/>
      <c r="B503" s="178"/>
      <c r="C503" s="178"/>
      <c r="D503" s="178"/>
      <c r="E503" s="178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178"/>
      <c r="B504" s="178"/>
      <c r="C504" s="178"/>
      <c r="D504" s="178"/>
      <c r="E504" s="178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178"/>
      <c r="B505" s="178"/>
      <c r="C505" s="178"/>
      <c r="D505" s="178"/>
      <c r="E505" s="178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178"/>
      <c r="B506" s="178"/>
      <c r="C506" s="178"/>
      <c r="D506" s="178"/>
      <c r="E506" s="178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178"/>
      <c r="B507" s="178"/>
      <c r="C507" s="178"/>
      <c r="D507" s="178"/>
      <c r="E507" s="178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178"/>
      <c r="B508" s="178"/>
      <c r="C508" s="178"/>
      <c r="D508" s="178"/>
      <c r="E508" s="178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178"/>
      <c r="B509" s="178"/>
      <c r="C509" s="178"/>
      <c r="D509" s="178"/>
      <c r="E509" s="178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178"/>
      <c r="B510" s="178"/>
      <c r="C510" s="178"/>
      <c r="D510" s="178"/>
      <c r="E510" s="178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178"/>
      <c r="B511" s="178"/>
      <c r="C511" s="178"/>
      <c r="D511" s="178"/>
      <c r="E511" s="178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178"/>
      <c r="B512" s="178"/>
      <c r="C512" s="178"/>
      <c r="D512" s="178"/>
      <c r="E512" s="178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178"/>
      <c r="B513" s="178"/>
      <c r="C513" s="178"/>
      <c r="D513" s="178"/>
      <c r="E513" s="178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178"/>
      <c r="B514" s="178"/>
      <c r="C514" s="178"/>
      <c r="D514" s="178"/>
      <c r="E514" s="178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178"/>
      <c r="B515" s="178"/>
      <c r="C515" s="178"/>
      <c r="D515" s="178"/>
      <c r="E515" s="178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178"/>
      <c r="B516" s="178"/>
      <c r="C516" s="178"/>
      <c r="D516" s="178"/>
      <c r="E516" s="178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178"/>
      <c r="B517" s="178"/>
      <c r="C517" s="178"/>
      <c r="D517" s="178"/>
      <c r="E517" s="178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178"/>
      <c r="B518" s="178"/>
      <c r="C518" s="178"/>
      <c r="D518" s="178"/>
      <c r="E518" s="178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178"/>
      <c r="B519" s="178"/>
      <c r="C519" s="178"/>
      <c r="D519" s="178"/>
      <c r="E519" s="178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178"/>
      <c r="B520" s="178"/>
      <c r="C520" s="178"/>
      <c r="D520" s="178"/>
      <c r="E520" s="178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178"/>
      <c r="B521" s="178"/>
      <c r="C521" s="178"/>
      <c r="D521" s="178"/>
      <c r="E521" s="178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178"/>
      <c r="B522" s="178"/>
      <c r="C522" s="178"/>
      <c r="D522" s="178"/>
      <c r="E522" s="178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178"/>
      <c r="B523" s="178"/>
      <c r="C523" s="178"/>
      <c r="D523" s="178"/>
      <c r="E523" s="178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178"/>
      <c r="B524" s="178"/>
      <c r="C524" s="178"/>
      <c r="D524" s="178"/>
      <c r="E524" s="178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178"/>
      <c r="B525" s="178"/>
      <c r="C525" s="178"/>
      <c r="D525" s="178"/>
      <c r="E525" s="178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178"/>
      <c r="B526" s="178"/>
      <c r="C526" s="178"/>
      <c r="D526" s="178"/>
      <c r="E526" s="178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178"/>
      <c r="B527" s="178"/>
      <c r="C527" s="178"/>
      <c r="D527" s="178"/>
      <c r="E527" s="178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178"/>
      <c r="B528" s="178"/>
      <c r="C528" s="178"/>
      <c r="D528" s="178"/>
      <c r="E528" s="178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178"/>
      <c r="B529" s="178"/>
      <c r="C529" s="178"/>
      <c r="D529" s="178"/>
      <c r="E529" s="178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178"/>
      <c r="B530" s="178"/>
      <c r="C530" s="178"/>
      <c r="D530" s="178"/>
      <c r="E530" s="178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178"/>
      <c r="B531" s="178"/>
      <c r="C531" s="178"/>
      <c r="D531" s="178"/>
      <c r="E531" s="178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178"/>
      <c r="B532" s="178"/>
      <c r="C532" s="178"/>
      <c r="D532" s="178"/>
      <c r="E532" s="178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178"/>
      <c r="B533" s="178"/>
      <c r="C533" s="178"/>
      <c r="D533" s="178"/>
      <c r="E533" s="178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178"/>
      <c r="B534" s="178"/>
      <c r="C534" s="178"/>
      <c r="D534" s="178"/>
      <c r="E534" s="178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178"/>
      <c r="B535" s="178"/>
      <c r="C535" s="178"/>
      <c r="D535" s="178"/>
      <c r="E535" s="178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178"/>
      <c r="B536" s="178"/>
      <c r="C536" s="178"/>
      <c r="D536" s="178"/>
      <c r="E536" s="178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178"/>
      <c r="B537" s="178"/>
      <c r="C537" s="178"/>
      <c r="D537" s="178"/>
      <c r="E537" s="178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178"/>
      <c r="B538" s="178"/>
      <c r="C538" s="178"/>
      <c r="D538" s="178"/>
      <c r="E538" s="178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178"/>
      <c r="B539" s="178"/>
      <c r="C539" s="178"/>
      <c r="D539" s="178"/>
      <c r="E539" s="178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178"/>
      <c r="B540" s="178"/>
      <c r="C540" s="178"/>
      <c r="D540" s="178"/>
      <c r="E540" s="178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178"/>
      <c r="B541" s="178"/>
      <c r="C541" s="178"/>
      <c r="D541" s="178"/>
      <c r="E541" s="178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178"/>
      <c r="B542" s="178"/>
      <c r="C542" s="178"/>
      <c r="D542" s="178"/>
      <c r="E542" s="178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178"/>
      <c r="B543" s="178"/>
      <c r="C543" s="178"/>
      <c r="D543" s="178"/>
      <c r="E543" s="178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178"/>
      <c r="B544" s="178"/>
      <c r="C544" s="178"/>
      <c r="D544" s="178"/>
      <c r="E544" s="178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178"/>
      <c r="B545" s="178"/>
      <c r="C545" s="178"/>
      <c r="D545" s="178"/>
      <c r="E545" s="178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178"/>
      <c r="B546" s="178"/>
      <c r="C546" s="178"/>
      <c r="D546" s="178"/>
      <c r="E546" s="178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178"/>
      <c r="B547" s="178"/>
      <c r="C547" s="178"/>
      <c r="D547" s="178"/>
      <c r="E547" s="178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178"/>
      <c r="B548" s="178"/>
      <c r="C548" s="178"/>
      <c r="D548" s="178"/>
      <c r="E548" s="178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178"/>
      <c r="B549" s="178"/>
      <c r="C549" s="178"/>
      <c r="D549" s="178"/>
      <c r="E549" s="178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178"/>
      <c r="B550" s="178"/>
      <c r="C550" s="178"/>
      <c r="D550" s="178"/>
      <c r="E550" s="178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178"/>
      <c r="B551" s="178"/>
      <c r="C551" s="178"/>
      <c r="D551" s="178"/>
      <c r="E551" s="178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178"/>
      <c r="B552" s="178"/>
      <c r="C552" s="178"/>
      <c r="D552" s="178"/>
      <c r="E552" s="178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178"/>
      <c r="B553" s="178"/>
      <c r="C553" s="178"/>
      <c r="D553" s="178"/>
      <c r="E553" s="178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178"/>
      <c r="B554" s="178"/>
      <c r="C554" s="178"/>
      <c r="D554" s="178"/>
      <c r="E554" s="178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178"/>
      <c r="B555" s="178"/>
      <c r="C555" s="178"/>
      <c r="D555" s="178"/>
      <c r="E555" s="178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178"/>
      <c r="B556" s="178"/>
      <c r="C556" s="178"/>
      <c r="D556" s="178"/>
      <c r="E556" s="178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178"/>
      <c r="B557" s="178"/>
      <c r="C557" s="178"/>
      <c r="D557" s="178"/>
      <c r="E557" s="178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178"/>
      <c r="B558" s="178"/>
      <c r="C558" s="178"/>
      <c r="D558" s="178"/>
      <c r="E558" s="178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178"/>
      <c r="B559" s="178"/>
      <c r="C559" s="178"/>
      <c r="D559" s="178"/>
      <c r="E559" s="178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178"/>
      <c r="B560" s="178"/>
      <c r="C560" s="178"/>
      <c r="D560" s="178"/>
      <c r="E560" s="178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178"/>
      <c r="B561" s="178"/>
      <c r="C561" s="178"/>
      <c r="D561" s="178"/>
      <c r="E561" s="178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178"/>
      <c r="B562" s="178"/>
      <c r="C562" s="178"/>
      <c r="D562" s="178"/>
      <c r="E562" s="178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178"/>
      <c r="B563" s="178"/>
      <c r="C563" s="178"/>
      <c r="D563" s="178"/>
      <c r="E563" s="178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178"/>
      <c r="B564" s="178"/>
      <c r="C564" s="178"/>
      <c r="D564" s="178"/>
      <c r="E564" s="178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178"/>
      <c r="B565" s="178"/>
      <c r="C565" s="178"/>
      <c r="D565" s="178"/>
      <c r="E565" s="178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178"/>
      <c r="B566" s="178"/>
      <c r="C566" s="178"/>
      <c r="D566" s="178"/>
      <c r="E566" s="178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178"/>
      <c r="B567" s="178"/>
      <c r="C567" s="178"/>
      <c r="D567" s="178"/>
      <c r="E567" s="178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178"/>
      <c r="B568" s="178"/>
      <c r="C568" s="178"/>
      <c r="D568" s="178"/>
      <c r="E568" s="178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178"/>
      <c r="B569" s="178"/>
      <c r="C569" s="178"/>
      <c r="D569" s="178"/>
      <c r="E569" s="178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178"/>
      <c r="B570" s="178"/>
      <c r="C570" s="178"/>
      <c r="D570" s="178"/>
      <c r="E570" s="178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178"/>
      <c r="B571" s="178"/>
      <c r="C571" s="178"/>
      <c r="D571" s="178"/>
      <c r="E571" s="178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178"/>
      <c r="B572" s="178"/>
      <c r="C572" s="178"/>
      <c r="D572" s="178"/>
      <c r="E572" s="178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178"/>
      <c r="B573" s="178"/>
      <c r="C573" s="178"/>
      <c r="D573" s="178"/>
      <c r="E573" s="178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178"/>
      <c r="B574" s="178"/>
      <c r="C574" s="178"/>
      <c r="D574" s="178"/>
      <c r="E574" s="178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178"/>
      <c r="B575" s="178"/>
      <c r="C575" s="178"/>
      <c r="D575" s="178"/>
      <c r="E575" s="178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178"/>
      <c r="B576" s="178"/>
      <c r="C576" s="178"/>
      <c r="D576" s="178"/>
      <c r="E576" s="178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178"/>
      <c r="B577" s="178"/>
      <c r="C577" s="178"/>
      <c r="D577" s="178"/>
      <c r="E577" s="178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178"/>
      <c r="B578" s="178"/>
      <c r="C578" s="178"/>
      <c r="D578" s="178"/>
      <c r="E578" s="178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178"/>
      <c r="B579" s="178"/>
      <c r="C579" s="178"/>
      <c r="D579" s="178"/>
      <c r="E579" s="178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178"/>
      <c r="B580" s="178"/>
      <c r="C580" s="178"/>
      <c r="D580" s="178"/>
      <c r="E580" s="178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178"/>
      <c r="B581" s="178"/>
      <c r="C581" s="178"/>
      <c r="D581" s="178"/>
      <c r="E581" s="178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178"/>
      <c r="B582" s="178"/>
      <c r="C582" s="178"/>
      <c r="D582" s="178"/>
      <c r="E582" s="178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178"/>
      <c r="B583" s="178"/>
      <c r="C583" s="178"/>
      <c r="D583" s="178"/>
      <c r="E583" s="178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178"/>
      <c r="B584" s="178"/>
      <c r="C584" s="178"/>
      <c r="D584" s="178"/>
      <c r="E584" s="178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178"/>
      <c r="B585" s="178"/>
      <c r="C585" s="178"/>
      <c r="D585" s="178"/>
      <c r="E585" s="178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178"/>
      <c r="B586" s="178"/>
      <c r="C586" s="178"/>
      <c r="D586" s="178"/>
      <c r="E586" s="178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178"/>
      <c r="B587" s="178"/>
      <c r="C587" s="178"/>
      <c r="D587" s="178"/>
      <c r="E587" s="178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178"/>
      <c r="B588" s="178"/>
      <c r="C588" s="178"/>
      <c r="D588" s="178"/>
      <c r="E588" s="178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178"/>
      <c r="B589" s="178"/>
      <c r="C589" s="178"/>
      <c r="D589" s="178"/>
      <c r="E589" s="178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178"/>
      <c r="B590" s="178"/>
      <c r="C590" s="178"/>
      <c r="D590" s="178"/>
      <c r="E590" s="178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178"/>
      <c r="B591" s="178"/>
      <c r="C591" s="178"/>
      <c r="D591" s="178"/>
      <c r="E591" s="178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178"/>
      <c r="B592" s="178"/>
      <c r="C592" s="178"/>
      <c r="D592" s="178"/>
      <c r="E592" s="178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178"/>
      <c r="B593" s="178"/>
      <c r="C593" s="178"/>
      <c r="D593" s="178"/>
      <c r="E593" s="178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178"/>
      <c r="B594" s="178"/>
      <c r="C594" s="178"/>
      <c r="D594" s="178"/>
      <c r="E594" s="178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178"/>
      <c r="B595" s="178"/>
      <c r="C595" s="178"/>
      <c r="D595" s="178"/>
      <c r="E595" s="178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178"/>
      <c r="B596" s="178"/>
      <c r="C596" s="178"/>
      <c r="D596" s="178"/>
      <c r="E596" s="178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178"/>
      <c r="B597" s="178"/>
      <c r="C597" s="178"/>
      <c r="D597" s="178"/>
      <c r="E597" s="178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178"/>
      <c r="B598" s="178"/>
      <c r="C598" s="178"/>
      <c r="D598" s="178"/>
      <c r="E598" s="178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178"/>
      <c r="B599" s="178"/>
      <c r="C599" s="178"/>
      <c r="D599" s="178"/>
      <c r="E599" s="178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178"/>
      <c r="B600" s="178"/>
      <c r="C600" s="178"/>
      <c r="D600" s="178"/>
      <c r="E600" s="178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178"/>
      <c r="B601" s="178"/>
      <c r="C601" s="178"/>
      <c r="D601" s="178"/>
      <c r="E601" s="178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178"/>
      <c r="B602" s="178"/>
      <c r="C602" s="178"/>
      <c r="D602" s="178"/>
      <c r="E602" s="178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178"/>
      <c r="B603" s="178"/>
      <c r="C603" s="178"/>
      <c r="D603" s="178"/>
      <c r="E603" s="178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178"/>
      <c r="B604" s="178"/>
      <c r="C604" s="178"/>
      <c r="D604" s="178"/>
      <c r="E604" s="178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178"/>
      <c r="B605" s="178"/>
      <c r="C605" s="178"/>
      <c r="D605" s="178"/>
      <c r="E605" s="178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178"/>
      <c r="B606" s="178"/>
      <c r="C606" s="178"/>
      <c r="D606" s="178"/>
      <c r="E606" s="178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178"/>
      <c r="B607" s="178"/>
      <c r="C607" s="178"/>
      <c r="D607" s="178"/>
      <c r="E607" s="178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178"/>
      <c r="B608" s="178"/>
      <c r="C608" s="178"/>
      <c r="D608" s="178"/>
      <c r="E608" s="178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178"/>
      <c r="B609" s="178"/>
      <c r="C609" s="178"/>
      <c r="D609" s="178"/>
      <c r="E609" s="178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178"/>
      <c r="B610" s="178"/>
      <c r="C610" s="178"/>
      <c r="D610" s="178"/>
      <c r="E610" s="178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178"/>
      <c r="B611" s="178"/>
      <c r="C611" s="178"/>
      <c r="D611" s="178"/>
      <c r="E611" s="178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178"/>
      <c r="B612" s="178"/>
      <c r="C612" s="178"/>
      <c r="D612" s="178"/>
      <c r="E612" s="178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178"/>
      <c r="B613" s="178"/>
      <c r="C613" s="178"/>
      <c r="D613" s="178"/>
      <c r="E613" s="178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178"/>
      <c r="B614" s="178"/>
      <c r="C614" s="178"/>
      <c r="D614" s="178"/>
      <c r="E614" s="178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178"/>
      <c r="B615" s="178"/>
      <c r="C615" s="178"/>
      <c r="D615" s="178"/>
      <c r="E615" s="178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178"/>
      <c r="B616" s="178"/>
      <c r="C616" s="178"/>
      <c r="D616" s="178"/>
      <c r="E616" s="178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178"/>
      <c r="B617" s="178"/>
      <c r="C617" s="178"/>
      <c r="D617" s="178"/>
      <c r="E617" s="178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178"/>
      <c r="B618" s="178"/>
      <c r="C618" s="178"/>
      <c r="D618" s="178"/>
      <c r="E618" s="178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178"/>
      <c r="B619" s="178"/>
      <c r="C619" s="178"/>
      <c r="D619" s="178"/>
      <c r="E619" s="178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178"/>
      <c r="B620" s="178"/>
      <c r="C620" s="178"/>
      <c r="D620" s="178"/>
      <c r="E620" s="178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178"/>
      <c r="B621" s="178"/>
      <c r="C621" s="178"/>
      <c r="D621" s="178"/>
      <c r="E621" s="178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178"/>
      <c r="B622" s="178"/>
      <c r="C622" s="178"/>
      <c r="D622" s="178"/>
      <c r="E622" s="178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178"/>
      <c r="B623" s="178"/>
      <c r="C623" s="178"/>
      <c r="D623" s="178"/>
      <c r="E623" s="178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178"/>
      <c r="B624" s="178"/>
      <c r="C624" s="178"/>
      <c r="D624" s="178"/>
      <c r="E624" s="178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178"/>
      <c r="B625" s="178"/>
      <c r="C625" s="178"/>
      <c r="D625" s="178"/>
      <c r="E625" s="178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178"/>
      <c r="B626" s="178"/>
      <c r="C626" s="178"/>
      <c r="D626" s="178"/>
      <c r="E626" s="178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178"/>
      <c r="B627" s="178"/>
      <c r="C627" s="178"/>
      <c r="D627" s="178"/>
      <c r="E627" s="178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178"/>
      <c r="B628" s="178"/>
      <c r="C628" s="178"/>
      <c r="D628" s="178"/>
      <c r="E628" s="178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178"/>
      <c r="B629" s="178"/>
      <c r="C629" s="178"/>
      <c r="D629" s="178"/>
      <c r="E629" s="178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178"/>
      <c r="B630" s="178"/>
      <c r="C630" s="178"/>
      <c r="D630" s="178"/>
      <c r="E630" s="178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178"/>
      <c r="B631" s="178"/>
      <c r="C631" s="178"/>
      <c r="D631" s="178"/>
      <c r="E631" s="178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178"/>
      <c r="B632" s="178"/>
      <c r="C632" s="178"/>
      <c r="D632" s="178"/>
      <c r="E632" s="178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178"/>
      <c r="B633" s="178"/>
      <c r="C633" s="178"/>
      <c r="D633" s="178"/>
      <c r="E633" s="178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178"/>
      <c r="B634" s="178"/>
      <c r="C634" s="178"/>
      <c r="D634" s="178"/>
      <c r="E634" s="178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178"/>
      <c r="B635" s="178"/>
      <c r="C635" s="178"/>
      <c r="D635" s="178"/>
      <c r="E635" s="178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178"/>
      <c r="B636" s="178"/>
      <c r="C636" s="178"/>
      <c r="D636" s="178"/>
      <c r="E636" s="178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178"/>
      <c r="B637" s="178"/>
      <c r="C637" s="178"/>
      <c r="D637" s="178"/>
      <c r="E637" s="178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178"/>
      <c r="B638" s="178"/>
      <c r="C638" s="178"/>
      <c r="D638" s="178"/>
      <c r="E638" s="178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178"/>
      <c r="B639" s="178"/>
      <c r="C639" s="178"/>
      <c r="D639" s="178"/>
      <c r="E639" s="178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178"/>
      <c r="B640" s="178"/>
      <c r="C640" s="178"/>
      <c r="D640" s="178"/>
      <c r="E640" s="178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178"/>
      <c r="B641" s="178"/>
      <c r="C641" s="178"/>
      <c r="D641" s="178"/>
      <c r="E641" s="178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178"/>
      <c r="B642" s="178"/>
      <c r="C642" s="178"/>
      <c r="D642" s="178"/>
      <c r="E642" s="178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178"/>
      <c r="B643" s="178"/>
      <c r="C643" s="178"/>
      <c r="D643" s="178"/>
      <c r="E643" s="178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178"/>
      <c r="B644" s="178"/>
      <c r="C644" s="178"/>
      <c r="D644" s="178"/>
      <c r="E644" s="178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178"/>
      <c r="B645" s="178"/>
      <c r="C645" s="178"/>
      <c r="D645" s="178"/>
      <c r="E645" s="178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178"/>
      <c r="B646" s="178"/>
      <c r="C646" s="178"/>
      <c r="D646" s="178"/>
      <c r="E646" s="178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178"/>
      <c r="B647" s="178"/>
      <c r="C647" s="178"/>
      <c r="D647" s="178"/>
      <c r="E647" s="178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178"/>
      <c r="B648" s="178"/>
      <c r="C648" s="178"/>
      <c r="D648" s="178"/>
      <c r="E648" s="178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178"/>
      <c r="B649" s="178"/>
      <c r="C649" s="178"/>
      <c r="D649" s="178"/>
      <c r="E649" s="178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178"/>
      <c r="B650" s="178"/>
      <c r="C650" s="178"/>
      <c r="D650" s="178"/>
      <c r="E650" s="178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178"/>
      <c r="B651" s="178"/>
      <c r="C651" s="178"/>
      <c r="D651" s="178"/>
      <c r="E651" s="178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178"/>
      <c r="B652" s="178"/>
      <c r="C652" s="178"/>
      <c r="D652" s="178"/>
      <c r="E652" s="178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178"/>
      <c r="B653" s="178"/>
      <c r="C653" s="178"/>
      <c r="D653" s="178"/>
      <c r="E653" s="178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178"/>
      <c r="B654" s="178"/>
      <c r="C654" s="178"/>
      <c r="D654" s="178"/>
      <c r="E654" s="178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178"/>
      <c r="B655" s="178"/>
      <c r="C655" s="178"/>
      <c r="D655" s="178"/>
      <c r="E655" s="178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178"/>
      <c r="B656" s="178"/>
      <c r="C656" s="178"/>
      <c r="D656" s="178"/>
      <c r="E656" s="178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178"/>
      <c r="B657" s="178"/>
      <c r="C657" s="178"/>
      <c r="D657" s="178"/>
      <c r="E657" s="178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178"/>
      <c r="B658" s="178"/>
      <c r="C658" s="178"/>
      <c r="D658" s="178"/>
      <c r="E658" s="178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178"/>
      <c r="B659" s="178"/>
      <c r="C659" s="178"/>
      <c r="D659" s="178"/>
      <c r="E659" s="178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178"/>
      <c r="B660" s="178"/>
      <c r="C660" s="178"/>
      <c r="D660" s="178"/>
      <c r="E660" s="178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178"/>
      <c r="B661" s="178"/>
      <c r="C661" s="178"/>
      <c r="D661" s="178"/>
      <c r="E661" s="178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178"/>
      <c r="B662" s="178"/>
      <c r="C662" s="178"/>
      <c r="D662" s="178"/>
      <c r="E662" s="178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178"/>
      <c r="B663" s="178"/>
      <c r="C663" s="178"/>
      <c r="D663" s="178"/>
      <c r="E663" s="178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178"/>
      <c r="B664" s="178"/>
      <c r="C664" s="178"/>
      <c r="D664" s="178"/>
      <c r="E664" s="178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178"/>
      <c r="B665" s="178"/>
      <c r="C665" s="178"/>
      <c r="D665" s="178"/>
      <c r="E665" s="178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178"/>
      <c r="B666" s="178"/>
      <c r="C666" s="178"/>
      <c r="D666" s="178"/>
      <c r="E666" s="178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178"/>
      <c r="B667" s="178"/>
      <c r="C667" s="178"/>
      <c r="D667" s="178"/>
      <c r="E667" s="178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178"/>
      <c r="B668" s="178"/>
      <c r="C668" s="178"/>
      <c r="D668" s="178"/>
      <c r="E668" s="178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178"/>
      <c r="B669" s="178"/>
      <c r="C669" s="178"/>
      <c r="D669" s="178"/>
      <c r="E669" s="178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178"/>
      <c r="B670" s="178"/>
      <c r="C670" s="178"/>
      <c r="D670" s="178"/>
      <c r="E670" s="178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178"/>
      <c r="B671" s="178"/>
      <c r="C671" s="178"/>
      <c r="D671" s="178"/>
      <c r="E671" s="178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178"/>
      <c r="B672" s="178"/>
      <c r="C672" s="178"/>
      <c r="D672" s="178"/>
      <c r="E672" s="178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178"/>
      <c r="B673" s="178"/>
      <c r="C673" s="178"/>
      <c r="D673" s="178"/>
      <c r="E673" s="178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178"/>
      <c r="B674" s="178"/>
      <c r="C674" s="178"/>
      <c r="D674" s="178"/>
      <c r="E674" s="178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178"/>
      <c r="B675" s="178"/>
      <c r="C675" s="178"/>
      <c r="D675" s="178"/>
      <c r="E675" s="178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178"/>
      <c r="B676" s="178"/>
      <c r="C676" s="178"/>
      <c r="D676" s="178"/>
      <c r="E676" s="178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178"/>
      <c r="B677" s="178"/>
      <c r="C677" s="178"/>
      <c r="D677" s="178"/>
      <c r="E677" s="178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178"/>
      <c r="B678" s="178"/>
      <c r="C678" s="178"/>
      <c r="D678" s="178"/>
      <c r="E678" s="178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178"/>
      <c r="B679" s="178"/>
      <c r="C679" s="178"/>
      <c r="D679" s="178"/>
      <c r="E679" s="178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178"/>
      <c r="B680" s="178"/>
      <c r="C680" s="178"/>
      <c r="D680" s="178"/>
      <c r="E680" s="178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178"/>
      <c r="B681" s="178"/>
      <c r="C681" s="178"/>
      <c r="D681" s="178"/>
      <c r="E681" s="178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178"/>
      <c r="B682" s="178"/>
      <c r="C682" s="178"/>
      <c r="D682" s="178"/>
      <c r="E682" s="178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178"/>
      <c r="B683" s="178"/>
      <c r="C683" s="178"/>
      <c r="D683" s="178"/>
      <c r="E683" s="178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178"/>
      <c r="B684" s="178"/>
      <c r="C684" s="178"/>
      <c r="D684" s="178"/>
      <c r="E684" s="178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178"/>
      <c r="B685" s="178"/>
      <c r="C685" s="178"/>
      <c r="D685" s="178"/>
      <c r="E685" s="178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178"/>
      <c r="B686" s="178"/>
      <c r="C686" s="178"/>
      <c r="D686" s="178"/>
      <c r="E686" s="178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178"/>
      <c r="B687" s="178"/>
      <c r="C687" s="178"/>
      <c r="D687" s="178"/>
      <c r="E687" s="178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178"/>
      <c r="B688" s="178"/>
      <c r="C688" s="178"/>
      <c r="D688" s="178"/>
      <c r="E688" s="178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178"/>
      <c r="B689" s="178"/>
      <c r="C689" s="178"/>
      <c r="D689" s="178"/>
      <c r="E689" s="178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178"/>
      <c r="B690" s="178"/>
      <c r="C690" s="178"/>
      <c r="D690" s="178"/>
      <c r="E690" s="178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178"/>
      <c r="B691" s="178"/>
      <c r="C691" s="178"/>
      <c r="D691" s="178"/>
      <c r="E691" s="178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178"/>
      <c r="B692" s="178"/>
      <c r="C692" s="178"/>
      <c r="D692" s="178"/>
      <c r="E692" s="178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178"/>
      <c r="B693" s="178"/>
      <c r="C693" s="178"/>
      <c r="D693" s="178"/>
      <c r="E693" s="178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178"/>
      <c r="B694" s="178"/>
      <c r="C694" s="178"/>
      <c r="D694" s="178"/>
      <c r="E694" s="178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178"/>
      <c r="B695" s="178"/>
      <c r="C695" s="178"/>
      <c r="D695" s="178"/>
      <c r="E695" s="178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178"/>
      <c r="B696" s="178"/>
      <c r="C696" s="178"/>
      <c r="D696" s="178"/>
      <c r="E696" s="178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178"/>
      <c r="B697" s="178"/>
      <c r="C697" s="178"/>
      <c r="D697" s="178"/>
      <c r="E697" s="178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178"/>
      <c r="B698" s="178"/>
      <c r="C698" s="178"/>
      <c r="D698" s="178"/>
      <c r="E698" s="178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178"/>
      <c r="B699" s="178"/>
      <c r="C699" s="178"/>
      <c r="D699" s="178"/>
      <c r="E699" s="178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178"/>
      <c r="B700" s="178"/>
      <c r="C700" s="178"/>
      <c r="D700" s="178"/>
      <c r="E700" s="178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178"/>
      <c r="B701" s="178"/>
      <c r="C701" s="178"/>
      <c r="D701" s="178"/>
      <c r="E701" s="178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178"/>
      <c r="B702" s="178"/>
      <c r="C702" s="178"/>
      <c r="D702" s="178"/>
      <c r="E702" s="178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178"/>
      <c r="B703" s="178"/>
      <c r="C703" s="178"/>
      <c r="D703" s="178"/>
      <c r="E703" s="178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178"/>
      <c r="B704" s="178"/>
      <c r="C704" s="178"/>
      <c r="D704" s="178"/>
      <c r="E704" s="178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178"/>
      <c r="B705" s="178"/>
      <c r="C705" s="178"/>
      <c r="D705" s="178"/>
      <c r="E705" s="178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178"/>
      <c r="B706" s="178"/>
      <c r="C706" s="178"/>
      <c r="D706" s="178"/>
      <c r="E706" s="178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178"/>
      <c r="B707" s="178"/>
      <c r="C707" s="178"/>
      <c r="D707" s="178"/>
      <c r="E707" s="178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178"/>
      <c r="B708" s="178"/>
      <c r="C708" s="178"/>
      <c r="D708" s="178"/>
      <c r="E708" s="178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178"/>
      <c r="B709" s="178"/>
      <c r="C709" s="178"/>
      <c r="D709" s="178"/>
      <c r="E709" s="178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178"/>
      <c r="B710" s="178"/>
      <c r="C710" s="178"/>
      <c r="D710" s="178"/>
      <c r="E710" s="178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178"/>
      <c r="B711" s="178"/>
      <c r="C711" s="178"/>
      <c r="D711" s="178"/>
      <c r="E711" s="178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178"/>
      <c r="B712" s="178"/>
      <c r="C712" s="178"/>
      <c r="D712" s="178"/>
      <c r="E712" s="178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178"/>
      <c r="B713" s="178"/>
      <c r="C713" s="178"/>
      <c r="D713" s="178"/>
      <c r="E713" s="178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178"/>
      <c r="B714" s="178"/>
      <c r="C714" s="178"/>
      <c r="D714" s="178"/>
      <c r="E714" s="178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178"/>
      <c r="B715" s="178"/>
      <c r="C715" s="178"/>
      <c r="D715" s="178"/>
      <c r="E715" s="178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178"/>
      <c r="B716" s="178"/>
      <c r="C716" s="178"/>
      <c r="D716" s="178"/>
      <c r="E716" s="178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178"/>
      <c r="B717" s="178"/>
      <c r="C717" s="178"/>
      <c r="D717" s="178"/>
      <c r="E717" s="178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178"/>
      <c r="B718" s="178"/>
      <c r="C718" s="178"/>
      <c r="D718" s="178"/>
      <c r="E718" s="178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178"/>
      <c r="B719" s="178"/>
      <c r="C719" s="178"/>
      <c r="D719" s="178"/>
      <c r="E719" s="178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178"/>
      <c r="B720" s="178"/>
      <c r="C720" s="178"/>
      <c r="D720" s="178"/>
      <c r="E720" s="178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178"/>
      <c r="B721" s="178"/>
      <c r="C721" s="178"/>
      <c r="D721" s="178"/>
      <c r="E721" s="178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178"/>
      <c r="B722" s="178"/>
      <c r="C722" s="178"/>
      <c r="D722" s="178"/>
      <c r="E722" s="178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178"/>
      <c r="B723" s="178"/>
      <c r="C723" s="178"/>
      <c r="D723" s="178"/>
      <c r="E723" s="178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178"/>
      <c r="B724" s="178"/>
      <c r="C724" s="178"/>
      <c r="D724" s="178"/>
      <c r="E724" s="178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178"/>
      <c r="B725" s="178"/>
      <c r="C725" s="178"/>
      <c r="D725" s="178"/>
      <c r="E725" s="178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178"/>
      <c r="B726" s="178"/>
      <c r="C726" s="178"/>
      <c r="D726" s="178"/>
      <c r="E726" s="178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178"/>
      <c r="B727" s="178"/>
      <c r="C727" s="178"/>
      <c r="D727" s="178"/>
      <c r="E727" s="178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178"/>
      <c r="B728" s="178"/>
      <c r="C728" s="178"/>
      <c r="D728" s="178"/>
      <c r="E728" s="178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178"/>
      <c r="B729" s="178"/>
      <c r="C729" s="178"/>
      <c r="D729" s="178"/>
      <c r="E729" s="178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178"/>
      <c r="B730" s="178"/>
      <c r="C730" s="178"/>
      <c r="D730" s="178"/>
      <c r="E730" s="178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178"/>
      <c r="B731" s="178"/>
      <c r="C731" s="178"/>
      <c r="D731" s="178"/>
      <c r="E731" s="178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178"/>
      <c r="B732" s="178"/>
      <c r="C732" s="178"/>
      <c r="D732" s="178"/>
      <c r="E732" s="178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178"/>
      <c r="B733" s="178"/>
      <c r="C733" s="178"/>
      <c r="D733" s="178"/>
      <c r="E733" s="178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178"/>
      <c r="B734" s="178"/>
      <c r="C734" s="178"/>
      <c r="D734" s="178"/>
      <c r="E734" s="178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178"/>
      <c r="B735" s="178"/>
      <c r="C735" s="178"/>
      <c r="D735" s="178"/>
      <c r="E735" s="178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178"/>
      <c r="B736" s="178"/>
      <c r="C736" s="178"/>
      <c r="D736" s="178"/>
      <c r="E736" s="178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178"/>
      <c r="B737" s="178"/>
      <c r="C737" s="178"/>
      <c r="D737" s="178"/>
      <c r="E737" s="178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178"/>
      <c r="B738" s="178"/>
      <c r="C738" s="178"/>
      <c r="D738" s="178"/>
      <c r="E738" s="178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178"/>
      <c r="B739" s="178"/>
      <c r="C739" s="178"/>
      <c r="D739" s="178"/>
      <c r="E739" s="178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178"/>
      <c r="B740" s="178"/>
      <c r="C740" s="178"/>
      <c r="D740" s="178"/>
      <c r="E740" s="178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178"/>
      <c r="B741" s="178"/>
      <c r="C741" s="178"/>
      <c r="D741" s="178"/>
      <c r="E741" s="178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178"/>
      <c r="B742" s="178"/>
      <c r="C742" s="178"/>
      <c r="D742" s="178"/>
      <c r="E742" s="178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178"/>
      <c r="B743" s="178"/>
      <c r="C743" s="178"/>
      <c r="D743" s="178"/>
      <c r="E743" s="178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178"/>
      <c r="B744" s="178"/>
      <c r="C744" s="178"/>
      <c r="D744" s="178"/>
      <c r="E744" s="178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178"/>
      <c r="B745" s="178"/>
      <c r="C745" s="178"/>
      <c r="D745" s="178"/>
      <c r="E745" s="178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178"/>
      <c r="B746" s="178"/>
      <c r="C746" s="178"/>
      <c r="D746" s="178"/>
      <c r="E746" s="178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178"/>
      <c r="B747" s="178"/>
      <c r="C747" s="178"/>
      <c r="D747" s="178"/>
      <c r="E747" s="178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178"/>
      <c r="B748" s="178"/>
      <c r="C748" s="178"/>
      <c r="D748" s="178"/>
      <c r="E748" s="178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178"/>
      <c r="B749" s="178"/>
      <c r="C749" s="178"/>
      <c r="D749" s="178"/>
      <c r="E749" s="178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178"/>
      <c r="B750" s="178"/>
      <c r="C750" s="178"/>
      <c r="D750" s="178"/>
      <c r="E750" s="178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178"/>
      <c r="B751" s="178"/>
      <c r="C751" s="178"/>
      <c r="D751" s="178"/>
      <c r="E751" s="178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178"/>
      <c r="B752" s="178"/>
      <c r="C752" s="178"/>
      <c r="D752" s="178"/>
      <c r="E752" s="178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178"/>
      <c r="B753" s="178"/>
      <c r="C753" s="178"/>
      <c r="D753" s="178"/>
      <c r="E753" s="178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178"/>
      <c r="B754" s="178"/>
      <c r="C754" s="178"/>
      <c r="D754" s="178"/>
      <c r="E754" s="178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178"/>
      <c r="B755" s="178"/>
      <c r="C755" s="178"/>
      <c r="D755" s="178"/>
      <c r="E755" s="178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178"/>
      <c r="B756" s="178"/>
      <c r="C756" s="178"/>
      <c r="D756" s="178"/>
      <c r="E756" s="178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178"/>
      <c r="B757" s="178"/>
      <c r="C757" s="178"/>
      <c r="D757" s="178"/>
      <c r="E757" s="178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178"/>
      <c r="B758" s="178"/>
      <c r="C758" s="178"/>
      <c r="D758" s="178"/>
      <c r="E758" s="178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178"/>
      <c r="B759" s="178"/>
      <c r="C759" s="178"/>
      <c r="D759" s="178"/>
      <c r="E759" s="178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178"/>
      <c r="B760" s="178"/>
      <c r="C760" s="178"/>
      <c r="D760" s="178"/>
      <c r="E760" s="178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178"/>
      <c r="B761" s="178"/>
      <c r="C761" s="178"/>
      <c r="D761" s="178"/>
      <c r="E761" s="178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178"/>
      <c r="B762" s="178"/>
      <c r="C762" s="178"/>
      <c r="D762" s="178"/>
      <c r="E762" s="178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178"/>
      <c r="B763" s="178"/>
      <c r="C763" s="178"/>
      <c r="D763" s="178"/>
      <c r="E763" s="178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178"/>
      <c r="B764" s="178"/>
      <c r="C764" s="178"/>
      <c r="D764" s="178"/>
      <c r="E764" s="178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178"/>
      <c r="B765" s="178"/>
      <c r="C765" s="178"/>
      <c r="D765" s="178"/>
      <c r="E765" s="178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178"/>
      <c r="B766" s="178"/>
      <c r="C766" s="178"/>
      <c r="D766" s="178"/>
      <c r="E766" s="178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178"/>
      <c r="B767" s="178"/>
      <c r="C767" s="178"/>
      <c r="D767" s="178"/>
      <c r="E767" s="178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178"/>
      <c r="B768" s="178"/>
      <c r="C768" s="178"/>
      <c r="D768" s="178"/>
      <c r="E768" s="178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178"/>
      <c r="B769" s="178"/>
      <c r="C769" s="178"/>
      <c r="D769" s="178"/>
      <c r="E769" s="178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178"/>
      <c r="B770" s="178"/>
      <c r="C770" s="178"/>
      <c r="D770" s="178"/>
      <c r="E770" s="178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178"/>
      <c r="B771" s="178"/>
      <c r="C771" s="178"/>
      <c r="D771" s="178"/>
      <c r="E771" s="178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178"/>
      <c r="B772" s="178"/>
      <c r="C772" s="178"/>
      <c r="D772" s="178"/>
      <c r="E772" s="178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178"/>
      <c r="B773" s="178"/>
      <c r="C773" s="178"/>
      <c r="D773" s="178"/>
      <c r="E773" s="178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178"/>
      <c r="B774" s="178"/>
      <c r="C774" s="178"/>
      <c r="D774" s="178"/>
      <c r="E774" s="178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178"/>
      <c r="B775" s="178"/>
      <c r="C775" s="178"/>
      <c r="D775" s="178"/>
      <c r="E775" s="178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178"/>
      <c r="B776" s="178"/>
      <c r="C776" s="178"/>
      <c r="D776" s="178"/>
      <c r="E776" s="178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178"/>
      <c r="B777" s="178"/>
      <c r="C777" s="178"/>
      <c r="D777" s="178"/>
      <c r="E777" s="178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178"/>
      <c r="B778" s="178"/>
      <c r="C778" s="178"/>
      <c r="D778" s="178"/>
      <c r="E778" s="178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178"/>
      <c r="B779" s="178"/>
      <c r="C779" s="178"/>
      <c r="D779" s="178"/>
      <c r="E779" s="178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178"/>
      <c r="B780" s="178"/>
      <c r="C780" s="178"/>
      <c r="D780" s="178"/>
      <c r="E780" s="178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178"/>
      <c r="B781" s="178"/>
      <c r="C781" s="178"/>
      <c r="D781" s="178"/>
      <c r="E781" s="178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178"/>
      <c r="B782" s="178"/>
      <c r="C782" s="178"/>
      <c r="D782" s="178"/>
      <c r="E782" s="178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178"/>
      <c r="B783" s="178"/>
      <c r="C783" s="178"/>
      <c r="D783" s="178"/>
      <c r="E783" s="178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178"/>
      <c r="B784" s="178"/>
      <c r="C784" s="178"/>
      <c r="D784" s="178"/>
      <c r="E784" s="178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178"/>
      <c r="B785" s="178"/>
      <c r="C785" s="178"/>
      <c r="D785" s="178"/>
      <c r="E785" s="178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178"/>
      <c r="B786" s="178"/>
      <c r="C786" s="178"/>
      <c r="D786" s="178"/>
      <c r="E786" s="178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178"/>
      <c r="B787" s="178"/>
      <c r="C787" s="178"/>
      <c r="D787" s="178"/>
      <c r="E787" s="178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178"/>
      <c r="B788" s="178"/>
      <c r="C788" s="178"/>
      <c r="D788" s="178"/>
      <c r="E788" s="178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178"/>
      <c r="B789" s="178"/>
      <c r="C789" s="178"/>
      <c r="D789" s="178"/>
      <c r="E789" s="178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178"/>
      <c r="B790" s="178"/>
      <c r="C790" s="178"/>
      <c r="D790" s="178"/>
      <c r="E790" s="178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178"/>
      <c r="B791" s="178"/>
      <c r="C791" s="178"/>
      <c r="D791" s="178"/>
      <c r="E791" s="178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178"/>
      <c r="B792" s="178"/>
      <c r="C792" s="178"/>
      <c r="D792" s="178"/>
      <c r="E792" s="178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178"/>
      <c r="B793" s="178"/>
      <c r="C793" s="178"/>
      <c r="D793" s="178"/>
      <c r="E793" s="178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178"/>
      <c r="B794" s="178"/>
      <c r="C794" s="178"/>
      <c r="D794" s="178"/>
      <c r="E794" s="178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178"/>
      <c r="B795" s="178"/>
      <c r="C795" s="178"/>
      <c r="D795" s="178"/>
      <c r="E795" s="178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178"/>
      <c r="B796" s="178"/>
      <c r="C796" s="178"/>
      <c r="D796" s="178"/>
      <c r="E796" s="178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178"/>
      <c r="B797" s="178"/>
      <c r="C797" s="178"/>
      <c r="D797" s="178"/>
      <c r="E797" s="178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178"/>
      <c r="B798" s="178"/>
      <c r="C798" s="178"/>
      <c r="D798" s="178"/>
      <c r="E798" s="178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178"/>
      <c r="B799" s="178"/>
      <c r="C799" s="178"/>
      <c r="D799" s="178"/>
      <c r="E799" s="178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178"/>
      <c r="B800" s="178"/>
      <c r="C800" s="178"/>
      <c r="D800" s="178"/>
      <c r="E800" s="178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178"/>
      <c r="B801" s="178"/>
      <c r="C801" s="178"/>
      <c r="D801" s="178"/>
      <c r="E801" s="178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178"/>
      <c r="B802" s="178"/>
      <c r="C802" s="178"/>
      <c r="D802" s="178"/>
      <c r="E802" s="178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178"/>
      <c r="B803" s="178"/>
      <c r="C803" s="178"/>
      <c r="D803" s="178"/>
      <c r="E803" s="178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178"/>
      <c r="B804" s="178"/>
      <c r="C804" s="178"/>
      <c r="D804" s="178"/>
      <c r="E804" s="178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178"/>
      <c r="B805" s="178"/>
      <c r="C805" s="178"/>
      <c r="D805" s="178"/>
      <c r="E805" s="178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178"/>
      <c r="B806" s="178"/>
      <c r="C806" s="178"/>
      <c r="D806" s="178"/>
      <c r="E806" s="178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178"/>
      <c r="B807" s="178"/>
      <c r="C807" s="178"/>
      <c r="D807" s="178"/>
      <c r="E807" s="178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178"/>
      <c r="B808" s="178"/>
      <c r="C808" s="178"/>
      <c r="D808" s="178"/>
      <c r="E808" s="178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178"/>
      <c r="B809" s="178"/>
      <c r="C809" s="178"/>
      <c r="D809" s="178"/>
      <c r="E809" s="178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178"/>
      <c r="B810" s="178"/>
      <c r="C810" s="178"/>
      <c r="D810" s="178"/>
      <c r="E810" s="178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178"/>
      <c r="B811" s="178"/>
      <c r="C811" s="178"/>
      <c r="D811" s="178"/>
      <c r="E811" s="178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178"/>
      <c r="B812" s="178"/>
      <c r="C812" s="178"/>
      <c r="D812" s="178"/>
      <c r="E812" s="178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178"/>
      <c r="B813" s="178"/>
      <c r="C813" s="178"/>
      <c r="D813" s="178"/>
      <c r="E813" s="178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178"/>
      <c r="B814" s="178"/>
      <c r="C814" s="178"/>
      <c r="D814" s="178"/>
      <c r="E814" s="178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178"/>
      <c r="B815" s="178"/>
      <c r="C815" s="178"/>
      <c r="D815" s="178"/>
      <c r="E815" s="178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178"/>
      <c r="B816" s="178"/>
      <c r="C816" s="178"/>
      <c r="D816" s="178"/>
      <c r="E816" s="178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178"/>
      <c r="B817" s="178"/>
      <c r="C817" s="178"/>
      <c r="D817" s="178"/>
      <c r="E817" s="178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178"/>
      <c r="B818" s="178"/>
      <c r="C818" s="178"/>
      <c r="D818" s="178"/>
      <c r="E818" s="178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178"/>
      <c r="B819" s="178"/>
      <c r="C819" s="178"/>
      <c r="D819" s="178"/>
      <c r="E819" s="178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178"/>
      <c r="B820" s="178"/>
      <c r="C820" s="178"/>
      <c r="D820" s="178"/>
      <c r="E820" s="178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178"/>
      <c r="B821" s="178"/>
      <c r="C821" s="178"/>
      <c r="D821" s="178"/>
      <c r="E821" s="178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178"/>
      <c r="B822" s="178"/>
      <c r="C822" s="178"/>
      <c r="D822" s="178"/>
      <c r="E822" s="178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178"/>
      <c r="B823" s="178"/>
      <c r="C823" s="178"/>
      <c r="D823" s="178"/>
      <c r="E823" s="178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178"/>
      <c r="B824" s="178"/>
      <c r="C824" s="178"/>
      <c r="D824" s="178"/>
      <c r="E824" s="178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178"/>
      <c r="B825" s="178"/>
      <c r="C825" s="178"/>
      <c r="D825" s="178"/>
      <c r="E825" s="178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178"/>
      <c r="B826" s="178"/>
      <c r="C826" s="178"/>
      <c r="D826" s="178"/>
      <c r="E826" s="178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178"/>
      <c r="B827" s="178"/>
      <c r="C827" s="178"/>
      <c r="D827" s="178"/>
      <c r="E827" s="178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178"/>
      <c r="B828" s="178"/>
      <c r="C828" s="178"/>
      <c r="D828" s="178"/>
      <c r="E828" s="178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178"/>
      <c r="B829" s="178"/>
      <c r="C829" s="178"/>
      <c r="D829" s="178"/>
      <c r="E829" s="178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178"/>
      <c r="B830" s="178"/>
      <c r="C830" s="178"/>
      <c r="D830" s="178"/>
      <c r="E830" s="178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178"/>
      <c r="B831" s="178"/>
      <c r="C831" s="178"/>
      <c r="D831" s="178"/>
      <c r="E831" s="178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178"/>
      <c r="B832" s="178"/>
      <c r="C832" s="178"/>
      <c r="D832" s="178"/>
      <c r="E832" s="178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178"/>
      <c r="B833" s="178"/>
      <c r="C833" s="178"/>
      <c r="D833" s="178"/>
      <c r="E833" s="178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178"/>
      <c r="B834" s="178"/>
      <c r="C834" s="178"/>
      <c r="D834" s="178"/>
      <c r="E834" s="178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178"/>
      <c r="B835" s="178"/>
      <c r="C835" s="178"/>
      <c r="D835" s="178"/>
      <c r="E835" s="178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178"/>
      <c r="B836" s="178"/>
      <c r="C836" s="178"/>
      <c r="D836" s="178"/>
      <c r="E836" s="178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178"/>
      <c r="B837" s="178"/>
      <c r="C837" s="178"/>
      <c r="D837" s="178"/>
      <c r="E837" s="178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178"/>
      <c r="B838" s="178"/>
      <c r="C838" s="178"/>
      <c r="D838" s="178"/>
      <c r="E838" s="178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178"/>
      <c r="B839" s="178"/>
      <c r="C839" s="178"/>
      <c r="D839" s="178"/>
      <c r="E839" s="178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178"/>
      <c r="B840" s="178"/>
      <c r="C840" s="178"/>
      <c r="D840" s="178"/>
      <c r="E840" s="178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178"/>
      <c r="B841" s="178"/>
      <c r="C841" s="178"/>
      <c r="D841" s="178"/>
      <c r="E841" s="178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178"/>
      <c r="B842" s="178"/>
      <c r="C842" s="178"/>
      <c r="D842" s="178"/>
      <c r="E842" s="178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178"/>
      <c r="B843" s="178"/>
      <c r="C843" s="178"/>
      <c r="D843" s="178"/>
      <c r="E843" s="178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178"/>
      <c r="B844" s="178"/>
      <c r="C844" s="178"/>
      <c r="D844" s="178"/>
      <c r="E844" s="178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178"/>
      <c r="B845" s="178"/>
      <c r="C845" s="178"/>
      <c r="D845" s="178"/>
      <c r="E845" s="178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178"/>
      <c r="B846" s="178"/>
      <c r="C846" s="178"/>
      <c r="D846" s="178"/>
      <c r="E846" s="178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178"/>
      <c r="B847" s="178"/>
      <c r="C847" s="178"/>
      <c r="D847" s="178"/>
      <c r="E847" s="178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178"/>
      <c r="B848" s="178"/>
      <c r="C848" s="178"/>
      <c r="D848" s="178"/>
      <c r="E848" s="178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178"/>
      <c r="B849" s="178"/>
      <c r="C849" s="178"/>
      <c r="D849" s="178"/>
      <c r="E849" s="178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178"/>
      <c r="B850" s="178"/>
      <c r="C850" s="178"/>
      <c r="D850" s="178"/>
      <c r="E850" s="178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178"/>
      <c r="B851" s="178"/>
      <c r="C851" s="178"/>
      <c r="D851" s="178"/>
      <c r="E851" s="178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178"/>
      <c r="B852" s="178"/>
      <c r="C852" s="178"/>
      <c r="D852" s="178"/>
      <c r="E852" s="178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178"/>
      <c r="B853" s="178"/>
      <c r="C853" s="178"/>
      <c r="D853" s="178"/>
      <c r="E853" s="178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178"/>
      <c r="B854" s="178"/>
      <c r="C854" s="178"/>
      <c r="D854" s="178"/>
      <c r="E854" s="178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178"/>
      <c r="B855" s="178"/>
      <c r="C855" s="178"/>
      <c r="D855" s="178"/>
      <c r="E855" s="178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178"/>
      <c r="B856" s="178"/>
      <c r="C856" s="178"/>
      <c r="D856" s="178"/>
      <c r="E856" s="178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178"/>
      <c r="B857" s="178"/>
      <c r="C857" s="178"/>
      <c r="D857" s="178"/>
      <c r="E857" s="178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178"/>
      <c r="B858" s="178"/>
      <c r="C858" s="178"/>
      <c r="D858" s="178"/>
      <c r="E858" s="178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178"/>
      <c r="B859" s="178"/>
      <c r="C859" s="178"/>
      <c r="D859" s="178"/>
      <c r="E859" s="178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178"/>
      <c r="B860" s="178"/>
      <c r="C860" s="178"/>
      <c r="D860" s="178"/>
      <c r="E860" s="178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178"/>
      <c r="B861" s="178"/>
      <c r="C861" s="178"/>
      <c r="D861" s="178"/>
      <c r="E861" s="178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178"/>
      <c r="B862" s="178"/>
      <c r="C862" s="178"/>
      <c r="D862" s="178"/>
      <c r="E862" s="178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178"/>
      <c r="B863" s="178"/>
      <c r="C863" s="178"/>
      <c r="D863" s="178"/>
      <c r="E863" s="178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178"/>
      <c r="B864" s="178"/>
      <c r="C864" s="178"/>
      <c r="D864" s="178"/>
      <c r="E864" s="178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178"/>
      <c r="B865" s="178"/>
      <c r="C865" s="178"/>
      <c r="D865" s="178"/>
      <c r="E865" s="178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178"/>
      <c r="B866" s="178"/>
      <c r="C866" s="178"/>
      <c r="D866" s="178"/>
      <c r="E866" s="178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178"/>
      <c r="B867" s="178"/>
      <c r="C867" s="178"/>
      <c r="D867" s="178"/>
      <c r="E867" s="178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178"/>
      <c r="B868" s="178"/>
      <c r="C868" s="178"/>
      <c r="D868" s="178"/>
      <c r="E868" s="178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178"/>
      <c r="B869" s="178"/>
      <c r="C869" s="178"/>
      <c r="D869" s="178"/>
      <c r="E869" s="178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178"/>
      <c r="B870" s="178"/>
      <c r="C870" s="178"/>
      <c r="D870" s="178"/>
      <c r="E870" s="178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178"/>
      <c r="B871" s="178"/>
      <c r="C871" s="178"/>
      <c r="D871" s="178"/>
      <c r="E871" s="178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178"/>
      <c r="B872" s="178"/>
      <c r="C872" s="178"/>
      <c r="D872" s="178"/>
      <c r="E872" s="178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178"/>
      <c r="B873" s="178"/>
      <c r="C873" s="178"/>
      <c r="D873" s="178"/>
      <c r="E873" s="178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178"/>
      <c r="B874" s="178"/>
      <c r="C874" s="178"/>
      <c r="D874" s="178"/>
      <c r="E874" s="178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178"/>
      <c r="B875" s="178"/>
      <c r="C875" s="178"/>
      <c r="D875" s="178"/>
      <c r="E875" s="178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178"/>
      <c r="B876" s="178"/>
      <c r="C876" s="178"/>
      <c r="D876" s="178"/>
      <c r="E876" s="178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178"/>
      <c r="B877" s="178"/>
      <c r="C877" s="178"/>
      <c r="D877" s="178"/>
      <c r="E877" s="178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178"/>
      <c r="B878" s="178"/>
      <c r="C878" s="178"/>
      <c r="D878" s="178"/>
      <c r="E878" s="178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178"/>
      <c r="B879" s="178"/>
      <c r="C879" s="178"/>
      <c r="D879" s="178"/>
      <c r="E879" s="178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178"/>
      <c r="B880" s="178"/>
      <c r="C880" s="178"/>
      <c r="D880" s="178"/>
      <c r="E880" s="178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178"/>
      <c r="B881" s="178"/>
      <c r="C881" s="178"/>
      <c r="D881" s="178"/>
      <c r="E881" s="178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178"/>
      <c r="B882" s="178"/>
      <c r="C882" s="178"/>
      <c r="D882" s="178"/>
      <c r="E882" s="178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178"/>
      <c r="B883" s="178"/>
      <c r="C883" s="178"/>
      <c r="D883" s="178"/>
      <c r="E883" s="178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178"/>
      <c r="B884" s="178"/>
      <c r="C884" s="178"/>
      <c r="D884" s="178"/>
      <c r="E884" s="178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178"/>
      <c r="B885" s="178"/>
      <c r="C885" s="178"/>
      <c r="D885" s="178"/>
      <c r="E885" s="178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178"/>
      <c r="B886" s="178"/>
      <c r="C886" s="178"/>
      <c r="D886" s="178"/>
      <c r="E886" s="178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178"/>
      <c r="B887" s="178"/>
      <c r="C887" s="178"/>
      <c r="D887" s="178"/>
      <c r="E887" s="178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178"/>
      <c r="B888" s="178"/>
      <c r="C888" s="178"/>
      <c r="D888" s="178"/>
      <c r="E888" s="178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178"/>
      <c r="B889" s="178"/>
      <c r="C889" s="178"/>
      <c r="D889" s="178"/>
      <c r="E889" s="178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178"/>
      <c r="B890" s="178"/>
      <c r="C890" s="178"/>
      <c r="D890" s="178"/>
      <c r="E890" s="178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178"/>
      <c r="B891" s="178"/>
      <c r="C891" s="178"/>
      <c r="D891" s="178"/>
      <c r="E891" s="178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178"/>
      <c r="B892" s="178"/>
      <c r="C892" s="178"/>
      <c r="D892" s="178"/>
      <c r="E892" s="178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178"/>
      <c r="B893" s="178"/>
      <c r="C893" s="178"/>
      <c r="D893" s="178"/>
      <c r="E893" s="178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178"/>
      <c r="B894" s="178"/>
      <c r="C894" s="178"/>
      <c r="D894" s="178"/>
      <c r="E894" s="178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178"/>
      <c r="B895" s="178"/>
      <c r="C895" s="178"/>
      <c r="D895" s="178"/>
      <c r="E895" s="178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178"/>
      <c r="B896" s="178"/>
      <c r="C896" s="178"/>
      <c r="D896" s="178"/>
      <c r="E896" s="178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178"/>
      <c r="B897" s="178"/>
      <c r="C897" s="178"/>
      <c r="D897" s="178"/>
      <c r="E897" s="178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178"/>
      <c r="B898" s="178"/>
      <c r="C898" s="178"/>
      <c r="D898" s="178"/>
      <c r="E898" s="178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178"/>
      <c r="B899" s="178"/>
      <c r="C899" s="178"/>
      <c r="D899" s="178"/>
      <c r="E899" s="178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178"/>
      <c r="B900" s="178"/>
      <c r="C900" s="178"/>
      <c r="D900" s="178"/>
      <c r="E900" s="178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178"/>
      <c r="B901" s="178"/>
      <c r="C901" s="178"/>
      <c r="D901" s="178"/>
      <c r="E901" s="178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178"/>
      <c r="B902" s="178"/>
      <c r="C902" s="178"/>
      <c r="D902" s="178"/>
      <c r="E902" s="178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178"/>
      <c r="B903" s="178"/>
      <c r="C903" s="178"/>
      <c r="D903" s="178"/>
      <c r="E903" s="178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178"/>
      <c r="B904" s="178"/>
      <c r="C904" s="178"/>
      <c r="D904" s="178"/>
      <c r="E904" s="178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178"/>
      <c r="B905" s="178"/>
      <c r="C905" s="178"/>
      <c r="D905" s="178"/>
      <c r="E905" s="178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178"/>
      <c r="B906" s="178"/>
      <c r="C906" s="178"/>
      <c r="D906" s="178"/>
      <c r="E906" s="178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178"/>
      <c r="B907" s="178"/>
      <c r="C907" s="178"/>
      <c r="D907" s="178"/>
      <c r="E907" s="178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178"/>
      <c r="B908" s="178"/>
      <c r="C908" s="178"/>
      <c r="D908" s="178"/>
      <c r="E908" s="178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178"/>
      <c r="B909" s="178"/>
      <c r="C909" s="178"/>
      <c r="D909" s="178"/>
      <c r="E909" s="178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178"/>
      <c r="B910" s="178"/>
      <c r="C910" s="178"/>
      <c r="D910" s="178"/>
      <c r="E910" s="178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178"/>
      <c r="B911" s="178"/>
      <c r="C911" s="178"/>
      <c r="D911" s="178"/>
      <c r="E911" s="178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178"/>
      <c r="B912" s="178"/>
      <c r="C912" s="178"/>
      <c r="D912" s="178"/>
      <c r="E912" s="178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178"/>
      <c r="B913" s="178"/>
      <c r="C913" s="178"/>
      <c r="D913" s="178"/>
      <c r="E913" s="178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178"/>
      <c r="B914" s="178"/>
      <c r="C914" s="178"/>
      <c r="D914" s="178"/>
      <c r="E914" s="178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178"/>
      <c r="B915" s="178"/>
      <c r="C915" s="178"/>
      <c r="D915" s="178"/>
      <c r="E915" s="178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178"/>
      <c r="B916" s="178"/>
      <c r="C916" s="178"/>
      <c r="D916" s="178"/>
      <c r="E916" s="178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178"/>
      <c r="B917" s="178"/>
      <c r="C917" s="178"/>
      <c r="D917" s="178"/>
      <c r="E917" s="178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178"/>
      <c r="B918" s="178"/>
      <c r="C918" s="178"/>
      <c r="D918" s="178"/>
      <c r="E918" s="178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178"/>
      <c r="B919" s="178"/>
      <c r="C919" s="178"/>
      <c r="D919" s="178"/>
      <c r="E919" s="178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178"/>
      <c r="B920" s="178"/>
      <c r="C920" s="178"/>
      <c r="D920" s="178"/>
      <c r="E920" s="178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178"/>
      <c r="B921" s="178"/>
      <c r="C921" s="178"/>
      <c r="D921" s="178"/>
      <c r="E921" s="178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178"/>
      <c r="B922" s="178"/>
      <c r="C922" s="178"/>
      <c r="D922" s="178"/>
      <c r="E922" s="178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178"/>
      <c r="B923" s="178"/>
      <c r="C923" s="178"/>
      <c r="D923" s="178"/>
      <c r="E923" s="178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178"/>
      <c r="B924" s="178"/>
      <c r="C924" s="178"/>
      <c r="D924" s="178"/>
      <c r="E924" s="178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178"/>
      <c r="B925" s="178"/>
      <c r="C925" s="178"/>
      <c r="D925" s="178"/>
      <c r="E925" s="178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178"/>
      <c r="B926" s="178"/>
      <c r="C926" s="178"/>
      <c r="D926" s="178"/>
      <c r="E926" s="178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178"/>
      <c r="B927" s="178"/>
      <c r="C927" s="178"/>
      <c r="D927" s="178"/>
      <c r="E927" s="178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178"/>
      <c r="B928" s="178"/>
      <c r="C928" s="178"/>
      <c r="D928" s="178"/>
      <c r="E928" s="178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178"/>
      <c r="B929" s="178"/>
      <c r="C929" s="178"/>
      <c r="D929" s="178"/>
      <c r="E929" s="178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178"/>
      <c r="B930" s="178"/>
      <c r="C930" s="178"/>
      <c r="D930" s="178"/>
      <c r="E930" s="178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178"/>
      <c r="B931" s="178"/>
      <c r="C931" s="178"/>
      <c r="D931" s="178"/>
      <c r="E931" s="178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178"/>
      <c r="B932" s="178"/>
      <c r="C932" s="178"/>
      <c r="D932" s="178"/>
      <c r="E932" s="178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178"/>
      <c r="B933" s="178"/>
      <c r="C933" s="178"/>
      <c r="D933" s="178"/>
      <c r="E933" s="178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178"/>
      <c r="B934" s="178"/>
      <c r="C934" s="178"/>
      <c r="D934" s="178"/>
      <c r="E934" s="178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178"/>
      <c r="B935" s="178"/>
      <c r="C935" s="178"/>
      <c r="D935" s="178"/>
      <c r="E935" s="178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178"/>
      <c r="B936" s="178"/>
      <c r="C936" s="178"/>
      <c r="D936" s="178"/>
      <c r="E936" s="178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178"/>
      <c r="B937" s="178"/>
      <c r="C937" s="178"/>
      <c r="D937" s="178"/>
      <c r="E937" s="178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178"/>
      <c r="B938" s="178"/>
      <c r="C938" s="178"/>
      <c r="D938" s="178"/>
      <c r="E938" s="178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178"/>
      <c r="B939" s="178"/>
      <c r="C939" s="178"/>
      <c r="D939" s="178"/>
      <c r="E939" s="178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178"/>
      <c r="B940" s="178"/>
      <c r="C940" s="178"/>
      <c r="D940" s="178"/>
      <c r="E940" s="178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178"/>
      <c r="B941" s="178"/>
      <c r="C941" s="178"/>
      <c r="D941" s="178"/>
      <c r="E941" s="178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178"/>
      <c r="B942" s="178"/>
      <c r="C942" s="178"/>
      <c r="D942" s="178"/>
      <c r="E942" s="178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178"/>
      <c r="B943" s="178"/>
      <c r="C943" s="178"/>
      <c r="D943" s="178"/>
      <c r="E943" s="178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178"/>
      <c r="B944" s="178"/>
      <c r="C944" s="178"/>
      <c r="D944" s="178"/>
      <c r="E944" s="178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178"/>
      <c r="B945" s="178"/>
      <c r="C945" s="178"/>
      <c r="D945" s="178"/>
      <c r="E945" s="178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178"/>
      <c r="B946" s="178"/>
      <c r="C946" s="178"/>
      <c r="D946" s="178"/>
      <c r="E946" s="178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178"/>
      <c r="B947" s="178"/>
      <c r="C947" s="178"/>
      <c r="D947" s="178"/>
      <c r="E947" s="178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178"/>
      <c r="B948" s="178"/>
      <c r="C948" s="178"/>
      <c r="D948" s="178"/>
      <c r="E948" s="178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178"/>
      <c r="B949" s="178"/>
      <c r="C949" s="178"/>
      <c r="D949" s="178"/>
      <c r="E949" s="178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178"/>
      <c r="B950" s="178"/>
      <c r="C950" s="178"/>
      <c r="D950" s="178"/>
      <c r="E950" s="178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178"/>
      <c r="B951" s="178"/>
      <c r="C951" s="178"/>
      <c r="D951" s="178"/>
      <c r="E951" s="178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178"/>
      <c r="B952" s="178"/>
      <c r="C952" s="178"/>
      <c r="D952" s="178"/>
      <c r="E952" s="178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178"/>
      <c r="B953" s="178"/>
      <c r="C953" s="178"/>
      <c r="D953" s="178"/>
      <c r="E953" s="178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178"/>
      <c r="B954" s="178"/>
      <c r="C954" s="178"/>
      <c r="D954" s="178"/>
      <c r="E954" s="178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178"/>
      <c r="B955" s="178"/>
      <c r="C955" s="178"/>
      <c r="D955" s="178"/>
      <c r="E955" s="178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178"/>
      <c r="B956" s="178"/>
      <c r="C956" s="178"/>
      <c r="D956" s="178"/>
      <c r="E956" s="178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178"/>
      <c r="B957" s="178"/>
      <c r="C957" s="178"/>
      <c r="D957" s="178"/>
      <c r="E957" s="178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178"/>
      <c r="B958" s="178"/>
      <c r="C958" s="178"/>
      <c r="D958" s="178"/>
      <c r="E958" s="178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178"/>
      <c r="B959" s="178"/>
      <c r="C959" s="178"/>
      <c r="D959" s="178"/>
      <c r="E959" s="178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178"/>
      <c r="B960" s="178"/>
      <c r="C960" s="178"/>
      <c r="D960" s="178"/>
      <c r="E960" s="178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178"/>
      <c r="B961" s="178"/>
      <c r="C961" s="178"/>
      <c r="D961" s="178"/>
      <c r="E961" s="178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178"/>
      <c r="B962" s="178"/>
      <c r="C962" s="178"/>
      <c r="D962" s="178"/>
      <c r="E962" s="178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178"/>
      <c r="B963" s="178"/>
      <c r="C963" s="178"/>
      <c r="D963" s="178"/>
      <c r="E963" s="178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178"/>
      <c r="B964" s="178"/>
      <c r="C964" s="178"/>
      <c r="D964" s="178"/>
      <c r="E964" s="178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178"/>
      <c r="B965" s="178"/>
      <c r="C965" s="178"/>
      <c r="D965" s="178"/>
      <c r="E965" s="178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178"/>
      <c r="B966" s="178"/>
      <c r="C966" s="178"/>
      <c r="D966" s="178"/>
      <c r="E966" s="178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178"/>
      <c r="B967" s="178"/>
      <c r="C967" s="178"/>
      <c r="D967" s="178"/>
      <c r="E967" s="178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178"/>
      <c r="B968" s="178"/>
      <c r="C968" s="178"/>
      <c r="D968" s="178"/>
      <c r="E968" s="178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178"/>
      <c r="B969" s="178"/>
      <c r="C969" s="178"/>
      <c r="D969" s="178"/>
      <c r="E969" s="178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178"/>
      <c r="B970" s="178"/>
      <c r="C970" s="178"/>
      <c r="D970" s="178"/>
      <c r="E970" s="178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178"/>
      <c r="B971" s="178"/>
      <c r="C971" s="178"/>
      <c r="D971" s="178"/>
      <c r="E971" s="178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178"/>
      <c r="B972" s="178"/>
      <c r="C972" s="178"/>
      <c r="D972" s="178"/>
      <c r="E972" s="178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178"/>
      <c r="B973" s="178"/>
      <c r="C973" s="178"/>
      <c r="D973" s="178"/>
      <c r="E973" s="178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178"/>
      <c r="B974" s="178"/>
      <c r="C974" s="178"/>
      <c r="D974" s="178"/>
      <c r="E974" s="178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178"/>
      <c r="B975" s="178"/>
      <c r="C975" s="178"/>
      <c r="D975" s="178"/>
      <c r="E975" s="178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178"/>
      <c r="B976" s="178"/>
      <c r="C976" s="178"/>
      <c r="D976" s="178"/>
      <c r="E976" s="178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178"/>
      <c r="B977" s="178"/>
      <c r="C977" s="178"/>
      <c r="D977" s="178"/>
      <c r="E977" s="178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178"/>
      <c r="B978" s="178"/>
      <c r="C978" s="178"/>
      <c r="D978" s="178"/>
      <c r="E978" s="178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178"/>
      <c r="B979" s="178"/>
      <c r="C979" s="178"/>
      <c r="D979" s="178"/>
      <c r="E979" s="178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178"/>
      <c r="B980" s="178"/>
      <c r="C980" s="178"/>
      <c r="D980" s="178"/>
      <c r="E980" s="178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178"/>
      <c r="B981" s="178"/>
      <c r="C981" s="178"/>
      <c r="D981" s="178"/>
      <c r="E981" s="178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178"/>
      <c r="B982" s="178"/>
      <c r="C982" s="178"/>
      <c r="D982" s="178"/>
      <c r="E982" s="178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178"/>
      <c r="B983" s="178"/>
      <c r="C983" s="178"/>
      <c r="D983" s="178"/>
      <c r="E983" s="178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178"/>
      <c r="B984" s="178"/>
      <c r="C984" s="178"/>
      <c r="D984" s="178"/>
      <c r="E984" s="178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178"/>
      <c r="B985" s="178"/>
      <c r="C985" s="178"/>
      <c r="D985" s="178"/>
      <c r="E985" s="178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178"/>
      <c r="B986" s="178"/>
      <c r="C986" s="178"/>
      <c r="D986" s="178"/>
      <c r="E986" s="178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178"/>
      <c r="B987" s="178"/>
      <c r="C987" s="178"/>
      <c r="D987" s="178"/>
      <c r="E987" s="178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178"/>
      <c r="B988" s="178"/>
      <c r="C988" s="178"/>
      <c r="D988" s="178"/>
      <c r="E988" s="178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178"/>
      <c r="B989" s="178"/>
      <c r="C989" s="178"/>
      <c r="D989" s="178"/>
      <c r="E989" s="178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178"/>
      <c r="B990" s="178"/>
      <c r="C990" s="178"/>
      <c r="D990" s="178"/>
      <c r="E990" s="178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178"/>
      <c r="B991" s="178"/>
      <c r="C991" s="178"/>
      <c r="D991" s="178"/>
      <c r="E991" s="178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178"/>
      <c r="B992" s="178"/>
      <c r="C992" s="178"/>
      <c r="D992" s="178"/>
      <c r="E992" s="178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178"/>
      <c r="B993" s="178"/>
      <c r="C993" s="178"/>
      <c r="D993" s="178"/>
      <c r="E993" s="178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178"/>
      <c r="B994" s="178"/>
      <c r="C994" s="178"/>
      <c r="D994" s="178"/>
      <c r="E994" s="178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178"/>
      <c r="B995" s="178"/>
      <c r="C995" s="178"/>
      <c r="D995" s="178"/>
      <c r="E995" s="178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178"/>
      <c r="B996" s="178"/>
      <c r="C996" s="178"/>
      <c r="D996" s="178"/>
      <c r="E996" s="178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</sheetData>
  <mergeCells count="1">
    <mergeCell ref="G8:H8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42.63"/>
    <col customWidth="1" min="3" max="3" width="14.75"/>
    <col customWidth="1" min="4" max="4" width="36.0"/>
    <col customWidth="1" min="5" max="5" width="10.38"/>
    <col customWidth="1" min="7" max="7" width="76.8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178"/>
      <c r="G1" s="80" t="s">
        <v>5</v>
      </c>
      <c r="H1" s="81">
        <f>H4</f>
        <v>27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169" t="s">
        <v>1103</v>
      </c>
      <c r="B2" s="73" t="str">
        <f t="array" ref="B2">IFERROR(XLOOKUP(A2, BASE!E:E, BASE!B:B), "")
</f>
        <v>LM Hub_SP_Taubaté</v>
      </c>
      <c r="C2" s="73" t="str">
        <f t="array" ref="C2">IFERROR(XLOOKUP(A2, BASE!E:E, BASE!C:C), "")
</f>
        <v>HUB-LSP-08</v>
      </c>
      <c r="D2" s="73">
        <f t="array" ref="D2">IFERROR(XLOOKUP(A2, BASE!E:E, BASE!D:D), "")
</f>
        <v>49</v>
      </c>
      <c r="E2" s="168">
        <f t="array" ref="E2">IFERROR(XLOOKUP(A2, BASE!E:E, BASE!H:H), "")
</f>
        <v>46045.27083</v>
      </c>
      <c r="F2" s="178"/>
      <c r="G2" s="82" t="s">
        <v>9</v>
      </c>
      <c r="H2" s="82">
        <f>COUNTIF(C:C,"*LSP*")
</f>
        <v>22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149" t="s">
        <v>1104</v>
      </c>
      <c r="B3" s="73" t="str">
        <f t="array" ref="B3">IFERROR(XLOOKUP(A3, BASE!E:E, BASE!B:B), "")
</f>
        <v>LM Hub_SP_Atibaia_Ponte_Alta</v>
      </c>
      <c r="C3" s="73" t="str">
        <f t="array" ref="C3">IFERROR(XLOOKUP(A3, BASE!E:E, BASE!C:C), "")
</f>
        <v>HUB-LSP-87</v>
      </c>
      <c r="D3" s="73" t="s">
        <v>25</v>
      </c>
      <c r="E3" s="168">
        <f t="array" ref="E3">IFERROR(XLOOKUP(A3, BASE!E:E, BASE!H:H), "")
</f>
        <v>46045.27083</v>
      </c>
      <c r="F3" s="178"/>
      <c r="G3" s="82" t="s">
        <v>13</v>
      </c>
      <c r="H3" s="82">
        <f>COUNTIF(C:C,"*SOC*")
</f>
        <v>12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169" t="s">
        <v>1105</v>
      </c>
      <c r="B4" s="73" t="str">
        <f t="array" ref="B4">IFERROR(XLOOKUP(A4, BASE!E:E, BASE!B:B), "")
</f>
        <v>SoC_GO_Goiânia_02</v>
      </c>
      <c r="C4" s="73" t="str">
        <f t="array" ref="C4">IFERROR(XLOOKUP(A4, BASE!E:E, BASE!C:C), "")
</f>
        <v>SOC-GO2</v>
      </c>
      <c r="D4" s="73">
        <f t="array" ref="D4">IFERROR(XLOOKUP(A4, BASE!E:E, BASE!D:D), "")
</f>
        <v>86</v>
      </c>
      <c r="E4" s="168">
        <f t="array" ref="E4">IFERROR(XLOOKUP(A4, BASE!E:E, BASE!H:H), "")
</f>
        <v>46045.29167</v>
      </c>
      <c r="F4" s="178"/>
      <c r="G4" s="82" t="s">
        <v>810</v>
      </c>
      <c r="H4" s="198">
        <f>COUNTIFS(D:D,"&gt;=5",D:D,"&lt;=114")</f>
        <v>27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69" t="s">
        <v>1106</v>
      </c>
      <c r="B5" s="73" t="str">
        <f t="array" ref="B5">IFERROR(XLOOKUP(A5, BASE!E:E, BASE!B:B), "")
</f>
        <v>LM Hub_SP_Piracicaba</v>
      </c>
      <c r="C5" s="73" t="str">
        <f t="array" ref="C5">IFERROR(XLOOKUP(A5, BASE!E:E, BASE!C:C), "")
</f>
        <v>HUB-LSP-62</v>
      </c>
      <c r="D5" s="73" t="s">
        <v>25</v>
      </c>
      <c r="E5" s="168">
        <f t="array" ref="E5">IFERROR(XLOOKUP(A5, BASE!E:E, BASE!H:H), "")
</f>
        <v>46045.29167</v>
      </c>
      <c r="F5" s="178"/>
      <c r="G5" s="82" t="s">
        <v>20</v>
      </c>
      <c r="H5" s="82">
        <f>COUNTIF(D:D,"*NÃO DOCOU*")</f>
        <v>6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169" t="s">
        <v>1107</v>
      </c>
      <c r="B6" s="73" t="str">
        <f t="array" ref="B6">IFERROR(XLOOKUP(A6, BASE!E:E, BASE!B:B), "")
</f>
        <v>LM Hub_SP_Santos_PraiaGrande_02</v>
      </c>
      <c r="C6" s="73" t="str">
        <f t="array" ref="C6">IFERROR(XLOOKUP(A6, BASE!E:E, BASE!C:C), "")
</f>
        <v>HUB-LSP-63</v>
      </c>
      <c r="D6" s="73">
        <f t="array" ref="D6">IFERROR(XLOOKUP(A6, BASE!E:E, BASE!D:D), "")
</f>
        <v>13</v>
      </c>
      <c r="E6" s="168">
        <f t="array" ref="E6">IFERROR(XLOOKUP(A6, BASE!E:E, BASE!H:H), "")
</f>
        <v>46045.29167</v>
      </c>
      <c r="F6" s="178"/>
      <c r="G6" s="198" t="s">
        <v>25</v>
      </c>
      <c r="H6" s="199">
        <f>COUNTIF(D:D,"*NÃO CHEGOU*")
</f>
        <v>3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149" t="s">
        <v>1108</v>
      </c>
      <c r="B7" s="73" t="str">
        <f t="array" ref="B7">IFERROR(XLOOKUP(A7, BASE!E:E, BASE!B:B), "")
</f>
        <v>LM Hub_SP_Barueri_01</v>
      </c>
      <c r="C7" s="73" t="str">
        <f t="array" ref="C7">IFERROR(XLOOKUP(A7, BASE!E:E, BASE!C:C), "")
</f>
        <v>HUB-LSP-81</v>
      </c>
      <c r="D7" s="73">
        <f t="array" ref="D7">IFERROR(XLOOKUP(A7, BASE!E:E, BASE!D:D), "")
</f>
        <v>18</v>
      </c>
      <c r="E7" s="168">
        <f t="array" ref="E7">IFERROR(XLOOKUP(A7, BASE!E:E, BASE!H:H), "")
</f>
        <v>46045.29167</v>
      </c>
      <c r="F7" s="178"/>
      <c r="G7" s="82" t="s">
        <v>815</v>
      </c>
      <c r="H7" s="82">
        <f>COUNTIF(D:D,"*DRIVER DUPLICADO*")</f>
        <v>0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169" t="s">
        <v>1109</v>
      </c>
      <c r="B8" s="73" t="str">
        <f t="array" ref="B8">IFERROR(XLOOKUP(A8, BASE!E:E, BASE!B:B), "")
</f>
        <v>LM Hub_SP_Guarujá</v>
      </c>
      <c r="C8" s="73" t="str">
        <f t="array" ref="C8">IFERROR(XLOOKUP(A8, BASE!E:E, BASE!C:C), "")
</f>
        <v>HUB-LSP-06</v>
      </c>
      <c r="D8" s="73">
        <f t="array" ref="D8">IFERROR(XLOOKUP(A8, BASE!E:E, BASE!D:D), "")
</f>
        <v>34</v>
      </c>
      <c r="E8" s="168">
        <f t="array" ref="E8">IFERROR(XLOOKUP(A8, BASE!E:E, BASE!H:H), "")
</f>
        <v>46045.3125</v>
      </c>
      <c r="F8" s="178"/>
      <c r="G8" s="18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146" t="s">
        <v>1110</v>
      </c>
      <c r="B9" s="73" t="str">
        <f t="array" ref="B9">IFERROR(XLOOKUP(A9, BASE!E:E, BASE!B:B), "")
</f>
        <v>LM Hub_SP_Itapevi</v>
      </c>
      <c r="C9" s="73" t="str">
        <f t="array" ref="C9">IFERROR(XLOOKUP(A9, BASE!E:E, BASE!C:C), "")
</f>
        <v>HUB-LSP-41</v>
      </c>
      <c r="D9" s="73">
        <f t="array" ref="D9">IFERROR(XLOOKUP(A9, BASE!E:E, BASE!D:D), "")
</f>
        <v>39</v>
      </c>
      <c r="E9" s="168">
        <f t="array" ref="E9">IFERROR(XLOOKUP(A9, BASE!E:E, BASE!H:H), "")
</f>
        <v>46045.3125</v>
      </c>
      <c r="F9" s="178"/>
      <c r="G9" s="9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169" t="s">
        <v>1111</v>
      </c>
      <c r="B10" s="73" t="str">
        <f t="array" ref="B10">IFERROR(XLOOKUP(A10, BASE!E:E, BASE!B:B), "")
</f>
        <v>LM Hub_SP_Santos_Praia Grande</v>
      </c>
      <c r="C10" s="73" t="str">
        <f t="array" ref="C10">IFERROR(XLOOKUP(A10, BASE!E:E, BASE!C:C), "")
</f>
        <v>HUB-LSP-09</v>
      </c>
      <c r="D10" s="73">
        <f t="array" ref="D10">IFERROR(XLOOKUP(A10, BASE!E:E, BASE!D:D), "")
</f>
        <v>36</v>
      </c>
      <c r="E10" s="168">
        <f t="array" ref="E10">IFERROR(XLOOKUP(A10, BASE!E:E, BASE!H:H), "")
</f>
        <v>46045.3125</v>
      </c>
      <c r="F10" s="178"/>
      <c r="G10" s="200"/>
      <c r="H10" s="178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169" t="s">
        <v>1112</v>
      </c>
      <c r="B11" s="73" t="str">
        <f t="array" ref="B11">IFERROR(XLOOKUP(A11, BASE!E:E, BASE!B:B), "")
</f>
        <v>LM Hub_SP_São José dos Campos</v>
      </c>
      <c r="C11" s="73" t="str">
        <f t="array" ref="C11">IFERROR(XLOOKUP(A11, BASE!E:E, BASE!C:C), "")
</f>
        <v>HUB-LSP-04</v>
      </c>
      <c r="D11" s="73">
        <f t="array" ref="D11">IFERROR(XLOOKUP(A11, BASE!E:E, BASE!D:D), "")
</f>
        <v>19</v>
      </c>
      <c r="E11" s="168">
        <f t="array" ref="E11">IFERROR(XLOOKUP(A11, BASE!E:E, BASE!H:H), "")
</f>
        <v>46045.3125</v>
      </c>
      <c r="F11" s="178"/>
      <c r="G11" s="200"/>
      <c r="H11" s="178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94" t="s">
        <v>1113</v>
      </c>
      <c r="B12" s="73" t="str">
        <f t="array" ref="B12">IFERROR(XLOOKUP(A12, BASE!E:E, BASE!B:B), "")
</f>
        <v>LM Hub_SP_Várzea Paulista</v>
      </c>
      <c r="C12" s="73" t="str">
        <f t="array" ref="C12">IFERROR(XLOOKUP(A12, BASE!E:E, BASE!C:C), "")
</f>
        <v>HUB-LSP-20</v>
      </c>
      <c r="D12" s="73">
        <f t="array" ref="D12">IFERROR(XLOOKUP(A12, BASE!E:E, BASE!D:D), "")
</f>
        <v>21</v>
      </c>
      <c r="E12" s="168">
        <f t="array" ref="E12">IFERROR(XLOOKUP(A12, BASE!E:E, BASE!H:H), "")
</f>
        <v>46045.3125</v>
      </c>
      <c r="F12" s="178"/>
      <c r="G12" s="84" t="s">
        <v>1114</v>
      </c>
      <c r="H12" s="9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94" t="s">
        <v>1115</v>
      </c>
      <c r="B13" s="73" t="str">
        <f t="array" ref="B13">IFERROR(XLOOKUP(A13, BASE!E:E, BASE!B:B), "")
</f>
        <v>LM Hub_SP_São Paulo_Mooca</v>
      </c>
      <c r="C13" s="73" t="str">
        <f t="array" ref="C13">IFERROR(XLOOKUP(A13, BASE!E:E, BASE!C:C), "")
</f>
        <v>HUB-LSP-13</v>
      </c>
      <c r="D13" s="73" t="s">
        <v>25</v>
      </c>
      <c r="E13" s="168">
        <f t="array" ref="E13">IFERROR(XLOOKUP(A13, BASE!E:E, BASE!H:H), "")
</f>
        <v>46045.3125</v>
      </c>
      <c r="F13" s="178"/>
      <c r="G13" s="187" t="s">
        <v>653</v>
      </c>
      <c r="H13" s="178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19" t="s">
        <v>1116</v>
      </c>
      <c r="B14" s="73" t="str">
        <f t="array" ref="B14">IFERROR(XLOOKUP(A14, BASE!E:E, BASE!B:B), "")
</f>
        <v>LM Hub_SP_VilaGuilherme</v>
      </c>
      <c r="C14" s="73" t="str">
        <f t="array" ref="C14">IFERROR(XLOOKUP(A14, BASE!E:E, BASE!C:C), "")
</f>
        <v>HUB-LSP-68</v>
      </c>
      <c r="D14" s="73">
        <f t="array" ref="D14">IFERROR(XLOOKUP(A14, BASE!E:E, BASE!D:D), "")
</f>
        <v>44</v>
      </c>
      <c r="E14" s="168">
        <f t="array" ref="E14">IFERROR(XLOOKUP(A14, BASE!E:E, BASE!H:H), "")
</f>
        <v>46045.33333</v>
      </c>
      <c r="F14" s="178"/>
      <c r="G14" s="178"/>
      <c r="H14" s="178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94" t="s">
        <v>1117</v>
      </c>
      <c r="B15" s="73" t="str">
        <f t="array" ref="B15">IFERROR(XLOOKUP(A15, BASE!E:E, BASE!B:B), "")
</f>
        <v>LM Hub_SP_Jurubatuba</v>
      </c>
      <c r="C15" s="73" t="str">
        <f t="array" ref="C15">IFERROR(XLOOKUP(A15, BASE!E:E, BASE!C:C), "")
</f>
        <v>HUB-LSP-16</v>
      </c>
      <c r="D15" s="73">
        <f t="array" ref="D15">IFERROR(XLOOKUP(A15, BASE!E:E, BASE!D:D), "")
</f>
        <v>35</v>
      </c>
      <c r="E15" s="168">
        <f t="array" ref="E15">IFERROR(XLOOKUP(A15, BASE!E:E, BASE!H:H), "")
</f>
        <v>46045.33333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169" t="s">
        <v>1118</v>
      </c>
      <c r="B16" s="73" t="str">
        <f t="array" ref="B16">IFERROR(XLOOKUP(A16, BASE!E:E, BASE!B:B), "")
</f>
        <v>LM Hub_SP_São Paulo_Lapa</v>
      </c>
      <c r="C16" s="73" t="str">
        <f t="array" ref="C16">IFERROR(XLOOKUP(A16, BASE!E:E, BASE!C:C), "")
</f>
        <v>HUB-LSP-15</v>
      </c>
      <c r="D16" s="73">
        <f t="array" ref="D16">IFERROR(XLOOKUP(A16, BASE!E:E, BASE!D:D), "")
</f>
        <v>23</v>
      </c>
      <c r="E16" s="168">
        <f t="array" ref="E16">IFERROR(XLOOKUP(A16, BASE!E:E, BASE!H:H), "")
</f>
        <v>46045.33333</v>
      </c>
      <c r="F16" s="178"/>
      <c r="G16" s="178"/>
      <c r="H16" s="178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169" t="s">
        <v>1119</v>
      </c>
      <c r="B17" s="73" t="str">
        <f t="array" ref="B17">IFERROR(XLOOKUP(A17, BASE!E:E, BASE!B:B), "")
</f>
        <v>LM Hub_SP_Osasco_02</v>
      </c>
      <c r="C17" s="73" t="str">
        <f t="array" ref="C17">IFERROR(XLOOKUP(A17, BASE!E:E, BASE!C:C), "")
</f>
        <v>HUB-LSP-60</v>
      </c>
      <c r="D17" s="73">
        <f t="array" ref="D17">IFERROR(XLOOKUP(A17, BASE!E:E, BASE!D:D), "")
</f>
        <v>26</v>
      </c>
      <c r="E17" s="168">
        <f t="array" ref="E17">IFERROR(XLOOKUP(A17, BASE!E:E, BASE!H:H), "")
</f>
        <v>46045.33333</v>
      </c>
      <c r="F17" s="178"/>
      <c r="G17" s="178"/>
      <c r="H17" s="178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94" t="s">
        <v>1120</v>
      </c>
      <c r="B18" s="73" t="str">
        <f t="array" ref="B18">IFERROR(XLOOKUP(A18, BASE!E:E, BASE!B:B), "")
</f>
        <v>LM Hub_SP_Artur Alvim</v>
      </c>
      <c r="C18" s="73" t="str">
        <f t="array" ref="C18">IFERROR(XLOOKUP(A18, BASE!E:E, BASE!C:C), "")
</f>
        <v>HUB-LSP-07</v>
      </c>
      <c r="D18" s="73">
        <f t="array" ref="D18">IFERROR(XLOOKUP(A18, BASE!E:E, BASE!D:D), "")
</f>
        <v>24</v>
      </c>
      <c r="E18" s="168">
        <f t="array" ref="E18">IFERROR(XLOOKUP(A18, BASE!E:E, BASE!H:H), "")
</f>
        <v>46045.33333</v>
      </c>
      <c r="F18" s="178"/>
      <c r="G18" s="178"/>
      <c r="H18" s="178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146" t="s">
        <v>1121</v>
      </c>
      <c r="B19" s="73" t="str">
        <f t="array" ref="B19">IFERROR(XLOOKUP(A19, BASE!E:E, BASE!B:B), "")
</f>
        <v>LM Hub_SP_Embu das Artes</v>
      </c>
      <c r="C19" s="73" t="str">
        <f t="array" ref="C19">IFERROR(XLOOKUP(A19, BASE!E:E, BASE!C:C), "")
</f>
        <v>HUB-LSP-36</v>
      </c>
      <c r="D19" s="73">
        <f t="array" ref="D19">IFERROR(XLOOKUP(A19, BASE!E:E, BASE!D:D), "")
</f>
        <v>47</v>
      </c>
      <c r="E19" s="168">
        <f t="array" ref="E19">IFERROR(XLOOKUP(A19, BASE!E:E, BASE!H:H), "")
</f>
        <v>46045.33333</v>
      </c>
      <c r="F19" s="178"/>
      <c r="G19" s="178"/>
      <c r="H19" s="178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169" t="s">
        <v>1122</v>
      </c>
      <c r="B20" s="73" t="str">
        <f t="array" ref="B20">IFERROR(XLOOKUP(A20, BASE!E:E, BASE!B:B), "")
</f>
        <v>LM Hub_SP_Parque Novo Mundo</v>
      </c>
      <c r="C20" s="73" t="str">
        <f t="array" ref="C20">IFERROR(XLOOKUP(A20, BASE!E:E, BASE!C:C), "")
</f>
        <v>HUB-LSP-89</v>
      </c>
      <c r="D20" s="73">
        <f t="array" ref="D20">IFERROR(XLOOKUP(A20, BASE!E:E, BASE!D:D), "")
</f>
        <v>12</v>
      </c>
      <c r="E20" s="168">
        <f t="array" ref="E20">IFERROR(XLOOKUP(A20, BASE!E:E, BASE!H:H), "")
</f>
        <v>46045.35417</v>
      </c>
      <c r="F20" s="178"/>
      <c r="G20" s="178"/>
      <c r="H20" s="178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169" t="s">
        <v>1123</v>
      </c>
      <c r="B21" s="73" t="str">
        <f t="array" ref="B21">IFERROR(XLOOKUP(A21, BASE!E:E, BASE!B:B), "")
</f>
        <v>LM Hub_SP_São Bernardo do Campo</v>
      </c>
      <c r="C21" s="73" t="str">
        <f t="array" ref="C21">IFERROR(XLOOKUP(A21, BASE!E:E, BASE!C:C), "")
</f>
        <v>HUB-LSP-79</v>
      </c>
      <c r="D21" s="73">
        <f t="array" ref="D21">IFERROR(XLOOKUP(A21, BASE!E:E, BASE!D:D), "")
</f>
        <v>41</v>
      </c>
      <c r="E21" s="168">
        <f t="array" ref="E21">IFERROR(XLOOKUP(A21, BASE!E:E, BASE!H:H), "")
</f>
        <v>46045.35417</v>
      </c>
      <c r="F21" s="178"/>
      <c r="G21" s="178"/>
      <c r="H21" s="178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146" t="s">
        <v>1124</v>
      </c>
      <c r="B22" s="73" t="str">
        <f t="array" ref="B22">IFERROR(XLOOKUP(A22, BASE!E:E, BASE!B:B), "")
</f>
        <v>LM Hub_SP_Mooca_02</v>
      </c>
      <c r="C22" s="73" t="str">
        <f t="array" ref="C22">IFERROR(XLOOKUP(A22, BASE!E:E, BASE!C:C), "")
</f>
        <v>HUB-LSP-94</v>
      </c>
      <c r="D22" s="73">
        <f t="array" ref="D22">IFERROR(XLOOKUP(A22, BASE!E:E, BASE!D:D), "")
</f>
        <v>7</v>
      </c>
      <c r="E22" s="168">
        <f t="array" ref="E22">IFERROR(XLOOKUP(A22, BASE!E:E, BASE!H:H), "")
</f>
        <v>46045.375</v>
      </c>
      <c r="F22" s="178"/>
      <c r="G22" s="178"/>
      <c r="H22" s="178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169" t="s">
        <v>1125</v>
      </c>
      <c r="B23" s="73" t="str">
        <f t="array" ref="B23">IFERROR(XLOOKUP(A23, BASE!E:E, BASE!B:B), "")
</f>
        <v>SoC_PR_Curitiba</v>
      </c>
      <c r="C23" s="73" t="str">
        <f t="array" ref="C23">IFERROR(XLOOKUP(A23, BASE!E:E, BASE!C:C), "")
</f>
        <v>SOC-PR1</v>
      </c>
      <c r="D23" s="73">
        <f t="array" ref="D23">IFERROR(XLOOKUP(A23, BASE!E:E, BASE!D:D), "")
</f>
        <v>40</v>
      </c>
      <c r="E23" s="168">
        <f t="array" ref="E23">IFERROR(XLOOKUP(A23, BASE!E:E, BASE!H:H), "")
</f>
        <v>46045.375</v>
      </c>
      <c r="F23" s="178"/>
      <c r="G23" s="178"/>
      <c r="H23" s="178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169" t="s">
        <v>1126</v>
      </c>
      <c r="B24" s="73" t="str">
        <f t="array" ref="B24">IFERROR(XLOOKUP(A24, BASE!E:E, BASE!B:B), "")
</f>
        <v>LM Hub_SP_Embu das Artes_02</v>
      </c>
      <c r="C24" s="73" t="str">
        <f t="array" ref="C24">IFERROR(XLOOKUP(A24, BASE!E:E, BASE!C:C), "")
</f>
        <v>HUB-LSP-96</v>
      </c>
      <c r="D24" s="73">
        <f t="array" ref="D24">IFERROR(XLOOKUP(A24, BASE!E:E, BASE!D:D), "")
</f>
        <v>15</v>
      </c>
      <c r="E24" s="168">
        <f t="array" ref="E24">IFERROR(XLOOKUP(A24, BASE!E:E, BASE!H:H), "")
</f>
        <v>46045.375</v>
      </c>
      <c r="F24" s="178"/>
      <c r="G24" s="178"/>
      <c r="H24" s="178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169" t="s">
        <v>1127</v>
      </c>
      <c r="B25" s="73" t="str">
        <f t="array" ref="B25">IFERROR(XLOOKUP(A25, BASE!E:E, BASE!B:B), "")
</f>
        <v>SoC_RJ_Duque de Caxias</v>
      </c>
      <c r="C25" s="73" t="str">
        <f t="array" ref="C25">IFERROR(XLOOKUP(A25, BASE!E:E, BASE!C:C), "")
</f>
        <v>SOC-RJ2</v>
      </c>
      <c r="D25" s="73">
        <f t="array" ref="D25">IFERROR(XLOOKUP(A25, BASE!E:E, BASE!D:D), "")
</f>
        <v>97</v>
      </c>
      <c r="E25" s="168">
        <f t="array" ref="E25">IFERROR(XLOOKUP(A25, BASE!E:E, BASE!H:H), "")
</f>
        <v>46045.375</v>
      </c>
      <c r="F25" s="178"/>
      <c r="G25" s="178"/>
      <c r="H25" s="178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219" t="s">
        <v>1124</v>
      </c>
      <c r="B26" s="73" t="str">
        <f t="array" ref="B26">IFERROR(XLOOKUP(A26, BASE!E:E, BASE!B:B), "")
</f>
        <v>LM Hub_SP_Mooca_02</v>
      </c>
      <c r="C26" s="73" t="str">
        <f t="array" ref="C26">IFERROR(XLOOKUP(A26, BASE!E:E, BASE!C:C), "")
</f>
        <v>HUB-LSP-94</v>
      </c>
      <c r="D26" s="73">
        <f t="array" ref="D26">IFERROR(XLOOKUP(A26, BASE!E:E, BASE!D:D), "")
</f>
        <v>7</v>
      </c>
      <c r="E26" s="168">
        <f t="array" ref="E26">IFERROR(XLOOKUP(A26, BASE!E:E, BASE!H:H), "")
</f>
        <v>46045.375</v>
      </c>
      <c r="F26" s="178"/>
      <c r="G26" s="178"/>
      <c r="H26" s="178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169" t="s">
        <v>1128</v>
      </c>
      <c r="B27" s="73" t="str">
        <f t="array" ref="B27">IFERROR(XLOOKUP(A27, BASE!E:E, BASE!B:B), "")
</f>
        <v>SoC_BA_Simoes Filho</v>
      </c>
      <c r="C27" s="73" t="str">
        <f t="array" ref="C27">IFERROR(XLOOKUP(A27, BASE!E:E, BASE!C:C), "")
</f>
        <v>SOC-BA2</v>
      </c>
      <c r="D27" s="73" t="s">
        <v>167</v>
      </c>
      <c r="E27" s="168">
        <f t="array" ref="E27">IFERROR(XLOOKUP(A27, BASE!E:E, BASE!H:H), "")
</f>
        <v>46045.45833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169" t="s">
        <v>1129</v>
      </c>
      <c r="B28" s="73" t="str">
        <f t="array" ref="B28">IFERROR(XLOOKUP(A28, BASE!E:E, BASE!B:B), "")
</f>
        <v>SoC_RS_Gravataí_02</v>
      </c>
      <c r="C28" s="73" t="str">
        <f t="array" ref="C28">IFERROR(XLOOKUP(A28, BASE!E:E, BASE!C:C), "")
</f>
        <v>SOC-RS2</v>
      </c>
      <c r="D28" s="73">
        <f t="array" ref="D28">IFERROR(XLOOKUP(A28, BASE!E:E, BASE!D:D), "")
</f>
        <v>93</v>
      </c>
      <c r="E28" s="168">
        <f t="array" ref="E28">IFERROR(XLOOKUP(A28, BASE!E:E, BASE!H:H), "")
</f>
        <v>46045.45833</v>
      </c>
      <c r="F28" s="178"/>
      <c r="G28" s="178"/>
      <c r="H28" s="178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169" t="s">
        <v>1130</v>
      </c>
      <c r="B29" s="73" t="str">
        <f t="array" ref="B29">IFERROR(XLOOKUP(A29, BASE!E:E, BASE!B:B), "")
</f>
        <v>SoC_SC_Itajaí</v>
      </c>
      <c r="C29" s="73" t="str">
        <f t="array" ref="C29">IFERROR(XLOOKUP(A29, BASE!E:E, BASE!C:C), "")
</f>
        <v>SOC-SC1</v>
      </c>
      <c r="D29" s="73">
        <f t="array" ref="D29">IFERROR(XLOOKUP(A29, BASE!E:E, BASE!D:D), "")
</f>
        <v>100</v>
      </c>
      <c r="E29" s="168">
        <f t="array" ref="E29">IFERROR(XLOOKUP(A29, BASE!E:E, BASE!H:H), "")
</f>
        <v>46045.45833</v>
      </c>
      <c r="F29" s="178"/>
      <c r="G29" s="178"/>
      <c r="H29" s="178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169" t="s">
        <v>1131</v>
      </c>
      <c r="B30" s="73" t="str">
        <f t="array" ref="B30">IFERROR(XLOOKUP(A30, BASE!E:E, BASE!B:B), "")
</f>
        <v>SoC_PE_Jaboatão dos Guararapes</v>
      </c>
      <c r="C30" s="73" t="str">
        <f t="array" ref="C30">IFERROR(XLOOKUP(A30, BASE!E:E, BASE!C:C), "")
</f>
        <v>SOC-PE2</v>
      </c>
      <c r="D30" s="73">
        <f t="array" ref="D30">IFERROR(XLOOKUP(A30, BASE!E:E, BASE!D:D), "")
</f>
        <v>98</v>
      </c>
      <c r="E30" s="168">
        <f t="array" ref="E30">IFERROR(XLOOKUP(A30, BASE!E:E, BASE!H:H), "")
</f>
        <v>46045.45833</v>
      </c>
      <c r="F30" s="178"/>
      <c r="G30" s="178"/>
      <c r="H30" s="178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169" t="s">
        <v>1132</v>
      </c>
      <c r="B31" s="73" t="str">
        <f t="array" ref="B31">IFERROR(XLOOKUP(A31, BASE!E:E, BASE!B:B), "")
</f>
        <v/>
      </c>
      <c r="C31" s="73" t="str">
        <f t="array" ref="C31">IFERROR(XLOOKUP(A31, BASE!E:E, BASE!C:C), "")
</f>
        <v/>
      </c>
      <c r="D31" s="73" t="s">
        <v>167</v>
      </c>
      <c r="E31" s="168" t="str">
        <f t="array" ref="E31">IFERROR(XLOOKUP(A31, BASE!E:E, BASE!H:H), "")
</f>
        <v/>
      </c>
      <c r="F31" s="178"/>
      <c r="G31" s="178"/>
      <c r="H31" s="178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169" t="s">
        <v>1133</v>
      </c>
      <c r="B32" s="73" t="str">
        <f t="array" ref="B32">IFERROR(XLOOKUP(A32, BASE!E:E, BASE!B:B), "")
</f>
        <v/>
      </c>
      <c r="C32" s="73" t="str">
        <f t="array" ref="C32">IFERROR(XLOOKUP(A32, BASE!E:E, BASE!C:C), "")
</f>
        <v/>
      </c>
      <c r="D32" s="73" t="s">
        <v>167</v>
      </c>
      <c r="E32" s="168" t="str">
        <f t="array" ref="E32">IFERROR(XLOOKUP(A32, BASE!E:E, BASE!H:H), "")
</f>
        <v/>
      </c>
      <c r="F32" s="178"/>
      <c r="G32" s="178"/>
      <c r="H32" s="178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169" t="s">
        <v>1134</v>
      </c>
      <c r="B33" s="73" t="str">
        <f t="array" ref="B33">IFERROR(XLOOKUP(A33, BASE!E:E, BASE!B:B), "")
</f>
        <v/>
      </c>
      <c r="C33" s="73" t="str">
        <f t="array" ref="C33">IFERROR(XLOOKUP(A33, BASE!E:E, BASE!C:C), "")
</f>
        <v/>
      </c>
      <c r="D33" s="73" t="s">
        <v>167</v>
      </c>
      <c r="E33" s="168" t="str">
        <f t="array" ref="E33">IFERROR(XLOOKUP(A33, BASE!E:E, BASE!H:H), "")
</f>
        <v/>
      </c>
      <c r="F33" s="178"/>
      <c r="G33" s="178"/>
      <c r="H33" s="178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94" t="s">
        <v>1135</v>
      </c>
      <c r="B34" s="73" t="str">
        <f t="array" ref="B34">IFERROR(XLOOKUP(A34, BASE!E:E, BASE!B:B), "")
</f>
        <v>SoC_SP_Cravinhos</v>
      </c>
      <c r="C34" s="73" t="str">
        <f t="array" ref="C34">IFERROR(XLOOKUP(A34, BASE!E:E, BASE!C:C), "")
</f>
        <v>SOC-SP5</v>
      </c>
      <c r="D34" s="73" t="str">
        <f t="array" ref="D34">IFERROR(XLOOKUP(A34, BASE!E:E, BASE!D:D), "")
</f>
        <v>112/43</v>
      </c>
      <c r="E34" s="168">
        <f t="array" ref="E34">IFERROR(XLOOKUP(A34, BASE!E:E, BASE!H:H), "")
</f>
        <v>46045.66667</v>
      </c>
      <c r="F34" s="178"/>
      <c r="G34" s="178"/>
      <c r="H34" s="178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94" t="s">
        <v>1136</v>
      </c>
      <c r="B35" s="73" t="str">
        <f t="array" ref="B35">IFERROR(XLOOKUP(A35, BASE!E:E, BASE!B:B), "")
</f>
        <v>SoC_MG_Betim</v>
      </c>
      <c r="C35" s="73" t="str">
        <f t="array" ref="C35">IFERROR(XLOOKUP(A35, BASE!E:E, BASE!C:C), "")
</f>
        <v>SOC-MG2</v>
      </c>
      <c r="D35" s="73">
        <f t="array" ref="D35">IFERROR(XLOOKUP(A35, BASE!E:E, BASE!D:D), "")
</f>
        <v>90</v>
      </c>
      <c r="E35" s="168">
        <f t="array" ref="E35">IFERROR(XLOOKUP(A35, BASE!E:E, BASE!H:H), "")
</f>
        <v>46045.66667</v>
      </c>
      <c r="F35" s="178"/>
      <c r="G35" s="178"/>
      <c r="H35" s="178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94" t="s">
        <v>1137</v>
      </c>
      <c r="B36" s="73" t="str">
        <f t="array" ref="B36">IFERROR(XLOOKUP(A36, BASE!E:E, BASE!B:B), "")
</f>
        <v>SoC_RJ_Duque de Caxias</v>
      </c>
      <c r="C36" s="73" t="str">
        <f t="array" ref="C36">IFERROR(XLOOKUP(A36, BASE!E:E, BASE!C:C), "")
</f>
        <v>SOC-RJ2</v>
      </c>
      <c r="D36" s="73" t="s">
        <v>167</v>
      </c>
      <c r="E36" s="168">
        <f t="array" ref="E36">IFERROR(XLOOKUP(A36, BASE!E:E, BASE!H:H), "")
</f>
        <v>46045.66667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94" t="s">
        <v>1138</v>
      </c>
      <c r="B37" s="73" t="str">
        <f t="array" ref="B37">IFERROR(XLOOKUP(A37, BASE!E:E, BASE!B:B), "")
</f>
        <v>SoC_SP_Cravinhos</v>
      </c>
      <c r="C37" s="73" t="str">
        <f t="array" ref="C37">IFERROR(XLOOKUP(A37, BASE!E:E, BASE!C:C), "")
</f>
        <v>SOC-SP5</v>
      </c>
      <c r="D37" s="73">
        <f t="array" ref="D37">IFERROR(XLOOKUP(A37, BASE!E:E, BASE!D:D), "")
</f>
        <v>94</v>
      </c>
      <c r="E37" s="168">
        <f t="array" ref="E37">IFERROR(XLOOKUP(A37, BASE!E:E, BASE!H:H), "")
</f>
        <v>46045.66667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94" t="s">
        <v>1139</v>
      </c>
      <c r="B38" s="73" t="str">
        <f t="array" ref="B38">IFERROR(XLOOKUP(A38, BASE!E:E, BASE!B:B), "")
</f>
        <v>SoC_MG_Betim</v>
      </c>
      <c r="C38" s="73" t="str">
        <f t="array" ref="C38">IFERROR(XLOOKUP(A38, BASE!E:E, BASE!C:C), "")
</f>
        <v>SOC-MG2</v>
      </c>
      <c r="D38" s="73" t="s">
        <v>167</v>
      </c>
      <c r="E38" s="168">
        <f t="array" ref="E38">IFERROR(XLOOKUP(A38, BASE!E:E, BASE!H:H), "")
</f>
        <v>46046.29167</v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94"/>
      <c r="B39" s="73"/>
      <c r="C39" s="73"/>
      <c r="D39" s="73"/>
      <c r="E39" s="168"/>
      <c r="F39" s="178"/>
      <c r="G39" s="178"/>
      <c r="H39" s="178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205"/>
      <c r="B40" s="110"/>
      <c r="C40" s="110"/>
      <c r="D40" s="110"/>
      <c r="E40" s="111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05"/>
      <c r="B41" s="110"/>
      <c r="C41" s="110"/>
      <c r="D41" s="110"/>
      <c r="E41" s="111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05"/>
      <c r="B42" s="110"/>
      <c r="C42" s="110"/>
      <c r="D42" s="110"/>
      <c r="E42" s="111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05"/>
      <c r="B43" s="110"/>
      <c r="C43" s="110"/>
      <c r="D43" s="110"/>
      <c r="E43" s="111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05"/>
      <c r="B44" s="110"/>
      <c r="C44" s="110"/>
      <c r="D44" s="110"/>
      <c r="E44" s="111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05"/>
      <c r="B45" s="110"/>
      <c r="C45" s="110"/>
      <c r="D45" s="110"/>
      <c r="E45" s="111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05"/>
      <c r="B46" s="178"/>
      <c r="C46" s="178"/>
      <c r="D46" s="178"/>
      <c r="E46" s="178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178"/>
      <c r="B47" s="178"/>
      <c r="C47" s="178"/>
      <c r="D47" s="178"/>
      <c r="E47" s="178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178"/>
      <c r="B48" s="178"/>
      <c r="C48" s="178"/>
      <c r="D48" s="178"/>
      <c r="E48" s="178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178"/>
      <c r="B49" s="178"/>
      <c r="C49" s="178"/>
      <c r="D49" s="178"/>
      <c r="E49" s="178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178"/>
      <c r="B50" s="178"/>
      <c r="C50" s="178"/>
      <c r="D50" s="178"/>
      <c r="E50" s="178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178"/>
      <c r="B51" s="178"/>
      <c r="C51" s="178"/>
      <c r="D51" s="178"/>
      <c r="E51" s="178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178"/>
      <c r="B52" s="178"/>
      <c r="C52" s="178"/>
      <c r="D52" s="178"/>
      <c r="E52" s="178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178"/>
      <c r="B53" s="178"/>
      <c r="C53" s="178"/>
      <c r="D53" s="178"/>
      <c r="E53" s="178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178"/>
      <c r="B54" s="178"/>
      <c r="C54" s="178"/>
      <c r="D54" s="178"/>
      <c r="E54" s="178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178"/>
      <c r="B55" s="178"/>
      <c r="C55" s="178"/>
      <c r="D55" s="178"/>
      <c r="E55" s="178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178"/>
      <c r="B56" s="178"/>
      <c r="C56" s="178"/>
      <c r="D56" s="178"/>
      <c r="E56" s="178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178"/>
      <c r="B57" s="178"/>
      <c r="C57" s="178"/>
      <c r="D57" s="178"/>
      <c r="E57" s="178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178"/>
      <c r="B58" s="178"/>
      <c r="C58" s="178"/>
      <c r="D58" s="178"/>
      <c r="E58" s="178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178"/>
      <c r="B59" s="178"/>
      <c r="C59" s="178"/>
      <c r="D59" s="178"/>
      <c r="E59" s="178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178"/>
      <c r="B60" s="178"/>
      <c r="C60" s="178"/>
      <c r="D60" s="178"/>
      <c r="E60" s="178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178"/>
      <c r="B61" s="178"/>
      <c r="C61" s="178"/>
      <c r="D61" s="178"/>
      <c r="E61" s="178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178"/>
      <c r="B62" s="178"/>
      <c r="C62" s="178"/>
      <c r="D62" s="178"/>
      <c r="E62" s="178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178"/>
      <c r="B63" s="178"/>
      <c r="C63" s="178"/>
      <c r="D63" s="178"/>
      <c r="E63" s="178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178"/>
      <c r="B64" s="178"/>
      <c r="C64" s="178"/>
      <c r="D64" s="178"/>
      <c r="E64" s="178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178"/>
      <c r="B65" s="178"/>
      <c r="C65" s="178"/>
      <c r="D65" s="178"/>
      <c r="E65" s="178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178"/>
      <c r="B66" s="178"/>
      <c r="C66" s="178"/>
      <c r="D66" s="178"/>
      <c r="E66" s="178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178"/>
      <c r="B67" s="178"/>
      <c r="C67" s="178"/>
      <c r="D67" s="178"/>
      <c r="E67" s="178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178"/>
      <c r="B68" s="178"/>
      <c r="C68" s="178"/>
      <c r="D68" s="178"/>
      <c r="E68" s="178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178"/>
      <c r="B69" s="178"/>
      <c r="C69" s="178"/>
      <c r="D69" s="178"/>
      <c r="E69" s="178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178"/>
      <c r="B70" s="178"/>
      <c r="C70" s="178"/>
      <c r="D70" s="178"/>
      <c r="E70" s="178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178"/>
      <c r="B71" s="178"/>
      <c r="C71" s="178"/>
      <c r="D71" s="178"/>
      <c r="E71" s="178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178"/>
      <c r="B72" s="178"/>
      <c r="C72" s="178"/>
      <c r="D72" s="178"/>
      <c r="E72" s="178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178"/>
      <c r="B73" s="178"/>
      <c r="C73" s="178"/>
      <c r="D73" s="178"/>
      <c r="E73" s="178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178"/>
      <c r="B74" s="178"/>
      <c r="C74" s="178"/>
      <c r="D74" s="178"/>
      <c r="E74" s="178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178"/>
      <c r="B75" s="178"/>
      <c r="C75" s="178"/>
      <c r="D75" s="178"/>
      <c r="E75" s="178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178"/>
      <c r="B76" s="178"/>
      <c r="C76" s="178"/>
      <c r="D76" s="178"/>
      <c r="E76" s="178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178"/>
      <c r="B77" s="178"/>
      <c r="C77" s="178"/>
      <c r="D77" s="178"/>
      <c r="E77" s="178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178"/>
      <c r="B78" s="178"/>
      <c r="C78" s="178"/>
      <c r="D78" s="178"/>
      <c r="E78" s="178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178"/>
      <c r="B79" s="178"/>
      <c r="C79" s="178"/>
      <c r="D79" s="178"/>
      <c r="E79" s="178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178"/>
      <c r="B80" s="178"/>
      <c r="C80" s="178"/>
      <c r="D80" s="178"/>
      <c r="E80" s="178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178"/>
      <c r="B81" s="178"/>
      <c r="C81" s="178"/>
      <c r="D81" s="178"/>
      <c r="E81" s="178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178"/>
      <c r="B82" s="178"/>
      <c r="C82" s="178"/>
      <c r="D82" s="178"/>
      <c r="E82" s="178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178"/>
      <c r="B83" s="178"/>
      <c r="C83" s="178"/>
      <c r="D83" s="178"/>
      <c r="E83" s="178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178"/>
      <c r="B84" s="178"/>
      <c r="C84" s="178"/>
      <c r="D84" s="178"/>
      <c r="E84" s="178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178"/>
      <c r="B85" s="178"/>
      <c r="C85" s="178"/>
      <c r="D85" s="178"/>
      <c r="E85" s="178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178"/>
      <c r="B86" s="178"/>
      <c r="C86" s="178"/>
      <c r="D86" s="178"/>
      <c r="E86" s="178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178"/>
      <c r="B87" s="178"/>
      <c r="C87" s="178"/>
      <c r="D87" s="178"/>
      <c r="E87" s="178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178"/>
      <c r="B88" s="178"/>
      <c r="C88" s="178"/>
      <c r="D88" s="178"/>
      <c r="E88" s="178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178"/>
      <c r="B89" s="178"/>
      <c r="C89" s="178"/>
      <c r="D89" s="178"/>
      <c r="E89" s="178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178"/>
      <c r="B90" s="178"/>
      <c r="C90" s="178"/>
      <c r="D90" s="178"/>
      <c r="E90" s="178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178"/>
      <c r="B91" s="178"/>
      <c r="C91" s="178"/>
      <c r="D91" s="178"/>
      <c r="E91" s="178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178"/>
      <c r="B92" s="178"/>
      <c r="C92" s="178"/>
      <c r="D92" s="178"/>
      <c r="E92" s="178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178"/>
      <c r="B93" s="178"/>
      <c r="C93" s="178"/>
      <c r="D93" s="178"/>
      <c r="E93" s="178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178"/>
      <c r="B94" s="178"/>
      <c r="C94" s="178"/>
      <c r="D94" s="178"/>
      <c r="E94" s="178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178"/>
      <c r="B95" s="178"/>
      <c r="C95" s="178"/>
      <c r="D95" s="178"/>
      <c r="E95" s="178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178"/>
      <c r="B96" s="178"/>
      <c r="C96" s="178"/>
      <c r="D96" s="178"/>
      <c r="E96" s="178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178"/>
      <c r="B97" s="178"/>
      <c r="C97" s="178"/>
      <c r="D97" s="178"/>
      <c r="E97" s="178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178"/>
      <c r="B98" s="178"/>
      <c r="C98" s="178"/>
      <c r="D98" s="178"/>
      <c r="E98" s="178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178"/>
      <c r="B99" s="178"/>
      <c r="C99" s="178"/>
      <c r="D99" s="178"/>
      <c r="E99" s="178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178"/>
      <c r="B100" s="178"/>
      <c r="C100" s="178"/>
      <c r="D100" s="178"/>
      <c r="E100" s="178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178"/>
      <c r="B101" s="178"/>
      <c r="C101" s="178"/>
      <c r="D101" s="178"/>
      <c r="E101" s="178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178"/>
      <c r="B102" s="178"/>
      <c r="C102" s="178"/>
      <c r="D102" s="178"/>
      <c r="E102" s="178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178"/>
      <c r="B103" s="178"/>
      <c r="C103" s="178"/>
      <c r="D103" s="178"/>
      <c r="E103" s="178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178"/>
      <c r="B104" s="178"/>
      <c r="C104" s="178"/>
      <c r="D104" s="178"/>
      <c r="E104" s="178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178"/>
      <c r="B105" s="178"/>
      <c r="C105" s="178"/>
      <c r="D105" s="178"/>
      <c r="E105" s="178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178"/>
      <c r="B106" s="178"/>
      <c r="C106" s="178"/>
      <c r="D106" s="178"/>
      <c r="E106" s="178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178"/>
      <c r="B107" s="178"/>
      <c r="C107" s="178"/>
      <c r="D107" s="178"/>
      <c r="E107" s="178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178"/>
      <c r="B108" s="178"/>
      <c r="C108" s="178"/>
      <c r="D108" s="178"/>
      <c r="E108" s="178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178"/>
      <c r="B109" s="178"/>
      <c r="C109" s="178"/>
      <c r="D109" s="178"/>
      <c r="E109" s="178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178"/>
      <c r="B110" s="178"/>
      <c r="C110" s="178"/>
      <c r="D110" s="178"/>
      <c r="E110" s="178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178"/>
      <c r="B111" s="178"/>
      <c r="C111" s="178"/>
      <c r="D111" s="178"/>
      <c r="E111" s="178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178"/>
      <c r="B112" s="178"/>
      <c r="C112" s="178"/>
      <c r="D112" s="178"/>
      <c r="E112" s="178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178"/>
      <c r="B113" s="178"/>
      <c r="C113" s="178"/>
      <c r="D113" s="178"/>
      <c r="E113" s="178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178"/>
      <c r="B114" s="178"/>
      <c r="C114" s="178"/>
      <c r="D114" s="178"/>
      <c r="E114" s="178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178"/>
      <c r="B115" s="178"/>
      <c r="C115" s="178"/>
      <c r="D115" s="178"/>
      <c r="E115" s="178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178"/>
      <c r="B116" s="178"/>
      <c r="C116" s="178"/>
      <c r="D116" s="178"/>
      <c r="E116" s="178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178"/>
      <c r="B117" s="178"/>
      <c r="C117" s="178"/>
      <c r="D117" s="178"/>
      <c r="E117" s="178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178"/>
      <c r="B118" s="178"/>
      <c r="C118" s="178"/>
      <c r="D118" s="178"/>
      <c r="E118" s="178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178"/>
      <c r="B119" s="178"/>
      <c r="C119" s="178"/>
      <c r="D119" s="178"/>
      <c r="E119" s="178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178"/>
      <c r="B120" s="178"/>
      <c r="C120" s="178"/>
      <c r="D120" s="178"/>
      <c r="E120" s="178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178"/>
      <c r="B121" s="178"/>
      <c r="C121" s="178"/>
      <c r="D121" s="178"/>
      <c r="E121" s="178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178"/>
      <c r="B122" s="178"/>
      <c r="C122" s="178"/>
      <c r="D122" s="178"/>
      <c r="E122" s="178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178"/>
      <c r="B123" s="178"/>
      <c r="C123" s="178"/>
      <c r="D123" s="178"/>
      <c r="E123" s="178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178"/>
      <c r="B124" s="178"/>
      <c r="C124" s="178"/>
      <c r="D124" s="178"/>
      <c r="E124" s="178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178"/>
      <c r="B125" s="178"/>
      <c r="C125" s="178"/>
      <c r="D125" s="178"/>
      <c r="E125" s="178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178"/>
      <c r="B126" s="178"/>
      <c r="C126" s="178"/>
      <c r="D126" s="178"/>
      <c r="E126" s="178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178"/>
      <c r="B127" s="178"/>
      <c r="C127" s="178"/>
      <c r="D127" s="178"/>
      <c r="E127" s="178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178"/>
      <c r="B128" s="178"/>
      <c r="C128" s="178"/>
      <c r="D128" s="178"/>
      <c r="E128" s="178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178"/>
      <c r="B129" s="178"/>
      <c r="C129" s="178"/>
      <c r="D129" s="178"/>
      <c r="E129" s="178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178"/>
      <c r="B130" s="178"/>
      <c r="C130" s="178"/>
      <c r="D130" s="178"/>
      <c r="E130" s="178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178"/>
      <c r="B131" s="178"/>
      <c r="C131" s="178"/>
      <c r="D131" s="178"/>
      <c r="E131" s="178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178"/>
      <c r="B132" s="178"/>
      <c r="C132" s="178"/>
      <c r="D132" s="178"/>
      <c r="E132" s="178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178"/>
      <c r="B133" s="178"/>
      <c r="C133" s="178"/>
      <c r="D133" s="178"/>
      <c r="E133" s="178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178"/>
      <c r="B134" s="178"/>
      <c r="C134" s="178"/>
      <c r="D134" s="178"/>
      <c r="E134" s="178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178"/>
      <c r="B135" s="178"/>
      <c r="C135" s="178"/>
      <c r="D135" s="178"/>
      <c r="E135" s="178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178"/>
      <c r="B136" s="178"/>
      <c r="C136" s="178"/>
      <c r="D136" s="178"/>
      <c r="E136" s="178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178"/>
      <c r="B137" s="178"/>
      <c r="C137" s="178"/>
      <c r="D137" s="178"/>
      <c r="E137" s="178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178"/>
      <c r="B138" s="178"/>
      <c r="C138" s="178"/>
      <c r="D138" s="178"/>
      <c r="E138" s="178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178"/>
      <c r="B139" s="178"/>
      <c r="C139" s="178"/>
      <c r="D139" s="178"/>
      <c r="E139" s="178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178"/>
      <c r="B140" s="178"/>
      <c r="C140" s="178"/>
      <c r="D140" s="178"/>
      <c r="E140" s="178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178"/>
      <c r="B141" s="178"/>
      <c r="C141" s="178"/>
      <c r="D141" s="178"/>
      <c r="E141" s="178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178"/>
      <c r="B142" s="178"/>
      <c r="C142" s="178"/>
      <c r="D142" s="178"/>
      <c r="E142" s="178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178"/>
      <c r="B143" s="178"/>
      <c r="C143" s="178"/>
      <c r="D143" s="178"/>
      <c r="E143" s="178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178"/>
      <c r="B144" s="178"/>
      <c r="C144" s="178"/>
      <c r="D144" s="178"/>
      <c r="E144" s="178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178"/>
      <c r="B145" s="178"/>
      <c r="C145" s="178"/>
      <c r="D145" s="178"/>
      <c r="E145" s="178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178"/>
      <c r="B146" s="178"/>
      <c r="C146" s="178"/>
      <c r="D146" s="178"/>
      <c r="E146" s="178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178"/>
      <c r="B147" s="178"/>
      <c r="C147" s="178"/>
      <c r="D147" s="178"/>
      <c r="E147" s="178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178"/>
      <c r="B148" s="178"/>
      <c r="C148" s="178"/>
      <c r="D148" s="178"/>
      <c r="E148" s="178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178"/>
      <c r="B149" s="178"/>
      <c r="C149" s="178"/>
      <c r="D149" s="178"/>
      <c r="E149" s="178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178"/>
      <c r="B150" s="178"/>
      <c r="C150" s="178"/>
      <c r="D150" s="178"/>
      <c r="E150" s="178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178"/>
      <c r="B151" s="178"/>
      <c r="C151" s="178"/>
      <c r="D151" s="178"/>
      <c r="E151" s="178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178"/>
      <c r="B152" s="178"/>
      <c r="C152" s="178"/>
      <c r="D152" s="178"/>
      <c r="E152" s="178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178"/>
      <c r="B153" s="178"/>
      <c r="C153" s="178"/>
      <c r="D153" s="178"/>
      <c r="E153" s="178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178"/>
      <c r="B154" s="178"/>
      <c r="C154" s="178"/>
      <c r="D154" s="178"/>
      <c r="E154" s="178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178"/>
      <c r="B155" s="178"/>
      <c r="C155" s="178"/>
      <c r="D155" s="178"/>
      <c r="E155" s="178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178"/>
      <c r="B156" s="178"/>
      <c r="C156" s="178"/>
      <c r="D156" s="178"/>
      <c r="E156" s="178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178"/>
      <c r="B157" s="178"/>
      <c r="C157" s="178"/>
      <c r="D157" s="178"/>
      <c r="E157" s="178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178"/>
      <c r="B158" s="178"/>
      <c r="C158" s="178"/>
      <c r="D158" s="178"/>
      <c r="E158" s="178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178"/>
      <c r="B159" s="178"/>
      <c r="C159" s="178"/>
      <c r="D159" s="178"/>
      <c r="E159" s="178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178"/>
      <c r="B160" s="178"/>
      <c r="C160" s="178"/>
      <c r="D160" s="178"/>
      <c r="E160" s="178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178"/>
      <c r="B161" s="178"/>
      <c r="C161" s="178"/>
      <c r="D161" s="178"/>
      <c r="E161" s="178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178"/>
      <c r="B162" s="178"/>
      <c r="C162" s="178"/>
      <c r="D162" s="178"/>
      <c r="E162" s="178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178"/>
      <c r="B163" s="178"/>
      <c r="C163" s="178"/>
      <c r="D163" s="178"/>
      <c r="E163" s="178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178"/>
      <c r="B164" s="178"/>
      <c r="C164" s="178"/>
      <c r="D164" s="178"/>
      <c r="E164" s="178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178"/>
      <c r="B165" s="178"/>
      <c r="C165" s="178"/>
      <c r="D165" s="178"/>
      <c r="E165" s="178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178"/>
      <c r="B166" s="178"/>
      <c r="C166" s="178"/>
      <c r="D166" s="178"/>
      <c r="E166" s="178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178"/>
      <c r="B167" s="178"/>
      <c r="C167" s="178"/>
      <c r="D167" s="178"/>
      <c r="E167" s="178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178"/>
      <c r="B168" s="178"/>
      <c r="C168" s="178"/>
      <c r="D168" s="178"/>
      <c r="E168" s="178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178"/>
      <c r="B169" s="178"/>
      <c r="C169" s="178"/>
      <c r="D169" s="178"/>
      <c r="E169" s="178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178"/>
      <c r="B170" s="178"/>
      <c r="C170" s="178"/>
      <c r="D170" s="178"/>
      <c r="E170" s="178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178"/>
      <c r="B171" s="178"/>
      <c r="C171" s="178"/>
      <c r="D171" s="178"/>
      <c r="E171" s="178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178"/>
      <c r="B172" s="178"/>
      <c r="C172" s="178"/>
      <c r="D172" s="178"/>
      <c r="E172" s="178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178"/>
      <c r="B173" s="178"/>
      <c r="C173" s="178"/>
      <c r="D173" s="178"/>
      <c r="E173" s="178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178"/>
      <c r="B174" s="178"/>
      <c r="C174" s="178"/>
      <c r="D174" s="178"/>
      <c r="E174" s="178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178"/>
      <c r="B175" s="178"/>
      <c r="C175" s="178"/>
      <c r="D175" s="178"/>
      <c r="E175" s="178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178"/>
      <c r="B176" s="178"/>
      <c r="C176" s="178"/>
      <c r="D176" s="178"/>
      <c r="E176" s="178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178"/>
      <c r="B177" s="178"/>
      <c r="C177" s="178"/>
      <c r="D177" s="178"/>
      <c r="E177" s="178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178"/>
      <c r="B178" s="178"/>
      <c r="C178" s="178"/>
      <c r="D178" s="178"/>
      <c r="E178" s="178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178"/>
      <c r="B179" s="178"/>
      <c r="C179" s="178"/>
      <c r="D179" s="178"/>
      <c r="E179" s="178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178"/>
      <c r="B180" s="178"/>
      <c r="C180" s="178"/>
      <c r="D180" s="178"/>
      <c r="E180" s="178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178"/>
      <c r="B181" s="178"/>
      <c r="C181" s="178"/>
      <c r="D181" s="178"/>
      <c r="E181" s="178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178"/>
      <c r="B182" s="178"/>
      <c r="C182" s="178"/>
      <c r="D182" s="178"/>
      <c r="E182" s="178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178"/>
      <c r="B183" s="178"/>
      <c r="C183" s="178"/>
      <c r="D183" s="178"/>
      <c r="E183" s="178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178"/>
      <c r="B184" s="178"/>
      <c r="C184" s="178"/>
      <c r="D184" s="178"/>
      <c r="E184" s="178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178"/>
      <c r="B185" s="178"/>
      <c r="C185" s="178"/>
      <c r="D185" s="178"/>
      <c r="E185" s="178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178"/>
      <c r="B186" s="178"/>
      <c r="C186" s="178"/>
      <c r="D186" s="178"/>
      <c r="E186" s="178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178"/>
      <c r="B187" s="178"/>
      <c r="C187" s="178"/>
      <c r="D187" s="178"/>
      <c r="E187" s="178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178"/>
      <c r="B188" s="178"/>
      <c r="C188" s="178"/>
      <c r="D188" s="178"/>
      <c r="E188" s="178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178"/>
      <c r="B189" s="178"/>
      <c r="C189" s="178"/>
      <c r="D189" s="178"/>
      <c r="E189" s="178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178"/>
      <c r="B190" s="178"/>
      <c r="C190" s="178"/>
      <c r="D190" s="178"/>
      <c r="E190" s="178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178"/>
      <c r="B191" s="178"/>
      <c r="C191" s="178"/>
      <c r="D191" s="178"/>
      <c r="E191" s="178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178"/>
      <c r="B192" s="178"/>
      <c r="C192" s="178"/>
      <c r="D192" s="178"/>
      <c r="E192" s="178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178"/>
      <c r="B193" s="178"/>
      <c r="C193" s="178"/>
      <c r="D193" s="178"/>
      <c r="E193" s="178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178"/>
      <c r="B194" s="178"/>
      <c r="C194" s="178"/>
      <c r="D194" s="178"/>
      <c r="E194" s="178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178"/>
      <c r="B195" s="178"/>
      <c r="C195" s="178"/>
      <c r="D195" s="178"/>
      <c r="E195" s="178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178"/>
      <c r="B196" s="178"/>
      <c r="C196" s="178"/>
      <c r="D196" s="178"/>
      <c r="E196" s="178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178"/>
      <c r="B197" s="178"/>
      <c r="C197" s="178"/>
      <c r="D197" s="178"/>
      <c r="E197" s="178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178"/>
      <c r="B198" s="178"/>
      <c r="C198" s="178"/>
      <c r="D198" s="178"/>
      <c r="E198" s="178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178"/>
      <c r="B199" s="178"/>
      <c r="C199" s="178"/>
      <c r="D199" s="178"/>
      <c r="E199" s="178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178"/>
      <c r="B200" s="178"/>
      <c r="C200" s="178"/>
      <c r="D200" s="178"/>
      <c r="E200" s="178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178"/>
      <c r="B201" s="178"/>
      <c r="C201" s="178"/>
      <c r="D201" s="178"/>
      <c r="E201" s="178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178"/>
      <c r="B202" s="178"/>
      <c r="C202" s="178"/>
      <c r="D202" s="178"/>
      <c r="E202" s="178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178"/>
      <c r="B203" s="178"/>
      <c r="C203" s="178"/>
      <c r="D203" s="178"/>
      <c r="E203" s="178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178"/>
      <c r="B204" s="178"/>
      <c r="C204" s="178"/>
      <c r="D204" s="178"/>
      <c r="E204" s="178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178"/>
      <c r="B205" s="178"/>
      <c r="C205" s="178"/>
      <c r="D205" s="178"/>
      <c r="E205" s="178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178"/>
      <c r="B206" s="178"/>
      <c r="C206" s="178"/>
      <c r="D206" s="178"/>
      <c r="E206" s="178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178"/>
      <c r="B207" s="178"/>
      <c r="C207" s="178"/>
      <c r="D207" s="178"/>
      <c r="E207" s="178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178"/>
      <c r="B208" s="178"/>
      <c r="C208" s="178"/>
      <c r="D208" s="178"/>
      <c r="E208" s="178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178"/>
      <c r="B209" s="178"/>
      <c r="C209" s="178"/>
      <c r="D209" s="178"/>
      <c r="E209" s="178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178"/>
      <c r="B210" s="178"/>
      <c r="C210" s="178"/>
      <c r="D210" s="178"/>
      <c r="E210" s="178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178"/>
      <c r="B211" s="178"/>
      <c r="C211" s="178"/>
      <c r="D211" s="178"/>
      <c r="E211" s="178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178"/>
      <c r="B212" s="178"/>
      <c r="C212" s="178"/>
      <c r="D212" s="178"/>
      <c r="E212" s="178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178"/>
      <c r="B213" s="178"/>
      <c r="C213" s="178"/>
      <c r="D213" s="178"/>
      <c r="E213" s="178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178"/>
      <c r="B214" s="178"/>
      <c r="C214" s="178"/>
      <c r="D214" s="178"/>
      <c r="E214" s="178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178"/>
      <c r="B215" s="178"/>
      <c r="C215" s="178"/>
      <c r="D215" s="178"/>
      <c r="E215" s="178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178"/>
      <c r="B216" s="178"/>
      <c r="C216" s="178"/>
      <c r="D216" s="178"/>
      <c r="E216" s="178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178"/>
      <c r="B217" s="178"/>
      <c r="C217" s="178"/>
      <c r="D217" s="178"/>
      <c r="E217" s="178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178"/>
      <c r="B218" s="178"/>
      <c r="C218" s="178"/>
      <c r="D218" s="178"/>
      <c r="E218" s="178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178"/>
      <c r="B219" s="178"/>
      <c r="C219" s="178"/>
      <c r="D219" s="178"/>
      <c r="E219" s="178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178"/>
      <c r="B220" s="178"/>
      <c r="C220" s="178"/>
      <c r="D220" s="178"/>
      <c r="E220" s="178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178"/>
      <c r="B221" s="178"/>
      <c r="C221" s="178"/>
      <c r="D221" s="178"/>
      <c r="E221" s="178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178"/>
      <c r="B222" s="178"/>
      <c r="C222" s="178"/>
      <c r="D222" s="178"/>
      <c r="E222" s="178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178"/>
      <c r="B223" s="178"/>
      <c r="C223" s="178"/>
      <c r="D223" s="178"/>
      <c r="E223" s="178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178"/>
      <c r="B224" s="178"/>
      <c r="C224" s="178"/>
      <c r="D224" s="178"/>
      <c r="E224" s="178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178"/>
      <c r="B225" s="178"/>
      <c r="C225" s="178"/>
      <c r="D225" s="178"/>
      <c r="E225" s="178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178"/>
      <c r="B226" s="178"/>
      <c r="C226" s="178"/>
      <c r="D226" s="178"/>
      <c r="E226" s="178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178"/>
      <c r="B227" s="178"/>
      <c r="C227" s="178"/>
      <c r="D227" s="178"/>
      <c r="E227" s="178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178"/>
      <c r="B228" s="178"/>
      <c r="C228" s="178"/>
      <c r="D228" s="178"/>
      <c r="E228" s="178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178"/>
      <c r="B229" s="178"/>
      <c r="C229" s="178"/>
      <c r="D229" s="178"/>
      <c r="E229" s="178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178"/>
      <c r="B230" s="178"/>
      <c r="C230" s="178"/>
      <c r="D230" s="178"/>
      <c r="E230" s="178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178"/>
      <c r="B231" s="178"/>
      <c r="C231" s="178"/>
      <c r="D231" s="178"/>
      <c r="E231" s="178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178"/>
      <c r="B232" s="178"/>
      <c r="C232" s="178"/>
      <c r="D232" s="178"/>
      <c r="E232" s="178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178"/>
      <c r="B233" s="178"/>
      <c r="C233" s="178"/>
      <c r="D233" s="178"/>
      <c r="E233" s="178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178"/>
      <c r="B234" s="178"/>
      <c r="C234" s="178"/>
      <c r="D234" s="178"/>
      <c r="E234" s="178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178"/>
      <c r="B235" s="178"/>
      <c r="C235" s="178"/>
      <c r="D235" s="178"/>
      <c r="E235" s="178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178"/>
      <c r="B236" s="178"/>
      <c r="C236" s="178"/>
      <c r="D236" s="178"/>
      <c r="E236" s="178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178"/>
      <c r="B237" s="178"/>
      <c r="C237" s="178"/>
      <c r="D237" s="178"/>
      <c r="E237" s="178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178"/>
      <c r="B238" s="178"/>
      <c r="C238" s="178"/>
      <c r="D238" s="178"/>
      <c r="E238" s="178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178"/>
      <c r="B239" s="178"/>
      <c r="C239" s="178"/>
      <c r="D239" s="178"/>
      <c r="E239" s="178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178"/>
      <c r="B240" s="178"/>
      <c r="C240" s="178"/>
      <c r="D240" s="178"/>
      <c r="E240" s="178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178"/>
      <c r="B241" s="178"/>
      <c r="C241" s="178"/>
      <c r="D241" s="178"/>
      <c r="E241" s="178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178"/>
      <c r="B242" s="178"/>
      <c r="C242" s="178"/>
      <c r="D242" s="178"/>
      <c r="E242" s="178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178"/>
      <c r="B243" s="178"/>
      <c r="C243" s="178"/>
      <c r="D243" s="178"/>
      <c r="E243" s="178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178"/>
      <c r="B244" s="178"/>
      <c r="C244" s="178"/>
      <c r="D244" s="178"/>
      <c r="E244" s="178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178"/>
      <c r="B245" s="178"/>
      <c r="C245" s="178"/>
      <c r="D245" s="178"/>
      <c r="E245" s="178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178"/>
      <c r="B246" s="178"/>
      <c r="C246" s="178"/>
      <c r="D246" s="178"/>
      <c r="E246" s="178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178"/>
      <c r="B247" s="178"/>
      <c r="C247" s="178"/>
      <c r="D247" s="178"/>
      <c r="E247" s="178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178"/>
      <c r="B248" s="178"/>
      <c r="C248" s="178"/>
      <c r="D248" s="178"/>
      <c r="E248" s="178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178"/>
      <c r="B249" s="178"/>
      <c r="C249" s="178"/>
      <c r="D249" s="178"/>
      <c r="E249" s="178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178"/>
      <c r="B250" s="178"/>
      <c r="C250" s="178"/>
      <c r="D250" s="178"/>
      <c r="E250" s="178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178"/>
      <c r="B251" s="178"/>
      <c r="C251" s="178"/>
      <c r="D251" s="178"/>
      <c r="E251" s="178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178"/>
      <c r="B252" s="178"/>
      <c r="C252" s="178"/>
      <c r="D252" s="178"/>
      <c r="E252" s="178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178"/>
      <c r="B253" s="178"/>
      <c r="C253" s="178"/>
      <c r="D253" s="178"/>
      <c r="E253" s="178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178"/>
      <c r="B254" s="178"/>
      <c r="C254" s="178"/>
      <c r="D254" s="178"/>
      <c r="E254" s="178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178"/>
      <c r="B255" s="178"/>
      <c r="C255" s="178"/>
      <c r="D255" s="178"/>
      <c r="E255" s="178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178"/>
      <c r="B256" s="178"/>
      <c r="C256" s="178"/>
      <c r="D256" s="178"/>
      <c r="E256" s="178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178"/>
      <c r="B257" s="178"/>
      <c r="C257" s="178"/>
      <c r="D257" s="178"/>
      <c r="E257" s="178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178"/>
      <c r="B258" s="178"/>
      <c r="C258" s="178"/>
      <c r="D258" s="178"/>
      <c r="E258" s="178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178"/>
      <c r="B259" s="178"/>
      <c r="C259" s="178"/>
      <c r="D259" s="178"/>
      <c r="E259" s="178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178"/>
      <c r="B260" s="178"/>
      <c r="C260" s="178"/>
      <c r="D260" s="178"/>
      <c r="E260" s="178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178"/>
      <c r="B261" s="178"/>
      <c r="C261" s="178"/>
      <c r="D261" s="178"/>
      <c r="E261" s="178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178"/>
      <c r="B262" s="178"/>
      <c r="C262" s="178"/>
      <c r="D262" s="178"/>
      <c r="E262" s="178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178"/>
      <c r="B263" s="178"/>
      <c r="C263" s="178"/>
      <c r="D263" s="178"/>
      <c r="E263" s="178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178"/>
      <c r="B264" s="178"/>
      <c r="C264" s="178"/>
      <c r="D264" s="178"/>
      <c r="E264" s="178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178"/>
      <c r="B265" s="178"/>
      <c r="C265" s="178"/>
      <c r="D265" s="178"/>
      <c r="E265" s="178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178"/>
      <c r="B266" s="178"/>
      <c r="C266" s="178"/>
      <c r="D266" s="178"/>
      <c r="E266" s="178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178"/>
      <c r="B267" s="178"/>
      <c r="C267" s="178"/>
      <c r="D267" s="178"/>
      <c r="E267" s="178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178"/>
      <c r="B268" s="178"/>
      <c r="C268" s="178"/>
      <c r="D268" s="178"/>
      <c r="E268" s="178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178"/>
      <c r="B269" s="178"/>
      <c r="C269" s="178"/>
      <c r="D269" s="178"/>
      <c r="E269" s="178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178"/>
      <c r="B270" s="178"/>
      <c r="C270" s="178"/>
      <c r="D270" s="178"/>
      <c r="E270" s="178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178"/>
      <c r="B271" s="178"/>
      <c r="C271" s="178"/>
      <c r="D271" s="178"/>
      <c r="E271" s="178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178"/>
      <c r="B272" s="178"/>
      <c r="C272" s="178"/>
      <c r="D272" s="178"/>
      <c r="E272" s="178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178"/>
      <c r="B273" s="178"/>
      <c r="C273" s="178"/>
      <c r="D273" s="178"/>
      <c r="E273" s="178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178"/>
      <c r="B274" s="178"/>
      <c r="C274" s="178"/>
      <c r="D274" s="178"/>
      <c r="E274" s="178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178"/>
      <c r="B275" s="178"/>
      <c r="C275" s="178"/>
      <c r="D275" s="178"/>
      <c r="E275" s="178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178"/>
      <c r="B276" s="178"/>
      <c r="C276" s="178"/>
      <c r="D276" s="178"/>
      <c r="E276" s="178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178"/>
      <c r="B277" s="178"/>
      <c r="C277" s="178"/>
      <c r="D277" s="178"/>
      <c r="E277" s="178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178"/>
      <c r="B278" s="178"/>
      <c r="C278" s="178"/>
      <c r="D278" s="178"/>
      <c r="E278" s="178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178"/>
      <c r="B279" s="178"/>
      <c r="C279" s="178"/>
      <c r="D279" s="178"/>
      <c r="E279" s="178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178"/>
      <c r="B280" s="178"/>
      <c r="C280" s="178"/>
      <c r="D280" s="178"/>
      <c r="E280" s="178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178"/>
      <c r="B281" s="178"/>
      <c r="C281" s="178"/>
      <c r="D281" s="178"/>
      <c r="E281" s="178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178"/>
      <c r="B282" s="178"/>
      <c r="C282" s="178"/>
      <c r="D282" s="178"/>
      <c r="E282" s="178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178"/>
      <c r="B283" s="178"/>
      <c r="C283" s="178"/>
      <c r="D283" s="178"/>
      <c r="E283" s="178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178"/>
      <c r="B284" s="178"/>
      <c r="C284" s="178"/>
      <c r="D284" s="178"/>
      <c r="E284" s="178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178"/>
      <c r="B285" s="178"/>
      <c r="C285" s="178"/>
      <c r="D285" s="178"/>
      <c r="E285" s="178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178"/>
      <c r="B286" s="178"/>
      <c r="C286" s="178"/>
      <c r="D286" s="178"/>
      <c r="E286" s="178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178"/>
      <c r="B287" s="178"/>
      <c r="C287" s="178"/>
      <c r="D287" s="178"/>
      <c r="E287" s="178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178"/>
      <c r="B288" s="178"/>
      <c r="C288" s="178"/>
      <c r="D288" s="178"/>
      <c r="E288" s="178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178"/>
      <c r="B289" s="178"/>
      <c r="C289" s="178"/>
      <c r="D289" s="178"/>
      <c r="E289" s="178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178"/>
      <c r="B290" s="178"/>
      <c r="C290" s="178"/>
      <c r="D290" s="178"/>
      <c r="E290" s="178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178"/>
      <c r="B291" s="178"/>
      <c r="C291" s="178"/>
      <c r="D291" s="178"/>
      <c r="E291" s="178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178"/>
      <c r="B292" s="178"/>
      <c r="C292" s="178"/>
      <c r="D292" s="178"/>
      <c r="E292" s="178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178"/>
      <c r="B293" s="178"/>
      <c r="C293" s="178"/>
      <c r="D293" s="178"/>
      <c r="E293" s="178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178"/>
      <c r="B294" s="178"/>
      <c r="C294" s="178"/>
      <c r="D294" s="178"/>
      <c r="E294" s="178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178"/>
      <c r="B295" s="178"/>
      <c r="C295" s="178"/>
      <c r="D295" s="178"/>
      <c r="E295" s="178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178"/>
      <c r="B296" s="178"/>
      <c r="C296" s="178"/>
      <c r="D296" s="178"/>
      <c r="E296" s="178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178"/>
      <c r="B297" s="178"/>
      <c r="C297" s="178"/>
      <c r="D297" s="178"/>
      <c r="E297" s="178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178"/>
      <c r="B298" s="178"/>
      <c r="C298" s="178"/>
      <c r="D298" s="178"/>
      <c r="E298" s="178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178"/>
      <c r="B299" s="178"/>
      <c r="C299" s="178"/>
      <c r="D299" s="178"/>
      <c r="E299" s="178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178"/>
      <c r="B300" s="178"/>
      <c r="C300" s="178"/>
      <c r="D300" s="178"/>
      <c r="E300" s="178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178"/>
      <c r="B301" s="178"/>
      <c r="C301" s="178"/>
      <c r="D301" s="178"/>
      <c r="E301" s="178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178"/>
      <c r="B302" s="178"/>
      <c r="C302" s="178"/>
      <c r="D302" s="178"/>
      <c r="E302" s="178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178"/>
      <c r="B303" s="178"/>
      <c r="C303" s="178"/>
      <c r="D303" s="178"/>
      <c r="E303" s="178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178"/>
      <c r="B304" s="178"/>
      <c r="C304" s="178"/>
      <c r="D304" s="178"/>
      <c r="E304" s="178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178"/>
      <c r="B305" s="178"/>
      <c r="C305" s="178"/>
      <c r="D305" s="178"/>
      <c r="E305" s="178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178"/>
      <c r="B306" s="178"/>
      <c r="C306" s="178"/>
      <c r="D306" s="178"/>
      <c r="E306" s="178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178"/>
      <c r="B307" s="178"/>
      <c r="C307" s="178"/>
      <c r="D307" s="178"/>
      <c r="E307" s="178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178"/>
      <c r="B308" s="178"/>
      <c r="C308" s="178"/>
      <c r="D308" s="178"/>
      <c r="E308" s="178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178"/>
      <c r="B309" s="178"/>
      <c r="C309" s="178"/>
      <c r="D309" s="178"/>
      <c r="E309" s="178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178"/>
      <c r="B310" s="178"/>
      <c r="C310" s="178"/>
      <c r="D310" s="178"/>
      <c r="E310" s="178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178"/>
      <c r="B311" s="178"/>
      <c r="C311" s="178"/>
      <c r="D311" s="178"/>
      <c r="E311" s="178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178"/>
      <c r="B312" s="178"/>
      <c r="C312" s="178"/>
      <c r="D312" s="178"/>
      <c r="E312" s="178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178"/>
      <c r="B313" s="178"/>
      <c r="C313" s="178"/>
      <c r="D313" s="178"/>
      <c r="E313" s="178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178"/>
      <c r="B314" s="178"/>
      <c r="C314" s="178"/>
      <c r="D314" s="178"/>
      <c r="E314" s="178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178"/>
      <c r="B315" s="178"/>
      <c r="C315" s="178"/>
      <c r="D315" s="178"/>
      <c r="E315" s="178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178"/>
      <c r="B316" s="178"/>
      <c r="C316" s="178"/>
      <c r="D316" s="178"/>
      <c r="E316" s="178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178"/>
      <c r="B317" s="178"/>
      <c r="C317" s="178"/>
      <c r="D317" s="178"/>
      <c r="E317" s="178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178"/>
      <c r="B318" s="178"/>
      <c r="C318" s="178"/>
      <c r="D318" s="178"/>
      <c r="E318" s="178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178"/>
      <c r="B319" s="178"/>
      <c r="C319" s="178"/>
      <c r="D319" s="178"/>
      <c r="E319" s="178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178"/>
      <c r="B320" s="178"/>
      <c r="C320" s="178"/>
      <c r="D320" s="178"/>
      <c r="E320" s="178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178"/>
      <c r="B321" s="178"/>
      <c r="C321" s="178"/>
      <c r="D321" s="178"/>
      <c r="E321" s="178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178"/>
      <c r="B322" s="178"/>
      <c r="C322" s="178"/>
      <c r="D322" s="178"/>
      <c r="E322" s="178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178"/>
      <c r="B323" s="178"/>
      <c r="C323" s="178"/>
      <c r="D323" s="178"/>
      <c r="E323" s="178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178"/>
      <c r="B324" s="178"/>
      <c r="C324" s="178"/>
      <c r="D324" s="178"/>
      <c r="E324" s="178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178"/>
      <c r="B325" s="178"/>
      <c r="C325" s="178"/>
      <c r="D325" s="178"/>
      <c r="E325" s="178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178"/>
      <c r="B326" s="178"/>
      <c r="C326" s="178"/>
      <c r="D326" s="178"/>
      <c r="E326" s="178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178"/>
      <c r="B327" s="178"/>
      <c r="C327" s="178"/>
      <c r="D327" s="178"/>
      <c r="E327" s="178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178"/>
      <c r="B328" s="178"/>
      <c r="C328" s="178"/>
      <c r="D328" s="178"/>
      <c r="E328" s="178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178"/>
      <c r="B329" s="178"/>
      <c r="C329" s="178"/>
      <c r="D329" s="178"/>
      <c r="E329" s="178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178"/>
      <c r="B330" s="178"/>
      <c r="C330" s="178"/>
      <c r="D330" s="178"/>
      <c r="E330" s="178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178"/>
      <c r="B331" s="178"/>
      <c r="C331" s="178"/>
      <c r="D331" s="178"/>
      <c r="E331" s="178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178"/>
      <c r="B332" s="178"/>
      <c r="C332" s="178"/>
      <c r="D332" s="178"/>
      <c r="E332" s="178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178"/>
      <c r="B333" s="178"/>
      <c r="C333" s="178"/>
      <c r="D333" s="178"/>
      <c r="E333" s="178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178"/>
      <c r="B334" s="178"/>
      <c r="C334" s="178"/>
      <c r="D334" s="178"/>
      <c r="E334" s="178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178"/>
      <c r="B335" s="178"/>
      <c r="C335" s="178"/>
      <c r="D335" s="178"/>
      <c r="E335" s="178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178"/>
      <c r="B336" s="178"/>
      <c r="C336" s="178"/>
      <c r="D336" s="178"/>
      <c r="E336" s="178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178"/>
      <c r="B337" s="178"/>
      <c r="C337" s="178"/>
      <c r="D337" s="178"/>
      <c r="E337" s="178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178"/>
      <c r="B338" s="178"/>
      <c r="C338" s="178"/>
      <c r="D338" s="178"/>
      <c r="E338" s="178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178"/>
      <c r="B339" s="178"/>
      <c r="C339" s="178"/>
      <c r="D339" s="178"/>
      <c r="E339" s="178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178"/>
      <c r="B340" s="178"/>
      <c r="C340" s="178"/>
      <c r="D340" s="178"/>
      <c r="E340" s="178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178"/>
      <c r="B341" s="178"/>
      <c r="C341" s="178"/>
      <c r="D341" s="178"/>
      <c r="E341" s="178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178"/>
      <c r="B342" s="178"/>
      <c r="C342" s="178"/>
      <c r="D342" s="178"/>
      <c r="E342" s="178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178"/>
      <c r="B343" s="178"/>
      <c r="C343" s="178"/>
      <c r="D343" s="178"/>
      <c r="E343" s="178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178"/>
      <c r="B344" s="178"/>
      <c r="C344" s="178"/>
      <c r="D344" s="178"/>
      <c r="E344" s="178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178"/>
      <c r="B345" s="178"/>
      <c r="C345" s="178"/>
      <c r="D345" s="178"/>
      <c r="E345" s="178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178"/>
      <c r="B346" s="178"/>
      <c r="C346" s="178"/>
      <c r="D346" s="178"/>
      <c r="E346" s="178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178"/>
      <c r="B347" s="178"/>
      <c r="C347" s="178"/>
      <c r="D347" s="178"/>
      <c r="E347" s="178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178"/>
      <c r="B348" s="178"/>
      <c r="C348" s="178"/>
      <c r="D348" s="178"/>
      <c r="E348" s="178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178"/>
      <c r="B349" s="178"/>
      <c r="C349" s="178"/>
      <c r="D349" s="178"/>
      <c r="E349" s="178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178"/>
      <c r="B350" s="178"/>
      <c r="C350" s="178"/>
      <c r="D350" s="178"/>
      <c r="E350" s="178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178"/>
      <c r="B351" s="178"/>
      <c r="C351" s="178"/>
      <c r="D351" s="178"/>
      <c r="E351" s="178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178"/>
      <c r="B352" s="178"/>
      <c r="C352" s="178"/>
      <c r="D352" s="178"/>
      <c r="E352" s="178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178"/>
      <c r="B353" s="178"/>
      <c r="C353" s="178"/>
      <c r="D353" s="178"/>
      <c r="E353" s="178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178"/>
      <c r="B354" s="178"/>
      <c r="C354" s="178"/>
      <c r="D354" s="178"/>
      <c r="E354" s="178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178"/>
      <c r="B355" s="178"/>
      <c r="C355" s="178"/>
      <c r="D355" s="178"/>
      <c r="E355" s="178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178"/>
      <c r="B356" s="178"/>
      <c r="C356" s="178"/>
      <c r="D356" s="178"/>
      <c r="E356" s="178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178"/>
      <c r="B357" s="178"/>
      <c r="C357" s="178"/>
      <c r="D357" s="178"/>
      <c r="E357" s="178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178"/>
      <c r="B358" s="178"/>
      <c r="C358" s="178"/>
      <c r="D358" s="178"/>
      <c r="E358" s="178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178"/>
      <c r="B359" s="178"/>
      <c r="C359" s="178"/>
      <c r="D359" s="178"/>
      <c r="E359" s="178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178"/>
      <c r="B360" s="178"/>
      <c r="C360" s="178"/>
      <c r="D360" s="178"/>
      <c r="E360" s="178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178"/>
      <c r="B361" s="178"/>
      <c r="C361" s="178"/>
      <c r="D361" s="178"/>
      <c r="E361" s="178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178"/>
      <c r="B362" s="178"/>
      <c r="C362" s="178"/>
      <c r="D362" s="178"/>
      <c r="E362" s="178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178"/>
      <c r="B363" s="178"/>
      <c r="C363" s="178"/>
      <c r="D363" s="178"/>
      <c r="E363" s="178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178"/>
      <c r="B364" s="178"/>
      <c r="C364" s="178"/>
      <c r="D364" s="178"/>
      <c r="E364" s="178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178"/>
      <c r="B365" s="178"/>
      <c r="C365" s="178"/>
      <c r="D365" s="178"/>
      <c r="E365" s="178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178"/>
      <c r="B366" s="178"/>
      <c r="C366" s="178"/>
      <c r="D366" s="178"/>
      <c r="E366" s="178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178"/>
      <c r="B367" s="178"/>
      <c r="C367" s="178"/>
      <c r="D367" s="178"/>
      <c r="E367" s="178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178"/>
      <c r="B368" s="178"/>
      <c r="C368" s="178"/>
      <c r="D368" s="178"/>
      <c r="E368" s="178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178"/>
      <c r="B369" s="178"/>
      <c r="C369" s="178"/>
      <c r="D369" s="178"/>
      <c r="E369" s="178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178"/>
      <c r="B370" s="178"/>
      <c r="C370" s="178"/>
      <c r="D370" s="178"/>
      <c r="E370" s="178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178"/>
      <c r="B371" s="178"/>
      <c r="C371" s="178"/>
      <c r="D371" s="178"/>
      <c r="E371" s="178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178"/>
      <c r="B372" s="178"/>
      <c r="C372" s="178"/>
      <c r="D372" s="178"/>
      <c r="E372" s="178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178"/>
      <c r="B373" s="178"/>
      <c r="C373" s="178"/>
      <c r="D373" s="178"/>
      <c r="E373" s="178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178"/>
      <c r="B374" s="178"/>
      <c r="C374" s="178"/>
      <c r="D374" s="178"/>
      <c r="E374" s="178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178"/>
      <c r="B375" s="178"/>
      <c r="C375" s="178"/>
      <c r="D375" s="178"/>
      <c r="E375" s="178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178"/>
      <c r="B376" s="178"/>
      <c r="C376" s="178"/>
      <c r="D376" s="178"/>
      <c r="E376" s="178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178"/>
      <c r="B377" s="178"/>
      <c r="C377" s="178"/>
      <c r="D377" s="178"/>
      <c r="E377" s="178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178"/>
      <c r="B378" s="178"/>
      <c r="C378" s="178"/>
      <c r="D378" s="178"/>
      <c r="E378" s="178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178"/>
      <c r="B379" s="178"/>
      <c r="C379" s="178"/>
      <c r="D379" s="178"/>
      <c r="E379" s="178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178"/>
      <c r="B380" s="178"/>
      <c r="C380" s="178"/>
      <c r="D380" s="178"/>
      <c r="E380" s="178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178"/>
      <c r="B381" s="178"/>
      <c r="C381" s="178"/>
      <c r="D381" s="178"/>
      <c r="E381" s="178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178"/>
      <c r="B382" s="178"/>
      <c r="C382" s="178"/>
      <c r="D382" s="178"/>
      <c r="E382" s="178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178"/>
      <c r="B383" s="178"/>
      <c r="C383" s="178"/>
      <c r="D383" s="178"/>
      <c r="E383" s="178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178"/>
      <c r="B384" s="178"/>
      <c r="C384" s="178"/>
      <c r="D384" s="178"/>
      <c r="E384" s="178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178"/>
      <c r="B385" s="178"/>
      <c r="C385" s="178"/>
      <c r="D385" s="178"/>
      <c r="E385" s="178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178"/>
      <c r="B386" s="178"/>
      <c r="C386" s="178"/>
      <c r="D386" s="178"/>
      <c r="E386" s="178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178"/>
      <c r="B387" s="178"/>
      <c r="C387" s="178"/>
      <c r="D387" s="178"/>
      <c r="E387" s="178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178"/>
      <c r="B388" s="178"/>
      <c r="C388" s="178"/>
      <c r="D388" s="178"/>
      <c r="E388" s="178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178"/>
      <c r="B389" s="178"/>
      <c r="C389" s="178"/>
      <c r="D389" s="178"/>
      <c r="E389" s="178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178"/>
      <c r="B390" s="178"/>
      <c r="C390" s="178"/>
      <c r="D390" s="178"/>
      <c r="E390" s="178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178"/>
      <c r="B391" s="178"/>
      <c r="C391" s="178"/>
      <c r="D391" s="178"/>
      <c r="E391" s="178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178"/>
      <c r="B392" s="178"/>
      <c r="C392" s="178"/>
      <c r="D392" s="178"/>
      <c r="E392" s="178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178"/>
      <c r="B393" s="178"/>
      <c r="C393" s="178"/>
      <c r="D393" s="178"/>
      <c r="E393" s="178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178"/>
      <c r="B394" s="178"/>
      <c r="C394" s="178"/>
      <c r="D394" s="178"/>
      <c r="E394" s="178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178"/>
      <c r="B395" s="178"/>
      <c r="C395" s="178"/>
      <c r="D395" s="178"/>
      <c r="E395" s="178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178"/>
      <c r="B396" s="178"/>
      <c r="C396" s="178"/>
      <c r="D396" s="178"/>
      <c r="E396" s="178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178"/>
      <c r="B397" s="178"/>
      <c r="C397" s="178"/>
      <c r="D397" s="178"/>
      <c r="E397" s="178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178"/>
      <c r="B398" s="178"/>
      <c r="C398" s="178"/>
      <c r="D398" s="178"/>
      <c r="E398" s="178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178"/>
      <c r="B399" s="178"/>
      <c r="C399" s="178"/>
      <c r="D399" s="178"/>
      <c r="E399" s="178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178"/>
      <c r="B400" s="178"/>
      <c r="C400" s="178"/>
      <c r="D400" s="178"/>
      <c r="E400" s="178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178"/>
      <c r="B401" s="178"/>
      <c r="C401" s="178"/>
      <c r="D401" s="178"/>
      <c r="E401" s="178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178"/>
      <c r="B402" s="178"/>
      <c r="C402" s="178"/>
      <c r="D402" s="178"/>
      <c r="E402" s="178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178"/>
      <c r="B403" s="178"/>
      <c r="C403" s="178"/>
      <c r="D403" s="178"/>
      <c r="E403" s="178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178"/>
      <c r="B404" s="178"/>
      <c r="C404" s="178"/>
      <c r="D404" s="178"/>
      <c r="E404" s="178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178"/>
      <c r="B405" s="178"/>
      <c r="C405" s="178"/>
      <c r="D405" s="178"/>
      <c r="E405" s="178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178"/>
      <c r="B406" s="178"/>
      <c r="C406" s="178"/>
      <c r="D406" s="178"/>
      <c r="E406" s="178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178"/>
      <c r="B407" s="178"/>
      <c r="C407" s="178"/>
      <c r="D407" s="178"/>
      <c r="E407" s="178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178"/>
      <c r="B408" s="178"/>
      <c r="C408" s="178"/>
      <c r="D408" s="178"/>
      <c r="E408" s="178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178"/>
      <c r="B409" s="178"/>
      <c r="C409" s="178"/>
      <c r="D409" s="178"/>
      <c r="E409" s="178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178"/>
      <c r="B410" s="178"/>
      <c r="C410" s="178"/>
      <c r="D410" s="178"/>
      <c r="E410" s="178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178"/>
      <c r="B411" s="178"/>
      <c r="C411" s="178"/>
      <c r="D411" s="178"/>
      <c r="E411" s="178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178"/>
      <c r="B412" s="178"/>
      <c r="C412" s="178"/>
      <c r="D412" s="178"/>
      <c r="E412" s="178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178"/>
      <c r="B413" s="178"/>
      <c r="C413" s="178"/>
      <c r="D413" s="178"/>
      <c r="E413" s="178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178"/>
      <c r="B414" s="178"/>
      <c r="C414" s="178"/>
      <c r="D414" s="178"/>
      <c r="E414" s="178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178"/>
      <c r="B415" s="178"/>
      <c r="C415" s="178"/>
      <c r="D415" s="178"/>
      <c r="E415" s="178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178"/>
      <c r="B416" s="178"/>
      <c r="C416" s="178"/>
      <c r="D416" s="178"/>
      <c r="E416" s="178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178"/>
      <c r="B417" s="178"/>
      <c r="C417" s="178"/>
      <c r="D417" s="178"/>
      <c r="E417" s="178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178"/>
      <c r="B418" s="178"/>
      <c r="C418" s="178"/>
      <c r="D418" s="178"/>
      <c r="E418" s="178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178"/>
      <c r="B419" s="178"/>
      <c r="C419" s="178"/>
      <c r="D419" s="178"/>
      <c r="E419" s="178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178"/>
      <c r="B420" s="178"/>
      <c r="C420" s="178"/>
      <c r="D420" s="178"/>
      <c r="E420" s="178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178"/>
      <c r="B421" s="178"/>
      <c r="C421" s="178"/>
      <c r="D421" s="178"/>
      <c r="E421" s="178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178"/>
      <c r="B422" s="178"/>
      <c r="C422" s="178"/>
      <c r="D422" s="178"/>
      <c r="E422" s="178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178"/>
      <c r="B423" s="178"/>
      <c r="C423" s="178"/>
      <c r="D423" s="178"/>
      <c r="E423" s="178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178"/>
      <c r="B424" s="178"/>
      <c r="C424" s="178"/>
      <c r="D424" s="178"/>
      <c r="E424" s="178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178"/>
      <c r="B425" s="178"/>
      <c r="C425" s="178"/>
      <c r="D425" s="178"/>
      <c r="E425" s="178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178"/>
      <c r="B426" s="178"/>
      <c r="C426" s="178"/>
      <c r="D426" s="178"/>
      <c r="E426" s="178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178"/>
      <c r="B427" s="178"/>
      <c r="C427" s="178"/>
      <c r="D427" s="178"/>
      <c r="E427" s="178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178"/>
      <c r="B428" s="178"/>
      <c r="C428" s="178"/>
      <c r="D428" s="178"/>
      <c r="E428" s="178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178"/>
      <c r="B429" s="178"/>
      <c r="C429" s="178"/>
      <c r="D429" s="178"/>
      <c r="E429" s="178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178"/>
      <c r="B430" s="178"/>
      <c r="C430" s="178"/>
      <c r="D430" s="178"/>
      <c r="E430" s="178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178"/>
      <c r="B431" s="178"/>
      <c r="C431" s="178"/>
      <c r="D431" s="178"/>
      <c r="E431" s="178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178"/>
      <c r="B432" s="178"/>
      <c r="C432" s="178"/>
      <c r="D432" s="178"/>
      <c r="E432" s="178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178"/>
      <c r="B433" s="178"/>
      <c r="C433" s="178"/>
      <c r="D433" s="178"/>
      <c r="E433" s="178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178"/>
      <c r="B434" s="178"/>
      <c r="C434" s="178"/>
      <c r="D434" s="178"/>
      <c r="E434" s="178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178"/>
      <c r="B435" s="178"/>
      <c r="C435" s="178"/>
      <c r="D435" s="178"/>
      <c r="E435" s="178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178"/>
      <c r="B436" s="178"/>
      <c r="C436" s="178"/>
      <c r="D436" s="178"/>
      <c r="E436" s="178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178"/>
      <c r="B437" s="178"/>
      <c r="C437" s="178"/>
      <c r="D437" s="178"/>
      <c r="E437" s="178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178"/>
      <c r="B438" s="178"/>
      <c r="C438" s="178"/>
      <c r="D438" s="178"/>
      <c r="E438" s="178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178"/>
      <c r="B439" s="178"/>
      <c r="C439" s="178"/>
      <c r="D439" s="178"/>
      <c r="E439" s="178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178"/>
      <c r="B440" s="178"/>
      <c r="C440" s="178"/>
      <c r="D440" s="178"/>
      <c r="E440" s="178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178"/>
      <c r="B441" s="178"/>
      <c r="C441" s="178"/>
      <c r="D441" s="178"/>
      <c r="E441" s="178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178"/>
      <c r="B442" s="178"/>
      <c r="C442" s="178"/>
      <c r="D442" s="178"/>
      <c r="E442" s="178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178"/>
      <c r="B443" s="178"/>
      <c r="C443" s="178"/>
      <c r="D443" s="178"/>
      <c r="E443" s="178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178"/>
      <c r="B444" s="178"/>
      <c r="C444" s="178"/>
      <c r="D444" s="178"/>
      <c r="E444" s="178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178"/>
      <c r="B445" s="178"/>
      <c r="C445" s="178"/>
      <c r="D445" s="178"/>
      <c r="E445" s="178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178"/>
      <c r="B446" s="178"/>
      <c r="C446" s="178"/>
      <c r="D446" s="178"/>
      <c r="E446" s="178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178"/>
      <c r="B447" s="178"/>
      <c r="C447" s="178"/>
      <c r="D447" s="178"/>
      <c r="E447" s="178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178"/>
      <c r="B448" s="178"/>
      <c r="C448" s="178"/>
      <c r="D448" s="178"/>
      <c r="E448" s="178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178"/>
      <c r="B449" s="178"/>
      <c r="C449" s="178"/>
      <c r="D449" s="178"/>
      <c r="E449" s="178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178"/>
      <c r="B450" s="178"/>
      <c r="C450" s="178"/>
      <c r="D450" s="178"/>
      <c r="E450" s="178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178"/>
      <c r="B451" s="178"/>
      <c r="C451" s="178"/>
      <c r="D451" s="178"/>
      <c r="E451" s="178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178"/>
      <c r="B452" s="178"/>
      <c r="C452" s="178"/>
      <c r="D452" s="178"/>
      <c r="E452" s="178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178"/>
      <c r="B453" s="178"/>
      <c r="C453" s="178"/>
      <c r="D453" s="178"/>
      <c r="E453" s="178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178"/>
      <c r="B454" s="178"/>
      <c r="C454" s="178"/>
      <c r="D454" s="178"/>
      <c r="E454" s="178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178"/>
      <c r="B455" s="178"/>
      <c r="C455" s="178"/>
      <c r="D455" s="178"/>
      <c r="E455" s="178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178"/>
      <c r="B456" s="178"/>
      <c r="C456" s="178"/>
      <c r="D456" s="178"/>
      <c r="E456" s="178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178"/>
      <c r="B457" s="178"/>
      <c r="C457" s="178"/>
      <c r="D457" s="178"/>
      <c r="E457" s="178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178"/>
      <c r="B458" s="178"/>
      <c r="C458" s="178"/>
      <c r="D458" s="178"/>
      <c r="E458" s="178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178"/>
      <c r="B459" s="178"/>
      <c r="C459" s="178"/>
      <c r="D459" s="178"/>
      <c r="E459" s="178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178"/>
      <c r="B460" s="178"/>
      <c r="C460" s="178"/>
      <c r="D460" s="178"/>
      <c r="E460" s="178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178"/>
      <c r="B461" s="178"/>
      <c r="C461" s="178"/>
      <c r="D461" s="178"/>
      <c r="E461" s="178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178"/>
      <c r="B462" s="178"/>
      <c r="C462" s="178"/>
      <c r="D462" s="178"/>
      <c r="E462" s="178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178"/>
      <c r="B463" s="178"/>
      <c r="C463" s="178"/>
      <c r="D463" s="178"/>
      <c r="E463" s="178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178"/>
      <c r="B464" s="178"/>
      <c r="C464" s="178"/>
      <c r="D464" s="178"/>
      <c r="E464" s="178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178"/>
      <c r="B465" s="178"/>
      <c r="C465" s="178"/>
      <c r="D465" s="178"/>
      <c r="E465" s="178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178"/>
      <c r="B466" s="178"/>
      <c r="C466" s="178"/>
      <c r="D466" s="178"/>
      <c r="E466" s="178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178"/>
      <c r="B467" s="178"/>
      <c r="C467" s="178"/>
      <c r="D467" s="178"/>
      <c r="E467" s="178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178"/>
      <c r="B468" s="178"/>
      <c r="C468" s="178"/>
      <c r="D468" s="178"/>
      <c r="E468" s="178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178"/>
      <c r="B469" s="178"/>
      <c r="C469" s="178"/>
      <c r="D469" s="178"/>
      <c r="E469" s="178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178"/>
      <c r="B470" s="178"/>
      <c r="C470" s="178"/>
      <c r="D470" s="178"/>
      <c r="E470" s="178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178"/>
      <c r="B471" s="178"/>
      <c r="C471" s="178"/>
      <c r="D471" s="178"/>
      <c r="E471" s="178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178"/>
      <c r="B472" s="178"/>
      <c r="C472" s="178"/>
      <c r="D472" s="178"/>
      <c r="E472" s="178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178"/>
      <c r="B473" s="178"/>
      <c r="C473" s="178"/>
      <c r="D473" s="178"/>
      <c r="E473" s="178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178"/>
      <c r="B474" s="178"/>
      <c r="C474" s="178"/>
      <c r="D474" s="178"/>
      <c r="E474" s="178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178"/>
      <c r="B475" s="178"/>
      <c r="C475" s="178"/>
      <c r="D475" s="178"/>
      <c r="E475" s="178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178"/>
      <c r="B476" s="178"/>
      <c r="C476" s="178"/>
      <c r="D476" s="178"/>
      <c r="E476" s="178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178"/>
      <c r="B477" s="178"/>
      <c r="C477" s="178"/>
      <c r="D477" s="178"/>
      <c r="E477" s="178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178"/>
      <c r="B478" s="178"/>
      <c r="C478" s="178"/>
      <c r="D478" s="178"/>
      <c r="E478" s="178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178"/>
      <c r="B479" s="178"/>
      <c r="C479" s="178"/>
      <c r="D479" s="178"/>
      <c r="E479" s="178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178"/>
      <c r="B480" s="178"/>
      <c r="C480" s="178"/>
      <c r="D480" s="178"/>
      <c r="E480" s="178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178"/>
      <c r="B481" s="178"/>
      <c r="C481" s="178"/>
      <c r="D481" s="178"/>
      <c r="E481" s="178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178"/>
      <c r="B482" s="178"/>
      <c r="C482" s="178"/>
      <c r="D482" s="178"/>
      <c r="E482" s="178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178"/>
      <c r="B483" s="178"/>
      <c r="C483" s="178"/>
      <c r="D483" s="178"/>
      <c r="E483" s="178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178"/>
      <c r="B484" s="178"/>
      <c r="C484" s="178"/>
      <c r="D484" s="178"/>
      <c r="E484" s="178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178"/>
      <c r="B485" s="178"/>
      <c r="C485" s="178"/>
      <c r="D485" s="178"/>
      <c r="E485" s="178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178"/>
      <c r="B486" s="178"/>
      <c r="C486" s="178"/>
      <c r="D486" s="178"/>
      <c r="E486" s="178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178"/>
      <c r="B487" s="178"/>
      <c r="C487" s="178"/>
      <c r="D487" s="178"/>
      <c r="E487" s="178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178"/>
      <c r="B488" s="178"/>
      <c r="C488" s="178"/>
      <c r="D488" s="178"/>
      <c r="E488" s="178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178"/>
      <c r="B489" s="178"/>
      <c r="C489" s="178"/>
      <c r="D489" s="178"/>
      <c r="E489" s="178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178"/>
      <c r="B490" s="178"/>
      <c r="C490" s="178"/>
      <c r="D490" s="178"/>
      <c r="E490" s="178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178"/>
      <c r="B491" s="178"/>
      <c r="C491" s="178"/>
      <c r="D491" s="178"/>
      <c r="E491" s="178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178"/>
      <c r="B492" s="178"/>
      <c r="C492" s="178"/>
      <c r="D492" s="178"/>
      <c r="E492" s="178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178"/>
      <c r="B493" s="178"/>
      <c r="C493" s="178"/>
      <c r="D493" s="178"/>
      <c r="E493" s="178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178"/>
      <c r="B494" s="178"/>
      <c r="C494" s="178"/>
      <c r="D494" s="178"/>
      <c r="E494" s="178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178"/>
      <c r="B495" s="178"/>
      <c r="C495" s="178"/>
      <c r="D495" s="178"/>
      <c r="E495" s="178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178"/>
      <c r="B496" s="178"/>
      <c r="C496" s="178"/>
      <c r="D496" s="178"/>
      <c r="E496" s="178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178"/>
      <c r="B497" s="178"/>
      <c r="C497" s="178"/>
      <c r="D497" s="178"/>
      <c r="E497" s="178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178"/>
      <c r="B498" s="178"/>
      <c r="C498" s="178"/>
      <c r="D498" s="178"/>
      <c r="E498" s="178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178"/>
      <c r="B499" s="178"/>
      <c r="C499" s="178"/>
      <c r="D499" s="178"/>
      <c r="E499" s="178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178"/>
      <c r="B500" s="178"/>
      <c r="C500" s="178"/>
      <c r="D500" s="178"/>
      <c r="E500" s="178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178"/>
      <c r="B501" s="178"/>
      <c r="C501" s="178"/>
      <c r="D501" s="178"/>
      <c r="E501" s="178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178"/>
      <c r="B502" s="178"/>
      <c r="C502" s="178"/>
      <c r="D502" s="178"/>
      <c r="E502" s="178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178"/>
      <c r="B503" s="178"/>
      <c r="C503" s="178"/>
      <c r="D503" s="178"/>
      <c r="E503" s="178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178"/>
      <c r="B504" s="178"/>
      <c r="C504" s="178"/>
      <c r="D504" s="178"/>
      <c r="E504" s="178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178"/>
      <c r="B505" s="178"/>
      <c r="C505" s="178"/>
      <c r="D505" s="178"/>
      <c r="E505" s="178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178"/>
      <c r="B506" s="178"/>
      <c r="C506" s="178"/>
      <c r="D506" s="178"/>
      <c r="E506" s="178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178"/>
      <c r="B507" s="178"/>
      <c r="C507" s="178"/>
      <c r="D507" s="178"/>
      <c r="E507" s="178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178"/>
      <c r="B508" s="178"/>
      <c r="C508" s="178"/>
      <c r="D508" s="178"/>
      <c r="E508" s="178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178"/>
      <c r="B509" s="178"/>
      <c r="C509" s="178"/>
      <c r="D509" s="178"/>
      <c r="E509" s="178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178"/>
      <c r="B510" s="178"/>
      <c r="C510" s="178"/>
      <c r="D510" s="178"/>
      <c r="E510" s="178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178"/>
      <c r="B511" s="178"/>
      <c r="C511" s="178"/>
      <c r="D511" s="178"/>
      <c r="E511" s="178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178"/>
      <c r="B512" s="178"/>
      <c r="C512" s="178"/>
      <c r="D512" s="178"/>
      <c r="E512" s="178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178"/>
      <c r="B513" s="178"/>
      <c r="C513" s="178"/>
      <c r="D513" s="178"/>
      <c r="E513" s="178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178"/>
      <c r="B514" s="178"/>
      <c r="C514" s="178"/>
      <c r="D514" s="178"/>
      <c r="E514" s="178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178"/>
      <c r="B515" s="178"/>
      <c r="C515" s="178"/>
      <c r="D515" s="178"/>
      <c r="E515" s="178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178"/>
      <c r="B516" s="178"/>
      <c r="C516" s="178"/>
      <c r="D516" s="178"/>
      <c r="E516" s="178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178"/>
      <c r="B517" s="178"/>
      <c r="C517" s="178"/>
      <c r="D517" s="178"/>
      <c r="E517" s="178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178"/>
      <c r="B518" s="178"/>
      <c r="C518" s="178"/>
      <c r="D518" s="178"/>
      <c r="E518" s="178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178"/>
      <c r="B519" s="178"/>
      <c r="C519" s="178"/>
      <c r="D519" s="178"/>
      <c r="E519" s="178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178"/>
      <c r="B520" s="178"/>
      <c r="C520" s="178"/>
      <c r="D520" s="178"/>
      <c r="E520" s="178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178"/>
      <c r="B521" s="178"/>
      <c r="C521" s="178"/>
      <c r="D521" s="178"/>
      <c r="E521" s="178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178"/>
      <c r="B522" s="178"/>
      <c r="C522" s="178"/>
      <c r="D522" s="178"/>
      <c r="E522" s="178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178"/>
      <c r="B523" s="178"/>
      <c r="C523" s="178"/>
      <c r="D523" s="178"/>
      <c r="E523" s="178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178"/>
      <c r="B524" s="178"/>
      <c r="C524" s="178"/>
      <c r="D524" s="178"/>
      <c r="E524" s="178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178"/>
      <c r="B525" s="178"/>
      <c r="C525" s="178"/>
      <c r="D525" s="178"/>
      <c r="E525" s="178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178"/>
      <c r="B526" s="178"/>
      <c r="C526" s="178"/>
      <c r="D526" s="178"/>
      <c r="E526" s="178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178"/>
      <c r="B527" s="178"/>
      <c r="C527" s="178"/>
      <c r="D527" s="178"/>
      <c r="E527" s="178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178"/>
      <c r="B528" s="178"/>
      <c r="C528" s="178"/>
      <c r="D528" s="178"/>
      <c r="E528" s="178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178"/>
      <c r="B529" s="178"/>
      <c r="C529" s="178"/>
      <c r="D529" s="178"/>
      <c r="E529" s="178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178"/>
      <c r="B530" s="178"/>
      <c r="C530" s="178"/>
      <c r="D530" s="178"/>
      <c r="E530" s="178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178"/>
      <c r="B531" s="178"/>
      <c r="C531" s="178"/>
      <c r="D531" s="178"/>
      <c r="E531" s="178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178"/>
      <c r="B532" s="178"/>
      <c r="C532" s="178"/>
      <c r="D532" s="178"/>
      <c r="E532" s="178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178"/>
      <c r="B533" s="178"/>
      <c r="C533" s="178"/>
      <c r="D533" s="178"/>
      <c r="E533" s="178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178"/>
      <c r="B534" s="178"/>
      <c r="C534" s="178"/>
      <c r="D534" s="178"/>
      <c r="E534" s="178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178"/>
      <c r="B535" s="178"/>
      <c r="C535" s="178"/>
      <c r="D535" s="178"/>
      <c r="E535" s="178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178"/>
      <c r="B536" s="178"/>
      <c r="C536" s="178"/>
      <c r="D536" s="178"/>
      <c r="E536" s="178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178"/>
      <c r="B537" s="178"/>
      <c r="C537" s="178"/>
      <c r="D537" s="178"/>
      <c r="E537" s="178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178"/>
      <c r="B538" s="178"/>
      <c r="C538" s="178"/>
      <c r="D538" s="178"/>
      <c r="E538" s="178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178"/>
      <c r="B539" s="178"/>
      <c r="C539" s="178"/>
      <c r="D539" s="178"/>
      <c r="E539" s="178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178"/>
      <c r="B540" s="178"/>
      <c r="C540" s="178"/>
      <c r="D540" s="178"/>
      <c r="E540" s="178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178"/>
      <c r="B541" s="178"/>
      <c r="C541" s="178"/>
      <c r="D541" s="178"/>
      <c r="E541" s="178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178"/>
      <c r="B542" s="178"/>
      <c r="C542" s="178"/>
      <c r="D542" s="178"/>
      <c r="E542" s="178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178"/>
      <c r="B543" s="178"/>
      <c r="C543" s="178"/>
      <c r="D543" s="178"/>
      <c r="E543" s="178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178"/>
      <c r="B544" s="178"/>
      <c r="C544" s="178"/>
      <c r="D544" s="178"/>
      <c r="E544" s="178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178"/>
      <c r="B545" s="178"/>
      <c r="C545" s="178"/>
      <c r="D545" s="178"/>
      <c r="E545" s="178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178"/>
      <c r="B546" s="178"/>
      <c r="C546" s="178"/>
      <c r="D546" s="178"/>
      <c r="E546" s="178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178"/>
      <c r="B547" s="178"/>
      <c r="C547" s="178"/>
      <c r="D547" s="178"/>
      <c r="E547" s="178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178"/>
      <c r="B548" s="178"/>
      <c r="C548" s="178"/>
      <c r="D548" s="178"/>
      <c r="E548" s="178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178"/>
      <c r="B549" s="178"/>
      <c r="C549" s="178"/>
      <c r="D549" s="178"/>
      <c r="E549" s="178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178"/>
      <c r="B550" s="178"/>
      <c r="C550" s="178"/>
      <c r="D550" s="178"/>
      <c r="E550" s="178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178"/>
      <c r="B551" s="178"/>
      <c r="C551" s="178"/>
      <c r="D551" s="178"/>
      <c r="E551" s="178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178"/>
      <c r="B552" s="178"/>
      <c r="C552" s="178"/>
      <c r="D552" s="178"/>
      <c r="E552" s="178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178"/>
      <c r="B553" s="178"/>
      <c r="C553" s="178"/>
      <c r="D553" s="178"/>
      <c r="E553" s="178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178"/>
      <c r="B554" s="178"/>
      <c r="C554" s="178"/>
      <c r="D554" s="178"/>
      <c r="E554" s="178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178"/>
      <c r="B555" s="178"/>
      <c r="C555" s="178"/>
      <c r="D555" s="178"/>
      <c r="E555" s="178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178"/>
      <c r="B556" s="178"/>
      <c r="C556" s="178"/>
      <c r="D556" s="178"/>
      <c r="E556" s="178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178"/>
      <c r="B557" s="178"/>
      <c r="C557" s="178"/>
      <c r="D557" s="178"/>
      <c r="E557" s="178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178"/>
      <c r="B558" s="178"/>
      <c r="C558" s="178"/>
      <c r="D558" s="178"/>
      <c r="E558" s="178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178"/>
      <c r="B559" s="178"/>
      <c r="C559" s="178"/>
      <c r="D559" s="178"/>
      <c r="E559" s="178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178"/>
      <c r="B560" s="178"/>
      <c r="C560" s="178"/>
      <c r="D560" s="178"/>
      <c r="E560" s="178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178"/>
      <c r="B561" s="178"/>
      <c r="C561" s="178"/>
      <c r="D561" s="178"/>
      <c r="E561" s="178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178"/>
      <c r="B562" s="178"/>
      <c r="C562" s="178"/>
      <c r="D562" s="178"/>
      <c r="E562" s="178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178"/>
      <c r="B563" s="178"/>
      <c r="C563" s="178"/>
      <c r="D563" s="178"/>
      <c r="E563" s="178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178"/>
      <c r="B564" s="178"/>
      <c r="C564" s="178"/>
      <c r="D564" s="178"/>
      <c r="E564" s="178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178"/>
      <c r="B565" s="178"/>
      <c r="C565" s="178"/>
      <c r="D565" s="178"/>
      <c r="E565" s="178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178"/>
      <c r="B566" s="178"/>
      <c r="C566" s="178"/>
      <c r="D566" s="178"/>
      <c r="E566" s="178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178"/>
      <c r="B567" s="178"/>
      <c r="C567" s="178"/>
      <c r="D567" s="178"/>
      <c r="E567" s="178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178"/>
      <c r="B568" s="178"/>
      <c r="C568" s="178"/>
      <c r="D568" s="178"/>
      <c r="E568" s="178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178"/>
      <c r="B569" s="178"/>
      <c r="C569" s="178"/>
      <c r="D569" s="178"/>
      <c r="E569" s="178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178"/>
      <c r="B570" s="178"/>
      <c r="C570" s="178"/>
      <c r="D570" s="178"/>
      <c r="E570" s="178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178"/>
      <c r="B571" s="178"/>
      <c r="C571" s="178"/>
      <c r="D571" s="178"/>
      <c r="E571" s="178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178"/>
      <c r="B572" s="178"/>
      <c r="C572" s="178"/>
      <c r="D572" s="178"/>
      <c r="E572" s="178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178"/>
      <c r="B573" s="178"/>
      <c r="C573" s="178"/>
      <c r="D573" s="178"/>
      <c r="E573" s="178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178"/>
      <c r="B574" s="178"/>
      <c r="C574" s="178"/>
      <c r="D574" s="178"/>
      <c r="E574" s="178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178"/>
      <c r="B575" s="178"/>
      <c r="C575" s="178"/>
      <c r="D575" s="178"/>
      <c r="E575" s="178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178"/>
      <c r="B576" s="178"/>
      <c r="C576" s="178"/>
      <c r="D576" s="178"/>
      <c r="E576" s="178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178"/>
      <c r="B577" s="178"/>
      <c r="C577" s="178"/>
      <c r="D577" s="178"/>
      <c r="E577" s="178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178"/>
      <c r="B578" s="178"/>
      <c r="C578" s="178"/>
      <c r="D578" s="178"/>
      <c r="E578" s="178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178"/>
      <c r="B579" s="178"/>
      <c r="C579" s="178"/>
      <c r="D579" s="178"/>
      <c r="E579" s="178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178"/>
      <c r="B580" s="178"/>
      <c r="C580" s="178"/>
      <c r="D580" s="178"/>
      <c r="E580" s="178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178"/>
      <c r="B581" s="178"/>
      <c r="C581" s="178"/>
      <c r="D581" s="178"/>
      <c r="E581" s="178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178"/>
      <c r="B582" s="178"/>
      <c r="C582" s="178"/>
      <c r="D582" s="178"/>
      <c r="E582" s="178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178"/>
      <c r="B583" s="178"/>
      <c r="C583" s="178"/>
      <c r="D583" s="178"/>
      <c r="E583" s="178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178"/>
      <c r="B584" s="178"/>
      <c r="C584" s="178"/>
      <c r="D584" s="178"/>
      <c r="E584" s="178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178"/>
      <c r="B585" s="178"/>
      <c r="C585" s="178"/>
      <c r="D585" s="178"/>
      <c r="E585" s="178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178"/>
      <c r="B586" s="178"/>
      <c r="C586" s="178"/>
      <c r="D586" s="178"/>
      <c r="E586" s="178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178"/>
      <c r="B587" s="178"/>
      <c r="C587" s="178"/>
      <c r="D587" s="178"/>
      <c r="E587" s="178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178"/>
      <c r="B588" s="178"/>
      <c r="C588" s="178"/>
      <c r="D588" s="178"/>
      <c r="E588" s="178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178"/>
      <c r="B589" s="178"/>
      <c r="C589" s="178"/>
      <c r="D589" s="178"/>
      <c r="E589" s="178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178"/>
      <c r="B590" s="178"/>
      <c r="C590" s="178"/>
      <c r="D590" s="178"/>
      <c r="E590" s="178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178"/>
      <c r="B591" s="178"/>
      <c r="C591" s="178"/>
      <c r="D591" s="178"/>
      <c r="E591" s="178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178"/>
      <c r="B592" s="178"/>
      <c r="C592" s="178"/>
      <c r="D592" s="178"/>
      <c r="E592" s="178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178"/>
      <c r="B593" s="178"/>
      <c r="C593" s="178"/>
      <c r="D593" s="178"/>
      <c r="E593" s="178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178"/>
      <c r="B594" s="178"/>
      <c r="C594" s="178"/>
      <c r="D594" s="178"/>
      <c r="E594" s="178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178"/>
      <c r="B595" s="178"/>
      <c r="C595" s="178"/>
      <c r="D595" s="178"/>
      <c r="E595" s="178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178"/>
      <c r="B596" s="178"/>
      <c r="C596" s="178"/>
      <c r="D596" s="178"/>
      <c r="E596" s="178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178"/>
      <c r="B597" s="178"/>
      <c r="C597" s="178"/>
      <c r="D597" s="178"/>
      <c r="E597" s="178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178"/>
      <c r="B598" s="178"/>
      <c r="C598" s="178"/>
      <c r="D598" s="178"/>
      <c r="E598" s="178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178"/>
      <c r="B599" s="178"/>
      <c r="C599" s="178"/>
      <c r="D599" s="178"/>
      <c r="E599" s="178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178"/>
      <c r="B600" s="178"/>
      <c r="C600" s="178"/>
      <c r="D600" s="178"/>
      <c r="E600" s="178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178"/>
      <c r="B601" s="178"/>
      <c r="C601" s="178"/>
      <c r="D601" s="178"/>
      <c r="E601" s="178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178"/>
      <c r="B602" s="178"/>
      <c r="C602" s="178"/>
      <c r="D602" s="178"/>
      <c r="E602" s="178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178"/>
      <c r="B603" s="178"/>
      <c r="C603" s="178"/>
      <c r="D603" s="178"/>
      <c r="E603" s="178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178"/>
      <c r="B604" s="178"/>
      <c r="C604" s="178"/>
      <c r="D604" s="178"/>
      <c r="E604" s="178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178"/>
      <c r="B605" s="178"/>
      <c r="C605" s="178"/>
      <c r="D605" s="178"/>
      <c r="E605" s="178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178"/>
      <c r="B606" s="178"/>
      <c r="C606" s="178"/>
      <c r="D606" s="178"/>
      <c r="E606" s="178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178"/>
      <c r="B607" s="178"/>
      <c r="C607" s="178"/>
      <c r="D607" s="178"/>
      <c r="E607" s="178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178"/>
      <c r="B608" s="178"/>
      <c r="C608" s="178"/>
      <c r="D608" s="178"/>
      <c r="E608" s="178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178"/>
      <c r="B609" s="178"/>
      <c r="C609" s="178"/>
      <c r="D609" s="178"/>
      <c r="E609" s="178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178"/>
      <c r="B610" s="178"/>
      <c r="C610" s="178"/>
      <c r="D610" s="178"/>
      <c r="E610" s="178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178"/>
      <c r="B611" s="178"/>
      <c r="C611" s="178"/>
      <c r="D611" s="178"/>
      <c r="E611" s="178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178"/>
      <c r="B612" s="178"/>
      <c r="C612" s="178"/>
      <c r="D612" s="178"/>
      <c r="E612" s="178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178"/>
      <c r="B613" s="178"/>
      <c r="C613" s="178"/>
      <c r="D613" s="178"/>
      <c r="E613" s="178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178"/>
      <c r="B614" s="178"/>
      <c r="C614" s="178"/>
      <c r="D614" s="178"/>
      <c r="E614" s="178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178"/>
      <c r="B615" s="178"/>
      <c r="C615" s="178"/>
      <c r="D615" s="178"/>
      <c r="E615" s="178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178"/>
      <c r="B616" s="178"/>
      <c r="C616" s="178"/>
      <c r="D616" s="178"/>
      <c r="E616" s="178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178"/>
      <c r="B617" s="178"/>
      <c r="C617" s="178"/>
      <c r="D617" s="178"/>
      <c r="E617" s="178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178"/>
      <c r="B618" s="178"/>
      <c r="C618" s="178"/>
      <c r="D618" s="178"/>
      <c r="E618" s="178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178"/>
      <c r="B619" s="178"/>
      <c r="C619" s="178"/>
      <c r="D619" s="178"/>
      <c r="E619" s="178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178"/>
      <c r="B620" s="178"/>
      <c r="C620" s="178"/>
      <c r="D620" s="178"/>
      <c r="E620" s="178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178"/>
      <c r="B621" s="178"/>
      <c r="C621" s="178"/>
      <c r="D621" s="178"/>
      <c r="E621" s="178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178"/>
      <c r="B622" s="178"/>
      <c r="C622" s="178"/>
      <c r="D622" s="178"/>
      <c r="E622" s="178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178"/>
      <c r="B623" s="178"/>
      <c r="C623" s="178"/>
      <c r="D623" s="178"/>
      <c r="E623" s="178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178"/>
      <c r="B624" s="178"/>
      <c r="C624" s="178"/>
      <c r="D624" s="178"/>
      <c r="E624" s="178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178"/>
      <c r="B625" s="178"/>
      <c r="C625" s="178"/>
      <c r="D625" s="178"/>
      <c r="E625" s="178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178"/>
      <c r="B626" s="178"/>
      <c r="C626" s="178"/>
      <c r="D626" s="178"/>
      <c r="E626" s="178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178"/>
      <c r="B627" s="178"/>
      <c r="C627" s="178"/>
      <c r="D627" s="178"/>
      <c r="E627" s="178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178"/>
      <c r="B628" s="178"/>
      <c r="C628" s="178"/>
      <c r="D628" s="178"/>
      <c r="E628" s="178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178"/>
      <c r="B629" s="178"/>
      <c r="C629" s="178"/>
      <c r="D629" s="178"/>
      <c r="E629" s="178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178"/>
      <c r="B630" s="178"/>
      <c r="C630" s="178"/>
      <c r="D630" s="178"/>
      <c r="E630" s="178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178"/>
      <c r="B631" s="178"/>
      <c r="C631" s="178"/>
      <c r="D631" s="178"/>
      <c r="E631" s="178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178"/>
      <c r="B632" s="178"/>
      <c r="C632" s="178"/>
      <c r="D632" s="178"/>
      <c r="E632" s="178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178"/>
      <c r="B633" s="178"/>
      <c r="C633" s="178"/>
      <c r="D633" s="178"/>
      <c r="E633" s="178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178"/>
      <c r="B634" s="178"/>
      <c r="C634" s="178"/>
      <c r="D634" s="178"/>
      <c r="E634" s="178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178"/>
      <c r="B635" s="178"/>
      <c r="C635" s="178"/>
      <c r="D635" s="178"/>
      <c r="E635" s="178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178"/>
      <c r="B636" s="178"/>
      <c r="C636" s="178"/>
      <c r="D636" s="178"/>
      <c r="E636" s="178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178"/>
      <c r="B637" s="178"/>
      <c r="C637" s="178"/>
      <c r="D637" s="178"/>
      <c r="E637" s="178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178"/>
      <c r="B638" s="178"/>
      <c r="C638" s="178"/>
      <c r="D638" s="178"/>
      <c r="E638" s="178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178"/>
      <c r="B639" s="178"/>
      <c r="C639" s="178"/>
      <c r="D639" s="178"/>
      <c r="E639" s="178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178"/>
      <c r="B640" s="178"/>
      <c r="C640" s="178"/>
      <c r="D640" s="178"/>
      <c r="E640" s="178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178"/>
      <c r="B641" s="178"/>
      <c r="C641" s="178"/>
      <c r="D641" s="178"/>
      <c r="E641" s="178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178"/>
      <c r="B642" s="178"/>
      <c r="C642" s="178"/>
      <c r="D642" s="178"/>
      <c r="E642" s="178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178"/>
      <c r="B643" s="178"/>
      <c r="C643" s="178"/>
      <c r="D643" s="178"/>
      <c r="E643" s="178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178"/>
      <c r="B644" s="178"/>
      <c r="C644" s="178"/>
      <c r="D644" s="178"/>
      <c r="E644" s="178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178"/>
      <c r="B645" s="178"/>
      <c r="C645" s="178"/>
      <c r="D645" s="178"/>
      <c r="E645" s="178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178"/>
      <c r="B646" s="178"/>
      <c r="C646" s="178"/>
      <c r="D646" s="178"/>
      <c r="E646" s="178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178"/>
      <c r="B647" s="178"/>
      <c r="C647" s="178"/>
      <c r="D647" s="178"/>
      <c r="E647" s="178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178"/>
      <c r="B648" s="178"/>
      <c r="C648" s="178"/>
      <c r="D648" s="178"/>
      <c r="E648" s="178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178"/>
      <c r="B649" s="178"/>
      <c r="C649" s="178"/>
      <c r="D649" s="178"/>
      <c r="E649" s="178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178"/>
      <c r="B650" s="178"/>
      <c r="C650" s="178"/>
      <c r="D650" s="178"/>
      <c r="E650" s="178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178"/>
      <c r="B651" s="178"/>
      <c r="C651" s="178"/>
      <c r="D651" s="178"/>
      <c r="E651" s="178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178"/>
      <c r="B652" s="178"/>
      <c r="C652" s="178"/>
      <c r="D652" s="178"/>
      <c r="E652" s="178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178"/>
      <c r="B653" s="178"/>
      <c r="C653" s="178"/>
      <c r="D653" s="178"/>
      <c r="E653" s="178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178"/>
      <c r="B654" s="178"/>
      <c r="C654" s="178"/>
      <c r="D654" s="178"/>
      <c r="E654" s="178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178"/>
      <c r="B655" s="178"/>
      <c r="C655" s="178"/>
      <c r="D655" s="178"/>
      <c r="E655" s="178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178"/>
      <c r="B656" s="178"/>
      <c r="C656" s="178"/>
      <c r="D656" s="178"/>
      <c r="E656" s="178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178"/>
      <c r="B657" s="178"/>
      <c r="C657" s="178"/>
      <c r="D657" s="178"/>
      <c r="E657" s="178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178"/>
      <c r="B658" s="178"/>
      <c r="C658" s="178"/>
      <c r="D658" s="178"/>
      <c r="E658" s="178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178"/>
      <c r="B659" s="178"/>
      <c r="C659" s="178"/>
      <c r="D659" s="178"/>
      <c r="E659" s="178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178"/>
      <c r="B660" s="178"/>
      <c r="C660" s="178"/>
      <c r="D660" s="178"/>
      <c r="E660" s="178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178"/>
      <c r="B661" s="178"/>
      <c r="C661" s="178"/>
      <c r="D661" s="178"/>
      <c r="E661" s="178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178"/>
      <c r="B662" s="178"/>
      <c r="C662" s="178"/>
      <c r="D662" s="178"/>
      <c r="E662" s="178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178"/>
      <c r="B663" s="178"/>
      <c r="C663" s="178"/>
      <c r="D663" s="178"/>
      <c r="E663" s="178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178"/>
      <c r="B664" s="178"/>
      <c r="C664" s="178"/>
      <c r="D664" s="178"/>
      <c r="E664" s="178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178"/>
      <c r="B665" s="178"/>
      <c r="C665" s="178"/>
      <c r="D665" s="178"/>
      <c r="E665" s="178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178"/>
      <c r="B666" s="178"/>
      <c r="C666" s="178"/>
      <c r="D666" s="178"/>
      <c r="E666" s="178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178"/>
      <c r="B667" s="178"/>
      <c r="C667" s="178"/>
      <c r="D667" s="178"/>
      <c r="E667" s="178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178"/>
      <c r="B668" s="178"/>
      <c r="C668" s="178"/>
      <c r="D668" s="178"/>
      <c r="E668" s="178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178"/>
      <c r="B669" s="178"/>
      <c r="C669" s="178"/>
      <c r="D669" s="178"/>
      <c r="E669" s="178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178"/>
      <c r="B670" s="178"/>
      <c r="C670" s="178"/>
      <c r="D670" s="178"/>
      <c r="E670" s="178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178"/>
      <c r="B671" s="178"/>
      <c r="C671" s="178"/>
      <c r="D671" s="178"/>
      <c r="E671" s="178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178"/>
      <c r="B672" s="178"/>
      <c r="C672" s="178"/>
      <c r="D672" s="178"/>
      <c r="E672" s="178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178"/>
      <c r="B673" s="178"/>
      <c r="C673" s="178"/>
      <c r="D673" s="178"/>
      <c r="E673" s="178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178"/>
      <c r="B674" s="178"/>
      <c r="C674" s="178"/>
      <c r="D674" s="178"/>
      <c r="E674" s="178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178"/>
      <c r="B675" s="178"/>
      <c r="C675" s="178"/>
      <c r="D675" s="178"/>
      <c r="E675" s="178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178"/>
      <c r="B676" s="178"/>
      <c r="C676" s="178"/>
      <c r="D676" s="178"/>
      <c r="E676" s="178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178"/>
      <c r="B677" s="178"/>
      <c r="C677" s="178"/>
      <c r="D677" s="178"/>
      <c r="E677" s="178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178"/>
      <c r="B678" s="178"/>
      <c r="C678" s="178"/>
      <c r="D678" s="178"/>
      <c r="E678" s="178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178"/>
      <c r="B679" s="178"/>
      <c r="C679" s="178"/>
      <c r="D679" s="178"/>
      <c r="E679" s="178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178"/>
      <c r="B680" s="178"/>
      <c r="C680" s="178"/>
      <c r="D680" s="178"/>
      <c r="E680" s="178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178"/>
      <c r="B681" s="178"/>
      <c r="C681" s="178"/>
      <c r="D681" s="178"/>
      <c r="E681" s="178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178"/>
      <c r="B682" s="178"/>
      <c r="C682" s="178"/>
      <c r="D682" s="178"/>
      <c r="E682" s="178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178"/>
      <c r="B683" s="178"/>
      <c r="C683" s="178"/>
      <c r="D683" s="178"/>
      <c r="E683" s="178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178"/>
      <c r="B684" s="178"/>
      <c r="C684" s="178"/>
      <c r="D684" s="178"/>
      <c r="E684" s="178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178"/>
      <c r="B685" s="178"/>
      <c r="C685" s="178"/>
      <c r="D685" s="178"/>
      <c r="E685" s="178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178"/>
      <c r="B686" s="178"/>
      <c r="C686" s="178"/>
      <c r="D686" s="178"/>
      <c r="E686" s="178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178"/>
      <c r="B687" s="178"/>
      <c r="C687" s="178"/>
      <c r="D687" s="178"/>
      <c r="E687" s="178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178"/>
      <c r="B688" s="178"/>
      <c r="C688" s="178"/>
      <c r="D688" s="178"/>
      <c r="E688" s="178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178"/>
      <c r="B689" s="178"/>
      <c r="C689" s="178"/>
      <c r="D689" s="178"/>
      <c r="E689" s="178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178"/>
      <c r="B690" s="178"/>
      <c r="C690" s="178"/>
      <c r="D690" s="178"/>
      <c r="E690" s="178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178"/>
      <c r="B691" s="178"/>
      <c r="C691" s="178"/>
      <c r="D691" s="178"/>
      <c r="E691" s="178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178"/>
      <c r="B692" s="178"/>
      <c r="C692" s="178"/>
      <c r="D692" s="178"/>
      <c r="E692" s="178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178"/>
      <c r="B693" s="178"/>
      <c r="C693" s="178"/>
      <c r="D693" s="178"/>
      <c r="E693" s="178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178"/>
      <c r="B694" s="178"/>
      <c r="C694" s="178"/>
      <c r="D694" s="178"/>
      <c r="E694" s="178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178"/>
      <c r="B695" s="178"/>
      <c r="C695" s="178"/>
      <c r="D695" s="178"/>
      <c r="E695" s="178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178"/>
      <c r="B696" s="178"/>
      <c r="C696" s="178"/>
      <c r="D696" s="178"/>
      <c r="E696" s="178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178"/>
      <c r="B697" s="178"/>
      <c r="C697" s="178"/>
      <c r="D697" s="178"/>
      <c r="E697" s="178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178"/>
      <c r="B698" s="178"/>
      <c r="C698" s="178"/>
      <c r="D698" s="178"/>
      <c r="E698" s="178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178"/>
      <c r="B699" s="178"/>
      <c r="C699" s="178"/>
      <c r="D699" s="178"/>
      <c r="E699" s="178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178"/>
      <c r="B700" s="178"/>
      <c r="C700" s="178"/>
      <c r="D700" s="178"/>
      <c r="E700" s="178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178"/>
      <c r="B701" s="178"/>
      <c r="C701" s="178"/>
      <c r="D701" s="178"/>
      <c r="E701" s="178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178"/>
      <c r="B702" s="178"/>
      <c r="C702" s="178"/>
      <c r="D702" s="178"/>
      <c r="E702" s="178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178"/>
      <c r="B703" s="178"/>
      <c r="C703" s="178"/>
      <c r="D703" s="178"/>
      <c r="E703" s="178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178"/>
      <c r="B704" s="178"/>
      <c r="C704" s="178"/>
      <c r="D704" s="178"/>
      <c r="E704" s="178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178"/>
      <c r="B705" s="178"/>
      <c r="C705" s="178"/>
      <c r="D705" s="178"/>
      <c r="E705" s="178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178"/>
      <c r="B706" s="178"/>
      <c r="C706" s="178"/>
      <c r="D706" s="178"/>
      <c r="E706" s="178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178"/>
      <c r="B707" s="178"/>
      <c r="C707" s="178"/>
      <c r="D707" s="178"/>
      <c r="E707" s="178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178"/>
      <c r="B708" s="178"/>
      <c r="C708" s="178"/>
      <c r="D708" s="178"/>
      <c r="E708" s="178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178"/>
      <c r="B709" s="178"/>
      <c r="C709" s="178"/>
      <c r="D709" s="178"/>
      <c r="E709" s="178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178"/>
      <c r="B710" s="178"/>
      <c r="C710" s="178"/>
      <c r="D710" s="178"/>
      <c r="E710" s="178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178"/>
      <c r="B711" s="178"/>
      <c r="C711" s="178"/>
      <c r="D711" s="178"/>
      <c r="E711" s="178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178"/>
      <c r="B712" s="178"/>
      <c r="C712" s="178"/>
      <c r="D712" s="178"/>
      <c r="E712" s="178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178"/>
      <c r="B713" s="178"/>
      <c r="C713" s="178"/>
      <c r="D713" s="178"/>
      <c r="E713" s="178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178"/>
      <c r="B714" s="178"/>
      <c r="C714" s="178"/>
      <c r="D714" s="178"/>
      <c r="E714" s="178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178"/>
      <c r="B715" s="178"/>
      <c r="C715" s="178"/>
      <c r="D715" s="178"/>
      <c r="E715" s="178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178"/>
      <c r="B716" s="178"/>
      <c r="C716" s="178"/>
      <c r="D716" s="178"/>
      <c r="E716" s="178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178"/>
      <c r="B717" s="178"/>
      <c r="C717" s="178"/>
      <c r="D717" s="178"/>
      <c r="E717" s="178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178"/>
      <c r="B718" s="178"/>
      <c r="C718" s="178"/>
      <c r="D718" s="178"/>
      <c r="E718" s="178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178"/>
      <c r="B719" s="178"/>
      <c r="C719" s="178"/>
      <c r="D719" s="178"/>
      <c r="E719" s="178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178"/>
      <c r="B720" s="178"/>
      <c r="C720" s="178"/>
      <c r="D720" s="178"/>
      <c r="E720" s="178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178"/>
      <c r="B721" s="178"/>
      <c r="C721" s="178"/>
      <c r="D721" s="178"/>
      <c r="E721" s="178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178"/>
      <c r="B722" s="178"/>
      <c r="C722" s="178"/>
      <c r="D722" s="178"/>
      <c r="E722" s="178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178"/>
      <c r="B723" s="178"/>
      <c r="C723" s="178"/>
      <c r="D723" s="178"/>
      <c r="E723" s="178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178"/>
      <c r="B724" s="178"/>
      <c r="C724" s="178"/>
      <c r="D724" s="178"/>
      <c r="E724" s="178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178"/>
      <c r="B725" s="178"/>
      <c r="C725" s="178"/>
      <c r="D725" s="178"/>
      <c r="E725" s="178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178"/>
      <c r="B726" s="178"/>
      <c r="C726" s="178"/>
      <c r="D726" s="178"/>
      <c r="E726" s="178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178"/>
      <c r="B727" s="178"/>
      <c r="C727" s="178"/>
      <c r="D727" s="178"/>
      <c r="E727" s="178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178"/>
      <c r="B728" s="178"/>
      <c r="C728" s="178"/>
      <c r="D728" s="178"/>
      <c r="E728" s="178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178"/>
      <c r="B729" s="178"/>
      <c r="C729" s="178"/>
      <c r="D729" s="178"/>
      <c r="E729" s="178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178"/>
      <c r="B730" s="178"/>
      <c r="C730" s="178"/>
      <c r="D730" s="178"/>
      <c r="E730" s="178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178"/>
      <c r="B731" s="178"/>
      <c r="C731" s="178"/>
      <c r="D731" s="178"/>
      <c r="E731" s="178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178"/>
      <c r="B732" s="178"/>
      <c r="C732" s="178"/>
      <c r="D732" s="178"/>
      <c r="E732" s="178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178"/>
      <c r="B733" s="178"/>
      <c r="C733" s="178"/>
      <c r="D733" s="178"/>
      <c r="E733" s="178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178"/>
      <c r="B734" s="178"/>
      <c r="C734" s="178"/>
      <c r="D734" s="178"/>
      <c r="E734" s="178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178"/>
      <c r="B735" s="178"/>
      <c r="C735" s="178"/>
      <c r="D735" s="178"/>
      <c r="E735" s="178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178"/>
      <c r="B736" s="178"/>
      <c r="C736" s="178"/>
      <c r="D736" s="178"/>
      <c r="E736" s="178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178"/>
      <c r="B737" s="178"/>
      <c r="C737" s="178"/>
      <c r="D737" s="178"/>
      <c r="E737" s="178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178"/>
      <c r="B738" s="178"/>
      <c r="C738" s="178"/>
      <c r="D738" s="178"/>
      <c r="E738" s="178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178"/>
      <c r="B739" s="178"/>
      <c r="C739" s="178"/>
      <c r="D739" s="178"/>
      <c r="E739" s="178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178"/>
      <c r="B740" s="178"/>
      <c r="C740" s="178"/>
      <c r="D740" s="178"/>
      <c r="E740" s="178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178"/>
      <c r="B741" s="178"/>
      <c r="C741" s="178"/>
      <c r="D741" s="178"/>
      <c r="E741" s="178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178"/>
      <c r="B742" s="178"/>
      <c r="C742" s="178"/>
      <c r="D742" s="178"/>
      <c r="E742" s="178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178"/>
      <c r="B743" s="178"/>
      <c r="C743" s="178"/>
      <c r="D743" s="178"/>
      <c r="E743" s="178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178"/>
      <c r="B744" s="178"/>
      <c r="C744" s="178"/>
      <c r="D744" s="178"/>
      <c r="E744" s="178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178"/>
      <c r="B745" s="178"/>
      <c r="C745" s="178"/>
      <c r="D745" s="178"/>
      <c r="E745" s="178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178"/>
      <c r="B746" s="178"/>
      <c r="C746" s="178"/>
      <c r="D746" s="178"/>
      <c r="E746" s="178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178"/>
      <c r="B747" s="178"/>
      <c r="C747" s="178"/>
      <c r="D747" s="178"/>
      <c r="E747" s="178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178"/>
      <c r="B748" s="178"/>
      <c r="C748" s="178"/>
      <c r="D748" s="178"/>
      <c r="E748" s="178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178"/>
      <c r="B749" s="178"/>
      <c r="C749" s="178"/>
      <c r="D749" s="178"/>
      <c r="E749" s="178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178"/>
      <c r="B750" s="178"/>
      <c r="C750" s="178"/>
      <c r="D750" s="178"/>
      <c r="E750" s="178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178"/>
      <c r="B751" s="178"/>
      <c r="C751" s="178"/>
      <c r="D751" s="178"/>
      <c r="E751" s="178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178"/>
      <c r="B752" s="178"/>
      <c r="C752" s="178"/>
      <c r="D752" s="178"/>
      <c r="E752" s="178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178"/>
      <c r="B753" s="178"/>
      <c r="C753" s="178"/>
      <c r="D753" s="178"/>
      <c r="E753" s="178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178"/>
      <c r="B754" s="178"/>
      <c r="C754" s="178"/>
      <c r="D754" s="178"/>
      <c r="E754" s="178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178"/>
      <c r="B755" s="178"/>
      <c r="C755" s="178"/>
      <c r="D755" s="178"/>
      <c r="E755" s="178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178"/>
      <c r="B756" s="178"/>
      <c r="C756" s="178"/>
      <c r="D756" s="178"/>
      <c r="E756" s="178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178"/>
      <c r="B757" s="178"/>
      <c r="C757" s="178"/>
      <c r="D757" s="178"/>
      <c r="E757" s="178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178"/>
      <c r="B758" s="178"/>
      <c r="C758" s="178"/>
      <c r="D758" s="178"/>
      <c r="E758" s="178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178"/>
      <c r="B759" s="178"/>
      <c r="C759" s="178"/>
      <c r="D759" s="178"/>
      <c r="E759" s="178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178"/>
      <c r="B760" s="178"/>
      <c r="C760" s="178"/>
      <c r="D760" s="178"/>
      <c r="E760" s="178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178"/>
      <c r="B761" s="178"/>
      <c r="C761" s="178"/>
      <c r="D761" s="178"/>
      <c r="E761" s="178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178"/>
      <c r="B762" s="178"/>
      <c r="C762" s="178"/>
      <c r="D762" s="178"/>
      <c r="E762" s="178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178"/>
      <c r="B763" s="178"/>
      <c r="C763" s="178"/>
      <c r="D763" s="178"/>
      <c r="E763" s="178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178"/>
      <c r="B764" s="178"/>
      <c r="C764" s="178"/>
      <c r="D764" s="178"/>
      <c r="E764" s="178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178"/>
      <c r="B765" s="178"/>
      <c r="C765" s="178"/>
      <c r="D765" s="178"/>
      <c r="E765" s="178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178"/>
      <c r="B766" s="178"/>
      <c r="C766" s="178"/>
      <c r="D766" s="178"/>
      <c r="E766" s="178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178"/>
      <c r="B767" s="178"/>
      <c r="C767" s="178"/>
      <c r="D767" s="178"/>
      <c r="E767" s="178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178"/>
      <c r="B768" s="178"/>
      <c r="C768" s="178"/>
      <c r="D768" s="178"/>
      <c r="E768" s="178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178"/>
      <c r="B769" s="178"/>
      <c r="C769" s="178"/>
      <c r="D769" s="178"/>
      <c r="E769" s="178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178"/>
      <c r="B770" s="178"/>
      <c r="C770" s="178"/>
      <c r="D770" s="178"/>
      <c r="E770" s="178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178"/>
      <c r="B771" s="178"/>
      <c r="C771" s="178"/>
      <c r="D771" s="178"/>
      <c r="E771" s="178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178"/>
      <c r="B772" s="178"/>
      <c r="C772" s="178"/>
      <c r="D772" s="178"/>
      <c r="E772" s="178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178"/>
      <c r="B773" s="178"/>
      <c r="C773" s="178"/>
      <c r="D773" s="178"/>
      <c r="E773" s="178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178"/>
      <c r="B774" s="178"/>
      <c r="C774" s="178"/>
      <c r="D774" s="178"/>
      <c r="E774" s="178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178"/>
      <c r="B775" s="178"/>
      <c r="C775" s="178"/>
      <c r="D775" s="178"/>
      <c r="E775" s="178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178"/>
      <c r="B776" s="178"/>
      <c r="C776" s="178"/>
      <c r="D776" s="178"/>
      <c r="E776" s="178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178"/>
      <c r="B777" s="178"/>
      <c r="C777" s="178"/>
      <c r="D777" s="178"/>
      <c r="E777" s="178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178"/>
      <c r="B778" s="178"/>
      <c r="C778" s="178"/>
      <c r="D778" s="178"/>
      <c r="E778" s="178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178"/>
      <c r="B779" s="178"/>
      <c r="C779" s="178"/>
      <c r="D779" s="178"/>
      <c r="E779" s="178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178"/>
      <c r="B780" s="178"/>
      <c r="C780" s="178"/>
      <c r="D780" s="178"/>
      <c r="E780" s="178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178"/>
      <c r="B781" s="178"/>
      <c r="C781" s="178"/>
      <c r="D781" s="178"/>
      <c r="E781" s="178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178"/>
      <c r="B782" s="178"/>
      <c r="C782" s="178"/>
      <c r="D782" s="178"/>
      <c r="E782" s="178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178"/>
      <c r="B783" s="178"/>
      <c r="C783" s="178"/>
      <c r="D783" s="178"/>
      <c r="E783" s="178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178"/>
      <c r="B784" s="178"/>
      <c r="C784" s="178"/>
      <c r="D784" s="178"/>
      <c r="E784" s="178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178"/>
      <c r="B785" s="178"/>
      <c r="C785" s="178"/>
      <c r="D785" s="178"/>
      <c r="E785" s="178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178"/>
      <c r="B786" s="178"/>
      <c r="C786" s="178"/>
      <c r="D786" s="178"/>
      <c r="E786" s="178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178"/>
      <c r="B787" s="178"/>
      <c r="C787" s="178"/>
      <c r="D787" s="178"/>
      <c r="E787" s="178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178"/>
      <c r="B788" s="178"/>
      <c r="C788" s="178"/>
      <c r="D788" s="178"/>
      <c r="E788" s="178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178"/>
      <c r="B789" s="178"/>
      <c r="C789" s="178"/>
      <c r="D789" s="178"/>
      <c r="E789" s="178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178"/>
      <c r="B790" s="178"/>
      <c r="C790" s="178"/>
      <c r="D790" s="178"/>
      <c r="E790" s="178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178"/>
      <c r="B791" s="178"/>
      <c r="C791" s="178"/>
      <c r="D791" s="178"/>
      <c r="E791" s="178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178"/>
      <c r="B792" s="178"/>
      <c r="C792" s="178"/>
      <c r="D792" s="178"/>
      <c r="E792" s="178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178"/>
      <c r="B793" s="178"/>
      <c r="C793" s="178"/>
      <c r="D793" s="178"/>
      <c r="E793" s="178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178"/>
      <c r="B794" s="178"/>
      <c r="C794" s="178"/>
      <c r="D794" s="178"/>
      <c r="E794" s="178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178"/>
      <c r="B795" s="178"/>
      <c r="C795" s="178"/>
      <c r="D795" s="178"/>
      <c r="E795" s="178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178"/>
      <c r="B796" s="178"/>
      <c r="C796" s="178"/>
      <c r="D796" s="178"/>
      <c r="E796" s="178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178"/>
      <c r="B797" s="178"/>
      <c r="C797" s="178"/>
      <c r="D797" s="178"/>
      <c r="E797" s="178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178"/>
      <c r="B798" s="178"/>
      <c r="C798" s="178"/>
      <c r="D798" s="178"/>
      <c r="E798" s="178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178"/>
      <c r="B799" s="178"/>
      <c r="C799" s="178"/>
      <c r="D799" s="178"/>
      <c r="E799" s="178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178"/>
      <c r="B800" s="178"/>
      <c r="C800" s="178"/>
      <c r="D800" s="178"/>
      <c r="E800" s="178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178"/>
      <c r="B801" s="178"/>
      <c r="C801" s="178"/>
      <c r="D801" s="178"/>
      <c r="E801" s="178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178"/>
      <c r="B802" s="178"/>
      <c r="C802" s="178"/>
      <c r="D802" s="178"/>
      <c r="E802" s="178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178"/>
      <c r="B803" s="178"/>
      <c r="C803" s="178"/>
      <c r="D803" s="178"/>
      <c r="E803" s="178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178"/>
      <c r="B804" s="178"/>
      <c r="C804" s="178"/>
      <c r="D804" s="178"/>
      <c r="E804" s="178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178"/>
      <c r="B805" s="178"/>
      <c r="C805" s="178"/>
      <c r="D805" s="178"/>
      <c r="E805" s="178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178"/>
      <c r="B806" s="178"/>
      <c r="C806" s="178"/>
      <c r="D806" s="178"/>
      <c r="E806" s="178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178"/>
      <c r="B807" s="178"/>
      <c r="C807" s="178"/>
      <c r="D807" s="178"/>
      <c r="E807" s="178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178"/>
      <c r="B808" s="178"/>
      <c r="C808" s="178"/>
      <c r="D808" s="178"/>
      <c r="E808" s="178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178"/>
      <c r="B809" s="178"/>
      <c r="C809" s="178"/>
      <c r="D809" s="178"/>
      <c r="E809" s="178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178"/>
      <c r="B810" s="178"/>
      <c r="C810" s="178"/>
      <c r="D810" s="178"/>
      <c r="E810" s="178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178"/>
      <c r="B811" s="178"/>
      <c r="C811" s="178"/>
      <c r="D811" s="178"/>
      <c r="E811" s="178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178"/>
      <c r="B812" s="178"/>
      <c r="C812" s="178"/>
      <c r="D812" s="178"/>
      <c r="E812" s="178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178"/>
      <c r="B813" s="178"/>
      <c r="C813" s="178"/>
      <c r="D813" s="178"/>
      <c r="E813" s="178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178"/>
      <c r="B814" s="178"/>
      <c r="C814" s="178"/>
      <c r="D814" s="178"/>
      <c r="E814" s="178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178"/>
      <c r="B815" s="178"/>
      <c r="C815" s="178"/>
      <c r="D815" s="178"/>
      <c r="E815" s="178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178"/>
      <c r="B816" s="178"/>
      <c r="C816" s="178"/>
      <c r="D816" s="178"/>
      <c r="E816" s="178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178"/>
      <c r="B817" s="178"/>
      <c r="C817" s="178"/>
      <c r="D817" s="178"/>
      <c r="E817" s="178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178"/>
      <c r="B818" s="178"/>
      <c r="C818" s="178"/>
      <c r="D818" s="178"/>
      <c r="E818" s="178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178"/>
      <c r="B819" s="178"/>
      <c r="C819" s="178"/>
      <c r="D819" s="178"/>
      <c r="E819" s="178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178"/>
      <c r="B820" s="178"/>
      <c r="C820" s="178"/>
      <c r="D820" s="178"/>
      <c r="E820" s="178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178"/>
      <c r="B821" s="178"/>
      <c r="C821" s="178"/>
      <c r="D821" s="178"/>
      <c r="E821" s="178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178"/>
      <c r="B822" s="178"/>
      <c r="C822" s="178"/>
      <c r="D822" s="178"/>
      <c r="E822" s="178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178"/>
      <c r="B823" s="178"/>
      <c r="C823" s="178"/>
      <c r="D823" s="178"/>
      <c r="E823" s="178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178"/>
      <c r="B824" s="178"/>
      <c r="C824" s="178"/>
      <c r="D824" s="178"/>
      <c r="E824" s="178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178"/>
      <c r="B825" s="178"/>
      <c r="C825" s="178"/>
      <c r="D825" s="178"/>
      <c r="E825" s="178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178"/>
      <c r="B826" s="178"/>
      <c r="C826" s="178"/>
      <c r="D826" s="178"/>
      <c r="E826" s="178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178"/>
      <c r="B827" s="178"/>
      <c r="C827" s="178"/>
      <c r="D827" s="178"/>
      <c r="E827" s="178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178"/>
      <c r="B828" s="178"/>
      <c r="C828" s="178"/>
      <c r="D828" s="178"/>
      <c r="E828" s="178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178"/>
      <c r="B829" s="178"/>
      <c r="C829" s="178"/>
      <c r="D829" s="178"/>
      <c r="E829" s="178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178"/>
      <c r="B830" s="178"/>
      <c r="C830" s="178"/>
      <c r="D830" s="178"/>
      <c r="E830" s="178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178"/>
      <c r="B831" s="178"/>
      <c r="C831" s="178"/>
      <c r="D831" s="178"/>
      <c r="E831" s="178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178"/>
      <c r="B832" s="178"/>
      <c r="C832" s="178"/>
      <c r="D832" s="178"/>
      <c r="E832" s="178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178"/>
      <c r="B833" s="178"/>
      <c r="C833" s="178"/>
      <c r="D833" s="178"/>
      <c r="E833" s="178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178"/>
      <c r="B834" s="178"/>
      <c r="C834" s="178"/>
      <c r="D834" s="178"/>
      <c r="E834" s="178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178"/>
      <c r="B835" s="178"/>
      <c r="C835" s="178"/>
      <c r="D835" s="178"/>
      <c r="E835" s="178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178"/>
      <c r="B836" s="178"/>
      <c r="C836" s="178"/>
      <c r="D836" s="178"/>
      <c r="E836" s="178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178"/>
      <c r="B837" s="178"/>
      <c r="C837" s="178"/>
      <c r="D837" s="178"/>
      <c r="E837" s="178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178"/>
      <c r="B838" s="178"/>
      <c r="C838" s="178"/>
      <c r="D838" s="178"/>
      <c r="E838" s="178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178"/>
      <c r="B839" s="178"/>
      <c r="C839" s="178"/>
      <c r="D839" s="178"/>
      <c r="E839" s="178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178"/>
      <c r="B840" s="178"/>
      <c r="C840" s="178"/>
      <c r="D840" s="178"/>
      <c r="E840" s="178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178"/>
      <c r="B841" s="178"/>
      <c r="C841" s="178"/>
      <c r="D841" s="178"/>
      <c r="E841" s="178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178"/>
      <c r="B842" s="178"/>
      <c r="C842" s="178"/>
      <c r="D842" s="178"/>
      <c r="E842" s="178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178"/>
      <c r="B843" s="178"/>
      <c r="C843" s="178"/>
      <c r="D843" s="178"/>
      <c r="E843" s="178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178"/>
      <c r="B844" s="178"/>
      <c r="C844" s="178"/>
      <c r="D844" s="178"/>
      <c r="E844" s="178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178"/>
      <c r="B845" s="178"/>
      <c r="C845" s="178"/>
      <c r="D845" s="178"/>
      <c r="E845" s="178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178"/>
      <c r="B846" s="178"/>
      <c r="C846" s="178"/>
      <c r="D846" s="178"/>
      <c r="E846" s="178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178"/>
      <c r="B847" s="178"/>
      <c r="C847" s="178"/>
      <c r="D847" s="178"/>
      <c r="E847" s="178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178"/>
      <c r="B848" s="178"/>
      <c r="C848" s="178"/>
      <c r="D848" s="178"/>
      <c r="E848" s="178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178"/>
      <c r="B849" s="178"/>
      <c r="C849" s="178"/>
      <c r="D849" s="178"/>
      <c r="E849" s="178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178"/>
      <c r="B850" s="178"/>
      <c r="C850" s="178"/>
      <c r="D850" s="178"/>
      <c r="E850" s="178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178"/>
      <c r="B851" s="178"/>
      <c r="C851" s="178"/>
      <c r="D851" s="178"/>
      <c r="E851" s="178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178"/>
      <c r="B852" s="178"/>
      <c r="C852" s="178"/>
      <c r="D852" s="178"/>
      <c r="E852" s="178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178"/>
      <c r="B853" s="178"/>
      <c r="C853" s="178"/>
      <c r="D853" s="178"/>
      <c r="E853" s="178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178"/>
      <c r="B854" s="178"/>
      <c r="C854" s="178"/>
      <c r="D854" s="178"/>
      <c r="E854" s="178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178"/>
      <c r="B855" s="178"/>
      <c r="C855" s="178"/>
      <c r="D855" s="178"/>
      <c r="E855" s="178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178"/>
      <c r="B856" s="178"/>
      <c r="C856" s="178"/>
      <c r="D856" s="178"/>
      <c r="E856" s="178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178"/>
      <c r="B857" s="178"/>
      <c r="C857" s="178"/>
      <c r="D857" s="178"/>
      <c r="E857" s="178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178"/>
      <c r="B858" s="178"/>
      <c r="C858" s="178"/>
      <c r="D858" s="178"/>
      <c r="E858" s="178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178"/>
      <c r="B859" s="178"/>
      <c r="C859" s="178"/>
      <c r="D859" s="178"/>
      <c r="E859" s="178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178"/>
      <c r="B860" s="178"/>
      <c r="C860" s="178"/>
      <c r="D860" s="178"/>
      <c r="E860" s="178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178"/>
      <c r="B861" s="178"/>
      <c r="C861" s="178"/>
      <c r="D861" s="178"/>
      <c r="E861" s="178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178"/>
      <c r="B862" s="178"/>
      <c r="C862" s="178"/>
      <c r="D862" s="178"/>
      <c r="E862" s="178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178"/>
      <c r="B863" s="178"/>
      <c r="C863" s="178"/>
      <c r="D863" s="178"/>
      <c r="E863" s="178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178"/>
      <c r="B864" s="178"/>
      <c r="C864" s="178"/>
      <c r="D864" s="178"/>
      <c r="E864" s="178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178"/>
      <c r="B865" s="178"/>
      <c r="C865" s="178"/>
      <c r="D865" s="178"/>
      <c r="E865" s="178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178"/>
      <c r="B866" s="178"/>
      <c r="C866" s="178"/>
      <c r="D866" s="178"/>
      <c r="E866" s="178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178"/>
      <c r="B867" s="178"/>
      <c r="C867" s="178"/>
      <c r="D867" s="178"/>
      <c r="E867" s="178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178"/>
      <c r="B868" s="178"/>
      <c r="C868" s="178"/>
      <c r="D868" s="178"/>
      <c r="E868" s="178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178"/>
      <c r="B869" s="178"/>
      <c r="C869" s="178"/>
      <c r="D869" s="178"/>
      <c r="E869" s="178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178"/>
      <c r="B870" s="178"/>
      <c r="C870" s="178"/>
      <c r="D870" s="178"/>
      <c r="E870" s="178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178"/>
      <c r="B871" s="178"/>
      <c r="C871" s="178"/>
      <c r="D871" s="178"/>
      <c r="E871" s="178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178"/>
      <c r="B872" s="178"/>
      <c r="C872" s="178"/>
      <c r="D872" s="178"/>
      <c r="E872" s="178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178"/>
      <c r="B873" s="178"/>
      <c r="C873" s="178"/>
      <c r="D873" s="178"/>
      <c r="E873" s="178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178"/>
      <c r="B874" s="178"/>
      <c r="C874" s="178"/>
      <c r="D874" s="178"/>
      <c r="E874" s="178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178"/>
      <c r="B875" s="178"/>
      <c r="C875" s="178"/>
      <c r="D875" s="178"/>
      <c r="E875" s="178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178"/>
      <c r="B876" s="178"/>
      <c r="C876" s="178"/>
      <c r="D876" s="178"/>
      <c r="E876" s="178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178"/>
      <c r="B877" s="178"/>
      <c r="C877" s="178"/>
      <c r="D877" s="178"/>
      <c r="E877" s="178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178"/>
      <c r="B878" s="178"/>
      <c r="C878" s="178"/>
      <c r="D878" s="178"/>
      <c r="E878" s="178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178"/>
      <c r="B879" s="178"/>
      <c r="C879" s="178"/>
      <c r="D879" s="178"/>
      <c r="E879" s="178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178"/>
      <c r="B880" s="178"/>
      <c r="C880" s="178"/>
      <c r="D880" s="178"/>
      <c r="E880" s="178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178"/>
      <c r="B881" s="178"/>
      <c r="C881" s="178"/>
      <c r="D881" s="178"/>
      <c r="E881" s="178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178"/>
      <c r="B882" s="178"/>
      <c r="C882" s="178"/>
      <c r="D882" s="178"/>
      <c r="E882" s="178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178"/>
      <c r="B883" s="178"/>
      <c r="C883" s="178"/>
      <c r="D883" s="178"/>
      <c r="E883" s="178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178"/>
      <c r="B884" s="178"/>
      <c r="C884" s="178"/>
      <c r="D884" s="178"/>
      <c r="E884" s="178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178"/>
      <c r="B885" s="178"/>
      <c r="C885" s="178"/>
      <c r="D885" s="178"/>
      <c r="E885" s="178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178"/>
      <c r="B886" s="178"/>
      <c r="C886" s="178"/>
      <c r="D886" s="178"/>
      <c r="E886" s="178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178"/>
      <c r="B887" s="178"/>
      <c r="C887" s="178"/>
      <c r="D887" s="178"/>
      <c r="E887" s="178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178"/>
      <c r="B888" s="178"/>
      <c r="C888" s="178"/>
      <c r="D888" s="178"/>
      <c r="E888" s="178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178"/>
      <c r="B889" s="178"/>
      <c r="C889" s="178"/>
      <c r="D889" s="178"/>
      <c r="E889" s="178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178"/>
      <c r="B890" s="178"/>
      <c r="C890" s="178"/>
      <c r="D890" s="178"/>
      <c r="E890" s="178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178"/>
      <c r="B891" s="178"/>
      <c r="C891" s="178"/>
      <c r="D891" s="178"/>
      <c r="E891" s="178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178"/>
      <c r="B892" s="178"/>
      <c r="C892" s="178"/>
      <c r="D892" s="178"/>
      <c r="E892" s="178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178"/>
      <c r="B893" s="178"/>
      <c r="C893" s="178"/>
      <c r="D893" s="178"/>
      <c r="E893" s="178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178"/>
      <c r="B894" s="178"/>
      <c r="C894" s="178"/>
      <c r="D894" s="178"/>
      <c r="E894" s="178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178"/>
      <c r="B895" s="178"/>
      <c r="C895" s="178"/>
      <c r="D895" s="178"/>
      <c r="E895" s="178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178"/>
      <c r="B896" s="178"/>
      <c r="C896" s="178"/>
      <c r="D896" s="178"/>
      <c r="E896" s="178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178"/>
      <c r="B897" s="178"/>
      <c r="C897" s="178"/>
      <c r="D897" s="178"/>
      <c r="E897" s="178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178"/>
      <c r="B898" s="178"/>
      <c r="C898" s="178"/>
      <c r="D898" s="178"/>
      <c r="E898" s="178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178"/>
      <c r="B899" s="178"/>
      <c r="C899" s="178"/>
      <c r="D899" s="178"/>
      <c r="E899" s="178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178"/>
      <c r="B900" s="178"/>
      <c r="C900" s="178"/>
      <c r="D900" s="178"/>
      <c r="E900" s="178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178"/>
      <c r="B901" s="178"/>
      <c r="C901" s="178"/>
      <c r="D901" s="178"/>
      <c r="E901" s="178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178"/>
      <c r="B902" s="178"/>
      <c r="C902" s="178"/>
      <c r="D902" s="178"/>
      <c r="E902" s="178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178"/>
      <c r="B903" s="178"/>
      <c r="C903" s="178"/>
      <c r="D903" s="178"/>
      <c r="E903" s="178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178"/>
      <c r="B904" s="178"/>
      <c r="C904" s="178"/>
      <c r="D904" s="178"/>
      <c r="E904" s="178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178"/>
      <c r="B905" s="178"/>
      <c r="C905" s="178"/>
      <c r="D905" s="178"/>
      <c r="E905" s="178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178"/>
      <c r="B906" s="178"/>
      <c r="C906" s="178"/>
      <c r="D906" s="178"/>
      <c r="E906" s="178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178"/>
      <c r="B907" s="178"/>
      <c r="C907" s="178"/>
      <c r="D907" s="178"/>
      <c r="E907" s="178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178"/>
      <c r="B908" s="178"/>
      <c r="C908" s="178"/>
      <c r="D908" s="178"/>
      <c r="E908" s="178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178"/>
      <c r="B909" s="178"/>
      <c r="C909" s="178"/>
      <c r="D909" s="178"/>
      <c r="E909" s="178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178"/>
      <c r="B910" s="178"/>
      <c r="C910" s="178"/>
      <c r="D910" s="178"/>
      <c r="E910" s="178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178"/>
      <c r="B911" s="178"/>
      <c r="C911" s="178"/>
      <c r="D911" s="178"/>
      <c r="E911" s="178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178"/>
      <c r="B912" s="178"/>
      <c r="C912" s="178"/>
      <c r="D912" s="178"/>
      <c r="E912" s="178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178"/>
      <c r="B913" s="178"/>
      <c r="C913" s="178"/>
      <c r="D913" s="178"/>
      <c r="E913" s="178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178"/>
      <c r="B914" s="178"/>
      <c r="C914" s="178"/>
      <c r="D914" s="178"/>
      <c r="E914" s="178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178"/>
      <c r="B915" s="178"/>
      <c r="C915" s="178"/>
      <c r="D915" s="178"/>
      <c r="E915" s="178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178"/>
      <c r="B916" s="178"/>
      <c r="C916" s="178"/>
      <c r="D916" s="178"/>
      <c r="E916" s="178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178"/>
      <c r="B917" s="178"/>
      <c r="C917" s="178"/>
      <c r="D917" s="178"/>
      <c r="E917" s="178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178"/>
      <c r="B918" s="178"/>
      <c r="C918" s="178"/>
      <c r="D918" s="178"/>
      <c r="E918" s="178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178"/>
      <c r="B919" s="178"/>
      <c r="C919" s="178"/>
      <c r="D919" s="178"/>
      <c r="E919" s="178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178"/>
      <c r="B920" s="178"/>
      <c r="C920" s="178"/>
      <c r="D920" s="178"/>
      <c r="E920" s="178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178"/>
      <c r="B921" s="178"/>
      <c r="C921" s="178"/>
      <c r="D921" s="178"/>
      <c r="E921" s="178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178"/>
      <c r="B922" s="178"/>
      <c r="C922" s="178"/>
      <c r="D922" s="178"/>
      <c r="E922" s="178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178"/>
      <c r="B923" s="178"/>
      <c r="C923" s="178"/>
      <c r="D923" s="178"/>
      <c r="E923" s="178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178"/>
      <c r="B924" s="178"/>
      <c r="C924" s="178"/>
      <c r="D924" s="178"/>
      <c r="E924" s="178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178"/>
      <c r="B925" s="178"/>
      <c r="C925" s="178"/>
      <c r="D925" s="178"/>
      <c r="E925" s="178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178"/>
      <c r="B926" s="178"/>
      <c r="C926" s="178"/>
      <c r="D926" s="178"/>
      <c r="E926" s="178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178"/>
      <c r="B927" s="178"/>
      <c r="C927" s="178"/>
      <c r="D927" s="178"/>
      <c r="E927" s="178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178"/>
      <c r="B928" s="178"/>
      <c r="C928" s="178"/>
      <c r="D928" s="178"/>
      <c r="E928" s="178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178"/>
      <c r="B929" s="178"/>
      <c r="C929" s="178"/>
      <c r="D929" s="178"/>
      <c r="E929" s="178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178"/>
      <c r="B930" s="178"/>
      <c r="C930" s="178"/>
      <c r="D930" s="178"/>
      <c r="E930" s="178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178"/>
      <c r="B931" s="178"/>
      <c r="C931" s="178"/>
      <c r="D931" s="178"/>
      <c r="E931" s="178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178"/>
      <c r="B932" s="178"/>
      <c r="C932" s="178"/>
      <c r="D932" s="178"/>
      <c r="E932" s="178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178"/>
      <c r="B933" s="178"/>
      <c r="C933" s="178"/>
      <c r="D933" s="178"/>
      <c r="E933" s="178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178"/>
      <c r="B934" s="178"/>
      <c r="C934" s="178"/>
      <c r="D934" s="178"/>
      <c r="E934" s="178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178"/>
      <c r="B935" s="178"/>
      <c r="C935" s="178"/>
      <c r="D935" s="178"/>
      <c r="E935" s="178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178"/>
      <c r="B936" s="178"/>
      <c r="C936" s="178"/>
      <c r="D936" s="178"/>
      <c r="E936" s="178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178"/>
      <c r="B937" s="178"/>
      <c r="C937" s="178"/>
      <c r="D937" s="178"/>
      <c r="E937" s="178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178"/>
      <c r="B938" s="178"/>
      <c r="C938" s="178"/>
      <c r="D938" s="178"/>
      <c r="E938" s="178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178"/>
      <c r="B939" s="178"/>
      <c r="C939" s="178"/>
      <c r="D939" s="178"/>
      <c r="E939" s="178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178"/>
      <c r="B940" s="178"/>
      <c r="C940" s="178"/>
      <c r="D940" s="178"/>
      <c r="E940" s="178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178"/>
      <c r="B941" s="178"/>
      <c r="C941" s="178"/>
      <c r="D941" s="178"/>
      <c r="E941" s="178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178"/>
      <c r="B942" s="178"/>
      <c r="C942" s="178"/>
      <c r="D942" s="178"/>
      <c r="E942" s="178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178"/>
      <c r="B943" s="178"/>
      <c r="C943" s="178"/>
      <c r="D943" s="178"/>
      <c r="E943" s="178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178"/>
      <c r="B944" s="178"/>
      <c r="C944" s="178"/>
      <c r="D944" s="178"/>
      <c r="E944" s="178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178"/>
      <c r="B945" s="178"/>
      <c r="C945" s="178"/>
      <c r="D945" s="178"/>
      <c r="E945" s="178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178"/>
      <c r="B946" s="178"/>
      <c r="C946" s="178"/>
      <c r="D946" s="178"/>
      <c r="E946" s="178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178"/>
      <c r="B947" s="178"/>
      <c r="C947" s="178"/>
      <c r="D947" s="178"/>
      <c r="E947" s="178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178"/>
      <c r="B948" s="178"/>
      <c r="C948" s="178"/>
      <c r="D948" s="178"/>
      <c r="E948" s="178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178"/>
      <c r="B949" s="178"/>
      <c r="C949" s="178"/>
      <c r="D949" s="178"/>
      <c r="E949" s="178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178"/>
      <c r="B950" s="178"/>
      <c r="C950" s="178"/>
      <c r="D950" s="178"/>
      <c r="E950" s="178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178"/>
      <c r="B951" s="178"/>
      <c r="C951" s="178"/>
      <c r="D951" s="178"/>
      <c r="E951" s="178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178"/>
      <c r="B952" s="178"/>
      <c r="C952" s="178"/>
      <c r="D952" s="178"/>
      <c r="E952" s="178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178"/>
      <c r="B953" s="178"/>
      <c r="C953" s="178"/>
      <c r="D953" s="178"/>
      <c r="E953" s="178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178"/>
      <c r="B954" s="178"/>
      <c r="C954" s="178"/>
      <c r="D954" s="178"/>
      <c r="E954" s="178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178"/>
      <c r="B955" s="178"/>
      <c r="C955" s="178"/>
      <c r="D955" s="178"/>
      <c r="E955" s="178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178"/>
      <c r="B956" s="178"/>
      <c r="C956" s="178"/>
      <c r="D956" s="178"/>
      <c r="E956" s="178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178"/>
      <c r="B957" s="178"/>
      <c r="C957" s="178"/>
      <c r="D957" s="178"/>
      <c r="E957" s="178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178"/>
      <c r="B958" s="178"/>
      <c r="C958" s="178"/>
      <c r="D958" s="178"/>
      <c r="E958" s="178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178"/>
      <c r="B959" s="178"/>
      <c r="C959" s="178"/>
      <c r="D959" s="178"/>
      <c r="E959" s="178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178"/>
      <c r="B960" s="178"/>
      <c r="C960" s="178"/>
      <c r="D960" s="178"/>
      <c r="E960" s="178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178"/>
      <c r="B961" s="178"/>
      <c r="C961" s="178"/>
      <c r="D961" s="178"/>
      <c r="E961" s="178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178"/>
      <c r="B962" s="178"/>
      <c r="C962" s="178"/>
      <c r="D962" s="178"/>
      <c r="E962" s="178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178"/>
      <c r="B963" s="178"/>
      <c r="C963" s="178"/>
      <c r="D963" s="178"/>
      <c r="E963" s="178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178"/>
      <c r="B964" s="178"/>
      <c r="C964" s="178"/>
      <c r="D964" s="178"/>
      <c r="E964" s="178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178"/>
      <c r="B965" s="178"/>
      <c r="C965" s="178"/>
      <c r="D965" s="178"/>
      <c r="E965" s="178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178"/>
      <c r="B966" s="178"/>
      <c r="C966" s="178"/>
      <c r="D966" s="178"/>
      <c r="E966" s="178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178"/>
      <c r="B967" s="178"/>
      <c r="C967" s="178"/>
      <c r="D967" s="178"/>
      <c r="E967" s="178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178"/>
      <c r="B968" s="178"/>
      <c r="C968" s="178"/>
      <c r="D968" s="178"/>
      <c r="E968" s="178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178"/>
      <c r="B969" s="178"/>
      <c r="C969" s="178"/>
      <c r="D969" s="178"/>
      <c r="E969" s="178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178"/>
      <c r="B970" s="178"/>
      <c r="C970" s="178"/>
      <c r="D970" s="178"/>
      <c r="E970" s="178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178"/>
      <c r="B971" s="178"/>
      <c r="C971" s="178"/>
      <c r="D971" s="178"/>
      <c r="E971" s="178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178"/>
      <c r="B972" s="178"/>
      <c r="C972" s="178"/>
      <c r="D972" s="178"/>
      <c r="E972" s="178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178"/>
      <c r="B973" s="178"/>
      <c r="C973" s="178"/>
      <c r="D973" s="178"/>
      <c r="E973" s="178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178"/>
      <c r="B974" s="178"/>
      <c r="C974" s="178"/>
      <c r="D974" s="178"/>
      <c r="E974" s="178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178"/>
      <c r="B975" s="178"/>
      <c r="C975" s="178"/>
      <c r="D975" s="178"/>
      <c r="E975" s="178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178"/>
      <c r="B976" s="178"/>
      <c r="C976" s="178"/>
      <c r="D976" s="178"/>
      <c r="E976" s="178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178"/>
      <c r="B977" s="178"/>
      <c r="C977" s="178"/>
      <c r="D977" s="178"/>
      <c r="E977" s="178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178"/>
      <c r="B978" s="178"/>
      <c r="C978" s="178"/>
      <c r="D978" s="178"/>
      <c r="E978" s="178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178"/>
      <c r="B979" s="178"/>
      <c r="C979" s="178"/>
      <c r="D979" s="178"/>
      <c r="E979" s="178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178"/>
      <c r="B980" s="178"/>
      <c r="C980" s="178"/>
      <c r="D980" s="178"/>
      <c r="E980" s="178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178"/>
      <c r="B981" s="178"/>
      <c r="C981" s="178"/>
      <c r="D981" s="178"/>
      <c r="E981" s="178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178"/>
      <c r="B982" s="178"/>
      <c r="C982" s="178"/>
      <c r="D982" s="178"/>
      <c r="E982" s="178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178"/>
      <c r="B983" s="178"/>
      <c r="C983" s="178"/>
      <c r="D983" s="178"/>
      <c r="E983" s="178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178"/>
      <c r="B984" s="178"/>
      <c r="C984" s="178"/>
      <c r="D984" s="178"/>
      <c r="E984" s="178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178"/>
      <c r="B985" s="178"/>
      <c r="C985" s="178"/>
      <c r="D985" s="178"/>
      <c r="E985" s="178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178"/>
      <c r="B986" s="178"/>
      <c r="C986" s="178"/>
      <c r="D986" s="178"/>
      <c r="E986" s="178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178"/>
      <c r="B987" s="178"/>
      <c r="C987" s="178"/>
      <c r="D987" s="178"/>
      <c r="E987" s="178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178"/>
      <c r="B988" s="178"/>
      <c r="C988" s="178"/>
      <c r="D988" s="178"/>
      <c r="E988" s="178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178"/>
      <c r="B989" s="178"/>
      <c r="C989" s="178"/>
      <c r="D989" s="178"/>
      <c r="E989" s="178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178"/>
      <c r="B990" s="178"/>
      <c r="C990" s="178"/>
      <c r="D990" s="178"/>
      <c r="E990" s="178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178"/>
      <c r="B991" s="178"/>
      <c r="C991" s="178"/>
      <c r="D991" s="178"/>
      <c r="E991" s="178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178"/>
      <c r="B992" s="178"/>
      <c r="C992" s="178"/>
      <c r="D992" s="178"/>
      <c r="E992" s="178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178"/>
      <c r="B993" s="178"/>
      <c r="C993" s="178"/>
      <c r="D993" s="178"/>
      <c r="E993" s="178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178"/>
      <c r="B994" s="178"/>
      <c r="C994" s="178"/>
      <c r="D994" s="178"/>
      <c r="E994" s="178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</sheetData>
  <mergeCells count="1">
    <mergeCell ref="G8:H8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42.63"/>
    <col customWidth="1" min="3" max="3" width="14.75"/>
    <col customWidth="1" min="4" max="4" width="36.0"/>
    <col customWidth="1" min="5" max="5" width="10.38"/>
    <col customWidth="1" min="7" max="7" width="76.8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178"/>
      <c r="G1" s="80" t="s">
        <v>5</v>
      </c>
      <c r="H1" s="81">
        <f>H4</f>
        <v>39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146" t="s">
        <v>1140</v>
      </c>
      <c r="B2" s="73" t="str">
        <f t="array" ref="B2">IFERROR(XLOOKUP(A2, BASE!E:E, BASE!B:B), "")
</f>
        <v/>
      </c>
      <c r="C2" s="73" t="str">
        <f t="array" ref="C2">IFERROR(XLOOKUP(A2, BASE!E:E, BASE!C:C), "")
</f>
        <v>HUB-LSP-88</v>
      </c>
      <c r="D2" s="73">
        <f t="array" ref="D2">IFERROR(XLOOKUP(A2, BASE!E:E, BASE!D:D), "")
</f>
        <v>6</v>
      </c>
      <c r="E2" s="168">
        <f t="array" ref="E2">IFERROR(XLOOKUP(A2, BASE!E:E, BASE!H:H), "")
</f>
        <v>46046.20833</v>
      </c>
      <c r="F2" s="178"/>
      <c r="G2" s="82" t="s">
        <v>9</v>
      </c>
      <c r="H2" s="82">
        <f>COUNTIF(C:C,"*LSP*")
</f>
        <v>28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149" t="s">
        <v>1141</v>
      </c>
      <c r="B3" s="73" t="str">
        <f t="array" ref="B3">IFERROR(XLOOKUP(A3, BASE!E:E, BASE!B:B), "")
</f>
        <v/>
      </c>
      <c r="C3" s="73" t="str">
        <f t="array" ref="C3">IFERROR(XLOOKUP(A3, BASE!E:E, BASE!C:C), "")
</f>
        <v>HUB-LSP-33</v>
      </c>
      <c r="D3" s="73">
        <f t="array" ref="D3">IFERROR(XLOOKUP(A3, BASE!E:E, BASE!D:D), "")
</f>
        <v>15</v>
      </c>
      <c r="E3" s="168">
        <f t="array" ref="E3">IFERROR(XLOOKUP(A3, BASE!E:E, BASE!H:H), "")
</f>
        <v>46046.25</v>
      </c>
      <c r="F3" s="178"/>
      <c r="G3" s="82" t="s">
        <v>13</v>
      </c>
      <c r="H3" s="82">
        <f>COUNTIF(C:C,"*SOC*")
</f>
        <v>15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169" t="s">
        <v>1142</v>
      </c>
      <c r="B4" s="73" t="str">
        <f t="array" ref="B4">IFERROR(XLOOKUP(A4, BASE!E:E, BASE!B:B), "")
</f>
        <v/>
      </c>
      <c r="C4" s="73" t="str">
        <f t="array" ref="C4">IFERROR(XLOOKUP(A4, BASE!E:E, BASE!C:C), "")
</f>
        <v>HUB-LSP-24</v>
      </c>
      <c r="D4" s="73">
        <f t="array" ref="D4">IFERROR(XLOOKUP(A4, BASE!E:E, BASE!D:D), "")
</f>
        <v>27</v>
      </c>
      <c r="E4" s="168">
        <f t="array" ref="E4">IFERROR(XLOOKUP(A4, BASE!E:E, BASE!H:H), "")
</f>
        <v>46046.25</v>
      </c>
      <c r="F4" s="178"/>
      <c r="G4" s="82" t="s">
        <v>810</v>
      </c>
      <c r="H4" s="198">
        <f>COUNTIFS(D:D,"&gt;=5",D:D,"&lt;=114")</f>
        <v>39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69" t="s">
        <v>1143</v>
      </c>
      <c r="B5" s="73" t="str">
        <f t="array" ref="B5">IFERROR(XLOOKUP(A5, BASE!E:E, BASE!B:B), "")
</f>
        <v/>
      </c>
      <c r="C5" s="73" t="str">
        <f t="array" ref="C5">IFERROR(XLOOKUP(A5, BASE!E:E, BASE!C:C), "")
</f>
        <v>HUB-LSP-40</v>
      </c>
      <c r="D5" s="73">
        <f t="array" ref="D5">IFERROR(XLOOKUP(A5, BASE!E:E, BASE!D:D), "")
</f>
        <v>32</v>
      </c>
      <c r="E5" s="168">
        <f t="array" ref="E5">IFERROR(XLOOKUP(A5, BASE!E:E, BASE!H:H), "")
</f>
        <v>46046.25</v>
      </c>
      <c r="F5" s="178"/>
      <c r="G5" s="82" t="s">
        <v>20</v>
      </c>
      <c r="H5" s="82">
        <f>COUNTIF(D:D,"*NÃO DOCOU*")</f>
        <v>0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146" t="s">
        <v>1144</v>
      </c>
      <c r="B6" s="73" t="str">
        <f t="array" ref="B6">IFERROR(XLOOKUP(A6, BASE!E:E, BASE!B:B), "")
</f>
        <v/>
      </c>
      <c r="C6" s="73" t="str">
        <f t="array" ref="C6">IFERROR(XLOOKUP(A6, BASE!E:E, BASE!C:C), "")
</f>
        <v>SOC-RJ2</v>
      </c>
      <c r="D6" s="73">
        <f t="array" ref="D6">IFERROR(XLOOKUP(A6, BASE!E:E, BASE!D:D), "")
</f>
        <v>97</v>
      </c>
      <c r="E6" s="168">
        <f t="array" ref="E6">IFERROR(XLOOKUP(A6, BASE!E:E, BASE!H:H), "")
</f>
        <v>46046.25</v>
      </c>
      <c r="F6" s="178"/>
      <c r="G6" s="198" t="s">
        <v>25</v>
      </c>
      <c r="H6" s="199">
        <f>COUNTIF(D:D,"*NÃO CHEGOU*")
</f>
        <v>4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149" t="s">
        <v>1145</v>
      </c>
      <c r="B7" s="73" t="str">
        <f t="array" ref="B7">IFERROR(XLOOKUP(A7, BASE!E:E, BASE!B:B), "")
</f>
        <v/>
      </c>
      <c r="C7" s="73" t="str">
        <f t="array" ref="C7">IFERROR(XLOOKUP(A7, BASE!E:E, BASE!C:C), "")
</f>
        <v>SOC-SP2</v>
      </c>
      <c r="D7" s="73">
        <f t="array" ref="D7">IFERROR(XLOOKUP(A7, BASE!E:E, BASE!D:D), "")
</f>
        <v>28</v>
      </c>
      <c r="E7" s="168">
        <f t="array" ref="E7">IFERROR(XLOOKUP(A7, BASE!E:E, BASE!H:H), "")
</f>
        <v>46046.25</v>
      </c>
      <c r="F7" s="178"/>
      <c r="G7" s="82" t="s">
        <v>815</v>
      </c>
      <c r="H7" s="82">
        <f>COUNTIF(D:D,"*DRIVER DUPLICADO*")</f>
        <v>0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169" t="s">
        <v>1146</v>
      </c>
      <c r="B8" s="73" t="str">
        <f t="array" ref="B8">IFERROR(XLOOKUP(A8, BASE!E:E, BASE!B:B), "")
</f>
        <v>LM Hub_SP_Atibaia_Ponte_Alta</v>
      </c>
      <c r="C8" s="73" t="str">
        <f t="array" ref="C8">IFERROR(XLOOKUP(A8, BASE!E:E, BASE!C:C), "")
</f>
        <v>HUB-LSP-87</v>
      </c>
      <c r="D8" s="73">
        <f t="array" ref="D8">IFERROR(XLOOKUP(A8, BASE!E:E, BASE!D:D), "")
</f>
        <v>16</v>
      </c>
      <c r="E8" s="168">
        <f t="array" ref="E8">IFERROR(XLOOKUP(A8, BASE!E:E, BASE!H:H), "")
</f>
        <v>46046.27083</v>
      </c>
      <c r="F8" s="178"/>
      <c r="G8" s="18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169" t="s">
        <v>1147</v>
      </c>
      <c r="B9" s="73" t="str">
        <f t="array" ref="B9">IFERROR(XLOOKUP(A9, BASE!E:E, BASE!B:B), "")
</f>
        <v>LM Hub_SP_Taubaté</v>
      </c>
      <c r="C9" s="73" t="str">
        <f t="array" ref="C9">IFERROR(XLOOKUP(A9, BASE!E:E, BASE!C:C), "")
</f>
        <v>HUB-LSP-08</v>
      </c>
      <c r="D9" s="73">
        <f t="array" ref="D9">IFERROR(XLOOKUP(A9, BASE!E:E, BASE!D:D), "")
</f>
        <v>49</v>
      </c>
      <c r="E9" s="168">
        <f t="array" ref="E9">IFERROR(XLOOKUP(A9, BASE!E:E, BASE!H:H), "")
</f>
        <v>46046.27083</v>
      </c>
      <c r="F9" s="178"/>
      <c r="G9" s="9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146" t="s">
        <v>1148</v>
      </c>
      <c r="B10" s="73" t="str">
        <f t="array" ref="B10">IFERROR(XLOOKUP(A10, BASE!E:E, BASE!B:B), "")
</f>
        <v>SoC_SC_Itajaí</v>
      </c>
      <c r="C10" s="73" t="str">
        <f t="array" ref="C10">IFERROR(XLOOKUP(A10, BASE!E:E, BASE!C:C), "")
</f>
        <v>SOC-SC1</v>
      </c>
      <c r="D10" s="73">
        <f t="array" ref="D10">IFERROR(XLOOKUP(A10, BASE!E:E, BASE!D:D), "")
</f>
        <v>100</v>
      </c>
      <c r="E10" s="168">
        <f t="array" ref="E10">IFERROR(XLOOKUP(A10, BASE!E:E, BASE!H:H), "")
</f>
        <v>46046.29167</v>
      </c>
      <c r="F10" s="178"/>
      <c r="G10" s="200"/>
      <c r="H10" s="178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169" t="s">
        <v>1149</v>
      </c>
      <c r="B11" s="73" t="str">
        <f t="array" ref="B11">IFERROR(XLOOKUP(A11, BASE!E:E, BASE!B:B), "")
</f>
        <v>SoC_RS_Gravataí_02</v>
      </c>
      <c r="C11" s="73" t="str">
        <f t="array" ref="C11">IFERROR(XLOOKUP(A11, BASE!E:E, BASE!C:C), "")
</f>
        <v>SOC-RS2</v>
      </c>
      <c r="D11" s="73">
        <f t="array" ref="D11">IFERROR(XLOOKUP(A11, BASE!E:E, BASE!D:D), "")
</f>
        <v>92</v>
      </c>
      <c r="E11" s="168">
        <f t="array" ref="E11">IFERROR(XLOOKUP(A11, BASE!E:E, BASE!H:H), "")
</f>
        <v>46046.29167</v>
      </c>
      <c r="F11" s="178"/>
      <c r="G11" s="200"/>
      <c r="H11" s="178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94" t="s">
        <v>1150</v>
      </c>
      <c r="B12" s="73" t="str">
        <f t="array" ref="B12">IFERROR(XLOOKUP(A12, BASE!E:E, BASE!B:B), "")
</f>
        <v>LM Hub_SP_Barueri_01</v>
      </c>
      <c r="C12" s="73" t="str">
        <f t="array" ref="C12">IFERROR(XLOOKUP(A12, BASE!E:E, BASE!C:C), "")
</f>
        <v>HUB-LSP-81</v>
      </c>
      <c r="D12" s="73">
        <f t="array" ref="D12">IFERROR(XLOOKUP(A12, BASE!E:E, BASE!D:D), "")
</f>
        <v>25</v>
      </c>
      <c r="E12" s="168">
        <f t="array" ref="E12">IFERROR(XLOOKUP(A12, BASE!E:E, BASE!H:H), "")
</f>
        <v>46046.29167</v>
      </c>
      <c r="F12" s="178"/>
      <c r="G12" s="84" t="s">
        <v>1151</v>
      </c>
      <c r="H12" s="9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94" t="s">
        <v>1152</v>
      </c>
      <c r="B13" s="73" t="str">
        <f t="array" ref="B13">IFERROR(XLOOKUP(A13, BASE!E:E, BASE!B:B), "")
</f>
        <v>LM Hub_SP_Jundiaí</v>
      </c>
      <c r="C13" s="73" t="str">
        <f t="array" ref="C13">IFERROR(XLOOKUP(A13, BASE!E:E, BASE!C:C), "")
</f>
        <v>HUB-LSP-100</v>
      </c>
      <c r="D13" s="73" t="s">
        <v>25</v>
      </c>
      <c r="E13" s="168">
        <f t="array" ref="E13">IFERROR(XLOOKUP(A13, BASE!E:E, BASE!H:H), "")
</f>
        <v>46046.29167</v>
      </c>
      <c r="F13" s="178"/>
      <c r="G13" s="187" t="s">
        <v>653</v>
      </c>
      <c r="H13" s="178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169" t="s">
        <v>1153</v>
      </c>
      <c r="B14" s="73" t="str">
        <f t="array" ref="B14">IFERROR(XLOOKUP(A14, BASE!E:E, BASE!B:B), "")
</f>
        <v>LM Hub_SP_Piracicaba</v>
      </c>
      <c r="C14" s="73" t="str">
        <f t="array" ref="C14">IFERROR(XLOOKUP(A14, BASE!E:E, BASE!C:C), "")
</f>
        <v>HUB-LSP-62</v>
      </c>
      <c r="D14" s="73">
        <f t="array" ref="D14">IFERROR(XLOOKUP(A14, BASE!E:E, BASE!D:D), "")
</f>
        <v>44</v>
      </c>
      <c r="E14" s="168">
        <f t="array" ref="E14">IFERROR(XLOOKUP(A14, BASE!E:E, BASE!H:H), "")
</f>
        <v>46046.29167</v>
      </c>
      <c r="F14" s="178"/>
      <c r="G14" s="178"/>
      <c r="H14" s="178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94" t="s">
        <v>1154</v>
      </c>
      <c r="B15" s="73" t="str">
        <f t="array" ref="B15">IFERROR(XLOOKUP(A15, BASE!E:E, BASE!B:B), "")
</f>
        <v>LM Hub_SP_Santos_PraiaGrande_02</v>
      </c>
      <c r="C15" s="73" t="str">
        <f t="array" ref="C15">IFERROR(XLOOKUP(A15, BASE!E:E, BASE!C:C), "")
</f>
        <v>HUB-LSP-63</v>
      </c>
      <c r="D15" s="73">
        <f t="array" ref="D15">IFERROR(XLOOKUP(A15, BASE!E:E, BASE!D:D), "")
</f>
        <v>41</v>
      </c>
      <c r="E15" s="168">
        <f t="array" ref="E15">IFERROR(XLOOKUP(A15, BASE!E:E, BASE!H:H), "")
</f>
        <v>46046.29167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169" t="s">
        <v>1155</v>
      </c>
      <c r="B16" s="73" t="str">
        <f t="array" ref="B16">IFERROR(XLOOKUP(A16, BASE!E:E, BASE!B:B), "")
</f>
        <v/>
      </c>
      <c r="C16" s="73" t="str">
        <f t="array" ref="C16">IFERROR(XLOOKUP(A16, BASE!E:E, BASE!C:C), "")
</f>
        <v>HUB-LSP-06</v>
      </c>
      <c r="D16" s="73" t="s">
        <v>25</v>
      </c>
      <c r="E16" s="168">
        <f t="array" ref="E16">IFERROR(XLOOKUP(A16, BASE!E:E, BASE!H:H), "")
</f>
        <v>46046.3125</v>
      </c>
      <c r="F16" s="178"/>
      <c r="G16" s="178"/>
      <c r="H16" s="178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169" t="s">
        <v>1156</v>
      </c>
      <c r="B17" s="73" t="str">
        <f t="array" ref="B17">IFERROR(XLOOKUP(A17, BASE!E:E, BASE!B:B), "")
</f>
        <v>LM Hub_SP_Itapevi</v>
      </c>
      <c r="C17" s="73" t="str">
        <f t="array" ref="C17">IFERROR(XLOOKUP(A17, BASE!E:E, BASE!C:C), "")
</f>
        <v>HUB-LSP-41</v>
      </c>
      <c r="D17" s="73">
        <f t="array" ref="D17">IFERROR(XLOOKUP(A17, BASE!E:E, BASE!D:D), "")
</f>
        <v>13</v>
      </c>
      <c r="E17" s="168">
        <f t="array" ref="E17">IFERROR(XLOOKUP(A17, BASE!E:E, BASE!H:H), "")
</f>
        <v>46046.3125</v>
      </c>
      <c r="F17" s="178"/>
      <c r="G17" s="178"/>
      <c r="H17" s="178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94" t="s">
        <v>1157</v>
      </c>
      <c r="B18" s="73" t="str">
        <f t="array" ref="B18">IFERROR(XLOOKUP(A18, BASE!E:E, BASE!B:B), "")
</f>
        <v/>
      </c>
      <c r="C18" s="73" t="str">
        <f t="array" ref="C18">IFERROR(XLOOKUP(A18, BASE!E:E, BASE!C:C), "")
</f>
        <v>HUB-LSP-09</v>
      </c>
      <c r="D18" s="73">
        <f t="array" ref="D18">IFERROR(XLOOKUP(A18, BASE!E:E, BASE!D:D), "")
</f>
        <v>34</v>
      </c>
      <c r="E18" s="168">
        <f t="array" ref="E18">IFERROR(XLOOKUP(A18, BASE!E:E, BASE!H:H), "")
</f>
        <v>46046.3125</v>
      </c>
      <c r="F18" s="178"/>
      <c r="G18" s="178"/>
      <c r="H18" s="178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169" t="s">
        <v>1158</v>
      </c>
      <c r="B19" s="73" t="str">
        <f t="array" ref="B19">IFERROR(XLOOKUP(A19, BASE!E:E, BASE!B:B), "")
</f>
        <v/>
      </c>
      <c r="C19" s="73" t="str">
        <f t="array" ref="C19">IFERROR(XLOOKUP(A19, BASE!E:E, BASE!C:C), "")
</f>
        <v>HUB-LSP-04</v>
      </c>
      <c r="D19" s="73">
        <f t="array" ref="D19">IFERROR(XLOOKUP(A19, BASE!E:E, BASE!D:D), "")
</f>
        <v>23</v>
      </c>
      <c r="E19" s="168">
        <f t="array" ref="E19">IFERROR(XLOOKUP(A19, BASE!E:E, BASE!H:H), "")
</f>
        <v>46046.3125</v>
      </c>
      <c r="F19" s="178"/>
      <c r="G19" s="178"/>
      <c r="H19" s="178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169" t="s">
        <v>1159</v>
      </c>
      <c r="B20" s="73" t="str">
        <f t="array" ref="B20">IFERROR(XLOOKUP(A20, BASE!E:E, BASE!B:B), "")
</f>
        <v/>
      </c>
      <c r="C20" s="73" t="str">
        <f t="array" ref="C20">IFERROR(XLOOKUP(A20, BASE!E:E, BASE!C:C), "")
</f>
        <v>HUB-LSP-13</v>
      </c>
      <c r="D20" s="73" t="s">
        <v>25</v>
      </c>
      <c r="E20" s="168">
        <f t="array" ref="E20">IFERROR(XLOOKUP(A20, BASE!E:E, BASE!H:H), "")
</f>
        <v>46046.3125</v>
      </c>
      <c r="F20" s="178"/>
      <c r="G20" s="178"/>
      <c r="H20" s="178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169" t="s">
        <v>1160</v>
      </c>
      <c r="B21" s="73" t="str">
        <f t="array" ref="B21">IFERROR(XLOOKUP(A21, BASE!E:E, BASE!B:B), "")
</f>
        <v>LM Hub_SP_Várzea Paulista</v>
      </c>
      <c r="C21" s="73" t="str">
        <f t="array" ref="C21">IFERROR(XLOOKUP(A21, BASE!E:E, BASE!C:C), "")
</f>
        <v>HUB-LSP-20</v>
      </c>
      <c r="D21" s="73" t="s">
        <v>25</v>
      </c>
      <c r="E21" s="168">
        <f t="array" ref="E21">IFERROR(XLOOKUP(A21, BASE!E:E, BASE!H:H), "")
</f>
        <v>46046.3125</v>
      </c>
      <c r="F21" s="178"/>
      <c r="G21" s="178"/>
      <c r="H21" s="178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220" t="s">
        <v>1161</v>
      </c>
      <c r="B22" s="73" t="str">
        <f t="array" ref="B22">IFERROR(XLOOKUP(A22, BASE!E:E, BASE!B:B), "")
</f>
        <v/>
      </c>
      <c r="C22" s="73" t="str">
        <f t="array" ref="C22">IFERROR(XLOOKUP(A22, BASE!E:E, BASE!C:C), "")
</f>
        <v>HUB-LSP-07</v>
      </c>
      <c r="D22" s="73">
        <f t="array" ref="D22">IFERROR(XLOOKUP(A22, BASE!E:E, BASE!D:D), "")
</f>
        <v>24</v>
      </c>
      <c r="E22" s="168">
        <f t="array" ref="E22">IFERROR(XLOOKUP(A22, BASE!E:E, BASE!H:H), "")
</f>
        <v>46046.33333</v>
      </c>
      <c r="F22" s="178"/>
      <c r="G22" s="178"/>
      <c r="H22" s="178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169" t="s">
        <v>1162</v>
      </c>
      <c r="B23" s="73" t="str">
        <f t="array" ref="B23">IFERROR(XLOOKUP(A23, BASE!E:E, BASE!B:B), "")
</f>
        <v>LM Hub_SP_Embu das Artes</v>
      </c>
      <c r="C23" s="73" t="str">
        <f t="array" ref="C23">IFERROR(XLOOKUP(A23, BASE!E:E, BASE!C:C), "")
</f>
        <v>HUB-LSP-36</v>
      </c>
      <c r="D23" s="73">
        <f t="array" ref="D23">IFERROR(XLOOKUP(A23, BASE!E:E, BASE!D:D), "")
</f>
        <v>48</v>
      </c>
      <c r="E23" s="168">
        <f t="array" ref="E23">IFERROR(XLOOKUP(A23, BASE!E:E, BASE!H:H), "")
</f>
        <v>46046.33333</v>
      </c>
      <c r="F23" s="178"/>
      <c r="G23" s="178"/>
      <c r="H23" s="178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169" t="s">
        <v>1163</v>
      </c>
      <c r="B24" s="73" t="str">
        <f t="array" ref="B24">IFERROR(XLOOKUP(A24, BASE!E:E, BASE!B:B), "")
</f>
        <v/>
      </c>
      <c r="C24" s="73" t="str">
        <f t="array" ref="C24">IFERROR(XLOOKUP(A24, BASE!E:E, BASE!C:C), "")
</f>
        <v>HUB-LSP-60</v>
      </c>
      <c r="D24" s="73">
        <f t="array" ref="D24">IFERROR(XLOOKUP(A24, BASE!E:E, BASE!D:D), "")
</f>
        <v>5</v>
      </c>
      <c r="E24" s="168">
        <f t="array" ref="E24">IFERROR(XLOOKUP(A24, BASE!E:E, BASE!H:H), "")
</f>
        <v>46046.33333</v>
      </c>
      <c r="F24" s="178"/>
      <c r="G24" s="178"/>
      <c r="H24" s="178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169" t="s">
        <v>1164</v>
      </c>
      <c r="B25" s="73" t="str">
        <f t="array" ref="B25">IFERROR(XLOOKUP(A25, BASE!E:E, BASE!B:B), "")
</f>
        <v>LM Hub_SP_VilaGuilherme</v>
      </c>
      <c r="C25" s="73" t="str">
        <f t="array" ref="C25">IFERROR(XLOOKUP(A25, BASE!E:E, BASE!C:C), "")
</f>
        <v>HUB-LSP-68</v>
      </c>
      <c r="D25" s="73">
        <f t="array" ref="D25">IFERROR(XLOOKUP(A25, BASE!E:E, BASE!D:D), "")
</f>
        <v>42</v>
      </c>
      <c r="E25" s="168">
        <f t="array" ref="E25">IFERROR(XLOOKUP(A25, BASE!E:E, BASE!H:H), "")
</f>
        <v>46046.33333</v>
      </c>
      <c r="F25" s="178"/>
      <c r="G25" s="178"/>
      <c r="H25" s="178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169" t="s">
        <v>1165</v>
      </c>
      <c r="B26" s="73" t="str">
        <f t="array" ref="B26">IFERROR(XLOOKUP(A26, BASE!E:E, BASE!B:B), "")
</f>
        <v>LM Hub_SP_São Paulo_Lapa</v>
      </c>
      <c r="C26" s="73" t="str">
        <f t="array" ref="C26">IFERROR(XLOOKUP(A26, BASE!E:E, BASE!C:C), "")
</f>
        <v>HUB-LSP-15</v>
      </c>
      <c r="D26" s="73">
        <f t="array" ref="D26">IFERROR(XLOOKUP(A26, BASE!E:E, BASE!D:D), "")
</f>
        <v>33</v>
      </c>
      <c r="E26" s="168">
        <f t="array" ref="E26">IFERROR(XLOOKUP(A26, BASE!E:E, BASE!H:H), "")
</f>
        <v>46046.33333</v>
      </c>
      <c r="F26" s="178"/>
      <c r="G26" s="178"/>
      <c r="H26" s="178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169" t="s">
        <v>1166</v>
      </c>
      <c r="B27" s="73" t="str">
        <f t="array" ref="B27">IFERROR(XLOOKUP(A27, BASE!E:E, BASE!B:B), "")
</f>
        <v>LM Hub_SP_Guarulhos</v>
      </c>
      <c r="C27" s="73" t="str">
        <f t="array" ref="C27">IFERROR(XLOOKUP(A27, BASE!E:E, BASE!C:C), "")
</f>
        <v>HUB-LSP-77</v>
      </c>
      <c r="D27" s="73">
        <f t="array" ref="D27">IFERROR(XLOOKUP(A27, BASE!E:E, BASE!D:D), "")
</f>
        <v>35</v>
      </c>
      <c r="E27" s="168">
        <f t="array" ref="E27">IFERROR(XLOOKUP(A27, BASE!E:E, BASE!H:H), "")
</f>
        <v>46046.33333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169" t="s">
        <v>1167</v>
      </c>
      <c r="B28" s="73" t="str">
        <f t="array" ref="B28">IFERROR(XLOOKUP(A28, BASE!E:E, BASE!B:B), "")
</f>
        <v>LM Hub_SP_Jurubatuba</v>
      </c>
      <c r="C28" s="73" t="str">
        <f t="array" ref="C28">IFERROR(XLOOKUP(A28, BASE!E:E, BASE!C:C), "")
</f>
        <v>HUB-LSP-16</v>
      </c>
      <c r="D28" s="73">
        <f t="array" ref="D28">IFERROR(XLOOKUP(A28, BASE!E:E, BASE!D:D), "")
</f>
        <v>21</v>
      </c>
      <c r="E28" s="168">
        <f t="array" ref="E28">IFERROR(XLOOKUP(A28, BASE!E:E, BASE!H:H), "")
</f>
        <v>46046.33333</v>
      </c>
      <c r="F28" s="178"/>
      <c r="G28" s="178"/>
      <c r="H28" s="178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220" t="s">
        <v>1168</v>
      </c>
      <c r="B29" s="73" t="str">
        <f t="array" ref="B29">IFERROR(XLOOKUP(A29, BASE!E:E, BASE!B:B), "")
</f>
        <v>LM Hub_SP_São Bernardo do Campo</v>
      </c>
      <c r="C29" s="73" t="str">
        <f t="array" ref="C29">IFERROR(XLOOKUP(A29, BASE!E:E, BASE!C:C), "")
</f>
        <v>HUB-LSP-79</v>
      </c>
      <c r="D29" s="73">
        <f t="array" ref="D29">IFERROR(XLOOKUP(A29, BASE!E:E, BASE!D:D), "")
</f>
        <v>12</v>
      </c>
      <c r="E29" s="168">
        <f t="array" ref="E29">IFERROR(XLOOKUP(A29, BASE!E:E, BASE!H:H), "")
</f>
        <v>46046.35417</v>
      </c>
      <c r="F29" s="178"/>
      <c r="G29" s="178"/>
      <c r="H29" s="178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169" t="s">
        <v>1169</v>
      </c>
      <c r="B30" s="73" t="str">
        <f t="array" ref="B30">IFERROR(XLOOKUP(A30, BASE!E:E, BASE!B:B), "")
</f>
        <v/>
      </c>
      <c r="C30" s="73" t="str">
        <f t="array" ref="C30">IFERROR(XLOOKUP(A30, BASE!E:E, BASE!C:C), "")
</f>
        <v>HUB-LSP-89</v>
      </c>
      <c r="D30" s="73">
        <f t="array" ref="D30">IFERROR(XLOOKUP(A30, BASE!E:E, BASE!D:D), "")
</f>
        <v>14</v>
      </c>
      <c r="E30" s="168">
        <f t="array" ref="E30">IFERROR(XLOOKUP(A30, BASE!E:E, BASE!H:H), "")
</f>
        <v>46046.35417</v>
      </c>
      <c r="F30" s="178"/>
      <c r="G30" s="178"/>
      <c r="H30" s="178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169" t="s">
        <v>1170</v>
      </c>
      <c r="B31" s="73" t="str">
        <f t="array" ref="B31">IFERROR(XLOOKUP(A31, BASE!E:E, BASE!B:B), "")
</f>
        <v>LM Hub_SP_Embu das Artes_02</v>
      </c>
      <c r="C31" s="73" t="str">
        <f t="array" ref="C31">IFERROR(XLOOKUP(A31, BASE!E:E, BASE!C:C), "")
</f>
        <v>HUB-LSP-96</v>
      </c>
      <c r="D31" s="73">
        <f t="array" ref="D31">IFERROR(XLOOKUP(A31, BASE!E:E, BASE!D:D), "")
</f>
        <v>18</v>
      </c>
      <c r="E31" s="168">
        <f t="array" ref="E31">IFERROR(XLOOKUP(A31, BASE!E:E, BASE!H:H), "")
</f>
        <v>46046.375</v>
      </c>
      <c r="F31" s="178"/>
      <c r="G31" s="178"/>
      <c r="H31" s="178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169" t="s">
        <v>1171</v>
      </c>
      <c r="B32" s="73" t="str">
        <f t="array" ref="B32">IFERROR(XLOOKUP(A32, BASE!E:E, BASE!B:B), "")
</f>
        <v>LM Hub_SP_Suzano_Baruel</v>
      </c>
      <c r="C32" s="73" t="str">
        <f t="array" ref="C32">IFERROR(XLOOKUP(A32, BASE!E:E, BASE!C:C), "")
</f>
        <v>HUB-LSP-97</v>
      </c>
      <c r="D32" s="73">
        <f t="array" ref="D32">IFERROR(XLOOKUP(A32, BASE!E:E, BASE!D:D), "")
</f>
        <v>26</v>
      </c>
      <c r="E32" s="168">
        <f t="array" ref="E32">IFERROR(XLOOKUP(A32, BASE!E:E, BASE!H:H), "")
</f>
        <v>46046.375</v>
      </c>
      <c r="F32" s="178"/>
      <c r="G32" s="178"/>
      <c r="H32" s="178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169" t="s">
        <v>1172</v>
      </c>
      <c r="B33" s="73" t="str">
        <f t="array" ref="B33">IFERROR(XLOOKUP(A33, BASE!E:E, BASE!B:B), "")
</f>
        <v>LM Hub_SP_Mooca_02</v>
      </c>
      <c r="C33" s="73" t="str">
        <f t="array" ref="C33">IFERROR(XLOOKUP(A33, BASE!E:E, BASE!C:C), "")
</f>
        <v>HUB-LSP-94</v>
      </c>
      <c r="D33" s="73">
        <f t="array" ref="D33">IFERROR(XLOOKUP(A33, BASE!E:E, BASE!D:D), "")
</f>
        <v>45</v>
      </c>
      <c r="E33" s="168">
        <f t="array" ref="E33">IFERROR(XLOOKUP(A33, BASE!E:E, BASE!H:H), "")
</f>
        <v>46046.375</v>
      </c>
      <c r="F33" s="178"/>
      <c r="G33" s="178"/>
      <c r="H33" s="178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146" t="s">
        <v>1173</v>
      </c>
      <c r="B34" s="73" t="str">
        <f t="array" ref="B34">IFERROR(XLOOKUP(A34, BASE!E:E, BASE!B:B), "")
</f>
        <v/>
      </c>
      <c r="C34" s="73" t="str">
        <f t="array" ref="C34">IFERROR(XLOOKUP(A34, BASE!E:E, BASE!C:C), "")
</f>
        <v>SOC-MG2</v>
      </c>
      <c r="D34" s="73">
        <f t="array" ref="D34">IFERROR(XLOOKUP(A34, BASE!E:E, BASE!D:D), "")
</f>
        <v>91</v>
      </c>
      <c r="E34" s="168">
        <f t="array" ref="E34">IFERROR(XLOOKUP(A34, BASE!E:E, BASE!H:H), "")
</f>
        <v>46046.45833</v>
      </c>
      <c r="F34" s="178"/>
      <c r="G34" s="178"/>
      <c r="H34" s="178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146" t="s">
        <v>1174</v>
      </c>
      <c r="B35" s="73" t="str">
        <f t="array" ref="B35">IFERROR(XLOOKUP(A35, BASE!E:E, BASE!B:B), "")
</f>
        <v/>
      </c>
      <c r="C35" s="73" t="str">
        <f t="array" ref="C35">IFERROR(XLOOKUP(A35, BASE!E:E, BASE!C:C), "")
</f>
        <v>SOC-RS2</v>
      </c>
      <c r="D35" s="73">
        <f t="array" ref="D35">IFERROR(XLOOKUP(A35, BASE!E:E, BASE!D:D), "")
</f>
        <v>93</v>
      </c>
      <c r="E35" s="168">
        <f t="array" ref="E35">IFERROR(XLOOKUP(A35, BASE!E:E, BASE!H:H), "")
</f>
        <v>46046.45833</v>
      </c>
      <c r="F35" s="178"/>
      <c r="G35" s="178"/>
      <c r="H35" s="178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94" t="s">
        <v>1175</v>
      </c>
      <c r="B36" s="73" t="str">
        <f t="array" ref="B36">IFERROR(XLOOKUP(A36, BASE!E:E, BASE!B:B), "")
</f>
        <v/>
      </c>
      <c r="C36" s="73" t="str">
        <f t="array" ref="C36">IFERROR(XLOOKUP(A36, BASE!E:E, BASE!C:C), "")
</f>
        <v>SOC-BA2</v>
      </c>
      <c r="D36" s="73">
        <f t="array" ref="D36">IFERROR(XLOOKUP(A36, BASE!E:E, BASE!D:D), "")
</f>
        <v>112</v>
      </c>
      <c r="E36" s="168">
        <f t="array" ref="E36">IFERROR(XLOOKUP(A36, BASE!E:E, BASE!H:H), "")
</f>
        <v>46046.5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94" t="s">
        <v>1176</v>
      </c>
      <c r="B37" s="73" t="str">
        <f t="array" ref="B37">IFERROR(XLOOKUP(A37, BASE!E:E, BASE!B:B), "")
</f>
        <v>SoC_SP_Cravinhos</v>
      </c>
      <c r="C37" s="73" t="str">
        <f t="array" ref="C37">IFERROR(XLOOKUP(A37, BASE!E:E, BASE!C:C), "")
</f>
        <v>SOC-SP5</v>
      </c>
      <c r="D37" s="73">
        <f t="array" ref="D37">IFERROR(XLOOKUP(A37, BASE!E:E, BASE!D:D), "")
</f>
        <v>94</v>
      </c>
      <c r="E37" s="168">
        <f t="array" ref="E37">IFERROR(XLOOKUP(A37, BASE!E:E, BASE!H:H), "")
</f>
        <v>46046.5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94" t="s">
        <v>1177</v>
      </c>
      <c r="B38" s="73" t="str">
        <f t="array" ref="B38">IFERROR(XLOOKUP(A38, BASE!E:E, BASE!B:B), "")
</f>
        <v>SoC_BA_Simoes Filho</v>
      </c>
      <c r="C38" s="73" t="str">
        <f t="array" ref="C38">IFERROR(XLOOKUP(A38, BASE!E:E, BASE!C:C), "")
</f>
        <v>SOC-BA2</v>
      </c>
      <c r="D38" s="73">
        <f t="array" ref="D38">IFERROR(XLOOKUP(A38, BASE!E:E, BASE!D:D), "")
</f>
        <v>89</v>
      </c>
      <c r="E38" s="168">
        <f t="array" ref="E38">IFERROR(XLOOKUP(A38, BASE!E:E, BASE!H:H), "")
</f>
        <v>46046.54167</v>
      </c>
      <c r="F38" s="178"/>
      <c r="G38" s="178"/>
      <c r="H38" s="178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94" t="s">
        <v>1178</v>
      </c>
      <c r="B39" s="73" t="str">
        <f t="array" ref="B39">IFERROR(XLOOKUP(A39, BASE!E:E, BASE!B:B), "")
</f>
        <v/>
      </c>
      <c r="C39" s="73" t="str">
        <f t="array" ref="C39">IFERROR(XLOOKUP(A39, BASE!E:E, BASE!C:C), "")
</f>
        <v>SOC-GO2</v>
      </c>
      <c r="D39" s="73">
        <f t="array" ref="D39">IFERROR(XLOOKUP(A39, BASE!E:E, BASE!D:D), "")
</f>
        <v>86</v>
      </c>
      <c r="E39" s="168">
        <f t="array" ref="E39">IFERROR(XLOOKUP(A39, BASE!E:E, BASE!H:H), "")
</f>
        <v>46046.54167</v>
      </c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94" t="s">
        <v>1179</v>
      </c>
      <c r="B40" s="73" t="str">
        <f t="array" ref="B40">IFERROR(XLOOKUP(A40, BASE!E:E, BASE!B:B), "")
</f>
        <v/>
      </c>
      <c r="C40" s="73" t="str">
        <f t="array" ref="C40">IFERROR(XLOOKUP(A40, BASE!E:E, BASE!C:C), "")
</f>
        <v>SOC-MG2</v>
      </c>
      <c r="D40" s="73">
        <f t="array" ref="D40">IFERROR(XLOOKUP(A40, BASE!E:E, BASE!D:D), "")
</f>
        <v>90</v>
      </c>
      <c r="E40" s="168">
        <f t="array" ref="E40">IFERROR(XLOOKUP(A40, BASE!E:E, BASE!H:H), "")
</f>
        <v>46046.66667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94" t="s">
        <v>1180</v>
      </c>
      <c r="B41" s="73" t="str">
        <f t="array" ref="B41">IFERROR(XLOOKUP(A41, BASE!E:E, BASE!B:B), "")
</f>
        <v>SoC_SP_Cravinhos</v>
      </c>
      <c r="C41" s="73" t="str">
        <f t="array" ref="C41">IFERROR(XLOOKUP(A41, BASE!E:E, BASE!C:C), "")
</f>
        <v>SOC-SP5</v>
      </c>
      <c r="D41" s="73">
        <f t="array" ref="D41">IFERROR(XLOOKUP(A41, BASE!E:E, BASE!D:D), "")
</f>
        <v>95</v>
      </c>
      <c r="E41" s="168">
        <f t="array" ref="E41">IFERROR(XLOOKUP(A41, BASE!E:E, BASE!H:H), "")
</f>
        <v>46046.66667</v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94" t="s">
        <v>1181</v>
      </c>
      <c r="B42" s="73" t="str">
        <f t="array" ref="B42">IFERROR(XLOOKUP(A42, BASE!E:E, BASE!B:B), "")
</f>
        <v/>
      </c>
      <c r="C42" s="73" t="str">
        <f t="array" ref="C42">IFERROR(XLOOKUP(A42, BASE!E:E, BASE!C:C), "")
</f>
        <v>SOC-RJ2</v>
      </c>
      <c r="D42" s="73">
        <f t="array" ref="D42">IFERROR(XLOOKUP(A42, BASE!E:E, BASE!D:D), "")
</f>
        <v>96</v>
      </c>
      <c r="E42" s="168">
        <f t="array" ref="E42">IFERROR(XLOOKUP(A42, BASE!E:E, BASE!H:H), "")
</f>
        <v>46046.66667</v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94" t="s">
        <v>1182</v>
      </c>
      <c r="B43" s="73" t="str">
        <f t="array" ref="B43">IFERROR(XLOOKUP(A43, BASE!E:E, BASE!B:B), "")
</f>
        <v/>
      </c>
      <c r="C43" s="73" t="str">
        <f t="array" ref="C43">IFERROR(XLOOKUP(A43, BASE!E:E, BASE!C:C), "")
</f>
        <v>SOC-RS2</v>
      </c>
      <c r="D43" s="73">
        <f t="array" ref="D43">IFERROR(XLOOKUP(A43, BASE!E:E, BASE!D:D), "")
</f>
        <v>93</v>
      </c>
      <c r="E43" s="168">
        <f t="array" ref="E43">IFERROR(XLOOKUP(A43, BASE!E:E, BASE!H:H), "")
</f>
        <v>46046.66667</v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94" t="s">
        <v>1183</v>
      </c>
      <c r="B44" s="73" t="str">
        <f t="array" ref="B44">IFERROR(XLOOKUP(A44, BASE!E:E, BASE!B:B), "")
</f>
        <v>SoC_PE_Jaboatão dos Guararapes</v>
      </c>
      <c r="C44" s="73" t="str">
        <f t="array" ref="C44">IFERROR(XLOOKUP(A44, BASE!E:E, BASE!C:C), "")
</f>
        <v>SOC-PE2</v>
      </c>
      <c r="D44" s="73">
        <f t="array" ref="D44">IFERROR(XLOOKUP(A44, BASE!E:E, BASE!D:D), "")
</f>
        <v>98</v>
      </c>
      <c r="E44" s="168">
        <f t="array" ref="E44">IFERROR(XLOOKUP(A44, BASE!E:E, BASE!H:H), "")
</f>
        <v>46046.66667</v>
      </c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05"/>
      <c r="B45" s="178"/>
      <c r="C45" s="178"/>
      <c r="D45" s="178"/>
      <c r="E45" s="178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178"/>
      <c r="B46" s="178"/>
      <c r="C46" s="178"/>
      <c r="D46" s="178"/>
      <c r="E46" s="178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178"/>
      <c r="B47" s="178"/>
      <c r="C47" s="178"/>
      <c r="D47" s="178"/>
      <c r="E47" s="178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178"/>
      <c r="B48" s="178"/>
      <c r="C48" s="178"/>
      <c r="D48" s="178"/>
      <c r="E48" s="178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178"/>
      <c r="B49" s="178"/>
      <c r="C49" s="178"/>
      <c r="D49" s="178"/>
      <c r="E49" s="178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178"/>
      <c r="B50" s="178"/>
      <c r="C50" s="178"/>
      <c r="D50" s="178"/>
      <c r="E50" s="178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178"/>
      <c r="B51" s="178"/>
      <c r="C51" s="178"/>
      <c r="D51" s="178"/>
      <c r="E51" s="178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178"/>
      <c r="B52" s="178"/>
      <c r="C52" s="178"/>
      <c r="D52" s="178"/>
      <c r="E52" s="178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178"/>
      <c r="B53" s="178"/>
      <c r="C53" s="178"/>
      <c r="D53" s="178"/>
      <c r="E53" s="178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178"/>
      <c r="B54" s="178"/>
      <c r="C54" s="178"/>
      <c r="D54" s="178"/>
      <c r="E54" s="178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178"/>
      <c r="B55" s="178"/>
      <c r="C55" s="178"/>
      <c r="D55" s="178"/>
      <c r="E55" s="178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178"/>
      <c r="B56" s="178"/>
      <c r="C56" s="178"/>
      <c r="D56" s="178"/>
      <c r="E56" s="178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178"/>
      <c r="B57" s="178"/>
      <c r="C57" s="178"/>
      <c r="D57" s="178"/>
      <c r="E57" s="178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178"/>
      <c r="B58" s="178"/>
      <c r="C58" s="178"/>
      <c r="D58" s="178"/>
      <c r="E58" s="178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178"/>
      <c r="B59" s="178"/>
      <c r="C59" s="178"/>
      <c r="D59" s="178"/>
      <c r="E59" s="178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178"/>
      <c r="B60" s="178"/>
      <c r="C60" s="178"/>
      <c r="D60" s="178"/>
      <c r="E60" s="178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178"/>
      <c r="B61" s="178"/>
      <c r="C61" s="178"/>
      <c r="D61" s="178"/>
      <c r="E61" s="178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178"/>
      <c r="B62" s="178"/>
      <c r="C62" s="178"/>
      <c r="D62" s="178"/>
      <c r="E62" s="178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178"/>
      <c r="B63" s="178"/>
      <c r="C63" s="178"/>
      <c r="D63" s="178"/>
      <c r="E63" s="178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178"/>
      <c r="B64" s="178"/>
      <c r="C64" s="178"/>
      <c r="D64" s="178"/>
      <c r="E64" s="178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178"/>
      <c r="B65" s="178"/>
      <c r="C65" s="178"/>
      <c r="D65" s="178"/>
      <c r="E65" s="178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178"/>
      <c r="B66" s="178"/>
      <c r="C66" s="178"/>
      <c r="D66" s="178"/>
      <c r="E66" s="178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178"/>
      <c r="B67" s="178"/>
      <c r="C67" s="178"/>
      <c r="D67" s="178"/>
      <c r="E67" s="178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178"/>
      <c r="B68" s="178"/>
      <c r="C68" s="178"/>
      <c r="D68" s="178"/>
      <c r="E68" s="178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178"/>
      <c r="B69" s="178"/>
      <c r="C69" s="178"/>
      <c r="D69" s="178"/>
      <c r="E69" s="178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178"/>
      <c r="B70" s="178"/>
      <c r="C70" s="178"/>
      <c r="D70" s="178"/>
      <c r="E70" s="178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178"/>
      <c r="B71" s="178"/>
      <c r="C71" s="178"/>
      <c r="D71" s="178"/>
      <c r="E71" s="178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178"/>
      <c r="B72" s="178"/>
      <c r="C72" s="178"/>
      <c r="D72" s="178"/>
      <c r="E72" s="178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178"/>
      <c r="B73" s="178"/>
      <c r="C73" s="178"/>
      <c r="D73" s="178"/>
      <c r="E73" s="178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178"/>
      <c r="B74" s="178"/>
      <c r="C74" s="178"/>
      <c r="D74" s="178"/>
      <c r="E74" s="178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178"/>
      <c r="B75" s="178"/>
      <c r="C75" s="178"/>
      <c r="D75" s="178"/>
      <c r="E75" s="178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178"/>
      <c r="B76" s="178"/>
      <c r="C76" s="178"/>
      <c r="D76" s="178"/>
      <c r="E76" s="178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178"/>
      <c r="B77" s="178"/>
      <c r="C77" s="178"/>
      <c r="D77" s="178"/>
      <c r="E77" s="178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178"/>
      <c r="B78" s="178"/>
      <c r="C78" s="178"/>
      <c r="D78" s="178"/>
      <c r="E78" s="178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178"/>
      <c r="B79" s="178"/>
      <c r="C79" s="178"/>
      <c r="D79" s="178"/>
      <c r="E79" s="178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178"/>
      <c r="B80" s="178"/>
      <c r="C80" s="178"/>
      <c r="D80" s="178"/>
      <c r="E80" s="178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178"/>
      <c r="B81" s="178"/>
      <c r="C81" s="178"/>
      <c r="D81" s="178"/>
      <c r="E81" s="178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178"/>
      <c r="B82" s="178"/>
      <c r="C82" s="178"/>
      <c r="D82" s="178"/>
      <c r="E82" s="178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178"/>
      <c r="B83" s="178"/>
      <c r="C83" s="178"/>
      <c r="D83" s="178"/>
      <c r="E83" s="178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178"/>
      <c r="B84" s="178"/>
      <c r="C84" s="178"/>
      <c r="D84" s="178"/>
      <c r="E84" s="178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178"/>
      <c r="B85" s="178"/>
      <c r="C85" s="178"/>
      <c r="D85" s="178"/>
      <c r="E85" s="178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178"/>
      <c r="B86" s="178"/>
      <c r="C86" s="178"/>
      <c r="D86" s="178"/>
      <c r="E86" s="178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178"/>
      <c r="B87" s="178"/>
      <c r="C87" s="178"/>
      <c r="D87" s="178"/>
      <c r="E87" s="178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178"/>
      <c r="B88" s="178"/>
      <c r="C88" s="178"/>
      <c r="D88" s="178"/>
      <c r="E88" s="178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178"/>
      <c r="B89" s="178"/>
      <c r="C89" s="178"/>
      <c r="D89" s="178"/>
      <c r="E89" s="178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178"/>
      <c r="B90" s="178"/>
      <c r="C90" s="178"/>
      <c r="D90" s="178"/>
      <c r="E90" s="178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178"/>
      <c r="B91" s="178"/>
      <c r="C91" s="178"/>
      <c r="D91" s="178"/>
      <c r="E91" s="178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178"/>
      <c r="B92" s="178"/>
      <c r="C92" s="178"/>
      <c r="D92" s="178"/>
      <c r="E92" s="178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178"/>
      <c r="B93" s="178"/>
      <c r="C93" s="178"/>
      <c r="D93" s="178"/>
      <c r="E93" s="178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178"/>
      <c r="B94" s="178"/>
      <c r="C94" s="178"/>
      <c r="D94" s="178"/>
      <c r="E94" s="178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178"/>
      <c r="B95" s="178"/>
      <c r="C95" s="178"/>
      <c r="D95" s="178"/>
      <c r="E95" s="178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178"/>
      <c r="B96" s="178"/>
      <c r="C96" s="178"/>
      <c r="D96" s="178"/>
      <c r="E96" s="178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178"/>
      <c r="B97" s="178"/>
      <c r="C97" s="178"/>
      <c r="D97" s="178"/>
      <c r="E97" s="178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178"/>
      <c r="B98" s="178"/>
      <c r="C98" s="178"/>
      <c r="D98" s="178"/>
      <c r="E98" s="178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178"/>
      <c r="B99" s="178"/>
      <c r="C99" s="178"/>
      <c r="D99" s="178"/>
      <c r="E99" s="178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178"/>
      <c r="B100" s="178"/>
      <c r="C100" s="178"/>
      <c r="D100" s="178"/>
      <c r="E100" s="178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178"/>
      <c r="B101" s="178"/>
      <c r="C101" s="178"/>
      <c r="D101" s="178"/>
      <c r="E101" s="178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178"/>
      <c r="B102" s="178"/>
      <c r="C102" s="178"/>
      <c r="D102" s="178"/>
      <c r="E102" s="178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178"/>
      <c r="B103" s="178"/>
      <c r="C103" s="178"/>
      <c r="D103" s="178"/>
      <c r="E103" s="178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178"/>
      <c r="B104" s="178"/>
      <c r="C104" s="178"/>
      <c r="D104" s="178"/>
      <c r="E104" s="178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178"/>
      <c r="B105" s="178"/>
      <c r="C105" s="178"/>
      <c r="D105" s="178"/>
      <c r="E105" s="178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178"/>
      <c r="B106" s="178"/>
      <c r="C106" s="178"/>
      <c r="D106" s="178"/>
      <c r="E106" s="178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178"/>
      <c r="B107" s="178"/>
      <c r="C107" s="178"/>
      <c r="D107" s="178"/>
      <c r="E107" s="178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178"/>
      <c r="B108" s="178"/>
      <c r="C108" s="178"/>
      <c r="D108" s="178"/>
      <c r="E108" s="178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178"/>
      <c r="B109" s="178"/>
      <c r="C109" s="178"/>
      <c r="D109" s="178"/>
      <c r="E109" s="178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178"/>
      <c r="B110" s="178"/>
      <c r="C110" s="178"/>
      <c r="D110" s="178"/>
      <c r="E110" s="178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178"/>
      <c r="B111" s="178"/>
      <c r="C111" s="178"/>
      <c r="D111" s="178"/>
      <c r="E111" s="178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178"/>
      <c r="B112" s="178"/>
      <c r="C112" s="178"/>
      <c r="D112" s="178"/>
      <c r="E112" s="178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178"/>
      <c r="B113" s="178"/>
      <c r="C113" s="178"/>
      <c r="D113" s="178"/>
      <c r="E113" s="178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178"/>
      <c r="B114" s="178"/>
      <c r="C114" s="178"/>
      <c r="D114" s="178"/>
      <c r="E114" s="178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178"/>
      <c r="B115" s="178"/>
      <c r="C115" s="178"/>
      <c r="D115" s="178"/>
      <c r="E115" s="178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178"/>
      <c r="B116" s="178"/>
      <c r="C116" s="178"/>
      <c r="D116" s="178"/>
      <c r="E116" s="178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178"/>
      <c r="B117" s="178"/>
      <c r="C117" s="178"/>
      <c r="D117" s="178"/>
      <c r="E117" s="178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178"/>
      <c r="B118" s="178"/>
      <c r="C118" s="178"/>
      <c r="D118" s="178"/>
      <c r="E118" s="178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178"/>
      <c r="B119" s="178"/>
      <c r="C119" s="178"/>
      <c r="D119" s="178"/>
      <c r="E119" s="178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178"/>
      <c r="B120" s="178"/>
      <c r="C120" s="178"/>
      <c r="D120" s="178"/>
      <c r="E120" s="178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178"/>
      <c r="B121" s="178"/>
      <c r="C121" s="178"/>
      <c r="D121" s="178"/>
      <c r="E121" s="178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178"/>
      <c r="B122" s="178"/>
      <c r="C122" s="178"/>
      <c r="D122" s="178"/>
      <c r="E122" s="178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178"/>
      <c r="B123" s="178"/>
      <c r="C123" s="178"/>
      <c r="D123" s="178"/>
      <c r="E123" s="178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178"/>
      <c r="B124" s="178"/>
      <c r="C124" s="178"/>
      <c r="D124" s="178"/>
      <c r="E124" s="178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178"/>
      <c r="B125" s="178"/>
      <c r="C125" s="178"/>
      <c r="D125" s="178"/>
      <c r="E125" s="178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178"/>
      <c r="B126" s="178"/>
      <c r="C126" s="178"/>
      <c r="D126" s="178"/>
      <c r="E126" s="178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178"/>
      <c r="B127" s="178"/>
      <c r="C127" s="178"/>
      <c r="D127" s="178"/>
      <c r="E127" s="178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178"/>
      <c r="B128" s="178"/>
      <c r="C128" s="178"/>
      <c r="D128" s="178"/>
      <c r="E128" s="178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178"/>
      <c r="B129" s="178"/>
      <c r="C129" s="178"/>
      <c r="D129" s="178"/>
      <c r="E129" s="178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178"/>
      <c r="B130" s="178"/>
      <c r="C130" s="178"/>
      <c r="D130" s="178"/>
      <c r="E130" s="178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178"/>
      <c r="B131" s="178"/>
      <c r="C131" s="178"/>
      <c r="D131" s="178"/>
      <c r="E131" s="178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178"/>
      <c r="B132" s="178"/>
      <c r="C132" s="178"/>
      <c r="D132" s="178"/>
      <c r="E132" s="178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178"/>
      <c r="B133" s="178"/>
      <c r="C133" s="178"/>
      <c r="D133" s="178"/>
      <c r="E133" s="178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178"/>
      <c r="B134" s="178"/>
      <c r="C134" s="178"/>
      <c r="D134" s="178"/>
      <c r="E134" s="178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178"/>
      <c r="B135" s="178"/>
      <c r="C135" s="178"/>
      <c r="D135" s="178"/>
      <c r="E135" s="178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178"/>
      <c r="B136" s="178"/>
      <c r="C136" s="178"/>
      <c r="D136" s="178"/>
      <c r="E136" s="178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178"/>
      <c r="B137" s="178"/>
      <c r="C137" s="178"/>
      <c r="D137" s="178"/>
      <c r="E137" s="178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178"/>
      <c r="B138" s="178"/>
      <c r="C138" s="178"/>
      <c r="D138" s="178"/>
      <c r="E138" s="178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178"/>
      <c r="B139" s="178"/>
      <c r="C139" s="178"/>
      <c r="D139" s="178"/>
      <c r="E139" s="178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178"/>
      <c r="B140" s="178"/>
      <c r="C140" s="178"/>
      <c r="D140" s="178"/>
      <c r="E140" s="178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178"/>
      <c r="B141" s="178"/>
      <c r="C141" s="178"/>
      <c r="D141" s="178"/>
      <c r="E141" s="178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178"/>
      <c r="B142" s="178"/>
      <c r="C142" s="178"/>
      <c r="D142" s="178"/>
      <c r="E142" s="178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178"/>
      <c r="B143" s="178"/>
      <c r="C143" s="178"/>
      <c r="D143" s="178"/>
      <c r="E143" s="178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178"/>
      <c r="B144" s="178"/>
      <c r="C144" s="178"/>
      <c r="D144" s="178"/>
      <c r="E144" s="178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178"/>
      <c r="B145" s="178"/>
      <c r="C145" s="178"/>
      <c r="D145" s="178"/>
      <c r="E145" s="178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178"/>
      <c r="B146" s="178"/>
      <c r="C146" s="178"/>
      <c r="D146" s="178"/>
      <c r="E146" s="178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178"/>
      <c r="B147" s="178"/>
      <c r="C147" s="178"/>
      <c r="D147" s="178"/>
      <c r="E147" s="178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178"/>
      <c r="B148" s="178"/>
      <c r="C148" s="178"/>
      <c r="D148" s="178"/>
      <c r="E148" s="178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178"/>
      <c r="B149" s="178"/>
      <c r="C149" s="178"/>
      <c r="D149" s="178"/>
      <c r="E149" s="178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178"/>
      <c r="B150" s="178"/>
      <c r="C150" s="178"/>
      <c r="D150" s="178"/>
      <c r="E150" s="178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178"/>
      <c r="B151" s="178"/>
      <c r="C151" s="178"/>
      <c r="D151" s="178"/>
      <c r="E151" s="178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178"/>
      <c r="B152" s="178"/>
      <c r="C152" s="178"/>
      <c r="D152" s="178"/>
      <c r="E152" s="178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178"/>
      <c r="B153" s="178"/>
      <c r="C153" s="178"/>
      <c r="D153" s="178"/>
      <c r="E153" s="178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178"/>
      <c r="B154" s="178"/>
      <c r="C154" s="178"/>
      <c r="D154" s="178"/>
      <c r="E154" s="178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178"/>
      <c r="B155" s="178"/>
      <c r="C155" s="178"/>
      <c r="D155" s="178"/>
      <c r="E155" s="178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178"/>
      <c r="B156" s="178"/>
      <c r="C156" s="178"/>
      <c r="D156" s="178"/>
      <c r="E156" s="178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178"/>
      <c r="B157" s="178"/>
      <c r="C157" s="178"/>
      <c r="D157" s="178"/>
      <c r="E157" s="178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178"/>
      <c r="B158" s="178"/>
      <c r="C158" s="178"/>
      <c r="D158" s="178"/>
      <c r="E158" s="178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178"/>
      <c r="B159" s="178"/>
      <c r="C159" s="178"/>
      <c r="D159" s="178"/>
      <c r="E159" s="178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178"/>
      <c r="B160" s="178"/>
      <c r="C160" s="178"/>
      <c r="D160" s="178"/>
      <c r="E160" s="178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178"/>
      <c r="B161" s="178"/>
      <c r="C161" s="178"/>
      <c r="D161" s="178"/>
      <c r="E161" s="178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178"/>
      <c r="B162" s="178"/>
      <c r="C162" s="178"/>
      <c r="D162" s="178"/>
      <c r="E162" s="178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178"/>
      <c r="B163" s="178"/>
      <c r="C163" s="178"/>
      <c r="D163" s="178"/>
      <c r="E163" s="178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178"/>
      <c r="B164" s="178"/>
      <c r="C164" s="178"/>
      <c r="D164" s="178"/>
      <c r="E164" s="178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178"/>
      <c r="B165" s="178"/>
      <c r="C165" s="178"/>
      <c r="D165" s="178"/>
      <c r="E165" s="178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178"/>
      <c r="B166" s="178"/>
      <c r="C166" s="178"/>
      <c r="D166" s="178"/>
      <c r="E166" s="178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178"/>
      <c r="B167" s="178"/>
      <c r="C167" s="178"/>
      <c r="D167" s="178"/>
      <c r="E167" s="178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178"/>
      <c r="B168" s="178"/>
      <c r="C168" s="178"/>
      <c r="D168" s="178"/>
      <c r="E168" s="178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178"/>
      <c r="B169" s="178"/>
      <c r="C169" s="178"/>
      <c r="D169" s="178"/>
      <c r="E169" s="178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178"/>
      <c r="B170" s="178"/>
      <c r="C170" s="178"/>
      <c r="D170" s="178"/>
      <c r="E170" s="178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178"/>
      <c r="B171" s="178"/>
      <c r="C171" s="178"/>
      <c r="D171" s="178"/>
      <c r="E171" s="178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178"/>
      <c r="B172" s="178"/>
      <c r="C172" s="178"/>
      <c r="D172" s="178"/>
      <c r="E172" s="178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178"/>
      <c r="B173" s="178"/>
      <c r="C173" s="178"/>
      <c r="D173" s="178"/>
      <c r="E173" s="178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178"/>
      <c r="B174" s="178"/>
      <c r="C174" s="178"/>
      <c r="D174" s="178"/>
      <c r="E174" s="178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178"/>
      <c r="B175" s="178"/>
      <c r="C175" s="178"/>
      <c r="D175" s="178"/>
      <c r="E175" s="178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178"/>
      <c r="B176" s="178"/>
      <c r="C176" s="178"/>
      <c r="D176" s="178"/>
      <c r="E176" s="178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178"/>
      <c r="B177" s="178"/>
      <c r="C177" s="178"/>
      <c r="D177" s="178"/>
      <c r="E177" s="178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178"/>
      <c r="B178" s="178"/>
      <c r="C178" s="178"/>
      <c r="D178" s="178"/>
      <c r="E178" s="178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178"/>
      <c r="B179" s="178"/>
      <c r="C179" s="178"/>
      <c r="D179" s="178"/>
      <c r="E179" s="178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178"/>
      <c r="B180" s="178"/>
      <c r="C180" s="178"/>
      <c r="D180" s="178"/>
      <c r="E180" s="178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178"/>
      <c r="B181" s="178"/>
      <c r="C181" s="178"/>
      <c r="D181" s="178"/>
      <c r="E181" s="178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178"/>
      <c r="B182" s="178"/>
      <c r="C182" s="178"/>
      <c r="D182" s="178"/>
      <c r="E182" s="178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178"/>
      <c r="B183" s="178"/>
      <c r="C183" s="178"/>
      <c r="D183" s="178"/>
      <c r="E183" s="178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178"/>
      <c r="B184" s="178"/>
      <c r="C184" s="178"/>
      <c r="D184" s="178"/>
      <c r="E184" s="178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178"/>
      <c r="B185" s="178"/>
      <c r="C185" s="178"/>
      <c r="D185" s="178"/>
      <c r="E185" s="178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178"/>
      <c r="B186" s="178"/>
      <c r="C186" s="178"/>
      <c r="D186" s="178"/>
      <c r="E186" s="178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178"/>
      <c r="B187" s="178"/>
      <c r="C187" s="178"/>
      <c r="D187" s="178"/>
      <c r="E187" s="178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178"/>
      <c r="B188" s="178"/>
      <c r="C188" s="178"/>
      <c r="D188" s="178"/>
      <c r="E188" s="178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178"/>
      <c r="B189" s="178"/>
      <c r="C189" s="178"/>
      <c r="D189" s="178"/>
      <c r="E189" s="178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178"/>
      <c r="B190" s="178"/>
      <c r="C190" s="178"/>
      <c r="D190" s="178"/>
      <c r="E190" s="178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178"/>
      <c r="B191" s="178"/>
      <c r="C191" s="178"/>
      <c r="D191" s="178"/>
      <c r="E191" s="178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178"/>
      <c r="B192" s="178"/>
      <c r="C192" s="178"/>
      <c r="D192" s="178"/>
      <c r="E192" s="178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178"/>
      <c r="B193" s="178"/>
      <c r="C193" s="178"/>
      <c r="D193" s="178"/>
      <c r="E193" s="178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178"/>
      <c r="B194" s="178"/>
      <c r="C194" s="178"/>
      <c r="D194" s="178"/>
      <c r="E194" s="178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178"/>
      <c r="B195" s="178"/>
      <c r="C195" s="178"/>
      <c r="D195" s="178"/>
      <c r="E195" s="178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178"/>
      <c r="B196" s="178"/>
      <c r="C196" s="178"/>
      <c r="D196" s="178"/>
      <c r="E196" s="178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178"/>
      <c r="B197" s="178"/>
      <c r="C197" s="178"/>
      <c r="D197" s="178"/>
      <c r="E197" s="178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178"/>
      <c r="B198" s="178"/>
      <c r="C198" s="178"/>
      <c r="D198" s="178"/>
      <c r="E198" s="178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178"/>
      <c r="B199" s="178"/>
      <c r="C199" s="178"/>
      <c r="D199" s="178"/>
      <c r="E199" s="178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178"/>
      <c r="B200" s="178"/>
      <c r="C200" s="178"/>
      <c r="D200" s="178"/>
      <c r="E200" s="178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178"/>
      <c r="B201" s="178"/>
      <c r="C201" s="178"/>
      <c r="D201" s="178"/>
      <c r="E201" s="178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178"/>
      <c r="B202" s="178"/>
      <c r="C202" s="178"/>
      <c r="D202" s="178"/>
      <c r="E202" s="178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178"/>
      <c r="B203" s="178"/>
      <c r="C203" s="178"/>
      <c r="D203" s="178"/>
      <c r="E203" s="178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178"/>
      <c r="B204" s="178"/>
      <c r="C204" s="178"/>
      <c r="D204" s="178"/>
      <c r="E204" s="178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178"/>
      <c r="B205" s="178"/>
      <c r="C205" s="178"/>
      <c r="D205" s="178"/>
      <c r="E205" s="178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178"/>
      <c r="B206" s="178"/>
      <c r="C206" s="178"/>
      <c r="D206" s="178"/>
      <c r="E206" s="178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178"/>
      <c r="B207" s="178"/>
      <c r="C207" s="178"/>
      <c r="D207" s="178"/>
      <c r="E207" s="178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178"/>
      <c r="B208" s="178"/>
      <c r="C208" s="178"/>
      <c r="D208" s="178"/>
      <c r="E208" s="178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178"/>
      <c r="B209" s="178"/>
      <c r="C209" s="178"/>
      <c r="D209" s="178"/>
      <c r="E209" s="178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178"/>
      <c r="B210" s="178"/>
      <c r="C210" s="178"/>
      <c r="D210" s="178"/>
      <c r="E210" s="178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178"/>
      <c r="B211" s="178"/>
      <c r="C211" s="178"/>
      <c r="D211" s="178"/>
      <c r="E211" s="178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178"/>
      <c r="B212" s="178"/>
      <c r="C212" s="178"/>
      <c r="D212" s="178"/>
      <c r="E212" s="178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178"/>
      <c r="B213" s="178"/>
      <c r="C213" s="178"/>
      <c r="D213" s="178"/>
      <c r="E213" s="178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178"/>
      <c r="B214" s="178"/>
      <c r="C214" s="178"/>
      <c r="D214" s="178"/>
      <c r="E214" s="178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178"/>
      <c r="B215" s="178"/>
      <c r="C215" s="178"/>
      <c r="D215" s="178"/>
      <c r="E215" s="178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178"/>
      <c r="B216" s="178"/>
      <c r="C216" s="178"/>
      <c r="D216" s="178"/>
      <c r="E216" s="178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178"/>
      <c r="B217" s="178"/>
      <c r="C217" s="178"/>
      <c r="D217" s="178"/>
      <c r="E217" s="178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178"/>
      <c r="B218" s="178"/>
      <c r="C218" s="178"/>
      <c r="D218" s="178"/>
      <c r="E218" s="178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178"/>
      <c r="B219" s="178"/>
      <c r="C219" s="178"/>
      <c r="D219" s="178"/>
      <c r="E219" s="178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178"/>
      <c r="B220" s="178"/>
      <c r="C220" s="178"/>
      <c r="D220" s="178"/>
      <c r="E220" s="178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178"/>
      <c r="B221" s="178"/>
      <c r="C221" s="178"/>
      <c r="D221" s="178"/>
      <c r="E221" s="178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178"/>
      <c r="B222" s="178"/>
      <c r="C222" s="178"/>
      <c r="D222" s="178"/>
      <c r="E222" s="178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178"/>
      <c r="B223" s="178"/>
      <c r="C223" s="178"/>
      <c r="D223" s="178"/>
      <c r="E223" s="178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178"/>
      <c r="B224" s="178"/>
      <c r="C224" s="178"/>
      <c r="D224" s="178"/>
      <c r="E224" s="178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178"/>
      <c r="B225" s="178"/>
      <c r="C225" s="178"/>
      <c r="D225" s="178"/>
      <c r="E225" s="178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178"/>
      <c r="B226" s="178"/>
      <c r="C226" s="178"/>
      <c r="D226" s="178"/>
      <c r="E226" s="178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178"/>
      <c r="B227" s="178"/>
      <c r="C227" s="178"/>
      <c r="D227" s="178"/>
      <c r="E227" s="178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178"/>
      <c r="B228" s="178"/>
      <c r="C228" s="178"/>
      <c r="D228" s="178"/>
      <c r="E228" s="178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178"/>
      <c r="B229" s="178"/>
      <c r="C229" s="178"/>
      <c r="D229" s="178"/>
      <c r="E229" s="178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178"/>
      <c r="B230" s="178"/>
      <c r="C230" s="178"/>
      <c r="D230" s="178"/>
      <c r="E230" s="178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178"/>
      <c r="B231" s="178"/>
      <c r="C231" s="178"/>
      <c r="D231" s="178"/>
      <c r="E231" s="178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178"/>
      <c r="B232" s="178"/>
      <c r="C232" s="178"/>
      <c r="D232" s="178"/>
      <c r="E232" s="178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178"/>
      <c r="B233" s="178"/>
      <c r="C233" s="178"/>
      <c r="D233" s="178"/>
      <c r="E233" s="178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178"/>
      <c r="B234" s="178"/>
      <c r="C234" s="178"/>
      <c r="D234" s="178"/>
      <c r="E234" s="178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178"/>
      <c r="B235" s="178"/>
      <c r="C235" s="178"/>
      <c r="D235" s="178"/>
      <c r="E235" s="178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178"/>
      <c r="B236" s="178"/>
      <c r="C236" s="178"/>
      <c r="D236" s="178"/>
      <c r="E236" s="178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178"/>
      <c r="B237" s="178"/>
      <c r="C237" s="178"/>
      <c r="D237" s="178"/>
      <c r="E237" s="178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178"/>
      <c r="B238" s="178"/>
      <c r="C238" s="178"/>
      <c r="D238" s="178"/>
      <c r="E238" s="178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178"/>
      <c r="B239" s="178"/>
      <c r="C239" s="178"/>
      <c r="D239" s="178"/>
      <c r="E239" s="178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178"/>
      <c r="B240" s="178"/>
      <c r="C240" s="178"/>
      <c r="D240" s="178"/>
      <c r="E240" s="178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178"/>
      <c r="B241" s="178"/>
      <c r="C241" s="178"/>
      <c r="D241" s="178"/>
      <c r="E241" s="178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178"/>
      <c r="B242" s="178"/>
      <c r="C242" s="178"/>
      <c r="D242" s="178"/>
      <c r="E242" s="178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178"/>
      <c r="B243" s="178"/>
      <c r="C243" s="178"/>
      <c r="D243" s="178"/>
      <c r="E243" s="178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178"/>
      <c r="B244" s="178"/>
      <c r="C244" s="178"/>
      <c r="D244" s="178"/>
      <c r="E244" s="178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178"/>
      <c r="B245" s="178"/>
      <c r="C245" s="178"/>
      <c r="D245" s="178"/>
      <c r="E245" s="178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178"/>
      <c r="B246" s="178"/>
      <c r="C246" s="178"/>
      <c r="D246" s="178"/>
      <c r="E246" s="178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178"/>
      <c r="B247" s="178"/>
      <c r="C247" s="178"/>
      <c r="D247" s="178"/>
      <c r="E247" s="178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178"/>
      <c r="B248" s="178"/>
      <c r="C248" s="178"/>
      <c r="D248" s="178"/>
      <c r="E248" s="178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178"/>
      <c r="B249" s="178"/>
      <c r="C249" s="178"/>
      <c r="D249" s="178"/>
      <c r="E249" s="178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178"/>
      <c r="B250" s="178"/>
      <c r="C250" s="178"/>
      <c r="D250" s="178"/>
      <c r="E250" s="178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178"/>
      <c r="B251" s="178"/>
      <c r="C251" s="178"/>
      <c r="D251" s="178"/>
      <c r="E251" s="178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178"/>
      <c r="B252" s="178"/>
      <c r="C252" s="178"/>
      <c r="D252" s="178"/>
      <c r="E252" s="178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178"/>
      <c r="B253" s="178"/>
      <c r="C253" s="178"/>
      <c r="D253" s="178"/>
      <c r="E253" s="178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178"/>
      <c r="B254" s="178"/>
      <c r="C254" s="178"/>
      <c r="D254" s="178"/>
      <c r="E254" s="178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178"/>
      <c r="B255" s="178"/>
      <c r="C255" s="178"/>
      <c r="D255" s="178"/>
      <c r="E255" s="178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178"/>
      <c r="B256" s="178"/>
      <c r="C256" s="178"/>
      <c r="D256" s="178"/>
      <c r="E256" s="178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178"/>
      <c r="B257" s="178"/>
      <c r="C257" s="178"/>
      <c r="D257" s="178"/>
      <c r="E257" s="178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178"/>
      <c r="B258" s="178"/>
      <c r="C258" s="178"/>
      <c r="D258" s="178"/>
      <c r="E258" s="178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178"/>
      <c r="B259" s="178"/>
      <c r="C259" s="178"/>
      <c r="D259" s="178"/>
      <c r="E259" s="178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178"/>
      <c r="B260" s="178"/>
      <c r="C260" s="178"/>
      <c r="D260" s="178"/>
      <c r="E260" s="178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178"/>
      <c r="B261" s="178"/>
      <c r="C261" s="178"/>
      <c r="D261" s="178"/>
      <c r="E261" s="178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178"/>
      <c r="B262" s="178"/>
      <c r="C262" s="178"/>
      <c r="D262" s="178"/>
      <c r="E262" s="178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178"/>
      <c r="B263" s="178"/>
      <c r="C263" s="178"/>
      <c r="D263" s="178"/>
      <c r="E263" s="178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178"/>
      <c r="B264" s="178"/>
      <c r="C264" s="178"/>
      <c r="D264" s="178"/>
      <c r="E264" s="178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178"/>
      <c r="B265" s="178"/>
      <c r="C265" s="178"/>
      <c r="D265" s="178"/>
      <c r="E265" s="178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178"/>
      <c r="B266" s="178"/>
      <c r="C266" s="178"/>
      <c r="D266" s="178"/>
      <c r="E266" s="178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178"/>
      <c r="B267" s="178"/>
      <c r="C267" s="178"/>
      <c r="D267" s="178"/>
      <c r="E267" s="178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178"/>
      <c r="B268" s="178"/>
      <c r="C268" s="178"/>
      <c r="D268" s="178"/>
      <c r="E268" s="178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178"/>
      <c r="B269" s="178"/>
      <c r="C269" s="178"/>
      <c r="D269" s="178"/>
      <c r="E269" s="178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178"/>
      <c r="B270" s="178"/>
      <c r="C270" s="178"/>
      <c r="D270" s="178"/>
      <c r="E270" s="178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178"/>
      <c r="B271" s="178"/>
      <c r="C271" s="178"/>
      <c r="D271" s="178"/>
      <c r="E271" s="178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178"/>
      <c r="B272" s="178"/>
      <c r="C272" s="178"/>
      <c r="D272" s="178"/>
      <c r="E272" s="178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178"/>
      <c r="B273" s="178"/>
      <c r="C273" s="178"/>
      <c r="D273" s="178"/>
      <c r="E273" s="178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178"/>
      <c r="B274" s="178"/>
      <c r="C274" s="178"/>
      <c r="D274" s="178"/>
      <c r="E274" s="178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178"/>
      <c r="B275" s="178"/>
      <c r="C275" s="178"/>
      <c r="D275" s="178"/>
      <c r="E275" s="178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178"/>
      <c r="B276" s="178"/>
      <c r="C276" s="178"/>
      <c r="D276" s="178"/>
      <c r="E276" s="178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178"/>
      <c r="B277" s="178"/>
      <c r="C277" s="178"/>
      <c r="D277" s="178"/>
      <c r="E277" s="178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178"/>
      <c r="B278" s="178"/>
      <c r="C278" s="178"/>
      <c r="D278" s="178"/>
      <c r="E278" s="178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178"/>
      <c r="B279" s="178"/>
      <c r="C279" s="178"/>
      <c r="D279" s="178"/>
      <c r="E279" s="178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178"/>
      <c r="B280" s="178"/>
      <c r="C280" s="178"/>
      <c r="D280" s="178"/>
      <c r="E280" s="178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178"/>
      <c r="B281" s="178"/>
      <c r="C281" s="178"/>
      <c r="D281" s="178"/>
      <c r="E281" s="178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178"/>
      <c r="B282" s="178"/>
      <c r="C282" s="178"/>
      <c r="D282" s="178"/>
      <c r="E282" s="178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178"/>
      <c r="B283" s="178"/>
      <c r="C283" s="178"/>
      <c r="D283" s="178"/>
      <c r="E283" s="178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178"/>
      <c r="B284" s="178"/>
      <c r="C284" s="178"/>
      <c r="D284" s="178"/>
      <c r="E284" s="178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178"/>
      <c r="B285" s="178"/>
      <c r="C285" s="178"/>
      <c r="D285" s="178"/>
      <c r="E285" s="178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178"/>
      <c r="B286" s="178"/>
      <c r="C286" s="178"/>
      <c r="D286" s="178"/>
      <c r="E286" s="178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178"/>
      <c r="B287" s="178"/>
      <c r="C287" s="178"/>
      <c r="D287" s="178"/>
      <c r="E287" s="178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178"/>
      <c r="B288" s="178"/>
      <c r="C288" s="178"/>
      <c r="D288" s="178"/>
      <c r="E288" s="178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178"/>
      <c r="B289" s="178"/>
      <c r="C289" s="178"/>
      <c r="D289" s="178"/>
      <c r="E289" s="178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178"/>
      <c r="B290" s="178"/>
      <c r="C290" s="178"/>
      <c r="D290" s="178"/>
      <c r="E290" s="178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178"/>
      <c r="B291" s="178"/>
      <c r="C291" s="178"/>
      <c r="D291" s="178"/>
      <c r="E291" s="178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178"/>
      <c r="B292" s="178"/>
      <c r="C292" s="178"/>
      <c r="D292" s="178"/>
      <c r="E292" s="178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178"/>
      <c r="B293" s="178"/>
      <c r="C293" s="178"/>
      <c r="D293" s="178"/>
      <c r="E293" s="178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178"/>
      <c r="B294" s="178"/>
      <c r="C294" s="178"/>
      <c r="D294" s="178"/>
      <c r="E294" s="178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178"/>
      <c r="B295" s="178"/>
      <c r="C295" s="178"/>
      <c r="D295" s="178"/>
      <c r="E295" s="178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178"/>
      <c r="B296" s="178"/>
      <c r="C296" s="178"/>
      <c r="D296" s="178"/>
      <c r="E296" s="178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178"/>
      <c r="B297" s="178"/>
      <c r="C297" s="178"/>
      <c r="D297" s="178"/>
      <c r="E297" s="178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178"/>
      <c r="B298" s="178"/>
      <c r="C298" s="178"/>
      <c r="D298" s="178"/>
      <c r="E298" s="178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178"/>
      <c r="B299" s="178"/>
      <c r="C299" s="178"/>
      <c r="D299" s="178"/>
      <c r="E299" s="178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178"/>
      <c r="B300" s="178"/>
      <c r="C300" s="178"/>
      <c r="D300" s="178"/>
      <c r="E300" s="178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178"/>
      <c r="B301" s="178"/>
      <c r="C301" s="178"/>
      <c r="D301" s="178"/>
      <c r="E301" s="178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178"/>
      <c r="B302" s="178"/>
      <c r="C302" s="178"/>
      <c r="D302" s="178"/>
      <c r="E302" s="178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178"/>
      <c r="B303" s="178"/>
      <c r="C303" s="178"/>
      <c r="D303" s="178"/>
      <c r="E303" s="178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178"/>
      <c r="B304" s="178"/>
      <c r="C304" s="178"/>
      <c r="D304" s="178"/>
      <c r="E304" s="178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178"/>
      <c r="B305" s="178"/>
      <c r="C305" s="178"/>
      <c r="D305" s="178"/>
      <c r="E305" s="178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178"/>
      <c r="B306" s="178"/>
      <c r="C306" s="178"/>
      <c r="D306" s="178"/>
      <c r="E306" s="178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178"/>
      <c r="B307" s="178"/>
      <c r="C307" s="178"/>
      <c r="D307" s="178"/>
      <c r="E307" s="178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178"/>
      <c r="B308" s="178"/>
      <c r="C308" s="178"/>
      <c r="D308" s="178"/>
      <c r="E308" s="178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178"/>
      <c r="B309" s="178"/>
      <c r="C309" s="178"/>
      <c r="D309" s="178"/>
      <c r="E309" s="178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178"/>
      <c r="B310" s="178"/>
      <c r="C310" s="178"/>
      <c r="D310" s="178"/>
      <c r="E310" s="178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178"/>
      <c r="B311" s="178"/>
      <c r="C311" s="178"/>
      <c r="D311" s="178"/>
      <c r="E311" s="178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178"/>
      <c r="B312" s="178"/>
      <c r="C312" s="178"/>
      <c r="D312" s="178"/>
      <c r="E312" s="178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178"/>
      <c r="B313" s="178"/>
      <c r="C313" s="178"/>
      <c r="D313" s="178"/>
      <c r="E313" s="178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178"/>
      <c r="B314" s="178"/>
      <c r="C314" s="178"/>
      <c r="D314" s="178"/>
      <c r="E314" s="178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178"/>
      <c r="B315" s="178"/>
      <c r="C315" s="178"/>
      <c r="D315" s="178"/>
      <c r="E315" s="178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178"/>
      <c r="B316" s="178"/>
      <c r="C316" s="178"/>
      <c r="D316" s="178"/>
      <c r="E316" s="178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178"/>
      <c r="B317" s="178"/>
      <c r="C317" s="178"/>
      <c r="D317" s="178"/>
      <c r="E317" s="178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178"/>
      <c r="B318" s="178"/>
      <c r="C318" s="178"/>
      <c r="D318" s="178"/>
      <c r="E318" s="178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178"/>
      <c r="B319" s="178"/>
      <c r="C319" s="178"/>
      <c r="D319" s="178"/>
      <c r="E319" s="178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178"/>
      <c r="B320" s="178"/>
      <c r="C320" s="178"/>
      <c r="D320" s="178"/>
      <c r="E320" s="178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178"/>
      <c r="B321" s="178"/>
      <c r="C321" s="178"/>
      <c r="D321" s="178"/>
      <c r="E321" s="178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178"/>
      <c r="B322" s="178"/>
      <c r="C322" s="178"/>
      <c r="D322" s="178"/>
      <c r="E322" s="178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178"/>
      <c r="B323" s="178"/>
      <c r="C323" s="178"/>
      <c r="D323" s="178"/>
      <c r="E323" s="178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178"/>
      <c r="B324" s="178"/>
      <c r="C324" s="178"/>
      <c r="D324" s="178"/>
      <c r="E324" s="178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178"/>
      <c r="B325" s="178"/>
      <c r="C325" s="178"/>
      <c r="D325" s="178"/>
      <c r="E325" s="178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178"/>
      <c r="B326" s="178"/>
      <c r="C326" s="178"/>
      <c r="D326" s="178"/>
      <c r="E326" s="178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178"/>
      <c r="B327" s="178"/>
      <c r="C327" s="178"/>
      <c r="D327" s="178"/>
      <c r="E327" s="178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178"/>
      <c r="B328" s="178"/>
      <c r="C328" s="178"/>
      <c r="D328" s="178"/>
      <c r="E328" s="178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178"/>
      <c r="B329" s="178"/>
      <c r="C329" s="178"/>
      <c r="D329" s="178"/>
      <c r="E329" s="178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178"/>
      <c r="B330" s="178"/>
      <c r="C330" s="178"/>
      <c r="D330" s="178"/>
      <c r="E330" s="178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178"/>
      <c r="B331" s="178"/>
      <c r="C331" s="178"/>
      <c r="D331" s="178"/>
      <c r="E331" s="178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178"/>
      <c r="B332" s="178"/>
      <c r="C332" s="178"/>
      <c r="D332" s="178"/>
      <c r="E332" s="178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178"/>
      <c r="B333" s="178"/>
      <c r="C333" s="178"/>
      <c r="D333" s="178"/>
      <c r="E333" s="178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178"/>
      <c r="B334" s="178"/>
      <c r="C334" s="178"/>
      <c r="D334" s="178"/>
      <c r="E334" s="178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178"/>
      <c r="B335" s="178"/>
      <c r="C335" s="178"/>
      <c r="D335" s="178"/>
      <c r="E335" s="178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178"/>
      <c r="B336" s="178"/>
      <c r="C336" s="178"/>
      <c r="D336" s="178"/>
      <c r="E336" s="178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178"/>
      <c r="B337" s="178"/>
      <c r="C337" s="178"/>
      <c r="D337" s="178"/>
      <c r="E337" s="178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178"/>
      <c r="B338" s="178"/>
      <c r="C338" s="178"/>
      <c r="D338" s="178"/>
      <c r="E338" s="178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178"/>
      <c r="B339" s="178"/>
      <c r="C339" s="178"/>
      <c r="D339" s="178"/>
      <c r="E339" s="178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178"/>
      <c r="B340" s="178"/>
      <c r="C340" s="178"/>
      <c r="D340" s="178"/>
      <c r="E340" s="178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178"/>
      <c r="B341" s="178"/>
      <c r="C341" s="178"/>
      <c r="D341" s="178"/>
      <c r="E341" s="178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178"/>
      <c r="B342" s="178"/>
      <c r="C342" s="178"/>
      <c r="D342" s="178"/>
      <c r="E342" s="178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178"/>
      <c r="B343" s="178"/>
      <c r="C343" s="178"/>
      <c r="D343" s="178"/>
      <c r="E343" s="178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178"/>
      <c r="B344" s="178"/>
      <c r="C344" s="178"/>
      <c r="D344" s="178"/>
      <c r="E344" s="178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178"/>
      <c r="B345" s="178"/>
      <c r="C345" s="178"/>
      <c r="D345" s="178"/>
      <c r="E345" s="178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178"/>
      <c r="B346" s="178"/>
      <c r="C346" s="178"/>
      <c r="D346" s="178"/>
      <c r="E346" s="178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178"/>
      <c r="B347" s="178"/>
      <c r="C347" s="178"/>
      <c r="D347" s="178"/>
      <c r="E347" s="178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178"/>
      <c r="B348" s="178"/>
      <c r="C348" s="178"/>
      <c r="D348" s="178"/>
      <c r="E348" s="178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178"/>
      <c r="B349" s="178"/>
      <c r="C349" s="178"/>
      <c r="D349" s="178"/>
      <c r="E349" s="178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178"/>
      <c r="B350" s="178"/>
      <c r="C350" s="178"/>
      <c r="D350" s="178"/>
      <c r="E350" s="178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178"/>
      <c r="B351" s="178"/>
      <c r="C351" s="178"/>
      <c r="D351" s="178"/>
      <c r="E351" s="178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178"/>
      <c r="B352" s="178"/>
      <c r="C352" s="178"/>
      <c r="D352" s="178"/>
      <c r="E352" s="178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178"/>
      <c r="B353" s="178"/>
      <c r="C353" s="178"/>
      <c r="D353" s="178"/>
      <c r="E353" s="178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178"/>
      <c r="B354" s="178"/>
      <c r="C354" s="178"/>
      <c r="D354" s="178"/>
      <c r="E354" s="178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178"/>
      <c r="B355" s="178"/>
      <c r="C355" s="178"/>
      <c r="D355" s="178"/>
      <c r="E355" s="178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178"/>
      <c r="B356" s="178"/>
      <c r="C356" s="178"/>
      <c r="D356" s="178"/>
      <c r="E356" s="178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178"/>
      <c r="B357" s="178"/>
      <c r="C357" s="178"/>
      <c r="D357" s="178"/>
      <c r="E357" s="178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178"/>
      <c r="B358" s="178"/>
      <c r="C358" s="178"/>
      <c r="D358" s="178"/>
      <c r="E358" s="178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178"/>
      <c r="B359" s="178"/>
      <c r="C359" s="178"/>
      <c r="D359" s="178"/>
      <c r="E359" s="178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178"/>
      <c r="B360" s="178"/>
      <c r="C360" s="178"/>
      <c r="D360" s="178"/>
      <c r="E360" s="178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178"/>
      <c r="B361" s="178"/>
      <c r="C361" s="178"/>
      <c r="D361" s="178"/>
      <c r="E361" s="178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178"/>
      <c r="B362" s="178"/>
      <c r="C362" s="178"/>
      <c r="D362" s="178"/>
      <c r="E362" s="178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178"/>
      <c r="B363" s="178"/>
      <c r="C363" s="178"/>
      <c r="D363" s="178"/>
      <c r="E363" s="178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178"/>
      <c r="B364" s="178"/>
      <c r="C364" s="178"/>
      <c r="D364" s="178"/>
      <c r="E364" s="178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178"/>
      <c r="B365" s="178"/>
      <c r="C365" s="178"/>
      <c r="D365" s="178"/>
      <c r="E365" s="178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178"/>
      <c r="B366" s="178"/>
      <c r="C366" s="178"/>
      <c r="D366" s="178"/>
      <c r="E366" s="178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178"/>
      <c r="B367" s="178"/>
      <c r="C367" s="178"/>
      <c r="D367" s="178"/>
      <c r="E367" s="178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178"/>
      <c r="B368" s="178"/>
      <c r="C368" s="178"/>
      <c r="D368" s="178"/>
      <c r="E368" s="178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178"/>
      <c r="B369" s="178"/>
      <c r="C369" s="178"/>
      <c r="D369" s="178"/>
      <c r="E369" s="178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178"/>
      <c r="B370" s="178"/>
      <c r="C370" s="178"/>
      <c r="D370" s="178"/>
      <c r="E370" s="178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178"/>
      <c r="B371" s="178"/>
      <c r="C371" s="178"/>
      <c r="D371" s="178"/>
      <c r="E371" s="178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178"/>
      <c r="B372" s="178"/>
      <c r="C372" s="178"/>
      <c r="D372" s="178"/>
      <c r="E372" s="178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178"/>
      <c r="B373" s="178"/>
      <c r="C373" s="178"/>
      <c r="D373" s="178"/>
      <c r="E373" s="178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178"/>
      <c r="B374" s="178"/>
      <c r="C374" s="178"/>
      <c r="D374" s="178"/>
      <c r="E374" s="178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178"/>
      <c r="B375" s="178"/>
      <c r="C375" s="178"/>
      <c r="D375" s="178"/>
      <c r="E375" s="178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178"/>
      <c r="B376" s="178"/>
      <c r="C376" s="178"/>
      <c r="D376" s="178"/>
      <c r="E376" s="178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178"/>
      <c r="B377" s="178"/>
      <c r="C377" s="178"/>
      <c r="D377" s="178"/>
      <c r="E377" s="178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178"/>
      <c r="B378" s="178"/>
      <c r="C378" s="178"/>
      <c r="D378" s="178"/>
      <c r="E378" s="178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178"/>
      <c r="B379" s="178"/>
      <c r="C379" s="178"/>
      <c r="D379" s="178"/>
      <c r="E379" s="178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178"/>
      <c r="B380" s="178"/>
      <c r="C380" s="178"/>
      <c r="D380" s="178"/>
      <c r="E380" s="178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178"/>
      <c r="B381" s="178"/>
      <c r="C381" s="178"/>
      <c r="D381" s="178"/>
      <c r="E381" s="178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178"/>
      <c r="B382" s="178"/>
      <c r="C382" s="178"/>
      <c r="D382" s="178"/>
      <c r="E382" s="178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178"/>
      <c r="B383" s="178"/>
      <c r="C383" s="178"/>
      <c r="D383" s="178"/>
      <c r="E383" s="178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178"/>
      <c r="B384" s="178"/>
      <c r="C384" s="178"/>
      <c r="D384" s="178"/>
      <c r="E384" s="178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178"/>
      <c r="B385" s="178"/>
      <c r="C385" s="178"/>
      <c r="D385" s="178"/>
      <c r="E385" s="178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178"/>
      <c r="B386" s="178"/>
      <c r="C386" s="178"/>
      <c r="D386" s="178"/>
      <c r="E386" s="178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178"/>
      <c r="B387" s="178"/>
      <c r="C387" s="178"/>
      <c r="D387" s="178"/>
      <c r="E387" s="178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178"/>
      <c r="B388" s="178"/>
      <c r="C388" s="178"/>
      <c r="D388" s="178"/>
      <c r="E388" s="178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178"/>
      <c r="B389" s="178"/>
      <c r="C389" s="178"/>
      <c r="D389" s="178"/>
      <c r="E389" s="178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178"/>
      <c r="B390" s="178"/>
      <c r="C390" s="178"/>
      <c r="D390" s="178"/>
      <c r="E390" s="178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178"/>
      <c r="B391" s="178"/>
      <c r="C391" s="178"/>
      <c r="D391" s="178"/>
      <c r="E391" s="178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178"/>
      <c r="B392" s="178"/>
      <c r="C392" s="178"/>
      <c r="D392" s="178"/>
      <c r="E392" s="178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178"/>
      <c r="B393" s="178"/>
      <c r="C393" s="178"/>
      <c r="D393" s="178"/>
      <c r="E393" s="178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178"/>
      <c r="B394" s="178"/>
      <c r="C394" s="178"/>
      <c r="D394" s="178"/>
      <c r="E394" s="178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178"/>
      <c r="B395" s="178"/>
      <c r="C395" s="178"/>
      <c r="D395" s="178"/>
      <c r="E395" s="178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178"/>
      <c r="B396" s="178"/>
      <c r="C396" s="178"/>
      <c r="D396" s="178"/>
      <c r="E396" s="178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178"/>
      <c r="B397" s="178"/>
      <c r="C397" s="178"/>
      <c r="D397" s="178"/>
      <c r="E397" s="178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178"/>
      <c r="B398" s="178"/>
      <c r="C398" s="178"/>
      <c r="D398" s="178"/>
      <c r="E398" s="178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178"/>
      <c r="B399" s="178"/>
      <c r="C399" s="178"/>
      <c r="D399" s="178"/>
      <c r="E399" s="178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178"/>
      <c r="B400" s="178"/>
      <c r="C400" s="178"/>
      <c r="D400" s="178"/>
      <c r="E400" s="178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178"/>
      <c r="B401" s="178"/>
      <c r="C401" s="178"/>
      <c r="D401" s="178"/>
      <c r="E401" s="178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178"/>
      <c r="B402" s="178"/>
      <c r="C402" s="178"/>
      <c r="D402" s="178"/>
      <c r="E402" s="178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178"/>
      <c r="B403" s="178"/>
      <c r="C403" s="178"/>
      <c r="D403" s="178"/>
      <c r="E403" s="178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178"/>
      <c r="B404" s="178"/>
      <c r="C404" s="178"/>
      <c r="D404" s="178"/>
      <c r="E404" s="178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178"/>
      <c r="B405" s="178"/>
      <c r="C405" s="178"/>
      <c r="D405" s="178"/>
      <c r="E405" s="178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178"/>
      <c r="B406" s="178"/>
      <c r="C406" s="178"/>
      <c r="D406" s="178"/>
      <c r="E406" s="178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178"/>
      <c r="B407" s="178"/>
      <c r="C407" s="178"/>
      <c r="D407" s="178"/>
      <c r="E407" s="178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178"/>
      <c r="B408" s="178"/>
      <c r="C408" s="178"/>
      <c r="D408" s="178"/>
      <c r="E408" s="178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178"/>
      <c r="B409" s="178"/>
      <c r="C409" s="178"/>
      <c r="D409" s="178"/>
      <c r="E409" s="178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178"/>
      <c r="B410" s="178"/>
      <c r="C410" s="178"/>
      <c r="D410" s="178"/>
      <c r="E410" s="178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178"/>
      <c r="B411" s="178"/>
      <c r="C411" s="178"/>
      <c r="D411" s="178"/>
      <c r="E411" s="178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178"/>
      <c r="B412" s="178"/>
      <c r="C412" s="178"/>
      <c r="D412" s="178"/>
      <c r="E412" s="178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178"/>
      <c r="B413" s="178"/>
      <c r="C413" s="178"/>
      <c r="D413" s="178"/>
      <c r="E413" s="178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178"/>
      <c r="B414" s="178"/>
      <c r="C414" s="178"/>
      <c r="D414" s="178"/>
      <c r="E414" s="178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178"/>
      <c r="B415" s="178"/>
      <c r="C415" s="178"/>
      <c r="D415" s="178"/>
      <c r="E415" s="178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178"/>
      <c r="B416" s="178"/>
      <c r="C416" s="178"/>
      <c r="D416" s="178"/>
      <c r="E416" s="178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178"/>
      <c r="B417" s="178"/>
      <c r="C417" s="178"/>
      <c r="D417" s="178"/>
      <c r="E417" s="178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178"/>
      <c r="B418" s="178"/>
      <c r="C418" s="178"/>
      <c r="D418" s="178"/>
      <c r="E418" s="178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178"/>
      <c r="B419" s="178"/>
      <c r="C419" s="178"/>
      <c r="D419" s="178"/>
      <c r="E419" s="178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178"/>
      <c r="B420" s="178"/>
      <c r="C420" s="178"/>
      <c r="D420" s="178"/>
      <c r="E420" s="178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178"/>
      <c r="B421" s="178"/>
      <c r="C421" s="178"/>
      <c r="D421" s="178"/>
      <c r="E421" s="178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178"/>
      <c r="B422" s="178"/>
      <c r="C422" s="178"/>
      <c r="D422" s="178"/>
      <c r="E422" s="178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178"/>
      <c r="B423" s="178"/>
      <c r="C423" s="178"/>
      <c r="D423" s="178"/>
      <c r="E423" s="178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178"/>
      <c r="B424" s="178"/>
      <c r="C424" s="178"/>
      <c r="D424" s="178"/>
      <c r="E424" s="178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178"/>
      <c r="B425" s="178"/>
      <c r="C425" s="178"/>
      <c r="D425" s="178"/>
      <c r="E425" s="178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178"/>
      <c r="B426" s="178"/>
      <c r="C426" s="178"/>
      <c r="D426" s="178"/>
      <c r="E426" s="178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178"/>
      <c r="B427" s="178"/>
      <c r="C427" s="178"/>
      <c r="D427" s="178"/>
      <c r="E427" s="178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178"/>
      <c r="B428" s="178"/>
      <c r="C428" s="178"/>
      <c r="D428" s="178"/>
      <c r="E428" s="178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178"/>
      <c r="B429" s="178"/>
      <c r="C429" s="178"/>
      <c r="D429" s="178"/>
      <c r="E429" s="178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178"/>
      <c r="B430" s="178"/>
      <c r="C430" s="178"/>
      <c r="D430" s="178"/>
      <c r="E430" s="178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178"/>
      <c r="B431" s="178"/>
      <c r="C431" s="178"/>
      <c r="D431" s="178"/>
      <c r="E431" s="178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178"/>
      <c r="B432" s="178"/>
      <c r="C432" s="178"/>
      <c r="D432" s="178"/>
      <c r="E432" s="178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178"/>
      <c r="B433" s="178"/>
      <c r="C433" s="178"/>
      <c r="D433" s="178"/>
      <c r="E433" s="178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178"/>
      <c r="B434" s="178"/>
      <c r="C434" s="178"/>
      <c r="D434" s="178"/>
      <c r="E434" s="178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178"/>
      <c r="B435" s="178"/>
      <c r="C435" s="178"/>
      <c r="D435" s="178"/>
      <c r="E435" s="178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178"/>
      <c r="B436" s="178"/>
      <c r="C436" s="178"/>
      <c r="D436" s="178"/>
      <c r="E436" s="178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178"/>
      <c r="B437" s="178"/>
      <c r="C437" s="178"/>
      <c r="D437" s="178"/>
      <c r="E437" s="178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178"/>
      <c r="B438" s="178"/>
      <c r="C438" s="178"/>
      <c r="D438" s="178"/>
      <c r="E438" s="178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178"/>
      <c r="B439" s="178"/>
      <c r="C439" s="178"/>
      <c r="D439" s="178"/>
      <c r="E439" s="178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178"/>
      <c r="B440" s="178"/>
      <c r="C440" s="178"/>
      <c r="D440" s="178"/>
      <c r="E440" s="178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178"/>
      <c r="B441" s="178"/>
      <c r="C441" s="178"/>
      <c r="D441" s="178"/>
      <c r="E441" s="178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178"/>
      <c r="B442" s="178"/>
      <c r="C442" s="178"/>
      <c r="D442" s="178"/>
      <c r="E442" s="178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178"/>
      <c r="B443" s="178"/>
      <c r="C443" s="178"/>
      <c r="D443" s="178"/>
      <c r="E443" s="178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178"/>
      <c r="B444" s="178"/>
      <c r="C444" s="178"/>
      <c r="D444" s="178"/>
      <c r="E444" s="178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178"/>
      <c r="B445" s="178"/>
      <c r="C445" s="178"/>
      <c r="D445" s="178"/>
      <c r="E445" s="178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178"/>
      <c r="B446" s="178"/>
      <c r="C446" s="178"/>
      <c r="D446" s="178"/>
      <c r="E446" s="178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178"/>
      <c r="B447" s="178"/>
      <c r="C447" s="178"/>
      <c r="D447" s="178"/>
      <c r="E447" s="178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178"/>
      <c r="B448" s="178"/>
      <c r="C448" s="178"/>
      <c r="D448" s="178"/>
      <c r="E448" s="178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178"/>
      <c r="B449" s="178"/>
      <c r="C449" s="178"/>
      <c r="D449" s="178"/>
      <c r="E449" s="178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178"/>
      <c r="B450" s="178"/>
      <c r="C450" s="178"/>
      <c r="D450" s="178"/>
      <c r="E450" s="178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178"/>
      <c r="B451" s="178"/>
      <c r="C451" s="178"/>
      <c r="D451" s="178"/>
      <c r="E451" s="178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178"/>
      <c r="B452" s="178"/>
      <c r="C452" s="178"/>
      <c r="D452" s="178"/>
      <c r="E452" s="178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178"/>
      <c r="B453" s="178"/>
      <c r="C453" s="178"/>
      <c r="D453" s="178"/>
      <c r="E453" s="178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178"/>
      <c r="B454" s="178"/>
      <c r="C454" s="178"/>
      <c r="D454" s="178"/>
      <c r="E454" s="178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178"/>
      <c r="B455" s="178"/>
      <c r="C455" s="178"/>
      <c r="D455" s="178"/>
      <c r="E455" s="178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178"/>
      <c r="B456" s="178"/>
      <c r="C456" s="178"/>
      <c r="D456" s="178"/>
      <c r="E456" s="178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178"/>
      <c r="B457" s="178"/>
      <c r="C457" s="178"/>
      <c r="D457" s="178"/>
      <c r="E457" s="178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178"/>
      <c r="B458" s="178"/>
      <c r="C458" s="178"/>
      <c r="D458" s="178"/>
      <c r="E458" s="178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178"/>
      <c r="B459" s="178"/>
      <c r="C459" s="178"/>
      <c r="D459" s="178"/>
      <c r="E459" s="178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178"/>
      <c r="B460" s="178"/>
      <c r="C460" s="178"/>
      <c r="D460" s="178"/>
      <c r="E460" s="178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178"/>
      <c r="B461" s="178"/>
      <c r="C461" s="178"/>
      <c r="D461" s="178"/>
      <c r="E461" s="178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178"/>
      <c r="B462" s="178"/>
      <c r="C462" s="178"/>
      <c r="D462" s="178"/>
      <c r="E462" s="178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178"/>
      <c r="B463" s="178"/>
      <c r="C463" s="178"/>
      <c r="D463" s="178"/>
      <c r="E463" s="178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178"/>
      <c r="B464" s="178"/>
      <c r="C464" s="178"/>
      <c r="D464" s="178"/>
      <c r="E464" s="178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178"/>
      <c r="B465" s="178"/>
      <c r="C465" s="178"/>
      <c r="D465" s="178"/>
      <c r="E465" s="178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178"/>
      <c r="B466" s="178"/>
      <c r="C466" s="178"/>
      <c r="D466" s="178"/>
      <c r="E466" s="178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178"/>
      <c r="B467" s="178"/>
      <c r="C467" s="178"/>
      <c r="D467" s="178"/>
      <c r="E467" s="178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178"/>
      <c r="B468" s="178"/>
      <c r="C468" s="178"/>
      <c r="D468" s="178"/>
      <c r="E468" s="178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178"/>
      <c r="B469" s="178"/>
      <c r="C469" s="178"/>
      <c r="D469" s="178"/>
      <c r="E469" s="178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178"/>
      <c r="B470" s="178"/>
      <c r="C470" s="178"/>
      <c r="D470" s="178"/>
      <c r="E470" s="178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178"/>
      <c r="B471" s="178"/>
      <c r="C471" s="178"/>
      <c r="D471" s="178"/>
      <c r="E471" s="178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178"/>
      <c r="B472" s="178"/>
      <c r="C472" s="178"/>
      <c r="D472" s="178"/>
      <c r="E472" s="178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178"/>
      <c r="B473" s="178"/>
      <c r="C473" s="178"/>
      <c r="D473" s="178"/>
      <c r="E473" s="178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178"/>
      <c r="B474" s="178"/>
      <c r="C474" s="178"/>
      <c r="D474" s="178"/>
      <c r="E474" s="178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178"/>
      <c r="B475" s="178"/>
      <c r="C475" s="178"/>
      <c r="D475" s="178"/>
      <c r="E475" s="178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178"/>
      <c r="B476" s="178"/>
      <c r="C476" s="178"/>
      <c r="D476" s="178"/>
      <c r="E476" s="178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178"/>
      <c r="B477" s="178"/>
      <c r="C477" s="178"/>
      <c r="D477" s="178"/>
      <c r="E477" s="178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178"/>
      <c r="B478" s="178"/>
      <c r="C478" s="178"/>
      <c r="D478" s="178"/>
      <c r="E478" s="178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178"/>
      <c r="B479" s="178"/>
      <c r="C479" s="178"/>
      <c r="D479" s="178"/>
      <c r="E479" s="178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178"/>
      <c r="B480" s="178"/>
      <c r="C480" s="178"/>
      <c r="D480" s="178"/>
      <c r="E480" s="178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178"/>
      <c r="B481" s="178"/>
      <c r="C481" s="178"/>
      <c r="D481" s="178"/>
      <c r="E481" s="178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178"/>
      <c r="B482" s="178"/>
      <c r="C482" s="178"/>
      <c r="D482" s="178"/>
      <c r="E482" s="178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178"/>
      <c r="B483" s="178"/>
      <c r="C483" s="178"/>
      <c r="D483" s="178"/>
      <c r="E483" s="178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178"/>
      <c r="B484" s="178"/>
      <c r="C484" s="178"/>
      <c r="D484" s="178"/>
      <c r="E484" s="178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178"/>
      <c r="B485" s="178"/>
      <c r="C485" s="178"/>
      <c r="D485" s="178"/>
      <c r="E485" s="178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178"/>
      <c r="B486" s="178"/>
      <c r="C486" s="178"/>
      <c r="D486" s="178"/>
      <c r="E486" s="178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178"/>
      <c r="B487" s="178"/>
      <c r="C487" s="178"/>
      <c r="D487" s="178"/>
      <c r="E487" s="178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178"/>
      <c r="B488" s="178"/>
      <c r="C488" s="178"/>
      <c r="D488" s="178"/>
      <c r="E488" s="178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178"/>
      <c r="B489" s="178"/>
      <c r="C489" s="178"/>
      <c r="D489" s="178"/>
      <c r="E489" s="178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178"/>
      <c r="B490" s="178"/>
      <c r="C490" s="178"/>
      <c r="D490" s="178"/>
      <c r="E490" s="178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178"/>
      <c r="B491" s="178"/>
      <c r="C491" s="178"/>
      <c r="D491" s="178"/>
      <c r="E491" s="178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178"/>
      <c r="B492" s="178"/>
      <c r="C492" s="178"/>
      <c r="D492" s="178"/>
      <c r="E492" s="178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178"/>
      <c r="B493" s="178"/>
      <c r="C493" s="178"/>
      <c r="D493" s="178"/>
      <c r="E493" s="178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178"/>
      <c r="B494" s="178"/>
      <c r="C494" s="178"/>
      <c r="D494" s="178"/>
      <c r="E494" s="178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178"/>
      <c r="B495" s="178"/>
      <c r="C495" s="178"/>
      <c r="D495" s="178"/>
      <c r="E495" s="178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178"/>
      <c r="B496" s="178"/>
      <c r="C496" s="178"/>
      <c r="D496" s="178"/>
      <c r="E496" s="178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178"/>
      <c r="B497" s="178"/>
      <c r="C497" s="178"/>
      <c r="D497" s="178"/>
      <c r="E497" s="178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178"/>
      <c r="B498" s="178"/>
      <c r="C498" s="178"/>
      <c r="D498" s="178"/>
      <c r="E498" s="178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178"/>
      <c r="B499" s="178"/>
      <c r="C499" s="178"/>
      <c r="D499" s="178"/>
      <c r="E499" s="178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178"/>
      <c r="B500" s="178"/>
      <c r="C500" s="178"/>
      <c r="D500" s="178"/>
      <c r="E500" s="178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178"/>
      <c r="B501" s="178"/>
      <c r="C501" s="178"/>
      <c r="D501" s="178"/>
      <c r="E501" s="178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178"/>
      <c r="B502" s="178"/>
      <c r="C502" s="178"/>
      <c r="D502" s="178"/>
      <c r="E502" s="178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178"/>
      <c r="B503" s="178"/>
      <c r="C503" s="178"/>
      <c r="D503" s="178"/>
      <c r="E503" s="178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178"/>
      <c r="B504" s="178"/>
      <c r="C504" s="178"/>
      <c r="D504" s="178"/>
      <c r="E504" s="178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178"/>
      <c r="B505" s="178"/>
      <c r="C505" s="178"/>
      <c r="D505" s="178"/>
      <c r="E505" s="178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178"/>
      <c r="B506" s="178"/>
      <c r="C506" s="178"/>
      <c r="D506" s="178"/>
      <c r="E506" s="178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178"/>
      <c r="B507" s="178"/>
      <c r="C507" s="178"/>
      <c r="D507" s="178"/>
      <c r="E507" s="178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178"/>
      <c r="B508" s="178"/>
      <c r="C508" s="178"/>
      <c r="D508" s="178"/>
      <c r="E508" s="178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178"/>
      <c r="B509" s="178"/>
      <c r="C509" s="178"/>
      <c r="D509" s="178"/>
      <c r="E509" s="178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178"/>
      <c r="B510" s="178"/>
      <c r="C510" s="178"/>
      <c r="D510" s="178"/>
      <c r="E510" s="178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178"/>
      <c r="B511" s="178"/>
      <c r="C511" s="178"/>
      <c r="D511" s="178"/>
      <c r="E511" s="178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178"/>
      <c r="B512" s="178"/>
      <c r="C512" s="178"/>
      <c r="D512" s="178"/>
      <c r="E512" s="178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178"/>
      <c r="B513" s="178"/>
      <c r="C513" s="178"/>
      <c r="D513" s="178"/>
      <c r="E513" s="178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178"/>
      <c r="B514" s="178"/>
      <c r="C514" s="178"/>
      <c r="D514" s="178"/>
      <c r="E514" s="178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178"/>
      <c r="B515" s="178"/>
      <c r="C515" s="178"/>
      <c r="D515" s="178"/>
      <c r="E515" s="178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178"/>
      <c r="B516" s="178"/>
      <c r="C516" s="178"/>
      <c r="D516" s="178"/>
      <c r="E516" s="178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178"/>
      <c r="B517" s="178"/>
      <c r="C517" s="178"/>
      <c r="D517" s="178"/>
      <c r="E517" s="178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178"/>
      <c r="B518" s="178"/>
      <c r="C518" s="178"/>
      <c r="D518" s="178"/>
      <c r="E518" s="178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178"/>
      <c r="B519" s="178"/>
      <c r="C519" s="178"/>
      <c r="D519" s="178"/>
      <c r="E519" s="178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178"/>
      <c r="B520" s="178"/>
      <c r="C520" s="178"/>
      <c r="D520" s="178"/>
      <c r="E520" s="178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178"/>
      <c r="B521" s="178"/>
      <c r="C521" s="178"/>
      <c r="D521" s="178"/>
      <c r="E521" s="178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178"/>
      <c r="B522" s="178"/>
      <c r="C522" s="178"/>
      <c r="D522" s="178"/>
      <c r="E522" s="178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178"/>
      <c r="B523" s="178"/>
      <c r="C523" s="178"/>
      <c r="D523" s="178"/>
      <c r="E523" s="178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178"/>
      <c r="B524" s="178"/>
      <c r="C524" s="178"/>
      <c r="D524" s="178"/>
      <c r="E524" s="178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178"/>
      <c r="B525" s="178"/>
      <c r="C525" s="178"/>
      <c r="D525" s="178"/>
      <c r="E525" s="178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178"/>
      <c r="B526" s="178"/>
      <c r="C526" s="178"/>
      <c r="D526" s="178"/>
      <c r="E526" s="178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178"/>
      <c r="B527" s="178"/>
      <c r="C527" s="178"/>
      <c r="D527" s="178"/>
      <c r="E527" s="178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178"/>
      <c r="B528" s="178"/>
      <c r="C528" s="178"/>
      <c r="D528" s="178"/>
      <c r="E528" s="178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178"/>
      <c r="B529" s="178"/>
      <c r="C529" s="178"/>
      <c r="D529" s="178"/>
      <c r="E529" s="178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178"/>
      <c r="B530" s="178"/>
      <c r="C530" s="178"/>
      <c r="D530" s="178"/>
      <c r="E530" s="178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178"/>
      <c r="B531" s="178"/>
      <c r="C531" s="178"/>
      <c r="D531" s="178"/>
      <c r="E531" s="178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178"/>
      <c r="B532" s="178"/>
      <c r="C532" s="178"/>
      <c r="D532" s="178"/>
      <c r="E532" s="178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178"/>
      <c r="B533" s="178"/>
      <c r="C533" s="178"/>
      <c r="D533" s="178"/>
      <c r="E533" s="178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178"/>
      <c r="B534" s="178"/>
      <c r="C534" s="178"/>
      <c r="D534" s="178"/>
      <c r="E534" s="178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178"/>
      <c r="B535" s="178"/>
      <c r="C535" s="178"/>
      <c r="D535" s="178"/>
      <c r="E535" s="178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178"/>
      <c r="B536" s="178"/>
      <c r="C536" s="178"/>
      <c r="D536" s="178"/>
      <c r="E536" s="178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178"/>
      <c r="B537" s="178"/>
      <c r="C537" s="178"/>
      <c r="D537" s="178"/>
      <c r="E537" s="178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178"/>
      <c r="B538" s="178"/>
      <c r="C538" s="178"/>
      <c r="D538" s="178"/>
      <c r="E538" s="178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178"/>
      <c r="B539" s="178"/>
      <c r="C539" s="178"/>
      <c r="D539" s="178"/>
      <c r="E539" s="178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178"/>
      <c r="B540" s="178"/>
      <c r="C540" s="178"/>
      <c r="D540" s="178"/>
      <c r="E540" s="178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178"/>
      <c r="B541" s="178"/>
      <c r="C541" s="178"/>
      <c r="D541" s="178"/>
      <c r="E541" s="178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178"/>
      <c r="B542" s="178"/>
      <c r="C542" s="178"/>
      <c r="D542" s="178"/>
      <c r="E542" s="178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178"/>
      <c r="B543" s="178"/>
      <c r="C543" s="178"/>
      <c r="D543" s="178"/>
      <c r="E543" s="178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178"/>
      <c r="B544" s="178"/>
      <c r="C544" s="178"/>
      <c r="D544" s="178"/>
      <c r="E544" s="178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178"/>
      <c r="B545" s="178"/>
      <c r="C545" s="178"/>
      <c r="D545" s="178"/>
      <c r="E545" s="178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178"/>
      <c r="B546" s="178"/>
      <c r="C546" s="178"/>
      <c r="D546" s="178"/>
      <c r="E546" s="178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178"/>
      <c r="B547" s="178"/>
      <c r="C547" s="178"/>
      <c r="D547" s="178"/>
      <c r="E547" s="178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178"/>
      <c r="B548" s="178"/>
      <c r="C548" s="178"/>
      <c r="D548" s="178"/>
      <c r="E548" s="178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178"/>
      <c r="B549" s="178"/>
      <c r="C549" s="178"/>
      <c r="D549" s="178"/>
      <c r="E549" s="178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178"/>
      <c r="B550" s="178"/>
      <c r="C550" s="178"/>
      <c r="D550" s="178"/>
      <c r="E550" s="178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178"/>
      <c r="B551" s="178"/>
      <c r="C551" s="178"/>
      <c r="D551" s="178"/>
      <c r="E551" s="178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178"/>
      <c r="B552" s="178"/>
      <c r="C552" s="178"/>
      <c r="D552" s="178"/>
      <c r="E552" s="178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178"/>
      <c r="B553" s="178"/>
      <c r="C553" s="178"/>
      <c r="D553" s="178"/>
      <c r="E553" s="178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178"/>
      <c r="B554" s="178"/>
      <c r="C554" s="178"/>
      <c r="D554" s="178"/>
      <c r="E554" s="178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178"/>
      <c r="B555" s="178"/>
      <c r="C555" s="178"/>
      <c r="D555" s="178"/>
      <c r="E555" s="178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178"/>
      <c r="B556" s="178"/>
      <c r="C556" s="178"/>
      <c r="D556" s="178"/>
      <c r="E556" s="178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178"/>
      <c r="B557" s="178"/>
      <c r="C557" s="178"/>
      <c r="D557" s="178"/>
      <c r="E557" s="178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178"/>
      <c r="B558" s="178"/>
      <c r="C558" s="178"/>
      <c r="D558" s="178"/>
      <c r="E558" s="178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178"/>
      <c r="B559" s="178"/>
      <c r="C559" s="178"/>
      <c r="D559" s="178"/>
      <c r="E559" s="178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178"/>
      <c r="B560" s="178"/>
      <c r="C560" s="178"/>
      <c r="D560" s="178"/>
      <c r="E560" s="178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178"/>
      <c r="B561" s="178"/>
      <c r="C561" s="178"/>
      <c r="D561" s="178"/>
      <c r="E561" s="178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178"/>
      <c r="B562" s="178"/>
      <c r="C562" s="178"/>
      <c r="D562" s="178"/>
      <c r="E562" s="178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178"/>
      <c r="B563" s="178"/>
      <c r="C563" s="178"/>
      <c r="D563" s="178"/>
      <c r="E563" s="178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178"/>
      <c r="B564" s="178"/>
      <c r="C564" s="178"/>
      <c r="D564" s="178"/>
      <c r="E564" s="178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178"/>
      <c r="B565" s="178"/>
      <c r="C565" s="178"/>
      <c r="D565" s="178"/>
      <c r="E565" s="178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178"/>
      <c r="B566" s="178"/>
      <c r="C566" s="178"/>
      <c r="D566" s="178"/>
      <c r="E566" s="178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178"/>
      <c r="B567" s="178"/>
      <c r="C567" s="178"/>
      <c r="D567" s="178"/>
      <c r="E567" s="178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178"/>
      <c r="B568" s="178"/>
      <c r="C568" s="178"/>
      <c r="D568" s="178"/>
      <c r="E568" s="178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178"/>
      <c r="B569" s="178"/>
      <c r="C569" s="178"/>
      <c r="D569" s="178"/>
      <c r="E569" s="178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178"/>
      <c r="B570" s="178"/>
      <c r="C570" s="178"/>
      <c r="D570" s="178"/>
      <c r="E570" s="178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178"/>
      <c r="B571" s="178"/>
      <c r="C571" s="178"/>
      <c r="D571" s="178"/>
      <c r="E571" s="178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178"/>
      <c r="B572" s="178"/>
      <c r="C572" s="178"/>
      <c r="D572" s="178"/>
      <c r="E572" s="178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178"/>
      <c r="B573" s="178"/>
      <c r="C573" s="178"/>
      <c r="D573" s="178"/>
      <c r="E573" s="178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178"/>
      <c r="B574" s="178"/>
      <c r="C574" s="178"/>
      <c r="D574" s="178"/>
      <c r="E574" s="178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178"/>
      <c r="B575" s="178"/>
      <c r="C575" s="178"/>
      <c r="D575" s="178"/>
      <c r="E575" s="178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178"/>
      <c r="B576" s="178"/>
      <c r="C576" s="178"/>
      <c r="D576" s="178"/>
      <c r="E576" s="178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178"/>
      <c r="B577" s="178"/>
      <c r="C577" s="178"/>
      <c r="D577" s="178"/>
      <c r="E577" s="178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178"/>
      <c r="B578" s="178"/>
      <c r="C578" s="178"/>
      <c r="D578" s="178"/>
      <c r="E578" s="178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178"/>
      <c r="B579" s="178"/>
      <c r="C579" s="178"/>
      <c r="D579" s="178"/>
      <c r="E579" s="178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178"/>
      <c r="B580" s="178"/>
      <c r="C580" s="178"/>
      <c r="D580" s="178"/>
      <c r="E580" s="178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178"/>
      <c r="B581" s="178"/>
      <c r="C581" s="178"/>
      <c r="D581" s="178"/>
      <c r="E581" s="178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178"/>
      <c r="B582" s="178"/>
      <c r="C582" s="178"/>
      <c r="D582" s="178"/>
      <c r="E582" s="178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178"/>
      <c r="B583" s="178"/>
      <c r="C583" s="178"/>
      <c r="D583" s="178"/>
      <c r="E583" s="178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178"/>
      <c r="B584" s="178"/>
      <c r="C584" s="178"/>
      <c r="D584" s="178"/>
      <c r="E584" s="178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178"/>
      <c r="B585" s="178"/>
      <c r="C585" s="178"/>
      <c r="D585" s="178"/>
      <c r="E585" s="178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178"/>
      <c r="B586" s="178"/>
      <c r="C586" s="178"/>
      <c r="D586" s="178"/>
      <c r="E586" s="178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178"/>
      <c r="B587" s="178"/>
      <c r="C587" s="178"/>
      <c r="D587" s="178"/>
      <c r="E587" s="178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178"/>
      <c r="B588" s="178"/>
      <c r="C588" s="178"/>
      <c r="D588" s="178"/>
      <c r="E588" s="178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178"/>
      <c r="B589" s="178"/>
      <c r="C589" s="178"/>
      <c r="D589" s="178"/>
      <c r="E589" s="178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178"/>
      <c r="B590" s="178"/>
      <c r="C590" s="178"/>
      <c r="D590" s="178"/>
      <c r="E590" s="178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178"/>
      <c r="B591" s="178"/>
      <c r="C591" s="178"/>
      <c r="D591" s="178"/>
      <c r="E591" s="178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178"/>
      <c r="B592" s="178"/>
      <c r="C592" s="178"/>
      <c r="D592" s="178"/>
      <c r="E592" s="178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178"/>
      <c r="B593" s="178"/>
      <c r="C593" s="178"/>
      <c r="D593" s="178"/>
      <c r="E593" s="178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178"/>
      <c r="B594" s="178"/>
      <c r="C594" s="178"/>
      <c r="D594" s="178"/>
      <c r="E594" s="178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178"/>
      <c r="B595" s="178"/>
      <c r="C595" s="178"/>
      <c r="D595" s="178"/>
      <c r="E595" s="178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178"/>
      <c r="B596" s="178"/>
      <c r="C596" s="178"/>
      <c r="D596" s="178"/>
      <c r="E596" s="178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178"/>
      <c r="B597" s="178"/>
      <c r="C597" s="178"/>
      <c r="D597" s="178"/>
      <c r="E597" s="178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178"/>
      <c r="B598" s="178"/>
      <c r="C598" s="178"/>
      <c r="D598" s="178"/>
      <c r="E598" s="178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178"/>
      <c r="B599" s="178"/>
      <c r="C599" s="178"/>
      <c r="D599" s="178"/>
      <c r="E599" s="178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178"/>
      <c r="B600" s="178"/>
      <c r="C600" s="178"/>
      <c r="D600" s="178"/>
      <c r="E600" s="178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178"/>
      <c r="B601" s="178"/>
      <c r="C601" s="178"/>
      <c r="D601" s="178"/>
      <c r="E601" s="178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178"/>
      <c r="B602" s="178"/>
      <c r="C602" s="178"/>
      <c r="D602" s="178"/>
      <c r="E602" s="178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178"/>
      <c r="B603" s="178"/>
      <c r="C603" s="178"/>
      <c r="D603" s="178"/>
      <c r="E603" s="178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178"/>
      <c r="B604" s="178"/>
      <c r="C604" s="178"/>
      <c r="D604" s="178"/>
      <c r="E604" s="178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178"/>
      <c r="B605" s="178"/>
      <c r="C605" s="178"/>
      <c r="D605" s="178"/>
      <c r="E605" s="178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178"/>
      <c r="B606" s="178"/>
      <c r="C606" s="178"/>
      <c r="D606" s="178"/>
      <c r="E606" s="178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178"/>
      <c r="B607" s="178"/>
      <c r="C607" s="178"/>
      <c r="D607" s="178"/>
      <c r="E607" s="178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178"/>
      <c r="B608" s="178"/>
      <c r="C608" s="178"/>
      <c r="D608" s="178"/>
      <c r="E608" s="178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178"/>
      <c r="B609" s="178"/>
      <c r="C609" s="178"/>
      <c r="D609" s="178"/>
      <c r="E609" s="178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178"/>
      <c r="B610" s="178"/>
      <c r="C610" s="178"/>
      <c r="D610" s="178"/>
      <c r="E610" s="178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178"/>
      <c r="B611" s="178"/>
      <c r="C611" s="178"/>
      <c r="D611" s="178"/>
      <c r="E611" s="178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178"/>
      <c r="B612" s="178"/>
      <c r="C612" s="178"/>
      <c r="D612" s="178"/>
      <c r="E612" s="178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178"/>
      <c r="B613" s="178"/>
      <c r="C613" s="178"/>
      <c r="D613" s="178"/>
      <c r="E613" s="178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178"/>
      <c r="B614" s="178"/>
      <c r="C614" s="178"/>
      <c r="D614" s="178"/>
      <c r="E614" s="178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178"/>
      <c r="B615" s="178"/>
      <c r="C615" s="178"/>
      <c r="D615" s="178"/>
      <c r="E615" s="178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178"/>
      <c r="B616" s="178"/>
      <c r="C616" s="178"/>
      <c r="D616" s="178"/>
      <c r="E616" s="178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178"/>
      <c r="B617" s="178"/>
      <c r="C617" s="178"/>
      <c r="D617" s="178"/>
      <c r="E617" s="178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178"/>
      <c r="B618" s="178"/>
      <c r="C618" s="178"/>
      <c r="D618" s="178"/>
      <c r="E618" s="178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178"/>
      <c r="B619" s="178"/>
      <c r="C619" s="178"/>
      <c r="D619" s="178"/>
      <c r="E619" s="178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178"/>
      <c r="B620" s="178"/>
      <c r="C620" s="178"/>
      <c r="D620" s="178"/>
      <c r="E620" s="178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178"/>
      <c r="B621" s="178"/>
      <c r="C621" s="178"/>
      <c r="D621" s="178"/>
      <c r="E621" s="178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178"/>
      <c r="B622" s="178"/>
      <c r="C622" s="178"/>
      <c r="D622" s="178"/>
      <c r="E622" s="178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178"/>
      <c r="B623" s="178"/>
      <c r="C623" s="178"/>
      <c r="D623" s="178"/>
      <c r="E623" s="178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178"/>
      <c r="B624" s="178"/>
      <c r="C624" s="178"/>
      <c r="D624" s="178"/>
      <c r="E624" s="178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178"/>
      <c r="B625" s="178"/>
      <c r="C625" s="178"/>
      <c r="D625" s="178"/>
      <c r="E625" s="178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178"/>
      <c r="B626" s="178"/>
      <c r="C626" s="178"/>
      <c r="D626" s="178"/>
      <c r="E626" s="178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178"/>
      <c r="B627" s="178"/>
      <c r="C627" s="178"/>
      <c r="D627" s="178"/>
      <c r="E627" s="178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178"/>
      <c r="B628" s="178"/>
      <c r="C628" s="178"/>
      <c r="D628" s="178"/>
      <c r="E628" s="178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178"/>
      <c r="B629" s="178"/>
      <c r="C629" s="178"/>
      <c r="D629" s="178"/>
      <c r="E629" s="178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178"/>
      <c r="B630" s="178"/>
      <c r="C630" s="178"/>
      <c r="D630" s="178"/>
      <c r="E630" s="178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178"/>
      <c r="B631" s="178"/>
      <c r="C631" s="178"/>
      <c r="D631" s="178"/>
      <c r="E631" s="178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178"/>
      <c r="B632" s="178"/>
      <c r="C632" s="178"/>
      <c r="D632" s="178"/>
      <c r="E632" s="178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178"/>
      <c r="B633" s="178"/>
      <c r="C633" s="178"/>
      <c r="D633" s="178"/>
      <c r="E633" s="178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178"/>
      <c r="B634" s="178"/>
      <c r="C634" s="178"/>
      <c r="D634" s="178"/>
      <c r="E634" s="178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178"/>
      <c r="B635" s="178"/>
      <c r="C635" s="178"/>
      <c r="D635" s="178"/>
      <c r="E635" s="178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178"/>
      <c r="B636" s="178"/>
      <c r="C636" s="178"/>
      <c r="D636" s="178"/>
      <c r="E636" s="178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178"/>
      <c r="B637" s="178"/>
      <c r="C637" s="178"/>
      <c r="D637" s="178"/>
      <c r="E637" s="178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178"/>
      <c r="B638" s="178"/>
      <c r="C638" s="178"/>
      <c r="D638" s="178"/>
      <c r="E638" s="178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178"/>
      <c r="B639" s="178"/>
      <c r="C639" s="178"/>
      <c r="D639" s="178"/>
      <c r="E639" s="178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178"/>
      <c r="B640" s="178"/>
      <c r="C640" s="178"/>
      <c r="D640" s="178"/>
      <c r="E640" s="178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178"/>
      <c r="B641" s="178"/>
      <c r="C641" s="178"/>
      <c r="D641" s="178"/>
      <c r="E641" s="178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178"/>
      <c r="B642" s="178"/>
      <c r="C642" s="178"/>
      <c r="D642" s="178"/>
      <c r="E642" s="178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178"/>
      <c r="B643" s="178"/>
      <c r="C643" s="178"/>
      <c r="D643" s="178"/>
      <c r="E643" s="178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178"/>
      <c r="B644" s="178"/>
      <c r="C644" s="178"/>
      <c r="D644" s="178"/>
      <c r="E644" s="178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178"/>
      <c r="B645" s="178"/>
      <c r="C645" s="178"/>
      <c r="D645" s="178"/>
      <c r="E645" s="178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178"/>
      <c r="B646" s="178"/>
      <c r="C646" s="178"/>
      <c r="D646" s="178"/>
      <c r="E646" s="178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178"/>
      <c r="B647" s="178"/>
      <c r="C647" s="178"/>
      <c r="D647" s="178"/>
      <c r="E647" s="178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178"/>
      <c r="B648" s="178"/>
      <c r="C648" s="178"/>
      <c r="D648" s="178"/>
      <c r="E648" s="178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178"/>
      <c r="B649" s="178"/>
      <c r="C649" s="178"/>
      <c r="D649" s="178"/>
      <c r="E649" s="178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178"/>
      <c r="B650" s="178"/>
      <c r="C650" s="178"/>
      <c r="D650" s="178"/>
      <c r="E650" s="178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178"/>
      <c r="B651" s="178"/>
      <c r="C651" s="178"/>
      <c r="D651" s="178"/>
      <c r="E651" s="178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178"/>
      <c r="B652" s="178"/>
      <c r="C652" s="178"/>
      <c r="D652" s="178"/>
      <c r="E652" s="178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178"/>
      <c r="B653" s="178"/>
      <c r="C653" s="178"/>
      <c r="D653" s="178"/>
      <c r="E653" s="178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178"/>
      <c r="B654" s="178"/>
      <c r="C654" s="178"/>
      <c r="D654" s="178"/>
      <c r="E654" s="178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178"/>
      <c r="B655" s="178"/>
      <c r="C655" s="178"/>
      <c r="D655" s="178"/>
      <c r="E655" s="178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178"/>
      <c r="B656" s="178"/>
      <c r="C656" s="178"/>
      <c r="D656" s="178"/>
      <c r="E656" s="178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178"/>
      <c r="B657" s="178"/>
      <c r="C657" s="178"/>
      <c r="D657" s="178"/>
      <c r="E657" s="178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178"/>
      <c r="B658" s="178"/>
      <c r="C658" s="178"/>
      <c r="D658" s="178"/>
      <c r="E658" s="178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178"/>
      <c r="B659" s="178"/>
      <c r="C659" s="178"/>
      <c r="D659" s="178"/>
      <c r="E659" s="178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178"/>
      <c r="B660" s="178"/>
      <c r="C660" s="178"/>
      <c r="D660" s="178"/>
      <c r="E660" s="178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178"/>
      <c r="B661" s="178"/>
      <c r="C661" s="178"/>
      <c r="D661" s="178"/>
      <c r="E661" s="178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178"/>
      <c r="B662" s="178"/>
      <c r="C662" s="178"/>
      <c r="D662" s="178"/>
      <c r="E662" s="178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178"/>
      <c r="B663" s="178"/>
      <c r="C663" s="178"/>
      <c r="D663" s="178"/>
      <c r="E663" s="178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178"/>
      <c r="B664" s="178"/>
      <c r="C664" s="178"/>
      <c r="D664" s="178"/>
      <c r="E664" s="178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178"/>
      <c r="B665" s="178"/>
      <c r="C665" s="178"/>
      <c r="D665" s="178"/>
      <c r="E665" s="178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178"/>
      <c r="B666" s="178"/>
      <c r="C666" s="178"/>
      <c r="D666" s="178"/>
      <c r="E666" s="178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178"/>
      <c r="B667" s="178"/>
      <c r="C667" s="178"/>
      <c r="D667" s="178"/>
      <c r="E667" s="178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178"/>
      <c r="B668" s="178"/>
      <c r="C668" s="178"/>
      <c r="D668" s="178"/>
      <c r="E668" s="178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178"/>
      <c r="B669" s="178"/>
      <c r="C669" s="178"/>
      <c r="D669" s="178"/>
      <c r="E669" s="178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178"/>
      <c r="B670" s="178"/>
      <c r="C670" s="178"/>
      <c r="D670" s="178"/>
      <c r="E670" s="178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178"/>
      <c r="B671" s="178"/>
      <c r="C671" s="178"/>
      <c r="D671" s="178"/>
      <c r="E671" s="178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178"/>
      <c r="B672" s="178"/>
      <c r="C672" s="178"/>
      <c r="D672" s="178"/>
      <c r="E672" s="178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178"/>
      <c r="B673" s="178"/>
      <c r="C673" s="178"/>
      <c r="D673" s="178"/>
      <c r="E673" s="178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178"/>
      <c r="B674" s="178"/>
      <c r="C674" s="178"/>
      <c r="D674" s="178"/>
      <c r="E674" s="178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178"/>
      <c r="B675" s="178"/>
      <c r="C675" s="178"/>
      <c r="D675" s="178"/>
      <c r="E675" s="178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178"/>
      <c r="B676" s="178"/>
      <c r="C676" s="178"/>
      <c r="D676" s="178"/>
      <c r="E676" s="178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178"/>
      <c r="B677" s="178"/>
      <c r="C677" s="178"/>
      <c r="D677" s="178"/>
      <c r="E677" s="178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178"/>
      <c r="B678" s="178"/>
      <c r="C678" s="178"/>
      <c r="D678" s="178"/>
      <c r="E678" s="178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178"/>
      <c r="B679" s="178"/>
      <c r="C679" s="178"/>
      <c r="D679" s="178"/>
      <c r="E679" s="178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178"/>
      <c r="B680" s="178"/>
      <c r="C680" s="178"/>
      <c r="D680" s="178"/>
      <c r="E680" s="178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178"/>
      <c r="B681" s="178"/>
      <c r="C681" s="178"/>
      <c r="D681" s="178"/>
      <c r="E681" s="178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178"/>
      <c r="B682" s="178"/>
      <c r="C682" s="178"/>
      <c r="D682" s="178"/>
      <c r="E682" s="178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178"/>
      <c r="B683" s="178"/>
      <c r="C683" s="178"/>
      <c r="D683" s="178"/>
      <c r="E683" s="178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178"/>
      <c r="B684" s="178"/>
      <c r="C684" s="178"/>
      <c r="D684" s="178"/>
      <c r="E684" s="178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178"/>
      <c r="B685" s="178"/>
      <c r="C685" s="178"/>
      <c r="D685" s="178"/>
      <c r="E685" s="178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178"/>
      <c r="B686" s="178"/>
      <c r="C686" s="178"/>
      <c r="D686" s="178"/>
      <c r="E686" s="178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178"/>
      <c r="B687" s="178"/>
      <c r="C687" s="178"/>
      <c r="D687" s="178"/>
      <c r="E687" s="178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178"/>
      <c r="B688" s="178"/>
      <c r="C688" s="178"/>
      <c r="D688" s="178"/>
      <c r="E688" s="178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178"/>
      <c r="B689" s="178"/>
      <c r="C689" s="178"/>
      <c r="D689" s="178"/>
      <c r="E689" s="178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178"/>
      <c r="B690" s="178"/>
      <c r="C690" s="178"/>
      <c r="D690" s="178"/>
      <c r="E690" s="178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178"/>
      <c r="B691" s="178"/>
      <c r="C691" s="178"/>
      <c r="D691" s="178"/>
      <c r="E691" s="178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178"/>
      <c r="B692" s="178"/>
      <c r="C692" s="178"/>
      <c r="D692" s="178"/>
      <c r="E692" s="178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178"/>
      <c r="B693" s="178"/>
      <c r="C693" s="178"/>
      <c r="D693" s="178"/>
      <c r="E693" s="178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178"/>
      <c r="B694" s="178"/>
      <c r="C694" s="178"/>
      <c r="D694" s="178"/>
      <c r="E694" s="178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178"/>
      <c r="B695" s="178"/>
      <c r="C695" s="178"/>
      <c r="D695" s="178"/>
      <c r="E695" s="178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178"/>
      <c r="B696" s="178"/>
      <c r="C696" s="178"/>
      <c r="D696" s="178"/>
      <c r="E696" s="178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178"/>
      <c r="B697" s="178"/>
      <c r="C697" s="178"/>
      <c r="D697" s="178"/>
      <c r="E697" s="178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178"/>
      <c r="B698" s="178"/>
      <c r="C698" s="178"/>
      <c r="D698" s="178"/>
      <c r="E698" s="178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178"/>
      <c r="B699" s="178"/>
      <c r="C699" s="178"/>
      <c r="D699" s="178"/>
      <c r="E699" s="178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178"/>
      <c r="B700" s="178"/>
      <c r="C700" s="178"/>
      <c r="D700" s="178"/>
      <c r="E700" s="178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178"/>
      <c r="B701" s="178"/>
      <c r="C701" s="178"/>
      <c r="D701" s="178"/>
      <c r="E701" s="178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178"/>
      <c r="B702" s="178"/>
      <c r="C702" s="178"/>
      <c r="D702" s="178"/>
      <c r="E702" s="178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178"/>
      <c r="B703" s="178"/>
      <c r="C703" s="178"/>
      <c r="D703" s="178"/>
      <c r="E703" s="178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178"/>
      <c r="B704" s="178"/>
      <c r="C704" s="178"/>
      <c r="D704" s="178"/>
      <c r="E704" s="178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178"/>
      <c r="B705" s="178"/>
      <c r="C705" s="178"/>
      <c r="D705" s="178"/>
      <c r="E705" s="178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178"/>
      <c r="B706" s="178"/>
      <c r="C706" s="178"/>
      <c r="D706" s="178"/>
      <c r="E706" s="178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178"/>
      <c r="B707" s="178"/>
      <c r="C707" s="178"/>
      <c r="D707" s="178"/>
      <c r="E707" s="178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178"/>
      <c r="B708" s="178"/>
      <c r="C708" s="178"/>
      <c r="D708" s="178"/>
      <c r="E708" s="178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178"/>
      <c r="B709" s="178"/>
      <c r="C709" s="178"/>
      <c r="D709" s="178"/>
      <c r="E709" s="178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178"/>
      <c r="B710" s="178"/>
      <c r="C710" s="178"/>
      <c r="D710" s="178"/>
      <c r="E710" s="178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178"/>
      <c r="B711" s="178"/>
      <c r="C711" s="178"/>
      <c r="D711" s="178"/>
      <c r="E711" s="178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178"/>
      <c r="B712" s="178"/>
      <c r="C712" s="178"/>
      <c r="D712" s="178"/>
      <c r="E712" s="178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178"/>
      <c r="B713" s="178"/>
      <c r="C713" s="178"/>
      <c r="D713" s="178"/>
      <c r="E713" s="178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178"/>
      <c r="B714" s="178"/>
      <c r="C714" s="178"/>
      <c r="D714" s="178"/>
      <c r="E714" s="178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178"/>
      <c r="B715" s="178"/>
      <c r="C715" s="178"/>
      <c r="D715" s="178"/>
      <c r="E715" s="178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178"/>
      <c r="B716" s="178"/>
      <c r="C716" s="178"/>
      <c r="D716" s="178"/>
      <c r="E716" s="178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178"/>
      <c r="B717" s="178"/>
      <c r="C717" s="178"/>
      <c r="D717" s="178"/>
      <c r="E717" s="178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178"/>
      <c r="B718" s="178"/>
      <c r="C718" s="178"/>
      <c r="D718" s="178"/>
      <c r="E718" s="178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178"/>
      <c r="B719" s="178"/>
      <c r="C719" s="178"/>
      <c r="D719" s="178"/>
      <c r="E719" s="178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178"/>
      <c r="B720" s="178"/>
      <c r="C720" s="178"/>
      <c r="D720" s="178"/>
      <c r="E720" s="178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178"/>
      <c r="B721" s="178"/>
      <c r="C721" s="178"/>
      <c r="D721" s="178"/>
      <c r="E721" s="178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178"/>
      <c r="B722" s="178"/>
      <c r="C722" s="178"/>
      <c r="D722" s="178"/>
      <c r="E722" s="178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178"/>
      <c r="B723" s="178"/>
      <c r="C723" s="178"/>
      <c r="D723" s="178"/>
      <c r="E723" s="178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178"/>
      <c r="B724" s="178"/>
      <c r="C724" s="178"/>
      <c r="D724" s="178"/>
      <c r="E724" s="178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178"/>
      <c r="B725" s="178"/>
      <c r="C725" s="178"/>
      <c r="D725" s="178"/>
      <c r="E725" s="178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178"/>
      <c r="B726" s="178"/>
      <c r="C726" s="178"/>
      <c r="D726" s="178"/>
      <c r="E726" s="178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178"/>
      <c r="B727" s="178"/>
      <c r="C727" s="178"/>
      <c r="D727" s="178"/>
      <c r="E727" s="178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178"/>
      <c r="B728" s="178"/>
      <c r="C728" s="178"/>
      <c r="D728" s="178"/>
      <c r="E728" s="178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178"/>
      <c r="B729" s="178"/>
      <c r="C729" s="178"/>
      <c r="D729" s="178"/>
      <c r="E729" s="178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178"/>
      <c r="B730" s="178"/>
      <c r="C730" s="178"/>
      <c r="D730" s="178"/>
      <c r="E730" s="178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178"/>
      <c r="B731" s="178"/>
      <c r="C731" s="178"/>
      <c r="D731" s="178"/>
      <c r="E731" s="178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178"/>
      <c r="B732" s="178"/>
      <c r="C732" s="178"/>
      <c r="D732" s="178"/>
      <c r="E732" s="178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178"/>
      <c r="B733" s="178"/>
      <c r="C733" s="178"/>
      <c r="D733" s="178"/>
      <c r="E733" s="178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178"/>
      <c r="B734" s="178"/>
      <c r="C734" s="178"/>
      <c r="D734" s="178"/>
      <c r="E734" s="178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178"/>
      <c r="B735" s="178"/>
      <c r="C735" s="178"/>
      <c r="D735" s="178"/>
      <c r="E735" s="178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178"/>
      <c r="B736" s="178"/>
      <c r="C736" s="178"/>
      <c r="D736" s="178"/>
      <c r="E736" s="178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178"/>
      <c r="B737" s="178"/>
      <c r="C737" s="178"/>
      <c r="D737" s="178"/>
      <c r="E737" s="178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178"/>
      <c r="B738" s="178"/>
      <c r="C738" s="178"/>
      <c r="D738" s="178"/>
      <c r="E738" s="178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178"/>
      <c r="B739" s="178"/>
      <c r="C739" s="178"/>
      <c r="D739" s="178"/>
      <c r="E739" s="178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178"/>
      <c r="B740" s="178"/>
      <c r="C740" s="178"/>
      <c r="D740" s="178"/>
      <c r="E740" s="178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178"/>
      <c r="B741" s="178"/>
      <c r="C741" s="178"/>
      <c r="D741" s="178"/>
      <c r="E741" s="178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178"/>
      <c r="B742" s="178"/>
      <c r="C742" s="178"/>
      <c r="D742" s="178"/>
      <c r="E742" s="178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178"/>
      <c r="B743" s="178"/>
      <c r="C743" s="178"/>
      <c r="D743" s="178"/>
      <c r="E743" s="178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178"/>
      <c r="B744" s="178"/>
      <c r="C744" s="178"/>
      <c r="D744" s="178"/>
      <c r="E744" s="178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178"/>
      <c r="B745" s="178"/>
      <c r="C745" s="178"/>
      <c r="D745" s="178"/>
      <c r="E745" s="178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178"/>
      <c r="B746" s="178"/>
      <c r="C746" s="178"/>
      <c r="D746" s="178"/>
      <c r="E746" s="178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178"/>
      <c r="B747" s="178"/>
      <c r="C747" s="178"/>
      <c r="D747" s="178"/>
      <c r="E747" s="178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178"/>
      <c r="B748" s="178"/>
      <c r="C748" s="178"/>
      <c r="D748" s="178"/>
      <c r="E748" s="178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178"/>
      <c r="B749" s="178"/>
      <c r="C749" s="178"/>
      <c r="D749" s="178"/>
      <c r="E749" s="178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178"/>
      <c r="B750" s="178"/>
      <c r="C750" s="178"/>
      <c r="D750" s="178"/>
      <c r="E750" s="178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178"/>
      <c r="B751" s="178"/>
      <c r="C751" s="178"/>
      <c r="D751" s="178"/>
      <c r="E751" s="178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178"/>
      <c r="B752" s="178"/>
      <c r="C752" s="178"/>
      <c r="D752" s="178"/>
      <c r="E752" s="178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178"/>
      <c r="B753" s="178"/>
      <c r="C753" s="178"/>
      <c r="D753" s="178"/>
      <c r="E753" s="178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178"/>
      <c r="B754" s="178"/>
      <c r="C754" s="178"/>
      <c r="D754" s="178"/>
      <c r="E754" s="178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178"/>
      <c r="B755" s="178"/>
      <c r="C755" s="178"/>
      <c r="D755" s="178"/>
      <c r="E755" s="178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178"/>
      <c r="B756" s="178"/>
      <c r="C756" s="178"/>
      <c r="D756" s="178"/>
      <c r="E756" s="178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178"/>
      <c r="B757" s="178"/>
      <c r="C757" s="178"/>
      <c r="D757" s="178"/>
      <c r="E757" s="178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178"/>
      <c r="B758" s="178"/>
      <c r="C758" s="178"/>
      <c r="D758" s="178"/>
      <c r="E758" s="178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178"/>
      <c r="B759" s="178"/>
      <c r="C759" s="178"/>
      <c r="D759" s="178"/>
      <c r="E759" s="178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178"/>
      <c r="B760" s="178"/>
      <c r="C760" s="178"/>
      <c r="D760" s="178"/>
      <c r="E760" s="178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178"/>
      <c r="B761" s="178"/>
      <c r="C761" s="178"/>
      <c r="D761" s="178"/>
      <c r="E761" s="178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178"/>
      <c r="B762" s="178"/>
      <c r="C762" s="178"/>
      <c r="D762" s="178"/>
      <c r="E762" s="178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178"/>
      <c r="B763" s="178"/>
      <c r="C763" s="178"/>
      <c r="D763" s="178"/>
      <c r="E763" s="178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178"/>
      <c r="B764" s="178"/>
      <c r="C764" s="178"/>
      <c r="D764" s="178"/>
      <c r="E764" s="178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178"/>
      <c r="B765" s="178"/>
      <c r="C765" s="178"/>
      <c r="D765" s="178"/>
      <c r="E765" s="178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178"/>
      <c r="B766" s="178"/>
      <c r="C766" s="178"/>
      <c r="D766" s="178"/>
      <c r="E766" s="178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178"/>
      <c r="B767" s="178"/>
      <c r="C767" s="178"/>
      <c r="D767" s="178"/>
      <c r="E767" s="178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178"/>
      <c r="B768" s="178"/>
      <c r="C768" s="178"/>
      <c r="D768" s="178"/>
      <c r="E768" s="178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178"/>
      <c r="B769" s="178"/>
      <c r="C769" s="178"/>
      <c r="D769" s="178"/>
      <c r="E769" s="178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178"/>
      <c r="B770" s="178"/>
      <c r="C770" s="178"/>
      <c r="D770" s="178"/>
      <c r="E770" s="178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178"/>
      <c r="B771" s="178"/>
      <c r="C771" s="178"/>
      <c r="D771" s="178"/>
      <c r="E771" s="178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178"/>
      <c r="B772" s="178"/>
      <c r="C772" s="178"/>
      <c r="D772" s="178"/>
      <c r="E772" s="178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178"/>
      <c r="B773" s="178"/>
      <c r="C773" s="178"/>
      <c r="D773" s="178"/>
      <c r="E773" s="178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178"/>
      <c r="B774" s="178"/>
      <c r="C774" s="178"/>
      <c r="D774" s="178"/>
      <c r="E774" s="178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178"/>
      <c r="B775" s="178"/>
      <c r="C775" s="178"/>
      <c r="D775" s="178"/>
      <c r="E775" s="178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178"/>
      <c r="B776" s="178"/>
      <c r="C776" s="178"/>
      <c r="D776" s="178"/>
      <c r="E776" s="178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178"/>
      <c r="B777" s="178"/>
      <c r="C777" s="178"/>
      <c r="D777" s="178"/>
      <c r="E777" s="178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178"/>
      <c r="B778" s="178"/>
      <c r="C778" s="178"/>
      <c r="D778" s="178"/>
      <c r="E778" s="178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178"/>
      <c r="B779" s="178"/>
      <c r="C779" s="178"/>
      <c r="D779" s="178"/>
      <c r="E779" s="178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178"/>
      <c r="B780" s="178"/>
      <c r="C780" s="178"/>
      <c r="D780" s="178"/>
      <c r="E780" s="178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178"/>
      <c r="B781" s="178"/>
      <c r="C781" s="178"/>
      <c r="D781" s="178"/>
      <c r="E781" s="178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178"/>
      <c r="B782" s="178"/>
      <c r="C782" s="178"/>
      <c r="D782" s="178"/>
      <c r="E782" s="178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178"/>
      <c r="B783" s="178"/>
      <c r="C783" s="178"/>
      <c r="D783" s="178"/>
      <c r="E783" s="178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178"/>
      <c r="B784" s="178"/>
      <c r="C784" s="178"/>
      <c r="D784" s="178"/>
      <c r="E784" s="178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178"/>
      <c r="B785" s="178"/>
      <c r="C785" s="178"/>
      <c r="D785" s="178"/>
      <c r="E785" s="178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178"/>
      <c r="B786" s="178"/>
      <c r="C786" s="178"/>
      <c r="D786" s="178"/>
      <c r="E786" s="178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178"/>
      <c r="B787" s="178"/>
      <c r="C787" s="178"/>
      <c r="D787" s="178"/>
      <c r="E787" s="178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178"/>
      <c r="B788" s="178"/>
      <c r="C788" s="178"/>
      <c r="D788" s="178"/>
      <c r="E788" s="178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178"/>
      <c r="B789" s="178"/>
      <c r="C789" s="178"/>
      <c r="D789" s="178"/>
      <c r="E789" s="178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178"/>
      <c r="B790" s="178"/>
      <c r="C790" s="178"/>
      <c r="D790" s="178"/>
      <c r="E790" s="178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178"/>
      <c r="B791" s="178"/>
      <c r="C791" s="178"/>
      <c r="D791" s="178"/>
      <c r="E791" s="178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178"/>
      <c r="B792" s="178"/>
      <c r="C792" s="178"/>
      <c r="D792" s="178"/>
      <c r="E792" s="178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178"/>
      <c r="B793" s="178"/>
      <c r="C793" s="178"/>
      <c r="D793" s="178"/>
      <c r="E793" s="178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178"/>
      <c r="B794" s="178"/>
      <c r="C794" s="178"/>
      <c r="D794" s="178"/>
      <c r="E794" s="178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178"/>
      <c r="B795" s="178"/>
      <c r="C795" s="178"/>
      <c r="D795" s="178"/>
      <c r="E795" s="178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178"/>
      <c r="B796" s="178"/>
      <c r="C796" s="178"/>
      <c r="D796" s="178"/>
      <c r="E796" s="178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178"/>
      <c r="B797" s="178"/>
      <c r="C797" s="178"/>
      <c r="D797" s="178"/>
      <c r="E797" s="178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178"/>
      <c r="B798" s="178"/>
      <c r="C798" s="178"/>
      <c r="D798" s="178"/>
      <c r="E798" s="178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178"/>
      <c r="B799" s="178"/>
      <c r="C799" s="178"/>
      <c r="D799" s="178"/>
      <c r="E799" s="178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178"/>
      <c r="B800" s="178"/>
      <c r="C800" s="178"/>
      <c r="D800" s="178"/>
      <c r="E800" s="178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178"/>
      <c r="B801" s="178"/>
      <c r="C801" s="178"/>
      <c r="D801" s="178"/>
      <c r="E801" s="178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178"/>
      <c r="B802" s="178"/>
      <c r="C802" s="178"/>
      <c r="D802" s="178"/>
      <c r="E802" s="178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178"/>
      <c r="B803" s="178"/>
      <c r="C803" s="178"/>
      <c r="D803" s="178"/>
      <c r="E803" s="178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178"/>
      <c r="B804" s="178"/>
      <c r="C804" s="178"/>
      <c r="D804" s="178"/>
      <c r="E804" s="178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178"/>
      <c r="B805" s="178"/>
      <c r="C805" s="178"/>
      <c r="D805" s="178"/>
      <c r="E805" s="178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178"/>
      <c r="B806" s="178"/>
      <c r="C806" s="178"/>
      <c r="D806" s="178"/>
      <c r="E806" s="178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178"/>
      <c r="B807" s="178"/>
      <c r="C807" s="178"/>
      <c r="D807" s="178"/>
      <c r="E807" s="178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178"/>
      <c r="B808" s="178"/>
      <c r="C808" s="178"/>
      <c r="D808" s="178"/>
      <c r="E808" s="178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178"/>
      <c r="B809" s="178"/>
      <c r="C809" s="178"/>
      <c r="D809" s="178"/>
      <c r="E809" s="178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178"/>
      <c r="B810" s="178"/>
      <c r="C810" s="178"/>
      <c r="D810" s="178"/>
      <c r="E810" s="178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178"/>
      <c r="B811" s="178"/>
      <c r="C811" s="178"/>
      <c r="D811" s="178"/>
      <c r="E811" s="178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178"/>
      <c r="B812" s="178"/>
      <c r="C812" s="178"/>
      <c r="D812" s="178"/>
      <c r="E812" s="178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178"/>
      <c r="B813" s="178"/>
      <c r="C813" s="178"/>
      <c r="D813" s="178"/>
      <c r="E813" s="178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178"/>
      <c r="B814" s="178"/>
      <c r="C814" s="178"/>
      <c r="D814" s="178"/>
      <c r="E814" s="178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178"/>
      <c r="B815" s="178"/>
      <c r="C815" s="178"/>
      <c r="D815" s="178"/>
      <c r="E815" s="178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178"/>
      <c r="B816" s="178"/>
      <c r="C816" s="178"/>
      <c r="D816" s="178"/>
      <c r="E816" s="178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178"/>
      <c r="B817" s="178"/>
      <c r="C817" s="178"/>
      <c r="D817" s="178"/>
      <c r="E817" s="178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178"/>
      <c r="B818" s="178"/>
      <c r="C818" s="178"/>
      <c r="D818" s="178"/>
      <c r="E818" s="178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178"/>
      <c r="B819" s="178"/>
      <c r="C819" s="178"/>
      <c r="D819" s="178"/>
      <c r="E819" s="178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178"/>
      <c r="B820" s="178"/>
      <c r="C820" s="178"/>
      <c r="D820" s="178"/>
      <c r="E820" s="178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178"/>
      <c r="B821" s="178"/>
      <c r="C821" s="178"/>
      <c r="D821" s="178"/>
      <c r="E821" s="178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178"/>
      <c r="B822" s="178"/>
      <c r="C822" s="178"/>
      <c r="D822" s="178"/>
      <c r="E822" s="178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178"/>
      <c r="B823" s="178"/>
      <c r="C823" s="178"/>
      <c r="D823" s="178"/>
      <c r="E823" s="178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178"/>
      <c r="B824" s="178"/>
      <c r="C824" s="178"/>
      <c r="D824" s="178"/>
      <c r="E824" s="178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178"/>
      <c r="B825" s="178"/>
      <c r="C825" s="178"/>
      <c r="D825" s="178"/>
      <c r="E825" s="178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178"/>
      <c r="B826" s="178"/>
      <c r="C826" s="178"/>
      <c r="D826" s="178"/>
      <c r="E826" s="178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178"/>
      <c r="B827" s="178"/>
      <c r="C827" s="178"/>
      <c r="D827" s="178"/>
      <c r="E827" s="178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178"/>
      <c r="B828" s="178"/>
      <c r="C828" s="178"/>
      <c r="D828" s="178"/>
      <c r="E828" s="178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178"/>
      <c r="B829" s="178"/>
      <c r="C829" s="178"/>
      <c r="D829" s="178"/>
      <c r="E829" s="178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178"/>
      <c r="B830" s="178"/>
      <c r="C830" s="178"/>
      <c r="D830" s="178"/>
      <c r="E830" s="178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178"/>
      <c r="B831" s="178"/>
      <c r="C831" s="178"/>
      <c r="D831" s="178"/>
      <c r="E831" s="178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178"/>
      <c r="B832" s="178"/>
      <c r="C832" s="178"/>
      <c r="D832" s="178"/>
      <c r="E832" s="178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178"/>
      <c r="B833" s="178"/>
      <c r="C833" s="178"/>
      <c r="D833" s="178"/>
      <c r="E833" s="178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178"/>
      <c r="B834" s="178"/>
      <c r="C834" s="178"/>
      <c r="D834" s="178"/>
      <c r="E834" s="178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178"/>
      <c r="B835" s="178"/>
      <c r="C835" s="178"/>
      <c r="D835" s="178"/>
      <c r="E835" s="178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178"/>
      <c r="B836" s="178"/>
      <c r="C836" s="178"/>
      <c r="D836" s="178"/>
      <c r="E836" s="178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178"/>
      <c r="B837" s="178"/>
      <c r="C837" s="178"/>
      <c r="D837" s="178"/>
      <c r="E837" s="178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178"/>
      <c r="B838" s="178"/>
      <c r="C838" s="178"/>
      <c r="D838" s="178"/>
      <c r="E838" s="178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178"/>
      <c r="B839" s="178"/>
      <c r="C839" s="178"/>
      <c r="D839" s="178"/>
      <c r="E839" s="178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178"/>
      <c r="B840" s="178"/>
      <c r="C840" s="178"/>
      <c r="D840" s="178"/>
      <c r="E840" s="178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178"/>
      <c r="B841" s="178"/>
      <c r="C841" s="178"/>
      <c r="D841" s="178"/>
      <c r="E841" s="178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178"/>
      <c r="B842" s="178"/>
      <c r="C842" s="178"/>
      <c r="D842" s="178"/>
      <c r="E842" s="178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178"/>
      <c r="B843" s="178"/>
      <c r="C843" s="178"/>
      <c r="D843" s="178"/>
      <c r="E843" s="178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178"/>
      <c r="B844" s="178"/>
      <c r="C844" s="178"/>
      <c r="D844" s="178"/>
      <c r="E844" s="178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178"/>
      <c r="B845" s="178"/>
      <c r="C845" s="178"/>
      <c r="D845" s="178"/>
      <c r="E845" s="178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178"/>
      <c r="B846" s="178"/>
      <c r="C846" s="178"/>
      <c r="D846" s="178"/>
      <c r="E846" s="178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178"/>
      <c r="B847" s="178"/>
      <c r="C847" s="178"/>
      <c r="D847" s="178"/>
      <c r="E847" s="178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178"/>
      <c r="B848" s="178"/>
      <c r="C848" s="178"/>
      <c r="D848" s="178"/>
      <c r="E848" s="178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178"/>
      <c r="B849" s="178"/>
      <c r="C849" s="178"/>
      <c r="D849" s="178"/>
      <c r="E849" s="178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178"/>
      <c r="B850" s="178"/>
      <c r="C850" s="178"/>
      <c r="D850" s="178"/>
      <c r="E850" s="178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178"/>
      <c r="B851" s="178"/>
      <c r="C851" s="178"/>
      <c r="D851" s="178"/>
      <c r="E851" s="178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178"/>
      <c r="B852" s="178"/>
      <c r="C852" s="178"/>
      <c r="D852" s="178"/>
      <c r="E852" s="178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178"/>
      <c r="B853" s="178"/>
      <c r="C853" s="178"/>
      <c r="D853" s="178"/>
      <c r="E853" s="178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178"/>
      <c r="B854" s="178"/>
      <c r="C854" s="178"/>
      <c r="D854" s="178"/>
      <c r="E854" s="178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178"/>
      <c r="B855" s="178"/>
      <c r="C855" s="178"/>
      <c r="D855" s="178"/>
      <c r="E855" s="178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178"/>
      <c r="B856" s="178"/>
      <c r="C856" s="178"/>
      <c r="D856" s="178"/>
      <c r="E856" s="178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178"/>
      <c r="B857" s="178"/>
      <c r="C857" s="178"/>
      <c r="D857" s="178"/>
      <c r="E857" s="178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178"/>
      <c r="B858" s="178"/>
      <c r="C858" s="178"/>
      <c r="D858" s="178"/>
      <c r="E858" s="178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178"/>
      <c r="B859" s="178"/>
      <c r="C859" s="178"/>
      <c r="D859" s="178"/>
      <c r="E859" s="178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178"/>
      <c r="B860" s="178"/>
      <c r="C860" s="178"/>
      <c r="D860" s="178"/>
      <c r="E860" s="178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178"/>
      <c r="B861" s="178"/>
      <c r="C861" s="178"/>
      <c r="D861" s="178"/>
      <c r="E861" s="178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178"/>
      <c r="B862" s="178"/>
      <c r="C862" s="178"/>
      <c r="D862" s="178"/>
      <c r="E862" s="178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178"/>
      <c r="B863" s="178"/>
      <c r="C863" s="178"/>
      <c r="D863" s="178"/>
      <c r="E863" s="178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178"/>
      <c r="B864" s="178"/>
      <c r="C864" s="178"/>
      <c r="D864" s="178"/>
      <c r="E864" s="178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178"/>
      <c r="B865" s="178"/>
      <c r="C865" s="178"/>
      <c r="D865" s="178"/>
      <c r="E865" s="178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178"/>
      <c r="B866" s="178"/>
      <c r="C866" s="178"/>
      <c r="D866" s="178"/>
      <c r="E866" s="178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178"/>
      <c r="B867" s="178"/>
      <c r="C867" s="178"/>
      <c r="D867" s="178"/>
      <c r="E867" s="178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178"/>
      <c r="B868" s="178"/>
      <c r="C868" s="178"/>
      <c r="D868" s="178"/>
      <c r="E868" s="178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178"/>
      <c r="B869" s="178"/>
      <c r="C869" s="178"/>
      <c r="D869" s="178"/>
      <c r="E869" s="178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178"/>
      <c r="B870" s="178"/>
      <c r="C870" s="178"/>
      <c r="D870" s="178"/>
      <c r="E870" s="178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178"/>
      <c r="B871" s="178"/>
      <c r="C871" s="178"/>
      <c r="D871" s="178"/>
      <c r="E871" s="178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178"/>
      <c r="B872" s="178"/>
      <c r="C872" s="178"/>
      <c r="D872" s="178"/>
      <c r="E872" s="178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178"/>
      <c r="B873" s="178"/>
      <c r="C873" s="178"/>
      <c r="D873" s="178"/>
      <c r="E873" s="178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178"/>
      <c r="B874" s="178"/>
      <c r="C874" s="178"/>
      <c r="D874" s="178"/>
      <c r="E874" s="178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178"/>
      <c r="B875" s="178"/>
      <c r="C875" s="178"/>
      <c r="D875" s="178"/>
      <c r="E875" s="178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178"/>
      <c r="B876" s="178"/>
      <c r="C876" s="178"/>
      <c r="D876" s="178"/>
      <c r="E876" s="178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178"/>
      <c r="B877" s="178"/>
      <c r="C877" s="178"/>
      <c r="D877" s="178"/>
      <c r="E877" s="178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178"/>
      <c r="B878" s="178"/>
      <c r="C878" s="178"/>
      <c r="D878" s="178"/>
      <c r="E878" s="178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178"/>
      <c r="B879" s="178"/>
      <c r="C879" s="178"/>
      <c r="D879" s="178"/>
      <c r="E879" s="178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178"/>
      <c r="B880" s="178"/>
      <c r="C880" s="178"/>
      <c r="D880" s="178"/>
      <c r="E880" s="178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178"/>
      <c r="B881" s="178"/>
      <c r="C881" s="178"/>
      <c r="D881" s="178"/>
      <c r="E881" s="178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178"/>
      <c r="B882" s="178"/>
      <c r="C882" s="178"/>
      <c r="D882" s="178"/>
      <c r="E882" s="178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178"/>
      <c r="B883" s="178"/>
      <c r="C883" s="178"/>
      <c r="D883" s="178"/>
      <c r="E883" s="178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178"/>
      <c r="B884" s="178"/>
      <c r="C884" s="178"/>
      <c r="D884" s="178"/>
      <c r="E884" s="178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178"/>
      <c r="B885" s="178"/>
      <c r="C885" s="178"/>
      <c r="D885" s="178"/>
      <c r="E885" s="178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178"/>
      <c r="B886" s="178"/>
      <c r="C886" s="178"/>
      <c r="D886" s="178"/>
      <c r="E886" s="178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178"/>
      <c r="B887" s="178"/>
      <c r="C887" s="178"/>
      <c r="D887" s="178"/>
      <c r="E887" s="178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178"/>
      <c r="B888" s="178"/>
      <c r="C888" s="178"/>
      <c r="D888" s="178"/>
      <c r="E888" s="178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178"/>
      <c r="B889" s="178"/>
      <c r="C889" s="178"/>
      <c r="D889" s="178"/>
      <c r="E889" s="178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178"/>
      <c r="B890" s="178"/>
      <c r="C890" s="178"/>
      <c r="D890" s="178"/>
      <c r="E890" s="178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178"/>
      <c r="B891" s="178"/>
      <c r="C891" s="178"/>
      <c r="D891" s="178"/>
      <c r="E891" s="178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178"/>
      <c r="B892" s="178"/>
      <c r="C892" s="178"/>
      <c r="D892" s="178"/>
      <c r="E892" s="178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178"/>
      <c r="B893" s="178"/>
      <c r="C893" s="178"/>
      <c r="D893" s="178"/>
      <c r="E893" s="178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178"/>
      <c r="B894" s="178"/>
      <c r="C894" s="178"/>
      <c r="D894" s="178"/>
      <c r="E894" s="178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178"/>
      <c r="B895" s="178"/>
      <c r="C895" s="178"/>
      <c r="D895" s="178"/>
      <c r="E895" s="178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178"/>
      <c r="B896" s="178"/>
      <c r="C896" s="178"/>
      <c r="D896" s="178"/>
      <c r="E896" s="178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178"/>
      <c r="B897" s="178"/>
      <c r="C897" s="178"/>
      <c r="D897" s="178"/>
      <c r="E897" s="178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178"/>
      <c r="B898" s="178"/>
      <c r="C898" s="178"/>
      <c r="D898" s="178"/>
      <c r="E898" s="178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178"/>
      <c r="B899" s="178"/>
      <c r="C899" s="178"/>
      <c r="D899" s="178"/>
      <c r="E899" s="178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178"/>
      <c r="B900" s="178"/>
      <c r="C900" s="178"/>
      <c r="D900" s="178"/>
      <c r="E900" s="178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178"/>
      <c r="B901" s="178"/>
      <c r="C901" s="178"/>
      <c r="D901" s="178"/>
      <c r="E901" s="178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178"/>
      <c r="B902" s="178"/>
      <c r="C902" s="178"/>
      <c r="D902" s="178"/>
      <c r="E902" s="178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178"/>
      <c r="B903" s="178"/>
      <c r="C903" s="178"/>
      <c r="D903" s="178"/>
      <c r="E903" s="178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178"/>
      <c r="B904" s="178"/>
      <c r="C904" s="178"/>
      <c r="D904" s="178"/>
      <c r="E904" s="178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178"/>
      <c r="B905" s="178"/>
      <c r="C905" s="178"/>
      <c r="D905" s="178"/>
      <c r="E905" s="178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178"/>
      <c r="B906" s="178"/>
      <c r="C906" s="178"/>
      <c r="D906" s="178"/>
      <c r="E906" s="178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178"/>
      <c r="B907" s="178"/>
      <c r="C907" s="178"/>
      <c r="D907" s="178"/>
      <c r="E907" s="178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178"/>
      <c r="B908" s="178"/>
      <c r="C908" s="178"/>
      <c r="D908" s="178"/>
      <c r="E908" s="178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178"/>
      <c r="B909" s="178"/>
      <c r="C909" s="178"/>
      <c r="D909" s="178"/>
      <c r="E909" s="178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178"/>
      <c r="B910" s="178"/>
      <c r="C910" s="178"/>
      <c r="D910" s="178"/>
      <c r="E910" s="178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178"/>
      <c r="B911" s="178"/>
      <c r="C911" s="178"/>
      <c r="D911" s="178"/>
      <c r="E911" s="178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178"/>
      <c r="B912" s="178"/>
      <c r="C912" s="178"/>
      <c r="D912" s="178"/>
      <c r="E912" s="178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178"/>
      <c r="B913" s="178"/>
      <c r="C913" s="178"/>
      <c r="D913" s="178"/>
      <c r="E913" s="178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178"/>
      <c r="B914" s="178"/>
      <c r="C914" s="178"/>
      <c r="D914" s="178"/>
      <c r="E914" s="178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178"/>
      <c r="B915" s="178"/>
      <c r="C915" s="178"/>
      <c r="D915" s="178"/>
      <c r="E915" s="178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178"/>
      <c r="B916" s="178"/>
      <c r="C916" s="178"/>
      <c r="D916" s="178"/>
      <c r="E916" s="178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178"/>
      <c r="B917" s="178"/>
      <c r="C917" s="178"/>
      <c r="D917" s="178"/>
      <c r="E917" s="178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178"/>
      <c r="B918" s="178"/>
      <c r="C918" s="178"/>
      <c r="D918" s="178"/>
      <c r="E918" s="178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178"/>
      <c r="B919" s="178"/>
      <c r="C919" s="178"/>
      <c r="D919" s="178"/>
      <c r="E919" s="178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178"/>
      <c r="B920" s="178"/>
      <c r="C920" s="178"/>
      <c r="D920" s="178"/>
      <c r="E920" s="178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178"/>
      <c r="B921" s="178"/>
      <c r="C921" s="178"/>
      <c r="D921" s="178"/>
      <c r="E921" s="178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178"/>
      <c r="B922" s="178"/>
      <c r="C922" s="178"/>
      <c r="D922" s="178"/>
      <c r="E922" s="178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178"/>
      <c r="B923" s="178"/>
      <c r="C923" s="178"/>
      <c r="D923" s="178"/>
      <c r="E923" s="178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178"/>
      <c r="B924" s="178"/>
      <c r="C924" s="178"/>
      <c r="D924" s="178"/>
      <c r="E924" s="178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178"/>
      <c r="B925" s="178"/>
      <c r="C925" s="178"/>
      <c r="D925" s="178"/>
      <c r="E925" s="178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178"/>
      <c r="B926" s="178"/>
      <c r="C926" s="178"/>
      <c r="D926" s="178"/>
      <c r="E926" s="178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178"/>
      <c r="B927" s="178"/>
      <c r="C927" s="178"/>
      <c r="D927" s="178"/>
      <c r="E927" s="178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178"/>
      <c r="B928" s="178"/>
      <c r="C928" s="178"/>
      <c r="D928" s="178"/>
      <c r="E928" s="178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178"/>
      <c r="B929" s="178"/>
      <c r="C929" s="178"/>
      <c r="D929" s="178"/>
      <c r="E929" s="178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178"/>
      <c r="B930" s="178"/>
      <c r="C930" s="178"/>
      <c r="D930" s="178"/>
      <c r="E930" s="178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178"/>
      <c r="B931" s="178"/>
      <c r="C931" s="178"/>
      <c r="D931" s="178"/>
      <c r="E931" s="178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178"/>
      <c r="B932" s="178"/>
      <c r="C932" s="178"/>
      <c r="D932" s="178"/>
      <c r="E932" s="178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178"/>
      <c r="B933" s="178"/>
      <c r="C933" s="178"/>
      <c r="D933" s="178"/>
      <c r="E933" s="178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178"/>
      <c r="B934" s="178"/>
      <c r="C934" s="178"/>
      <c r="D934" s="178"/>
      <c r="E934" s="178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178"/>
      <c r="B935" s="178"/>
      <c r="C935" s="178"/>
      <c r="D935" s="178"/>
      <c r="E935" s="178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178"/>
      <c r="B936" s="178"/>
      <c r="C936" s="178"/>
      <c r="D936" s="178"/>
      <c r="E936" s="178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178"/>
      <c r="B937" s="178"/>
      <c r="C937" s="178"/>
      <c r="D937" s="178"/>
      <c r="E937" s="178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178"/>
      <c r="B938" s="178"/>
      <c r="C938" s="178"/>
      <c r="D938" s="178"/>
      <c r="E938" s="178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178"/>
      <c r="B939" s="178"/>
      <c r="C939" s="178"/>
      <c r="D939" s="178"/>
      <c r="E939" s="178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178"/>
      <c r="B940" s="178"/>
      <c r="C940" s="178"/>
      <c r="D940" s="178"/>
      <c r="E940" s="178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178"/>
      <c r="B941" s="178"/>
      <c r="C941" s="178"/>
      <c r="D941" s="178"/>
      <c r="E941" s="178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178"/>
      <c r="B942" s="178"/>
      <c r="C942" s="178"/>
      <c r="D942" s="178"/>
      <c r="E942" s="178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178"/>
      <c r="B943" s="178"/>
      <c r="C943" s="178"/>
      <c r="D943" s="178"/>
      <c r="E943" s="178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178"/>
      <c r="B944" s="178"/>
      <c r="C944" s="178"/>
      <c r="D944" s="178"/>
      <c r="E944" s="178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178"/>
      <c r="B945" s="178"/>
      <c r="C945" s="178"/>
      <c r="D945" s="178"/>
      <c r="E945" s="178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178"/>
      <c r="B946" s="178"/>
      <c r="C946" s="178"/>
      <c r="D946" s="178"/>
      <c r="E946" s="178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178"/>
      <c r="B947" s="178"/>
      <c r="C947" s="178"/>
      <c r="D947" s="178"/>
      <c r="E947" s="178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178"/>
      <c r="B948" s="178"/>
      <c r="C948" s="178"/>
      <c r="D948" s="178"/>
      <c r="E948" s="178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178"/>
      <c r="B949" s="178"/>
      <c r="C949" s="178"/>
      <c r="D949" s="178"/>
      <c r="E949" s="178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178"/>
      <c r="B950" s="178"/>
      <c r="C950" s="178"/>
      <c r="D950" s="178"/>
      <c r="E950" s="178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178"/>
      <c r="B951" s="178"/>
      <c r="C951" s="178"/>
      <c r="D951" s="178"/>
      <c r="E951" s="178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178"/>
      <c r="B952" s="178"/>
      <c r="C952" s="178"/>
      <c r="D952" s="178"/>
      <c r="E952" s="178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178"/>
      <c r="B953" s="178"/>
      <c r="C953" s="178"/>
      <c r="D953" s="178"/>
      <c r="E953" s="178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178"/>
      <c r="B954" s="178"/>
      <c r="C954" s="178"/>
      <c r="D954" s="178"/>
      <c r="E954" s="178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178"/>
      <c r="B955" s="178"/>
      <c r="C955" s="178"/>
      <c r="D955" s="178"/>
      <c r="E955" s="178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178"/>
      <c r="B956" s="178"/>
      <c r="C956" s="178"/>
      <c r="D956" s="178"/>
      <c r="E956" s="178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178"/>
      <c r="B957" s="178"/>
      <c r="C957" s="178"/>
      <c r="D957" s="178"/>
      <c r="E957" s="178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178"/>
      <c r="B958" s="178"/>
      <c r="C958" s="178"/>
      <c r="D958" s="178"/>
      <c r="E958" s="178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178"/>
      <c r="B959" s="178"/>
      <c r="C959" s="178"/>
      <c r="D959" s="178"/>
      <c r="E959" s="178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178"/>
      <c r="B960" s="178"/>
      <c r="C960" s="178"/>
      <c r="D960" s="178"/>
      <c r="E960" s="178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178"/>
      <c r="B961" s="178"/>
      <c r="C961" s="178"/>
      <c r="D961" s="178"/>
      <c r="E961" s="178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178"/>
      <c r="B962" s="178"/>
      <c r="C962" s="178"/>
      <c r="D962" s="178"/>
      <c r="E962" s="178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178"/>
      <c r="B963" s="178"/>
      <c r="C963" s="178"/>
      <c r="D963" s="178"/>
      <c r="E963" s="178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178"/>
      <c r="B964" s="178"/>
      <c r="C964" s="178"/>
      <c r="D964" s="178"/>
      <c r="E964" s="178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178"/>
      <c r="B965" s="178"/>
      <c r="C965" s="178"/>
      <c r="D965" s="178"/>
      <c r="E965" s="178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178"/>
      <c r="B966" s="178"/>
      <c r="C966" s="178"/>
      <c r="D966" s="178"/>
      <c r="E966" s="178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178"/>
      <c r="B967" s="178"/>
      <c r="C967" s="178"/>
      <c r="D967" s="178"/>
      <c r="E967" s="178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178"/>
      <c r="B968" s="178"/>
      <c r="C968" s="178"/>
      <c r="D968" s="178"/>
      <c r="E968" s="178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178"/>
      <c r="B969" s="178"/>
      <c r="C969" s="178"/>
      <c r="D969" s="178"/>
      <c r="E969" s="178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178"/>
      <c r="B970" s="178"/>
      <c r="C970" s="178"/>
      <c r="D970" s="178"/>
      <c r="E970" s="178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178"/>
      <c r="B971" s="178"/>
      <c r="C971" s="178"/>
      <c r="D971" s="178"/>
      <c r="E971" s="178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178"/>
      <c r="B972" s="178"/>
      <c r="C972" s="178"/>
      <c r="D972" s="178"/>
      <c r="E972" s="178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178"/>
      <c r="B973" s="178"/>
      <c r="C973" s="178"/>
      <c r="D973" s="178"/>
      <c r="E973" s="178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178"/>
      <c r="B974" s="178"/>
      <c r="C974" s="178"/>
      <c r="D974" s="178"/>
      <c r="E974" s="178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178"/>
      <c r="B975" s="178"/>
      <c r="C975" s="178"/>
      <c r="D975" s="178"/>
      <c r="E975" s="178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178"/>
      <c r="B976" s="178"/>
      <c r="C976" s="178"/>
      <c r="D976" s="178"/>
      <c r="E976" s="178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178"/>
      <c r="B977" s="178"/>
      <c r="C977" s="178"/>
      <c r="D977" s="178"/>
      <c r="E977" s="178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178"/>
      <c r="B978" s="178"/>
      <c r="C978" s="178"/>
      <c r="D978" s="178"/>
      <c r="E978" s="178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178"/>
      <c r="B979" s="178"/>
      <c r="C979" s="178"/>
      <c r="D979" s="178"/>
      <c r="E979" s="178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178"/>
      <c r="B980" s="178"/>
      <c r="C980" s="178"/>
      <c r="D980" s="178"/>
      <c r="E980" s="178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178"/>
      <c r="B981" s="178"/>
      <c r="C981" s="178"/>
      <c r="D981" s="178"/>
      <c r="E981" s="178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178"/>
      <c r="B982" s="178"/>
      <c r="C982" s="178"/>
      <c r="D982" s="178"/>
      <c r="E982" s="178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178"/>
      <c r="B983" s="178"/>
      <c r="C983" s="178"/>
      <c r="D983" s="178"/>
      <c r="E983" s="178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178"/>
      <c r="B984" s="178"/>
      <c r="C984" s="178"/>
      <c r="D984" s="178"/>
      <c r="E984" s="178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178"/>
      <c r="B985" s="178"/>
      <c r="C985" s="178"/>
      <c r="D985" s="178"/>
      <c r="E985" s="178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178"/>
      <c r="B986" s="178"/>
      <c r="C986" s="178"/>
      <c r="D986" s="178"/>
      <c r="E986" s="178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178"/>
      <c r="B987" s="178"/>
      <c r="C987" s="178"/>
      <c r="D987" s="178"/>
      <c r="E987" s="178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178"/>
      <c r="B988" s="178"/>
      <c r="C988" s="178"/>
      <c r="D988" s="178"/>
      <c r="E988" s="178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178"/>
      <c r="B989" s="178"/>
      <c r="C989" s="178"/>
      <c r="D989" s="178"/>
      <c r="E989" s="178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178"/>
      <c r="B990" s="178"/>
      <c r="C990" s="178"/>
      <c r="D990" s="178"/>
      <c r="E990" s="178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178"/>
      <c r="B991" s="178"/>
      <c r="C991" s="178"/>
      <c r="D991" s="178"/>
      <c r="E991" s="178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178"/>
      <c r="B992" s="178"/>
      <c r="C992" s="178"/>
      <c r="D992" s="178"/>
      <c r="E992" s="178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178"/>
      <c r="B993" s="178"/>
      <c r="C993" s="178"/>
      <c r="D993" s="178"/>
      <c r="E993" s="178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</sheetData>
  <mergeCells count="1">
    <mergeCell ref="G8:H8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42.63"/>
    <col customWidth="1" min="3" max="3" width="14.75"/>
    <col customWidth="1" min="4" max="4" width="36.0"/>
    <col customWidth="1" min="5" max="5" width="10.38"/>
    <col customWidth="1" min="7" max="7" width="76.8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178"/>
      <c r="G1" s="80" t="s">
        <v>5</v>
      </c>
      <c r="H1" s="81">
        <f>H4</f>
        <v>26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169" t="s">
        <v>1184</v>
      </c>
      <c r="B2" s="73" t="str">
        <f t="array" ref="B2">IFERROR(XLOOKUP(A2, BASE!E:E, BASE!B:B), "")
</f>
        <v>LM Hub_SP_Atibaia_Ponte_Alta</v>
      </c>
      <c r="C2" s="73" t="str">
        <f t="array" ref="C2">IFERROR(XLOOKUP(A2, BASE!E:E, BASE!C:C), "")
</f>
        <v>HUB-LSP-87</v>
      </c>
      <c r="D2" s="73">
        <f t="array" ref="D2">IFERROR(XLOOKUP(A2, BASE!E:E, BASE!D:D), "")
</f>
        <v>22</v>
      </c>
      <c r="E2" s="168">
        <f t="array" ref="E2">IFERROR(XLOOKUP(A2, BASE!E:E, BASE!H:H), "")
</f>
        <v>46049.27083</v>
      </c>
      <c r="F2" s="178"/>
      <c r="G2" s="82" t="s">
        <v>9</v>
      </c>
      <c r="H2" s="82">
        <f>COUNTIF(C:C,"*LSP*")
</f>
        <v>17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149" t="s">
        <v>1185</v>
      </c>
      <c r="B3" s="73" t="str">
        <f t="array" ref="B3">IFERROR(XLOOKUP(A3, BASE!E:E, BASE!B:B), "")
</f>
        <v>LM Hub_SP_Sorocaba_Região Norte</v>
      </c>
      <c r="C3" s="73" t="str">
        <f t="array" ref="C3">IFERROR(XLOOKUP(A3, BASE!E:E, BASE!C:C), "")
</f>
        <v>HUB-LSP-10</v>
      </c>
      <c r="D3" s="73">
        <f t="array" ref="D3">IFERROR(XLOOKUP(A3, BASE!E:E, BASE!D:D), "")
</f>
        <v>15</v>
      </c>
      <c r="E3" s="168">
        <f t="array" ref="E3">IFERROR(XLOOKUP(A3, BASE!E:E, BASE!H:H), "")
</f>
        <v>46049.27083</v>
      </c>
      <c r="F3" s="178"/>
      <c r="G3" s="82" t="s">
        <v>13</v>
      </c>
      <c r="H3" s="82">
        <f>COUNTIF(C:C,"*SOC*")
</f>
        <v>13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169" t="s">
        <v>1186</v>
      </c>
      <c r="B4" s="73" t="str">
        <f t="array" ref="B4">IFERROR(XLOOKUP(A4, BASE!E:E, BASE!B:B), "")
</f>
        <v>LM Hub_SP_Taubaté</v>
      </c>
      <c r="C4" s="73" t="str">
        <f t="array" ref="C4">IFERROR(XLOOKUP(A4, BASE!E:E, BASE!C:C), "")
</f>
        <v>HUB-LSP-08</v>
      </c>
      <c r="D4" s="73">
        <f t="array" ref="D4">IFERROR(XLOOKUP(A4, BASE!E:E, BASE!D:D), "")
</f>
        <v>46</v>
      </c>
      <c r="E4" s="168">
        <f t="array" ref="E4">IFERROR(XLOOKUP(A4, BASE!E:E, BASE!H:H), "")
</f>
        <v>46049.27083</v>
      </c>
      <c r="F4" s="178"/>
      <c r="G4" s="82" t="s">
        <v>810</v>
      </c>
      <c r="H4" s="198">
        <f>COUNTIFS(D:D,"&gt;=5",D:D,"&lt;=114")</f>
        <v>26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69" t="s">
        <v>1187</v>
      </c>
      <c r="B5" s="73" t="str">
        <f t="array" ref="B5">IFERROR(XLOOKUP(A5, BASE!E:E, BASE!B:B), "")
</f>
        <v>LM Hub_SP_Barueri_01</v>
      </c>
      <c r="C5" s="73" t="str">
        <f t="array" ref="C5">IFERROR(XLOOKUP(A5, BASE!E:E, BASE!C:C), "")
</f>
        <v>HUB-LSP-81</v>
      </c>
      <c r="D5" s="73">
        <f t="array" ref="D5">IFERROR(XLOOKUP(A5, BASE!E:E, BASE!D:D), "")
</f>
        <v>24</v>
      </c>
      <c r="E5" s="168">
        <f t="array" ref="E5">IFERROR(XLOOKUP(A5, BASE!E:E, BASE!H:H), "")
</f>
        <v>46049.29167</v>
      </c>
      <c r="F5" s="178"/>
      <c r="G5" s="82" t="s">
        <v>20</v>
      </c>
      <c r="H5" s="82">
        <f>COUNTIF(D:D,"*NÃO DOCOU*")</f>
        <v>2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169" t="s">
        <v>1188</v>
      </c>
      <c r="B6" s="73" t="str">
        <f t="array" ref="B6">IFERROR(XLOOKUP(A6, BASE!E:E, BASE!B:B), "")
</f>
        <v>LM Hub_SP_Jundiaí</v>
      </c>
      <c r="C6" s="73" t="str">
        <f t="array" ref="C6">IFERROR(XLOOKUP(A6, BASE!E:E, BASE!C:C), "")
</f>
        <v>HUB-LSP-100</v>
      </c>
      <c r="D6" s="73">
        <f t="array" ref="D6">IFERROR(XLOOKUP(A6, BASE!E:E, BASE!D:D), "")
</f>
        <v>16</v>
      </c>
      <c r="E6" s="168">
        <f t="array" ref="E6">IFERROR(XLOOKUP(A6, BASE!E:E, BASE!H:H), "")
</f>
        <v>46049.29167</v>
      </c>
      <c r="F6" s="178"/>
      <c r="G6" s="198" t="s">
        <v>25</v>
      </c>
      <c r="H6" s="199">
        <f>COUNTIF(D:D,"*NÃO CHEGOU*")
</f>
        <v>3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149" t="s">
        <v>1189</v>
      </c>
      <c r="B7" s="73" t="str">
        <f t="array" ref="B7">IFERROR(XLOOKUP(A7, BASE!E:E, BASE!B:B), "")
</f>
        <v>LM Hub_SP_Piracicaba</v>
      </c>
      <c r="C7" s="73" t="str">
        <f t="array" ref="C7">IFERROR(XLOOKUP(A7, BASE!E:E, BASE!C:C), "")
</f>
        <v>HUB-LSP-62</v>
      </c>
      <c r="D7" s="73">
        <f t="array" ref="D7">IFERROR(XLOOKUP(A7, BASE!E:E, BASE!D:D), "")
</f>
        <v>33</v>
      </c>
      <c r="E7" s="168">
        <f t="array" ref="E7">IFERROR(XLOOKUP(A7, BASE!E:E, BASE!H:H), "")
</f>
        <v>46049.29167</v>
      </c>
      <c r="F7" s="178"/>
      <c r="G7" s="82" t="s">
        <v>815</v>
      </c>
      <c r="H7" s="82">
        <f>COUNTIF(D:D,"*DRIVER DUPLICADO*")</f>
        <v>0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169" t="s">
        <v>1190</v>
      </c>
      <c r="B8" s="73" t="str">
        <f t="array" ref="B8">IFERROR(XLOOKUP(A8, BASE!E:E, BASE!B:B), "")
</f>
        <v>LM Hub_SP_Santos_PraiaGrande_02</v>
      </c>
      <c r="C8" s="73" t="str">
        <f t="array" ref="C8">IFERROR(XLOOKUP(A8, BASE!E:E, BASE!C:C), "")
</f>
        <v>HUB-LSP-63</v>
      </c>
      <c r="D8" s="73">
        <f t="array" ref="D8">IFERROR(XLOOKUP(A8, BASE!E:E, BASE!D:D), "")
</f>
        <v>17</v>
      </c>
      <c r="E8" s="168">
        <f t="array" ref="E8">IFERROR(XLOOKUP(A8, BASE!E:E, BASE!H:H), "")
</f>
        <v>46049.29167</v>
      </c>
      <c r="F8" s="178"/>
      <c r="G8" s="18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146" t="s">
        <v>1191</v>
      </c>
      <c r="B9" s="73" t="str">
        <f t="array" ref="B9">IFERROR(XLOOKUP(A9, BASE!E:E, BASE!B:B), "")
</f>
        <v>SoC_RS_Gravataí_02</v>
      </c>
      <c r="C9" s="73" t="str">
        <f t="array" ref="C9">IFERROR(XLOOKUP(A9, BASE!E:E, BASE!C:C), "")
</f>
        <v>SOC-RS2</v>
      </c>
      <c r="D9" s="73">
        <f t="array" ref="D9">IFERROR(XLOOKUP(A9, BASE!E:E, BASE!D:D), "")
</f>
        <v>93</v>
      </c>
      <c r="E9" s="168">
        <f t="array" ref="E9">IFERROR(XLOOKUP(A9, BASE!E:E, BASE!H:H), "")
</f>
        <v>46049.29167</v>
      </c>
      <c r="F9" s="178"/>
      <c r="G9" s="9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169" t="s">
        <v>1192</v>
      </c>
      <c r="B10" s="73" t="str">
        <f t="array" ref="B10">IFERROR(XLOOKUP(A10, BASE!E:E, BASE!B:B), "")
</f>
        <v>LM Hub_SP_Itapevi</v>
      </c>
      <c r="C10" s="73" t="str">
        <f t="array" ref="C10">IFERROR(XLOOKUP(A10, BASE!E:E, BASE!C:C), "")
</f>
        <v>HUB-LSP-41</v>
      </c>
      <c r="D10" s="73">
        <f t="array" ref="D10">IFERROR(XLOOKUP(A10, BASE!E:E, BASE!D:D), "")
</f>
        <v>12</v>
      </c>
      <c r="E10" s="168">
        <f t="array" ref="E10">IFERROR(XLOOKUP(A10, BASE!E:E, BASE!H:H), "")
</f>
        <v>46049.3125</v>
      </c>
      <c r="F10" s="178"/>
      <c r="G10" s="9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169" t="s">
        <v>1193</v>
      </c>
      <c r="B11" s="73" t="str">
        <f t="array" ref="B11">IFERROR(XLOOKUP(A11, BASE!E:E, BASE!B:B), "")
</f>
        <v>LM Hub_SP_São José dos Campos</v>
      </c>
      <c r="C11" s="73" t="str">
        <f t="array" ref="C11">IFERROR(XLOOKUP(A11, BASE!E:E, BASE!C:C), "")
</f>
        <v>HUB-LSP-04</v>
      </c>
      <c r="D11" s="73" t="s">
        <v>25</v>
      </c>
      <c r="E11" s="168">
        <f t="array" ref="E11">IFERROR(XLOOKUP(A11, BASE!E:E, BASE!H:H), "")
</f>
        <v>46049.3125</v>
      </c>
      <c r="F11" s="178"/>
      <c r="G11" s="200"/>
      <c r="H11" s="178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169" t="s">
        <v>1194</v>
      </c>
      <c r="B12" s="73" t="str">
        <f t="array" ref="B12">IFERROR(XLOOKUP(A12, BASE!E:E, BASE!B:B), "")
</f>
        <v>LM Hub_SP_São Paulo_Mooca</v>
      </c>
      <c r="C12" s="73" t="str">
        <f t="array" ref="C12">IFERROR(XLOOKUP(A12, BASE!E:E, BASE!C:C), "")
</f>
        <v>HUB-LSP-13</v>
      </c>
      <c r="D12" s="73" t="s">
        <v>25</v>
      </c>
      <c r="E12" s="168">
        <f t="array" ref="E12">IFERROR(XLOOKUP(A12, BASE!E:E, BASE!H:H), "")
</f>
        <v>46049.3125</v>
      </c>
      <c r="F12" s="178"/>
      <c r="G12" s="200"/>
      <c r="H12" s="178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94" t="s">
        <v>1195</v>
      </c>
      <c r="B13" s="73" t="str">
        <f t="array" ref="B13">IFERROR(XLOOKUP(A13, BASE!E:E, BASE!B:B), "")
</f>
        <v>LM Hub_SP_Várzea Paulista</v>
      </c>
      <c r="C13" s="73" t="str">
        <f t="array" ref="C13">IFERROR(XLOOKUP(A13, BASE!E:E, BASE!C:C), "")
</f>
        <v>HUB-LSP-20</v>
      </c>
      <c r="D13" s="73" t="s">
        <v>25</v>
      </c>
      <c r="E13" s="168">
        <f t="array" ref="E13">IFERROR(XLOOKUP(A13, BASE!E:E, BASE!H:H), "")
</f>
        <v>46049.3125</v>
      </c>
      <c r="F13" s="178"/>
      <c r="G13" s="84" t="s">
        <v>1196</v>
      </c>
      <c r="H13" s="9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94" t="s">
        <v>1197</v>
      </c>
      <c r="B14" s="73" t="str">
        <f t="array" ref="B14">IFERROR(XLOOKUP(A14, BASE!E:E, BASE!B:B), "")
</f>
        <v>LM Hub_SP_Guarujá</v>
      </c>
      <c r="C14" s="73" t="str">
        <f t="array" ref="C14">IFERROR(XLOOKUP(A14, BASE!E:E, BASE!C:C), "")
</f>
        <v>HUB-LSP-06</v>
      </c>
      <c r="D14" s="73">
        <f t="array" ref="D14">IFERROR(XLOOKUP(A14, BASE!E:E, BASE!D:D), "")
</f>
        <v>34</v>
      </c>
      <c r="E14" s="168">
        <f t="array" ref="E14">IFERROR(XLOOKUP(A14, BASE!E:E, BASE!H:H), "")
</f>
        <v>46049.3125</v>
      </c>
      <c r="F14" s="178"/>
      <c r="G14" s="187" t="s">
        <v>653</v>
      </c>
      <c r="H14" s="178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169" t="s">
        <v>1198</v>
      </c>
      <c r="B15" s="73" t="str">
        <f t="array" ref="B15">IFERROR(XLOOKUP(A15, BASE!E:E, BASE!B:B), "")
</f>
        <v>LM Hub_SP_Embu das Artes</v>
      </c>
      <c r="C15" s="73" t="str">
        <f t="array" ref="C15">IFERROR(XLOOKUP(A15, BASE!E:E, BASE!C:C), "")
</f>
        <v>HUB-LSP-36</v>
      </c>
      <c r="D15" s="73">
        <f t="array" ref="D15">IFERROR(XLOOKUP(A15, BASE!E:E, BASE!D:D), "")
</f>
        <v>14</v>
      </c>
      <c r="E15" s="168">
        <f t="array" ref="E15">IFERROR(XLOOKUP(A15, BASE!E:E, BASE!H:H), "")
</f>
        <v>46049.33333</v>
      </c>
      <c r="F15" s="178"/>
      <c r="G15" s="178"/>
      <c r="H15" s="178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146" t="s">
        <v>1199</v>
      </c>
      <c r="B16" s="73" t="str">
        <f t="array" ref="B16">IFERROR(XLOOKUP(A16, BASE!E:E, BASE!B:B), "")
</f>
        <v>LM Hub_SP_São Paulo_Lapa</v>
      </c>
      <c r="C16" s="73" t="str">
        <f t="array" ref="C16">IFERROR(XLOOKUP(A16, BASE!E:E, BASE!C:C), "")
</f>
        <v>HUB-LSP-15</v>
      </c>
      <c r="D16" s="73">
        <f t="array" ref="D16">IFERROR(XLOOKUP(A16, BASE!E:E, BASE!D:D), "")
</f>
        <v>19</v>
      </c>
      <c r="E16" s="168">
        <f t="array" ref="E16">IFERROR(XLOOKUP(A16, BASE!E:E, BASE!H:H), "")
</f>
        <v>46049.33333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146" t="s">
        <v>1200</v>
      </c>
      <c r="B17" s="73" t="str">
        <f t="array" ref="B17">IFERROR(XLOOKUP(A17, BASE!E:E, BASE!B:B), "")
</f>
        <v>LM Hub_SP_Itaqua_Zimba</v>
      </c>
      <c r="C17" s="73" t="str">
        <f t="array" ref="C17">IFERROR(XLOOKUP(A17, BASE!E:E, BASE!C:C), "")
</f>
        <v>HUB-LSP-74</v>
      </c>
      <c r="D17" s="73">
        <f t="array" ref="D17">IFERROR(XLOOKUP(A17, BASE!E:E, BASE!D:D), "")
</f>
        <v>32</v>
      </c>
      <c r="E17" s="168">
        <f t="array" ref="E17">IFERROR(XLOOKUP(A17, BASE!E:E, BASE!H:H), "")
</f>
        <v>46049.33333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94" t="s">
        <v>1201</v>
      </c>
      <c r="B18" s="73" t="str">
        <f t="array" ref="B18">IFERROR(XLOOKUP(A18, BASE!E:E, BASE!B:B), "")
</f>
        <v>LM Hub_SP_Mauá</v>
      </c>
      <c r="C18" s="73" t="str">
        <f t="array" ref="C18">IFERROR(XLOOKUP(A18, BASE!E:E, BASE!C:C), "")
</f>
        <v>HUB-LSP-64</v>
      </c>
      <c r="D18" s="73">
        <f t="array" ref="D18">IFERROR(XLOOKUP(A18, BASE!E:E, BASE!D:D), "")
</f>
        <v>21</v>
      </c>
      <c r="E18" s="168">
        <f t="array" ref="E18">IFERROR(XLOOKUP(A18, BASE!E:E, BASE!H:H), "")
</f>
        <v>46049.35417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169" t="s">
        <v>1202</v>
      </c>
      <c r="B19" s="73" t="str">
        <f t="array" ref="B19">IFERROR(XLOOKUP(A19, BASE!E:E, BASE!B:B), "")
</f>
        <v>LM Hub_SP_Embu das Artes_02</v>
      </c>
      <c r="C19" s="73" t="str">
        <f t="array" ref="C19">IFERROR(XLOOKUP(A19, BASE!E:E, BASE!C:C), "")
</f>
        <v>HUB-LSP-96</v>
      </c>
      <c r="D19" s="73">
        <f t="array" ref="D19">IFERROR(XLOOKUP(A19, BASE!E:E, BASE!D:D), "")
</f>
        <v>27</v>
      </c>
      <c r="E19" s="168">
        <f t="array" ref="E19">IFERROR(XLOOKUP(A19, BASE!E:E, BASE!H:H), "")
</f>
        <v>46049.375</v>
      </c>
      <c r="F19" s="178"/>
      <c r="G19" s="178"/>
      <c r="H19" s="178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94" t="s">
        <v>1203</v>
      </c>
      <c r="B20" s="73" t="str">
        <f t="array" ref="B20">IFERROR(XLOOKUP(A20, BASE!E:E, BASE!B:B), "")
</f>
        <v>SoC_GO_Goiânia_02</v>
      </c>
      <c r="C20" s="73" t="str">
        <f t="array" ref="C20">IFERROR(XLOOKUP(A20, BASE!E:E, BASE!C:C), "")
</f>
        <v>SOC-GO2</v>
      </c>
      <c r="D20" s="73">
        <f t="array" ref="D20">IFERROR(XLOOKUP(A20, BASE!E:E, BASE!D:D), "")
</f>
        <v>87</v>
      </c>
      <c r="E20" s="168">
        <f t="array" ref="E20">IFERROR(XLOOKUP(A20, BASE!E:E, BASE!H:H), "")
</f>
        <v>46049.45833</v>
      </c>
      <c r="F20" s="178"/>
      <c r="G20" s="178"/>
      <c r="H20" s="178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169" t="s">
        <v>1204</v>
      </c>
      <c r="B21" s="73" t="str">
        <f t="array" ref="B21">IFERROR(XLOOKUP(A21, BASE!E:E, BASE!B:B), "")
</f>
        <v>SoC_RJ_Duque de Caxias</v>
      </c>
      <c r="C21" s="73" t="str">
        <f t="array" ref="C21">IFERROR(XLOOKUP(A21, BASE!E:E, BASE!C:C), "")
</f>
        <v>SOC-RJ2</v>
      </c>
      <c r="D21" s="73">
        <f t="array" ref="D21">IFERROR(XLOOKUP(A21, BASE!E:E, BASE!D:D), "")
</f>
        <v>96</v>
      </c>
      <c r="E21" s="168">
        <f t="array" ref="E21">IFERROR(XLOOKUP(A21, BASE!E:E, BASE!H:H), "")
</f>
        <v>46049.45833</v>
      </c>
      <c r="F21" s="178"/>
      <c r="G21" s="178"/>
      <c r="H21" s="178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169" t="s">
        <v>1205</v>
      </c>
      <c r="B22" s="73" t="str">
        <f t="array" ref="B22">IFERROR(XLOOKUP(A22, BASE!E:E, BASE!B:B), "")
</f>
        <v>SoC_SP_Cravinhos</v>
      </c>
      <c r="C22" s="73" t="str">
        <f t="array" ref="C22">IFERROR(XLOOKUP(A22, BASE!E:E, BASE!C:C), "")
</f>
        <v>SOC-SP5</v>
      </c>
      <c r="D22" s="73">
        <f t="array" ref="D22">IFERROR(XLOOKUP(A22, BASE!E:E, BASE!D:D), "")
</f>
        <v>94</v>
      </c>
      <c r="E22" s="168">
        <f t="array" ref="E22">IFERROR(XLOOKUP(A22, BASE!E:E, BASE!H:H), "")
</f>
        <v>46049.45833</v>
      </c>
      <c r="F22" s="178"/>
      <c r="G22" s="178"/>
      <c r="H22" s="178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169" t="s">
        <v>1206</v>
      </c>
      <c r="B23" s="73" t="str">
        <f t="array" ref="B23">IFERROR(XLOOKUP(A23, BASE!E:E, BASE!B:B), "")
</f>
        <v>SoC_SP_Cravinhos</v>
      </c>
      <c r="C23" s="73" t="str">
        <f t="array" ref="C23">IFERROR(XLOOKUP(A23, BASE!E:E, BASE!C:C), "")
</f>
        <v>SOC-SP5</v>
      </c>
      <c r="D23" s="73" t="s">
        <v>167</v>
      </c>
      <c r="E23" s="168">
        <f t="array" ref="E23">IFERROR(XLOOKUP(A23, BASE!E:E, BASE!H:H), "")
</f>
        <v>46049.45833</v>
      </c>
      <c r="F23" s="178"/>
      <c r="G23" s="178"/>
      <c r="H23" s="178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169" t="s">
        <v>1207</v>
      </c>
      <c r="B24" s="73" t="str">
        <f t="array" ref="B24">IFERROR(XLOOKUP(A24, BASE!E:E, BASE!B:B), "")
</f>
        <v>SoC_BA_Simoes Filho</v>
      </c>
      <c r="C24" s="73" t="str">
        <f t="array" ref="C24">IFERROR(XLOOKUP(A24, BASE!E:E, BASE!C:C), "")
</f>
        <v>SOC-BA2</v>
      </c>
      <c r="D24" s="73">
        <f t="array" ref="D24">IFERROR(XLOOKUP(A24, BASE!E:E, BASE!D:D), "")
</f>
        <v>88</v>
      </c>
      <c r="E24" s="168">
        <f t="array" ref="E24">IFERROR(XLOOKUP(A24, BASE!E:E, BASE!H:H), "")
</f>
        <v>46049.45833</v>
      </c>
      <c r="F24" s="178"/>
      <c r="G24" s="178"/>
      <c r="H24" s="178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169" t="s">
        <v>1208</v>
      </c>
      <c r="B25" s="73" t="str">
        <f t="array" ref="B25">IFERROR(XLOOKUP(A25, BASE!E:E, BASE!B:B), "")
</f>
        <v>SoC_GO_Goiânia_02</v>
      </c>
      <c r="C25" s="73" t="str">
        <f t="array" ref="C25">IFERROR(XLOOKUP(A25, BASE!E:E, BASE!C:C), "")
</f>
        <v>SOC-GO2</v>
      </c>
      <c r="D25" s="73">
        <f t="array" ref="D25">IFERROR(XLOOKUP(A25, BASE!E:E, BASE!D:D), "")
</f>
        <v>86</v>
      </c>
      <c r="E25" s="168">
        <f t="array" ref="E25">IFERROR(XLOOKUP(A25, BASE!E:E, BASE!H:H), "")
</f>
        <v>46049.45833</v>
      </c>
      <c r="F25" s="178"/>
      <c r="G25" s="178"/>
      <c r="H25" s="178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146" t="s">
        <v>1209</v>
      </c>
      <c r="B26" s="73" t="str">
        <f t="array" ref="B26">IFERROR(XLOOKUP(A26, BASE!E:E, BASE!B:B), "")
</f>
        <v>SoC_MG_Betim</v>
      </c>
      <c r="C26" s="73" t="str">
        <f t="array" ref="C26">IFERROR(XLOOKUP(A26, BASE!E:E, BASE!C:C), "")
</f>
        <v>SOC-MG2</v>
      </c>
      <c r="D26" s="73">
        <f t="array" ref="D26">IFERROR(XLOOKUP(A26, BASE!E:E, BASE!D:D), "")
</f>
        <v>91</v>
      </c>
      <c r="E26" s="168">
        <f t="array" ref="E26">IFERROR(XLOOKUP(A26, BASE!E:E, BASE!H:H), "")
</f>
        <v>46049.45833</v>
      </c>
      <c r="F26" s="178"/>
      <c r="G26" s="178"/>
      <c r="H26" s="178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119" t="s">
        <v>1210</v>
      </c>
      <c r="B27" s="73" t="str">
        <f t="array" ref="B27">IFERROR(XLOOKUP(A27, BASE!E:E, BASE!B:B), "")
</f>
        <v>SoC_BA_Simoes Filho</v>
      </c>
      <c r="C27" s="73" t="str">
        <f t="array" ref="C27">IFERROR(XLOOKUP(A27, BASE!E:E, BASE!C:C), "")
</f>
        <v>SOC-BA2</v>
      </c>
      <c r="D27" s="73">
        <f t="array" ref="D27">IFERROR(XLOOKUP(A27, BASE!E:E, BASE!D:D), "")
</f>
        <v>89</v>
      </c>
      <c r="E27" s="168">
        <f t="array" ref="E27">IFERROR(XLOOKUP(A27, BASE!E:E, BASE!H:H), "")
</f>
        <v>46049.66667</v>
      </c>
      <c r="F27" s="178"/>
      <c r="G27" s="178"/>
      <c r="H27" s="178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119" t="s">
        <v>1211</v>
      </c>
      <c r="B28" s="73" t="str">
        <f t="array" ref="B28">IFERROR(XLOOKUP(A28, BASE!E:E, BASE!B:B), "")
</f>
        <v>SoC_GO_Goiânia_02</v>
      </c>
      <c r="C28" s="73" t="str">
        <f t="array" ref="C28">IFERROR(XLOOKUP(A28, BASE!E:E, BASE!C:C), "")
</f>
        <v>SOC-GO2</v>
      </c>
      <c r="D28" s="73">
        <f t="array" ref="D28">IFERROR(XLOOKUP(A28, BASE!E:E, BASE!D:D), "")
</f>
        <v>87</v>
      </c>
      <c r="E28" s="168">
        <f t="array" ref="E28">IFERROR(XLOOKUP(A28, BASE!E:E, BASE!H:H), "")
</f>
        <v>46049.66667</v>
      </c>
      <c r="F28" s="178"/>
      <c r="G28" s="178"/>
      <c r="H28" s="178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119" t="s">
        <v>1212</v>
      </c>
      <c r="B29" s="73" t="str">
        <f t="array" ref="B29">IFERROR(XLOOKUP(A29, BASE!E:E, BASE!B:B), "")
</f>
        <v/>
      </c>
      <c r="C29" s="73" t="str">
        <f t="array" ref="C29">IFERROR(XLOOKUP(A29, BASE!E:E, BASE!C:C), "")
</f>
        <v/>
      </c>
      <c r="D29" s="73" t="s">
        <v>167</v>
      </c>
      <c r="E29" s="168" t="str">
        <f t="array" ref="E29">IFERROR(XLOOKUP(A29, BASE!E:E, BASE!H:H), "")
</f>
        <v/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119" t="s">
        <v>1213</v>
      </c>
      <c r="B30" s="73" t="str">
        <f t="array" ref="B30">IFERROR(XLOOKUP(A30, BASE!E:E, BASE!B:B), "")
</f>
        <v>SoC_MG_Betim</v>
      </c>
      <c r="C30" s="73" t="str">
        <f t="array" ref="C30">IFERROR(XLOOKUP(A30, BASE!E:E, BASE!C:C), "")
</f>
        <v>SOC-MG2</v>
      </c>
      <c r="D30" s="73">
        <f t="array" ref="D30">IFERROR(XLOOKUP(A30, BASE!E:E, BASE!D:D), "")
</f>
        <v>90</v>
      </c>
      <c r="E30" s="168">
        <f t="array" ref="E30">IFERROR(XLOOKUP(A30, BASE!E:E, BASE!H:H), "")
</f>
        <v>46049.66667</v>
      </c>
      <c r="F30" s="178"/>
      <c r="G30" s="178"/>
      <c r="H30" s="178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119" t="s">
        <v>1214</v>
      </c>
      <c r="B31" s="73" t="str">
        <f t="array" ref="B31">IFERROR(XLOOKUP(A31, BASE!E:E, BASE!B:B), "")
</f>
        <v>SoC_RS_Gravataí_02</v>
      </c>
      <c r="C31" s="73" t="str">
        <f t="array" ref="C31">IFERROR(XLOOKUP(A31, BASE!E:E, BASE!C:C), "")
</f>
        <v>SOC-RS2</v>
      </c>
      <c r="D31" s="73">
        <f t="array" ref="D31">IFERROR(XLOOKUP(A31, BASE!E:E, BASE!D:D), "")
</f>
        <v>92</v>
      </c>
      <c r="E31" s="168">
        <f t="array" ref="E31">IFERROR(XLOOKUP(A31, BASE!E:E, BASE!H:H), "")
</f>
        <v>46049.66667</v>
      </c>
      <c r="F31" s="178"/>
      <c r="G31" s="178"/>
      <c r="H31" s="178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119" t="s">
        <v>1215</v>
      </c>
      <c r="B32" s="73" t="str">
        <f t="array" ref="B32">IFERROR(XLOOKUP(A32, BASE!E:E, BASE!B:B), "")
</f>
        <v>SoC_PE_Jaboatão dos Guararapes</v>
      </c>
      <c r="C32" s="73" t="str">
        <f t="array" ref="C32">IFERROR(XLOOKUP(A32, BASE!E:E, BASE!C:C), "")
</f>
        <v>SOC-PE2</v>
      </c>
      <c r="D32" s="73">
        <f t="array" ref="D32">IFERROR(XLOOKUP(A32, BASE!E:E, BASE!D:D), "")
</f>
        <v>98</v>
      </c>
      <c r="E32" s="168">
        <f t="array" ref="E32">IFERROR(XLOOKUP(A32, BASE!E:E, BASE!H:H), "")
</f>
        <v>46049.66667</v>
      </c>
      <c r="F32" s="178"/>
      <c r="G32" s="178"/>
      <c r="H32" s="178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130"/>
      <c r="B33" s="131" t="str">
        <f t="array" ref="B33">IFERROR(XLOOKUP(A33, BASE!E:E, BASE!B:B), "")
</f>
        <v/>
      </c>
      <c r="C33" s="131" t="str">
        <f t="array" ref="C33">IFERROR(XLOOKUP(A33, BASE!E:E, BASE!C:C), "")
</f>
        <v/>
      </c>
      <c r="D33" s="131" t="str">
        <f t="array" ref="D33">IFERROR(XLOOKUP(A33, BASE!E:E, BASE!D:D), "")
</f>
        <v/>
      </c>
      <c r="E33" s="221" t="str">
        <f t="array" ref="E33">IFERROR(XLOOKUP(A33, BASE!E:E, BASE!H:H), "")
</f>
        <v/>
      </c>
      <c r="F33" s="178"/>
      <c r="G33" s="178"/>
      <c r="H33" s="178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130"/>
      <c r="B34" s="131" t="str">
        <f t="array" ref="B34">IFERROR(XLOOKUP(A34, BASE!E:E, BASE!B:B), "")
</f>
        <v/>
      </c>
      <c r="C34" s="131" t="str">
        <f t="array" ref="C34">IFERROR(XLOOKUP(A34, BASE!E:E, BASE!C:C), "")
</f>
        <v/>
      </c>
      <c r="D34" s="131" t="str">
        <f t="array" ref="D34">IFERROR(XLOOKUP(A34, BASE!E:E, BASE!D:D), "")
</f>
        <v/>
      </c>
      <c r="E34" s="221" t="str">
        <f t="array" ref="E34">IFERROR(XLOOKUP(A34, BASE!E:E, BASE!H:H), "")
</f>
        <v/>
      </c>
      <c r="F34" s="178"/>
      <c r="G34" s="178"/>
      <c r="H34" s="178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130"/>
      <c r="B35" s="131" t="str">
        <f t="array" ref="B35">IFERROR(XLOOKUP(A35, BASE!E:E, BASE!B:B), "")
</f>
        <v/>
      </c>
      <c r="C35" s="131" t="str">
        <f t="array" ref="C35">IFERROR(XLOOKUP(A35, BASE!E:E, BASE!C:C), "")
</f>
        <v/>
      </c>
      <c r="D35" s="131" t="str">
        <f t="array" ref="D35">IFERROR(XLOOKUP(A35, BASE!E:E, BASE!D:D), "")
</f>
        <v/>
      </c>
      <c r="E35" s="221" t="str">
        <f t="array" ref="E35">IFERROR(XLOOKUP(A35, BASE!E:E, BASE!H:H), "")
</f>
        <v/>
      </c>
      <c r="F35" s="178"/>
      <c r="G35" s="178"/>
      <c r="H35" s="178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130"/>
      <c r="B36" s="131" t="str">
        <f t="array" ref="B36">IFERROR(XLOOKUP(A36, BASE!E:E, BASE!B:B), "")
</f>
        <v/>
      </c>
      <c r="C36" s="131" t="str">
        <f t="array" ref="C36">IFERROR(XLOOKUP(A36, BASE!E:E, BASE!C:C), "")
</f>
        <v/>
      </c>
      <c r="D36" s="131" t="str">
        <f t="array" ref="D36">IFERROR(XLOOKUP(A36, BASE!E:E, BASE!D:D), "")
</f>
        <v/>
      </c>
      <c r="E36" s="221" t="str">
        <f t="array" ref="E36">IFERROR(XLOOKUP(A36, BASE!E:E, BASE!H:H), "")
</f>
        <v/>
      </c>
      <c r="F36" s="178"/>
      <c r="G36" s="178"/>
      <c r="H36" s="178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130"/>
      <c r="B37" s="131" t="str">
        <f t="array" ref="B37">IFERROR(XLOOKUP(A37, BASE!E:E, BASE!B:B), "")
</f>
        <v/>
      </c>
      <c r="C37" s="131" t="str">
        <f t="array" ref="C37">IFERROR(XLOOKUP(A37, BASE!E:E, BASE!C:C), "")
</f>
        <v/>
      </c>
      <c r="D37" s="131" t="str">
        <f t="array" ref="D37">IFERROR(XLOOKUP(A37, BASE!E:E, BASE!D:D), "")
</f>
        <v/>
      </c>
      <c r="E37" s="221" t="str">
        <f t="array" ref="E37">IFERROR(XLOOKUP(A37, BASE!E:E, BASE!H:H), "")
</f>
        <v/>
      </c>
      <c r="F37" s="178"/>
      <c r="G37" s="178"/>
      <c r="H37" s="178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133"/>
      <c r="B38" s="131" t="str">
        <f t="array" ref="B38">IFERROR(XLOOKUP(A38, BASE!E:E, BASE!B:B), "")
</f>
        <v/>
      </c>
      <c r="C38" s="131" t="str">
        <f t="array" ref="C38">IFERROR(XLOOKUP(A38, BASE!E:E, BASE!C:C), "")
</f>
        <v/>
      </c>
      <c r="D38" s="131" t="str">
        <f t="array" ref="D38">IFERROR(XLOOKUP(A38, BASE!E:E, BASE!D:D), "")
</f>
        <v/>
      </c>
      <c r="E38" s="221" t="str">
        <f t="array" ref="E38">IFERROR(XLOOKUP(A38, BASE!E:E, BASE!H:H), "")
</f>
        <v/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133"/>
      <c r="B39" s="131" t="str">
        <f t="array" ref="B39">IFERROR(XLOOKUP(A39, BASE!E:E, BASE!B:B), "")
</f>
        <v/>
      </c>
      <c r="C39" s="131" t="str">
        <f t="array" ref="C39">IFERROR(XLOOKUP(A39, BASE!E:E, BASE!C:C), "")
</f>
        <v/>
      </c>
      <c r="D39" s="131" t="str">
        <f t="array" ref="D39">IFERROR(XLOOKUP(A39, BASE!E:E, BASE!D:D), "")
</f>
        <v/>
      </c>
      <c r="E39" s="221" t="str">
        <f t="array" ref="E39">IFERROR(XLOOKUP(A39, BASE!E:E, BASE!H:H), "")
</f>
        <v/>
      </c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133"/>
      <c r="B40" s="131" t="str">
        <f t="array" ref="B40">IFERROR(XLOOKUP(A40, BASE!E:E, BASE!B:B), "")
</f>
        <v/>
      </c>
      <c r="C40" s="131" t="str">
        <f t="array" ref="C40">IFERROR(XLOOKUP(A40, BASE!E:E, BASE!C:C), "")
</f>
        <v/>
      </c>
      <c r="D40" s="131" t="str">
        <f t="array" ref="D40">IFERROR(XLOOKUP(A40, BASE!E:E, BASE!D:D), "")
</f>
        <v/>
      </c>
      <c r="E40" s="221" t="str">
        <f t="array" ref="E40">IFERROR(XLOOKUP(A40, BASE!E:E, BASE!H:H), "")
</f>
        <v/>
      </c>
      <c r="F40" s="178"/>
      <c r="G40" s="178"/>
      <c r="H40" s="178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133"/>
      <c r="B41" s="131" t="str">
        <f t="array" ref="B41">IFERROR(XLOOKUP(A41, BASE!E:E, BASE!B:B), "")
</f>
        <v/>
      </c>
      <c r="C41" s="131" t="str">
        <f t="array" ref="C41">IFERROR(XLOOKUP(A41, BASE!E:E, BASE!C:C), "")
</f>
        <v/>
      </c>
      <c r="D41" s="131" t="str">
        <f t="array" ref="D41">IFERROR(XLOOKUP(A41, BASE!E:E, BASE!D:D), "")
</f>
        <v/>
      </c>
      <c r="E41" s="221" t="str">
        <f t="array" ref="E41">IFERROR(XLOOKUP(A41, BASE!E:E, BASE!H:H), "")
</f>
        <v/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05"/>
      <c r="B42" s="131" t="str">
        <f t="array" ref="B42">IFERROR(XLOOKUP(A42, BASE!E:E, BASE!B:B), "")
</f>
        <v/>
      </c>
      <c r="C42" s="131" t="str">
        <f t="array" ref="C42">IFERROR(XLOOKUP(A42, BASE!E:E, BASE!C:C), "")
</f>
        <v/>
      </c>
      <c r="D42" s="131" t="str">
        <f t="array" ref="D42">IFERROR(XLOOKUP(A42, BASE!E:E, BASE!D:D), "")
</f>
        <v/>
      </c>
      <c r="E42" s="221" t="str">
        <f t="array" ref="E42">IFERROR(XLOOKUP(A42, BASE!E:E, BASE!H:H), "")
</f>
        <v/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05"/>
      <c r="B43" s="131" t="str">
        <f t="array" ref="B43">IFERROR(XLOOKUP(A43, BASE!E:E, BASE!B:B), "")
</f>
        <v/>
      </c>
      <c r="C43" s="131" t="str">
        <f t="array" ref="C43">IFERROR(XLOOKUP(A43, BASE!E:E, BASE!C:C), "")
</f>
        <v/>
      </c>
      <c r="D43" s="131" t="str">
        <f t="array" ref="D43">IFERROR(XLOOKUP(A43, BASE!E:E, BASE!D:D), "")
</f>
        <v/>
      </c>
      <c r="E43" s="221" t="str">
        <f t="array" ref="E43">IFERROR(XLOOKUP(A43, BASE!E:E, BASE!H:H), "")
</f>
        <v/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05"/>
      <c r="B44" s="131" t="str">
        <f t="array" ref="B44">IFERROR(XLOOKUP(A44, BASE!E:E, BASE!B:B), "")
</f>
        <v/>
      </c>
      <c r="C44" s="131" t="str">
        <f t="array" ref="C44">IFERROR(XLOOKUP(A44, BASE!E:E, BASE!C:C), "")
</f>
        <v/>
      </c>
      <c r="D44" s="131" t="str">
        <f t="array" ref="D44">IFERROR(XLOOKUP(A44, BASE!E:E, BASE!D:D), "")
</f>
        <v/>
      </c>
      <c r="E44" s="221" t="str">
        <f t="array" ref="E44">IFERROR(XLOOKUP(A44, BASE!E:E, BASE!H:H), "")
</f>
        <v/>
      </c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05"/>
      <c r="B45" s="131" t="str">
        <f t="array" ref="B45">IFERROR(XLOOKUP(A45, BASE!E:E, BASE!B:B), "")
</f>
        <v/>
      </c>
      <c r="C45" s="131" t="str">
        <f t="array" ref="C45">IFERROR(XLOOKUP(A45, BASE!E:E, BASE!C:C), "")
</f>
        <v/>
      </c>
      <c r="D45" s="131" t="str">
        <f t="array" ref="D45">IFERROR(XLOOKUP(A45, BASE!E:E, BASE!D:D), "")
</f>
        <v/>
      </c>
      <c r="E45" s="221" t="str">
        <f t="array" ref="E45">IFERROR(XLOOKUP(A45, BASE!E:E, BASE!H:H), "")
</f>
        <v/>
      </c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05"/>
      <c r="B46" s="131" t="str">
        <f t="array" ref="B46">IFERROR(XLOOKUP(A46, BASE!E:E, BASE!B:B), "")
</f>
        <v/>
      </c>
      <c r="C46" s="131" t="str">
        <f t="array" ref="C46">IFERROR(XLOOKUP(A46, BASE!E:E, BASE!C:C), "")
</f>
        <v/>
      </c>
      <c r="D46" s="131" t="str">
        <f t="array" ref="D46">IFERROR(XLOOKUP(A46, BASE!E:E, BASE!D:D), "")
</f>
        <v/>
      </c>
      <c r="E46" s="221" t="str">
        <f t="array" ref="E46">IFERROR(XLOOKUP(A46, BASE!E:E, BASE!H:H), "")
</f>
        <v/>
      </c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05"/>
      <c r="B47" s="178"/>
      <c r="C47" s="178"/>
      <c r="D47" s="178"/>
      <c r="E47" s="178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178"/>
      <c r="B48" s="178"/>
      <c r="C48" s="178"/>
      <c r="D48" s="178"/>
      <c r="E48" s="178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178"/>
      <c r="B49" s="178"/>
      <c r="C49" s="178"/>
      <c r="D49" s="178"/>
      <c r="E49" s="178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178"/>
      <c r="B50" s="178"/>
      <c r="C50" s="178"/>
      <c r="D50" s="178"/>
      <c r="E50" s="178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178"/>
      <c r="B51" s="178"/>
      <c r="C51" s="178"/>
      <c r="D51" s="178"/>
      <c r="E51" s="178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178"/>
      <c r="B52" s="178"/>
      <c r="C52" s="178"/>
      <c r="D52" s="178"/>
      <c r="E52" s="178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178"/>
      <c r="B53" s="178"/>
      <c r="C53" s="178"/>
      <c r="D53" s="178"/>
      <c r="E53" s="178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178"/>
      <c r="B54" s="178"/>
      <c r="C54" s="178"/>
      <c r="D54" s="178"/>
      <c r="E54" s="178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178"/>
      <c r="B55" s="178"/>
      <c r="C55" s="178"/>
      <c r="D55" s="178"/>
      <c r="E55" s="178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178"/>
      <c r="B56" s="178"/>
      <c r="C56" s="178"/>
      <c r="D56" s="178"/>
      <c r="E56" s="178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178"/>
      <c r="B57" s="178"/>
      <c r="C57" s="178"/>
      <c r="D57" s="178"/>
      <c r="E57" s="178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178"/>
      <c r="B58" s="178"/>
      <c r="C58" s="178"/>
      <c r="D58" s="178"/>
      <c r="E58" s="178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178"/>
      <c r="B59" s="178"/>
      <c r="C59" s="178"/>
      <c r="D59" s="178"/>
      <c r="E59" s="178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178"/>
      <c r="B60" s="178"/>
      <c r="C60" s="178"/>
      <c r="D60" s="178"/>
      <c r="E60" s="178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178"/>
      <c r="B61" s="178"/>
      <c r="C61" s="178"/>
      <c r="D61" s="178"/>
      <c r="E61" s="178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178"/>
      <c r="B62" s="178"/>
      <c r="C62" s="178"/>
      <c r="D62" s="178"/>
      <c r="E62" s="178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178"/>
      <c r="B63" s="178"/>
      <c r="C63" s="178"/>
      <c r="D63" s="178"/>
      <c r="E63" s="178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178"/>
      <c r="B64" s="178"/>
      <c r="C64" s="178"/>
      <c r="D64" s="178"/>
      <c r="E64" s="178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178"/>
      <c r="B65" s="178"/>
      <c r="C65" s="178"/>
      <c r="D65" s="178"/>
      <c r="E65" s="178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178"/>
      <c r="B66" s="178"/>
      <c r="C66" s="178"/>
      <c r="D66" s="178"/>
      <c r="E66" s="178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178"/>
      <c r="B67" s="178"/>
      <c r="C67" s="178"/>
      <c r="D67" s="178"/>
      <c r="E67" s="178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178"/>
      <c r="B68" s="178"/>
      <c r="C68" s="178"/>
      <c r="D68" s="178"/>
      <c r="E68" s="178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178"/>
      <c r="B69" s="178"/>
      <c r="C69" s="178"/>
      <c r="D69" s="178"/>
      <c r="E69" s="178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178"/>
      <c r="B70" s="178"/>
      <c r="C70" s="178"/>
      <c r="D70" s="178"/>
      <c r="E70" s="178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178"/>
      <c r="B71" s="178"/>
      <c r="C71" s="178"/>
      <c r="D71" s="178"/>
      <c r="E71" s="178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178"/>
      <c r="B72" s="178"/>
      <c r="C72" s="178"/>
      <c r="D72" s="178"/>
      <c r="E72" s="178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178"/>
      <c r="B73" s="178"/>
      <c r="C73" s="178"/>
      <c r="D73" s="178"/>
      <c r="E73" s="178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178"/>
      <c r="B74" s="178"/>
      <c r="C74" s="178"/>
      <c r="D74" s="178"/>
      <c r="E74" s="178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178"/>
      <c r="B75" s="178"/>
      <c r="C75" s="178"/>
      <c r="D75" s="178"/>
      <c r="E75" s="178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178"/>
      <c r="B76" s="178"/>
      <c r="C76" s="178"/>
      <c r="D76" s="178"/>
      <c r="E76" s="178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178"/>
      <c r="B77" s="178"/>
      <c r="C77" s="178"/>
      <c r="D77" s="178"/>
      <c r="E77" s="178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178"/>
      <c r="B78" s="178"/>
      <c r="C78" s="178"/>
      <c r="D78" s="178"/>
      <c r="E78" s="178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178"/>
      <c r="B79" s="178"/>
      <c r="C79" s="178"/>
      <c r="D79" s="178"/>
      <c r="E79" s="178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178"/>
      <c r="B80" s="178"/>
      <c r="C80" s="178"/>
      <c r="D80" s="178"/>
      <c r="E80" s="178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178"/>
      <c r="B81" s="178"/>
      <c r="C81" s="178"/>
      <c r="D81" s="178"/>
      <c r="E81" s="178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178"/>
      <c r="B82" s="178"/>
      <c r="C82" s="178"/>
      <c r="D82" s="178"/>
      <c r="E82" s="178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178"/>
      <c r="B83" s="178"/>
      <c r="C83" s="178"/>
      <c r="D83" s="178"/>
      <c r="E83" s="178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178"/>
      <c r="B84" s="178"/>
      <c r="C84" s="178"/>
      <c r="D84" s="178"/>
      <c r="E84" s="178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178"/>
      <c r="B85" s="178"/>
      <c r="C85" s="178"/>
      <c r="D85" s="178"/>
      <c r="E85" s="178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178"/>
      <c r="B86" s="178"/>
      <c r="C86" s="178"/>
      <c r="D86" s="178"/>
      <c r="E86" s="178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178"/>
      <c r="B87" s="178"/>
      <c r="C87" s="178"/>
      <c r="D87" s="178"/>
      <c r="E87" s="178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178"/>
      <c r="B88" s="178"/>
      <c r="C88" s="178"/>
      <c r="D88" s="178"/>
      <c r="E88" s="178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178"/>
      <c r="B89" s="178"/>
      <c r="C89" s="178"/>
      <c r="D89" s="178"/>
      <c r="E89" s="178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178"/>
      <c r="B90" s="178"/>
      <c r="C90" s="178"/>
      <c r="D90" s="178"/>
      <c r="E90" s="178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178"/>
      <c r="B91" s="178"/>
      <c r="C91" s="178"/>
      <c r="D91" s="178"/>
      <c r="E91" s="178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178"/>
      <c r="B92" s="178"/>
      <c r="C92" s="178"/>
      <c r="D92" s="178"/>
      <c r="E92" s="178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178"/>
      <c r="B93" s="178"/>
      <c r="C93" s="178"/>
      <c r="D93" s="178"/>
      <c r="E93" s="178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178"/>
      <c r="B94" s="178"/>
      <c r="C94" s="178"/>
      <c r="D94" s="178"/>
      <c r="E94" s="178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178"/>
      <c r="B95" s="178"/>
      <c r="C95" s="178"/>
      <c r="D95" s="178"/>
      <c r="E95" s="178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178"/>
      <c r="B96" s="178"/>
      <c r="C96" s="178"/>
      <c r="D96" s="178"/>
      <c r="E96" s="178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178"/>
      <c r="B97" s="178"/>
      <c r="C97" s="178"/>
      <c r="D97" s="178"/>
      <c r="E97" s="178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178"/>
      <c r="B98" s="178"/>
      <c r="C98" s="178"/>
      <c r="D98" s="178"/>
      <c r="E98" s="178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178"/>
      <c r="B99" s="178"/>
      <c r="C99" s="178"/>
      <c r="D99" s="178"/>
      <c r="E99" s="178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178"/>
      <c r="B100" s="178"/>
      <c r="C100" s="178"/>
      <c r="D100" s="178"/>
      <c r="E100" s="178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178"/>
      <c r="B101" s="178"/>
      <c r="C101" s="178"/>
      <c r="D101" s="178"/>
      <c r="E101" s="178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178"/>
      <c r="B102" s="178"/>
      <c r="C102" s="178"/>
      <c r="D102" s="178"/>
      <c r="E102" s="178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178"/>
      <c r="B103" s="178"/>
      <c r="C103" s="178"/>
      <c r="D103" s="178"/>
      <c r="E103" s="178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178"/>
      <c r="B104" s="178"/>
      <c r="C104" s="178"/>
      <c r="D104" s="178"/>
      <c r="E104" s="178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178"/>
      <c r="B105" s="178"/>
      <c r="C105" s="178"/>
      <c r="D105" s="178"/>
      <c r="E105" s="178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178"/>
      <c r="B106" s="178"/>
      <c r="C106" s="178"/>
      <c r="D106" s="178"/>
      <c r="E106" s="178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178"/>
      <c r="B107" s="178"/>
      <c r="C107" s="178"/>
      <c r="D107" s="178"/>
      <c r="E107" s="178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178"/>
      <c r="B108" s="178"/>
      <c r="C108" s="178"/>
      <c r="D108" s="178"/>
      <c r="E108" s="178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178"/>
      <c r="B109" s="178"/>
      <c r="C109" s="178"/>
      <c r="D109" s="178"/>
      <c r="E109" s="178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178"/>
      <c r="B110" s="178"/>
      <c r="C110" s="178"/>
      <c r="D110" s="178"/>
      <c r="E110" s="178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178"/>
      <c r="B111" s="178"/>
      <c r="C111" s="178"/>
      <c r="D111" s="178"/>
      <c r="E111" s="178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178"/>
      <c r="B112" s="178"/>
      <c r="C112" s="178"/>
      <c r="D112" s="178"/>
      <c r="E112" s="178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178"/>
      <c r="B113" s="178"/>
      <c r="C113" s="178"/>
      <c r="D113" s="178"/>
      <c r="E113" s="178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178"/>
      <c r="B114" s="178"/>
      <c r="C114" s="178"/>
      <c r="D114" s="178"/>
      <c r="E114" s="178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178"/>
      <c r="B115" s="178"/>
      <c r="C115" s="178"/>
      <c r="D115" s="178"/>
      <c r="E115" s="178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178"/>
      <c r="B116" s="178"/>
      <c r="C116" s="178"/>
      <c r="D116" s="178"/>
      <c r="E116" s="178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178"/>
      <c r="B117" s="178"/>
      <c r="C117" s="178"/>
      <c r="D117" s="178"/>
      <c r="E117" s="178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178"/>
      <c r="B118" s="178"/>
      <c r="C118" s="178"/>
      <c r="D118" s="178"/>
      <c r="E118" s="178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178"/>
      <c r="B119" s="178"/>
      <c r="C119" s="178"/>
      <c r="D119" s="178"/>
      <c r="E119" s="178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178"/>
      <c r="B120" s="178"/>
      <c r="C120" s="178"/>
      <c r="D120" s="178"/>
      <c r="E120" s="178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178"/>
      <c r="B121" s="178"/>
      <c r="C121" s="178"/>
      <c r="D121" s="178"/>
      <c r="E121" s="178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178"/>
      <c r="B122" s="178"/>
      <c r="C122" s="178"/>
      <c r="D122" s="178"/>
      <c r="E122" s="178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178"/>
      <c r="B123" s="178"/>
      <c r="C123" s="178"/>
      <c r="D123" s="178"/>
      <c r="E123" s="178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178"/>
      <c r="B124" s="178"/>
      <c r="C124" s="178"/>
      <c r="D124" s="178"/>
      <c r="E124" s="178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178"/>
      <c r="B125" s="178"/>
      <c r="C125" s="178"/>
      <c r="D125" s="178"/>
      <c r="E125" s="178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178"/>
      <c r="B126" s="178"/>
      <c r="C126" s="178"/>
      <c r="D126" s="178"/>
      <c r="E126" s="178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178"/>
      <c r="B127" s="178"/>
      <c r="C127" s="178"/>
      <c r="D127" s="178"/>
      <c r="E127" s="178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178"/>
      <c r="B128" s="178"/>
      <c r="C128" s="178"/>
      <c r="D128" s="178"/>
      <c r="E128" s="178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178"/>
      <c r="B129" s="178"/>
      <c r="C129" s="178"/>
      <c r="D129" s="178"/>
      <c r="E129" s="178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178"/>
      <c r="B130" s="178"/>
      <c r="C130" s="178"/>
      <c r="D130" s="178"/>
      <c r="E130" s="178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178"/>
      <c r="B131" s="178"/>
      <c r="C131" s="178"/>
      <c r="D131" s="178"/>
      <c r="E131" s="178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178"/>
      <c r="B132" s="178"/>
      <c r="C132" s="178"/>
      <c r="D132" s="178"/>
      <c r="E132" s="178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178"/>
      <c r="B133" s="178"/>
      <c r="C133" s="178"/>
      <c r="D133" s="178"/>
      <c r="E133" s="178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178"/>
      <c r="B134" s="178"/>
      <c r="C134" s="178"/>
      <c r="D134" s="178"/>
      <c r="E134" s="178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178"/>
      <c r="B135" s="178"/>
      <c r="C135" s="178"/>
      <c r="D135" s="178"/>
      <c r="E135" s="178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178"/>
      <c r="B136" s="178"/>
      <c r="C136" s="178"/>
      <c r="D136" s="178"/>
      <c r="E136" s="178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178"/>
      <c r="B137" s="178"/>
      <c r="C137" s="178"/>
      <c r="D137" s="178"/>
      <c r="E137" s="178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178"/>
      <c r="B138" s="178"/>
      <c r="C138" s="178"/>
      <c r="D138" s="178"/>
      <c r="E138" s="178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178"/>
      <c r="B139" s="178"/>
      <c r="C139" s="178"/>
      <c r="D139" s="178"/>
      <c r="E139" s="178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178"/>
      <c r="B140" s="178"/>
      <c r="C140" s="178"/>
      <c r="D140" s="178"/>
      <c r="E140" s="178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178"/>
      <c r="B141" s="178"/>
      <c r="C141" s="178"/>
      <c r="D141" s="178"/>
      <c r="E141" s="178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178"/>
      <c r="B142" s="178"/>
      <c r="C142" s="178"/>
      <c r="D142" s="178"/>
      <c r="E142" s="178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178"/>
      <c r="B143" s="178"/>
      <c r="C143" s="178"/>
      <c r="D143" s="178"/>
      <c r="E143" s="178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178"/>
      <c r="B144" s="178"/>
      <c r="C144" s="178"/>
      <c r="D144" s="178"/>
      <c r="E144" s="178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178"/>
      <c r="B145" s="178"/>
      <c r="C145" s="178"/>
      <c r="D145" s="178"/>
      <c r="E145" s="178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178"/>
      <c r="B146" s="178"/>
      <c r="C146" s="178"/>
      <c r="D146" s="178"/>
      <c r="E146" s="178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178"/>
      <c r="B147" s="178"/>
      <c r="C147" s="178"/>
      <c r="D147" s="178"/>
      <c r="E147" s="178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178"/>
      <c r="B148" s="178"/>
      <c r="C148" s="178"/>
      <c r="D148" s="178"/>
      <c r="E148" s="178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178"/>
      <c r="B149" s="178"/>
      <c r="C149" s="178"/>
      <c r="D149" s="178"/>
      <c r="E149" s="178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178"/>
      <c r="B150" s="178"/>
      <c r="C150" s="178"/>
      <c r="D150" s="178"/>
      <c r="E150" s="178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178"/>
      <c r="B151" s="178"/>
      <c r="C151" s="178"/>
      <c r="D151" s="178"/>
      <c r="E151" s="178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178"/>
      <c r="B152" s="178"/>
      <c r="C152" s="178"/>
      <c r="D152" s="178"/>
      <c r="E152" s="178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178"/>
      <c r="B153" s="178"/>
      <c r="C153" s="178"/>
      <c r="D153" s="178"/>
      <c r="E153" s="178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178"/>
      <c r="B154" s="178"/>
      <c r="C154" s="178"/>
      <c r="D154" s="178"/>
      <c r="E154" s="178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178"/>
      <c r="B155" s="178"/>
      <c r="C155" s="178"/>
      <c r="D155" s="178"/>
      <c r="E155" s="178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178"/>
      <c r="B156" s="178"/>
      <c r="C156" s="178"/>
      <c r="D156" s="178"/>
      <c r="E156" s="178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178"/>
      <c r="B157" s="178"/>
      <c r="C157" s="178"/>
      <c r="D157" s="178"/>
      <c r="E157" s="178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178"/>
      <c r="B158" s="178"/>
      <c r="C158" s="178"/>
      <c r="D158" s="178"/>
      <c r="E158" s="178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178"/>
      <c r="B159" s="178"/>
      <c r="C159" s="178"/>
      <c r="D159" s="178"/>
      <c r="E159" s="178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178"/>
      <c r="B160" s="178"/>
      <c r="C160" s="178"/>
      <c r="D160" s="178"/>
      <c r="E160" s="178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178"/>
      <c r="B161" s="178"/>
      <c r="C161" s="178"/>
      <c r="D161" s="178"/>
      <c r="E161" s="178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178"/>
      <c r="B162" s="178"/>
      <c r="C162" s="178"/>
      <c r="D162" s="178"/>
      <c r="E162" s="178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178"/>
      <c r="B163" s="178"/>
      <c r="C163" s="178"/>
      <c r="D163" s="178"/>
      <c r="E163" s="178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178"/>
      <c r="B164" s="178"/>
      <c r="C164" s="178"/>
      <c r="D164" s="178"/>
      <c r="E164" s="178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178"/>
      <c r="B165" s="178"/>
      <c r="C165" s="178"/>
      <c r="D165" s="178"/>
      <c r="E165" s="178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178"/>
      <c r="B166" s="178"/>
      <c r="C166" s="178"/>
      <c r="D166" s="178"/>
      <c r="E166" s="178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178"/>
      <c r="B167" s="178"/>
      <c r="C167" s="178"/>
      <c r="D167" s="178"/>
      <c r="E167" s="178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178"/>
      <c r="B168" s="178"/>
      <c r="C168" s="178"/>
      <c r="D168" s="178"/>
      <c r="E168" s="178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178"/>
      <c r="B169" s="178"/>
      <c r="C169" s="178"/>
      <c r="D169" s="178"/>
      <c r="E169" s="178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178"/>
      <c r="B170" s="178"/>
      <c r="C170" s="178"/>
      <c r="D170" s="178"/>
      <c r="E170" s="178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178"/>
      <c r="B171" s="178"/>
      <c r="C171" s="178"/>
      <c r="D171" s="178"/>
      <c r="E171" s="178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178"/>
      <c r="B172" s="178"/>
      <c r="C172" s="178"/>
      <c r="D172" s="178"/>
      <c r="E172" s="178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178"/>
      <c r="B173" s="178"/>
      <c r="C173" s="178"/>
      <c r="D173" s="178"/>
      <c r="E173" s="178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178"/>
      <c r="B174" s="178"/>
      <c r="C174" s="178"/>
      <c r="D174" s="178"/>
      <c r="E174" s="178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178"/>
      <c r="B175" s="178"/>
      <c r="C175" s="178"/>
      <c r="D175" s="178"/>
      <c r="E175" s="178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178"/>
      <c r="B176" s="178"/>
      <c r="C176" s="178"/>
      <c r="D176" s="178"/>
      <c r="E176" s="178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178"/>
      <c r="B177" s="178"/>
      <c r="C177" s="178"/>
      <c r="D177" s="178"/>
      <c r="E177" s="178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178"/>
      <c r="B178" s="178"/>
      <c r="C178" s="178"/>
      <c r="D178" s="178"/>
      <c r="E178" s="178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178"/>
      <c r="B179" s="178"/>
      <c r="C179" s="178"/>
      <c r="D179" s="178"/>
      <c r="E179" s="178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178"/>
      <c r="B180" s="178"/>
      <c r="C180" s="178"/>
      <c r="D180" s="178"/>
      <c r="E180" s="178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178"/>
      <c r="B181" s="178"/>
      <c r="C181" s="178"/>
      <c r="D181" s="178"/>
      <c r="E181" s="178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178"/>
      <c r="B182" s="178"/>
      <c r="C182" s="178"/>
      <c r="D182" s="178"/>
      <c r="E182" s="178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178"/>
      <c r="B183" s="178"/>
      <c r="C183" s="178"/>
      <c r="D183" s="178"/>
      <c r="E183" s="178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178"/>
      <c r="B184" s="178"/>
      <c r="C184" s="178"/>
      <c r="D184" s="178"/>
      <c r="E184" s="178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178"/>
      <c r="B185" s="178"/>
      <c r="C185" s="178"/>
      <c r="D185" s="178"/>
      <c r="E185" s="178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178"/>
      <c r="B186" s="178"/>
      <c r="C186" s="178"/>
      <c r="D186" s="178"/>
      <c r="E186" s="178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178"/>
      <c r="B187" s="178"/>
      <c r="C187" s="178"/>
      <c r="D187" s="178"/>
      <c r="E187" s="178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178"/>
      <c r="B188" s="178"/>
      <c r="C188" s="178"/>
      <c r="D188" s="178"/>
      <c r="E188" s="178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178"/>
      <c r="B189" s="178"/>
      <c r="C189" s="178"/>
      <c r="D189" s="178"/>
      <c r="E189" s="178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178"/>
      <c r="B190" s="178"/>
      <c r="C190" s="178"/>
      <c r="D190" s="178"/>
      <c r="E190" s="178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178"/>
      <c r="B191" s="178"/>
      <c r="C191" s="178"/>
      <c r="D191" s="178"/>
      <c r="E191" s="178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178"/>
      <c r="B192" s="178"/>
      <c r="C192" s="178"/>
      <c r="D192" s="178"/>
      <c r="E192" s="178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178"/>
      <c r="B193" s="178"/>
      <c r="C193" s="178"/>
      <c r="D193" s="178"/>
      <c r="E193" s="178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178"/>
      <c r="B194" s="178"/>
      <c r="C194" s="178"/>
      <c r="D194" s="178"/>
      <c r="E194" s="178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178"/>
      <c r="B195" s="178"/>
      <c r="C195" s="178"/>
      <c r="D195" s="178"/>
      <c r="E195" s="178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178"/>
      <c r="B196" s="178"/>
      <c r="C196" s="178"/>
      <c r="D196" s="178"/>
      <c r="E196" s="178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178"/>
      <c r="B197" s="178"/>
      <c r="C197" s="178"/>
      <c r="D197" s="178"/>
      <c r="E197" s="178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178"/>
      <c r="B198" s="178"/>
      <c r="C198" s="178"/>
      <c r="D198" s="178"/>
      <c r="E198" s="178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178"/>
      <c r="B199" s="178"/>
      <c r="C199" s="178"/>
      <c r="D199" s="178"/>
      <c r="E199" s="178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178"/>
      <c r="B200" s="178"/>
      <c r="C200" s="178"/>
      <c r="D200" s="178"/>
      <c r="E200" s="178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178"/>
      <c r="B201" s="178"/>
      <c r="C201" s="178"/>
      <c r="D201" s="178"/>
      <c r="E201" s="178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178"/>
      <c r="B202" s="178"/>
      <c r="C202" s="178"/>
      <c r="D202" s="178"/>
      <c r="E202" s="178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178"/>
      <c r="B203" s="178"/>
      <c r="C203" s="178"/>
      <c r="D203" s="178"/>
      <c r="E203" s="178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178"/>
      <c r="B204" s="178"/>
      <c r="C204" s="178"/>
      <c r="D204" s="178"/>
      <c r="E204" s="178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178"/>
      <c r="B205" s="178"/>
      <c r="C205" s="178"/>
      <c r="D205" s="178"/>
      <c r="E205" s="178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178"/>
      <c r="B206" s="178"/>
      <c r="C206" s="178"/>
      <c r="D206" s="178"/>
      <c r="E206" s="178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178"/>
      <c r="B207" s="178"/>
      <c r="C207" s="178"/>
      <c r="D207" s="178"/>
      <c r="E207" s="178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178"/>
      <c r="B208" s="178"/>
      <c r="C208" s="178"/>
      <c r="D208" s="178"/>
      <c r="E208" s="178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178"/>
      <c r="B209" s="178"/>
      <c r="C209" s="178"/>
      <c r="D209" s="178"/>
      <c r="E209" s="178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178"/>
      <c r="B210" s="178"/>
      <c r="C210" s="178"/>
      <c r="D210" s="178"/>
      <c r="E210" s="178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178"/>
      <c r="B211" s="178"/>
      <c r="C211" s="178"/>
      <c r="D211" s="178"/>
      <c r="E211" s="178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178"/>
      <c r="B212" s="178"/>
      <c r="C212" s="178"/>
      <c r="D212" s="178"/>
      <c r="E212" s="178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178"/>
      <c r="B213" s="178"/>
      <c r="C213" s="178"/>
      <c r="D213" s="178"/>
      <c r="E213" s="178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178"/>
      <c r="B214" s="178"/>
      <c r="C214" s="178"/>
      <c r="D214" s="178"/>
      <c r="E214" s="178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178"/>
      <c r="B215" s="178"/>
      <c r="C215" s="178"/>
      <c r="D215" s="178"/>
      <c r="E215" s="178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178"/>
      <c r="B216" s="178"/>
      <c r="C216" s="178"/>
      <c r="D216" s="178"/>
      <c r="E216" s="178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178"/>
      <c r="B217" s="178"/>
      <c r="C217" s="178"/>
      <c r="D217" s="178"/>
      <c r="E217" s="178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178"/>
      <c r="B218" s="178"/>
      <c r="C218" s="178"/>
      <c r="D218" s="178"/>
      <c r="E218" s="178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178"/>
      <c r="B219" s="178"/>
      <c r="C219" s="178"/>
      <c r="D219" s="178"/>
      <c r="E219" s="178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178"/>
      <c r="B220" s="178"/>
      <c r="C220" s="178"/>
      <c r="D220" s="178"/>
      <c r="E220" s="178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178"/>
      <c r="B221" s="178"/>
      <c r="C221" s="178"/>
      <c r="D221" s="178"/>
      <c r="E221" s="178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178"/>
      <c r="B222" s="178"/>
      <c r="C222" s="178"/>
      <c r="D222" s="178"/>
      <c r="E222" s="178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178"/>
      <c r="B223" s="178"/>
      <c r="C223" s="178"/>
      <c r="D223" s="178"/>
      <c r="E223" s="178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178"/>
      <c r="B224" s="178"/>
      <c r="C224" s="178"/>
      <c r="D224" s="178"/>
      <c r="E224" s="178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178"/>
      <c r="B225" s="178"/>
      <c r="C225" s="178"/>
      <c r="D225" s="178"/>
      <c r="E225" s="178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178"/>
      <c r="B226" s="178"/>
      <c r="C226" s="178"/>
      <c r="D226" s="178"/>
      <c r="E226" s="178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178"/>
      <c r="B227" s="178"/>
      <c r="C227" s="178"/>
      <c r="D227" s="178"/>
      <c r="E227" s="178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178"/>
      <c r="B228" s="178"/>
      <c r="C228" s="178"/>
      <c r="D228" s="178"/>
      <c r="E228" s="178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178"/>
      <c r="B229" s="178"/>
      <c r="C229" s="178"/>
      <c r="D229" s="178"/>
      <c r="E229" s="178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178"/>
      <c r="B230" s="178"/>
      <c r="C230" s="178"/>
      <c r="D230" s="178"/>
      <c r="E230" s="178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178"/>
      <c r="B231" s="178"/>
      <c r="C231" s="178"/>
      <c r="D231" s="178"/>
      <c r="E231" s="178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178"/>
      <c r="B232" s="178"/>
      <c r="C232" s="178"/>
      <c r="D232" s="178"/>
      <c r="E232" s="178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178"/>
      <c r="B233" s="178"/>
      <c r="C233" s="178"/>
      <c r="D233" s="178"/>
      <c r="E233" s="178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178"/>
      <c r="B234" s="178"/>
      <c r="C234" s="178"/>
      <c r="D234" s="178"/>
      <c r="E234" s="178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178"/>
      <c r="B235" s="178"/>
      <c r="C235" s="178"/>
      <c r="D235" s="178"/>
      <c r="E235" s="178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178"/>
      <c r="B236" s="178"/>
      <c r="C236" s="178"/>
      <c r="D236" s="178"/>
      <c r="E236" s="178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178"/>
      <c r="B237" s="178"/>
      <c r="C237" s="178"/>
      <c r="D237" s="178"/>
      <c r="E237" s="178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178"/>
      <c r="B238" s="178"/>
      <c r="C238" s="178"/>
      <c r="D238" s="178"/>
      <c r="E238" s="178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178"/>
      <c r="B239" s="178"/>
      <c r="C239" s="178"/>
      <c r="D239" s="178"/>
      <c r="E239" s="178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178"/>
      <c r="B240" s="178"/>
      <c r="C240" s="178"/>
      <c r="D240" s="178"/>
      <c r="E240" s="178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178"/>
      <c r="B241" s="178"/>
      <c r="C241" s="178"/>
      <c r="D241" s="178"/>
      <c r="E241" s="178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178"/>
      <c r="B242" s="178"/>
      <c r="C242" s="178"/>
      <c r="D242" s="178"/>
      <c r="E242" s="178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178"/>
      <c r="B243" s="178"/>
      <c r="C243" s="178"/>
      <c r="D243" s="178"/>
      <c r="E243" s="178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178"/>
      <c r="B244" s="178"/>
      <c r="C244" s="178"/>
      <c r="D244" s="178"/>
      <c r="E244" s="178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178"/>
      <c r="B245" s="178"/>
      <c r="C245" s="178"/>
      <c r="D245" s="178"/>
      <c r="E245" s="178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178"/>
      <c r="B246" s="178"/>
      <c r="C246" s="178"/>
      <c r="D246" s="178"/>
      <c r="E246" s="178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178"/>
      <c r="B247" s="178"/>
      <c r="C247" s="178"/>
      <c r="D247" s="178"/>
      <c r="E247" s="178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178"/>
      <c r="B248" s="178"/>
      <c r="C248" s="178"/>
      <c r="D248" s="178"/>
      <c r="E248" s="178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178"/>
      <c r="B249" s="178"/>
      <c r="C249" s="178"/>
      <c r="D249" s="178"/>
      <c r="E249" s="178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178"/>
      <c r="B250" s="178"/>
      <c r="C250" s="178"/>
      <c r="D250" s="178"/>
      <c r="E250" s="178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178"/>
      <c r="B251" s="178"/>
      <c r="C251" s="178"/>
      <c r="D251" s="178"/>
      <c r="E251" s="178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178"/>
      <c r="B252" s="178"/>
      <c r="C252" s="178"/>
      <c r="D252" s="178"/>
      <c r="E252" s="178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178"/>
      <c r="B253" s="178"/>
      <c r="C253" s="178"/>
      <c r="D253" s="178"/>
      <c r="E253" s="178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178"/>
      <c r="B254" s="178"/>
      <c r="C254" s="178"/>
      <c r="D254" s="178"/>
      <c r="E254" s="178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178"/>
      <c r="B255" s="178"/>
      <c r="C255" s="178"/>
      <c r="D255" s="178"/>
      <c r="E255" s="178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178"/>
      <c r="B256" s="178"/>
      <c r="C256" s="178"/>
      <c r="D256" s="178"/>
      <c r="E256" s="178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178"/>
      <c r="B257" s="178"/>
      <c r="C257" s="178"/>
      <c r="D257" s="178"/>
      <c r="E257" s="178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178"/>
      <c r="B258" s="178"/>
      <c r="C258" s="178"/>
      <c r="D258" s="178"/>
      <c r="E258" s="178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178"/>
      <c r="B259" s="178"/>
      <c r="C259" s="178"/>
      <c r="D259" s="178"/>
      <c r="E259" s="178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178"/>
      <c r="B260" s="178"/>
      <c r="C260" s="178"/>
      <c r="D260" s="178"/>
      <c r="E260" s="178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178"/>
      <c r="B261" s="178"/>
      <c r="C261" s="178"/>
      <c r="D261" s="178"/>
      <c r="E261" s="178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178"/>
      <c r="B262" s="178"/>
      <c r="C262" s="178"/>
      <c r="D262" s="178"/>
      <c r="E262" s="178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178"/>
      <c r="B263" s="178"/>
      <c r="C263" s="178"/>
      <c r="D263" s="178"/>
      <c r="E263" s="178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178"/>
      <c r="B264" s="178"/>
      <c r="C264" s="178"/>
      <c r="D264" s="178"/>
      <c r="E264" s="178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178"/>
      <c r="B265" s="178"/>
      <c r="C265" s="178"/>
      <c r="D265" s="178"/>
      <c r="E265" s="178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178"/>
      <c r="B266" s="178"/>
      <c r="C266" s="178"/>
      <c r="D266" s="178"/>
      <c r="E266" s="178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178"/>
      <c r="B267" s="178"/>
      <c r="C267" s="178"/>
      <c r="D267" s="178"/>
      <c r="E267" s="178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178"/>
      <c r="B268" s="178"/>
      <c r="C268" s="178"/>
      <c r="D268" s="178"/>
      <c r="E268" s="178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178"/>
      <c r="B269" s="178"/>
      <c r="C269" s="178"/>
      <c r="D269" s="178"/>
      <c r="E269" s="178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178"/>
      <c r="B270" s="178"/>
      <c r="C270" s="178"/>
      <c r="D270" s="178"/>
      <c r="E270" s="178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178"/>
      <c r="B271" s="178"/>
      <c r="C271" s="178"/>
      <c r="D271" s="178"/>
      <c r="E271" s="178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178"/>
      <c r="B272" s="178"/>
      <c r="C272" s="178"/>
      <c r="D272" s="178"/>
      <c r="E272" s="178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178"/>
      <c r="B273" s="178"/>
      <c r="C273" s="178"/>
      <c r="D273" s="178"/>
      <c r="E273" s="178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178"/>
      <c r="B274" s="178"/>
      <c r="C274" s="178"/>
      <c r="D274" s="178"/>
      <c r="E274" s="178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178"/>
      <c r="B275" s="178"/>
      <c r="C275" s="178"/>
      <c r="D275" s="178"/>
      <c r="E275" s="178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178"/>
      <c r="B276" s="178"/>
      <c r="C276" s="178"/>
      <c r="D276" s="178"/>
      <c r="E276" s="178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178"/>
      <c r="B277" s="178"/>
      <c r="C277" s="178"/>
      <c r="D277" s="178"/>
      <c r="E277" s="178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178"/>
      <c r="B278" s="178"/>
      <c r="C278" s="178"/>
      <c r="D278" s="178"/>
      <c r="E278" s="178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178"/>
      <c r="B279" s="178"/>
      <c r="C279" s="178"/>
      <c r="D279" s="178"/>
      <c r="E279" s="178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178"/>
      <c r="B280" s="178"/>
      <c r="C280" s="178"/>
      <c r="D280" s="178"/>
      <c r="E280" s="178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178"/>
      <c r="B281" s="178"/>
      <c r="C281" s="178"/>
      <c r="D281" s="178"/>
      <c r="E281" s="178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178"/>
      <c r="B282" s="178"/>
      <c r="C282" s="178"/>
      <c r="D282" s="178"/>
      <c r="E282" s="178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178"/>
      <c r="B283" s="178"/>
      <c r="C283" s="178"/>
      <c r="D283" s="178"/>
      <c r="E283" s="178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178"/>
      <c r="B284" s="178"/>
      <c r="C284" s="178"/>
      <c r="D284" s="178"/>
      <c r="E284" s="178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178"/>
      <c r="B285" s="178"/>
      <c r="C285" s="178"/>
      <c r="D285" s="178"/>
      <c r="E285" s="178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178"/>
      <c r="B286" s="178"/>
      <c r="C286" s="178"/>
      <c r="D286" s="178"/>
      <c r="E286" s="178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178"/>
      <c r="B287" s="178"/>
      <c r="C287" s="178"/>
      <c r="D287" s="178"/>
      <c r="E287" s="178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178"/>
      <c r="B288" s="178"/>
      <c r="C288" s="178"/>
      <c r="D288" s="178"/>
      <c r="E288" s="178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178"/>
      <c r="B289" s="178"/>
      <c r="C289" s="178"/>
      <c r="D289" s="178"/>
      <c r="E289" s="178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178"/>
      <c r="B290" s="178"/>
      <c r="C290" s="178"/>
      <c r="D290" s="178"/>
      <c r="E290" s="178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178"/>
      <c r="B291" s="178"/>
      <c r="C291" s="178"/>
      <c r="D291" s="178"/>
      <c r="E291" s="178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178"/>
      <c r="B292" s="178"/>
      <c r="C292" s="178"/>
      <c r="D292" s="178"/>
      <c r="E292" s="178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178"/>
      <c r="B293" s="178"/>
      <c r="C293" s="178"/>
      <c r="D293" s="178"/>
      <c r="E293" s="178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178"/>
      <c r="B294" s="178"/>
      <c r="C294" s="178"/>
      <c r="D294" s="178"/>
      <c r="E294" s="178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178"/>
      <c r="B295" s="178"/>
      <c r="C295" s="178"/>
      <c r="D295" s="178"/>
      <c r="E295" s="178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178"/>
      <c r="B296" s="178"/>
      <c r="C296" s="178"/>
      <c r="D296" s="178"/>
      <c r="E296" s="178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178"/>
      <c r="B297" s="178"/>
      <c r="C297" s="178"/>
      <c r="D297" s="178"/>
      <c r="E297" s="178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178"/>
      <c r="B298" s="178"/>
      <c r="C298" s="178"/>
      <c r="D298" s="178"/>
      <c r="E298" s="178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178"/>
      <c r="B299" s="178"/>
      <c r="C299" s="178"/>
      <c r="D299" s="178"/>
      <c r="E299" s="178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178"/>
      <c r="B300" s="178"/>
      <c r="C300" s="178"/>
      <c r="D300" s="178"/>
      <c r="E300" s="178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178"/>
      <c r="B301" s="178"/>
      <c r="C301" s="178"/>
      <c r="D301" s="178"/>
      <c r="E301" s="178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178"/>
      <c r="B302" s="178"/>
      <c r="C302" s="178"/>
      <c r="D302" s="178"/>
      <c r="E302" s="178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178"/>
      <c r="B303" s="178"/>
      <c r="C303" s="178"/>
      <c r="D303" s="178"/>
      <c r="E303" s="178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178"/>
      <c r="B304" s="178"/>
      <c r="C304" s="178"/>
      <c r="D304" s="178"/>
      <c r="E304" s="178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178"/>
      <c r="B305" s="178"/>
      <c r="C305" s="178"/>
      <c r="D305" s="178"/>
      <c r="E305" s="178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178"/>
      <c r="B306" s="178"/>
      <c r="C306" s="178"/>
      <c r="D306" s="178"/>
      <c r="E306" s="178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178"/>
      <c r="B307" s="178"/>
      <c r="C307" s="178"/>
      <c r="D307" s="178"/>
      <c r="E307" s="178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178"/>
      <c r="B308" s="178"/>
      <c r="C308" s="178"/>
      <c r="D308" s="178"/>
      <c r="E308" s="178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178"/>
      <c r="B309" s="178"/>
      <c r="C309" s="178"/>
      <c r="D309" s="178"/>
      <c r="E309" s="178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178"/>
      <c r="B310" s="178"/>
      <c r="C310" s="178"/>
      <c r="D310" s="178"/>
      <c r="E310" s="178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178"/>
      <c r="B311" s="178"/>
      <c r="C311" s="178"/>
      <c r="D311" s="178"/>
      <c r="E311" s="178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178"/>
      <c r="B312" s="178"/>
      <c r="C312" s="178"/>
      <c r="D312" s="178"/>
      <c r="E312" s="178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178"/>
      <c r="B313" s="178"/>
      <c r="C313" s="178"/>
      <c r="D313" s="178"/>
      <c r="E313" s="178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178"/>
      <c r="B314" s="178"/>
      <c r="C314" s="178"/>
      <c r="D314" s="178"/>
      <c r="E314" s="178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178"/>
      <c r="B315" s="178"/>
      <c r="C315" s="178"/>
      <c r="D315" s="178"/>
      <c r="E315" s="178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178"/>
      <c r="B316" s="178"/>
      <c r="C316" s="178"/>
      <c r="D316" s="178"/>
      <c r="E316" s="178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178"/>
      <c r="B317" s="178"/>
      <c r="C317" s="178"/>
      <c r="D317" s="178"/>
      <c r="E317" s="178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178"/>
      <c r="B318" s="178"/>
      <c r="C318" s="178"/>
      <c r="D318" s="178"/>
      <c r="E318" s="178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178"/>
      <c r="B319" s="178"/>
      <c r="C319" s="178"/>
      <c r="D319" s="178"/>
      <c r="E319" s="178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178"/>
      <c r="B320" s="178"/>
      <c r="C320" s="178"/>
      <c r="D320" s="178"/>
      <c r="E320" s="178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178"/>
      <c r="B321" s="178"/>
      <c r="C321" s="178"/>
      <c r="D321" s="178"/>
      <c r="E321" s="178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178"/>
      <c r="B322" s="178"/>
      <c r="C322" s="178"/>
      <c r="D322" s="178"/>
      <c r="E322" s="178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178"/>
      <c r="B323" s="178"/>
      <c r="C323" s="178"/>
      <c r="D323" s="178"/>
      <c r="E323" s="178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178"/>
      <c r="B324" s="178"/>
      <c r="C324" s="178"/>
      <c r="D324" s="178"/>
      <c r="E324" s="178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178"/>
      <c r="B325" s="178"/>
      <c r="C325" s="178"/>
      <c r="D325" s="178"/>
      <c r="E325" s="178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178"/>
      <c r="B326" s="178"/>
      <c r="C326" s="178"/>
      <c r="D326" s="178"/>
      <c r="E326" s="178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178"/>
      <c r="B327" s="178"/>
      <c r="C327" s="178"/>
      <c r="D327" s="178"/>
      <c r="E327" s="178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178"/>
      <c r="B328" s="178"/>
      <c r="C328" s="178"/>
      <c r="D328" s="178"/>
      <c r="E328" s="178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178"/>
      <c r="B329" s="178"/>
      <c r="C329" s="178"/>
      <c r="D329" s="178"/>
      <c r="E329" s="178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178"/>
      <c r="B330" s="178"/>
      <c r="C330" s="178"/>
      <c r="D330" s="178"/>
      <c r="E330" s="178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178"/>
      <c r="B331" s="178"/>
      <c r="C331" s="178"/>
      <c r="D331" s="178"/>
      <c r="E331" s="178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178"/>
      <c r="B332" s="178"/>
      <c r="C332" s="178"/>
      <c r="D332" s="178"/>
      <c r="E332" s="178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178"/>
      <c r="B333" s="178"/>
      <c r="C333" s="178"/>
      <c r="D333" s="178"/>
      <c r="E333" s="178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178"/>
      <c r="B334" s="178"/>
      <c r="C334" s="178"/>
      <c r="D334" s="178"/>
      <c r="E334" s="178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178"/>
      <c r="B335" s="178"/>
      <c r="C335" s="178"/>
      <c r="D335" s="178"/>
      <c r="E335" s="178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178"/>
      <c r="B336" s="178"/>
      <c r="C336" s="178"/>
      <c r="D336" s="178"/>
      <c r="E336" s="178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178"/>
      <c r="B337" s="178"/>
      <c r="C337" s="178"/>
      <c r="D337" s="178"/>
      <c r="E337" s="178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178"/>
      <c r="B338" s="178"/>
      <c r="C338" s="178"/>
      <c r="D338" s="178"/>
      <c r="E338" s="178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178"/>
      <c r="B339" s="178"/>
      <c r="C339" s="178"/>
      <c r="D339" s="178"/>
      <c r="E339" s="178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178"/>
      <c r="B340" s="178"/>
      <c r="C340" s="178"/>
      <c r="D340" s="178"/>
      <c r="E340" s="178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178"/>
      <c r="B341" s="178"/>
      <c r="C341" s="178"/>
      <c r="D341" s="178"/>
      <c r="E341" s="178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178"/>
      <c r="B342" s="178"/>
      <c r="C342" s="178"/>
      <c r="D342" s="178"/>
      <c r="E342" s="178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178"/>
      <c r="B343" s="178"/>
      <c r="C343" s="178"/>
      <c r="D343" s="178"/>
      <c r="E343" s="178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178"/>
      <c r="B344" s="178"/>
      <c r="C344" s="178"/>
      <c r="D344" s="178"/>
      <c r="E344" s="178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178"/>
      <c r="B345" s="178"/>
      <c r="C345" s="178"/>
      <c r="D345" s="178"/>
      <c r="E345" s="178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178"/>
      <c r="B346" s="178"/>
      <c r="C346" s="178"/>
      <c r="D346" s="178"/>
      <c r="E346" s="178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178"/>
      <c r="B347" s="178"/>
      <c r="C347" s="178"/>
      <c r="D347" s="178"/>
      <c r="E347" s="178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178"/>
      <c r="B348" s="178"/>
      <c r="C348" s="178"/>
      <c r="D348" s="178"/>
      <c r="E348" s="178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178"/>
      <c r="B349" s="178"/>
      <c r="C349" s="178"/>
      <c r="D349" s="178"/>
      <c r="E349" s="178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178"/>
      <c r="B350" s="178"/>
      <c r="C350" s="178"/>
      <c r="D350" s="178"/>
      <c r="E350" s="178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178"/>
      <c r="B351" s="178"/>
      <c r="C351" s="178"/>
      <c r="D351" s="178"/>
      <c r="E351" s="178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178"/>
      <c r="B352" s="178"/>
      <c r="C352" s="178"/>
      <c r="D352" s="178"/>
      <c r="E352" s="178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178"/>
      <c r="B353" s="178"/>
      <c r="C353" s="178"/>
      <c r="D353" s="178"/>
      <c r="E353" s="178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178"/>
      <c r="B354" s="178"/>
      <c r="C354" s="178"/>
      <c r="D354" s="178"/>
      <c r="E354" s="178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178"/>
      <c r="B355" s="178"/>
      <c r="C355" s="178"/>
      <c r="D355" s="178"/>
      <c r="E355" s="178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178"/>
      <c r="B356" s="178"/>
      <c r="C356" s="178"/>
      <c r="D356" s="178"/>
      <c r="E356" s="178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178"/>
      <c r="B357" s="178"/>
      <c r="C357" s="178"/>
      <c r="D357" s="178"/>
      <c r="E357" s="178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178"/>
      <c r="B358" s="178"/>
      <c r="C358" s="178"/>
      <c r="D358" s="178"/>
      <c r="E358" s="178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178"/>
      <c r="B359" s="178"/>
      <c r="C359" s="178"/>
      <c r="D359" s="178"/>
      <c r="E359" s="178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178"/>
      <c r="B360" s="178"/>
      <c r="C360" s="178"/>
      <c r="D360" s="178"/>
      <c r="E360" s="178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178"/>
      <c r="B361" s="178"/>
      <c r="C361" s="178"/>
      <c r="D361" s="178"/>
      <c r="E361" s="178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178"/>
      <c r="B362" s="178"/>
      <c r="C362" s="178"/>
      <c r="D362" s="178"/>
      <c r="E362" s="178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178"/>
      <c r="B363" s="178"/>
      <c r="C363" s="178"/>
      <c r="D363" s="178"/>
      <c r="E363" s="178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178"/>
      <c r="B364" s="178"/>
      <c r="C364" s="178"/>
      <c r="D364" s="178"/>
      <c r="E364" s="178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178"/>
      <c r="B365" s="178"/>
      <c r="C365" s="178"/>
      <c r="D365" s="178"/>
      <c r="E365" s="178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178"/>
      <c r="B366" s="178"/>
      <c r="C366" s="178"/>
      <c r="D366" s="178"/>
      <c r="E366" s="178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178"/>
      <c r="B367" s="178"/>
      <c r="C367" s="178"/>
      <c r="D367" s="178"/>
      <c r="E367" s="178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178"/>
      <c r="B368" s="178"/>
      <c r="C368" s="178"/>
      <c r="D368" s="178"/>
      <c r="E368" s="178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178"/>
      <c r="B369" s="178"/>
      <c r="C369" s="178"/>
      <c r="D369" s="178"/>
      <c r="E369" s="178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178"/>
      <c r="B370" s="178"/>
      <c r="C370" s="178"/>
      <c r="D370" s="178"/>
      <c r="E370" s="178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178"/>
      <c r="B371" s="178"/>
      <c r="C371" s="178"/>
      <c r="D371" s="178"/>
      <c r="E371" s="178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178"/>
      <c r="B372" s="178"/>
      <c r="C372" s="178"/>
      <c r="D372" s="178"/>
      <c r="E372" s="178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178"/>
      <c r="B373" s="178"/>
      <c r="C373" s="178"/>
      <c r="D373" s="178"/>
      <c r="E373" s="178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178"/>
      <c r="B374" s="178"/>
      <c r="C374" s="178"/>
      <c r="D374" s="178"/>
      <c r="E374" s="178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178"/>
      <c r="B375" s="178"/>
      <c r="C375" s="178"/>
      <c r="D375" s="178"/>
      <c r="E375" s="178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178"/>
      <c r="B376" s="178"/>
      <c r="C376" s="178"/>
      <c r="D376" s="178"/>
      <c r="E376" s="178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178"/>
      <c r="B377" s="178"/>
      <c r="C377" s="178"/>
      <c r="D377" s="178"/>
      <c r="E377" s="178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178"/>
      <c r="B378" s="178"/>
      <c r="C378" s="178"/>
      <c r="D378" s="178"/>
      <c r="E378" s="178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178"/>
      <c r="B379" s="178"/>
      <c r="C379" s="178"/>
      <c r="D379" s="178"/>
      <c r="E379" s="178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178"/>
      <c r="B380" s="178"/>
      <c r="C380" s="178"/>
      <c r="D380" s="178"/>
      <c r="E380" s="178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178"/>
      <c r="B381" s="178"/>
      <c r="C381" s="178"/>
      <c r="D381" s="178"/>
      <c r="E381" s="178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178"/>
      <c r="B382" s="178"/>
      <c r="C382" s="178"/>
      <c r="D382" s="178"/>
      <c r="E382" s="178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178"/>
      <c r="B383" s="178"/>
      <c r="C383" s="178"/>
      <c r="D383" s="178"/>
      <c r="E383" s="178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178"/>
      <c r="B384" s="178"/>
      <c r="C384" s="178"/>
      <c r="D384" s="178"/>
      <c r="E384" s="178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178"/>
      <c r="B385" s="178"/>
      <c r="C385" s="178"/>
      <c r="D385" s="178"/>
      <c r="E385" s="178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178"/>
      <c r="B386" s="178"/>
      <c r="C386" s="178"/>
      <c r="D386" s="178"/>
      <c r="E386" s="178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178"/>
      <c r="B387" s="178"/>
      <c r="C387" s="178"/>
      <c r="D387" s="178"/>
      <c r="E387" s="178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178"/>
      <c r="B388" s="178"/>
      <c r="C388" s="178"/>
      <c r="D388" s="178"/>
      <c r="E388" s="178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178"/>
      <c r="B389" s="178"/>
      <c r="C389" s="178"/>
      <c r="D389" s="178"/>
      <c r="E389" s="178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178"/>
      <c r="B390" s="178"/>
      <c r="C390" s="178"/>
      <c r="D390" s="178"/>
      <c r="E390" s="178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178"/>
      <c r="B391" s="178"/>
      <c r="C391" s="178"/>
      <c r="D391" s="178"/>
      <c r="E391" s="178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178"/>
      <c r="B392" s="178"/>
      <c r="C392" s="178"/>
      <c r="D392" s="178"/>
      <c r="E392" s="178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178"/>
      <c r="B393" s="178"/>
      <c r="C393" s="178"/>
      <c r="D393" s="178"/>
      <c r="E393" s="178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178"/>
      <c r="B394" s="178"/>
      <c r="C394" s="178"/>
      <c r="D394" s="178"/>
      <c r="E394" s="178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178"/>
      <c r="B395" s="178"/>
      <c r="C395" s="178"/>
      <c r="D395" s="178"/>
      <c r="E395" s="178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178"/>
      <c r="B396" s="178"/>
      <c r="C396" s="178"/>
      <c r="D396" s="178"/>
      <c r="E396" s="178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178"/>
      <c r="B397" s="178"/>
      <c r="C397" s="178"/>
      <c r="D397" s="178"/>
      <c r="E397" s="178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178"/>
      <c r="B398" s="178"/>
      <c r="C398" s="178"/>
      <c r="D398" s="178"/>
      <c r="E398" s="178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178"/>
      <c r="B399" s="178"/>
      <c r="C399" s="178"/>
      <c r="D399" s="178"/>
      <c r="E399" s="178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178"/>
      <c r="B400" s="178"/>
      <c r="C400" s="178"/>
      <c r="D400" s="178"/>
      <c r="E400" s="178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178"/>
      <c r="B401" s="178"/>
      <c r="C401" s="178"/>
      <c r="D401" s="178"/>
      <c r="E401" s="178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178"/>
      <c r="B402" s="178"/>
      <c r="C402" s="178"/>
      <c r="D402" s="178"/>
      <c r="E402" s="178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178"/>
      <c r="B403" s="178"/>
      <c r="C403" s="178"/>
      <c r="D403" s="178"/>
      <c r="E403" s="178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178"/>
      <c r="B404" s="178"/>
      <c r="C404" s="178"/>
      <c r="D404" s="178"/>
      <c r="E404" s="178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178"/>
      <c r="B405" s="178"/>
      <c r="C405" s="178"/>
      <c r="D405" s="178"/>
      <c r="E405" s="178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178"/>
      <c r="B406" s="178"/>
      <c r="C406" s="178"/>
      <c r="D406" s="178"/>
      <c r="E406" s="178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178"/>
      <c r="B407" s="178"/>
      <c r="C407" s="178"/>
      <c r="D407" s="178"/>
      <c r="E407" s="178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178"/>
      <c r="B408" s="178"/>
      <c r="C408" s="178"/>
      <c r="D408" s="178"/>
      <c r="E408" s="178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178"/>
      <c r="B409" s="178"/>
      <c r="C409" s="178"/>
      <c r="D409" s="178"/>
      <c r="E409" s="178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178"/>
      <c r="B410" s="178"/>
      <c r="C410" s="178"/>
      <c r="D410" s="178"/>
      <c r="E410" s="178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178"/>
      <c r="B411" s="178"/>
      <c r="C411" s="178"/>
      <c r="D411" s="178"/>
      <c r="E411" s="178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178"/>
      <c r="B412" s="178"/>
      <c r="C412" s="178"/>
      <c r="D412" s="178"/>
      <c r="E412" s="178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178"/>
      <c r="B413" s="178"/>
      <c r="C413" s="178"/>
      <c r="D413" s="178"/>
      <c r="E413" s="178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178"/>
      <c r="B414" s="178"/>
      <c r="C414" s="178"/>
      <c r="D414" s="178"/>
      <c r="E414" s="178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178"/>
      <c r="B415" s="178"/>
      <c r="C415" s="178"/>
      <c r="D415" s="178"/>
      <c r="E415" s="178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178"/>
      <c r="B416" s="178"/>
      <c r="C416" s="178"/>
      <c r="D416" s="178"/>
      <c r="E416" s="178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178"/>
      <c r="B417" s="178"/>
      <c r="C417" s="178"/>
      <c r="D417" s="178"/>
      <c r="E417" s="178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178"/>
      <c r="B418" s="178"/>
      <c r="C418" s="178"/>
      <c r="D418" s="178"/>
      <c r="E418" s="178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178"/>
      <c r="B419" s="178"/>
      <c r="C419" s="178"/>
      <c r="D419" s="178"/>
      <c r="E419" s="178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178"/>
      <c r="B420" s="178"/>
      <c r="C420" s="178"/>
      <c r="D420" s="178"/>
      <c r="E420" s="178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178"/>
      <c r="B421" s="178"/>
      <c r="C421" s="178"/>
      <c r="D421" s="178"/>
      <c r="E421" s="178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178"/>
      <c r="B422" s="178"/>
      <c r="C422" s="178"/>
      <c r="D422" s="178"/>
      <c r="E422" s="178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178"/>
      <c r="B423" s="178"/>
      <c r="C423" s="178"/>
      <c r="D423" s="178"/>
      <c r="E423" s="178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178"/>
      <c r="B424" s="178"/>
      <c r="C424" s="178"/>
      <c r="D424" s="178"/>
      <c r="E424" s="178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178"/>
      <c r="B425" s="178"/>
      <c r="C425" s="178"/>
      <c r="D425" s="178"/>
      <c r="E425" s="178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178"/>
      <c r="B426" s="178"/>
      <c r="C426" s="178"/>
      <c r="D426" s="178"/>
      <c r="E426" s="178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178"/>
      <c r="B427" s="178"/>
      <c r="C427" s="178"/>
      <c r="D427" s="178"/>
      <c r="E427" s="178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178"/>
      <c r="B428" s="178"/>
      <c r="C428" s="178"/>
      <c r="D428" s="178"/>
      <c r="E428" s="178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178"/>
      <c r="B429" s="178"/>
      <c r="C429" s="178"/>
      <c r="D429" s="178"/>
      <c r="E429" s="178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178"/>
      <c r="B430" s="178"/>
      <c r="C430" s="178"/>
      <c r="D430" s="178"/>
      <c r="E430" s="178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178"/>
      <c r="B431" s="178"/>
      <c r="C431" s="178"/>
      <c r="D431" s="178"/>
      <c r="E431" s="178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178"/>
      <c r="B432" s="178"/>
      <c r="C432" s="178"/>
      <c r="D432" s="178"/>
      <c r="E432" s="178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178"/>
      <c r="B433" s="178"/>
      <c r="C433" s="178"/>
      <c r="D433" s="178"/>
      <c r="E433" s="178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178"/>
      <c r="B434" s="178"/>
      <c r="C434" s="178"/>
      <c r="D434" s="178"/>
      <c r="E434" s="178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178"/>
      <c r="B435" s="178"/>
      <c r="C435" s="178"/>
      <c r="D435" s="178"/>
      <c r="E435" s="178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178"/>
      <c r="B436" s="178"/>
      <c r="C436" s="178"/>
      <c r="D436" s="178"/>
      <c r="E436" s="178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178"/>
      <c r="B437" s="178"/>
      <c r="C437" s="178"/>
      <c r="D437" s="178"/>
      <c r="E437" s="178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178"/>
      <c r="B438" s="178"/>
      <c r="C438" s="178"/>
      <c r="D438" s="178"/>
      <c r="E438" s="178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178"/>
      <c r="B439" s="178"/>
      <c r="C439" s="178"/>
      <c r="D439" s="178"/>
      <c r="E439" s="178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178"/>
      <c r="B440" s="178"/>
      <c r="C440" s="178"/>
      <c r="D440" s="178"/>
      <c r="E440" s="178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178"/>
      <c r="B441" s="178"/>
      <c r="C441" s="178"/>
      <c r="D441" s="178"/>
      <c r="E441" s="178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178"/>
      <c r="B442" s="178"/>
      <c r="C442" s="178"/>
      <c r="D442" s="178"/>
      <c r="E442" s="178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178"/>
      <c r="B443" s="178"/>
      <c r="C443" s="178"/>
      <c r="D443" s="178"/>
      <c r="E443" s="178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178"/>
      <c r="B444" s="178"/>
      <c r="C444" s="178"/>
      <c r="D444" s="178"/>
      <c r="E444" s="178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178"/>
      <c r="B445" s="178"/>
      <c r="C445" s="178"/>
      <c r="D445" s="178"/>
      <c r="E445" s="178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178"/>
      <c r="B446" s="178"/>
      <c r="C446" s="178"/>
      <c r="D446" s="178"/>
      <c r="E446" s="178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178"/>
      <c r="B447" s="178"/>
      <c r="C447" s="178"/>
      <c r="D447" s="178"/>
      <c r="E447" s="178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178"/>
      <c r="B448" s="178"/>
      <c r="C448" s="178"/>
      <c r="D448" s="178"/>
      <c r="E448" s="178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178"/>
      <c r="B449" s="178"/>
      <c r="C449" s="178"/>
      <c r="D449" s="178"/>
      <c r="E449" s="178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178"/>
      <c r="B450" s="178"/>
      <c r="C450" s="178"/>
      <c r="D450" s="178"/>
      <c r="E450" s="178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178"/>
      <c r="B451" s="178"/>
      <c r="C451" s="178"/>
      <c r="D451" s="178"/>
      <c r="E451" s="178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178"/>
      <c r="B452" s="178"/>
      <c r="C452" s="178"/>
      <c r="D452" s="178"/>
      <c r="E452" s="178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178"/>
      <c r="B453" s="178"/>
      <c r="C453" s="178"/>
      <c r="D453" s="178"/>
      <c r="E453" s="178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178"/>
      <c r="B454" s="178"/>
      <c r="C454" s="178"/>
      <c r="D454" s="178"/>
      <c r="E454" s="178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178"/>
      <c r="B455" s="178"/>
      <c r="C455" s="178"/>
      <c r="D455" s="178"/>
      <c r="E455" s="178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178"/>
      <c r="B456" s="178"/>
      <c r="C456" s="178"/>
      <c r="D456" s="178"/>
      <c r="E456" s="178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178"/>
      <c r="B457" s="178"/>
      <c r="C457" s="178"/>
      <c r="D457" s="178"/>
      <c r="E457" s="178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178"/>
      <c r="B458" s="178"/>
      <c r="C458" s="178"/>
      <c r="D458" s="178"/>
      <c r="E458" s="178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178"/>
      <c r="B459" s="178"/>
      <c r="C459" s="178"/>
      <c r="D459" s="178"/>
      <c r="E459" s="178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178"/>
      <c r="B460" s="178"/>
      <c r="C460" s="178"/>
      <c r="D460" s="178"/>
      <c r="E460" s="178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178"/>
      <c r="B461" s="178"/>
      <c r="C461" s="178"/>
      <c r="D461" s="178"/>
      <c r="E461" s="178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178"/>
      <c r="B462" s="178"/>
      <c r="C462" s="178"/>
      <c r="D462" s="178"/>
      <c r="E462" s="178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178"/>
      <c r="B463" s="178"/>
      <c r="C463" s="178"/>
      <c r="D463" s="178"/>
      <c r="E463" s="178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178"/>
      <c r="B464" s="178"/>
      <c r="C464" s="178"/>
      <c r="D464" s="178"/>
      <c r="E464" s="178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178"/>
      <c r="B465" s="178"/>
      <c r="C465" s="178"/>
      <c r="D465" s="178"/>
      <c r="E465" s="178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178"/>
      <c r="B466" s="178"/>
      <c r="C466" s="178"/>
      <c r="D466" s="178"/>
      <c r="E466" s="178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178"/>
      <c r="B467" s="178"/>
      <c r="C467" s="178"/>
      <c r="D467" s="178"/>
      <c r="E467" s="178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178"/>
      <c r="B468" s="178"/>
      <c r="C468" s="178"/>
      <c r="D468" s="178"/>
      <c r="E468" s="178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178"/>
      <c r="B469" s="178"/>
      <c r="C469" s="178"/>
      <c r="D469" s="178"/>
      <c r="E469" s="178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178"/>
      <c r="B470" s="178"/>
      <c r="C470" s="178"/>
      <c r="D470" s="178"/>
      <c r="E470" s="178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178"/>
      <c r="B471" s="178"/>
      <c r="C471" s="178"/>
      <c r="D471" s="178"/>
      <c r="E471" s="178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178"/>
      <c r="B472" s="178"/>
      <c r="C472" s="178"/>
      <c r="D472" s="178"/>
      <c r="E472" s="178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178"/>
      <c r="B473" s="178"/>
      <c r="C473" s="178"/>
      <c r="D473" s="178"/>
      <c r="E473" s="178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178"/>
      <c r="B474" s="178"/>
      <c r="C474" s="178"/>
      <c r="D474" s="178"/>
      <c r="E474" s="178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178"/>
      <c r="B475" s="178"/>
      <c r="C475" s="178"/>
      <c r="D475" s="178"/>
      <c r="E475" s="178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178"/>
      <c r="B476" s="178"/>
      <c r="C476" s="178"/>
      <c r="D476" s="178"/>
      <c r="E476" s="178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178"/>
      <c r="B477" s="178"/>
      <c r="C477" s="178"/>
      <c r="D477" s="178"/>
      <c r="E477" s="178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178"/>
      <c r="B478" s="178"/>
      <c r="C478" s="178"/>
      <c r="D478" s="178"/>
      <c r="E478" s="178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178"/>
      <c r="B479" s="178"/>
      <c r="C479" s="178"/>
      <c r="D479" s="178"/>
      <c r="E479" s="178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178"/>
      <c r="B480" s="178"/>
      <c r="C480" s="178"/>
      <c r="D480" s="178"/>
      <c r="E480" s="178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178"/>
      <c r="B481" s="178"/>
      <c r="C481" s="178"/>
      <c r="D481" s="178"/>
      <c r="E481" s="178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178"/>
      <c r="B482" s="178"/>
      <c r="C482" s="178"/>
      <c r="D482" s="178"/>
      <c r="E482" s="178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178"/>
      <c r="B483" s="178"/>
      <c r="C483" s="178"/>
      <c r="D483" s="178"/>
      <c r="E483" s="178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178"/>
      <c r="B484" s="178"/>
      <c r="C484" s="178"/>
      <c r="D484" s="178"/>
      <c r="E484" s="178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178"/>
      <c r="B485" s="178"/>
      <c r="C485" s="178"/>
      <c r="D485" s="178"/>
      <c r="E485" s="178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178"/>
      <c r="B486" s="178"/>
      <c r="C486" s="178"/>
      <c r="D486" s="178"/>
      <c r="E486" s="178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178"/>
      <c r="B487" s="178"/>
      <c r="C487" s="178"/>
      <c r="D487" s="178"/>
      <c r="E487" s="178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178"/>
      <c r="B488" s="178"/>
      <c r="C488" s="178"/>
      <c r="D488" s="178"/>
      <c r="E488" s="178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178"/>
      <c r="B489" s="178"/>
      <c r="C489" s="178"/>
      <c r="D489" s="178"/>
      <c r="E489" s="178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178"/>
      <c r="B490" s="178"/>
      <c r="C490" s="178"/>
      <c r="D490" s="178"/>
      <c r="E490" s="178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178"/>
      <c r="B491" s="178"/>
      <c r="C491" s="178"/>
      <c r="D491" s="178"/>
      <c r="E491" s="178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178"/>
      <c r="B492" s="178"/>
      <c r="C492" s="178"/>
      <c r="D492" s="178"/>
      <c r="E492" s="178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178"/>
      <c r="B493" s="178"/>
      <c r="C493" s="178"/>
      <c r="D493" s="178"/>
      <c r="E493" s="178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178"/>
      <c r="B494" s="178"/>
      <c r="C494" s="178"/>
      <c r="D494" s="178"/>
      <c r="E494" s="178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178"/>
      <c r="B495" s="178"/>
      <c r="C495" s="178"/>
      <c r="D495" s="178"/>
      <c r="E495" s="178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178"/>
      <c r="B496" s="178"/>
      <c r="C496" s="178"/>
      <c r="D496" s="178"/>
      <c r="E496" s="178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178"/>
      <c r="B497" s="178"/>
      <c r="C497" s="178"/>
      <c r="D497" s="178"/>
      <c r="E497" s="178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178"/>
      <c r="B498" s="178"/>
      <c r="C498" s="178"/>
      <c r="D498" s="178"/>
      <c r="E498" s="178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178"/>
      <c r="B499" s="178"/>
      <c r="C499" s="178"/>
      <c r="D499" s="178"/>
      <c r="E499" s="178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178"/>
      <c r="B500" s="178"/>
      <c r="C500" s="178"/>
      <c r="D500" s="178"/>
      <c r="E500" s="178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178"/>
      <c r="B501" s="178"/>
      <c r="C501" s="178"/>
      <c r="D501" s="178"/>
      <c r="E501" s="178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178"/>
      <c r="B502" s="178"/>
      <c r="C502" s="178"/>
      <c r="D502" s="178"/>
      <c r="E502" s="178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178"/>
      <c r="B503" s="178"/>
      <c r="C503" s="178"/>
      <c r="D503" s="178"/>
      <c r="E503" s="178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178"/>
      <c r="B504" s="178"/>
      <c r="C504" s="178"/>
      <c r="D504" s="178"/>
      <c r="E504" s="178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178"/>
      <c r="B505" s="178"/>
      <c r="C505" s="178"/>
      <c r="D505" s="178"/>
      <c r="E505" s="178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178"/>
      <c r="B506" s="178"/>
      <c r="C506" s="178"/>
      <c r="D506" s="178"/>
      <c r="E506" s="178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178"/>
      <c r="B507" s="178"/>
      <c r="C507" s="178"/>
      <c r="D507" s="178"/>
      <c r="E507" s="178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178"/>
      <c r="B508" s="178"/>
      <c r="C508" s="178"/>
      <c r="D508" s="178"/>
      <c r="E508" s="178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178"/>
      <c r="B509" s="178"/>
      <c r="C509" s="178"/>
      <c r="D509" s="178"/>
      <c r="E509" s="178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178"/>
      <c r="B510" s="178"/>
      <c r="C510" s="178"/>
      <c r="D510" s="178"/>
      <c r="E510" s="178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178"/>
      <c r="B511" s="178"/>
      <c r="C511" s="178"/>
      <c r="D511" s="178"/>
      <c r="E511" s="178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178"/>
      <c r="B512" s="178"/>
      <c r="C512" s="178"/>
      <c r="D512" s="178"/>
      <c r="E512" s="178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178"/>
      <c r="B513" s="178"/>
      <c r="C513" s="178"/>
      <c r="D513" s="178"/>
      <c r="E513" s="178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178"/>
      <c r="B514" s="178"/>
      <c r="C514" s="178"/>
      <c r="D514" s="178"/>
      <c r="E514" s="178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178"/>
      <c r="B515" s="178"/>
      <c r="C515" s="178"/>
      <c r="D515" s="178"/>
      <c r="E515" s="178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178"/>
      <c r="B516" s="178"/>
      <c r="C516" s="178"/>
      <c r="D516" s="178"/>
      <c r="E516" s="178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178"/>
      <c r="B517" s="178"/>
      <c r="C517" s="178"/>
      <c r="D517" s="178"/>
      <c r="E517" s="178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178"/>
      <c r="B518" s="178"/>
      <c r="C518" s="178"/>
      <c r="D518" s="178"/>
      <c r="E518" s="178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178"/>
      <c r="B519" s="178"/>
      <c r="C519" s="178"/>
      <c r="D519" s="178"/>
      <c r="E519" s="178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178"/>
      <c r="B520" s="178"/>
      <c r="C520" s="178"/>
      <c r="D520" s="178"/>
      <c r="E520" s="178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178"/>
      <c r="B521" s="178"/>
      <c r="C521" s="178"/>
      <c r="D521" s="178"/>
      <c r="E521" s="178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178"/>
      <c r="B522" s="178"/>
      <c r="C522" s="178"/>
      <c r="D522" s="178"/>
      <c r="E522" s="178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178"/>
      <c r="B523" s="178"/>
      <c r="C523" s="178"/>
      <c r="D523" s="178"/>
      <c r="E523" s="178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178"/>
      <c r="B524" s="178"/>
      <c r="C524" s="178"/>
      <c r="D524" s="178"/>
      <c r="E524" s="178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178"/>
      <c r="B525" s="178"/>
      <c r="C525" s="178"/>
      <c r="D525" s="178"/>
      <c r="E525" s="178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178"/>
      <c r="B526" s="178"/>
      <c r="C526" s="178"/>
      <c r="D526" s="178"/>
      <c r="E526" s="178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178"/>
      <c r="B527" s="178"/>
      <c r="C527" s="178"/>
      <c r="D527" s="178"/>
      <c r="E527" s="178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178"/>
      <c r="B528" s="178"/>
      <c r="C528" s="178"/>
      <c r="D528" s="178"/>
      <c r="E528" s="178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178"/>
      <c r="B529" s="178"/>
      <c r="C529" s="178"/>
      <c r="D529" s="178"/>
      <c r="E529" s="178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178"/>
      <c r="B530" s="178"/>
      <c r="C530" s="178"/>
      <c r="D530" s="178"/>
      <c r="E530" s="178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178"/>
      <c r="B531" s="178"/>
      <c r="C531" s="178"/>
      <c r="D531" s="178"/>
      <c r="E531" s="178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178"/>
      <c r="B532" s="178"/>
      <c r="C532" s="178"/>
      <c r="D532" s="178"/>
      <c r="E532" s="178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178"/>
      <c r="B533" s="178"/>
      <c r="C533" s="178"/>
      <c r="D533" s="178"/>
      <c r="E533" s="178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178"/>
      <c r="B534" s="178"/>
      <c r="C534" s="178"/>
      <c r="D534" s="178"/>
      <c r="E534" s="178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178"/>
      <c r="B535" s="178"/>
      <c r="C535" s="178"/>
      <c r="D535" s="178"/>
      <c r="E535" s="178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178"/>
      <c r="B536" s="178"/>
      <c r="C536" s="178"/>
      <c r="D536" s="178"/>
      <c r="E536" s="178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178"/>
      <c r="B537" s="178"/>
      <c r="C537" s="178"/>
      <c r="D537" s="178"/>
      <c r="E537" s="178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178"/>
      <c r="B538" s="178"/>
      <c r="C538" s="178"/>
      <c r="D538" s="178"/>
      <c r="E538" s="178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178"/>
      <c r="B539" s="178"/>
      <c r="C539" s="178"/>
      <c r="D539" s="178"/>
      <c r="E539" s="178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178"/>
      <c r="B540" s="178"/>
      <c r="C540" s="178"/>
      <c r="D540" s="178"/>
      <c r="E540" s="178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178"/>
      <c r="B541" s="178"/>
      <c r="C541" s="178"/>
      <c r="D541" s="178"/>
      <c r="E541" s="178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178"/>
      <c r="B542" s="178"/>
      <c r="C542" s="178"/>
      <c r="D542" s="178"/>
      <c r="E542" s="178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178"/>
      <c r="B543" s="178"/>
      <c r="C543" s="178"/>
      <c r="D543" s="178"/>
      <c r="E543" s="178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178"/>
      <c r="B544" s="178"/>
      <c r="C544" s="178"/>
      <c r="D544" s="178"/>
      <c r="E544" s="178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178"/>
      <c r="B545" s="178"/>
      <c r="C545" s="178"/>
      <c r="D545" s="178"/>
      <c r="E545" s="178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178"/>
      <c r="B546" s="178"/>
      <c r="C546" s="178"/>
      <c r="D546" s="178"/>
      <c r="E546" s="178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178"/>
      <c r="B547" s="178"/>
      <c r="C547" s="178"/>
      <c r="D547" s="178"/>
      <c r="E547" s="178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178"/>
      <c r="B548" s="178"/>
      <c r="C548" s="178"/>
      <c r="D548" s="178"/>
      <c r="E548" s="178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178"/>
      <c r="B549" s="178"/>
      <c r="C549" s="178"/>
      <c r="D549" s="178"/>
      <c r="E549" s="178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178"/>
      <c r="B550" s="178"/>
      <c r="C550" s="178"/>
      <c r="D550" s="178"/>
      <c r="E550" s="178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178"/>
      <c r="B551" s="178"/>
      <c r="C551" s="178"/>
      <c r="D551" s="178"/>
      <c r="E551" s="178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178"/>
      <c r="B552" s="178"/>
      <c r="C552" s="178"/>
      <c r="D552" s="178"/>
      <c r="E552" s="178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178"/>
      <c r="B553" s="178"/>
      <c r="C553" s="178"/>
      <c r="D553" s="178"/>
      <c r="E553" s="178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178"/>
      <c r="B554" s="178"/>
      <c r="C554" s="178"/>
      <c r="D554" s="178"/>
      <c r="E554" s="178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178"/>
      <c r="B555" s="178"/>
      <c r="C555" s="178"/>
      <c r="D555" s="178"/>
      <c r="E555" s="178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178"/>
      <c r="B556" s="178"/>
      <c r="C556" s="178"/>
      <c r="D556" s="178"/>
      <c r="E556" s="178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178"/>
      <c r="B557" s="178"/>
      <c r="C557" s="178"/>
      <c r="D557" s="178"/>
      <c r="E557" s="178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178"/>
      <c r="B558" s="178"/>
      <c r="C558" s="178"/>
      <c r="D558" s="178"/>
      <c r="E558" s="178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178"/>
      <c r="B559" s="178"/>
      <c r="C559" s="178"/>
      <c r="D559" s="178"/>
      <c r="E559" s="178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178"/>
      <c r="B560" s="178"/>
      <c r="C560" s="178"/>
      <c r="D560" s="178"/>
      <c r="E560" s="178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178"/>
      <c r="B561" s="178"/>
      <c r="C561" s="178"/>
      <c r="D561" s="178"/>
      <c r="E561" s="178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178"/>
      <c r="B562" s="178"/>
      <c r="C562" s="178"/>
      <c r="D562" s="178"/>
      <c r="E562" s="178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178"/>
      <c r="B563" s="178"/>
      <c r="C563" s="178"/>
      <c r="D563" s="178"/>
      <c r="E563" s="178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178"/>
      <c r="B564" s="178"/>
      <c r="C564" s="178"/>
      <c r="D564" s="178"/>
      <c r="E564" s="178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178"/>
      <c r="B565" s="178"/>
      <c r="C565" s="178"/>
      <c r="D565" s="178"/>
      <c r="E565" s="178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178"/>
      <c r="B566" s="178"/>
      <c r="C566" s="178"/>
      <c r="D566" s="178"/>
      <c r="E566" s="178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178"/>
      <c r="B567" s="178"/>
      <c r="C567" s="178"/>
      <c r="D567" s="178"/>
      <c r="E567" s="178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178"/>
      <c r="B568" s="178"/>
      <c r="C568" s="178"/>
      <c r="D568" s="178"/>
      <c r="E568" s="178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178"/>
      <c r="B569" s="178"/>
      <c r="C569" s="178"/>
      <c r="D569" s="178"/>
      <c r="E569" s="178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178"/>
      <c r="B570" s="178"/>
      <c r="C570" s="178"/>
      <c r="D570" s="178"/>
      <c r="E570" s="178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178"/>
      <c r="B571" s="178"/>
      <c r="C571" s="178"/>
      <c r="D571" s="178"/>
      <c r="E571" s="178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178"/>
      <c r="B572" s="178"/>
      <c r="C572" s="178"/>
      <c r="D572" s="178"/>
      <c r="E572" s="178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178"/>
      <c r="B573" s="178"/>
      <c r="C573" s="178"/>
      <c r="D573" s="178"/>
      <c r="E573" s="178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178"/>
      <c r="B574" s="178"/>
      <c r="C574" s="178"/>
      <c r="D574" s="178"/>
      <c r="E574" s="178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178"/>
      <c r="B575" s="178"/>
      <c r="C575" s="178"/>
      <c r="D575" s="178"/>
      <c r="E575" s="178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178"/>
      <c r="B576" s="178"/>
      <c r="C576" s="178"/>
      <c r="D576" s="178"/>
      <c r="E576" s="178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178"/>
      <c r="B577" s="178"/>
      <c r="C577" s="178"/>
      <c r="D577" s="178"/>
      <c r="E577" s="178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178"/>
      <c r="B578" s="178"/>
      <c r="C578" s="178"/>
      <c r="D578" s="178"/>
      <c r="E578" s="178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178"/>
      <c r="B579" s="178"/>
      <c r="C579" s="178"/>
      <c r="D579" s="178"/>
      <c r="E579" s="178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178"/>
      <c r="B580" s="178"/>
      <c r="C580" s="178"/>
      <c r="D580" s="178"/>
      <c r="E580" s="178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178"/>
      <c r="B581" s="178"/>
      <c r="C581" s="178"/>
      <c r="D581" s="178"/>
      <c r="E581" s="178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178"/>
      <c r="B582" s="178"/>
      <c r="C582" s="178"/>
      <c r="D582" s="178"/>
      <c r="E582" s="178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178"/>
      <c r="B583" s="178"/>
      <c r="C583" s="178"/>
      <c r="D583" s="178"/>
      <c r="E583" s="178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178"/>
      <c r="B584" s="178"/>
      <c r="C584" s="178"/>
      <c r="D584" s="178"/>
      <c r="E584" s="178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178"/>
      <c r="B585" s="178"/>
      <c r="C585" s="178"/>
      <c r="D585" s="178"/>
      <c r="E585" s="178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178"/>
      <c r="B586" s="178"/>
      <c r="C586" s="178"/>
      <c r="D586" s="178"/>
      <c r="E586" s="178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178"/>
      <c r="B587" s="178"/>
      <c r="C587" s="178"/>
      <c r="D587" s="178"/>
      <c r="E587" s="178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178"/>
      <c r="B588" s="178"/>
      <c r="C588" s="178"/>
      <c r="D588" s="178"/>
      <c r="E588" s="178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178"/>
      <c r="B589" s="178"/>
      <c r="C589" s="178"/>
      <c r="D589" s="178"/>
      <c r="E589" s="178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178"/>
      <c r="B590" s="178"/>
      <c r="C590" s="178"/>
      <c r="D590" s="178"/>
      <c r="E590" s="178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178"/>
      <c r="B591" s="178"/>
      <c r="C591" s="178"/>
      <c r="D591" s="178"/>
      <c r="E591" s="178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178"/>
      <c r="B592" s="178"/>
      <c r="C592" s="178"/>
      <c r="D592" s="178"/>
      <c r="E592" s="178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178"/>
      <c r="B593" s="178"/>
      <c r="C593" s="178"/>
      <c r="D593" s="178"/>
      <c r="E593" s="178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178"/>
      <c r="B594" s="178"/>
      <c r="C594" s="178"/>
      <c r="D594" s="178"/>
      <c r="E594" s="178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178"/>
      <c r="B595" s="178"/>
      <c r="C595" s="178"/>
      <c r="D595" s="178"/>
      <c r="E595" s="178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178"/>
      <c r="B596" s="178"/>
      <c r="C596" s="178"/>
      <c r="D596" s="178"/>
      <c r="E596" s="178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178"/>
      <c r="B597" s="178"/>
      <c r="C597" s="178"/>
      <c r="D597" s="178"/>
      <c r="E597" s="178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178"/>
      <c r="B598" s="178"/>
      <c r="C598" s="178"/>
      <c r="D598" s="178"/>
      <c r="E598" s="178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178"/>
      <c r="B599" s="178"/>
      <c r="C599" s="178"/>
      <c r="D599" s="178"/>
      <c r="E599" s="178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178"/>
      <c r="B600" s="178"/>
      <c r="C600" s="178"/>
      <c r="D600" s="178"/>
      <c r="E600" s="178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178"/>
      <c r="B601" s="178"/>
      <c r="C601" s="178"/>
      <c r="D601" s="178"/>
      <c r="E601" s="178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178"/>
      <c r="B602" s="178"/>
      <c r="C602" s="178"/>
      <c r="D602" s="178"/>
      <c r="E602" s="178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178"/>
      <c r="B603" s="178"/>
      <c r="C603" s="178"/>
      <c r="D603" s="178"/>
      <c r="E603" s="178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178"/>
      <c r="B604" s="178"/>
      <c r="C604" s="178"/>
      <c r="D604" s="178"/>
      <c r="E604" s="178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178"/>
      <c r="B605" s="178"/>
      <c r="C605" s="178"/>
      <c r="D605" s="178"/>
      <c r="E605" s="178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178"/>
      <c r="B606" s="178"/>
      <c r="C606" s="178"/>
      <c r="D606" s="178"/>
      <c r="E606" s="178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178"/>
      <c r="B607" s="178"/>
      <c r="C607" s="178"/>
      <c r="D607" s="178"/>
      <c r="E607" s="178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178"/>
      <c r="B608" s="178"/>
      <c r="C608" s="178"/>
      <c r="D608" s="178"/>
      <c r="E608" s="178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178"/>
      <c r="B609" s="178"/>
      <c r="C609" s="178"/>
      <c r="D609" s="178"/>
      <c r="E609" s="178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178"/>
      <c r="B610" s="178"/>
      <c r="C610" s="178"/>
      <c r="D610" s="178"/>
      <c r="E610" s="178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178"/>
      <c r="B611" s="178"/>
      <c r="C611" s="178"/>
      <c r="D611" s="178"/>
      <c r="E611" s="178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178"/>
      <c r="B612" s="178"/>
      <c r="C612" s="178"/>
      <c r="D612" s="178"/>
      <c r="E612" s="178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178"/>
      <c r="B613" s="178"/>
      <c r="C613" s="178"/>
      <c r="D613" s="178"/>
      <c r="E613" s="178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178"/>
      <c r="B614" s="178"/>
      <c r="C614" s="178"/>
      <c r="D614" s="178"/>
      <c r="E614" s="178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178"/>
      <c r="B615" s="178"/>
      <c r="C615" s="178"/>
      <c r="D615" s="178"/>
      <c r="E615" s="178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178"/>
      <c r="B616" s="178"/>
      <c r="C616" s="178"/>
      <c r="D616" s="178"/>
      <c r="E616" s="178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178"/>
      <c r="B617" s="178"/>
      <c r="C617" s="178"/>
      <c r="D617" s="178"/>
      <c r="E617" s="178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178"/>
      <c r="B618" s="178"/>
      <c r="C618" s="178"/>
      <c r="D618" s="178"/>
      <c r="E618" s="178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178"/>
      <c r="B619" s="178"/>
      <c r="C619" s="178"/>
      <c r="D619" s="178"/>
      <c r="E619" s="178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178"/>
      <c r="B620" s="178"/>
      <c r="C620" s="178"/>
      <c r="D620" s="178"/>
      <c r="E620" s="178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178"/>
      <c r="B621" s="178"/>
      <c r="C621" s="178"/>
      <c r="D621" s="178"/>
      <c r="E621" s="178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178"/>
      <c r="B622" s="178"/>
      <c r="C622" s="178"/>
      <c r="D622" s="178"/>
      <c r="E622" s="178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178"/>
      <c r="B623" s="178"/>
      <c r="C623" s="178"/>
      <c r="D623" s="178"/>
      <c r="E623" s="178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178"/>
      <c r="B624" s="178"/>
      <c r="C624" s="178"/>
      <c r="D624" s="178"/>
      <c r="E624" s="178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178"/>
      <c r="B625" s="178"/>
      <c r="C625" s="178"/>
      <c r="D625" s="178"/>
      <c r="E625" s="178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178"/>
      <c r="B626" s="178"/>
      <c r="C626" s="178"/>
      <c r="D626" s="178"/>
      <c r="E626" s="178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178"/>
      <c r="B627" s="178"/>
      <c r="C627" s="178"/>
      <c r="D627" s="178"/>
      <c r="E627" s="178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178"/>
      <c r="B628" s="178"/>
      <c r="C628" s="178"/>
      <c r="D628" s="178"/>
      <c r="E628" s="178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178"/>
      <c r="B629" s="178"/>
      <c r="C629" s="178"/>
      <c r="D629" s="178"/>
      <c r="E629" s="178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178"/>
      <c r="B630" s="178"/>
      <c r="C630" s="178"/>
      <c r="D630" s="178"/>
      <c r="E630" s="178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178"/>
      <c r="B631" s="178"/>
      <c r="C631" s="178"/>
      <c r="D631" s="178"/>
      <c r="E631" s="178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178"/>
      <c r="B632" s="178"/>
      <c r="C632" s="178"/>
      <c r="D632" s="178"/>
      <c r="E632" s="178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178"/>
      <c r="B633" s="178"/>
      <c r="C633" s="178"/>
      <c r="D633" s="178"/>
      <c r="E633" s="178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178"/>
      <c r="B634" s="178"/>
      <c r="C634" s="178"/>
      <c r="D634" s="178"/>
      <c r="E634" s="178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178"/>
      <c r="B635" s="178"/>
      <c r="C635" s="178"/>
      <c r="D635" s="178"/>
      <c r="E635" s="178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178"/>
      <c r="B636" s="178"/>
      <c r="C636" s="178"/>
      <c r="D636" s="178"/>
      <c r="E636" s="178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178"/>
      <c r="B637" s="178"/>
      <c r="C637" s="178"/>
      <c r="D637" s="178"/>
      <c r="E637" s="178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178"/>
      <c r="B638" s="178"/>
      <c r="C638" s="178"/>
      <c r="D638" s="178"/>
      <c r="E638" s="178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178"/>
      <c r="B639" s="178"/>
      <c r="C639" s="178"/>
      <c r="D639" s="178"/>
      <c r="E639" s="178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178"/>
      <c r="B640" s="178"/>
      <c r="C640" s="178"/>
      <c r="D640" s="178"/>
      <c r="E640" s="178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178"/>
      <c r="B641" s="178"/>
      <c r="C641" s="178"/>
      <c r="D641" s="178"/>
      <c r="E641" s="178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178"/>
      <c r="B642" s="178"/>
      <c r="C642" s="178"/>
      <c r="D642" s="178"/>
      <c r="E642" s="178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178"/>
      <c r="B643" s="178"/>
      <c r="C643" s="178"/>
      <c r="D643" s="178"/>
      <c r="E643" s="178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178"/>
      <c r="B644" s="178"/>
      <c r="C644" s="178"/>
      <c r="D644" s="178"/>
      <c r="E644" s="178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178"/>
      <c r="B645" s="178"/>
      <c r="C645" s="178"/>
      <c r="D645" s="178"/>
      <c r="E645" s="178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178"/>
      <c r="B646" s="178"/>
      <c r="C646" s="178"/>
      <c r="D646" s="178"/>
      <c r="E646" s="178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178"/>
      <c r="B647" s="178"/>
      <c r="C647" s="178"/>
      <c r="D647" s="178"/>
      <c r="E647" s="178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178"/>
      <c r="B648" s="178"/>
      <c r="C648" s="178"/>
      <c r="D648" s="178"/>
      <c r="E648" s="178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178"/>
      <c r="B649" s="178"/>
      <c r="C649" s="178"/>
      <c r="D649" s="178"/>
      <c r="E649" s="178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178"/>
      <c r="B650" s="178"/>
      <c r="C650" s="178"/>
      <c r="D650" s="178"/>
      <c r="E650" s="178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178"/>
      <c r="B651" s="178"/>
      <c r="C651" s="178"/>
      <c r="D651" s="178"/>
      <c r="E651" s="178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178"/>
      <c r="B652" s="178"/>
      <c r="C652" s="178"/>
      <c r="D652" s="178"/>
      <c r="E652" s="178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178"/>
      <c r="B653" s="178"/>
      <c r="C653" s="178"/>
      <c r="D653" s="178"/>
      <c r="E653" s="178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178"/>
      <c r="B654" s="178"/>
      <c r="C654" s="178"/>
      <c r="D654" s="178"/>
      <c r="E654" s="178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178"/>
      <c r="B655" s="178"/>
      <c r="C655" s="178"/>
      <c r="D655" s="178"/>
      <c r="E655" s="178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178"/>
      <c r="B656" s="178"/>
      <c r="C656" s="178"/>
      <c r="D656" s="178"/>
      <c r="E656" s="178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178"/>
      <c r="B657" s="178"/>
      <c r="C657" s="178"/>
      <c r="D657" s="178"/>
      <c r="E657" s="178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178"/>
      <c r="B658" s="178"/>
      <c r="C658" s="178"/>
      <c r="D658" s="178"/>
      <c r="E658" s="178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178"/>
      <c r="B659" s="178"/>
      <c r="C659" s="178"/>
      <c r="D659" s="178"/>
      <c r="E659" s="178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178"/>
      <c r="B660" s="178"/>
      <c r="C660" s="178"/>
      <c r="D660" s="178"/>
      <c r="E660" s="178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178"/>
      <c r="B661" s="178"/>
      <c r="C661" s="178"/>
      <c r="D661" s="178"/>
      <c r="E661" s="178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178"/>
      <c r="B662" s="178"/>
      <c r="C662" s="178"/>
      <c r="D662" s="178"/>
      <c r="E662" s="178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178"/>
      <c r="B663" s="178"/>
      <c r="C663" s="178"/>
      <c r="D663" s="178"/>
      <c r="E663" s="178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178"/>
      <c r="B664" s="178"/>
      <c r="C664" s="178"/>
      <c r="D664" s="178"/>
      <c r="E664" s="178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178"/>
      <c r="B665" s="178"/>
      <c r="C665" s="178"/>
      <c r="D665" s="178"/>
      <c r="E665" s="178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178"/>
      <c r="B666" s="178"/>
      <c r="C666" s="178"/>
      <c r="D666" s="178"/>
      <c r="E666" s="178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178"/>
      <c r="B667" s="178"/>
      <c r="C667" s="178"/>
      <c r="D667" s="178"/>
      <c r="E667" s="178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178"/>
      <c r="B668" s="178"/>
      <c r="C668" s="178"/>
      <c r="D668" s="178"/>
      <c r="E668" s="178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178"/>
      <c r="B669" s="178"/>
      <c r="C669" s="178"/>
      <c r="D669" s="178"/>
      <c r="E669" s="178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178"/>
      <c r="B670" s="178"/>
      <c r="C670" s="178"/>
      <c r="D670" s="178"/>
      <c r="E670" s="178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178"/>
      <c r="B671" s="178"/>
      <c r="C671" s="178"/>
      <c r="D671" s="178"/>
      <c r="E671" s="178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178"/>
      <c r="B672" s="178"/>
      <c r="C672" s="178"/>
      <c r="D672" s="178"/>
      <c r="E672" s="178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178"/>
      <c r="B673" s="178"/>
      <c r="C673" s="178"/>
      <c r="D673" s="178"/>
      <c r="E673" s="178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178"/>
      <c r="B674" s="178"/>
      <c r="C674" s="178"/>
      <c r="D674" s="178"/>
      <c r="E674" s="178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178"/>
      <c r="B675" s="178"/>
      <c r="C675" s="178"/>
      <c r="D675" s="178"/>
      <c r="E675" s="178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178"/>
      <c r="B676" s="178"/>
      <c r="C676" s="178"/>
      <c r="D676" s="178"/>
      <c r="E676" s="178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178"/>
      <c r="B677" s="178"/>
      <c r="C677" s="178"/>
      <c r="D677" s="178"/>
      <c r="E677" s="178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178"/>
      <c r="B678" s="178"/>
      <c r="C678" s="178"/>
      <c r="D678" s="178"/>
      <c r="E678" s="178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178"/>
      <c r="B679" s="178"/>
      <c r="C679" s="178"/>
      <c r="D679" s="178"/>
      <c r="E679" s="178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178"/>
      <c r="B680" s="178"/>
      <c r="C680" s="178"/>
      <c r="D680" s="178"/>
      <c r="E680" s="178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178"/>
      <c r="B681" s="178"/>
      <c r="C681" s="178"/>
      <c r="D681" s="178"/>
      <c r="E681" s="178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178"/>
      <c r="B682" s="178"/>
      <c r="C682" s="178"/>
      <c r="D682" s="178"/>
      <c r="E682" s="178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178"/>
      <c r="B683" s="178"/>
      <c r="C683" s="178"/>
      <c r="D683" s="178"/>
      <c r="E683" s="178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178"/>
      <c r="B684" s="178"/>
      <c r="C684" s="178"/>
      <c r="D684" s="178"/>
      <c r="E684" s="178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178"/>
      <c r="B685" s="178"/>
      <c r="C685" s="178"/>
      <c r="D685" s="178"/>
      <c r="E685" s="178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178"/>
      <c r="B686" s="178"/>
      <c r="C686" s="178"/>
      <c r="D686" s="178"/>
      <c r="E686" s="178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178"/>
      <c r="B687" s="178"/>
      <c r="C687" s="178"/>
      <c r="D687" s="178"/>
      <c r="E687" s="178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178"/>
      <c r="B688" s="178"/>
      <c r="C688" s="178"/>
      <c r="D688" s="178"/>
      <c r="E688" s="178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178"/>
      <c r="B689" s="178"/>
      <c r="C689" s="178"/>
      <c r="D689" s="178"/>
      <c r="E689" s="178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178"/>
      <c r="B690" s="178"/>
      <c r="C690" s="178"/>
      <c r="D690" s="178"/>
      <c r="E690" s="178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178"/>
      <c r="B691" s="178"/>
      <c r="C691" s="178"/>
      <c r="D691" s="178"/>
      <c r="E691" s="178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178"/>
      <c r="B692" s="178"/>
      <c r="C692" s="178"/>
      <c r="D692" s="178"/>
      <c r="E692" s="178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178"/>
      <c r="B693" s="178"/>
      <c r="C693" s="178"/>
      <c r="D693" s="178"/>
      <c r="E693" s="178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178"/>
      <c r="B694" s="178"/>
      <c r="C694" s="178"/>
      <c r="D694" s="178"/>
      <c r="E694" s="178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178"/>
      <c r="B695" s="178"/>
      <c r="C695" s="178"/>
      <c r="D695" s="178"/>
      <c r="E695" s="178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178"/>
      <c r="B696" s="178"/>
      <c r="C696" s="178"/>
      <c r="D696" s="178"/>
      <c r="E696" s="178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178"/>
      <c r="B697" s="178"/>
      <c r="C697" s="178"/>
      <c r="D697" s="178"/>
      <c r="E697" s="178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178"/>
      <c r="B698" s="178"/>
      <c r="C698" s="178"/>
      <c r="D698" s="178"/>
      <c r="E698" s="178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178"/>
      <c r="B699" s="178"/>
      <c r="C699" s="178"/>
      <c r="D699" s="178"/>
      <c r="E699" s="178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178"/>
      <c r="B700" s="178"/>
      <c r="C700" s="178"/>
      <c r="D700" s="178"/>
      <c r="E700" s="178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178"/>
      <c r="B701" s="178"/>
      <c r="C701" s="178"/>
      <c r="D701" s="178"/>
      <c r="E701" s="178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178"/>
      <c r="B702" s="178"/>
      <c r="C702" s="178"/>
      <c r="D702" s="178"/>
      <c r="E702" s="178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178"/>
      <c r="B703" s="178"/>
      <c r="C703" s="178"/>
      <c r="D703" s="178"/>
      <c r="E703" s="178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178"/>
      <c r="B704" s="178"/>
      <c r="C704" s="178"/>
      <c r="D704" s="178"/>
      <c r="E704" s="178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178"/>
      <c r="B705" s="178"/>
      <c r="C705" s="178"/>
      <c r="D705" s="178"/>
      <c r="E705" s="178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178"/>
      <c r="B706" s="178"/>
      <c r="C706" s="178"/>
      <c r="D706" s="178"/>
      <c r="E706" s="178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178"/>
      <c r="B707" s="178"/>
      <c r="C707" s="178"/>
      <c r="D707" s="178"/>
      <c r="E707" s="178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178"/>
      <c r="B708" s="178"/>
      <c r="C708" s="178"/>
      <c r="D708" s="178"/>
      <c r="E708" s="178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178"/>
      <c r="B709" s="178"/>
      <c r="C709" s="178"/>
      <c r="D709" s="178"/>
      <c r="E709" s="178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178"/>
      <c r="B710" s="178"/>
      <c r="C710" s="178"/>
      <c r="D710" s="178"/>
      <c r="E710" s="178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178"/>
      <c r="B711" s="178"/>
      <c r="C711" s="178"/>
      <c r="D711" s="178"/>
      <c r="E711" s="178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178"/>
      <c r="B712" s="178"/>
      <c r="C712" s="178"/>
      <c r="D712" s="178"/>
      <c r="E712" s="178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178"/>
      <c r="B713" s="178"/>
      <c r="C713" s="178"/>
      <c r="D713" s="178"/>
      <c r="E713" s="178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178"/>
      <c r="B714" s="178"/>
      <c r="C714" s="178"/>
      <c r="D714" s="178"/>
      <c r="E714" s="178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178"/>
      <c r="B715" s="178"/>
      <c r="C715" s="178"/>
      <c r="D715" s="178"/>
      <c r="E715" s="178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178"/>
      <c r="B716" s="178"/>
      <c r="C716" s="178"/>
      <c r="D716" s="178"/>
      <c r="E716" s="178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178"/>
      <c r="B717" s="178"/>
      <c r="C717" s="178"/>
      <c r="D717" s="178"/>
      <c r="E717" s="178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178"/>
      <c r="B718" s="178"/>
      <c r="C718" s="178"/>
      <c r="D718" s="178"/>
      <c r="E718" s="178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178"/>
      <c r="B719" s="178"/>
      <c r="C719" s="178"/>
      <c r="D719" s="178"/>
      <c r="E719" s="178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178"/>
      <c r="B720" s="178"/>
      <c r="C720" s="178"/>
      <c r="D720" s="178"/>
      <c r="E720" s="178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178"/>
      <c r="B721" s="178"/>
      <c r="C721" s="178"/>
      <c r="D721" s="178"/>
      <c r="E721" s="178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178"/>
      <c r="B722" s="178"/>
      <c r="C722" s="178"/>
      <c r="D722" s="178"/>
      <c r="E722" s="178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178"/>
      <c r="B723" s="178"/>
      <c r="C723" s="178"/>
      <c r="D723" s="178"/>
      <c r="E723" s="178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178"/>
      <c r="B724" s="178"/>
      <c r="C724" s="178"/>
      <c r="D724" s="178"/>
      <c r="E724" s="178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178"/>
      <c r="B725" s="178"/>
      <c r="C725" s="178"/>
      <c r="D725" s="178"/>
      <c r="E725" s="178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178"/>
      <c r="B726" s="178"/>
      <c r="C726" s="178"/>
      <c r="D726" s="178"/>
      <c r="E726" s="178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178"/>
      <c r="B727" s="178"/>
      <c r="C727" s="178"/>
      <c r="D727" s="178"/>
      <c r="E727" s="178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178"/>
      <c r="B728" s="178"/>
      <c r="C728" s="178"/>
      <c r="D728" s="178"/>
      <c r="E728" s="178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178"/>
      <c r="B729" s="178"/>
      <c r="C729" s="178"/>
      <c r="D729" s="178"/>
      <c r="E729" s="178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178"/>
      <c r="B730" s="178"/>
      <c r="C730" s="178"/>
      <c r="D730" s="178"/>
      <c r="E730" s="178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178"/>
      <c r="B731" s="178"/>
      <c r="C731" s="178"/>
      <c r="D731" s="178"/>
      <c r="E731" s="178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178"/>
      <c r="B732" s="178"/>
      <c r="C732" s="178"/>
      <c r="D732" s="178"/>
      <c r="E732" s="178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178"/>
      <c r="B733" s="178"/>
      <c r="C733" s="178"/>
      <c r="D733" s="178"/>
      <c r="E733" s="178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178"/>
      <c r="B734" s="178"/>
      <c r="C734" s="178"/>
      <c r="D734" s="178"/>
      <c r="E734" s="178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178"/>
      <c r="B735" s="178"/>
      <c r="C735" s="178"/>
      <c r="D735" s="178"/>
      <c r="E735" s="178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178"/>
      <c r="B736" s="178"/>
      <c r="C736" s="178"/>
      <c r="D736" s="178"/>
      <c r="E736" s="178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178"/>
      <c r="B737" s="178"/>
      <c r="C737" s="178"/>
      <c r="D737" s="178"/>
      <c r="E737" s="178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178"/>
      <c r="B738" s="178"/>
      <c r="C738" s="178"/>
      <c r="D738" s="178"/>
      <c r="E738" s="178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178"/>
      <c r="B739" s="178"/>
      <c r="C739" s="178"/>
      <c r="D739" s="178"/>
      <c r="E739" s="178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178"/>
      <c r="B740" s="178"/>
      <c r="C740" s="178"/>
      <c r="D740" s="178"/>
      <c r="E740" s="178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178"/>
      <c r="B741" s="178"/>
      <c r="C741" s="178"/>
      <c r="D741" s="178"/>
      <c r="E741" s="178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178"/>
      <c r="B742" s="178"/>
      <c r="C742" s="178"/>
      <c r="D742" s="178"/>
      <c r="E742" s="178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178"/>
      <c r="B743" s="178"/>
      <c r="C743" s="178"/>
      <c r="D743" s="178"/>
      <c r="E743" s="178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178"/>
      <c r="B744" s="178"/>
      <c r="C744" s="178"/>
      <c r="D744" s="178"/>
      <c r="E744" s="178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178"/>
      <c r="B745" s="178"/>
      <c r="C745" s="178"/>
      <c r="D745" s="178"/>
      <c r="E745" s="178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178"/>
      <c r="B746" s="178"/>
      <c r="C746" s="178"/>
      <c r="D746" s="178"/>
      <c r="E746" s="178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178"/>
      <c r="B747" s="178"/>
      <c r="C747" s="178"/>
      <c r="D747" s="178"/>
      <c r="E747" s="178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178"/>
      <c r="B748" s="178"/>
      <c r="C748" s="178"/>
      <c r="D748" s="178"/>
      <c r="E748" s="178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178"/>
      <c r="B749" s="178"/>
      <c r="C749" s="178"/>
      <c r="D749" s="178"/>
      <c r="E749" s="178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178"/>
      <c r="B750" s="178"/>
      <c r="C750" s="178"/>
      <c r="D750" s="178"/>
      <c r="E750" s="178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178"/>
      <c r="B751" s="178"/>
      <c r="C751" s="178"/>
      <c r="D751" s="178"/>
      <c r="E751" s="178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178"/>
      <c r="B752" s="178"/>
      <c r="C752" s="178"/>
      <c r="D752" s="178"/>
      <c r="E752" s="178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178"/>
      <c r="B753" s="178"/>
      <c r="C753" s="178"/>
      <c r="D753" s="178"/>
      <c r="E753" s="178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178"/>
      <c r="B754" s="178"/>
      <c r="C754" s="178"/>
      <c r="D754" s="178"/>
      <c r="E754" s="178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178"/>
      <c r="B755" s="178"/>
      <c r="C755" s="178"/>
      <c r="D755" s="178"/>
      <c r="E755" s="178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178"/>
      <c r="B756" s="178"/>
      <c r="C756" s="178"/>
      <c r="D756" s="178"/>
      <c r="E756" s="178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178"/>
      <c r="B757" s="178"/>
      <c r="C757" s="178"/>
      <c r="D757" s="178"/>
      <c r="E757" s="178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178"/>
      <c r="B758" s="178"/>
      <c r="C758" s="178"/>
      <c r="D758" s="178"/>
      <c r="E758" s="178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178"/>
      <c r="B759" s="178"/>
      <c r="C759" s="178"/>
      <c r="D759" s="178"/>
      <c r="E759" s="178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178"/>
      <c r="B760" s="178"/>
      <c r="C760" s="178"/>
      <c r="D760" s="178"/>
      <c r="E760" s="178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178"/>
      <c r="B761" s="178"/>
      <c r="C761" s="178"/>
      <c r="D761" s="178"/>
      <c r="E761" s="178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178"/>
      <c r="B762" s="178"/>
      <c r="C762" s="178"/>
      <c r="D762" s="178"/>
      <c r="E762" s="178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178"/>
      <c r="B763" s="178"/>
      <c r="C763" s="178"/>
      <c r="D763" s="178"/>
      <c r="E763" s="178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178"/>
      <c r="B764" s="178"/>
      <c r="C764" s="178"/>
      <c r="D764" s="178"/>
      <c r="E764" s="178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178"/>
      <c r="B765" s="178"/>
      <c r="C765" s="178"/>
      <c r="D765" s="178"/>
      <c r="E765" s="178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178"/>
      <c r="B766" s="178"/>
      <c r="C766" s="178"/>
      <c r="D766" s="178"/>
      <c r="E766" s="178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178"/>
      <c r="B767" s="178"/>
      <c r="C767" s="178"/>
      <c r="D767" s="178"/>
      <c r="E767" s="178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178"/>
      <c r="B768" s="178"/>
      <c r="C768" s="178"/>
      <c r="D768" s="178"/>
      <c r="E768" s="178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178"/>
      <c r="B769" s="178"/>
      <c r="C769" s="178"/>
      <c r="D769" s="178"/>
      <c r="E769" s="178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178"/>
      <c r="B770" s="178"/>
      <c r="C770" s="178"/>
      <c r="D770" s="178"/>
      <c r="E770" s="178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178"/>
      <c r="B771" s="178"/>
      <c r="C771" s="178"/>
      <c r="D771" s="178"/>
      <c r="E771" s="178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178"/>
      <c r="B772" s="178"/>
      <c r="C772" s="178"/>
      <c r="D772" s="178"/>
      <c r="E772" s="178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178"/>
      <c r="B773" s="178"/>
      <c r="C773" s="178"/>
      <c r="D773" s="178"/>
      <c r="E773" s="178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178"/>
      <c r="B774" s="178"/>
      <c r="C774" s="178"/>
      <c r="D774" s="178"/>
      <c r="E774" s="178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178"/>
      <c r="B775" s="178"/>
      <c r="C775" s="178"/>
      <c r="D775" s="178"/>
      <c r="E775" s="178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178"/>
      <c r="B776" s="178"/>
      <c r="C776" s="178"/>
      <c r="D776" s="178"/>
      <c r="E776" s="178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178"/>
      <c r="B777" s="178"/>
      <c r="C777" s="178"/>
      <c r="D777" s="178"/>
      <c r="E777" s="178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178"/>
      <c r="B778" s="178"/>
      <c r="C778" s="178"/>
      <c r="D778" s="178"/>
      <c r="E778" s="178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178"/>
      <c r="B779" s="178"/>
      <c r="C779" s="178"/>
      <c r="D779" s="178"/>
      <c r="E779" s="178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178"/>
      <c r="B780" s="178"/>
      <c r="C780" s="178"/>
      <c r="D780" s="178"/>
      <c r="E780" s="178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178"/>
      <c r="B781" s="178"/>
      <c r="C781" s="178"/>
      <c r="D781" s="178"/>
      <c r="E781" s="178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178"/>
      <c r="B782" s="178"/>
      <c r="C782" s="178"/>
      <c r="D782" s="178"/>
      <c r="E782" s="178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178"/>
      <c r="B783" s="178"/>
      <c r="C783" s="178"/>
      <c r="D783" s="178"/>
      <c r="E783" s="178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178"/>
      <c r="B784" s="178"/>
      <c r="C784" s="178"/>
      <c r="D784" s="178"/>
      <c r="E784" s="178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178"/>
      <c r="B785" s="178"/>
      <c r="C785" s="178"/>
      <c r="D785" s="178"/>
      <c r="E785" s="178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178"/>
      <c r="B786" s="178"/>
      <c r="C786" s="178"/>
      <c r="D786" s="178"/>
      <c r="E786" s="178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178"/>
      <c r="B787" s="178"/>
      <c r="C787" s="178"/>
      <c r="D787" s="178"/>
      <c r="E787" s="178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178"/>
      <c r="B788" s="178"/>
      <c r="C788" s="178"/>
      <c r="D788" s="178"/>
      <c r="E788" s="178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178"/>
      <c r="B789" s="178"/>
      <c r="C789" s="178"/>
      <c r="D789" s="178"/>
      <c r="E789" s="178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178"/>
      <c r="B790" s="178"/>
      <c r="C790" s="178"/>
      <c r="D790" s="178"/>
      <c r="E790" s="178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178"/>
      <c r="B791" s="178"/>
      <c r="C791" s="178"/>
      <c r="D791" s="178"/>
      <c r="E791" s="178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178"/>
      <c r="B792" s="178"/>
      <c r="C792" s="178"/>
      <c r="D792" s="178"/>
      <c r="E792" s="178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178"/>
      <c r="B793" s="178"/>
      <c r="C793" s="178"/>
      <c r="D793" s="178"/>
      <c r="E793" s="178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178"/>
      <c r="B794" s="178"/>
      <c r="C794" s="178"/>
      <c r="D794" s="178"/>
      <c r="E794" s="178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178"/>
      <c r="B795" s="178"/>
      <c r="C795" s="178"/>
      <c r="D795" s="178"/>
      <c r="E795" s="178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178"/>
      <c r="B796" s="178"/>
      <c r="C796" s="178"/>
      <c r="D796" s="178"/>
      <c r="E796" s="178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178"/>
      <c r="B797" s="178"/>
      <c r="C797" s="178"/>
      <c r="D797" s="178"/>
      <c r="E797" s="178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178"/>
      <c r="B798" s="178"/>
      <c r="C798" s="178"/>
      <c r="D798" s="178"/>
      <c r="E798" s="178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178"/>
      <c r="B799" s="178"/>
      <c r="C799" s="178"/>
      <c r="D799" s="178"/>
      <c r="E799" s="178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178"/>
      <c r="B800" s="178"/>
      <c r="C800" s="178"/>
      <c r="D800" s="178"/>
      <c r="E800" s="178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178"/>
      <c r="B801" s="178"/>
      <c r="C801" s="178"/>
      <c r="D801" s="178"/>
      <c r="E801" s="178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178"/>
      <c r="B802" s="178"/>
      <c r="C802" s="178"/>
      <c r="D802" s="178"/>
      <c r="E802" s="178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178"/>
      <c r="B803" s="178"/>
      <c r="C803" s="178"/>
      <c r="D803" s="178"/>
      <c r="E803" s="178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178"/>
      <c r="B804" s="178"/>
      <c r="C804" s="178"/>
      <c r="D804" s="178"/>
      <c r="E804" s="178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178"/>
      <c r="B805" s="178"/>
      <c r="C805" s="178"/>
      <c r="D805" s="178"/>
      <c r="E805" s="178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178"/>
      <c r="B806" s="178"/>
      <c r="C806" s="178"/>
      <c r="D806" s="178"/>
      <c r="E806" s="178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178"/>
      <c r="B807" s="178"/>
      <c r="C807" s="178"/>
      <c r="D807" s="178"/>
      <c r="E807" s="178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178"/>
      <c r="B808" s="178"/>
      <c r="C808" s="178"/>
      <c r="D808" s="178"/>
      <c r="E808" s="178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178"/>
      <c r="B809" s="178"/>
      <c r="C809" s="178"/>
      <c r="D809" s="178"/>
      <c r="E809" s="178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178"/>
      <c r="B810" s="178"/>
      <c r="C810" s="178"/>
      <c r="D810" s="178"/>
      <c r="E810" s="178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178"/>
      <c r="B811" s="178"/>
      <c r="C811" s="178"/>
      <c r="D811" s="178"/>
      <c r="E811" s="178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178"/>
      <c r="B812" s="178"/>
      <c r="C812" s="178"/>
      <c r="D812" s="178"/>
      <c r="E812" s="178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178"/>
      <c r="B813" s="178"/>
      <c r="C813" s="178"/>
      <c r="D813" s="178"/>
      <c r="E813" s="178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178"/>
      <c r="B814" s="178"/>
      <c r="C814" s="178"/>
      <c r="D814" s="178"/>
      <c r="E814" s="178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178"/>
      <c r="B815" s="178"/>
      <c r="C815" s="178"/>
      <c r="D815" s="178"/>
      <c r="E815" s="178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178"/>
      <c r="B816" s="178"/>
      <c r="C816" s="178"/>
      <c r="D816" s="178"/>
      <c r="E816" s="178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178"/>
      <c r="B817" s="178"/>
      <c r="C817" s="178"/>
      <c r="D817" s="178"/>
      <c r="E817" s="178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178"/>
      <c r="B818" s="178"/>
      <c r="C818" s="178"/>
      <c r="D818" s="178"/>
      <c r="E818" s="178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178"/>
      <c r="B819" s="178"/>
      <c r="C819" s="178"/>
      <c r="D819" s="178"/>
      <c r="E819" s="178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178"/>
      <c r="B820" s="178"/>
      <c r="C820" s="178"/>
      <c r="D820" s="178"/>
      <c r="E820" s="178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178"/>
      <c r="B821" s="178"/>
      <c r="C821" s="178"/>
      <c r="D821" s="178"/>
      <c r="E821" s="178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178"/>
      <c r="B822" s="178"/>
      <c r="C822" s="178"/>
      <c r="D822" s="178"/>
      <c r="E822" s="178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178"/>
      <c r="B823" s="178"/>
      <c r="C823" s="178"/>
      <c r="D823" s="178"/>
      <c r="E823" s="178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178"/>
      <c r="B824" s="178"/>
      <c r="C824" s="178"/>
      <c r="D824" s="178"/>
      <c r="E824" s="178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178"/>
      <c r="B825" s="178"/>
      <c r="C825" s="178"/>
      <c r="D825" s="178"/>
      <c r="E825" s="178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178"/>
      <c r="B826" s="178"/>
      <c r="C826" s="178"/>
      <c r="D826" s="178"/>
      <c r="E826" s="178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178"/>
      <c r="B827" s="178"/>
      <c r="C827" s="178"/>
      <c r="D827" s="178"/>
      <c r="E827" s="178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178"/>
      <c r="B828" s="178"/>
      <c r="C828" s="178"/>
      <c r="D828" s="178"/>
      <c r="E828" s="178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178"/>
      <c r="B829" s="178"/>
      <c r="C829" s="178"/>
      <c r="D829" s="178"/>
      <c r="E829" s="178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178"/>
      <c r="B830" s="178"/>
      <c r="C830" s="178"/>
      <c r="D830" s="178"/>
      <c r="E830" s="178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178"/>
      <c r="B831" s="178"/>
      <c r="C831" s="178"/>
      <c r="D831" s="178"/>
      <c r="E831" s="178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178"/>
      <c r="B832" s="178"/>
      <c r="C832" s="178"/>
      <c r="D832" s="178"/>
      <c r="E832" s="178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178"/>
      <c r="B833" s="178"/>
      <c r="C833" s="178"/>
      <c r="D833" s="178"/>
      <c r="E833" s="178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178"/>
      <c r="B834" s="178"/>
      <c r="C834" s="178"/>
      <c r="D834" s="178"/>
      <c r="E834" s="178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178"/>
      <c r="B835" s="178"/>
      <c r="C835" s="178"/>
      <c r="D835" s="178"/>
      <c r="E835" s="178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178"/>
      <c r="B836" s="178"/>
      <c r="C836" s="178"/>
      <c r="D836" s="178"/>
      <c r="E836" s="178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178"/>
      <c r="B837" s="178"/>
      <c r="C837" s="178"/>
      <c r="D837" s="178"/>
      <c r="E837" s="178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178"/>
      <c r="B838" s="178"/>
      <c r="C838" s="178"/>
      <c r="D838" s="178"/>
      <c r="E838" s="178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178"/>
      <c r="B839" s="178"/>
      <c r="C839" s="178"/>
      <c r="D839" s="178"/>
      <c r="E839" s="178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178"/>
      <c r="B840" s="178"/>
      <c r="C840" s="178"/>
      <c r="D840" s="178"/>
      <c r="E840" s="178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178"/>
      <c r="B841" s="178"/>
      <c r="C841" s="178"/>
      <c r="D841" s="178"/>
      <c r="E841" s="178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178"/>
      <c r="B842" s="178"/>
      <c r="C842" s="178"/>
      <c r="D842" s="178"/>
      <c r="E842" s="178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178"/>
      <c r="B843" s="178"/>
      <c r="C843" s="178"/>
      <c r="D843" s="178"/>
      <c r="E843" s="178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178"/>
      <c r="B844" s="178"/>
      <c r="C844" s="178"/>
      <c r="D844" s="178"/>
      <c r="E844" s="178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178"/>
      <c r="B845" s="178"/>
      <c r="C845" s="178"/>
      <c r="D845" s="178"/>
      <c r="E845" s="178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178"/>
      <c r="B846" s="178"/>
      <c r="C846" s="178"/>
      <c r="D846" s="178"/>
      <c r="E846" s="178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178"/>
      <c r="B847" s="178"/>
      <c r="C847" s="178"/>
      <c r="D847" s="178"/>
      <c r="E847" s="178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178"/>
      <c r="B848" s="178"/>
      <c r="C848" s="178"/>
      <c r="D848" s="178"/>
      <c r="E848" s="178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178"/>
      <c r="B849" s="178"/>
      <c r="C849" s="178"/>
      <c r="D849" s="178"/>
      <c r="E849" s="178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178"/>
      <c r="B850" s="178"/>
      <c r="C850" s="178"/>
      <c r="D850" s="178"/>
      <c r="E850" s="178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178"/>
      <c r="B851" s="178"/>
      <c r="C851" s="178"/>
      <c r="D851" s="178"/>
      <c r="E851" s="178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178"/>
      <c r="B852" s="178"/>
      <c r="C852" s="178"/>
      <c r="D852" s="178"/>
      <c r="E852" s="178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178"/>
      <c r="B853" s="178"/>
      <c r="C853" s="178"/>
      <c r="D853" s="178"/>
      <c r="E853" s="178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178"/>
      <c r="B854" s="178"/>
      <c r="C854" s="178"/>
      <c r="D854" s="178"/>
      <c r="E854" s="178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178"/>
      <c r="B855" s="178"/>
      <c r="C855" s="178"/>
      <c r="D855" s="178"/>
      <c r="E855" s="178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178"/>
      <c r="B856" s="178"/>
      <c r="C856" s="178"/>
      <c r="D856" s="178"/>
      <c r="E856" s="178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178"/>
      <c r="B857" s="178"/>
      <c r="C857" s="178"/>
      <c r="D857" s="178"/>
      <c r="E857" s="178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178"/>
      <c r="B858" s="178"/>
      <c r="C858" s="178"/>
      <c r="D858" s="178"/>
      <c r="E858" s="178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178"/>
      <c r="B859" s="178"/>
      <c r="C859" s="178"/>
      <c r="D859" s="178"/>
      <c r="E859" s="178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178"/>
      <c r="B860" s="178"/>
      <c r="C860" s="178"/>
      <c r="D860" s="178"/>
      <c r="E860" s="178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178"/>
      <c r="B861" s="178"/>
      <c r="C861" s="178"/>
      <c r="D861" s="178"/>
      <c r="E861" s="178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178"/>
      <c r="B862" s="178"/>
      <c r="C862" s="178"/>
      <c r="D862" s="178"/>
      <c r="E862" s="178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178"/>
      <c r="B863" s="178"/>
      <c r="C863" s="178"/>
      <c r="D863" s="178"/>
      <c r="E863" s="178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178"/>
      <c r="B864" s="178"/>
      <c r="C864" s="178"/>
      <c r="D864" s="178"/>
      <c r="E864" s="178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178"/>
      <c r="B865" s="178"/>
      <c r="C865" s="178"/>
      <c r="D865" s="178"/>
      <c r="E865" s="178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178"/>
      <c r="B866" s="178"/>
      <c r="C866" s="178"/>
      <c r="D866" s="178"/>
      <c r="E866" s="178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178"/>
      <c r="B867" s="178"/>
      <c r="C867" s="178"/>
      <c r="D867" s="178"/>
      <c r="E867" s="178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178"/>
      <c r="B868" s="178"/>
      <c r="C868" s="178"/>
      <c r="D868" s="178"/>
      <c r="E868" s="178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178"/>
      <c r="B869" s="178"/>
      <c r="C869" s="178"/>
      <c r="D869" s="178"/>
      <c r="E869" s="178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178"/>
      <c r="B870" s="178"/>
      <c r="C870" s="178"/>
      <c r="D870" s="178"/>
      <c r="E870" s="178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178"/>
      <c r="B871" s="178"/>
      <c r="C871" s="178"/>
      <c r="D871" s="178"/>
      <c r="E871" s="178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178"/>
      <c r="B872" s="178"/>
      <c r="C872" s="178"/>
      <c r="D872" s="178"/>
      <c r="E872" s="178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178"/>
      <c r="B873" s="178"/>
      <c r="C873" s="178"/>
      <c r="D873" s="178"/>
      <c r="E873" s="178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178"/>
      <c r="B874" s="178"/>
      <c r="C874" s="178"/>
      <c r="D874" s="178"/>
      <c r="E874" s="178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178"/>
      <c r="B875" s="178"/>
      <c r="C875" s="178"/>
      <c r="D875" s="178"/>
      <c r="E875" s="178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178"/>
      <c r="B876" s="178"/>
      <c r="C876" s="178"/>
      <c r="D876" s="178"/>
      <c r="E876" s="178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178"/>
      <c r="B877" s="178"/>
      <c r="C877" s="178"/>
      <c r="D877" s="178"/>
      <c r="E877" s="178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178"/>
      <c r="B878" s="178"/>
      <c r="C878" s="178"/>
      <c r="D878" s="178"/>
      <c r="E878" s="178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178"/>
      <c r="B879" s="178"/>
      <c r="C879" s="178"/>
      <c r="D879" s="178"/>
      <c r="E879" s="178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178"/>
      <c r="B880" s="178"/>
      <c r="C880" s="178"/>
      <c r="D880" s="178"/>
      <c r="E880" s="178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178"/>
      <c r="B881" s="178"/>
      <c r="C881" s="178"/>
      <c r="D881" s="178"/>
      <c r="E881" s="178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178"/>
      <c r="B882" s="178"/>
      <c r="C882" s="178"/>
      <c r="D882" s="178"/>
      <c r="E882" s="178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178"/>
      <c r="B883" s="178"/>
      <c r="C883" s="178"/>
      <c r="D883" s="178"/>
      <c r="E883" s="178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178"/>
      <c r="B884" s="178"/>
      <c r="C884" s="178"/>
      <c r="D884" s="178"/>
      <c r="E884" s="178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178"/>
      <c r="B885" s="178"/>
      <c r="C885" s="178"/>
      <c r="D885" s="178"/>
      <c r="E885" s="178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178"/>
      <c r="B886" s="178"/>
      <c r="C886" s="178"/>
      <c r="D886" s="178"/>
      <c r="E886" s="178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178"/>
      <c r="B887" s="178"/>
      <c r="C887" s="178"/>
      <c r="D887" s="178"/>
      <c r="E887" s="178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178"/>
      <c r="B888" s="178"/>
      <c r="C888" s="178"/>
      <c r="D888" s="178"/>
      <c r="E888" s="178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178"/>
      <c r="B889" s="178"/>
      <c r="C889" s="178"/>
      <c r="D889" s="178"/>
      <c r="E889" s="178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178"/>
      <c r="B890" s="178"/>
      <c r="C890" s="178"/>
      <c r="D890" s="178"/>
      <c r="E890" s="178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178"/>
      <c r="B891" s="178"/>
      <c r="C891" s="178"/>
      <c r="D891" s="178"/>
      <c r="E891" s="178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178"/>
      <c r="B892" s="178"/>
      <c r="C892" s="178"/>
      <c r="D892" s="178"/>
      <c r="E892" s="178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178"/>
      <c r="B893" s="178"/>
      <c r="C893" s="178"/>
      <c r="D893" s="178"/>
      <c r="E893" s="178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178"/>
      <c r="B894" s="178"/>
      <c r="C894" s="178"/>
      <c r="D894" s="178"/>
      <c r="E894" s="178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178"/>
      <c r="B895" s="178"/>
      <c r="C895" s="178"/>
      <c r="D895" s="178"/>
      <c r="E895" s="178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178"/>
      <c r="B896" s="178"/>
      <c r="C896" s="178"/>
      <c r="D896" s="178"/>
      <c r="E896" s="178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178"/>
      <c r="B897" s="178"/>
      <c r="C897" s="178"/>
      <c r="D897" s="178"/>
      <c r="E897" s="178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178"/>
      <c r="B898" s="178"/>
      <c r="C898" s="178"/>
      <c r="D898" s="178"/>
      <c r="E898" s="178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178"/>
      <c r="B899" s="178"/>
      <c r="C899" s="178"/>
      <c r="D899" s="178"/>
      <c r="E899" s="178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178"/>
      <c r="B900" s="178"/>
      <c r="C900" s="178"/>
      <c r="D900" s="178"/>
      <c r="E900" s="178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178"/>
      <c r="B901" s="178"/>
      <c r="C901" s="178"/>
      <c r="D901" s="178"/>
      <c r="E901" s="178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178"/>
      <c r="B902" s="178"/>
      <c r="C902" s="178"/>
      <c r="D902" s="178"/>
      <c r="E902" s="178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178"/>
      <c r="B903" s="178"/>
      <c r="C903" s="178"/>
      <c r="D903" s="178"/>
      <c r="E903" s="178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178"/>
      <c r="B904" s="178"/>
      <c r="C904" s="178"/>
      <c r="D904" s="178"/>
      <c r="E904" s="178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178"/>
      <c r="B905" s="178"/>
      <c r="C905" s="178"/>
      <c r="D905" s="178"/>
      <c r="E905" s="178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178"/>
      <c r="B906" s="178"/>
      <c r="C906" s="178"/>
      <c r="D906" s="178"/>
      <c r="E906" s="178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178"/>
      <c r="B907" s="178"/>
      <c r="C907" s="178"/>
      <c r="D907" s="178"/>
      <c r="E907" s="178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178"/>
      <c r="B908" s="178"/>
      <c r="C908" s="178"/>
      <c r="D908" s="178"/>
      <c r="E908" s="178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178"/>
      <c r="B909" s="178"/>
      <c r="C909" s="178"/>
      <c r="D909" s="178"/>
      <c r="E909" s="178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178"/>
      <c r="B910" s="178"/>
      <c r="C910" s="178"/>
      <c r="D910" s="178"/>
      <c r="E910" s="178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178"/>
      <c r="B911" s="178"/>
      <c r="C911" s="178"/>
      <c r="D911" s="178"/>
      <c r="E911" s="178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178"/>
      <c r="B912" s="178"/>
      <c r="C912" s="178"/>
      <c r="D912" s="178"/>
      <c r="E912" s="178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178"/>
      <c r="B913" s="178"/>
      <c r="C913" s="178"/>
      <c r="D913" s="178"/>
      <c r="E913" s="178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178"/>
      <c r="B914" s="178"/>
      <c r="C914" s="178"/>
      <c r="D914" s="178"/>
      <c r="E914" s="178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178"/>
      <c r="B915" s="178"/>
      <c r="C915" s="178"/>
      <c r="D915" s="178"/>
      <c r="E915" s="178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178"/>
      <c r="B916" s="178"/>
      <c r="C916" s="178"/>
      <c r="D916" s="178"/>
      <c r="E916" s="178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178"/>
      <c r="B917" s="178"/>
      <c r="C917" s="178"/>
      <c r="D917" s="178"/>
      <c r="E917" s="178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178"/>
      <c r="B918" s="178"/>
      <c r="C918" s="178"/>
      <c r="D918" s="178"/>
      <c r="E918" s="178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178"/>
      <c r="B919" s="178"/>
      <c r="C919" s="178"/>
      <c r="D919" s="178"/>
      <c r="E919" s="178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178"/>
      <c r="B920" s="178"/>
      <c r="C920" s="178"/>
      <c r="D920" s="178"/>
      <c r="E920" s="178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178"/>
      <c r="B921" s="178"/>
      <c r="C921" s="178"/>
      <c r="D921" s="178"/>
      <c r="E921" s="178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178"/>
      <c r="B922" s="178"/>
      <c r="C922" s="178"/>
      <c r="D922" s="178"/>
      <c r="E922" s="178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178"/>
      <c r="B923" s="178"/>
      <c r="C923" s="178"/>
      <c r="D923" s="178"/>
      <c r="E923" s="178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178"/>
      <c r="B924" s="178"/>
      <c r="C924" s="178"/>
      <c r="D924" s="178"/>
      <c r="E924" s="178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178"/>
      <c r="B925" s="178"/>
      <c r="C925" s="178"/>
      <c r="D925" s="178"/>
      <c r="E925" s="178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178"/>
      <c r="B926" s="178"/>
      <c r="C926" s="178"/>
      <c r="D926" s="178"/>
      <c r="E926" s="178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178"/>
      <c r="B927" s="178"/>
      <c r="C927" s="178"/>
      <c r="D927" s="178"/>
      <c r="E927" s="178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178"/>
      <c r="B928" s="178"/>
      <c r="C928" s="178"/>
      <c r="D928" s="178"/>
      <c r="E928" s="178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178"/>
      <c r="B929" s="178"/>
      <c r="C929" s="178"/>
      <c r="D929" s="178"/>
      <c r="E929" s="178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178"/>
      <c r="B930" s="178"/>
      <c r="C930" s="178"/>
      <c r="D930" s="178"/>
      <c r="E930" s="178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178"/>
      <c r="B931" s="178"/>
      <c r="C931" s="178"/>
      <c r="D931" s="178"/>
      <c r="E931" s="178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178"/>
      <c r="B932" s="178"/>
      <c r="C932" s="178"/>
      <c r="D932" s="178"/>
      <c r="E932" s="178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178"/>
      <c r="B933" s="178"/>
      <c r="C933" s="178"/>
      <c r="D933" s="178"/>
      <c r="E933" s="178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178"/>
      <c r="B934" s="178"/>
      <c r="C934" s="178"/>
      <c r="D934" s="178"/>
      <c r="E934" s="178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178"/>
      <c r="B935" s="178"/>
      <c r="C935" s="178"/>
      <c r="D935" s="178"/>
      <c r="E935" s="178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178"/>
      <c r="B936" s="178"/>
      <c r="C936" s="178"/>
      <c r="D936" s="178"/>
      <c r="E936" s="178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178"/>
      <c r="B937" s="178"/>
      <c r="C937" s="178"/>
      <c r="D937" s="178"/>
      <c r="E937" s="178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178"/>
      <c r="B938" s="178"/>
      <c r="C938" s="178"/>
      <c r="D938" s="178"/>
      <c r="E938" s="178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178"/>
      <c r="B939" s="178"/>
      <c r="C939" s="178"/>
      <c r="D939" s="178"/>
      <c r="E939" s="178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178"/>
      <c r="B940" s="178"/>
      <c r="C940" s="178"/>
      <c r="D940" s="178"/>
      <c r="E940" s="178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178"/>
      <c r="B941" s="178"/>
      <c r="C941" s="178"/>
      <c r="D941" s="178"/>
      <c r="E941" s="178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178"/>
      <c r="B942" s="178"/>
      <c r="C942" s="178"/>
      <c r="D942" s="178"/>
      <c r="E942" s="178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178"/>
      <c r="B943" s="178"/>
      <c r="C943" s="178"/>
      <c r="D943" s="178"/>
      <c r="E943" s="178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178"/>
      <c r="B944" s="178"/>
      <c r="C944" s="178"/>
      <c r="D944" s="178"/>
      <c r="E944" s="178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178"/>
      <c r="B945" s="178"/>
      <c r="C945" s="178"/>
      <c r="D945" s="178"/>
      <c r="E945" s="178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178"/>
      <c r="B946" s="178"/>
      <c r="C946" s="178"/>
      <c r="D946" s="178"/>
      <c r="E946" s="178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178"/>
      <c r="B947" s="178"/>
      <c r="C947" s="178"/>
      <c r="D947" s="178"/>
      <c r="E947" s="178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178"/>
      <c r="B948" s="178"/>
      <c r="C948" s="178"/>
      <c r="D948" s="178"/>
      <c r="E948" s="178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178"/>
      <c r="B949" s="178"/>
      <c r="C949" s="178"/>
      <c r="D949" s="178"/>
      <c r="E949" s="178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178"/>
      <c r="B950" s="178"/>
      <c r="C950" s="178"/>
      <c r="D950" s="178"/>
      <c r="E950" s="178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178"/>
      <c r="B951" s="178"/>
      <c r="C951" s="178"/>
      <c r="D951" s="178"/>
      <c r="E951" s="178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178"/>
      <c r="B952" s="178"/>
      <c r="C952" s="178"/>
      <c r="D952" s="178"/>
      <c r="E952" s="178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178"/>
      <c r="B953" s="178"/>
      <c r="C953" s="178"/>
      <c r="D953" s="178"/>
      <c r="E953" s="178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178"/>
      <c r="B954" s="178"/>
      <c r="C954" s="178"/>
      <c r="D954" s="178"/>
      <c r="E954" s="178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178"/>
      <c r="B955" s="178"/>
      <c r="C955" s="178"/>
      <c r="D955" s="178"/>
      <c r="E955" s="178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178"/>
      <c r="B956" s="178"/>
      <c r="C956" s="178"/>
      <c r="D956" s="178"/>
      <c r="E956" s="178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178"/>
      <c r="B957" s="178"/>
      <c r="C957" s="178"/>
      <c r="D957" s="178"/>
      <c r="E957" s="178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178"/>
      <c r="B958" s="178"/>
      <c r="C958" s="178"/>
      <c r="D958" s="178"/>
      <c r="E958" s="178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178"/>
      <c r="B959" s="178"/>
      <c r="C959" s="178"/>
      <c r="D959" s="178"/>
      <c r="E959" s="178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178"/>
      <c r="B960" s="178"/>
      <c r="C960" s="178"/>
      <c r="D960" s="178"/>
      <c r="E960" s="178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178"/>
      <c r="B961" s="178"/>
      <c r="C961" s="178"/>
      <c r="D961" s="178"/>
      <c r="E961" s="178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178"/>
      <c r="B962" s="178"/>
      <c r="C962" s="178"/>
      <c r="D962" s="178"/>
      <c r="E962" s="178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178"/>
      <c r="B963" s="178"/>
      <c r="C963" s="178"/>
      <c r="D963" s="178"/>
      <c r="E963" s="178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178"/>
      <c r="B964" s="178"/>
      <c r="C964" s="178"/>
      <c r="D964" s="178"/>
      <c r="E964" s="178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178"/>
      <c r="B965" s="178"/>
      <c r="C965" s="178"/>
      <c r="D965" s="178"/>
      <c r="E965" s="178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178"/>
      <c r="B966" s="178"/>
      <c r="C966" s="178"/>
      <c r="D966" s="178"/>
      <c r="E966" s="178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178"/>
      <c r="B967" s="178"/>
      <c r="C967" s="178"/>
      <c r="D967" s="178"/>
      <c r="E967" s="178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178"/>
      <c r="B968" s="178"/>
      <c r="C968" s="178"/>
      <c r="D968" s="178"/>
      <c r="E968" s="178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178"/>
      <c r="B969" s="178"/>
      <c r="C969" s="178"/>
      <c r="D969" s="178"/>
      <c r="E969" s="178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178"/>
      <c r="B970" s="178"/>
      <c r="C970" s="178"/>
      <c r="D970" s="178"/>
      <c r="E970" s="178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178"/>
      <c r="B971" s="178"/>
      <c r="C971" s="178"/>
      <c r="D971" s="178"/>
      <c r="E971" s="178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178"/>
      <c r="B972" s="178"/>
      <c r="C972" s="178"/>
      <c r="D972" s="178"/>
      <c r="E972" s="178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178"/>
      <c r="B973" s="178"/>
      <c r="C973" s="178"/>
      <c r="D973" s="178"/>
      <c r="E973" s="178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178"/>
      <c r="B974" s="178"/>
      <c r="C974" s="178"/>
      <c r="D974" s="178"/>
      <c r="E974" s="178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178"/>
      <c r="B975" s="178"/>
      <c r="C975" s="178"/>
      <c r="D975" s="178"/>
      <c r="E975" s="178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178"/>
      <c r="B976" s="178"/>
      <c r="C976" s="178"/>
      <c r="D976" s="178"/>
      <c r="E976" s="178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178"/>
      <c r="B977" s="178"/>
      <c r="C977" s="178"/>
      <c r="D977" s="178"/>
      <c r="E977" s="178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178"/>
      <c r="B978" s="178"/>
      <c r="C978" s="178"/>
      <c r="D978" s="178"/>
      <c r="E978" s="178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178"/>
      <c r="B979" s="178"/>
      <c r="C979" s="178"/>
      <c r="D979" s="178"/>
      <c r="E979" s="178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178"/>
      <c r="B980" s="178"/>
      <c r="C980" s="178"/>
      <c r="D980" s="178"/>
      <c r="E980" s="178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178"/>
      <c r="B981" s="178"/>
      <c r="C981" s="178"/>
      <c r="D981" s="178"/>
      <c r="E981" s="178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178"/>
      <c r="B982" s="178"/>
      <c r="C982" s="178"/>
      <c r="D982" s="178"/>
      <c r="E982" s="178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178"/>
      <c r="B983" s="178"/>
      <c r="C983" s="178"/>
      <c r="D983" s="178"/>
      <c r="E983" s="178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178"/>
      <c r="B984" s="178"/>
      <c r="C984" s="178"/>
      <c r="D984" s="178"/>
      <c r="E984" s="178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178"/>
      <c r="B985" s="178"/>
      <c r="C985" s="178"/>
      <c r="D985" s="178"/>
      <c r="E985" s="178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178"/>
      <c r="B986" s="178"/>
      <c r="C986" s="178"/>
      <c r="D986" s="178"/>
      <c r="E986" s="178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178"/>
      <c r="B987" s="178"/>
      <c r="C987" s="178"/>
      <c r="D987" s="178"/>
      <c r="E987" s="178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178"/>
      <c r="B988" s="178"/>
      <c r="C988" s="178"/>
      <c r="D988" s="178"/>
      <c r="E988" s="178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178"/>
      <c r="B989" s="178"/>
      <c r="C989" s="178"/>
      <c r="D989" s="178"/>
      <c r="E989" s="178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178"/>
      <c r="B990" s="178"/>
      <c r="C990" s="178"/>
      <c r="D990" s="178"/>
      <c r="E990" s="178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178"/>
      <c r="B991" s="178"/>
      <c r="C991" s="178"/>
      <c r="D991" s="178"/>
      <c r="E991" s="178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178"/>
      <c r="B992" s="178"/>
      <c r="C992" s="178"/>
      <c r="D992" s="178"/>
      <c r="E992" s="178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178"/>
      <c r="B993" s="178"/>
      <c r="C993" s="178"/>
      <c r="D993" s="178"/>
      <c r="E993" s="178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178"/>
      <c r="B994" s="178"/>
      <c r="C994" s="178"/>
      <c r="D994" s="178"/>
      <c r="E994" s="178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178"/>
      <c r="B995" s="178"/>
      <c r="C995" s="178"/>
      <c r="D995" s="178"/>
      <c r="E995" s="178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</sheetData>
  <mergeCells count="1">
    <mergeCell ref="G8:H8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42.63"/>
    <col customWidth="1" min="3" max="3" width="14.75"/>
    <col customWidth="1" min="4" max="4" width="39.38"/>
    <col customWidth="1" min="5" max="5" width="10.38"/>
    <col customWidth="1" min="7" max="7" width="76.8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178"/>
      <c r="G1" s="80" t="s">
        <v>5</v>
      </c>
      <c r="H1" s="81">
        <f>H4</f>
        <v>33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146" t="s">
        <v>1216</v>
      </c>
      <c r="B2" s="73" t="str">
        <f t="array" ref="B2">IFERROR(XLOOKUP(A2, BASE!E:E, BASE!B:B), "")
</f>
        <v>LM Hub_SP_Registro</v>
      </c>
      <c r="C2" s="73" t="str">
        <f t="array" ref="C2">IFERROR(XLOOKUP(A2, BASE!E:E, BASE!C:C), "")
</f>
        <v>HUB-LSP-40</v>
      </c>
      <c r="D2" s="73" t="s">
        <v>1217</v>
      </c>
      <c r="E2" s="168">
        <f t="array" ref="E2">IFERROR(XLOOKUP(A2, BASE!E:E, BASE!H:H), "")
</f>
        <v>46050.25</v>
      </c>
      <c r="F2" s="178"/>
      <c r="G2" s="82" t="s">
        <v>9</v>
      </c>
      <c r="H2" s="82">
        <f>COUNTIF(C:C,"*LSP*")
</f>
        <v>22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149" t="s">
        <v>1218</v>
      </c>
      <c r="B3" s="73" t="str">
        <f t="array" ref="B3">IFERROR(XLOOKUP(A3, BASE!E:E, BASE!B:B), "")
</f>
        <v>LM Hub_SP_Atibaia_Ponte_Alta</v>
      </c>
      <c r="C3" s="73" t="str">
        <f t="array" ref="C3">IFERROR(XLOOKUP(A3, BASE!E:E, BASE!C:C), "")
</f>
        <v>HUB-LSP-87</v>
      </c>
      <c r="D3" s="73">
        <f t="array" ref="D3">IFERROR(XLOOKUP(A3, BASE!E:E, BASE!D:D), "")
</f>
        <v>23</v>
      </c>
      <c r="E3" s="168">
        <f t="array" ref="E3">IFERROR(XLOOKUP(A3, BASE!E:E, BASE!H:H), "")
</f>
        <v>46050.27083</v>
      </c>
      <c r="F3" s="178"/>
      <c r="G3" s="82" t="s">
        <v>13</v>
      </c>
      <c r="H3" s="82">
        <f>COUNTIF(C:C,"*SOC*")
</f>
        <v>12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169" t="s">
        <v>1219</v>
      </c>
      <c r="B4" s="73" t="str">
        <f t="array" ref="B4">IFERROR(XLOOKUP(A4, BASE!E:E, BASE!B:B), "")
</f>
        <v>LM Hub_SP_Taubaté</v>
      </c>
      <c r="C4" s="73" t="str">
        <f t="array" ref="C4">IFERROR(XLOOKUP(A4, BASE!E:E, BASE!C:C), "")
</f>
        <v>HUB-LSP-08</v>
      </c>
      <c r="D4" s="73">
        <f t="array" ref="D4">IFERROR(XLOOKUP(A4, BASE!E:E, BASE!D:D), "")
</f>
        <v>29</v>
      </c>
      <c r="E4" s="168">
        <f t="array" ref="E4">IFERROR(XLOOKUP(A4, BASE!E:E, BASE!H:H), "")
</f>
        <v>46050.27083</v>
      </c>
      <c r="F4" s="178"/>
      <c r="G4" s="82" t="s">
        <v>810</v>
      </c>
      <c r="H4" s="198">
        <f>COUNTIFS(D:D,"&gt;=5",D:D,"&lt;=114")</f>
        <v>33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69" t="s">
        <v>1220</v>
      </c>
      <c r="B5" s="73" t="str">
        <f t="array" ref="B5">IFERROR(XLOOKUP(A5, BASE!E:E, BASE!B:B), "")
</f>
        <v>LM Hub_SP_Sorocaba_Região Norte</v>
      </c>
      <c r="C5" s="73" t="str">
        <f t="array" ref="C5">IFERROR(XLOOKUP(A5, BASE!E:E, BASE!C:C), "")
</f>
        <v>HUB-LSP-10</v>
      </c>
      <c r="D5" s="73">
        <f t="array" ref="D5">IFERROR(XLOOKUP(A5, BASE!E:E, BASE!D:D), "")
</f>
        <v>21</v>
      </c>
      <c r="E5" s="168">
        <f t="array" ref="E5">IFERROR(XLOOKUP(A5, BASE!E:E, BASE!H:H), "")
</f>
        <v>46050.27083</v>
      </c>
      <c r="F5" s="178"/>
      <c r="G5" s="82" t="s">
        <v>20</v>
      </c>
      <c r="H5" s="82">
        <f>COUNTIF(D:D,"*NÃO DOCOU*")</f>
        <v>0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169" t="s">
        <v>1221</v>
      </c>
      <c r="B6" s="73" t="str">
        <f t="array" ref="B6">IFERROR(XLOOKUP(A6, BASE!E:E, BASE!B:B), "")
</f>
        <v>SoC_SC_Itajaí</v>
      </c>
      <c r="C6" s="73" t="str">
        <f t="array" ref="C6">IFERROR(XLOOKUP(A6, BASE!E:E, BASE!C:C), "")
</f>
        <v>SOC-SC1</v>
      </c>
      <c r="D6" s="73">
        <f t="array" ref="D6">IFERROR(XLOOKUP(A6, BASE!E:E, BASE!D:D), "")
</f>
        <v>100</v>
      </c>
      <c r="E6" s="168">
        <f t="array" ref="E6">IFERROR(XLOOKUP(A6, BASE!E:E, BASE!H:H), "")
</f>
        <v>46050.29167</v>
      </c>
      <c r="F6" s="178"/>
      <c r="G6" s="198" t="s">
        <v>25</v>
      </c>
      <c r="H6" s="199">
        <f>COUNTIF(D:D,"*NÃO CHEGOU*")
</f>
        <v>1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149" t="s">
        <v>1222</v>
      </c>
      <c r="B7" s="73" t="str">
        <f t="array" ref="B7">IFERROR(XLOOKUP(A7, BASE!E:E, BASE!B:B), "")
</f>
        <v>SoC_SC_Itajaí</v>
      </c>
      <c r="C7" s="73" t="str">
        <f t="array" ref="C7">IFERROR(XLOOKUP(A7, BASE!E:E, BASE!C:C), "")
</f>
        <v>SOC-SC1</v>
      </c>
      <c r="D7" s="73">
        <f t="array" ref="D7">IFERROR(XLOOKUP(A7, BASE!E:E, BASE!D:D), "")
</f>
        <v>101</v>
      </c>
      <c r="E7" s="168">
        <f t="array" ref="E7">IFERROR(XLOOKUP(A7, BASE!E:E, BASE!H:H), "")
</f>
        <v>46050.29167</v>
      </c>
      <c r="F7" s="178"/>
      <c r="G7" s="82" t="s">
        <v>815</v>
      </c>
      <c r="H7" s="82">
        <f>COUNTIF(D:D,"*DRIVER DUPLICADO*")</f>
        <v>0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169" t="s">
        <v>1223</v>
      </c>
      <c r="B8" s="73" t="str">
        <f t="array" ref="B8">IFERROR(XLOOKUP(A8, BASE!E:E, BASE!B:B), "")
</f>
        <v>SoC_GO_Goiânia_02</v>
      </c>
      <c r="C8" s="73" t="str">
        <f t="array" ref="C8">IFERROR(XLOOKUP(A8, BASE!E:E, BASE!C:C), "")
</f>
        <v>SOC-GO2</v>
      </c>
      <c r="D8" s="73">
        <f t="array" ref="D8">IFERROR(XLOOKUP(A8, BASE!E:E, BASE!D:D), "")
</f>
        <v>87</v>
      </c>
      <c r="E8" s="168">
        <f t="array" ref="E8">IFERROR(XLOOKUP(A8, BASE!E:E, BASE!H:H), "")
</f>
        <v>46050.29167</v>
      </c>
      <c r="F8" s="178"/>
      <c r="G8" s="18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169" t="s">
        <v>1224</v>
      </c>
      <c r="B9" s="73" t="str">
        <f t="array" ref="B9">IFERROR(XLOOKUP(A9, BASE!E:E, BASE!B:B), "")
</f>
        <v>LM Hub_SP_Piracicaba</v>
      </c>
      <c r="C9" s="73" t="str">
        <f t="array" ref="C9">IFERROR(XLOOKUP(A9, BASE!E:E, BASE!C:C), "")
</f>
        <v>HUB-LSP-62</v>
      </c>
      <c r="D9" s="73">
        <f t="array" ref="D9">IFERROR(XLOOKUP(A9, BASE!E:E, BASE!D:D), "")
</f>
        <v>26</v>
      </c>
      <c r="E9" s="168">
        <f t="array" ref="E9">IFERROR(XLOOKUP(A9, BASE!E:E, BASE!H:H), "")
</f>
        <v>46050.29167</v>
      </c>
      <c r="F9" s="178"/>
      <c r="G9" s="9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169" t="s">
        <v>1225</v>
      </c>
      <c r="B10" s="73" t="str">
        <f t="array" ref="B10">IFERROR(XLOOKUP(A10, BASE!E:E, BASE!B:B), "")
</f>
        <v>LM Hub_SP_Santos_PraiaGrande_02</v>
      </c>
      <c r="C10" s="73" t="str">
        <f t="array" ref="C10">IFERROR(XLOOKUP(A10, BASE!E:E, BASE!C:C), "")
</f>
        <v>HUB-LSP-63</v>
      </c>
      <c r="D10" s="73">
        <f t="array" ref="D10">IFERROR(XLOOKUP(A10, BASE!E:E, BASE!D:D), "")
</f>
        <v>53</v>
      </c>
      <c r="E10" s="168">
        <f t="array" ref="E10">IFERROR(XLOOKUP(A10, BASE!E:E, BASE!H:H), "")
</f>
        <v>46050.29167</v>
      </c>
      <c r="F10" s="178"/>
      <c r="G10" s="9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169" t="s">
        <v>1226</v>
      </c>
      <c r="B11" s="73" t="str">
        <f t="array" ref="B11">IFERROR(XLOOKUP(A11, BASE!E:E, BASE!B:B), "")
</f>
        <v>LM Hub_SP_Barueri_01</v>
      </c>
      <c r="C11" s="73" t="str">
        <f t="array" ref="C11">IFERROR(XLOOKUP(A11, BASE!E:E, BASE!C:C), "")
</f>
        <v>HUB-LSP-81</v>
      </c>
      <c r="D11" s="73">
        <f t="array" ref="D11">IFERROR(XLOOKUP(A11, BASE!E:E, BASE!D:D), "")
</f>
        <v>17</v>
      </c>
      <c r="E11" s="168">
        <f t="array" ref="E11">IFERROR(XLOOKUP(A11, BASE!E:E, BASE!H:H), "")
</f>
        <v>46050.29167</v>
      </c>
      <c r="F11" s="178"/>
      <c r="G11" s="200"/>
      <c r="H11" s="178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169" t="s">
        <v>1227</v>
      </c>
      <c r="B12" s="73" t="str">
        <f t="array" ref="B12">IFERROR(XLOOKUP(A12, BASE!E:E, BASE!B:B), "")
</f>
        <v>LM Hub_SP_Jundiaí</v>
      </c>
      <c r="C12" s="73" t="str">
        <f t="array" ref="C12">IFERROR(XLOOKUP(A12, BASE!E:E, BASE!C:C), "")
</f>
        <v>HUB-LSP-100</v>
      </c>
      <c r="D12" s="73">
        <f t="array" ref="D12">IFERROR(XLOOKUP(A12, BASE!E:E, BASE!D:D), "")
</f>
        <v>28</v>
      </c>
      <c r="E12" s="168">
        <f t="array" ref="E12">IFERROR(XLOOKUP(A12, BASE!E:E, BASE!H:H), "")
</f>
        <v>46050.29167</v>
      </c>
      <c r="F12" s="178"/>
      <c r="G12" s="200"/>
      <c r="H12" s="178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94" t="s">
        <v>1228</v>
      </c>
      <c r="B13" s="73" t="str">
        <f t="array" ref="B13">IFERROR(XLOOKUP(A13, BASE!E:E, BASE!B:B), "")
</f>
        <v>SoC_PR_Curitiba</v>
      </c>
      <c r="C13" s="73" t="str">
        <f t="array" ref="C13">IFERROR(XLOOKUP(A13, BASE!E:E, BASE!C:C), "")
</f>
        <v>SOC-PR1</v>
      </c>
      <c r="D13" s="73">
        <f t="array" ref="D13">IFERROR(XLOOKUP(A13, BASE!E:E, BASE!D:D), "")
</f>
        <v>43</v>
      </c>
      <c r="E13" s="168">
        <f t="array" ref="E13">IFERROR(XLOOKUP(A13, BASE!E:E, BASE!H:H), "")
</f>
        <v>46050.3</v>
      </c>
      <c r="F13" s="178"/>
      <c r="G13" s="84" t="s">
        <v>1229</v>
      </c>
      <c r="H13" s="9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94" t="s">
        <v>1230</v>
      </c>
      <c r="B14" s="73" t="str">
        <f t="array" ref="B14">IFERROR(XLOOKUP(A14, BASE!E:E, BASE!B:B), "")
</f>
        <v>LM Hub_SP_Itapevi</v>
      </c>
      <c r="C14" s="73" t="str">
        <f t="array" ref="C14">IFERROR(XLOOKUP(A14, BASE!E:E, BASE!C:C), "")
</f>
        <v>HUB-LSP-41</v>
      </c>
      <c r="D14" s="73">
        <f t="array" ref="D14">IFERROR(XLOOKUP(A14, BASE!E:E, BASE!D:D), "")
</f>
        <v>35</v>
      </c>
      <c r="E14" s="168">
        <f t="array" ref="E14">IFERROR(XLOOKUP(A14, BASE!E:E, BASE!H:H), "")
</f>
        <v>46050.3125</v>
      </c>
      <c r="F14" s="178"/>
      <c r="G14" s="187" t="s">
        <v>653</v>
      </c>
      <c r="H14" s="178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169" t="s">
        <v>1231</v>
      </c>
      <c r="B15" s="73" t="str">
        <f t="array" ref="B15">IFERROR(XLOOKUP(A15, BASE!E:E, BASE!B:B), "")
</f>
        <v>LM Hub_SP_Santos_Praia Grande</v>
      </c>
      <c r="C15" s="73" t="str">
        <f t="array" ref="C15">IFERROR(XLOOKUP(A15, BASE!E:E, BASE!C:C), "")
</f>
        <v>HUB-LSP-09</v>
      </c>
      <c r="D15" s="73">
        <f t="array" ref="D15">IFERROR(XLOOKUP(A15, BASE!E:E, BASE!D:D), "")
</f>
        <v>36</v>
      </c>
      <c r="E15" s="168">
        <f t="array" ref="E15">IFERROR(XLOOKUP(A15, BASE!E:E, BASE!H:H), "")
</f>
        <v>46050.3125</v>
      </c>
      <c r="F15" s="178"/>
      <c r="G15" s="178"/>
      <c r="H15" s="178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169" t="s">
        <v>1232</v>
      </c>
      <c r="B16" s="73" t="str">
        <f t="array" ref="B16">IFERROR(XLOOKUP(A16, BASE!E:E, BASE!B:B), "")
</f>
        <v>LM Hub_SP_Várzea Paulista</v>
      </c>
      <c r="C16" s="73" t="str">
        <f t="array" ref="C16">IFERROR(XLOOKUP(A16, BASE!E:E, BASE!C:C), "")
</f>
        <v>HUB-LSP-20</v>
      </c>
      <c r="D16" s="73">
        <f t="array" ref="D16">IFERROR(XLOOKUP(A16, BASE!E:E, BASE!D:D), "")
</f>
        <v>5</v>
      </c>
      <c r="E16" s="168">
        <f t="array" ref="E16">IFERROR(XLOOKUP(A16, BASE!E:E, BASE!H:H), "")
</f>
        <v>46050.3125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169" t="s">
        <v>1233</v>
      </c>
      <c r="B17" s="73" t="str">
        <f t="array" ref="B17">IFERROR(XLOOKUP(A17, BASE!E:E, BASE!B:B), "")
</f>
        <v>LM Hub_SP_São José dos Campos</v>
      </c>
      <c r="C17" s="73" t="str">
        <f t="array" ref="C17">IFERROR(XLOOKUP(A17, BASE!E:E, BASE!C:C), "")
</f>
        <v>HUB-LSP-04</v>
      </c>
      <c r="D17" s="73">
        <f t="array" ref="D17">IFERROR(XLOOKUP(A17, BASE!E:E, BASE!D:D), "")
</f>
        <v>13</v>
      </c>
      <c r="E17" s="168">
        <f t="array" ref="E17">IFERROR(XLOOKUP(A17, BASE!E:E, BASE!H:H), "")
</f>
        <v>46050.3125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94" t="s">
        <v>1234</v>
      </c>
      <c r="B18" s="73" t="str">
        <f t="array" ref="B18">IFERROR(XLOOKUP(A18, BASE!E:E, BASE!B:B), "")
</f>
        <v>LM Hub_SP_São Paulo_Mooca</v>
      </c>
      <c r="C18" s="73" t="str">
        <f t="array" ref="C18">IFERROR(XLOOKUP(A18, BASE!E:E, BASE!C:C), "")
</f>
        <v>HUB-LSP-13</v>
      </c>
      <c r="D18" s="73" t="s">
        <v>25</v>
      </c>
      <c r="E18" s="168">
        <f t="array" ref="E18">IFERROR(XLOOKUP(A18, BASE!E:E, BASE!H:H), "")
</f>
        <v>46050.3125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169" t="s">
        <v>1235</v>
      </c>
      <c r="B19" s="73" t="str">
        <f t="array" ref="B19">IFERROR(XLOOKUP(A19, BASE!E:E, BASE!B:B), "")
</f>
        <v>LM Hub_SP_Guarujá</v>
      </c>
      <c r="C19" s="73" t="str">
        <f t="array" ref="C19">IFERROR(XLOOKUP(A19, BASE!E:E, BASE!C:C), "")
</f>
        <v>HUB-LSP-06</v>
      </c>
      <c r="D19" s="73">
        <f t="array" ref="D19">IFERROR(XLOOKUP(A19, BASE!E:E, BASE!D:D), "")
</f>
        <v>32</v>
      </c>
      <c r="E19" s="168">
        <f t="array" ref="E19">IFERROR(XLOOKUP(A19, BASE!E:E, BASE!H:H), "")
</f>
        <v>46050.3125</v>
      </c>
      <c r="F19" s="178"/>
      <c r="G19" s="178"/>
      <c r="H19" s="178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94" t="s">
        <v>1236</v>
      </c>
      <c r="B20" s="73" t="str">
        <f t="array" ref="B20">IFERROR(XLOOKUP(A20, BASE!E:E, BASE!B:B), "")
</f>
        <v>SoC_RJ_Duque de Caxias</v>
      </c>
      <c r="C20" s="73" t="str">
        <f t="array" ref="C20">IFERROR(XLOOKUP(A20, BASE!E:E, BASE!C:C), "")
</f>
        <v>SOC-RJ2</v>
      </c>
      <c r="D20" s="73">
        <f t="array" ref="D20">IFERROR(XLOOKUP(A20, BASE!E:E, BASE!D:D), "")
</f>
        <v>96</v>
      </c>
      <c r="E20" s="168">
        <f t="array" ref="E20">IFERROR(XLOOKUP(A20, BASE!E:E, BASE!H:H), "")
</f>
        <v>46050.33333</v>
      </c>
      <c r="F20" s="178"/>
      <c r="G20" s="178"/>
      <c r="H20" s="178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220" t="s">
        <v>1237</v>
      </c>
      <c r="B21" s="73" t="str">
        <f t="array" ref="B21">IFERROR(XLOOKUP(A21, BASE!E:E, BASE!B:B), "")
</f>
        <v>LM Hub_SP_São Paulo_Lapa</v>
      </c>
      <c r="C21" s="73" t="str">
        <f t="array" ref="C21">IFERROR(XLOOKUP(A21, BASE!E:E, BASE!C:C), "")
</f>
        <v>HUB-LSP-15</v>
      </c>
      <c r="D21" s="73">
        <f t="array" ref="D21">IFERROR(XLOOKUP(A21, BASE!E:E, BASE!D:D), "")
</f>
        <v>33</v>
      </c>
      <c r="E21" s="168">
        <f t="array" ref="E21">IFERROR(XLOOKUP(A21, BASE!E:E, BASE!H:H), "")
</f>
        <v>46050.33333</v>
      </c>
      <c r="F21" s="178"/>
      <c r="G21" s="178"/>
      <c r="H21" s="178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222" t="s">
        <v>1238</v>
      </c>
      <c r="B22" s="73" t="str">
        <f t="array" ref="B22">IFERROR(XLOOKUP(A22, BASE!E:E, BASE!B:B), "")
</f>
        <v>LM Hub_SP_Osasco_02</v>
      </c>
      <c r="C22" s="73" t="str">
        <f t="array" ref="C22">IFERROR(XLOOKUP(A22, BASE!E:E, BASE!C:C), "")
</f>
        <v>HUB-LSP-60</v>
      </c>
      <c r="D22" s="73">
        <f t="array" ref="D22">IFERROR(XLOOKUP(A22, BASE!E:E, BASE!D:D), "")
</f>
        <v>34</v>
      </c>
      <c r="E22" s="168">
        <f t="array" ref="E22">IFERROR(XLOOKUP(A22, BASE!E:E, BASE!H:H), "")
</f>
        <v>46050.33333</v>
      </c>
      <c r="F22" s="178"/>
      <c r="G22" s="178"/>
      <c r="H22" s="178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220" t="s">
        <v>1239</v>
      </c>
      <c r="B23" s="73" t="str">
        <f t="array" ref="B23">IFERROR(XLOOKUP(A23, BASE!E:E, BASE!B:B), "")
</f>
        <v>LM Hub_SP_Artur Alvim</v>
      </c>
      <c r="C23" s="73" t="str">
        <f t="array" ref="C23">IFERROR(XLOOKUP(A23, BASE!E:E, BASE!C:C), "")
</f>
        <v>HUB-LSP-07</v>
      </c>
      <c r="D23" s="73">
        <f t="array" ref="D23">IFERROR(XLOOKUP(A23, BASE!E:E, BASE!D:D), "")
</f>
        <v>27</v>
      </c>
      <c r="E23" s="168">
        <f t="array" ref="E23">IFERROR(XLOOKUP(A23, BASE!E:E, BASE!H:H), "")
</f>
        <v>46050.33333</v>
      </c>
      <c r="F23" s="178"/>
      <c r="G23" s="178"/>
      <c r="H23" s="178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169" t="s">
        <v>1240</v>
      </c>
      <c r="B24" s="73" t="str">
        <f t="array" ref="B24">IFERROR(XLOOKUP(A24, BASE!E:E, BASE!B:B), "")
</f>
        <v>LM Hub_SP_Mooca_02</v>
      </c>
      <c r="C24" s="73" t="str">
        <f t="array" ref="C24">IFERROR(XLOOKUP(A24, BASE!E:E, BASE!C:C), "")
</f>
        <v>HUB-LSP-94</v>
      </c>
      <c r="D24" s="73">
        <f t="array" ref="D24">IFERROR(XLOOKUP(A24, BASE!E:E, BASE!D:D), "")
</f>
        <v>9</v>
      </c>
      <c r="E24" s="168">
        <f t="array" ref="E24">IFERROR(XLOOKUP(A24, BASE!E:E, BASE!H:H), "")
</f>
        <v>46050.33333</v>
      </c>
      <c r="F24" s="178"/>
      <c r="G24" s="178"/>
      <c r="H24" s="178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169" t="s">
        <v>1241</v>
      </c>
      <c r="B25" s="73" t="str">
        <f t="array" ref="B25">IFERROR(XLOOKUP(A25, BASE!E:E, BASE!B:B), "")
</f>
        <v>LM Hub_SP_Jardim Adriana</v>
      </c>
      <c r="C25" s="73" t="str">
        <f t="array" ref="C25">IFERROR(XLOOKUP(A25, BASE!E:E, BASE!C:C), "")
</f>
        <v>HUB-LSP-12</v>
      </c>
      <c r="D25" s="73">
        <f t="array" ref="D25">IFERROR(XLOOKUP(A25, BASE!E:E, BASE!D:D), "")
</f>
        <v>15</v>
      </c>
      <c r="E25" s="168">
        <f t="array" ref="E25">IFERROR(XLOOKUP(A25, BASE!E:E, BASE!H:H), "")
</f>
        <v>46050.33333</v>
      </c>
      <c r="F25" s="178"/>
      <c r="G25" s="178"/>
      <c r="H25" s="178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169" t="s">
        <v>1242</v>
      </c>
      <c r="B26" s="73" t="str">
        <f t="array" ref="B26">IFERROR(XLOOKUP(A26, BASE!E:E, BASE!B:B), "")
</f>
        <v>LM Hub_SP_Itaqua_Zimba</v>
      </c>
      <c r="C26" s="73" t="str">
        <f t="array" ref="C26">IFERROR(XLOOKUP(A26, BASE!E:E, BASE!C:C), "")
</f>
        <v>HUB-LSP-74</v>
      </c>
      <c r="D26" s="73">
        <f t="array" ref="D26">IFERROR(XLOOKUP(A26, BASE!E:E, BASE!D:D), "")
</f>
        <v>14</v>
      </c>
      <c r="E26" s="168">
        <f t="array" ref="E26">IFERROR(XLOOKUP(A26, BASE!E:E, BASE!H:H), "")
</f>
        <v>46050.33333</v>
      </c>
      <c r="F26" s="178"/>
      <c r="G26" s="178"/>
      <c r="H26" s="178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169" t="s">
        <v>1243</v>
      </c>
      <c r="B27" s="73" t="str">
        <f t="array" ref="B27">IFERROR(XLOOKUP(A27, BASE!E:E, BASE!B:B), "")
</f>
        <v>LM Hub_SP_Mauá</v>
      </c>
      <c r="C27" s="73" t="str">
        <f t="array" ref="C27">IFERROR(XLOOKUP(A27, BASE!E:E, BASE!C:C), "")
</f>
        <v>HUB-LSP-64</v>
      </c>
      <c r="D27" s="73">
        <f t="array" ref="D27">IFERROR(XLOOKUP(A27, BASE!E:E, BASE!D:D), "")
</f>
        <v>41</v>
      </c>
      <c r="E27" s="168">
        <f t="array" ref="E27">IFERROR(XLOOKUP(A27, BASE!E:E, BASE!H:H), "")
</f>
        <v>46050.35417</v>
      </c>
      <c r="F27" s="178"/>
      <c r="G27" s="178"/>
      <c r="H27" s="178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169" t="s">
        <v>1244</v>
      </c>
      <c r="B28" s="73" t="str">
        <f t="array" ref="B28">IFERROR(XLOOKUP(A28, BASE!E:E, BASE!B:B), "")
</f>
        <v/>
      </c>
      <c r="C28" s="73" t="str">
        <f t="array" ref="C28">IFERROR(XLOOKUP(A28, BASE!E:E, BASE!C:C), "")
</f>
        <v/>
      </c>
      <c r="D28" s="73" t="str">
        <f t="array" ref="D28">IFERROR(XLOOKUP(A28, BASE!E:E, BASE!D:D), "")
</f>
        <v/>
      </c>
      <c r="E28" s="168" t="str">
        <f t="array" ref="E28">IFERROR(XLOOKUP(A28, BASE!E:E, BASE!H:H), "")
</f>
        <v/>
      </c>
      <c r="F28" s="178"/>
      <c r="G28" s="178"/>
      <c r="H28" s="178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169" t="s">
        <v>1245</v>
      </c>
      <c r="B29" s="73" t="str">
        <f t="array" ref="B29">IFERROR(XLOOKUP(A29, BASE!E:E, BASE!B:B), "")
</f>
        <v>LM Hub_SP_Embu das Artes_02</v>
      </c>
      <c r="C29" s="73" t="str">
        <f t="array" ref="C29">IFERROR(XLOOKUP(A29, BASE!E:E, BASE!C:C), "")
</f>
        <v>HUB-LSP-96</v>
      </c>
      <c r="D29" s="73">
        <f t="array" ref="D29">IFERROR(XLOOKUP(A29, BASE!E:E, BASE!D:D), "")
</f>
        <v>16</v>
      </c>
      <c r="E29" s="168">
        <f t="array" ref="E29">IFERROR(XLOOKUP(A29, BASE!E:E, BASE!H:H), "")
</f>
        <v>46050.375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169" t="s">
        <v>1246</v>
      </c>
      <c r="B30" s="73" t="str">
        <f t="array" ref="B30">IFERROR(XLOOKUP(A30, BASE!E:E, BASE!B:B), "")
</f>
        <v>LM Hub_MG_Belo Horizonte_02</v>
      </c>
      <c r="C30" s="73" t="str">
        <f t="array" ref="C30">IFERROR(XLOOKUP(A30, BASE!E:E, BASE!C:C), "")
</f>
        <v>HUB-LMG-50</v>
      </c>
      <c r="D30" s="73">
        <f t="array" ref="D30">IFERROR(XLOOKUP(A30, BASE!E:E, BASE!D:D), "")
</f>
        <v>114</v>
      </c>
      <c r="E30" s="168">
        <f t="array" ref="E30">IFERROR(XLOOKUP(A30, BASE!E:E, BASE!H:H), "")
</f>
        <v>46050.4375</v>
      </c>
      <c r="F30" s="178"/>
      <c r="G30" s="178"/>
      <c r="H30" s="178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169" t="s">
        <v>1247</v>
      </c>
      <c r="B31" s="73" t="str">
        <f t="array" ref="B31">IFERROR(XLOOKUP(A31, BASE!E:E, BASE!B:B), "")
</f>
        <v>SoC_SP_Cravinhos</v>
      </c>
      <c r="C31" s="73" t="str">
        <f t="array" ref="C31">IFERROR(XLOOKUP(A31, BASE!E:E, BASE!C:C), "")
</f>
        <v>SOC-SP5</v>
      </c>
      <c r="D31" s="73">
        <f t="array" ref="D31">IFERROR(XLOOKUP(A31, BASE!E:E, BASE!D:D), "")
</f>
        <v>94</v>
      </c>
      <c r="E31" s="168">
        <f t="array" ref="E31">IFERROR(XLOOKUP(A31, BASE!E:E, BASE!H:H), "")
</f>
        <v>46050.45833</v>
      </c>
      <c r="F31" s="178"/>
      <c r="G31" s="178"/>
      <c r="H31" s="178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102" t="s">
        <v>1248</v>
      </c>
      <c r="B32" s="73" t="str">
        <f t="array" ref="B32">IFERROR(XLOOKUP(A32, BASE!E:E, BASE!B:B), "")
</f>
        <v>SoC_GO_Goiânia_02</v>
      </c>
      <c r="C32" s="73" t="str">
        <f t="array" ref="C32">IFERROR(XLOOKUP(A32, BASE!E:E, BASE!C:C), "")
</f>
        <v>SOC-GO2</v>
      </c>
      <c r="D32" s="73">
        <f t="array" ref="D32">IFERROR(XLOOKUP(A32, BASE!E:E, BASE!D:D), "")
</f>
        <v>86</v>
      </c>
      <c r="E32" s="168">
        <f t="array" ref="E32">IFERROR(XLOOKUP(A32, BASE!E:E, BASE!H:H), "")
</f>
        <v>46050.45833</v>
      </c>
      <c r="F32" s="178"/>
      <c r="G32" s="178"/>
      <c r="H32" s="178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119" t="s">
        <v>1249</v>
      </c>
      <c r="B33" s="73" t="str">
        <f t="array" ref="B33">IFERROR(XLOOKUP(A33, BASE!E:E, BASE!B:B), "")
</f>
        <v>SoC_RS_Gravataí_02</v>
      </c>
      <c r="C33" s="73" t="str">
        <f t="array" ref="C33">IFERROR(XLOOKUP(A33, BASE!E:E, BASE!C:C), "")
</f>
        <v>SOC-RS2</v>
      </c>
      <c r="D33" s="73">
        <f t="array" ref="D33">IFERROR(XLOOKUP(A33, BASE!E:E, BASE!D:D), "")
</f>
        <v>92</v>
      </c>
      <c r="E33" s="168">
        <f t="array" ref="E33">IFERROR(XLOOKUP(A33, BASE!E:E, BASE!H:H), "")
</f>
        <v>46050.45833</v>
      </c>
      <c r="F33" s="178"/>
      <c r="G33" s="178"/>
      <c r="H33" s="178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119" t="s">
        <v>1250</v>
      </c>
      <c r="B34" s="73" t="str">
        <f t="array" ref="B34">IFERROR(XLOOKUP(A34, BASE!E:E, BASE!B:B), "")
</f>
        <v>SoC_RS_Gravataí_02</v>
      </c>
      <c r="C34" s="73" t="str">
        <f t="array" ref="C34">IFERROR(XLOOKUP(A34, BASE!E:E, BASE!C:C), "")
</f>
        <v>SOC-RS2</v>
      </c>
      <c r="D34" s="73">
        <f t="array" ref="D34">IFERROR(XLOOKUP(A34, BASE!E:E, BASE!D:D), "")
</f>
        <v>93</v>
      </c>
      <c r="E34" s="168">
        <f t="array" ref="E34">IFERROR(XLOOKUP(A34, BASE!E:E, BASE!H:H), "")
</f>
        <v>46050.45833</v>
      </c>
      <c r="F34" s="178"/>
      <c r="G34" s="178"/>
      <c r="H34" s="178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119" t="s">
        <v>1251</v>
      </c>
      <c r="B35" s="73" t="str">
        <f t="array" ref="B35">IFERROR(XLOOKUP(A35, BASE!E:E, BASE!B:B), "")
</f>
        <v>SoC_MG_Betim</v>
      </c>
      <c r="C35" s="73" t="str">
        <f t="array" ref="C35">IFERROR(XLOOKUP(A35, BASE!E:E, BASE!C:C), "")
</f>
        <v>SOC-MG2</v>
      </c>
      <c r="D35" s="73">
        <f t="array" ref="D35">IFERROR(XLOOKUP(A35, BASE!E:E, BASE!D:D), "")
</f>
        <v>90</v>
      </c>
      <c r="E35" s="168">
        <f t="array" ref="E35">IFERROR(XLOOKUP(A35, BASE!E:E, BASE!H:H), "")
</f>
        <v>46050.45833</v>
      </c>
      <c r="F35" s="178"/>
      <c r="G35" s="178"/>
      <c r="H35" s="178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119" t="s">
        <v>1252</v>
      </c>
      <c r="B36" s="73" t="str">
        <f t="array" ref="B36">IFERROR(XLOOKUP(A36, BASE!E:E, BASE!B:B), "")
</f>
        <v>SoC_PE_Jaboatão dos Guararapes</v>
      </c>
      <c r="C36" s="73" t="str">
        <f t="array" ref="C36">IFERROR(XLOOKUP(A36, BASE!E:E, BASE!C:C), "")
</f>
        <v>SOC-PE2</v>
      </c>
      <c r="D36" s="73">
        <f t="array" ref="D36">IFERROR(XLOOKUP(A36, BASE!E:E, BASE!D:D), "")
</f>
        <v>98</v>
      </c>
      <c r="E36" s="168">
        <f t="array" ref="E36">IFERROR(XLOOKUP(A36, BASE!E:E, BASE!H:H), "")
</f>
        <v>46050.66667</v>
      </c>
      <c r="F36" s="178"/>
      <c r="G36" s="178"/>
      <c r="H36" s="178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119" t="s">
        <v>1253</v>
      </c>
      <c r="B37" s="73" t="str">
        <f t="array" ref="B37">IFERROR(XLOOKUP(A37, BASE!E:E, BASE!B:B), "")
</f>
        <v>SoC_RJ_Duque de Caxias</v>
      </c>
      <c r="C37" s="73" t="str">
        <f t="array" ref="C37">IFERROR(XLOOKUP(A37, BASE!E:E, BASE!C:C), "")
</f>
        <v>SOC-RJ2</v>
      </c>
      <c r="D37" s="73">
        <f t="array" ref="D37">IFERROR(XLOOKUP(A37, BASE!E:E, BASE!D:D), "")
</f>
        <v>97</v>
      </c>
      <c r="E37" s="168">
        <f t="array" ref="E37">IFERROR(XLOOKUP(A37, BASE!E:E, BASE!H:H), "")
</f>
        <v>46050.45833</v>
      </c>
      <c r="F37" s="178"/>
      <c r="G37" s="178"/>
      <c r="H37" s="178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133"/>
      <c r="B38" s="131" t="str">
        <f t="array" ref="B38">IFERROR(XLOOKUP(A38, BASE!E:E, BASE!B:B), "")
</f>
        <v/>
      </c>
      <c r="C38" s="131" t="str">
        <f t="array" ref="C38">IFERROR(XLOOKUP(A38, BASE!E:E, BASE!C:C), "")
</f>
        <v/>
      </c>
      <c r="D38" s="131" t="str">
        <f t="array" ref="D38">IFERROR(XLOOKUP(A38, BASE!E:E, BASE!D:D), "")
</f>
        <v/>
      </c>
      <c r="E38" s="221" t="str">
        <f t="array" ref="E38">IFERROR(XLOOKUP(A38, BASE!E:E, BASE!H:H), "")
</f>
        <v/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133"/>
      <c r="B39" s="131" t="str">
        <f t="array" ref="B39">IFERROR(XLOOKUP(A39, BASE!E:E, BASE!B:B), "")
</f>
        <v/>
      </c>
      <c r="C39" s="131" t="str">
        <f t="array" ref="C39">IFERROR(XLOOKUP(A39, BASE!E:E, BASE!C:C), "")
</f>
        <v/>
      </c>
      <c r="D39" s="131" t="str">
        <f t="array" ref="D39">IFERROR(XLOOKUP(A39, BASE!E:E, BASE!D:D), "")
</f>
        <v/>
      </c>
      <c r="E39" s="221" t="str">
        <f t="array" ref="E39">IFERROR(XLOOKUP(A39, BASE!E:E, BASE!H:H), "")
</f>
        <v/>
      </c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133"/>
      <c r="B40" s="131" t="str">
        <f t="array" ref="B40">IFERROR(XLOOKUP(A40, BASE!E:E, BASE!B:B), "")
</f>
        <v/>
      </c>
      <c r="C40" s="131" t="str">
        <f t="array" ref="C40">IFERROR(XLOOKUP(A40, BASE!E:E, BASE!C:C), "")
</f>
        <v/>
      </c>
      <c r="D40" s="131" t="str">
        <f t="array" ref="D40">IFERROR(XLOOKUP(A40, BASE!E:E, BASE!D:D), "")
</f>
        <v/>
      </c>
      <c r="E40" s="221" t="str">
        <f t="array" ref="E40">IFERROR(XLOOKUP(A40, BASE!E:E, BASE!H:H), "")
</f>
        <v/>
      </c>
      <c r="F40" s="178"/>
      <c r="G40" s="178"/>
      <c r="H40" s="178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133"/>
      <c r="B41" s="131" t="str">
        <f t="array" ref="B41">IFERROR(XLOOKUP(A41, BASE!E:E, BASE!B:B), "")
</f>
        <v/>
      </c>
      <c r="C41" s="131" t="str">
        <f t="array" ref="C41">IFERROR(XLOOKUP(A41, BASE!E:E, BASE!C:C), "")
</f>
        <v/>
      </c>
      <c r="D41" s="131" t="str">
        <f t="array" ref="D41">IFERROR(XLOOKUP(A41, BASE!E:E, BASE!D:D), "")
</f>
        <v/>
      </c>
      <c r="E41" s="221" t="str">
        <f t="array" ref="E41">IFERROR(XLOOKUP(A41, BASE!E:E, BASE!H:H), "")
</f>
        <v/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05"/>
      <c r="B42" s="131" t="str">
        <f t="array" ref="B42">IFERROR(XLOOKUP(A42, BASE!E:E, BASE!B:B), "")
</f>
        <v/>
      </c>
      <c r="C42" s="131" t="str">
        <f t="array" ref="C42">IFERROR(XLOOKUP(A42, BASE!E:E, BASE!C:C), "")
</f>
        <v/>
      </c>
      <c r="D42" s="131" t="str">
        <f t="array" ref="D42">IFERROR(XLOOKUP(A42, BASE!E:E, BASE!D:D), "")
</f>
        <v/>
      </c>
      <c r="E42" s="221" t="str">
        <f t="array" ref="E42">IFERROR(XLOOKUP(A42, BASE!E:E, BASE!H:H), "")
</f>
        <v/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05"/>
      <c r="B43" s="131" t="str">
        <f t="array" ref="B43">IFERROR(XLOOKUP(A43, BASE!E:E, BASE!B:B), "")
</f>
        <v/>
      </c>
      <c r="C43" s="131" t="str">
        <f t="array" ref="C43">IFERROR(XLOOKUP(A43, BASE!E:E, BASE!C:C), "")
</f>
        <v/>
      </c>
      <c r="D43" s="131" t="str">
        <f t="array" ref="D43">IFERROR(XLOOKUP(A43, BASE!E:E, BASE!D:D), "")
</f>
        <v/>
      </c>
      <c r="E43" s="221" t="str">
        <f t="array" ref="E43">IFERROR(XLOOKUP(A43, BASE!E:E, BASE!H:H), "")
</f>
        <v/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05"/>
      <c r="B44" s="131" t="str">
        <f t="array" ref="B44">IFERROR(XLOOKUP(A44, BASE!E:E, BASE!B:B), "")
</f>
        <v/>
      </c>
      <c r="C44" s="131" t="str">
        <f t="array" ref="C44">IFERROR(XLOOKUP(A44, BASE!E:E, BASE!C:C), "")
</f>
        <v/>
      </c>
      <c r="D44" s="131" t="str">
        <f t="array" ref="D44">IFERROR(XLOOKUP(A44, BASE!E:E, BASE!D:D), "")
</f>
        <v/>
      </c>
      <c r="E44" s="221" t="str">
        <f t="array" ref="E44">IFERROR(XLOOKUP(A44, BASE!E:E, BASE!H:H), "")
</f>
        <v/>
      </c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05"/>
      <c r="B45" s="131" t="str">
        <f t="array" ref="B45">IFERROR(XLOOKUP(A45, BASE!E:E, BASE!B:B), "")
</f>
        <v/>
      </c>
      <c r="C45" s="131" t="str">
        <f t="array" ref="C45">IFERROR(XLOOKUP(A45, BASE!E:E, BASE!C:C), "")
</f>
        <v/>
      </c>
      <c r="D45" s="131" t="str">
        <f t="array" ref="D45">IFERROR(XLOOKUP(A45, BASE!E:E, BASE!D:D), "")
</f>
        <v/>
      </c>
      <c r="E45" s="221" t="str">
        <f t="array" ref="E45">IFERROR(XLOOKUP(A45, BASE!E:E, BASE!H:H), "")
</f>
        <v/>
      </c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05"/>
      <c r="B46" s="131" t="str">
        <f t="array" ref="B46">IFERROR(XLOOKUP(A46, BASE!E:E, BASE!B:B), "")
</f>
        <v/>
      </c>
      <c r="C46" s="131" t="str">
        <f t="array" ref="C46">IFERROR(XLOOKUP(A46, BASE!E:E, BASE!C:C), "")
</f>
        <v/>
      </c>
      <c r="D46" s="131" t="str">
        <f t="array" ref="D46">IFERROR(XLOOKUP(A46, BASE!E:E, BASE!D:D), "")
</f>
        <v/>
      </c>
      <c r="E46" s="221" t="str">
        <f t="array" ref="E46">IFERROR(XLOOKUP(A46, BASE!E:E, BASE!H:H), "")
</f>
        <v/>
      </c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05"/>
      <c r="B47" s="178"/>
      <c r="C47" s="178"/>
      <c r="D47" s="178"/>
      <c r="E47" s="178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178"/>
      <c r="B48" s="178"/>
      <c r="C48" s="178"/>
      <c r="D48" s="178"/>
      <c r="E48" s="178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178"/>
      <c r="B49" s="178"/>
      <c r="C49" s="178"/>
      <c r="D49" s="178"/>
      <c r="E49" s="178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178"/>
      <c r="B50" s="178"/>
      <c r="C50" s="178"/>
      <c r="D50" s="178"/>
      <c r="E50" s="178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178"/>
      <c r="B51" s="178"/>
      <c r="C51" s="178"/>
      <c r="D51" s="178"/>
      <c r="E51" s="178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178"/>
      <c r="B52" s="178"/>
      <c r="C52" s="178"/>
      <c r="D52" s="178"/>
      <c r="E52" s="178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178"/>
      <c r="B53" s="178"/>
      <c r="C53" s="178"/>
      <c r="D53" s="178"/>
      <c r="E53" s="178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178"/>
      <c r="B54" s="178"/>
      <c r="C54" s="178"/>
      <c r="D54" s="178"/>
      <c r="E54" s="178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178"/>
      <c r="B55" s="178"/>
      <c r="C55" s="178"/>
      <c r="D55" s="178"/>
      <c r="E55" s="178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178"/>
      <c r="B56" s="178"/>
      <c r="C56" s="178"/>
      <c r="D56" s="178"/>
      <c r="E56" s="178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178"/>
      <c r="B57" s="178"/>
      <c r="C57" s="178"/>
      <c r="D57" s="178"/>
      <c r="E57" s="178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178"/>
      <c r="B58" s="178"/>
      <c r="C58" s="178"/>
      <c r="D58" s="178"/>
      <c r="E58" s="178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178"/>
      <c r="B59" s="178"/>
      <c r="C59" s="178"/>
      <c r="D59" s="178"/>
      <c r="E59" s="178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178"/>
      <c r="B60" s="178"/>
      <c r="C60" s="178"/>
      <c r="D60" s="178"/>
      <c r="E60" s="178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178"/>
      <c r="B61" s="178"/>
      <c r="C61" s="178"/>
      <c r="D61" s="178"/>
      <c r="E61" s="178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178"/>
      <c r="B62" s="178"/>
      <c r="C62" s="178"/>
      <c r="D62" s="178"/>
      <c r="E62" s="178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178"/>
      <c r="B63" s="178"/>
      <c r="C63" s="178"/>
      <c r="D63" s="178"/>
      <c r="E63" s="178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178"/>
      <c r="B64" s="178"/>
      <c r="C64" s="178"/>
      <c r="D64" s="178"/>
      <c r="E64" s="178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178"/>
      <c r="B65" s="178"/>
      <c r="C65" s="178"/>
      <c r="D65" s="178"/>
      <c r="E65" s="178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178"/>
      <c r="B66" s="178"/>
      <c r="C66" s="178"/>
      <c r="D66" s="178"/>
      <c r="E66" s="178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178"/>
      <c r="B67" s="178"/>
      <c r="C67" s="178"/>
      <c r="D67" s="178"/>
      <c r="E67" s="178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178"/>
      <c r="B68" s="178"/>
      <c r="C68" s="178"/>
      <c r="D68" s="178"/>
      <c r="E68" s="178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178"/>
      <c r="B69" s="178"/>
      <c r="C69" s="178"/>
      <c r="D69" s="178"/>
      <c r="E69" s="178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178"/>
      <c r="B70" s="178"/>
      <c r="C70" s="178"/>
      <c r="D70" s="178"/>
      <c r="E70" s="178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178"/>
      <c r="B71" s="178"/>
      <c r="C71" s="178"/>
      <c r="D71" s="178"/>
      <c r="E71" s="178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178"/>
      <c r="B72" s="178"/>
      <c r="C72" s="178"/>
      <c r="D72" s="178"/>
      <c r="E72" s="178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178"/>
      <c r="B73" s="178"/>
      <c r="C73" s="178"/>
      <c r="D73" s="178"/>
      <c r="E73" s="178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178"/>
      <c r="B74" s="178"/>
      <c r="C74" s="178"/>
      <c r="D74" s="178"/>
      <c r="E74" s="178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178"/>
      <c r="B75" s="178"/>
      <c r="C75" s="178"/>
      <c r="D75" s="178"/>
      <c r="E75" s="178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178"/>
      <c r="B76" s="178"/>
      <c r="C76" s="178"/>
      <c r="D76" s="178"/>
      <c r="E76" s="178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178"/>
      <c r="B77" s="178"/>
      <c r="C77" s="178"/>
      <c r="D77" s="178"/>
      <c r="E77" s="178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178"/>
      <c r="B78" s="178"/>
      <c r="C78" s="178"/>
      <c r="D78" s="178"/>
      <c r="E78" s="178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178"/>
      <c r="B79" s="178"/>
      <c r="C79" s="178"/>
      <c r="D79" s="178"/>
      <c r="E79" s="178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178"/>
      <c r="B80" s="178"/>
      <c r="C80" s="178"/>
      <c r="D80" s="178"/>
      <c r="E80" s="178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178"/>
      <c r="B81" s="178"/>
      <c r="C81" s="178"/>
      <c r="D81" s="178"/>
      <c r="E81" s="178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178"/>
      <c r="B82" s="178"/>
      <c r="C82" s="178"/>
      <c r="D82" s="178"/>
      <c r="E82" s="178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178"/>
      <c r="B83" s="178"/>
      <c r="C83" s="178"/>
      <c r="D83" s="178"/>
      <c r="E83" s="178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178"/>
      <c r="B84" s="178"/>
      <c r="C84" s="178"/>
      <c r="D84" s="178"/>
      <c r="E84" s="178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178"/>
      <c r="B85" s="178"/>
      <c r="C85" s="178"/>
      <c r="D85" s="178"/>
      <c r="E85" s="178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178"/>
      <c r="B86" s="178"/>
      <c r="C86" s="178"/>
      <c r="D86" s="178"/>
      <c r="E86" s="178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178"/>
      <c r="B87" s="178"/>
      <c r="C87" s="178"/>
      <c r="D87" s="178"/>
      <c r="E87" s="178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178"/>
      <c r="B88" s="178"/>
      <c r="C88" s="178"/>
      <c r="D88" s="178"/>
      <c r="E88" s="178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178"/>
      <c r="B89" s="178"/>
      <c r="C89" s="178"/>
      <c r="D89" s="178"/>
      <c r="E89" s="178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178"/>
      <c r="B90" s="178"/>
      <c r="C90" s="178"/>
      <c r="D90" s="178"/>
      <c r="E90" s="178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178"/>
      <c r="B91" s="178"/>
      <c r="C91" s="178"/>
      <c r="D91" s="178"/>
      <c r="E91" s="178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178"/>
      <c r="B92" s="178"/>
      <c r="C92" s="178"/>
      <c r="D92" s="178"/>
      <c r="E92" s="178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178"/>
      <c r="B93" s="178"/>
      <c r="C93" s="178"/>
      <c r="D93" s="178"/>
      <c r="E93" s="178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178"/>
      <c r="B94" s="178"/>
      <c r="C94" s="178"/>
      <c r="D94" s="178"/>
      <c r="E94" s="178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178"/>
      <c r="B95" s="178"/>
      <c r="C95" s="178"/>
      <c r="D95" s="178"/>
      <c r="E95" s="178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178"/>
      <c r="B96" s="178"/>
      <c r="C96" s="178"/>
      <c r="D96" s="178"/>
      <c r="E96" s="178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178"/>
      <c r="B97" s="178"/>
      <c r="C97" s="178"/>
      <c r="D97" s="178"/>
      <c r="E97" s="178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178"/>
      <c r="B98" s="178"/>
      <c r="C98" s="178"/>
      <c r="D98" s="178"/>
      <c r="E98" s="178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178"/>
      <c r="B99" s="178"/>
      <c r="C99" s="178"/>
      <c r="D99" s="178"/>
      <c r="E99" s="178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178"/>
      <c r="B100" s="178"/>
      <c r="C100" s="178"/>
      <c r="D100" s="178"/>
      <c r="E100" s="178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178"/>
      <c r="B101" s="178"/>
      <c r="C101" s="178"/>
      <c r="D101" s="178"/>
      <c r="E101" s="178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178"/>
      <c r="B102" s="178"/>
      <c r="C102" s="178"/>
      <c r="D102" s="178"/>
      <c r="E102" s="178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178"/>
      <c r="B103" s="178"/>
      <c r="C103" s="178"/>
      <c r="D103" s="178"/>
      <c r="E103" s="178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178"/>
      <c r="B104" s="178"/>
      <c r="C104" s="178"/>
      <c r="D104" s="178"/>
      <c r="E104" s="178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178"/>
      <c r="B105" s="178"/>
      <c r="C105" s="178"/>
      <c r="D105" s="178"/>
      <c r="E105" s="178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178"/>
      <c r="B106" s="178"/>
      <c r="C106" s="178"/>
      <c r="D106" s="178"/>
      <c r="E106" s="178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178"/>
      <c r="B107" s="178"/>
      <c r="C107" s="178"/>
      <c r="D107" s="178"/>
      <c r="E107" s="178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178"/>
      <c r="B108" s="178"/>
      <c r="C108" s="178"/>
      <c r="D108" s="178"/>
      <c r="E108" s="178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178"/>
      <c r="B109" s="178"/>
      <c r="C109" s="178"/>
      <c r="D109" s="178"/>
      <c r="E109" s="178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178"/>
      <c r="B110" s="178"/>
      <c r="C110" s="178"/>
      <c r="D110" s="178"/>
      <c r="E110" s="178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178"/>
      <c r="B111" s="178"/>
      <c r="C111" s="178"/>
      <c r="D111" s="178"/>
      <c r="E111" s="178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178"/>
      <c r="B112" s="178"/>
      <c r="C112" s="178"/>
      <c r="D112" s="178"/>
      <c r="E112" s="178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178"/>
      <c r="B113" s="178"/>
      <c r="C113" s="178"/>
      <c r="D113" s="178"/>
      <c r="E113" s="178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178"/>
      <c r="B114" s="178"/>
      <c r="C114" s="178"/>
      <c r="D114" s="178"/>
      <c r="E114" s="178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178"/>
      <c r="B115" s="178"/>
      <c r="C115" s="178"/>
      <c r="D115" s="178"/>
      <c r="E115" s="178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178"/>
      <c r="B116" s="178"/>
      <c r="C116" s="178"/>
      <c r="D116" s="178"/>
      <c r="E116" s="178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178"/>
      <c r="B117" s="178"/>
      <c r="C117" s="178"/>
      <c r="D117" s="178"/>
      <c r="E117" s="178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178"/>
      <c r="B118" s="178"/>
      <c r="C118" s="178"/>
      <c r="D118" s="178"/>
      <c r="E118" s="178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178"/>
      <c r="B119" s="178"/>
      <c r="C119" s="178"/>
      <c r="D119" s="178"/>
      <c r="E119" s="178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178"/>
      <c r="B120" s="178"/>
      <c r="C120" s="178"/>
      <c r="D120" s="178"/>
      <c r="E120" s="178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178"/>
      <c r="B121" s="178"/>
      <c r="C121" s="178"/>
      <c r="D121" s="178"/>
      <c r="E121" s="178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178"/>
      <c r="B122" s="178"/>
      <c r="C122" s="178"/>
      <c r="D122" s="178"/>
      <c r="E122" s="178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178"/>
      <c r="B123" s="178"/>
      <c r="C123" s="178"/>
      <c r="D123" s="178"/>
      <c r="E123" s="178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178"/>
      <c r="B124" s="178"/>
      <c r="C124" s="178"/>
      <c r="D124" s="178"/>
      <c r="E124" s="178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178"/>
      <c r="B125" s="178"/>
      <c r="C125" s="178"/>
      <c r="D125" s="178"/>
      <c r="E125" s="178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178"/>
      <c r="B126" s="178"/>
      <c r="C126" s="178"/>
      <c r="D126" s="178"/>
      <c r="E126" s="178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178"/>
      <c r="B127" s="178"/>
      <c r="C127" s="178"/>
      <c r="D127" s="178"/>
      <c r="E127" s="178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178"/>
      <c r="B128" s="178"/>
      <c r="C128" s="178"/>
      <c r="D128" s="178"/>
      <c r="E128" s="178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178"/>
      <c r="B129" s="178"/>
      <c r="C129" s="178"/>
      <c r="D129" s="178"/>
      <c r="E129" s="178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178"/>
      <c r="B130" s="178"/>
      <c r="C130" s="178"/>
      <c r="D130" s="178"/>
      <c r="E130" s="178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178"/>
      <c r="B131" s="178"/>
      <c r="C131" s="178"/>
      <c r="D131" s="178"/>
      <c r="E131" s="178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178"/>
      <c r="B132" s="178"/>
      <c r="C132" s="178"/>
      <c r="D132" s="178"/>
      <c r="E132" s="178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178"/>
      <c r="B133" s="178"/>
      <c r="C133" s="178"/>
      <c r="D133" s="178"/>
      <c r="E133" s="178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178"/>
      <c r="B134" s="178"/>
      <c r="C134" s="178"/>
      <c r="D134" s="178"/>
      <c r="E134" s="178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178"/>
      <c r="B135" s="178"/>
      <c r="C135" s="178"/>
      <c r="D135" s="178"/>
      <c r="E135" s="178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178"/>
      <c r="B136" s="178"/>
      <c r="C136" s="178"/>
      <c r="D136" s="178"/>
      <c r="E136" s="178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178"/>
      <c r="B137" s="178"/>
      <c r="C137" s="178"/>
      <c r="D137" s="178"/>
      <c r="E137" s="178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178"/>
      <c r="B138" s="178"/>
      <c r="C138" s="178"/>
      <c r="D138" s="178"/>
      <c r="E138" s="178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178"/>
      <c r="B139" s="178"/>
      <c r="C139" s="178"/>
      <c r="D139" s="178"/>
      <c r="E139" s="178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178"/>
      <c r="B140" s="178"/>
      <c r="C140" s="178"/>
      <c r="D140" s="178"/>
      <c r="E140" s="178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178"/>
      <c r="B141" s="178"/>
      <c r="C141" s="178"/>
      <c r="D141" s="178"/>
      <c r="E141" s="178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178"/>
      <c r="B142" s="178"/>
      <c r="C142" s="178"/>
      <c r="D142" s="178"/>
      <c r="E142" s="178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178"/>
      <c r="B143" s="178"/>
      <c r="C143" s="178"/>
      <c r="D143" s="178"/>
      <c r="E143" s="178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178"/>
      <c r="B144" s="178"/>
      <c r="C144" s="178"/>
      <c r="D144" s="178"/>
      <c r="E144" s="178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178"/>
      <c r="B145" s="178"/>
      <c r="C145" s="178"/>
      <c r="D145" s="178"/>
      <c r="E145" s="178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178"/>
      <c r="B146" s="178"/>
      <c r="C146" s="178"/>
      <c r="D146" s="178"/>
      <c r="E146" s="178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178"/>
      <c r="B147" s="178"/>
      <c r="C147" s="178"/>
      <c r="D147" s="178"/>
      <c r="E147" s="178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178"/>
      <c r="B148" s="178"/>
      <c r="C148" s="178"/>
      <c r="D148" s="178"/>
      <c r="E148" s="178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178"/>
      <c r="B149" s="178"/>
      <c r="C149" s="178"/>
      <c r="D149" s="178"/>
      <c r="E149" s="178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178"/>
      <c r="B150" s="178"/>
      <c r="C150" s="178"/>
      <c r="D150" s="178"/>
      <c r="E150" s="178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178"/>
      <c r="B151" s="178"/>
      <c r="C151" s="178"/>
      <c r="D151" s="178"/>
      <c r="E151" s="178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178"/>
      <c r="B152" s="178"/>
      <c r="C152" s="178"/>
      <c r="D152" s="178"/>
      <c r="E152" s="178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178"/>
      <c r="B153" s="178"/>
      <c r="C153" s="178"/>
      <c r="D153" s="178"/>
      <c r="E153" s="178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178"/>
      <c r="B154" s="178"/>
      <c r="C154" s="178"/>
      <c r="D154" s="178"/>
      <c r="E154" s="178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178"/>
      <c r="B155" s="178"/>
      <c r="C155" s="178"/>
      <c r="D155" s="178"/>
      <c r="E155" s="178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178"/>
      <c r="B156" s="178"/>
      <c r="C156" s="178"/>
      <c r="D156" s="178"/>
      <c r="E156" s="178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178"/>
      <c r="B157" s="178"/>
      <c r="C157" s="178"/>
      <c r="D157" s="178"/>
      <c r="E157" s="178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178"/>
      <c r="B158" s="178"/>
      <c r="C158" s="178"/>
      <c r="D158" s="178"/>
      <c r="E158" s="178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178"/>
      <c r="B159" s="178"/>
      <c r="C159" s="178"/>
      <c r="D159" s="178"/>
      <c r="E159" s="178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178"/>
      <c r="B160" s="178"/>
      <c r="C160" s="178"/>
      <c r="D160" s="178"/>
      <c r="E160" s="178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178"/>
      <c r="B161" s="178"/>
      <c r="C161" s="178"/>
      <c r="D161" s="178"/>
      <c r="E161" s="178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178"/>
      <c r="B162" s="178"/>
      <c r="C162" s="178"/>
      <c r="D162" s="178"/>
      <c r="E162" s="178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178"/>
      <c r="B163" s="178"/>
      <c r="C163" s="178"/>
      <c r="D163" s="178"/>
      <c r="E163" s="178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178"/>
      <c r="B164" s="178"/>
      <c r="C164" s="178"/>
      <c r="D164" s="178"/>
      <c r="E164" s="178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178"/>
      <c r="B165" s="178"/>
      <c r="C165" s="178"/>
      <c r="D165" s="178"/>
      <c r="E165" s="178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178"/>
      <c r="B166" s="178"/>
      <c r="C166" s="178"/>
      <c r="D166" s="178"/>
      <c r="E166" s="178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178"/>
      <c r="B167" s="178"/>
      <c r="C167" s="178"/>
      <c r="D167" s="178"/>
      <c r="E167" s="178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178"/>
      <c r="B168" s="178"/>
      <c r="C168" s="178"/>
      <c r="D168" s="178"/>
      <c r="E168" s="178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178"/>
      <c r="B169" s="178"/>
      <c r="C169" s="178"/>
      <c r="D169" s="178"/>
      <c r="E169" s="178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178"/>
      <c r="B170" s="178"/>
      <c r="C170" s="178"/>
      <c r="D170" s="178"/>
      <c r="E170" s="178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178"/>
      <c r="B171" s="178"/>
      <c r="C171" s="178"/>
      <c r="D171" s="178"/>
      <c r="E171" s="178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178"/>
      <c r="B172" s="178"/>
      <c r="C172" s="178"/>
      <c r="D172" s="178"/>
      <c r="E172" s="178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178"/>
      <c r="B173" s="178"/>
      <c r="C173" s="178"/>
      <c r="D173" s="178"/>
      <c r="E173" s="178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178"/>
      <c r="B174" s="178"/>
      <c r="C174" s="178"/>
      <c r="D174" s="178"/>
      <c r="E174" s="178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178"/>
      <c r="B175" s="178"/>
      <c r="C175" s="178"/>
      <c r="D175" s="178"/>
      <c r="E175" s="178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178"/>
      <c r="B176" s="178"/>
      <c r="C176" s="178"/>
      <c r="D176" s="178"/>
      <c r="E176" s="178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178"/>
      <c r="B177" s="178"/>
      <c r="C177" s="178"/>
      <c r="D177" s="178"/>
      <c r="E177" s="178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178"/>
      <c r="B178" s="178"/>
      <c r="C178" s="178"/>
      <c r="D178" s="178"/>
      <c r="E178" s="178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178"/>
      <c r="B179" s="178"/>
      <c r="C179" s="178"/>
      <c r="D179" s="178"/>
      <c r="E179" s="178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178"/>
      <c r="B180" s="178"/>
      <c r="C180" s="178"/>
      <c r="D180" s="178"/>
      <c r="E180" s="178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178"/>
      <c r="B181" s="178"/>
      <c r="C181" s="178"/>
      <c r="D181" s="178"/>
      <c r="E181" s="178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178"/>
      <c r="B182" s="178"/>
      <c r="C182" s="178"/>
      <c r="D182" s="178"/>
      <c r="E182" s="178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178"/>
      <c r="B183" s="178"/>
      <c r="C183" s="178"/>
      <c r="D183" s="178"/>
      <c r="E183" s="178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178"/>
      <c r="B184" s="178"/>
      <c r="C184" s="178"/>
      <c r="D184" s="178"/>
      <c r="E184" s="178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178"/>
      <c r="B185" s="178"/>
      <c r="C185" s="178"/>
      <c r="D185" s="178"/>
      <c r="E185" s="178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178"/>
      <c r="B186" s="178"/>
      <c r="C186" s="178"/>
      <c r="D186" s="178"/>
      <c r="E186" s="178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178"/>
      <c r="B187" s="178"/>
      <c r="C187" s="178"/>
      <c r="D187" s="178"/>
      <c r="E187" s="178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178"/>
      <c r="B188" s="178"/>
      <c r="C188" s="178"/>
      <c r="D188" s="178"/>
      <c r="E188" s="178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178"/>
      <c r="B189" s="178"/>
      <c r="C189" s="178"/>
      <c r="D189" s="178"/>
      <c r="E189" s="178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178"/>
      <c r="B190" s="178"/>
      <c r="C190" s="178"/>
      <c r="D190" s="178"/>
      <c r="E190" s="178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178"/>
      <c r="B191" s="178"/>
      <c r="C191" s="178"/>
      <c r="D191" s="178"/>
      <c r="E191" s="178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178"/>
      <c r="B192" s="178"/>
      <c r="C192" s="178"/>
      <c r="D192" s="178"/>
      <c r="E192" s="178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178"/>
      <c r="B193" s="178"/>
      <c r="C193" s="178"/>
      <c r="D193" s="178"/>
      <c r="E193" s="178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178"/>
      <c r="B194" s="178"/>
      <c r="C194" s="178"/>
      <c r="D194" s="178"/>
      <c r="E194" s="178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178"/>
      <c r="B195" s="178"/>
      <c r="C195" s="178"/>
      <c r="D195" s="178"/>
      <c r="E195" s="178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178"/>
      <c r="B196" s="178"/>
      <c r="C196" s="178"/>
      <c r="D196" s="178"/>
      <c r="E196" s="178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178"/>
      <c r="B197" s="178"/>
      <c r="C197" s="178"/>
      <c r="D197" s="178"/>
      <c r="E197" s="178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178"/>
      <c r="B198" s="178"/>
      <c r="C198" s="178"/>
      <c r="D198" s="178"/>
      <c r="E198" s="178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178"/>
      <c r="B199" s="178"/>
      <c r="C199" s="178"/>
      <c r="D199" s="178"/>
      <c r="E199" s="178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178"/>
      <c r="B200" s="178"/>
      <c r="C200" s="178"/>
      <c r="D200" s="178"/>
      <c r="E200" s="178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178"/>
      <c r="B201" s="178"/>
      <c r="C201" s="178"/>
      <c r="D201" s="178"/>
      <c r="E201" s="178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178"/>
      <c r="B202" s="178"/>
      <c r="C202" s="178"/>
      <c r="D202" s="178"/>
      <c r="E202" s="178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178"/>
      <c r="B203" s="178"/>
      <c r="C203" s="178"/>
      <c r="D203" s="178"/>
      <c r="E203" s="178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178"/>
      <c r="B204" s="178"/>
      <c r="C204" s="178"/>
      <c r="D204" s="178"/>
      <c r="E204" s="178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178"/>
      <c r="B205" s="178"/>
      <c r="C205" s="178"/>
      <c r="D205" s="178"/>
      <c r="E205" s="178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178"/>
      <c r="B206" s="178"/>
      <c r="C206" s="178"/>
      <c r="D206" s="178"/>
      <c r="E206" s="178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178"/>
      <c r="B207" s="178"/>
      <c r="C207" s="178"/>
      <c r="D207" s="178"/>
      <c r="E207" s="178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178"/>
      <c r="B208" s="178"/>
      <c r="C208" s="178"/>
      <c r="D208" s="178"/>
      <c r="E208" s="178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178"/>
      <c r="B209" s="178"/>
      <c r="C209" s="178"/>
      <c r="D209" s="178"/>
      <c r="E209" s="178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178"/>
      <c r="B210" s="178"/>
      <c r="C210" s="178"/>
      <c r="D210" s="178"/>
      <c r="E210" s="178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178"/>
      <c r="B211" s="178"/>
      <c r="C211" s="178"/>
      <c r="D211" s="178"/>
      <c r="E211" s="178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178"/>
      <c r="B212" s="178"/>
      <c r="C212" s="178"/>
      <c r="D212" s="178"/>
      <c r="E212" s="178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178"/>
      <c r="B213" s="178"/>
      <c r="C213" s="178"/>
      <c r="D213" s="178"/>
      <c r="E213" s="178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178"/>
      <c r="B214" s="178"/>
      <c r="C214" s="178"/>
      <c r="D214" s="178"/>
      <c r="E214" s="178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178"/>
      <c r="B215" s="178"/>
      <c r="C215" s="178"/>
      <c r="D215" s="178"/>
      <c r="E215" s="178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178"/>
      <c r="B216" s="178"/>
      <c r="C216" s="178"/>
      <c r="D216" s="178"/>
      <c r="E216" s="178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178"/>
      <c r="B217" s="178"/>
      <c r="C217" s="178"/>
      <c r="D217" s="178"/>
      <c r="E217" s="178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178"/>
      <c r="B218" s="178"/>
      <c r="C218" s="178"/>
      <c r="D218" s="178"/>
      <c r="E218" s="178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178"/>
      <c r="B219" s="178"/>
      <c r="C219" s="178"/>
      <c r="D219" s="178"/>
      <c r="E219" s="178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178"/>
      <c r="B220" s="178"/>
      <c r="C220" s="178"/>
      <c r="D220" s="178"/>
      <c r="E220" s="178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178"/>
      <c r="B221" s="178"/>
      <c r="C221" s="178"/>
      <c r="D221" s="178"/>
      <c r="E221" s="178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178"/>
      <c r="B222" s="178"/>
      <c r="C222" s="178"/>
      <c r="D222" s="178"/>
      <c r="E222" s="178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178"/>
      <c r="B223" s="178"/>
      <c r="C223" s="178"/>
      <c r="D223" s="178"/>
      <c r="E223" s="178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178"/>
      <c r="B224" s="178"/>
      <c r="C224" s="178"/>
      <c r="D224" s="178"/>
      <c r="E224" s="178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178"/>
      <c r="B225" s="178"/>
      <c r="C225" s="178"/>
      <c r="D225" s="178"/>
      <c r="E225" s="178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178"/>
      <c r="B226" s="178"/>
      <c r="C226" s="178"/>
      <c r="D226" s="178"/>
      <c r="E226" s="178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178"/>
      <c r="B227" s="178"/>
      <c r="C227" s="178"/>
      <c r="D227" s="178"/>
      <c r="E227" s="178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178"/>
      <c r="B228" s="178"/>
      <c r="C228" s="178"/>
      <c r="D228" s="178"/>
      <c r="E228" s="178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178"/>
      <c r="B229" s="178"/>
      <c r="C229" s="178"/>
      <c r="D229" s="178"/>
      <c r="E229" s="178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178"/>
      <c r="B230" s="178"/>
      <c r="C230" s="178"/>
      <c r="D230" s="178"/>
      <c r="E230" s="178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178"/>
      <c r="B231" s="178"/>
      <c r="C231" s="178"/>
      <c r="D231" s="178"/>
      <c r="E231" s="178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178"/>
      <c r="B232" s="178"/>
      <c r="C232" s="178"/>
      <c r="D232" s="178"/>
      <c r="E232" s="178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178"/>
      <c r="B233" s="178"/>
      <c r="C233" s="178"/>
      <c r="D233" s="178"/>
      <c r="E233" s="178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178"/>
      <c r="B234" s="178"/>
      <c r="C234" s="178"/>
      <c r="D234" s="178"/>
      <c r="E234" s="178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178"/>
      <c r="B235" s="178"/>
      <c r="C235" s="178"/>
      <c r="D235" s="178"/>
      <c r="E235" s="178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178"/>
      <c r="B236" s="178"/>
      <c r="C236" s="178"/>
      <c r="D236" s="178"/>
      <c r="E236" s="178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178"/>
      <c r="B237" s="178"/>
      <c r="C237" s="178"/>
      <c r="D237" s="178"/>
      <c r="E237" s="178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178"/>
      <c r="B238" s="178"/>
      <c r="C238" s="178"/>
      <c r="D238" s="178"/>
      <c r="E238" s="178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178"/>
      <c r="B239" s="178"/>
      <c r="C239" s="178"/>
      <c r="D239" s="178"/>
      <c r="E239" s="178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178"/>
      <c r="B240" s="178"/>
      <c r="C240" s="178"/>
      <c r="D240" s="178"/>
      <c r="E240" s="178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178"/>
      <c r="B241" s="178"/>
      <c r="C241" s="178"/>
      <c r="D241" s="178"/>
      <c r="E241" s="178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178"/>
      <c r="B242" s="178"/>
      <c r="C242" s="178"/>
      <c r="D242" s="178"/>
      <c r="E242" s="178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178"/>
      <c r="B243" s="178"/>
      <c r="C243" s="178"/>
      <c r="D243" s="178"/>
      <c r="E243" s="178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178"/>
      <c r="B244" s="178"/>
      <c r="C244" s="178"/>
      <c r="D244" s="178"/>
      <c r="E244" s="178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178"/>
      <c r="B245" s="178"/>
      <c r="C245" s="178"/>
      <c r="D245" s="178"/>
      <c r="E245" s="178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178"/>
      <c r="B246" s="178"/>
      <c r="C246" s="178"/>
      <c r="D246" s="178"/>
      <c r="E246" s="178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178"/>
      <c r="B247" s="178"/>
      <c r="C247" s="178"/>
      <c r="D247" s="178"/>
      <c r="E247" s="178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178"/>
      <c r="B248" s="178"/>
      <c r="C248" s="178"/>
      <c r="D248" s="178"/>
      <c r="E248" s="178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178"/>
      <c r="B249" s="178"/>
      <c r="C249" s="178"/>
      <c r="D249" s="178"/>
      <c r="E249" s="178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178"/>
      <c r="B250" s="178"/>
      <c r="C250" s="178"/>
      <c r="D250" s="178"/>
      <c r="E250" s="178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178"/>
      <c r="B251" s="178"/>
      <c r="C251" s="178"/>
      <c r="D251" s="178"/>
      <c r="E251" s="178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178"/>
      <c r="B252" s="178"/>
      <c r="C252" s="178"/>
      <c r="D252" s="178"/>
      <c r="E252" s="178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178"/>
      <c r="B253" s="178"/>
      <c r="C253" s="178"/>
      <c r="D253" s="178"/>
      <c r="E253" s="178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178"/>
      <c r="B254" s="178"/>
      <c r="C254" s="178"/>
      <c r="D254" s="178"/>
      <c r="E254" s="178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178"/>
      <c r="B255" s="178"/>
      <c r="C255" s="178"/>
      <c r="D255" s="178"/>
      <c r="E255" s="178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178"/>
      <c r="B256" s="178"/>
      <c r="C256" s="178"/>
      <c r="D256" s="178"/>
      <c r="E256" s="178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178"/>
      <c r="B257" s="178"/>
      <c r="C257" s="178"/>
      <c r="D257" s="178"/>
      <c r="E257" s="178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178"/>
      <c r="B258" s="178"/>
      <c r="C258" s="178"/>
      <c r="D258" s="178"/>
      <c r="E258" s="178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178"/>
      <c r="B259" s="178"/>
      <c r="C259" s="178"/>
      <c r="D259" s="178"/>
      <c r="E259" s="178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178"/>
      <c r="B260" s="178"/>
      <c r="C260" s="178"/>
      <c r="D260" s="178"/>
      <c r="E260" s="178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178"/>
      <c r="B261" s="178"/>
      <c r="C261" s="178"/>
      <c r="D261" s="178"/>
      <c r="E261" s="178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178"/>
      <c r="B262" s="178"/>
      <c r="C262" s="178"/>
      <c r="D262" s="178"/>
      <c r="E262" s="178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178"/>
      <c r="B263" s="178"/>
      <c r="C263" s="178"/>
      <c r="D263" s="178"/>
      <c r="E263" s="178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178"/>
      <c r="B264" s="178"/>
      <c r="C264" s="178"/>
      <c r="D264" s="178"/>
      <c r="E264" s="178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178"/>
      <c r="B265" s="178"/>
      <c r="C265" s="178"/>
      <c r="D265" s="178"/>
      <c r="E265" s="178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178"/>
      <c r="B266" s="178"/>
      <c r="C266" s="178"/>
      <c r="D266" s="178"/>
      <c r="E266" s="178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178"/>
      <c r="B267" s="178"/>
      <c r="C267" s="178"/>
      <c r="D267" s="178"/>
      <c r="E267" s="178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178"/>
      <c r="B268" s="178"/>
      <c r="C268" s="178"/>
      <c r="D268" s="178"/>
      <c r="E268" s="178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178"/>
      <c r="B269" s="178"/>
      <c r="C269" s="178"/>
      <c r="D269" s="178"/>
      <c r="E269" s="178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178"/>
      <c r="B270" s="178"/>
      <c r="C270" s="178"/>
      <c r="D270" s="178"/>
      <c r="E270" s="178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178"/>
      <c r="B271" s="178"/>
      <c r="C271" s="178"/>
      <c r="D271" s="178"/>
      <c r="E271" s="178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178"/>
      <c r="B272" s="178"/>
      <c r="C272" s="178"/>
      <c r="D272" s="178"/>
      <c r="E272" s="178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178"/>
      <c r="B273" s="178"/>
      <c r="C273" s="178"/>
      <c r="D273" s="178"/>
      <c r="E273" s="178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178"/>
      <c r="B274" s="178"/>
      <c r="C274" s="178"/>
      <c r="D274" s="178"/>
      <c r="E274" s="178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178"/>
      <c r="B275" s="178"/>
      <c r="C275" s="178"/>
      <c r="D275" s="178"/>
      <c r="E275" s="178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178"/>
      <c r="B276" s="178"/>
      <c r="C276" s="178"/>
      <c r="D276" s="178"/>
      <c r="E276" s="178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178"/>
      <c r="B277" s="178"/>
      <c r="C277" s="178"/>
      <c r="D277" s="178"/>
      <c r="E277" s="178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178"/>
      <c r="B278" s="178"/>
      <c r="C278" s="178"/>
      <c r="D278" s="178"/>
      <c r="E278" s="178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178"/>
      <c r="B279" s="178"/>
      <c r="C279" s="178"/>
      <c r="D279" s="178"/>
      <c r="E279" s="178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178"/>
      <c r="B280" s="178"/>
      <c r="C280" s="178"/>
      <c r="D280" s="178"/>
      <c r="E280" s="178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178"/>
      <c r="B281" s="178"/>
      <c r="C281" s="178"/>
      <c r="D281" s="178"/>
      <c r="E281" s="178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178"/>
      <c r="B282" s="178"/>
      <c r="C282" s="178"/>
      <c r="D282" s="178"/>
      <c r="E282" s="178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178"/>
      <c r="B283" s="178"/>
      <c r="C283" s="178"/>
      <c r="D283" s="178"/>
      <c r="E283" s="178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178"/>
      <c r="B284" s="178"/>
      <c r="C284" s="178"/>
      <c r="D284" s="178"/>
      <c r="E284" s="178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178"/>
      <c r="B285" s="178"/>
      <c r="C285" s="178"/>
      <c r="D285" s="178"/>
      <c r="E285" s="178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178"/>
      <c r="B286" s="178"/>
      <c r="C286" s="178"/>
      <c r="D286" s="178"/>
      <c r="E286" s="178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178"/>
      <c r="B287" s="178"/>
      <c r="C287" s="178"/>
      <c r="D287" s="178"/>
      <c r="E287" s="178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178"/>
      <c r="B288" s="178"/>
      <c r="C288" s="178"/>
      <c r="D288" s="178"/>
      <c r="E288" s="178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178"/>
      <c r="B289" s="178"/>
      <c r="C289" s="178"/>
      <c r="D289" s="178"/>
      <c r="E289" s="178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178"/>
      <c r="B290" s="178"/>
      <c r="C290" s="178"/>
      <c r="D290" s="178"/>
      <c r="E290" s="178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178"/>
      <c r="B291" s="178"/>
      <c r="C291" s="178"/>
      <c r="D291" s="178"/>
      <c r="E291" s="178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178"/>
      <c r="B292" s="178"/>
      <c r="C292" s="178"/>
      <c r="D292" s="178"/>
      <c r="E292" s="178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178"/>
      <c r="B293" s="178"/>
      <c r="C293" s="178"/>
      <c r="D293" s="178"/>
      <c r="E293" s="178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178"/>
      <c r="B294" s="178"/>
      <c r="C294" s="178"/>
      <c r="D294" s="178"/>
      <c r="E294" s="178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178"/>
      <c r="B295" s="178"/>
      <c r="C295" s="178"/>
      <c r="D295" s="178"/>
      <c r="E295" s="178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178"/>
      <c r="B296" s="178"/>
      <c r="C296" s="178"/>
      <c r="D296" s="178"/>
      <c r="E296" s="178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178"/>
      <c r="B297" s="178"/>
      <c r="C297" s="178"/>
      <c r="D297" s="178"/>
      <c r="E297" s="178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178"/>
      <c r="B298" s="178"/>
      <c r="C298" s="178"/>
      <c r="D298" s="178"/>
      <c r="E298" s="178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178"/>
      <c r="B299" s="178"/>
      <c r="C299" s="178"/>
      <c r="D299" s="178"/>
      <c r="E299" s="178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178"/>
      <c r="B300" s="178"/>
      <c r="C300" s="178"/>
      <c r="D300" s="178"/>
      <c r="E300" s="178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178"/>
      <c r="B301" s="178"/>
      <c r="C301" s="178"/>
      <c r="D301" s="178"/>
      <c r="E301" s="178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178"/>
      <c r="B302" s="178"/>
      <c r="C302" s="178"/>
      <c r="D302" s="178"/>
      <c r="E302" s="178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178"/>
      <c r="B303" s="178"/>
      <c r="C303" s="178"/>
      <c r="D303" s="178"/>
      <c r="E303" s="178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178"/>
      <c r="B304" s="178"/>
      <c r="C304" s="178"/>
      <c r="D304" s="178"/>
      <c r="E304" s="178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178"/>
      <c r="B305" s="178"/>
      <c r="C305" s="178"/>
      <c r="D305" s="178"/>
      <c r="E305" s="178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178"/>
      <c r="B306" s="178"/>
      <c r="C306" s="178"/>
      <c r="D306" s="178"/>
      <c r="E306" s="178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178"/>
      <c r="B307" s="178"/>
      <c r="C307" s="178"/>
      <c r="D307" s="178"/>
      <c r="E307" s="178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178"/>
      <c r="B308" s="178"/>
      <c r="C308" s="178"/>
      <c r="D308" s="178"/>
      <c r="E308" s="178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178"/>
      <c r="B309" s="178"/>
      <c r="C309" s="178"/>
      <c r="D309" s="178"/>
      <c r="E309" s="178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178"/>
      <c r="B310" s="178"/>
      <c r="C310" s="178"/>
      <c r="D310" s="178"/>
      <c r="E310" s="178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178"/>
      <c r="B311" s="178"/>
      <c r="C311" s="178"/>
      <c r="D311" s="178"/>
      <c r="E311" s="178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178"/>
      <c r="B312" s="178"/>
      <c r="C312" s="178"/>
      <c r="D312" s="178"/>
      <c r="E312" s="178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178"/>
      <c r="B313" s="178"/>
      <c r="C313" s="178"/>
      <c r="D313" s="178"/>
      <c r="E313" s="178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178"/>
      <c r="B314" s="178"/>
      <c r="C314" s="178"/>
      <c r="D314" s="178"/>
      <c r="E314" s="178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178"/>
      <c r="B315" s="178"/>
      <c r="C315" s="178"/>
      <c r="D315" s="178"/>
      <c r="E315" s="178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178"/>
      <c r="B316" s="178"/>
      <c r="C316" s="178"/>
      <c r="D316" s="178"/>
      <c r="E316" s="178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178"/>
      <c r="B317" s="178"/>
      <c r="C317" s="178"/>
      <c r="D317" s="178"/>
      <c r="E317" s="178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178"/>
      <c r="B318" s="178"/>
      <c r="C318" s="178"/>
      <c r="D318" s="178"/>
      <c r="E318" s="178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178"/>
      <c r="B319" s="178"/>
      <c r="C319" s="178"/>
      <c r="D319" s="178"/>
      <c r="E319" s="178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178"/>
      <c r="B320" s="178"/>
      <c r="C320" s="178"/>
      <c r="D320" s="178"/>
      <c r="E320" s="178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178"/>
      <c r="B321" s="178"/>
      <c r="C321" s="178"/>
      <c r="D321" s="178"/>
      <c r="E321" s="178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178"/>
      <c r="B322" s="178"/>
      <c r="C322" s="178"/>
      <c r="D322" s="178"/>
      <c r="E322" s="178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178"/>
      <c r="B323" s="178"/>
      <c r="C323" s="178"/>
      <c r="D323" s="178"/>
      <c r="E323" s="178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178"/>
      <c r="B324" s="178"/>
      <c r="C324" s="178"/>
      <c r="D324" s="178"/>
      <c r="E324" s="178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178"/>
      <c r="B325" s="178"/>
      <c r="C325" s="178"/>
      <c r="D325" s="178"/>
      <c r="E325" s="178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178"/>
      <c r="B326" s="178"/>
      <c r="C326" s="178"/>
      <c r="D326" s="178"/>
      <c r="E326" s="178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178"/>
      <c r="B327" s="178"/>
      <c r="C327" s="178"/>
      <c r="D327" s="178"/>
      <c r="E327" s="178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178"/>
      <c r="B328" s="178"/>
      <c r="C328" s="178"/>
      <c r="D328" s="178"/>
      <c r="E328" s="178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178"/>
      <c r="B329" s="178"/>
      <c r="C329" s="178"/>
      <c r="D329" s="178"/>
      <c r="E329" s="178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178"/>
      <c r="B330" s="178"/>
      <c r="C330" s="178"/>
      <c r="D330" s="178"/>
      <c r="E330" s="178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178"/>
      <c r="B331" s="178"/>
      <c r="C331" s="178"/>
      <c r="D331" s="178"/>
      <c r="E331" s="178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178"/>
      <c r="B332" s="178"/>
      <c r="C332" s="178"/>
      <c r="D332" s="178"/>
      <c r="E332" s="178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178"/>
      <c r="B333" s="178"/>
      <c r="C333" s="178"/>
      <c r="D333" s="178"/>
      <c r="E333" s="178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178"/>
      <c r="B334" s="178"/>
      <c r="C334" s="178"/>
      <c r="D334" s="178"/>
      <c r="E334" s="178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178"/>
      <c r="B335" s="178"/>
      <c r="C335" s="178"/>
      <c r="D335" s="178"/>
      <c r="E335" s="178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178"/>
      <c r="B336" s="178"/>
      <c r="C336" s="178"/>
      <c r="D336" s="178"/>
      <c r="E336" s="178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178"/>
      <c r="B337" s="178"/>
      <c r="C337" s="178"/>
      <c r="D337" s="178"/>
      <c r="E337" s="178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178"/>
      <c r="B338" s="178"/>
      <c r="C338" s="178"/>
      <c r="D338" s="178"/>
      <c r="E338" s="178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178"/>
      <c r="B339" s="178"/>
      <c r="C339" s="178"/>
      <c r="D339" s="178"/>
      <c r="E339" s="178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178"/>
      <c r="B340" s="178"/>
      <c r="C340" s="178"/>
      <c r="D340" s="178"/>
      <c r="E340" s="178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178"/>
      <c r="B341" s="178"/>
      <c r="C341" s="178"/>
      <c r="D341" s="178"/>
      <c r="E341" s="178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178"/>
      <c r="B342" s="178"/>
      <c r="C342" s="178"/>
      <c r="D342" s="178"/>
      <c r="E342" s="178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178"/>
      <c r="B343" s="178"/>
      <c r="C343" s="178"/>
      <c r="D343" s="178"/>
      <c r="E343" s="178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178"/>
      <c r="B344" s="178"/>
      <c r="C344" s="178"/>
      <c r="D344" s="178"/>
      <c r="E344" s="178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178"/>
      <c r="B345" s="178"/>
      <c r="C345" s="178"/>
      <c r="D345" s="178"/>
      <c r="E345" s="178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178"/>
      <c r="B346" s="178"/>
      <c r="C346" s="178"/>
      <c r="D346" s="178"/>
      <c r="E346" s="178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178"/>
      <c r="B347" s="178"/>
      <c r="C347" s="178"/>
      <c r="D347" s="178"/>
      <c r="E347" s="178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178"/>
      <c r="B348" s="178"/>
      <c r="C348" s="178"/>
      <c r="D348" s="178"/>
      <c r="E348" s="178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178"/>
      <c r="B349" s="178"/>
      <c r="C349" s="178"/>
      <c r="D349" s="178"/>
      <c r="E349" s="178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178"/>
      <c r="B350" s="178"/>
      <c r="C350" s="178"/>
      <c r="D350" s="178"/>
      <c r="E350" s="178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178"/>
      <c r="B351" s="178"/>
      <c r="C351" s="178"/>
      <c r="D351" s="178"/>
      <c r="E351" s="178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178"/>
      <c r="B352" s="178"/>
      <c r="C352" s="178"/>
      <c r="D352" s="178"/>
      <c r="E352" s="178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178"/>
      <c r="B353" s="178"/>
      <c r="C353" s="178"/>
      <c r="D353" s="178"/>
      <c r="E353" s="178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178"/>
      <c r="B354" s="178"/>
      <c r="C354" s="178"/>
      <c r="D354" s="178"/>
      <c r="E354" s="178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178"/>
      <c r="B355" s="178"/>
      <c r="C355" s="178"/>
      <c r="D355" s="178"/>
      <c r="E355" s="178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178"/>
      <c r="B356" s="178"/>
      <c r="C356" s="178"/>
      <c r="D356" s="178"/>
      <c r="E356" s="178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178"/>
      <c r="B357" s="178"/>
      <c r="C357" s="178"/>
      <c r="D357" s="178"/>
      <c r="E357" s="178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178"/>
      <c r="B358" s="178"/>
      <c r="C358" s="178"/>
      <c r="D358" s="178"/>
      <c r="E358" s="178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178"/>
      <c r="B359" s="178"/>
      <c r="C359" s="178"/>
      <c r="D359" s="178"/>
      <c r="E359" s="178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178"/>
      <c r="B360" s="178"/>
      <c r="C360" s="178"/>
      <c r="D360" s="178"/>
      <c r="E360" s="178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178"/>
      <c r="B361" s="178"/>
      <c r="C361" s="178"/>
      <c r="D361" s="178"/>
      <c r="E361" s="178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178"/>
      <c r="B362" s="178"/>
      <c r="C362" s="178"/>
      <c r="D362" s="178"/>
      <c r="E362" s="178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178"/>
      <c r="B363" s="178"/>
      <c r="C363" s="178"/>
      <c r="D363" s="178"/>
      <c r="E363" s="178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178"/>
      <c r="B364" s="178"/>
      <c r="C364" s="178"/>
      <c r="D364" s="178"/>
      <c r="E364" s="178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178"/>
      <c r="B365" s="178"/>
      <c r="C365" s="178"/>
      <c r="D365" s="178"/>
      <c r="E365" s="178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178"/>
      <c r="B366" s="178"/>
      <c r="C366" s="178"/>
      <c r="D366" s="178"/>
      <c r="E366" s="178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178"/>
      <c r="B367" s="178"/>
      <c r="C367" s="178"/>
      <c r="D367" s="178"/>
      <c r="E367" s="178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178"/>
      <c r="B368" s="178"/>
      <c r="C368" s="178"/>
      <c r="D368" s="178"/>
      <c r="E368" s="178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178"/>
      <c r="B369" s="178"/>
      <c r="C369" s="178"/>
      <c r="D369" s="178"/>
      <c r="E369" s="178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178"/>
      <c r="B370" s="178"/>
      <c r="C370" s="178"/>
      <c r="D370" s="178"/>
      <c r="E370" s="178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178"/>
      <c r="B371" s="178"/>
      <c r="C371" s="178"/>
      <c r="D371" s="178"/>
      <c r="E371" s="178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178"/>
      <c r="B372" s="178"/>
      <c r="C372" s="178"/>
      <c r="D372" s="178"/>
      <c r="E372" s="178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178"/>
      <c r="B373" s="178"/>
      <c r="C373" s="178"/>
      <c r="D373" s="178"/>
      <c r="E373" s="178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178"/>
      <c r="B374" s="178"/>
      <c r="C374" s="178"/>
      <c r="D374" s="178"/>
      <c r="E374" s="178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178"/>
      <c r="B375" s="178"/>
      <c r="C375" s="178"/>
      <c r="D375" s="178"/>
      <c r="E375" s="178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178"/>
      <c r="B376" s="178"/>
      <c r="C376" s="178"/>
      <c r="D376" s="178"/>
      <c r="E376" s="178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178"/>
      <c r="B377" s="178"/>
      <c r="C377" s="178"/>
      <c r="D377" s="178"/>
      <c r="E377" s="178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178"/>
      <c r="B378" s="178"/>
      <c r="C378" s="178"/>
      <c r="D378" s="178"/>
      <c r="E378" s="178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178"/>
      <c r="B379" s="178"/>
      <c r="C379" s="178"/>
      <c r="D379" s="178"/>
      <c r="E379" s="178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178"/>
      <c r="B380" s="178"/>
      <c r="C380" s="178"/>
      <c r="D380" s="178"/>
      <c r="E380" s="178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178"/>
      <c r="B381" s="178"/>
      <c r="C381" s="178"/>
      <c r="D381" s="178"/>
      <c r="E381" s="178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178"/>
      <c r="B382" s="178"/>
      <c r="C382" s="178"/>
      <c r="D382" s="178"/>
      <c r="E382" s="178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178"/>
      <c r="B383" s="178"/>
      <c r="C383" s="178"/>
      <c r="D383" s="178"/>
      <c r="E383" s="178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178"/>
      <c r="B384" s="178"/>
      <c r="C384" s="178"/>
      <c r="D384" s="178"/>
      <c r="E384" s="178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178"/>
      <c r="B385" s="178"/>
      <c r="C385" s="178"/>
      <c r="D385" s="178"/>
      <c r="E385" s="178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178"/>
      <c r="B386" s="178"/>
      <c r="C386" s="178"/>
      <c r="D386" s="178"/>
      <c r="E386" s="178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178"/>
      <c r="B387" s="178"/>
      <c r="C387" s="178"/>
      <c r="D387" s="178"/>
      <c r="E387" s="178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178"/>
      <c r="B388" s="178"/>
      <c r="C388" s="178"/>
      <c r="D388" s="178"/>
      <c r="E388" s="178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178"/>
      <c r="B389" s="178"/>
      <c r="C389" s="178"/>
      <c r="D389" s="178"/>
      <c r="E389" s="178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178"/>
      <c r="B390" s="178"/>
      <c r="C390" s="178"/>
      <c r="D390" s="178"/>
      <c r="E390" s="178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178"/>
      <c r="B391" s="178"/>
      <c r="C391" s="178"/>
      <c r="D391" s="178"/>
      <c r="E391" s="178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178"/>
      <c r="B392" s="178"/>
      <c r="C392" s="178"/>
      <c r="D392" s="178"/>
      <c r="E392" s="178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178"/>
      <c r="B393" s="178"/>
      <c r="C393" s="178"/>
      <c r="D393" s="178"/>
      <c r="E393" s="178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178"/>
      <c r="B394" s="178"/>
      <c r="C394" s="178"/>
      <c r="D394" s="178"/>
      <c r="E394" s="178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178"/>
      <c r="B395" s="178"/>
      <c r="C395" s="178"/>
      <c r="D395" s="178"/>
      <c r="E395" s="178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178"/>
      <c r="B396" s="178"/>
      <c r="C396" s="178"/>
      <c r="D396" s="178"/>
      <c r="E396" s="178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178"/>
      <c r="B397" s="178"/>
      <c r="C397" s="178"/>
      <c r="D397" s="178"/>
      <c r="E397" s="178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178"/>
      <c r="B398" s="178"/>
      <c r="C398" s="178"/>
      <c r="D398" s="178"/>
      <c r="E398" s="178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178"/>
      <c r="B399" s="178"/>
      <c r="C399" s="178"/>
      <c r="D399" s="178"/>
      <c r="E399" s="178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178"/>
      <c r="B400" s="178"/>
      <c r="C400" s="178"/>
      <c r="D400" s="178"/>
      <c r="E400" s="178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178"/>
      <c r="B401" s="178"/>
      <c r="C401" s="178"/>
      <c r="D401" s="178"/>
      <c r="E401" s="178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178"/>
      <c r="B402" s="178"/>
      <c r="C402" s="178"/>
      <c r="D402" s="178"/>
      <c r="E402" s="178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178"/>
      <c r="B403" s="178"/>
      <c r="C403" s="178"/>
      <c r="D403" s="178"/>
      <c r="E403" s="178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178"/>
      <c r="B404" s="178"/>
      <c r="C404" s="178"/>
      <c r="D404" s="178"/>
      <c r="E404" s="178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178"/>
      <c r="B405" s="178"/>
      <c r="C405" s="178"/>
      <c r="D405" s="178"/>
      <c r="E405" s="178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178"/>
      <c r="B406" s="178"/>
      <c r="C406" s="178"/>
      <c r="D406" s="178"/>
      <c r="E406" s="178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178"/>
      <c r="B407" s="178"/>
      <c r="C407" s="178"/>
      <c r="D407" s="178"/>
      <c r="E407" s="178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178"/>
      <c r="B408" s="178"/>
      <c r="C408" s="178"/>
      <c r="D408" s="178"/>
      <c r="E408" s="178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178"/>
      <c r="B409" s="178"/>
      <c r="C409" s="178"/>
      <c r="D409" s="178"/>
      <c r="E409" s="178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178"/>
      <c r="B410" s="178"/>
      <c r="C410" s="178"/>
      <c r="D410" s="178"/>
      <c r="E410" s="178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178"/>
      <c r="B411" s="178"/>
      <c r="C411" s="178"/>
      <c r="D411" s="178"/>
      <c r="E411" s="178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178"/>
      <c r="B412" s="178"/>
      <c r="C412" s="178"/>
      <c r="D412" s="178"/>
      <c r="E412" s="178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178"/>
      <c r="B413" s="178"/>
      <c r="C413" s="178"/>
      <c r="D413" s="178"/>
      <c r="E413" s="178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178"/>
      <c r="B414" s="178"/>
      <c r="C414" s="178"/>
      <c r="D414" s="178"/>
      <c r="E414" s="178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178"/>
      <c r="B415" s="178"/>
      <c r="C415" s="178"/>
      <c r="D415" s="178"/>
      <c r="E415" s="178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178"/>
      <c r="B416" s="178"/>
      <c r="C416" s="178"/>
      <c r="D416" s="178"/>
      <c r="E416" s="178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178"/>
      <c r="B417" s="178"/>
      <c r="C417" s="178"/>
      <c r="D417" s="178"/>
      <c r="E417" s="178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178"/>
      <c r="B418" s="178"/>
      <c r="C418" s="178"/>
      <c r="D418" s="178"/>
      <c r="E418" s="178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178"/>
      <c r="B419" s="178"/>
      <c r="C419" s="178"/>
      <c r="D419" s="178"/>
      <c r="E419" s="178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178"/>
      <c r="B420" s="178"/>
      <c r="C420" s="178"/>
      <c r="D420" s="178"/>
      <c r="E420" s="178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178"/>
      <c r="B421" s="178"/>
      <c r="C421" s="178"/>
      <c r="D421" s="178"/>
      <c r="E421" s="178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178"/>
      <c r="B422" s="178"/>
      <c r="C422" s="178"/>
      <c r="D422" s="178"/>
      <c r="E422" s="178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178"/>
      <c r="B423" s="178"/>
      <c r="C423" s="178"/>
      <c r="D423" s="178"/>
      <c r="E423" s="178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178"/>
      <c r="B424" s="178"/>
      <c r="C424" s="178"/>
      <c r="D424" s="178"/>
      <c r="E424" s="178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178"/>
      <c r="B425" s="178"/>
      <c r="C425" s="178"/>
      <c r="D425" s="178"/>
      <c r="E425" s="178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178"/>
      <c r="B426" s="178"/>
      <c r="C426" s="178"/>
      <c r="D426" s="178"/>
      <c r="E426" s="178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178"/>
      <c r="B427" s="178"/>
      <c r="C427" s="178"/>
      <c r="D427" s="178"/>
      <c r="E427" s="178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178"/>
      <c r="B428" s="178"/>
      <c r="C428" s="178"/>
      <c r="D428" s="178"/>
      <c r="E428" s="178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178"/>
      <c r="B429" s="178"/>
      <c r="C429" s="178"/>
      <c r="D429" s="178"/>
      <c r="E429" s="178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178"/>
      <c r="B430" s="178"/>
      <c r="C430" s="178"/>
      <c r="D430" s="178"/>
      <c r="E430" s="178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178"/>
      <c r="B431" s="178"/>
      <c r="C431" s="178"/>
      <c r="D431" s="178"/>
      <c r="E431" s="178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178"/>
      <c r="B432" s="178"/>
      <c r="C432" s="178"/>
      <c r="D432" s="178"/>
      <c r="E432" s="178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178"/>
      <c r="B433" s="178"/>
      <c r="C433" s="178"/>
      <c r="D433" s="178"/>
      <c r="E433" s="178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178"/>
      <c r="B434" s="178"/>
      <c r="C434" s="178"/>
      <c r="D434" s="178"/>
      <c r="E434" s="178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178"/>
      <c r="B435" s="178"/>
      <c r="C435" s="178"/>
      <c r="D435" s="178"/>
      <c r="E435" s="178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178"/>
      <c r="B436" s="178"/>
      <c r="C436" s="178"/>
      <c r="D436" s="178"/>
      <c r="E436" s="178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178"/>
      <c r="B437" s="178"/>
      <c r="C437" s="178"/>
      <c r="D437" s="178"/>
      <c r="E437" s="178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178"/>
      <c r="B438" s="178"/>
      <c r="C438" s="178"/>
      <c r="D438" s="178"/>
      <c r="E438" s="178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178"/>
      <c r="B439" s="178"/>
      <c r="C439" s="178"/>
      <c r="D439" s="178"/>
      <c r="E439" s="178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178"/>
      <c r="B440" s="178"/>
      <c r="C440" s="178"/>
      <c r="D440" s="178"/>
      <c r="E440" s="178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178"/>
      <c r="B441" s="178"/>
      <c r="C441" s="178"/>
      <c r="D441" s="178"/>
      <c r="E441" s="178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178"/>
      <c r="B442" s="178"/>
      <c r="C442" s="178"/>
      <c r="D442" s="178"/>
      <c r="E442" s="178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178"/>
      <c r="B443" s="178"/>
      <c r="C443" s="178"/>
      <c r="D443" s="178"/>
      <c r="E443" s="178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178"/>
      <c r="B444" s="178"/>
      <c r="C444" s="178"/>
      <c r="D444" s="178"/>
      <c r="E444" s="178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178"/>
      <c r="B445" s="178"/>
      <c r="C445" s="178"/>
      <c r="D445" s="178"/>
      <c r="E445" s="178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178"/>
      <c r="B446" s="178"/>
      <c r="C446" s="178"/>
      <c r="D446" s="178"/>
      <c r="E446" s="178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178"/>
      <c r="B447" s="178"/>
      <c r="C447" s="178"/>
      <c r="D447" s="178"/>
      <c r="E447" s="178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178"/>
      <c r="B448" s="178"/>
      <c r="C448" s="178"/>
      <c r="D448" s="178"/>
      <c r="E448" s="178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178"/>
      <c r="B449" s="178"/>
      <c r="C449" s="178"/>
      <c r="D449" s="178"/>
      <c r="E449" s="178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178"/>
      <c r="B450" s="178"/>
      <c r="C450" s="178"/>
      <c r="D450" s="178"/>
      <c r="E450" s="178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178"/>
      <c r="B451" s="178"/>
      <c r="C451" s="178"/>
      <c r="D451" s="178"/>
      <c r="E451" s="178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178"/>
      <c r="B452" s="178"/>
      <c r="C452" s="178"/>
      <c r="D452" s="178"/>
      <c r="E452" s="178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178"/>
      <c r="B453" s="178"/>
      <c r="C453" s="178"/>
      <c r="D453" s="178"/>
      <c r="E453" s="178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178"/>
      <c r="B454" s="178"/>
      <c r="C454" s="178"/>
      <c r="D454" s="178"/>
      <c r="E454" s="178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178"/>
      <c r="B455" s="178"/>
      <c r="C455" s="178"/>
      <c r="D455" s="178"/>
      <c r="E455" s="178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178"/>
      <c r="B456" s="178"/>
      <c r="C456" s="178"/>
      <c r="D456" s="178"/>
      <c r="E456" s="178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178"/>
      <c r="B457" s="178"/>
      <c r="C457" s="178"/>
      <c r="D457" s="178"/>
      <c r="E457" s="178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178"/>
      <c r="B458" s="178"/>
      <c r="C458" s="178"/>
      <c r="D458" s="178"/>
      <c r="E458" s="178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178"/>
      <c r="B459" s="178"/>
      <c r="C459" s="178"/>
      <c r="D459" s="178"/>
      <c r="E459" s="178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178"/>
      <c r="B460" s="178"/>
      <c r="C460" s="178"/>
      <c r="D460" s="178"/>
      <c r="E460" s="178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178"/>
      <c r="B461" s="178"/>
      <c r="C461" s="178"/>
      <c r="D461" s="178"/>
      <c r="E461" s="178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178"/>
      <c r="B462" s="178"/>
      <c r="C462" s="178"/>
      <c r="D462" s="178"/>
      <c r="E462" s="178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178"/>
      <c r="B463" s="178"/>
      <c r="C463" s="178"/>
      <c r="D463" s="178"/>
      <c r="E463" s="178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178"/>
      <c r="B464" s="178"/>
      <c r="C464" s="178"/>
      <c r="D464" s="178"/>
      <c r="E464" s="178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178"/>
      <c r="B465" s="178"/>
      <c r="C465" s="178"/>
      <c r="D465" s="178"/>
      <c r="E465" s="178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178"/>
      <c r="B466" s="178"/>
      <c r="C466" s="178"/>
      <c r="D466" s="178"/>
      <c r="E466" s="178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178"/>
      <c r="B467" s="178"/>
      <c r="C467" s="178"/>
      <c r="D467" s="178"/>
      <c r="E467" s="178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178"/>
      <c r="B468" s="178"/>
      <c r="C468" s="178"/>
      <c r="D468" s="178"/>
      <c r="E468" s="178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178"/>
      <c r="B469" s="178"/>
      <c r="C469" s="178"/>
      <c r="D469" s="178"/>
      <c r="E469" s="178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178"/>
      <c r="B470" s="178"/>
      <c r="C470" s="178"/>
      <c r="D470" s="178"/>
      <c r="E470" s="178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178"/>
      <c r="B471" s="178"/>
      <c r="C471" s="178"/>
      <c r="D471" s="178"/>
      <c r="E471" s="178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178"/>
      <c r="B472" s="178"/>
      <c r="C472" s="178"/>
      <c r="D472" s="178"/>
      <c r="E472" s="178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178"/>
      <c r="B473" s="178"/>
      <c r="C473" s="178"/>
      <c r="D473" s="178"/>
      <c r="E473" s="178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178"/>
      <c r="B474" s="178"/>
      <c r="C474" s="178"/>
      <c r="D474" s="178"/>
      <c r="E474" s="178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178"/>
      <c r="B475" s="178"/>
      <c r="C475" s="178"/>
      <c r="D475" s="178"/>
      <c r="E475" s="178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178"/>
      <c r="B476" s="178"/>
      <c r="C476" s="178"/>
      <c r="D476" s="178"/>
      <c r="E476" s="178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178"/>
      <c r="B477" s="178"/>
      <c r="C477" s="178"/>
      <c r="D477" s="178"/>
      <c r="E477" s="178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178"/>
      <c r="B478" s="178"/>
      <c r="C478" s="178"/>
      <c r="D478" s="178"/>
      <c r="E478" s="178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178"/>
      <c r="B479" s="178"/>
      <c r="C479" s="178"/>
      <c r="D479" s="178"/>
      <c r="E479" s="178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178"/>
      <c r="B480" s="178"/>
      <c r="C480" s="178"/>
      <c r="D480" s="178"/>
      <c r="E480" s="178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178"/>
      <c r="B481" s="178"/>
      <c r="C481" s="178"/>
      <c r="D481" s="178"/>
      <c r="E481" s="178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178"/>
      <c r="B482" s="178"/>
      <c r="C482" s="178"/>
      <c r="D482" s="178"/>
      <c r="E482" s="178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178"/>
      <c r="B483" s="178"/>
      <c r="C483" s="178"/>
      <c r="D483" s="178"/>
      <c r="E483" s="178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178"/>
      <c r="B484" s="178"/>
      <c r="C484" s="178"/>
      <c r="D484" s="178"/>
      <c r="E484" s="178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178"/>
      <c r="B485" s="178"/>
      <c r="C485" s="178"/>
      <c r="D485" s="178"/>
      <c r="E485" s="178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178"/>
      <c r="B486" s="178"/>
      <c r="C486" s="178"/>
      <c r="D486" s="178"/>
      <c r="E486" s="178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178"/>
      <c r="B487" s="178"/>
      <c r="C487" s="178"/>
      <c r="D487" s="178"/>
      <c r="E487" s="178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178"/>
      <c r="B488" s="178"/>
      <c r="C488" s="178"/>
      <c r="D488" s="178"/>
      <c r="E488" s="178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178"/>
      <c r="B489" s="178"/>
      <c r="C489" s="178"/>
      <c r="D489" s="178"/>
      <c r="E489" s="178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178"/>
      <c r="B490" s="178"/>
      <c r="C490" s="178"/>
      <c r="D490" s="178"/>
      <c r="E490" s="178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178"/>
      <c r="B491" s="178"/>
      <c r="C491" s="178"/>
      <c r="D491" s="178"/>
      <c r="E491" s="178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178"/>
      <c r="B492" s="178"/>
      <c r="C492" s="178"/>
      <c r="D492" s="178"/>
      <c r="E492" s="178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178"/>
      <c r="B493" s="178"/>
      <c r="C493" s="178"/>
      <c r="D493" s="178"/>
      <c r="E493" s="178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178"/>
      <c r="B494" s="178"/>
      <c r="C494" s="178"/>
      <c r="D494" s="178"/>
      <c r="E494" s="178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178"/>
      <c r="B495" s="178"/>
      <c r="C495" s="178"/>
      <c r="D495" s="178"/>
      <c r="E495" s="178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178"/>
      <c r="B496" s="178"/>
      <c r="C496" s="178"/>
      <c r="D496" s="178"/>
      <c r="E496" s="178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178"/>
      <c r="B497" s="178"/>
      <c r="C497" s="178"/>
      <c r="D497" s="178"/>
      <c r="E497" s="178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178"/>
      <c r="B498" s="178"/>
      <c r="C498" s="178"/>
      <c r="D498" s="178"/>
      <c r="E498" s="178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178"/>
      <c r="B499" s="178"/>
      <c r="C499" s="178"/>
      <c r="D499" s="178"/>
      <c r="E499" s="178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178"/>
      <c r="B500" s="178"/>
      <c r="C500" s="178"/>
      <c r="D500" s="178"/>
      <c r="E500" s="178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178"/>
      <c r="B501" s="178"/>
      <c r="C501" s="178"/>
      <c r="D501" s="178"/>
      <c r="E501" s="178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178"/>
      <c r="B502" s="178"/>
      <c r="C502" s="178"/>
      <c r="D502" s="178"/>
      <c r="E502" s="178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178"/>
      <c r="B503" s="178"/>
      <c r="C503" s="178"/>
      <c r="D503" s="178"/>
      <c r="E503" s="178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178"/>
      <c r="B504" s="178"/>
      <c r="C504" s="178"/>
      <c r="D504" s="178"/>
      <c r="E504" s="178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178"/>
      <c r="B505" s="178"/>
      <c r="C505" s="178"/>
      <c r="D505" s="178"/>
      <c r="E505" s="178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178"/>
      <c r="B506" s="178"/>
      <c r="C506" s="178"/>
      <c r="D506" s="178"/>
      <c r="E506" s="178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178"/>
      <c r="B507" s="178"/>
      <c r="C507" s="178"/>
      <c r="D507" s="178"/>
      <c r="E507" s="178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178"/>
      <c r="B508" s="178"/>
      <c r="C508" s="178"/>
      <c r="D508" s="178"/>
      <c r="E508" s="178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178"/>
      <c r="B509" s="178"/>
      <c r="C509" s="178"/>
      <c r="D509" s="178"/>
      <c r="E509" s="178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178"/>
      <c r="B510" s="178"/>
      <c r="C510" s="178"/>
      <c r="D510" s="178"/>
      <c r="E510" s="178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178"/>
      <c r="B511" s="178"/>
      <c r="C511" s="178"/>
      <c r="D511" s="178"/>
      <c r="E511" s="178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178"/>
      <c r="B512" s="178"/>
      <c r="C512" s="178"/>
      <c r="D512" s="178"/>
      <c r="E512" s="178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178"/>
      <c r="B513" s="178"/>
      <c r="C513" s="178"/>
      <c r="D513" s="178"/>
      <c r="E513" s="178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178"/>
      <c r="B514" s="178"/>
      <c r="C514" s="178"/>
      <c r="D514" s="178"/>
      <c r="E514" s="178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178"/>
      <c r="B515" s="178"/>
      <c r="C515" s="178"/>
      <c r="D515" s="178"/>
      <c r="E515" s="178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178"/>
      <c r="B516" s="178"/>
      <c r="C516" s="178"/>
      <c r="D516" s="178"/>
      <c r="E516" s="178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178"/>
      <c r="B517" s="178"/>
      <c r="C517" s="178"/>
      <c r="D517" s="178"/>
      <c r="E517" s="178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178"/>
      <c r="B518" s="178"/>
      <c r="C518" s="178"/>
      <c r="D518" s="178"/>
      <c r="E518" s="178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178"/>
      <c r="B519" s="178"/>
      <c r="C519" s="178"/>
      <c r="D519" s="178"/>
      <c r="E519" s="178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178"/>
      <c r="B520" s="178"/>
      <c r="C520" s="178"/>
      <c r="D520" s="178"/>
      <c r="E520" s="178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178"/>
      <c r="B521" s="178"/>
      <c r="C521" s="178"/>
      <c r="D521" s="178"/>
      <c r="E521" s="178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178"/>
      <c r="B522" s="178"/>
      <c r="C522" s="178"/>
      <c r="D522" s="178"/>
      <c r="E522" s="178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178"/>
      <c r="B523" s="178"/>
      <c r="C523" s="178"/>
      <c r="D523" s="178"/>
      <c r="E523" s="178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178"/>
      <c r="B524" s="178"/>
      <c r="C524" s="178"/>
      <c r="D524" s="178"/>
      <c r="E524" s="178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178"/>
      <c r="B525" s="178"/>
      <c r="C525" s="178"/>
      <c r="D525" s="178"/>
      <c r="E525" s="178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178"/>
      <c r="B526" s="178"/>
      <c r="C526" s="178"/>
      <c r="D526" s="178"/>
      <c r="E526" s="178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178"/>
      <c r="B527" s="178"/>
      <c r="C527" s="178"/>
      <c r="D527" s="178"/>
      <c r="E527" s="178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178"/>
      <c r="B528" s="178"/>
      <c r="C528" s="178"/>
      <c r="D528" s="178"/>
      <c r="E528" s="178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178"/>
      <c r="B529" s="178"/>
      <c r="C529" s="178"/>
      <c r="D529" s="178"/>
      <c r="E529" s="178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178"/>
      <c r="B530" s="178"/>
      <c r="C530" s="178"/>
      <c r="D530" s="178"/>
      <c r="E530" s="178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178"/>
      <c r="B531" s="178"/>
      <c r="C531" s="178"/>
      <c r="D531" s="178"/>
      <c r="E531" s="178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178"/>
      <c r="B532" s="178"/>
      <c r="C532" s="178"/>
      <c r="D532" s="178"/>
      <c r="E532" s="178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178"/>
      <c r="B533" s="178"/>
      <c r="C533" s="178"/>
      <c r="D533" s="178"/>
      <c r="E533" s="178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178"/>
      <c r="B534" s="178"/>
      <c r="C534" s="178"/>
      <c r="D534" s="178"/>
      <c r="E534" s="178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178"/>
      <c r="B535" s="178"/>
      <c r="C535" s="178"/>
      <c r="D535" s="178"/>
      <c r="E535" s="178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178"/>
      <c r="B536" s="178"/>
      <c r="C536" s="178"/>
      <c r="D536" s="178"/>
      <c r="E536" s="178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178"/>
      <c r="B537" s="178"/>
      <c r="C537" s="178"/>
      <c r="D537" s="178"/>
      <c r="E537" s="178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178"/>
      <c r="B538" s="178"/>
      <c r="C538" s="178"/>
      <c r="D538" s="178"/>
      <c r="E538" s="178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178"/>
      <c r="B539" s="178"/>
      <c r="C539" s="178"/>
      <c r="D539" s="178"/>
      <c r="E539" s="178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178"/>
      <c r="B540" s="178"/>
      <c r="C540" s="178"/>
      <c r="D540" s="178"/>
      <c r="E540" s="178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178"/>
      <c r="B541" s="178"/>
      <c r="C541" s="178"/>
      <c r="D541" s="178"/>
      <c r="E541" s="178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178"/>
      <c r="B542" s="178"/>
      <c r="C542" s="178"/>
      <c r="D542" s="178"/>
      <c r="E542" s="178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178"/>
      <c r="B543" s="178"/>
      <c r="C543" s="178"/>
      <c r="D543" s="178"/>
      <c r="E543" s="178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178"/>
      <c r="B544" s="178"/>
      <c r="C544" s="178"/>
      <c r="D544" s="178"/>
      <c r="E544" s="178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178"/>
      <c r="B545" s="178"/>
      <c r="C545" s="178"/>
      <c r="D545" s="178"/>
      <c r="E545" s="178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178"/>
      <c r="B546" s="178"/>
      <c r="C546" s="178"/>
      <c r="D546" s="178"/>
      <c r="E546" s="178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178"/>
      <c r="B547" s="178"/>
      <c r="C547" s="178"/>
      <c r="D547" s="178"/>
      <c r="E547" s="178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178"/>
      <c r="B548" s="178"/>
      <c r="C548" s="178"/>
      <c r="D548" s="178"/>
      <c r="E548" s="178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178"/>
      <c r="B549" s="178"/>
      <c r="C549" s="178"/>
      <c r="D549" s="178"/>
      <c r="E549" s="178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178"/>
      <c r="B550" s="178"/>
      <c r="C550" s="178"/>
      <c r="D550" s="178"/>
      <c r="E550" s="178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178"/>
      <c r="B551" s="178"/>
      <c r="C551" s="178"/>
      <c r="D551" s="178"/>
      <c r="E551" s="178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178"/>
      <c r="B552" s="178"/>
      <c r="C552" s="178"/>
      <c r="D552" s="178"/>
      <c r="E552" s="178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178"/>
      <c r="B553" s="178"/>
      <c r="C553" s="178"/>
      <c r="D553" s="178"/>
      <c r="E553" s="178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178"/>
      <c r="B554" s="178"/>
      <c r="C554" s="178"/>
      <c r="D554" s="178"/>
      <c r="E554" s="178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178"/>
      <c r="B555" s="178"/>
      <c r="C555" s="178"/>
      <c r="D555" s="178"/>
      <c r="E555" s="178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178"/>
      <c r="B556" s="178"/>
      <c r="C556" s="178"/>
      <c r="D556" s="178"/>
      <c r="E556" s="178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178"/>
      <c r="B557" s="178"/>
      <c r="C557" s="178"/>
      <c r="D557" s="178"/>
      <c r="E557" s="178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178"/>
      <c r="B558" s="178"/>
      <c r="C558" s="178"/>
      <c r="D558" s="178"/>
      <c r="E558" s="178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178"/>
      <c r="B559" s="178"/>
      <c r="C559" s="178"/>
      <c r="D559" s="178"/>
      <c r="E559" s="178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178"/>
      <c r="B560" s="178"/>
      <c r="C560" s="178"/>
      <c r="D560" s="178"/>
      <c r="E560" s="178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178"/>
      <c r="B561" s="178"/>
      <c r="C561" s="178"/>
      <c r="D561" s="178"/>
      <c r="E561" s="178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178"/>
      <c r="B562" s="178"/>
      <c r="C562" s="178"/>
      <c r="D562" s="178"/>
      <c r="E562" s="178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178"/>
      <c r="B563" s="178"/>
      <c r="C563" s="178"/>
      <c r="D563" s="178"/>
      <c r="E563" s="178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178"/>
      <c r="B564" s="178"/>
      <c r="C564" s="178"/>
      <c r="D564" s="178"/>
      <c r="E564" s="178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178"/>
      <c r="B565" s="178"/>
      <c r="C565" s="178"/>
      <c r="D565" s="178"/>
      <c r="E565" s="178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178"/>
      <c r="B566" s="178"/>
      <c r="C566" s="178"/>
      <c r="D566" s="178"/>
      <c r="E566" s="178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178"/>
      <c r="B567" s="178"/>
      <c r="C567" s="178"/>
      <c r="D567" s="178"/>
      <c r="E567" s="178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178"/>
      <c r="B568" s="178"/>
      <c r="C568" s="178"/>
      <c r="D568" s="178"/>
      <c r="E568" s="178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178"/>
      <c r="B569" s="178"/>
      <c r="C569" s="178"/>
      <c r="D569" s="178"/>
      <c r="E569" s="178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178"/>
      <c r="B570" s="178"/>
      <c r="C570" s="178"/>
      <c r="D570" s="178"/>
      <c r="E570" s="178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178"/>
      <c r="B571" s="178"/>
      <c r="C571" s="178"/>
      <c r="D571" s="178"/>
      <c r="E571" s="178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178"/>
      <c r="B572" s="178"/>
      <c r="C572" s="178"/>
      <c r="D572" s="178"/>
      <c r="E572" s="178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178"/>
      <c r="B573" s="178"/>
      <c r="C573" s="178"/>
      <c r="D573" s="178"/>
      <c r="E573" s="178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178"/>
      <c r="B574" s="178"/>
      <c r="C574" s="178"/>
      <c r="D574" s="178"/>
      <c r="E574" s="178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178"/>
      <c r="B575" s="178"/>
      <c r="C575" s="178"/>
      <c r="D575" s="178"/>
      <c r="E575" s="178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178"/>
      <c r="B576" s="178"/>
      <c r="C576" s="178"/>
      <c r="D576" s="178"/>
      <c r="E576" s="178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178"/>
      <c r="B577" s="178"/>
      <c r="C577" s="178"/>
      <c r="D577" s="178"/>
      <c r="E577" s="178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178"/>
      <c r="B578" s="178"/>
      <c r="C578" s="178"/>
      <c r="D578" s="178"/>
      <c r="E578" s="178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178"/>
      <c r="B579" s="178"/>
      <c r="C579" s="178"/>
      <c r="D579" s="178"/>
      <c r="E579" s="178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178"/>
      <c r="B580" s="178"/>
      <c r="C580" s="178"/>
      <c r="D580" s="178"/>
      <c r="E580" s="178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178"/>
      <c r="B581" s="178"/>
      <c r="C581" s="178"/>
      <c r="D581" s="178"/>
      <c r="E581" s="178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178"/>
      <c r="B582" s="178"/>
      <c r="C582" s="178"/>
      <c r="D582" s="178"/>
      <c r="E582" s="178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178"/>
      <c r="B583" s="178"/>
      <c r="C583" s="178"/>
      <c r="D583" s="178"/>
      <c r="E583" s="178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178"/>
      <c r="B584" s="178"/>
      <c r="C584" s="178"/>
      <c r="D584" s="178"/>
      <c r="E584" s="178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178"/>
      <c r="B585" s="178"/>
      <c r="C585" s="178"/>
      <c r="D585" s="178"/>
      <c r="E585" s="178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178"/>
      <c r="B586" s="178"/>
      <c r="C586" s="178"/>
      <c r="D586" s="178"/>
      <c r="E586" s="178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178"/>
      <c r="B587" s="178"/>
      <c r="C587" s="178"/>
      <c r="D587" s="178"/>
      <c r="E587" s="178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178"/>
      <c r="B588" s="178"/>
      <c r="C588" s="178"/>
      <c r="D588" s="178"/>
      <c r="E588" s="178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178"/>
      <c r="B589" s="178"/>
      <c r="C589" s="178"/>
      <c r="D589" s="178"/>
      <c r="E589" s="178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178"/>
      <c r="B590" s="178"/>
      <c r="C590" s="178"/>
      <c r="D590" s="178"/>
      <c r="E590" s="178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178"/>
      <c r="B591" s="178"/>
      <c r="C591" s="178"/>
      <c r="D591" s="178"/>
      <c r="E591" s="178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178"/>
      <c r="B592" s="178"/>
      <c r="C592" s="178"/>
      <c r="D592" s="178"/>
      <c r="E592" s="178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178"/>
      <c r="B593" s="178"/>
      <c r="C593" s="178"/>
      <c r="D593" s="178"/>
      <c r="E593" s="178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178"/>
      <c r="B594" s="178"/>
      <c r="C594" s="178"/>
      <c r="D594" s="178"/>
      <c r="E594" s="178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178"/>
      <c r="B595" s="178"/>
      <c r="C595" s="178"/>
      <c r="D595" s="178"/>
      <c r="E595" s="178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178"/>
      <c r="B596" s="178"/>
      <c r="C596" s="178"/>
      <c r="D596" s="178"/>
      <c r="E596" s="178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178"/>
      <c r="B597" s="178"/>
      <c r="C597" s="178"/>
      <c r="D597" s="178"/>
      <c r="E597" s="178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178"/>
      <c r="B598" s="178"/>
      <c r="C598" s="178"/>
      <c r="D598" s="178"/>
      <c r="E598" s="178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178"/>
      <c r="B599" s="178"/>
      <c r="C599" s="178"/>
      <c r="D599" s="178"/>
      <c r="E599" s="178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178"/>
      <c r="B600" s="178"/>
      <c r="C600" s="178"/>
      <c r="D600" s="178"/>
      <c r="E600" s="178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178"/>
      <c r="B601" s="178"/>
      <c r="C601" s="178"/>
      <c r="D601" s="178"/>
      <c r="E601" s="178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178"/>
      <c r="B602" s="178"/>
      <c r="C602" s="178"/>
      <c r="D602" s="178"/>
      <c r="E602" s="178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178"/>
      <c r="B603" s="178"/>
      <c r="C603" s="178"/>
      <c r="D603" s="178"/>
      <c r="E603" s="178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178"/>
      <c r="B604" s="178"/>
      <c r="C604" s="178"/>
      <c r="D604" s="178"/>
      <c r="E604" s="178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178"/>
      <c r="B605" s="178"/>
      <c r="C605" s="178"/>
      <c r="D605" s="178"/>
      <c r="E605" s="178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178"/>
      <c r="B606" s="178"/>
      <c r="C606" s="178"/>
      <c r="D606" s="178"/>
      <c r="E606" s="178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178"/>
      <c r="B607" s="178"/>
      <c r="C607" s="178"/>
      <c r="D607" s="178"/>
      <c r="E607" s="178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178"/>
      <c r="B608" s="178"/>
      <c r="C608" s="178"/>
      <c r="D608" s="178"/>
      <c r="E608" s="178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178"/>
      <c r="B609" s="178"/>
      <c r="C609" s="178"/>
      <c r="D609" s="178"/>
      <c r="E609" s="178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178"/>
      <c r="B610" s="178"/>
      <c r="C610" s="178"/>
      <c r="D610" s="178"/>
      <c r="E610" s="178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178"/>
      <c r="B611" s="178"/>
      <c r="C611" s="178"/>
      <c r="D611" s="178"/>
      <c r="E611" s="178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178"/>
      <c r="B612" s="178"/>
      <c r="C612" s="178"/>
      <c r="D612" s="178"/>
      <c r="E612" s="178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178"/>
      <c r="B613" s="178"/>
      <c r="C613" s="178"/>
      <c r="D613" s="178"/>
      <c r="E613" s="178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178"/>
      <c r="B614" s="178"/>
      <c r="C614" s="178"/>
      <c r="D614" s="178"/>
      <c r="E614" s="178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178"/>
      <c r="B615" s="178"/>
      <c r="C615" s="178"/>
      <c r="D615" s="178"/>
      <c r="E615" s="178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178"/>
      <c r="B616" s="178"/>
      <c r="C616" s="178"/>
      <c r="D616" s="178"/>
      <c r="E616" s="178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178"/>
      <c r="B617" s="178"/>
      <c r="C617" s="178"/>
      <c r="D617" s="178"/>
      <c r="E617" s="178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178"/>
      <c r="B618" s="178"/>
      <c r="C618" s="178"/>
      <c r="D618" s="178"/>
      <c r="E618" s="178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178"/>
      <c r="B619" s="178"/>
      <c r="C619" s="178"/>
      <c r="D619" s="178"/>
      <c r="E619" s="178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178"/>
      <c r="B620" s="178"/>
      <c r="C620" s="178"/>
      <c r="D620" s="178"/>
      <c r="E620" s="178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178"/>
      <c r="B621" s="178"/>
      <c r="C621" s="178"/>
      <c r="D621" s="178"/>
      <c r="E621" s="178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178"/>
      <c r="B622" s="178"/>
      <c r="C622" s="178"/>
      <c r="D622" s="178"/>
      <c r="E622" s="178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178"/>
      <c r="B623" s="178"/>
      <c r="C623" s="178"/>
      <c r="D623" s="178"/>
      <c r="E623" s="178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178"/>
      <c r="B624" s="178"/>
      <c r="C624" s="178"/>
      <c r="D624" s="178"/>
      <c r="E624" s="178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178"/>
      <c r="B625" s="178"/>
      <c r="C625" s="178"/>
      <c r="D625" s="178"/>
      <c r="E625" s="178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178"/>
      <c r="B626" s="178"/>
      <c r="C626" s="178"/>
      <c r="D626" s="178"/>
      <c r="E626" s="178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178"/>
      <c r="B627" s="178"/>
      <c r="C627" s="178"/>
      <c r="D627" s="178"/>
      <c r="E627" s="178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178"/>
      <c r="B628" s="178"/>
      <c r="C628" s="178"/>
      <c r="D628" s="178"/>
      <c r="E628" s="178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178"/>
      <c r="B629" s="178"/>
      <c r="C629" s="178"/>
      <c r="D629" s="178"/>
      <c r="E629" s="178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178"/>
      <c r="B630" s="178"/>
      <c r="C630" s="178"/>
      <c r="D630" s="178"/>
      <c r="E630" s="178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178"/>
      <c r="B631" s="178"/>
      <c r="C631" s="178"/>
      <c r="D631" s="178"/>
      <c r="E631" s="178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178"/>
      <c r="B632" s="178"/>
      <c r="C632" s="178"/>
      <c r="D632" s="178"/>
      <c r="E632" s="178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178"/>
      <c r="B633" s="178"/>
      <c r="C633" s="178"/>
      <c r="D633" s="178"/>
      <c r="E633" s="178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178"/>
      <c r="B634" s="178"/>
      <c r="C634" s="178"/>
      <c r="D634" s="178"/>
      <c r="E634" s="178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178"/>
      <c r="B635" s="178"/>
      <c r="C635" s="178"/>
      <c r="D635" s="178"/>
      <c r="E635" s="178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178"/>
      <c r="B636" s="178"/>
      <c r="C636" s="178"/>
      <c r="D636" s="178"/>
      <c r="E636" s="178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178"/>
      <c r="B637" s="178"/>
      <c r="C637" s="178"/>
      <c r="D637" s="178"/>
      <c r="E637" s="178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178"/>
      <c r="B638" s="178"/>
      <c r="C638" s="178"/>
      <c r="D638" s="178"/>
      <c r="E638" s="178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178"/>
      <c r="B639" s="178"/>
      <c r="C639" s="178"/>
      <c r="D639" s="178"/>
      <c r="E639" s="178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178"/>
      <c r="B640" s="178"/>
      <c r="C640" s="178"/>
      <c r="D640" s="178"/>
      <c r="E640" s="178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178"/>
      <c r="B641" s="178"/>
      <c r="C641" s="178"/>
      <c r="D641" s="178"/>
      <c r="E641" s="178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178"/>
      <c r="B642" s="178"/>
      <c r="C642" s="178"/>
      <c r="D642" s="178"/>
      <c r="E642" s="178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178"/>
      <c r="B643" s="178"/>
      <c r="C643" s="178"/>
      <c r="D643" s="178"/>
      <c r="E643" s="178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178"/>
      <c r="B644" s="178"/>
      <c r="C644" s="178"/>
      <c r="D644" s="178"/>
      <c r="E644" s="178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178"/>
      <c r="B645" s="178"/>
      <c r="C645" s="178"/>
      <c r="D645" s="178"/>
      <c r="E645" s="178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178"/>
      <c r="B646" s="178"/>
      <c r="C646" s="178"/>
      <c r="D646" s="178"/>
      <c r="E646" s="178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178"/>
      <c r="B647" s="178"/>
      <c r="C647" s="178"/>
      <c r="D647" s="178"/>
      <c r="E647" s="178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178"/>
      <c r="B648" s="178"/>
      <c r="C648" s="178"/>
      <c r="D648" s="178"/>
      <c r="E648" s="178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178"/>
      <c r="B649" s="178"/>
      <c r="C649" s="178"/>
      <c r="D649" s="178"/>
      <c r="E649" s="178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178"/>
      <c r="B650" s="178"/>
      <c r="C650" s="178"/>
      <c r="D650" s="178"/>
      <c r="E650" s="178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178"/>
      <c r="B651" s="178"/>
      <c r="C651" s="178"/>
      <c r="D651" s="178"/>
      <c r="E651" s="178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178"/>
      <c r="B652" s="178"/>
      <c r="C652" s="178"/>
      <c r="D652" s="178"/>
      <c r="E652" s="178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178"/>
      <c r="B653" s="178"/>
      <c r="C653" s="178"/>
      <c r="D653" s="178"/>
      <c r="E653" s="178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178"/>
      <c r="B654" s="178"/>
      <c r="C654" s="178"/>
      <c r="D654" s="178"/>
      <c r="E654" s="178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178"/>
      <c r="B655" s="178"/>
      <c r="C655" s="178"/>
      <c r="D655" s="178"/>
      <c r="E655" s="178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178"/>
      <c r="B656" s="178"/>
      <c r="C656" s="178"/>
      <c r="D656" s="178"/>
      <c r="E656" s="178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178"/>
      <c r="B657" s="178"/>
      <c r="C657" s="178"/>
      <c r="D657" s="178"/>
      <c r="E657" s="178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178"/>
      <c r="B658" s="178"/>
      <c r="C658" s="178"/>
      <c r="D658" s="178"/>
      <c r="E658" s="178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178"/>
      <c r="B659" s="178"/>
      <c r="C659" s="178"/>
      <c r="D659" s="178"/>
      <c r="E659" s="178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178"/>
      <c r="B660" s="178"/>
      <c r="C660" s="178"/>
      <c r="D660" s="178"/>
      <c r="E660" s="178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178"/>
      <c r="B661" s="178"/>
      <c r="C661" s="178"/>
      <c r="D661" s="178"/>
      <c r="E661" s="178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178"/>
      <c r="B662" s="178"/>
      <c r="C662" s="178"/>
      <c r="D662" s="178"/>
      <c r="E662" s="178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178"/>
      <c r="B663" s="178"/>
      <c r="C663" s="178"/>
      <c r="D663" s="178"/>
      <c r="E663" s="178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178"/>
      <c r="B664" s="178"/>
      <c r="C664" s="178"/>
      <c r="D664" s="178"/>
      <c r="E664" s="178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178"/>
      <c r="B665" s="178"/>
      <c r="C665" s="178"/>
      <c r="D665" s="178"/>
      <c r="E665" s="178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178"/>
      <c r="B666" s="178"/>
      <c r="C666" s="178"/>
      <c r="D666" s="178"/>
      <c r="E666" s="178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178"/>
      <c r="B667" s="178"/>
      <c r="C667" s="178"/>
      <c r="D667" s="178"/>
      <c r="E667" s="178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178"/>
      <c r="B668" s="178"/>
      <c r="C668" s="178"/>
      <c r="D668" s="178"/>
      <c r="E668" s="178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178"/>
      <c r="B669" s="178"/>
      <c r="C669" s="178"/>
      <c r="D669" s="178"/>
      <c r="E669" s="178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178"/>
      <c r="B670" s="178"/>
      <c r="C670" s="178"/>
      <c r="D670" s="178"/>
      <c r="E670" s="178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178"/>
      <c r="B671" s="178"/>
      <c r="C671" s="178"/>
      <c r="D671" s="178"/>
      <c r="E671" s="178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178"/>
      <c r="B672" s="178"/>
      <c r="C672" s="178"/>
      <c r="D672" s="178"/>
      <c r="E672" s="178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178"/>
      <c r="B673" s="178"/>
      <c r="C673" s="178"/>
      <c r="D673" s="178"/>
      <c r="E673" s="178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178"/>
      <c r="B674" s="178"/>
      <c r="C674" s="178"/>
      <c r="D674" s="178"/>
      <c r="E674" s="178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178"/>
      <c r="B675" s="178"/>
      <c r="C675" s="178"/>
      <c r="D675" s="178"/>
      <c r="E675" s="178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178"/>
      <c r="B676" s="178"/>
      <c r="C676" s="178"/>
      <c r="D676" s="178"/>
      <c r="E676" s="178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178"/>
      <c r="B677" s="178"/>
      <c r="C677" s="178"/>
      <c r="D677" s="178"/>
      <c r="E677" s="178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178"/>
      <c r="B678" s="178"/>
      <c r="C678" s="178"/>
      <c r="D678" s="178"/>
      <c r="E678" s="178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178"/>
      <c r="B679" s="178"/>
      <c r="C679" s="178"/>
      <c r="D679" s="178"/>
      <c r="E679" s="178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178"/>
      <c r="B680" s="178"/>
      <c r="C680" s="178"/>
      <c r="D680" s="178"/>
      <c r="E680" s="178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178"/>
      <c r="B681" s="178"/>
      <c r="C681" s="178"/>
      <c r="D681" s="178"/>
      <c r="E681" s="178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178"/>
      <c r="B682" s="178"/>
      <c r="C682" s="178"/>
      <c r="D682" s="178"/>
      <c r="E682" s="178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178"/>
      <c r="B683" s="178"/>
      <c r="C683" s="178"/>
      <c r="D683" s="178"/>
      <c r="E683" s="178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178"/>
      <c r="B684" s="178"/>
      <c r="C684" s="178"/>
      <c r="D684" s="178"/>
      <c r="E684" s="178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178"/>
      <c r="B685" s="178"/>
      <c r="C685" s="178"/>
      <c r="D685" s="178"/>
      <c r="E685" s="178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178"/>
      <c r="B686" s="178"/>
      <c r="C686" s="178"/>
      <c r="D686" s="178"/>
      <c r="E686" s="178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178"/>
      <c r="B687" s="178"/>
      <c r="C687" s="178"/>
      <c r="D687" s="178"/>
      <c r="E687" s="178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178"/>
      <c r="B688" s="178"/>
      <c r="C688" s="178"/>
      <c r="D688" s="178"/>
      <c r="E688" s="178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178"/>
      <c r="B689" s="178"/>
      <c r="C689" s="178"/>
      <c r="D689" s="178"/>
      <c r="E689" s="178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178"/>
      <c r="B690" s="178"/>
      <c r="C690" s="178"/>
      <c r="D690" s="178"/>
      <c r="E690" s="178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178"/>
      <c r="B691" s="178"/>
      <c r="C691" s="178"/>
      <c r="D691" s="178"/>
      <c r="E691" s="178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178"/>
      <c r="B692" s="178"/>
      <c r="C692" s="178"/>
      <c r="D692" s="178"/>
      <c r="E692" s="178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178"/>
      <c r="B693" s="178"/>
      <c r="C693" s="178"/>
      <c r="D693" s="178"/>
      <c r="E693" s="178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178"/>
      <c r="B694" s="178"/>
      <c r="C694" s="178"/>
      <c r="D694" s="178"/>
      <c r="E694" s="178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178"/>
      <c r="B695" s="178"/>
      <c r="C695" s="178"/>
      <c r="D695" s="178"/>
      <c r="E695" s="178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178"/>
      <c r="B696" s="178"/>
      <c r="C696" s="178"/>
      <c r="D696" s="178"/>
      <c r="E696" s="178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178"/>
      <c r="B697" s="178"/>
      <c r="C697" s="178"/>
      <c r="D697" s="178"/>
      <c r="E697" s="178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178"/>
      <c r="B698" s="178"/>
      <c r="C698" s="178"/>
      <c r="D698" s="178"/>
      <c r="E698" s="178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178"/>
      <c r="B699" s="178"/>
      <c r="C699" s="178"/>
      <c r="D699" s="178"/>
      <c r="E699" s="178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178"/>
      <c r="B700" s="178"/>
      <c r="C700" s="178"/>
      <c r="D700" s="178"/>
      <c r="E700" s="178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178"/>
      <c r="B701" s="178"/>
      <c r="C701" s="178"/>
      <c r="D701" s="178"/>
      <c r="E701" s="178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178"/>
      <c r="B702" s="178"/>
      <c r="C702" s="178"/>
      <c r="D702" s="178"/>
      <c r="E702" s="178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178"/>
      <c r="B703" s="178"/>
      <c r="C703" s="178"/>
      <c r="D703" s="178"/>
      <c r="E703" s="178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178"/>
      <c r="B704" s="178"/>
      <c r="C704" s="178"/>
      <c r="D704" s="178"/>
      <c r="E704" s="178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178"/>
      <c r="B705" s="178"/>
      <c r="C705" s="178"/>
      <c r="D705" s="178"/>
      <c r="E705" s="178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178"/>
      <c r="B706" s="178"/>
      <c r="C706" s="178"/>
      <c r="D706" s="178"/>
      <c r="E706" s="178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178"/>
      <c r="B707" s="178"/>
      <c r="C707" s="178"/>
      <c r="D707" s="178"/>
      <c r="E707" s="178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178"/>
      <c r="B708" s="178"/>
      <c r="C708" s="178"/>
      <c r="D708" s="178"/>
      <c r="E708" s="178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178"/>
      <c r="B709" s="178"/>
      <c r="C709" s="178"/>
      <c r="D709" s="178"/>
      <c r="E709" s="178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178"/>
      <c r="B710" s="178"/>
      <c r="C710" s="178"/>
      <c r="D710" s="178"/>
      <c r="E710" s="178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178"/>
      <c r="B711" s="178"/>
      <c r="C711" s="178"/>
      <c r="D711" s="178"/>
      <c r="E711" s="178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178"/>
      <c r="B712" s="178"/>
      <c r="C712" s="178"/>
      <c r="D712" s="178"/>
      <c r="E712" s="178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178"/>
      <c r="B713" s="178"/>
      <c r="C713" s="178"/>
      <c r="D713" s="178"/>
      <c r="E713" s="178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178"/>
      <c r="B714" s="178"/>
      <c r="C714" s="178"/>
      <c r="D714" s="178"/>
      <c r="E714" s="178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178"/>
      <c r="B715" s="178"/>
      <c r="C715" s="178"/>
      <c r="D715" s="178"/>
      <c r="E715" s="178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178"/>
      <c r="B716" s="178"/>
      <c r="C716" s="178"/>
      <c r="D716" s="178"/>
      <c r="E716" s="178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178"/>
      <c r="B717" s="178"/>
      <c r="C717" s="178"/>
      <c r="D717" s="178"/>
      <c r="E717" s="178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178"/>
      <c r="B718" s="178"/>
      <c r="C718" s="178"/>
      <c r="D718" s="178"/>
      <c r="E718" s="178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178"/>
      <c r="B719" s="178"/>
      <c r="C719" s="178"/>
      <c r="D719" s="178"/>
      <c r="E719" s="178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178"/>
      <c r="B720" s="178"/>
      <c r="C720" s="178"/>
      <c r="D720" s="178"/>
      <c r="E720" s="178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178"/>
      <c r="B721" s="178"/>
      <c r="C721" s="178"/>
      <c r="D721" s="178"/>
      <c r="E721" s="178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178"/>
      <c r="B722" s="178"/>
      <c r="C722" s="178"/>
      <c r="D722" s="178"/>
      <c r="E722" s="178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178"/>
      <c r="B723" s="178"/>
      <c r="C723" s="178"/>
      <c r="D723" s="178"/>
      <c r="E723" s="178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178"/>
      <c r="B724" s="178"/>
      <c r="C724" s="178"/>
      <c r="D724" s="178"/>
      <c r="E724" s="178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178"/>
      <c r="B725" s="178"/>
      <c r="C725" s="178"/>
      <c r="D725" s="178"/>
      <c r="E725" s="178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178"/>
      <c r="B726" s="178"/>
      <c r="C726" s="178"/>
      <c r="D726" s="178"/>
      <c r="E726" s="178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178"/>
      <c r="B727" s="178"/>
      <c r="C727" s="178"/>
      <c r="D727" s="178"/>
      <c r="E727" s="178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178"/>
      <c r="B728" s="178"/>
      <c r="C728" s="178"/>
      <c r="D728" s="178"/>
      <c r="E728" s="178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178"/>
      <c r="B729" s="178"/>
      <c r="C729" s="178"/>
      <c r="D729" s="178"/>
      <c r="E729" s="178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178"/>
      <c r="B730" s="178"/>
      <c r="C730" s="178"/>
      <c r="D730" s="178"/>
      <c r="E730" s="178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178"/>
      <c r="B731" s="178"/>
      <c r="C731" s="178"/>
      <c r="D731" s="178"/>
      <c r="E731" s="178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178"/>
      <c r="B732" s="178"/>
      <c r="C732" s="178"/>
      <c r="D732" s="178"/>
      <c r="E732" s="178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178"/>
      <c r="B733" s="178"/>
      <c r="C733" s="178"/>
      <c r="D733" s="178"/>
      <c r="E733" s="178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178"/>
      <c r="B734" s="178"/>
      <c r="C734" s="178"/>
      <c r="D734" s="178"/>
      <c r="E734" s="178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178"/>
      <c r="B735" s="178"/>
      <c r="C735" s="178"/>
      <c r="D735" s="178"/>
      <c r="E735" s="178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178"/>
      <c r="B736" s="178"/>
      <c r="C736" s="178"/>
      <c r="D736" s="178"/>
      <c r="E736" s="178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178"/>
      <c r="B737" s="178"/>
      <c r="C737" s="178"/>
      <c r="D737" s="178"/>
      <c r="E737" s="178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178"/>
      <c r="B738" s="178"/>
      <c r="C738" s="178"/>
      <c r="D738" s="178"/>
      <c r="E738" s="178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178"/>
      <c r="B739" s="178"/>
      <c r="C739" s="178"/>
      <c r="D739" s="178"/>
      <c r="E739" s="178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178"/>
      <c r="B740" s="178"/>
      <c r="C740" s="178"/>
      <c r="D740" s="178"/>
      <c r="E740" s="178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178"/>
      <c r="B741" s="178"/>
      <c r="C741" s="178"/>
      <c r="D741" s="178"/>
      <c r="E741" s="178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178"/>
      <c r="B742" s="178"/>
      <c r="C742" s="178"/>
      <c r="D742" s="178"/>
      <c r="E742" s="178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178"/>
      <c r="B743" s="178"/>
      <c r="C743" s="178"/>
      <c r="D743" s="178"/>
      <c r="E743" s="178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178"/>
      <c r="B744" s="178"/>
      <c r="C744" s="178"/>
      <c r="D744" s="178"/>
      <c r="E744" s="178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178"/>
      <c r="B745" s="178"/>
      <c r="C745" s="178"/>
      <c r="D745" s="178"/>
      <c r="E745" s="178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178"/>
      <c r="B746" s="178"/>
      <c r="C746" s="178"/>
      <c r="D746" s="178"/>
      <c r="E746" s="178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178"/>
      <c r="B747" s="178"/>
      <c r="C747" s="178"/>
      <c r="D747" s="178"/>
      <c r="E747" s="178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178"/>
      <c r="B748" s="178"/>
      <c r="C748" s="178"/>
      <c r="D748" s="178"/>
      <c r="E748" s="178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178"/>
      <c r="B749" s="178"/>
      <c r="C749" s="178"/>
      <c r="D749" s="178"/>
      <c r="E749" s="178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178"/>
      <c r="B750" s="178"/>
      <c r="C750" s="178"/>
      <c r="D750" s="178"/>
      <c r="E750" s="178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178"/>
      <c r="B751" s="178"/>
      <c r="C751" s="178"/>
      <c r="D751" s="178"/>
      <c r="E751" s="178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178"/>
      <c r="B752" s="178"/>
      <c r="C752" s="178"/>
      <c r="D752" s="178"/>
      <c r="E752" s="178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178"/>
      <c r="B753" s="178"/>
      <c r="C753" s="178"/>
      <c r="D753" s="178"/>
      <c r="E753" s="178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178"/>
      <c r="B754" s="178"/>
      <c r="C754" s="178"/>
      <c r="D754" s="178"/>
      <c r="E754" s="178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178"/>
      <c r="B755" s="178"/>
      <c r="C755" s="178"/>
      <c r="D755" s="178"/>
      <c r="E755" s="178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178"/>
      <c r="B756" s="178"/>
      <c r="C756" s="178"/>
      <c r="D756" s="178"/>
      <c r="E756" s="178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178"/>
      <c r="B757" s="178"/>
      <c r="C757" s="178"/>
      <c r="D757" s="178"/>
      <c r="E757" s="178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178"/>
      <c r="B758" s="178"/>
      <c r="C758" s="178"/>
      <c r="D758" s="178"/>
      <c r="E758" s="178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178"/>
      <c r="B759" s="178"/>
      <c r="C759" s="178"/>
      <c r="D759" s="178"/>
      <c r="E759" s="178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178"/>
      <c r="B760" s="178"/>
      <c r="C760" s="178"/>
      <c r="D760" s="178"/>
      <c r="E760" s="178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178"/>
      <c r="B761" s="178"/>
      <c r="C761" s="178"/>
      <c r="D761" s="178"/>
      <c r="E761" s="178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178"/>
      <c r="B762" s="178"/>
      <c r="C762" s="178"/>
      <c r="D762" s="178"/>
      <c r="E762" s="178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178"/>
      <c r="B763" s="178"/>
      <c r="C763" s="178"/>
      <c r="D763" s="178"/>
      <c r="E763" s="178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178"/>
      <c r="B764" s="178"/>
      <c r="C764" s="178"/>
      <c r="D764" s="178"/>
      <c r="E764" s="178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178"/>
      <c r="B765" s="178"/>
      <c r="C765" s="178"/>
      <c r="D765" s="178"/>
      <c r="E765" s="178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178"/>
      <c r="B766" s="178"/>
      <c r="C766" s="178"/>
      <c r="D766" s="178"/>
      <c r="E766" s="178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178"/>
      <c r="B767" s="178"/>
      <c r="C767" s="178"/>
      <c r="D767" s="178"/>
      <c r="E767" s="178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178"/>
      <c r="B768" s="178"/>
      <c r="C768" s="178"/>
      <c r="D768" s="178"/>
      <c r="E768" s="178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178"/>
      <c r="B769" s="178"/>
      <c r="C769" s="178"/>
      <c r="D769" s="178"/>
      <c r="E769" s="178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178"/>
      <c r="B770" s="178"/>
      <c r="C770" s="178"/>
      <c r="D770" s="178"/>
      <c r="E770" s="178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178"/>
      <c r="B771" s="178"/>
      <c r="C771" s="178"/>
      <c r="D771" s="178"/>
      <c r="E771" s="178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178"/>
      <c r="B772" s="178"/>
      <c r="C772" s="178"/>
      <c r="D772" s="178"/>
      <c r="E772" s="178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178"/>
      <c r="B773" s="178"/>
      <c r="C773" s="178"/>
      <c r="D773" s="178"/>
      <c r="E773" s="178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178"/>
      <c r="B774" s="178"/>
      <c r="C774" s="178"/>
      <c r="D774" s="178"/>
      <c r="E774" s="178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178"/>
      <c r="B775" s="178"/>
      <c r="C775" s="178"/>
      <c r="D775" s="178"/>
      <c r="E775" s="178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178"/>
      <c r="B776" s="178"/>
      <c r="C776" s="178"/>
      <c r="D776" s="178"/>
      <c r="E776" s="178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178"/>
      <c r="B777" s="178"/>
      <c r="C777" s="178"/>
      <c r="D777" s="178"/>
      <c r="E777" s="178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178"/>
      <c r="B778" s="178"/>
      <c r="C778" s="178"/>
      <c r="D778" s="178"/>
      <c r="E778" s="178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178"/>
      <c r="B779" s="178"/>
      <c r="C779" s="178"/>
      <c r="D779" s="178"/>
      <c r="E779" s="178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178"/>
      <c r="B780" s="178"/>
      <c r="C780" s="178"/>
      <c r="D780" s="178"/>
      <c r="E780" s="178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178"/>
      <c r="B781" s="178"/>
      <c r="C781" s="178"/>
      <c r="D781" s="178"/>
      <c r="E781" s="178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178"/>
      <c r="B782" s="178"/>
      <c r="C782" s="178"/>
      <c r="D782" s="178"/>
      <c r="E782" s="178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178"/>
      <c r="B783" s="178"/>
      <c r="C783" s="178"/>
      <c r="D783" s="178"/>
      <c r="E783" s="178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178"/>
      <c r="B784" s="178"/>
      <c r="C784" s="178"/>
      <c r="D784" s="178"/>
      <c r="E784" s="178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178"/>
      <c r="B785" s="178"/>
      <c r="C785" s="178"/>
      <c r="D785" s="178"/>
      <c r="E785" s="178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178"/>
      <c r="B786" s="178"/>
      <c r="C786" s="178"/>
      <c r="D786" s="178"/>
      <c r="E786" s="178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178"/>
      <c r="B787" s="178"/>
      <c r="C787" s="178"/>
      <c r="D787" s="178"/>
      <c r="E787" s="178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178"/>
      <c r="B788" s="178"/>
      <c r="C788" s="178"/>
      <c r="D788" s="178"/>
      <c r="E788" s="178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178"/>
      <c r="B789" s="178"/>
      <c r="C789" s="178"/>
      <c r="D789" s="178"/>
      <c r="E789" s="178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178"/>
      <c r="B790" s="178"/>
      <c r="C790" s="178"/>
      <c r="D790" s="178"/>
      <c r="E790" s="178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178"/>
      <c r="B791" s="178"/>
      <c r="C791" s="178"/>
      <c r="D791" s="178"/>
      <c r="E791" s="178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178"/>
      <c r="B792" s="178"/>
      <c r="C792" s="178"/>
      <c r="D792" s="178"/>
      <c r="E792" s="178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178"/>
      <c r="B793" s="178"/>
      <c r="C793" s="178"/>
      <c r="D793" s="178"/>
      <c r="E793" s="178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178"/>
      <c r="B794" s="178"/>
      <c r="C794" s="178"/>
      <c r="D794" s="178"/>
      <c r="E794" s="178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178"/>
      <c r="B795" s="178"/>
      <c r="C795" s="178"/>
      <c r="D795" s="178"/>
      <c r="E795" s="178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178"/>
      <c r="B796" s="178"/>
      <c r="C796" s="178"/>
      <c r="D796" s="178"/>
      <c r="E796" s="178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178"/>
      <c r="B797" s="178"/>
      <c r="C797" s="178"/>
      <c r="D797" s="178"/>
      <c r="E797" s="178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178"/>
      <c r="B798" s="178"/>
      <c r="C798" s="178"/>
      <c r="D798" s="178"/>
      <c r="E798" s="178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178"/>
      <c r="B799" s="178"/>
      <c r="C799" s="178"/>
      <c r="D799" s="178"/>
      <c r="E799" s="178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178"/>
      <c r="B800" s="178"/>
      <c r="C800" s="178"/>
      <c r="D800" s="178"/>
      <c r="E800" s="178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178"/>
      <c r="B801" s="178"/>
      <c r="C801" s="178"/>
      <c r="D801" s="178"/>
      <c r="E801" s="178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178"/>
      <c r="B802" s="178"/>
      <c r="C802" s="178"/>
      <c r="D802" s="178"/>
      <c r="E802" s="178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178"/>
      <c r="B803" s="178"/>
      <c r="C803" s="178"/>
      <c r="D803" s="178"/>
      <c r="E803" s="178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178"/>
      <c r="B804" s="178"/>
      <c r="C804" s="178"/>
      <c r="D804" s="178"/>
      <c r="E804" s="178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178"/>
      <c r="B805" s="178"/>
      <c r="C805" s="178"/>
      <c r="D805" s="178"/>
      <c r="E805" s="178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178"/>
      <c r="B806" s="178"/>
      <c r="C806" s="178"/>
      <c r="D806" s="178"/>
      <c r="E806" s="178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178"/>
      <c r="B807" s="178"/>
      <c r="C807" s="178"/>
      <c r="D807" s="178"/>
      <c r="E807" s="178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178"/>
      <c r="B808" s="178"/>
      <c r="C808" s="178"/>
      <c r="D808" s="178"/>
      <c r="E808" s="178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178"/>
      <c r="B809" s="178"/>
      <c r="C809" s="178"/>
      <c r="D809" s="178"/>
      <c r="E809" s="178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178"/>
      <c r="B810" s="178"/>
      <c r="C810" s="178"/>
      <c r="D810" s="178"/>
      <c r="E810" s="178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178"/>
      <c r="B811" s="178"/>
      <c r="C811" s="178"/>
      <c r="D811" s="178"/>
      <c r="E811" s="178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178"/>
      <c r="B812" s="178"/>
      <c r="C812" s="178"/>
      <c r="D812" s="178"/>
      <c r="E812" s="178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178"/>
      <c r="B813" s="178"/>
      <c r="C813" s="178"/>
      <c r="D813" s="178"/>
      <c r="E813" s="178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178"/>
      <c r="B814" s="178"/>
      <c r="C814" s="178"/>
      <c r="D814" s="178"/>
      <c r="E814" s="178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178"/>
      <c r="B815" s="178"/>
      <c r="C815" s="178"/>
      <c r="D815" s="178"/>
      <c r="E815" s="178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178"/>
      <c r="B816" s="178"/>
      <c r="C816" s="178"/>
      <c r="D816" s="178"/>
      <c r="E816" s="178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178"/>
      <c r="B817" s="178"/>
      <c r="C817" s="178"/>
      <c r="D817" s="178"/>
      <c r="E817" s="178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178"/>
      <c r="B818" s="178"/>
      <c r="C818" s="178"/>
      <c r="D818" s="178"/>
      <c r="E818" s="178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178"/>
      <c r="B819" s="178"/>
      <c r="C819" s="178"/>
      <c r="D819" s="178"/>
      <c r="E819" s="178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178"/>
      <c r="B820" s="178"/>
      <c r="C820" s="178"/>
      <c r="D820" s="178"/>
      <c r="E820" s="178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178"/>
      <c r="B821" s="178"/>
      <c r="C821" s="178"/>
      <c r="D821" s="178"/>
      <c r="E821" s="178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178"/>
      <c r="B822" s="178"/>
      <c r="C822" s="178"/>
      <c r="D822" s="178"/>
      <c r="E822" s="178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178"/>
      <c r="B823" s="178"/>
      <c r="C823" s="178"/>
      <c r="D823" s="178"/>
      <c r="E823" s="178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178"/>
      <c r="B824" s="178"/>
      <c r="C824" s="178"/>
      <c r="D824" s="178"/>
      <c r="E824" s="178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178"/>
      <c r="B825" s="178"/>
      <c r="C825" s="178"/>
      <c r="D825" s="178"/>
      <c r="E825" s="178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178"/>
      <c r="B826" s="178"/>
      <c r="C826" s="178"/>
      <c r="D826" s="178"/>
      <c r="E826" s="178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178"/>
      <c r="B827" s="178"/>
      <c r="C827" s="178"/>
      <c r="D827" s="178"/>
      <c r="E827" s="178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178"/>
      <c r="B828" s="178"/>
      <c r="C828" s="178"/>
      <c r="D828" s="178"/>
      <c r="E828" s="178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178"/>
      <c r="B829" s="178"/>
      <c r="C829" s="178"/>
      <c r="D829" s="178"/>
      <c r="E829" s="178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178"/>
      <c r="B830" s="178"/>
      <c r="C830" s="178"/>
      <c r="D830" s="178"/>
      <c r="E830" s="178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178"/>
      <c r="B831" s="178"/>
      <c r="C831" s="178"/>
      <c r="D831" s="178"/>
      <c r="E831" s="178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178"/>
      <c r="B832" s="178"/>
      <c r="C832" s="178"/>
      <c r="D832" s="178"/>
      <c r="E832" s="178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178"/>
      <c r="B833" s="178"/>
      <c r="C833" s="178"/>
      <c r="D833" s="178"/>
      <c r="E833" s="178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178"/>
      <c r="B834" s="178"/>
      <c r="C834" s="178"/>
      <c r="D834" s="178"/>
      <c r="E834" s="178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178"/>
      <c r="B835" s="178"/>
      <c r="C835" s="178"/>
      <c r="D835" s="178"/>
      <c r="E835" s="178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178"/>
      <c r="B836" s="178"/>
      <c r="C836" s="178"/>
      <c r="D836" s="178"/>
      <c r="E836" s="178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178"/>
      <c r="B837" s="178"/>
      <c r="C837" s="178"/>
      <c r="D837" s="178"/>
      <c r="E837" s="178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178"/>
      <c r="B838" s="178"/>
      <c r="C838" s="178"/>
      <c r="D838" s="178"/>
      <c r="E838" s="178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178"/>
      <c r="B839" s="178"/>
      <c r="C839" s="178"/>
      <c r="D839" s="178"/>
      <c r="E839" s="178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178"/>
      <c r="B840" s="178"/>
      <c r="C840" s="178"/>
      <c r="D840" s="178"/>
      <c r="E840" s="178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178"/>
      <c r="B841" s="178"/>
      <c r="C841" s="178"/>
      <c r="D841" s="178"/>
      <c r="E841" s="178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178"/>
      <c r="B842" s="178"/>
      <c r="C842" s="178"/>
      <c r="D842" s="178"/>
      <c r="E842" s="178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178"/>
      <c r="B843" s="178"/>
      <c r="C843" s="178"/>
      <c r="D843" s="178"/>
      <c r="E843" s="178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178"/>
      <c r="B844" s="178"/>
      <c r="C844" s="178"/>
      <c r="D844" s="178"/>
      <c r="E844" s="178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178"/>
      <c r="B845" s="178"/>
      <c r="C845" s="178"/>
      <c r="D845" s="178"/>
      <c r="E845" s="178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178"/>
      <c r="B846" s="178"/>
      <c r="C846" s="178"/>
      <c r="D846" s="178"/>
      <c r="E846" s="178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178"/>
      <c r="B847" s="178"/>
      <c r="C847" s="178"/>
      <c r="D847" s="178"/>
      <c r="E847" s="178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178"/>
      <c r="B848" s="178"/>
      <c r="C848" s="178"/>
      <c r="D848" s="178"/>
      <c r="E848" s="178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178"/>
      <c r="B849" s="178"/>
      <c r="C849" s="178"/>
      <c r="D849" s="178"/>
      <c r="E849" s="178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178"/>
      <c r="B850" s="178"/>
      <c r="C850" s="178"/>
      <c r="D850" s="178"/>
      <c r="E850" s="178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178"/>
      <c r="B851" s="178"/>
      <c r="C851" s="178"/>
      <c r="D851" s="178"/>
      <c r="E851" s="178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178"/>
      <c r="B852" s="178"/>
      <c r="C852" s="178"/>
      <c r="D852" s="178"/>
      <c r="E852" s="178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178"/>
      <c r="B853" s="178"/>
      <c r="C853" s="178"/>
      <c r="D853" s="178"/>
      <c r="E853" s="178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178"/>
      <c r="B854" s="178"/>
      <c r="C854" s="178"/>
      <c r="D854" s="178"/>
      <c r="E854" s="178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178"/>
      <c r="B855" s="178"/>
      <c r="C855" s="178"/>
      <c r="D855" s="178"/>
      <c r="E855" s="178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178"/>
      <c r="B856" s="178"/>
      <c r="C856" s="178"/>
      <c r="D856" s="178"/>
      <c r="E856" s="178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178"/>
      <c r="B857" s="178"/>
      <c r="C857" s="178"/>
      <c r="D857" s="178"/>
      <c r="E857" s="178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178"/>
      <c r="B858" s="178"/>
      <c r="C858" s="178"/>
      <c r="D858" s="178"/>
      <c r="E858" s="178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178"/>
      <c r="B859" s="178"/>
      <c r="C859" s="178"/>
      <c r="D859" s="178"/>
      <c r="E859" s="178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178"/>
      <c r="B860" s="178"/>
      <c r="C860" s="178"/>
      <c r="D860" s="178"/>
      <c r="E860" s="178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178"/>
      <c r="B861" s="178"/>
      <c r="C861" s="178"/>
      <c r="D861" s="178"/>
      <c r="E861" s="178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178"/>
      <c r="B862" s="178"/>
      <c r="C862" s="178"/>
      <c r="D862" s="178"/>
      <c r="E862" s="178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178"/>
      <c r="B863" s="178"/>
      <c r="C863" s="178"/>
      <c r="D863" s="178"/>
      <c r="E863" s="178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178"/>
      <c r="B864" s="178"/>
      <c r="C864" s="178"/>
      <c r="D864" s="178"/>
      <c r="E864" s="178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178"/>
      <c r="B865" s="178"/>
      <c r="C865" s="178"/>
      <c r="D865" s="178"/>
      <c r="E865" s="178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178"/>
      <c r="B866" s="178"/>
      <c r="C866" s="178"/>
      <c r="D866" s="178"/>
      <c r="E866" s="178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178"/>
      <c r="B867" s="178"/>
      <c r="C867" s="178"/>
      <c r="D867" s="178"/>
      <c r="E867" s="178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178"/>
      <c r="B868" s="178"/>
      <c r="C868" s="178"/>
      <c r="D868" s="178"/>
      <c r="E868" s="178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178"/>
      <c r="B869" s="178"/>
      <c r="C869" s="178"/>
      <c r="D869" s="178"/>
      <c r="E869" s="178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178"/>
      <c r="B870" s="178"/>
      <c r="C870" s="178"/>
      <c r="D870" s="178"/>
      <c r="E870" s="178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178"/>
      <c r="B871" s="178"/>
      <c r="C871" s="178"/>
      <c r="D871" s="178"/>
      <c r="E871" s="178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178"/>
      <c r="B872" s="178"/>
      <c r="C872" s="178"/>
      <c r="D872" s="178"/>
      <c r="E872" s="178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178"/>
      <c r="B873" s="178"/>
      <c r="C873" s="178"/>
      <c r="D873" s="178"/>
      <c r="E873" s="178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178"/>
      <c r="B874" s="178"/>
      <c r="C874" s="178"/>
      <c r="D874" s="178"/>
      <c r="E874" s="178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178"/>
      <c r="B875" s="178"/>
      <c r="C875" s="178"/>
      <c r="D875" s="178"/>
      <c r="E875" s="178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178"/>
      <c r="B876" s="178"/>
      <c r="C876" s="178"/>
      <c r="D876" s="178"/>
      <c r="E876" s="178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178"/>
      <c r="B877" s="178"/>
      <c r="C877" s="178"/>
      <c r="D877" s="178"/>
      <c r="E877" s="178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178"/>
      <c r="B878" s="178"/>
      <c r="C878" s="178"/>
      <c r="D878" s="178"/>
      <c r="E878" s="178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178"/>
      <c r="B879" s="178"/>
      <c r="C879" s="178"/>
      <c r="D879" s="178"/>
      <c r="E879" s="178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178"/>
      <c r="B880" s="178"/>
      <c r="C880" s="178"/>
      <c r="D880" s="178"/>
      <c r="E880" s="178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178"/>
      <c r="B881" s="178"/>
      <c r="C881" s="178"/>
      <c r="D881" s="178"/>
      <c r="E881" s="178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178"/>
      <c r="B882" s="178"/>
      <c r="C882" s="178"/>
      <c r="D882" s="178"/>
      <c r="E882" s="178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178"/>
      <c r="B883" s="178"/>
      <c r="C883" s="178"/>
      <c r="D883" s="178"/>
      <c r="E883" s="178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178"/>
      <c r="B884" s="178"/>
      <c r="C884" s="178"/>
      <c r="D884" s="178"/>
      <c r="E884" s="178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178"/>
      <c r="B885" s="178"/>
      <c r="C885" s="178"/>
      <c r="D885" s="178"/>
      <c r="E885" s="178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178"/>
      <c r="B886" s="178"/>
      <c r="C886" s="178"/>
      <c r="D886" s="178"/>
      <c r="E886" s="178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178"/>
      <c r="B887" s="178"/>
      <c r="C887" s="178"/>
      <c r="D887" s="178"/>
      <c r="E887" s="178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178"/>
      <c r="B888" s="178"/>
      <c r="C888" s="178"/>
      <c r="D888" s="178"/>
      <c r="E888" s="178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178"/>
      <c r="B889" s="178"/>
      <c r="C889" s="178"/>
      <c r="D889" s="178"/>
      <c r="E889" s="178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178"/>
      <c r="B890" s="178"/>
      <c r="C890" s="178"/>
      <c r="D890" s="178"/>
      <c r="E890" s="178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178"/>
      <c r="B891" s="178"/>
      <c r="C891" s="178"/>
      <c r="D891" s="178"/>
      <c r="E891" s="178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178"/>
      <c r="B892" s="178"/>
      <c r="C892" s="178"/>
      <c r="D892" s="178"/>
      <c r="E892" s="178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178"/>
      <c r="B893" s="178"/>
      <c r="C893" s="178"/>
      <c r="D893" s="178"/>
      <c r="E893" s="178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178"/>
      <c r="B894" s="178"/>
      <c r="C894" s="178"/>
      <c r="D894" s="178"/>
      <c r="E894" s="178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178"/>
      <c r="B895" s="178"/>
      <c r="C895" s="178"/>
      <c r="D895" s="178"/>
      <c r="E895" s="178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178"/>
      <c r="B896" s="178"/>
      <c r="C896" s="178"/>
      <c r="D896" s="178"/>
      <c r="E896" s="178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178"/>
      <c r="B897" s="178"/>
      <c r="C897" s="178"/>
      <c r="D897" s="178"/>
      <c r="E897" s="178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178"/>
      <c r="B898" s="178"/>
      <c r="C898" s="178"/>
      <c r="D898" s="178"/>
      <c r="E898" s="178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178"/>
      <c r="B899" s="178"/>
      <c r="C899" s="178"/>
      <c r="D899" s="178"/>
      <c r="E899" s="178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178"/>
      <c r="B900" s="178"/>
      <c r="C900" s="178"/>
      <c r="D900" s="178"/>
      <c r="E900" s="178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178"/>
      <c r="B901" s="178"/>
      <c r="C901" s="178"/>
      <c r="D901" s="178"/>
      <c r="E901" s="178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178"/>
      <c r="B902" s="178"/>
      <c r="C902" s="178"/>
      <c r="D902" s="178"/>
      <c r="E902" s="178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178"/>
      <c r="B903" s="178"/>
      <c r="C903" s="178"/>
      <c r="D903" s="178"/>
      <c r="E903" s="178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178"/>
      <c r="B904" s="178"/>
      <c r="C904" s="178"/>
      <c r="D904" s="178"/>
      <c r="E904" s="178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178"/>
      <c r="B905" s="178"/>
      <c r="C905" s="178"/>
      <c r="D905" s="178"/>
      <c r="E905" s="178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178"/>
      <c r="B906" s="178"/>
      <c r="C906" s="178"/>
      <c r="D906" s="178"/>
      <c r="E906" s="178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178"/>
      <c r="B907" s="178"/>
      <c r="C907" s="178"/>
      <c r="D907" s="178"/>
      <c r="E907" s="178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178"/>
      <c r="B908" s="178"/>
      <c r="C908" s="178"/>
      <c r="D908" s="178"/>
      <c r="E908" s="178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178"/>
      <c r="B909" s="178"/>
      <c r="C909" s="178"/>
      <c r="D909" s="178"/>
      <c r="E909" s="178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178"/>
      <c r="B910" s="178"/>
      <c r="C910" s="178"/>
      <c r="D910" s="178"/>
      <c r="E910" s="178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178"/>
      <c r="B911" s="178"/>
      <c r="C911" s="178"/>
      <c r="D911" s="178"/>
      <c r="E911" s="178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178"/>
      <c r="B912" s="178"/>
      <c r="C912" s="178"/>
      <c r="D912" s="178"/>
      <c r="E912" s="178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178"/>
      <c r="B913" s="178"/>
      <c r="C913" s="178"/>
      <c r="D913" s="178"/>
      <c r="E913" s="178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178"/>
      <c r="B914" s="178"/>
      <c r="C914" s="178"/>
      <c r="D914" s="178"/>
      <c r="E914" s="178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178"/>
      <c r="B915" s="178"/>
      <c r="C915" s="178"/>
      <c r="D915" s="178"/>
      <c r="E915" s="178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178"/>
      <c r="B916" s="178"/>
      <c r="C916" s="178"/>
      <c r="D916" s="178"/>
      <c r="E916" s="178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178"/>
      <c r="B917" s="178"/>
      <c r="C917" s="178"/>
      <c r="D917" s="178"/>
      <c r="E917" s="178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178"/>
      <c r="B918" s="178"/>
      <c r="C918" s="178"/>
      <c r="D918" s="178"/>
      <c r="E918" s="178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178"/>
      <c r="B919" s="178"/>
      <c r="C919" s="178"/>
      <c r="D919" s="178"/>
      <c r="E919" s="178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178"/>
      <c r="B920" s="178"/>
      <c r="C920" s="178"/>
      <c r="D920" s="178"/>
      <c r="E920" s="178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178"/>
      <c r="B921" s="178"/>
      <c r="C921" s="178"/>
      <c r="D921" s="178"/>
      <c r="E921" s="178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178"/>
      <c r="B922" s="178"/>
      <c r="C922" s="178"/>
      <c r="D922" s="178"/>
      <c r="E922" s="178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178"/>
      <c r="B923" s="178"/>
      <c r="C923" s="178"/>
      <c r="D923" s="178"/>
      <c r="E923" s="178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178"/>
      <c r="B924" s="178"/>
      <c r="C924" s="178"/>
      <c r="D924" s="178"/>
      <c r="E924" s="178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178"/>
      <c r="B925" s="178"/>
      <c r="C925" s="178"/>
      <c r="D925" s="178"/>
      <c r="E925" s="178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178"/>
      <c r="B926" s="178"/>
      <c r="C926" s="178"/>
      <c r="D926" s="178"/>
      <c r="E926" s="178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178"/>
      <c r="B927" s="178"/>
      <c r="C927" s="178"/>
      <c r="D927" s="178"/>
      <c r="E927" s="178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178"/>
      <c r="B928" s="178"/>
      <c r="C928" s="178"/>
      <c r="D928" s="178"/>
      <c r="E928" s="178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178"/>
      <c r="B929" s="178"/>
      <c r="C929" s="178"/>
      <c r="D929" s="178"/>
      <c r="E929" s="178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178"/>
      <c r="B930" s="178"/>
      <c r="C930" s="178"/>
      <c r="D930" s="178"/>
      <c r="E930" s="178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178"/>
      <c r="B931" s="178"/>
      <c r="C931" s="178"/>
      <c r="D931" s="178"/>
      <c r="E931" s="178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178"/>
      <c r="B932" s="178"/>
      <c r="C932" s="178"/>
      <c r="D932" s="178"/>
      <c r="E932" s="178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178"/>
      <c r="B933" s="178"/>
      <c r="C933" s="178"/>
      <c r="D933" s="178"/>
      <c r="E933" s="178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178"/>
      <c r="B934" s="178"/>
      <c r="C934" s="178"/>
      <c r="D934" s="178"/>
      <c r="E934" s="178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178"/>
      <c r="B935" s="178"/>
      <c r="C935" s="178"/>
      <c r="D935" s="178"/>
      <c r="E935" s="178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178"/>
      <c r="B936" s="178"/>
      <c r="C936" s="178"/>
      <c r="D936" s="178"/>
      <c r="E936" s="178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178"/>
      <c r="B937" s="178"/>
      <c r="C937" s="178"/>
      <c r="D937" s="178"/>
      <c r="E937" s="178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178"/>
      <c r="B938" s="178"/>
      <c r="C938" s="178"/>
      <c r="D938" s="178"/>
      <c r="E938" s="178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178"/>
      <c r="B939" s="178"/>
      <c r="C939" s="178"/>
      <c r="D939" s="178"/>
      <c r="E939" s="178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178"/>
      <c r="B940" s="178"/>
      <c r="C940" s="178"/>
      <c r="D940" s="178"/>
      <c r="E940" s="178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178"/>
      <c r="B941" s="178"/>
      <c r="C941" s="178"/>
      <c r="D941" s="178"/>
      <c r="E941" s="178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178"/>
      <c r="B942" s="178"/>
      <c r="C942" s="178"/>
      <c r="D942" s="178"/>
      <c r="E942" s="178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178"/>
      <c r="B943" s="178"/>
      <c r="C943" s="178"/>
      <c r="D943" s="178"/>
      <c r="E943" s="178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178"/>
      <c r="B944" s="178"/>
      <c r="C944" s="178"/>
      <c r="D944" s="178"/>
      <c r="E944" s="178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178"/>
      <c r="B945" s="178"/>
      <c r="C945" s="178"/>
      <c r="D945" s="178"/>
      <c r="E945" s="178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178"/>
      <c r="B946" s="178"/>
      <c r="C946" s="178"/>
      <c r="D946" s="178"/>
      <c r="E946" s="178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178"/>
      <c r="B947" s="178"/>
      <c r="C947" s="178"/>
      <c r="D947" s="178"/>
      <c r="E947" s="178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178"/>
      <c r="B948" s="178"/>
      <c r="C948" s="178"/>
      <c r="D948" s="178"/>
      <c r="E948" s="178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178"/>
      <c r="B949" s="178"/>
      <c r="C949" s="178"/>
      <c r="D949" s="178"/>
      <c r="E949" s="178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178"/>
      <c r="B950" s="178"/>
      <c r="C950" s="178"/>
      <c r="D950" s="178"/>
      <c r="E950" s="178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178"/>
      <c r="B951" s="178"/>
      <c r="C951" s="178"/>
      <c r="D951" s="178"/>
      <c r="E951" s="178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178"/>
      <c r="B952" s="178"/>
      <c r="C952" s="178"/>
      <c r="D952" s="178"/>
      <c r="E952" s="178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178"/>
      <c r="B953" s="178"/>
      <c r="C953" s="178"/>
      <c r="D953" s="178"/>
      <c r="E953" s="178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178"/>
      <c r="B954" s="178"/>
      <c r="C954" s="178"/>
      <c r="D954" s="178"/>
      <c r="E954" s="178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178"/>
      <c r="B955" s="178"/>
      <c r="C955" s="178"/>
      <c r="D955" s="178"/>
      <c r="E955" s="178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178"/>
      <c r="B956" s="178"/>
      <c r="C956" s="178"/>
      <c r="D956" s="178"/>
      <c r="E956" s="178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178"/>
      <c r="B957" s="178"/>
      <c r="C957" s="178"/>
      <c r="D957" s="178"/>
      <c r="E957" s="178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178"/>
      <c r="B958" s="178"/>
      <c r="C958" s="178"/>
      <c r="D958" s="178"/>
      <c r="E958" s="178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178"/>
      <c r="B959" s="178"/>
      <c r="C959" s="178"/>
      <c r="D959" s="178"/>
      <c r="E959" s="178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178"/>
      <c r="B960" s="178"/>
      <c r="C960" s="178"/>
      <c r="D960" s="178"/>
      <c r="E960" s="178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178"/>
      <c r="B961" s="178"/>
      <c r="C961" s="178"/>
      <c r="D961" s="178"/>
      <c r="E961" s="178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178"/>
      <c r="B962" s="178"/>
      <c r="C962" s="178"/>
      <c r="D962" s="178"/>
      <c r="E962" s="178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178"/>
      <c r="B963" s="178"/>
      <c r="C963" s="178"/>
      <c r="D963" s="178"/>
      <c r="E963" s="178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178"/>
      <c r="B964" s="178"/>
      <c r="C964" s="178"/>
      <c r="D964" s="178"/>
      <c r="E964" s="178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178"/>
      <c r="B965" s="178"/>
      <c r="C965" s="178"/>
      <c r="D965" s="178"/>
      <c r="E965" s="178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178"/>
      <c r="B966" s="178"/>
      <c r="C966" s="178"/>
      <c r="D966" s="178"/>
      <c r="E966" s="178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178"/>
      <c r="B967" s="178"/>
      <c r="C967" s="178"/>
      <c r="D967" s="178"/>
      <c r="E967" s="178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178"/>
      <c r="B968" s="178"/>
      <c r="C968" s="178"/>
      <c r="D968" s="178"/>
      <c r="E968" s="178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178"/>
      <c r="B969" s="178"/>
      <c r="C969" s="178"/>
      <c r="D969" s="178"/>
      <c r="E969" s="178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178"/>
      <c r="B970" s="178"/>
      <c r="C970" s="178"/>
      <c r="D970" s="178"/>
      <c r="E970" s="178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178"/>
      <c r="B971" s="178"/>
      <c r="C971" s="178"/>
      <c r="D971" s="178"/>
      <c r="E971" s="178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178"/>
      <c r="B972" s="178"/>
      <c r="C972" s="178"/>
      <c r="D972" s="178"/>
      <c r="E972" s="178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178"/>
      <c r="B973" s="178"/>
      <c r="C973" s="178"/>
      <c r="D973" s="178"/>
      <c r="E973" s="178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178"/>
      <c r="B974" s="178"/>
      <c r="C974" s="178"/>
      <c r="D974" s="178"/>
      <c r="E974" s="178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178"/>
      <c r="B975" s="178"/>
      <c r="C975" s="178"/>
      <c r="D975" s="178"/>
      <c r="E975" s="178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178"/>
      <c r="B976" s="178"/>
      <c r="C976" s="178"/>
      <c r="D976" s="178"/>
      <c r="E976" s="178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178"/>
      <c r="B977" s="178"/>
      <c r="C977" s="178"/>
      <c r="D977" s="178"/>
      <c r="E977" s="178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178"/>
      <c r="B978" s="178"/>
      <c r="C978" s="178"/>
      <c r="D978" s="178"/>
      <c r="E978" s="178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178"/>
      <c r="B979" s="178"/>
      <c r="C979" s="178"/>
      <c r="D979" s="178"/>
      <c r="E979" s="178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178"/>
      <c r="B980" s="178"/>
      <c r="C980" s="178"/>
      <c r="D980" s="178"/>
      <c r="E980" s="178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178"/>
      <c r="B981" s="178"/>
      <c r="C981" s="178"/>
      <c r="D981" s="178"/>
      <c r="E981" s="178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178"/>
      <c r="B982" s="178"/>
      <c r="C982" s="178"/>
      <c r="D982" s="178"/>
      <c r="E982" s="178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178"/>
      <c r="B983" s="178"/>
      <c r="C983" s="178"/>
      <c r="D983" s="178"/>
      <c r="E983" s="178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178"/>
      <c r="B984" s="178"/>
      <c r="C984" s="178"/>
      <c r="D984" s="178"/>
      <c r="E984" s="178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178"/>
      <c r="B985" s="178"/>
      <c r="C985" s="178"/>
      <c r="D985" s="178"/>
      <c r="E985" s="178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178"/>
      <c r="B986" s="178"/>
      <c r="C986" s="178"/>
      <c r="D986" s="178"/>
      <c r="E986" s="178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178"/>
      <c r="B987" s="178"/>
      <c r="C987" s="178"/>
      <c r="D987" s="178"/>
      <c r="E987" s="178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178"/>
      <c r="B988" s="178"/>
      <c r="C988" s="178"/>
      <c r="D988" s="178"/>
      <c r="E988" s="178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178"/>
      <c r="B989" s="178"/>
      <c r="C989" s="178"/>
      <c r="D989" s="178"/>
      <c r="E989" s="178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178"/>
      <c r="B990" s="178"/>
      <c r="C990" s="178"/>
      <c r="D990" s="178"/>
      <c r="E990" s="178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178"/>
      <c r="B991" s="178"/>
      <c r="C991" s="178"/>
      <c r="D991" s="178"/>
      <c r="E991" s="178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178"/>
      <c r="B992" s="178"/>
      <c r="C992" s="178"/>
      <c r="D992" s="178"/>
      <c r="E992" s="178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178"/>
      <c r="B993" s="178"/>
      <c r="C993" s="178"/>
      <c r="D993" s="178"/>
      <c r="E993" s="178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178"/>
      <c r="B994" s="178"/>
      <c r="C994" s="178"/>
      <c r="D994" s="178"/>
      <c r="E994" s="178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178"/>
      <c r="B995" s="178"/>
      <c r="C995" s="178"/>
      <c r="D995" s="178"/>
      <c r="E995" s="178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178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>
      <c r="A997" s="178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>
      <c r="A998" s="178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</sheetData>
  <mergeCells count="1">
    <mergeCell ref="G8:H8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42.63"/>
    <col customWidth="1" min="3" max="3" width="16.0"/>
    <col customWidth="1" min="4" max="4" width="17.13"/>
    <col customWidth="1" min="5" max="5" width="10.38"/>
    <col customWidth="1" min="7" max="7" width="76.8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178"/>
      <c r="G1" s="80" t="s">
        <v>5</v>
      </c>
      <c r="H1" s="81">
        <f>H4</f>
        <v>41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08" t="s">
        <v>1254</v>
      </c>
      <c r="B2" s="73" t="str">
        <f t="array" ref="B2">IFERROR(XLOOKUP(A2, BASE!E:E, BASE!B:B), "")
</f>
        <v>Fanout Desconhecido</v>
      </c>
      <c r="C2" s="73" t="str">
        <f t="array" ref="C2">IFERROR(XLOOKUP(A2, BASE!E:E, BASE!C:C), "")
</f>
        <v>-</v>
      </c>
      <c r="D2" s="73">
        <f t="array" ref="D2">IFERROR(XLOOKUP(A2, BASE!E:E, BASE!D:D), "")
</f>
        <v>101</v>
      </c>
      <c r="E2" s="168" t="str">
        <f t="array" ref="E2">IFERROR(XLOOKUP(A2, BASE!E:E, BASE!H:H), "")
</f>
        <v>-</v>
      </c>
      <c r="F2" s="178"/>
      <c r="G2" s="82" t="s">
        <v>9</v>
      </c>
      <c r="H2" s="82">
        <f>COUNTIF(C:C,"*LSP*")
</f>
        <v>0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158" t="s">
        <v>1255</v>
      </c>
      <c r="B3" s="73" t="str">
        <f t="array" ref="B3">IFERROR(XLOOKUP(A3, BASE!E:E, BASE!B:B), "")
</f>
        <v>Fanout Desconhecido</v>
      </c>
      <c r="C3" s="73" t="str">
        <f t="array" ref="C3">IFERROR(XLOOKUP(A3, BASE!E:E, BASE!C:C), "")
</f>
        <v>-</v>
      </c>
      <c r="D3" s="73">
        <f t="array" ref="D3">IFERROR(XLOOKUP(A3, BASE!E:E, BASE!D:D), "")
</f>
        <v>100</v>
      </c>
      <c r="E3" s="168" t="str">
        <f t="array" ref="E3">IFERROR(XLOOKUP(A3, BASE!E:E, BASE!H:H), "")
</f>
        <v>-</v>
      </c>
      <c r="F3" s="178"/>
      <c r="G3" s="82" t="s">
        <v>13</v>
      </c>
      <c r="H3" s="82">
        <f>COUNTIF(C:C,"*SOC*")
</f>
        <v>0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208" t="s">
        <v>1256</v>
      </c>
      <c r="B4" s="73" t="str">
        <f t="array" ref="B4">IFERROR(XLOOKUP(A4, BASE!E:E, BASE!B:B), "")
</f>
        <v>Fanout Desconhecido</v>
      </c>
      <c r="C4" s="73" t="str">
        <f t="array" ref="C4">IFERROR(XLOOKUP(A4, BASE!E:E, BASE!C:C), "")
</f>
        <v>-</v>
      </c>
      <c r="D4" s="73">
        <f t="array" ref="D4">IFERROR(XLOOKUP(A4, BASE!E:E, BASE!D:D), "")
</f>
        <v>87</v>
      </c>
      <c r="E4" s="168" t="str">
        <f t="array" ref="E4">IFERROR(XLOOKUP(A4, BASE!E:E, BASE!H:H), "")
</f>
        <v>-</v>
      </c>
      <c r="F4" s="178"/>
      <c r="G4" s="82" t="s">
        <v>810</v>
      </c>
      <c r="H4" s="198">
        <f>COUNTIFS(D:D,"&gt;=5",D:D,"&lt;=114")</f>
        <v>41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208" t="s">
        <v>1257</v>
      </c>
      <c r="B5" s="73" t="str">
        <f t="array" ref="B5">IFERROR(XLOOKUP(A5, BASE!E:E, BASE!B:B), "")
</f>
        <v>Fanout Desconhecido</v>
      </c>
      <c r="C5" s="73" t="str">
        <f t="array" ref="C5">IFERROR(XLOOKUP(A5, BASE!E:E, BASE!C:C), "")
</f>
        <v>-</v>
      </c>
      <c r="D5" s="73">
        <f t="array" ref="D5">IFERROR(XLOOKUP(A5, BASE!E:E, BASE!D:D), "")
</f>
        <v>96</v>
      </c>
      <c r="E5" s="168" t="str">
        <f t="array" ref="E5">IFERROR(XLOOKUP(A5, BASE!E:E, BASE!H:H), "")
</f>
        <v>-</v>
      </c>
      <c r="F5" s="178"/>
      <c r="G5" s="82" t="s">
        <v>20</v>
      </c>
      <c r="H5" s="82">
        <f>COUNTIF(D:D,"*NÃO DOCOU*")</f>
        <v>0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158" t="s">
        <v>1258</v>
      </c>
      <c r="B6" s="73" t="str">
        <f t="array" ref="B6">IFERROR(XLOOKUP(A6, BASE!E:E, BASE!B:B), "")
</f>
        <v>Fanout Desconhecido</v>
      </c>
      <c r="C6" s="73" t="str">
        <f t="array" ref="C6">IFERROR(XLOOKUP(A6, BASE!E:E, BASE!C:C), "")
</f>
        <v>-</v>
      </c>
      <c r="D6" s="73">
        <f t="array" ref="D6">IFERROR(XLOOKUP(A6, BASE!E:E, BASE!D:D), "")
</f>
        <v>29</v>
      </c>
      <c r="E6" s="168" t="str">
        <f t="array" ref="E6">IFERROR(XLOOKUP(A6, BASE!E:E, BASE!H:H), "")
</f>
        <v>-</v>
      </c>
      <c r="F6" s="178"/>
      <c r="G6" s="198" t="s">
        <v>25</v>
      </c>
      <c r="H6" s="199">
        <f>COUNTIF(D:D,"*NÃO CHEGOU*")
</f>
        <v>3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208" t="s">
        <v>1259</v>
      </c>
      <c r="B7" s="73" t="str">
        <f t="array" ref="B7">IFERROR(XLOOKUP(A7, BASE!E:E, BASE!B:B), "")
</f>
        <v>Fanout Desconhecido</v>
      </c>
      <c r="C7" s="73" t="str">
        <f t="array" ref="C7">IFERROR(XLOOKUP(A7, BASE!E:E, BASE!C:C), "")
</f>
        <v>-</v>
      </c>
      <c r="D7" s="73">
        <f t="array" ref="D7">IFERROR(XLOOKUP(A7, BASE!E:E, BASE!D:D), "")
</f>
        <v>13</v>
      </c>
      <c r="E7" s="168" t="str">
        <f t="array" ref="E7">IFERROR(XLOOKUP(A7, BASE!E:E, BASE!H:H), "")
</f>
        <v>-</v>
      </c>
      <c r="F7" s="178"/>
      <c r="G7" s="82" t="s">
        <v>815</v>
      </c>
      <c r="H7" s="82">
        <f>COUNTIF(D:D,"*DRIVER DUPLICADO*")</f>
        <v>0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208" t="s">
        <v>1260</v>
      </c>
      <c r="B8" s="73" t="str">
        <f t="array" ref="B8">IFERROR(XLOOKUP(A8, BASE!E:E, BASE!B:B), "")
</f>
        <v>Fanout Desconhecido</v>
      </c>
      <c r="C8" s="73" t="str">
        <f t="array" ref="C8">IFERROR(XLOOKUP(A8, BASE!E:E, BASE!C:C), "")
</f>
        <v>-</v>
      </c>
      <c r="D8" s="73">
        <f t="array" ref="D8">IFERROR(XLOOKUP(A8, BASE!E:E, BASE!D:D), "")
</f>
        <v>21</v>
      </c>
      <c r="E8" s="168" t="str">
        <f t="array" ref="E8">IFERROR(XLOOKUP(A8, BASE!E:E, BASE!H:H), "")
</f>
        <v>-</v>
      </c>
      <c r="F8" s="178"/>
      <c r="G8" s="18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208" t="s">
        <v>1261</v>
      </c>
      <c r="B9" s="73" t="str">
        <f t="array" ref="B9">IFERROR(XLOOKUP(A9, BASE!E:E, BASE!B:B), "")
</f>
        <v>Fanout Desconhecido</v>
      </c>
      <c r="C9" s="73" t="str">
        <f t="array" ref="C9">IFERROR(XLOOKUP(A9, BASE!E:E, BASE!C:C), "")
</f>
        <v>-</v>
      </c>
      <c r="D9" s="73">
        <f t="array" ref="D9">IFERROR(XLOOKUP(A9, BASE!E:E, BASE!D:D), "")
</f>
        <v>8</v>
      </c>
      <c r="E9" s="168" t="str">
        <f t="array" ref="E9">IFERROR(XLOOKUP(A9, BASE!E:E, BASE!H:H), "")
</f>
        <v>-</v>
      </c>
      <c r="F9" s="178"/>
      <c r="G9" s="9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208" t="s">
        <v>1262</v>
      </c>
      <c r="B10" s="73" t="str">
        <f t="array" ref="B10">IFERROR(XLOOKUP(A10, BASE!E:E, BASE!B:B), "")
</f>
        <v>Fanout Desconhecido</v>
      </c>
      <c r="C10" s="73" t="str">
        <f t="array" ref="C10">IFERROR(XLOOKUP(A10, BASE!E:E, BASE!C:C), "")
</f>
        <v>-</v>
      </c>
      <c r="D10" s="73">
        <f t="array" ref="D10">IFERROR(XLOOKUP(A10, BASE!E:E, BASE!D:D), "")
</f>
        <v>111</v>
      </c>
      <c r="E10" s="168" t="str">
        <f t="array" ref="E10">IFERROR(XLOOKUP(A10, BASE!E:E, BASE!H:H), "")
</f>
        <v>-</v>
      </c>
      <c r="F10" s="178"/>
      <c r="G10" s="9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208" t="s">
        <v>1263</v>
      </c>
      <c r="B11" s="73" t="str">
        <f t="array" ref="B11">IFERROR(XLOOKUP(A11, BASE!E:E, BASE!B:B), "")
</f>
        <v>Fanout Desconhecido</v>
      </c>
      <c r="C11" s="73" t="str">
        <f t="array" ref="C11">IFERROR(XLOOKUP(A11, BASE!E:E, BASE!C:C), "")
</f>
        <v>-</v>
      </c>
      <c r="D11" s="73">
        <f t="array" ref="D11">IFERROR(XLOOKUP(A11, BASE!E:E, BASE!D:D), "")
</f>
        <v>24</v>
      </c>
      <c r="E11" s="168" t="str">
        <f t="array" ref="E11">IFERROR(XLOOKUP(A11, BASE!E:E, BASE!H:H), "")
</f>
        <v>-</v>
      </c>
      <c r="F11" s="178"/>
      <c r="G11" s="200"/>
      <c r="H11" s="178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139" t="s">
        <v>1264</v>
      </c>
      <c r="B12" s="73" t="str">
        <f t="array" ref="B12">IFERROR(XLOOKUP(A12, BASE!E:E, BASE!B:B), "")
</f>
        <v>Fanout Desconhecido</v>
      </c>
      <c r="C12" s="73" t="str">
        <f t="array" ref="C12">IFERROR(XLOOKUP(A12, BASE!E:E, BASE!C:C), "")
</f>
        <v>-</v>
      </c>
      <c r="D12" s="73">
        <f t="array" ref="D12">IFERROR(XLOOKUP(A12, BASE!E:E, BASE!D:D), "")
</f>
        <v>46</v>
      </c>
      <c r="E12" s="168" t="str">
        <f t="array" ref="E12">IFERROR(XLOOKUP(A12, BASE!E:E, BASE!H:H), "")
</f>
        <v>-</v>
      </c>
      <c r="F12" s="178"/>
      <c r="G12" s="200"/>
      <c r="H12" s="178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139" t="s">
        <v>1265</v>
      </c>
      <c r="B13" s="73" t="str">
        <f t="array" ref="B13">IFERROR(XLOOKUP(A13, BASE!E:E, BASE!B:B), "")
</f>
        <v>Fanout Desconhecido</v>
      </c>
      <c r="C13" s="73" t="str">
        <f t="array" ref="C13">IFERROR(XLOOKUP(A13, BASE!E:E, BASE!C:C), "")
</f>
        <v>-</v>
      </c>
      <c r="D13" s="73">
        <f t="array" ref="D13">IFERROR(XLOOKUP(A13, BASE!E:E, BASE!D:D), "")
</f>
        <v>89</v>
      </c>
      <c r="E13" s="168" t="str">
        <f t="array" ref="E13">IFERROR(XLOOKUP(A13, BASE!E:E, BASE!H:H), "")
</f>
        <v>-</v>
      </c>
      <c r="F13" s="178"/>
      <c r="G13" s="84" t="s">
        <v>1266</v>
      </c>
      <c r="H13" s="9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08" t="s">
        <v>1267</v>
      </c>
      <c r="B14" s="73" t="str">
        <f t="array" ref="B14">IFERROR(XLOOKUP(A14, BASE!E:E, BASE!B:B), "")
</f>
        <v>Fanout Desconhecido</v>
      </c>
      <c r="C14" s="73" t="str">
        <f t="array" ref="C14">IFERROR(XLOOKUP(A14, BASE!E:E, BASE!C:C), "")
</f>
        <v>-</v>
      </c>
      <c r="D14" s="73">
        <f t="array" ref="D14">IFERROR(XLOOKUP(A14, BASE!E:E, BASE!D:D), "")
</f>
        <v>93</v>
      </c>
      <c r="E14" s="168" t="str">
        <f t="array" ref="E14">IFERROR(XLOOKUP(A14, BASE!E:E, BASE!H:H), "")
</f>
        <v>-</v>
      </c>
      <c r="F14" s="178"/>
      <c r="G14" s="187" t="s">
        <v>653</v>
      </c>
      <c r="H14" s="178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08" t="s">
        <v>1268</v>
      </c>
      <c r="B15" s="73" t="str">
        <f t="array" ref="B15">IFERROR(XLOOKUP(A15, BASE!E:E, BASE!B:B), "")
</f>
        <v>Fanout Desconhecido</v>
      </c>
      <c r="C15" s="73" t="str">
        <f t="array" ref="C15">IFERROR(XLOOKUP(A15, BASE!E:E, BASE!C:C), "")
</f>
        <v>-</v>
      </c>
      <c r="D15" s="73">
        <f t="array" ref="D15">IFERROR(XLOOKUP(A15, BASE!E:E, BASE!D:D), "")
</f>
        <v>91</v>
      </c>
      <c r="E15" s="168" t="str">
        <f t="array" ref="E15">IFERROR(XLOOKUP(A15, BASE!E:E, BASE!H:H), "")
</f>
        <v>-</v>
      </c>
      <c r="F15" s="178"/>
      <c r="G15" s="178"/>
      <c r="H15" s="178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08" t="s">
        <v>1269</v>
      </c>
      <c r="B16" s="73" t="str">
        <f t="array" ref="B16">IFERROR(XLOOKUP(A16, BASE!E:E, BASE!B:B), "")
</f>
        <v>Fanout Desconhecido</v>
      </c>
      <c r="C16" s="73" t="str">
        <f t="array" ref="C16">IFERROR(XLOOKUP(A16, BASE!E:E, BASE!C:C), "")
</f>
        <v>-</v>
      </c>
      <c r="D16" s="73">
        <f t="array" ref="D16">IFERROR(XLOOKUP(A16, BASE!E:E, BASE!D:D), "")
</f>
        <v>23</v>
      </c>
      <c r="E16" s="168" t="str">
        <f t="array" ref="E16">IFERROR(XLOOKUP(A16, BASE!E:E, BASE!H:H), "")
</f>
        <v>-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139" t="s">
        <v>1270</v>
      </c>
      <c r="B17" s="73" t="str">
        <f t="array" ref="B17">IFERROR(XLOOKUP(A17, BASE!E:E, BASE!B:B), "")
</f>
        <v>Fanout Desconhecido</v>
      </c>
      <c r="C17" s="73" t="str">
        <f t="array" ref="C17">IFERROR(XLOOKUP(A17, BASE!E:E, BASE!C:C), "")
</f>
        <v>-</v>
      </c>
      <c r="D17" s="73">
        <f t="array" ref="D17">IFERROR(XLOOKUP(A17, BASE!E:E, BASE!D:D), "")
</f>
        <v>48</v>
      </c>
      <c r="E17" s="168" t="str">
        <f t="array" ref="E17">IFERROR(XLOOKUP(A17, BASE!E:E, BASE!H:H), "")
</f>
        <v>-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08" t="s">
        <v>1271</v>
      </c>
      <c r="B18" s="73" t="str">
        <f t="array" ref="B18">IFERROR(XLOOKUP(A18, BASE!E:E, BASE!B:B), "")
</f>
        <v>Fanout Desconhecido</v>
      </c>
      <c r="C18" s="73" t="str">
        <f t="array" ref="C18">IFERROR(XLOOKUP(A18, BASE!E:E, BASE!C:C), "")
</f>
        <v>-</v>
      </c>
      <c r="D18" s="73" t="s">
        <v>25</v>
      </c>
      <c r="E18" s="168" t="str">
        <f t="array" ref="E18">IFERROR(XLOOKUP(A18, BASE!E:E, BASE!H:H), "")
</f>
        <v>-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139" t="s">
        <v>1272</v>
      </c>
      <c r="B19" s="73" t="str">
        <f t="array" ref="B19">IFERROR(XLOOKUP(A19, BASE!E:E, BASE!B:B), "")
</f>
        <v>Fanout Desconhecido</v>
      </c>
      <c r="C19" s="73" t="str">
        <f t="array" ref="C19">IFERROR(XLOOKUP(A19, BASE!E:E, BASE!C:C), "")
</f>
        <v>-</v>
      </c>
      <c r="D19" s="73">
        <f t="array" ref="D19">IFERROR(XLOOKUP(A19, BASE!E:E, BASE!D:D), "")
</f>
        <v>14</v>
      </c>
      <c r="E19" s="168" t="str">
        <f t="array" ref="E19">IFERROR(XLOOKUP(A19, BASE!E:E, BASE!H:H), "")
</f>
        <v>-</v>
      </c>
      <c r="F19" s="178"/>
      <c r="G19" s="178"/>
      <c r="H19" s="178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208" t="s">
        <v>1273</v>
      </c>
      <c r="B20" s="73" t="str">
        <f t="array" ref="B20">IFERROR(XLOOKUP(A20, BASE!E:E, BASE!B:B), "")
</f>
        <v>Fanout Desconhecido</v>
      </c>
      <c r="C20" s="73" t="str">
        <f t="array" ref="C20">IFERROR(XLOOKUP(A20, BASE!E:E, BASE!C:C), "")
</f>
        <v>-</v>
      </c>
      <c r="D20" s="73">
        <f t="array" ref="D20">IFERROR(XLOOKUP(A20, BASE!E:E, BASE!D:D), "")
</f>
        <v>7</v>
      </c>
      <c r="E20" s="168" t="str">
        <f t="array" ref="E20">IFERROR(XLOOKUP(A20, BASE!E:E, BASE!H:H), "")
</f>
        <v>-</v>
      </c>
      <c r="F20" s="178"/>
      <c r="G20" s="178"/>
      <c r="H20" s="178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208" t="s">
        <v>1274</v>
      </c>
      <c r="B21" s="73" t="str">
        <f t="array" ref="B21">IFERROR(XLOOKUP(A21, BASE!E:E, BASE!B:B), "")
</f>
        <v>Fanout Desconhecido</v>
      </c>
      <c r="C21" s="73" t="str">
        <f t="array" ref="C21">IFERROR(XLOOKUP(A21, BASE!E:E, BASE!C:C), "")
</f>
        <v>-</v>
      </c>
      <c r="D21" s="73">
        <f t="array" ref="D21">IFERROR(XLOOKUP(A21, BASE!E:E, BASE!D:D), "")
</f>
        <v>34</v>
      </c>
      <c r="E21" s="168" t="str">
        <f t="array" ref="E21">IFERROR(XLOOKUP(A21, BASE!E:E, BASE!H:H), "")
</f>
        <v>-</v>
      </c>
      <c r="F21" s="178"/>
      <c r="G21" s="178"/>
      <c r="H21" s="178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208" t="s">
        <v>1275</v>
      </c>
      <c r="B22" s="73" t="str">
        <f t="array" ref="B22">IFERROR(XLOOKUP(A22, BASE!E:E, BASE!B:B), "")
</f>
        <v>Fanout Desconhecido</v>
      </c>
      <c r="C22" s="73" t="str">
        <f t="array" ref="C22">IFERROR(XLOOKUP(A22, BASE!E:E, BASE!C:C), "")
</f>
        <v>-</v>
      </c>
      <c r="D22" s="73">
        <f t="array" ref="D22">IFERROR(XLOOKUP(A22, BASE!E:E, BASE!D:D), "")
</f>
        <v>33</v>
      </c>
      <c r="E22" s="168" t="str">
        <f t="array" ref="E22">IFERROR(XLOOKUP(A22, BASE!E:E, BASE!H:H), "")
</f>
        <v>-</v>
      </c>
      <c r="F22" s="178"/>
      <c r="G22" s="178"/>
      <c r="H22" s="178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208" t="s">
        <v>1276</v>
      </c>
      <c r="B23" s="73" t="str">
        <f t="array" ref="B23">IFERROR(XLOOKUP(A23, BASE!E:E, BASE!B:B), "")
</f>
        <v>Fanout Desconhecido</v>
      </c>
      <c r="C23" s="73" t="str">
        <f t="array" ref="C23">IFERROR(XLOOKUP(A23, BASE!E:E, BASE!C:C), "")
</f>
        <v>-</v>
      </c>
      <c r="D23" s="73" t="s">
        <v>25</v>
      </c>
      <c r="E23" s="168" t="str">
        <f t="array" ref="E23">IFERROR(XLOOKUP(A23, BASE!E:E, BASE!H:H), "")
</f>
        <v>-</v>
      </c>
      <c r="F23" s="178"/>
      <c r="G23" s="178"/>
      <c r="H23" s="178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208" t="s">
        <v>1277</v>
      </c>
      <c r="B24" s="73" t="str">
        <f t="array" ref="B24">IFERROR(XLOOKUP(A24, BASE!E:E, BASE!B:B), "")
</f>
        <v>Fanout Desconhecido</v>
      </c>
      <c r="C24" s="73" t="str">
        <f t="array" ref="C24">IFERROR(XLOOKUP(A24, BASE!E:E, BASE!C:C), "")
</f>
        <v>-</v>
      </c>
      <c r="D24" s="73">
        <f t="array" ref="D24">IFERROR(XLOOKUP(A24, BASE!E:E, BASE!D:D), "")
</f>
        <v>22</v>
      </c>
      <c r="E24" s="168" t="str">
        <f t="array" ref="E24">IFERROR(XLOOKUP(A24, BASE!E:E, BASE!H:H), "")
</f>
        <v>-</v>
      </c>
      <c r="F24" s="178"/>
      <c r="G24" s="178"/>
      <c r="H24" s="178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208" t="s">
        <v>1278</v>
      </c>
      <c r="B25" s="73" t="str">
        <f t="array" ref="B25">IFERROR(XLOOKUP(A25, BASE!E:E, BASE!B:B), "")
</f>
        <v>Fanout Desconhecido</v>
      </c>
      <c r="C25" s="73" t="str">
        <f t="array" ref="C25">IFERROR(XLOOKUP(A25, BASE!E:E, BASE!C:C), "")
</f>
        <v>-</v>
      </c>
      <c r="D25" s="73">
        <f t="array" ref="D25">IFERROR(XLOOKUP(A25, BASE!E:E, BASE!D:D), "")
</f>
        <v>49</v>
      </c>
      <c r="E25" s="168" t="str">
        <f t="array" ref="E25">IFERROR(XLOOKUP(A25, BASE!E:E, BASE!H:H), "")
</f>
        <v>-</v>
      </c>
      <c r="F25" s="178"/>
      <c r="G25" s="178"/>
      <c r="H25" s="178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208" t="s">
        <v>1279</v>
      </c>
      <c r="B26" s="73" t="str">
        <f t="array" ref="B26">IFERROR(XLOOKUP(A26, BASE!E:E, BASE!B:B), "")
</f>
        <v>Fanout Desconhecido</v>
      </c>
      <c r="C26" s="73" t="str">
        <f t="array" ref="C26">IFERROR(XLOOKUP(A26, BASE!E:E, BASE!C:C), "")
</f>
        <v>-</v>
      </c>
      <c r="D26" s="73">
        <f t="array" ref="D26">IFERROR(XLOOKUP(A26, BASE!E:E, BASE!D:D), "")
</f>
        <v>26</v>
      </c>
      <c r="E26" s="168" t="str">
        <f t="array" ref="E26">IFERROR(XLOOKUP(A26, BASE!E:E, BASE!H:H), "")
</f>
        <v>-</v>
      </c>
      <c r="F26" s="178"/>
      <c r="G26" s="178"/>
      <c r="H26" s="178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223" t="s">
        <v>1280</v>
      </c>
      <c r="B27" s="73" t="str">
        <f t="array" ref="B27">IFERROR(XLOOKUP(A27, BASE!E:E, BASE!B:B), "")
</f>
        <v>Fanout Desconhecido</v>
      </c>
      <c r="C27" s="73" t="str">
        <f t="array" ref="C27">IFERROR(XLOOKUP(A27, BASE!E:E, BASE!C:C), "")
</f>
        <v>-</v>
      </c>
      <c r="D27" s="73">
        <f t="array" ref="D27">IFERROR(XLOOKUP(A27, BASE!E:E, BASE!D:D), "")
</f>
        <v>18</v>
      </c>
      <c r="E27" s="168" t="str">
        <f t="array" ref="E27">IFERROR(XLOOKUP(A27, BASE!E:E, BASE!H:H), "")
</f>
        <v>-</v>
      </c>
      <c r="F27" s="178"/>
      <c r="G27" s="178"/>
      <c r="H27" s="178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208" t="s">
        <v>1281</v>
      </c>
      <c r="B28" s="73" t="str">
        <f t="array" ref="B28">IFERROR(XLOOKUP(A28, BASE!E:E, BASE!B:B), "")
</f>
        <v>Fanout Desconhecido</v>
      </c>
      <c r="C28" s="73" t="str">
        <f t="array" ref="C28">IFERROR(XLOOKUP(A28, BASE!E:E, BASE!C:C), "")
</f>
        <v>-</v>
      </c>
      <c r="D28" s="73">
        <f t="array" ref="D28">IFERROR(XLOOKUP(A28, BASE!E:E, BASE!D:D), "")
</f>
        <v>41</v>
      </c>
      <c r="E28" s="168" t="str">
        <f t="array" ref="E28">IFERROR(XLOOKUP(A28, BASE!E:E, BASE!H:H), "")
</f>
        <v>-</v>
      </c>
      <c r="F28" s="178"/>
      <c r="G28" s="178"/>
      <c r="H28" s="178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208" t="s">
        <v>1282</v>
      </c>
      <c r="B29" s="73" t="str">
        <f t="array" ref="B29">IFERROR(XLOOKUP(A29, BASE!E:E, BASE!B:B), "")
</f>
        <v>Fanout Desconhecido</v>
      </c>
      <c r="C29" s="73" t="str">
        <f t="array" ref="C29">IFERROR(XLOOKUP(A29, BASE!E:E, BASE!C:C), "")
</f>
        <v>-</v>
      </c>
      <c r="D29" s="73">
        <f t="array" ref="D29">IFERROR(XLOOKUP(A29, BASE!E:E, BASE!D:D), "")
</f>
        <v>25</v>
      </c>
      <c r="E29" s="168" t="str">
        <f t="array" ref="E29">IFERROR(XLOOKUP(A29, BASE!E:E, BASE!H:H), "")
</f>
        <v>-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208" t="s">
        <v>1283</v>
      </c>
      <c r="B30" s="73" t="str">
        <f t="array" ref="B30">IFERROR(XLOOKUP(A30, BASE!E:E, BASE!B:B), "")
</f>
        <v>Fanout Desconhecido</v>
      </c>
      <c r="C30" s="73" t="str">
        <f t="array" ref="C30">IFERROR(XLOOKUP(A30, BASE!E:E, BASE!C:C), "")
</f>
        <v>-</v>
      </c>
      <c r="D30" s="73">
        <f t="array" ref="D30">IFERROR(XLOOKUP(A30, BASE!E:E, BASE!D:D), "")
</f>
        <v>39</v>
      </c>
      <c r="E30" s="168" t="str">
        <f t="array" ref="E30">IFERROR(XLOOKUP(A30, BASE!E:E, BASE!H:H), "")
</f>
        <v>-</v>
      </c>
      <c r="F30" s="178"/>
      <c r="G30" s="178"/>
      <c r="H30" s="178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08" t="s">
        <v>1284</v>
      </c>
      <c r="B31" s="73" t="str">
        <f t="array" ref="B31">IFERROR(XLOOKUP(A31, BASE!E:E, BASE!B:B), "")
</f>
        <v>Fanout Desconhecido</v>
      </c>
      <c r="C31" s="73" t="str">
        <f t="array" ref="C31">IFERROR(XLOOKUP(A31, BASE!E:E, BASE!C:C), "")
</f>
        <v>-</v>
      </c>
      <c r="D31" s="73">
        <f t="array" ref="D31">IFERROR(XLOOKUP(A31, BASE!E:E, BASE!D:D), "")
</f>
        <v>19</v>
      </c>
      <c r="E31" s="168" t="str">
        <f t="array" ref="E31">IFERROR(XLOOKUP(A31, BASE!E:E, BASE!H:H), "")
</f>
        <v>-</v>
      </c>
      <c r="F31" s="178"/>
      <c r="G31" s="178"/>
      <c r="H31" s="178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08" t="s">
        <v>1285</v>
      </c>
      <c r="B32" s="73" t="str">
        <f t="array" ref="B32">IFERROR(XLOOKUP(A32, BASE!E:E, BASE!B:B), "")
</f>
        <v>Fanout Desconhecido</v>
      </c>
      <c r="C32" s="73" t="str">
        <f t="array" ref="C32">IFERROR(XLOOKUP(A32, BASE!E:E, BASE!C:C), "")
</f>
        <v>-</v>
      </c>
      <c r="D32" s="73">
        <f t="array" ref="D32">IFERROR(XLOOKUP(A32, BASE!E:E, BASE!D:D), "")
</f>
        <v>40</v>
      </c>
      <c r="E32" s="168" t="str">
        <f t="array" ref="E32">IFERROR(XLOOKUP(A32, BASE!E:E, BASE!H:H), "")
</f>
        <v>-</v>
      </c>
      <c r="F32" s="178"/>
      <c r="G32" s="178"/>
      <c r="H32" s="178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208" t="s">
        <v>1286</v>
      </c>
      <c r="B33" s="73" t="str">
        <f t="array" ref="B33">IFERROR(XLOOKUP(A33, BASE!E:E, BASE!B:B), "")
</f>
        <v>Fanout Desconhecido</v>
      </c>
      <c r="C33" s="73" t="str">
        <f t="array" ref="C33">IFERROR(XLOOKUP(A33, BASE!E:E, BASE!C:C), "")
</f>
        <v>-</v>
      </c>
      <c r="D33" s="73">
        <f t="array" ref="D33">IFERROR(XLOOKUP(A33, BASE!E:E, BASE!D:D), "")
</f>
        <v>9</v>
      </c>
      <c r="E33" s="168" t="str">
        <f t="array" ref="E33">IFERROR(XLOOKUP(A33, BASE!E:E, BASE!H:H), "")
</f>
        <v>-</v>
      </c>
      <c r="F33" s="178"/>
      <c r="G33" s="178"/>
      <c r="H33" s="178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208" t="s">
        <v>1287</v>
      </c>
      <c r="B34" s="73" t="str">
        <f t="array" ref="B34">IFERROR(XLOOKUP(A34, BASE!E:E, BASE!B:B), "")
</f>
        <v>Fanout Desconhecido</v>
      </c>
      <c r="C34" s="73" t="str">
        <f t="array" ref="C34">IFERROR(XLOOKUP(A34, BASE!E:E, BASE!C:C), "")
</f>
        <v>-</v>
      </c>
      <c r="D34" s="73">
        <f t="array" ref="D34">IFERROR(XLOOKUP(A34, BASE!E:E, BASE!D:D), "")
</f>
        <v>32</v>
      </c>
      <c r="E34" s="168" t="str">
        <f t="array" ref="E34">IFERROR(XLOOKUP(A34, BASE!E:E, BASE!H:H), "")
</f>
        <v>-</v>
      </c>
      <c r="F34" s="178"/>
      <c r="G34" s="178"/>
      <c r="H34" s="178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223" t="s">
        <v>1288</v>
      </c>
      <c r="B35" s="73" t="str">
        <f t="array" ref="B35">IFERROR(XLOOKUP(A35, BASE!E:E, BASE!B:B), "")
</f>
        <v>Fanout Desconhecido</v>
      </c>
      <c r="C35" s="73" t="str">
        <f t="array" ref="C35">IFERROR(XLOOKUP(A35, BASE!E:E, BASE!C:C), "")
</f>
        <v>-</v>
      </c>
      <c r="D35" s="73">
        <f t="array" ref="D35">IFERROR(XLOOKUP(A35, BASE!E:E, BASE!D:D), "")
</f>
        <v>16</v>
      </c>
      <c r="E35" s="168" t="str">
        <f t="array" ref="E35">IFERROR(XLOOKUP(A35, BASE!E:E, BASE!H:H), "")
</f>
        <v>-</v>
      </c>
      <c r="F35" s="178"/>
      <c r="G35" s="178"/>
      <c r="H35" s="178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208" t="s">
        <v>1289</v>
      </c>
      <c r="B36" s="73" t="str">
        <f t="array" ref="B36">IFERROR(XLOOKUP(A36, BASE!E:E, BASE!B:B), "")
</f>
        <v>Fanout Desconhecido</v>
      </c>
      <c r="C36" s="73" t="str">
        <f t="array" ref="C36">IFERROR(XLOOKUP(A36, BASE!E:E, BASE!C:C), "")
</f>
        <v>-</v>
      </c>
      <c r="D36" s="73">
        <f t="array" ref="D36">IFERROR(XLOOKUP(A36, BASE!E:E, BASE!D:D), "")
</f>
        <v>35</v>
      </c>
      <c r="E36" s="168" t="str">
        <f t="array" ref="E36">IFERROR(XLOOKUP(A36, BASE!E:E, BASE!H:H), "")
</f>
        <v>-</v>
      </c>
      <c r="F36" s="178"/>
      <c r="G36" s="178"/>
      <c r="H36" s="178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139" t="s">
        <v>1290</v>
      </c>
      <c r="B37" s="73" t="str">
        <f t="array" ref="B37">IFERROR(XLOOKUP(A37, BASE!E:E, BASE!B:B), "")
</f>
        <v>Fanout Desconhecido</v>
      </c>
      <c r="C37" s="73" t="str">
        <f t="array" ref="C37">IFERROR(XLOOKUP(A37, BASE!E:E, BASE!C:C), "")
</f>
        <v>-</v>
      </c>
      <c r="D37" s="73" t="s">
        <v>25</v>
      </c>
      <c r="E37" s="168" t="str">
        <f t="array" ref="E37">IFERROR(XLOOKUP(A37, BASE!E:E, BASE!H:H), "")
</f>
        <v>-</v>
      </c>
      <c r="F37" s="178"/>
      <c r="G37" s="178"/>
      <c r="H37" s="178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139" t="s">
        <v>1291</v>
      </c>
      <c r="B38" s="73" t="str">
        <f t="array" ref="B38">IFERROR(XLOOKUP(A38, BASE!E:E, BASE!B:B), "")
</f>
        <v>Fanout Desconhecido</v>
      </c>
      <c r="C38" s="73" t="str">
        <f t="array" ref="C38">IFERROR(XLOOKUP(A38, BASE!E:E, BASE!C:C), "")
</f>
        <v>-</v>
      </c>
      <c r="D38" s="73">
        <f t="array" ref="D38">IFERROR(XLOOKUP(A38, BASE!E:E, BASE!D:D), "")
</f>
        <v>6</v>
      </c>
      <c r="E38" s="168" t="str">
        <f t="array" ref="E38">IFERROR(XLOOKUP(A38, BASE!E:E, BASE!H:H), "")
</f>
        <v>-</v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139" t="s">
        <v>1292</v>
      </c>
      <c r="B39" s="73" t="str">
        <f t="array" ref="B39">IFERROR(XLOOKUP(A39, BASE!E:E, BASE!B:B), "")
</f>
        <v>Fanout Desconhecido</v>
      </c>
      <c r="C39" s="73" t="str">
        <f t="array" ref="C39">IFERROR(XLOOKUP(A39, BASE!E:E, BASE!C:C), "")
</f>
        <v>-</v>
      </c>
      <c r="D39" s="73">
        <f t="array" ref="D39">IFERROR(XLOOKUP(A39, BASE!E:E, BASE!D:D), "")
</f>
        <v>27</v>
      </c>
      <c r="E39" s="168" t="str">
        <f t="array" ref="E39">IFERROR(XLOOKUP(A39, BASE!E:E, BASE!H:H), "")
</f>
        <v>-</v>
      </c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139" t="s">
        <v>1293</v>
      </c>
      <c r="B40" s="73" t="str">
        <f t="array" ref="B40">IFERROR(XLOOKUP(A40, BASE!E:E, BASE!B:B), "")
</f>
        <v>Fanout Desconhecido</v>
      </c>
      <c r="C40" s="73" t="str">
        <f t="array" ref="C40">IFERROR(XLOOKUP(A40, BASE!E:E, BASE!C:C), "")
</f>
        <v>-</v>
      </c>
      <c r="D40" s="73">
        <f t="array" ref="D40">IFERROR(XLOOKUP(A40, BASE!E:E, BASE!D:D), "")
</f>
        <v>97</v>
      </c>
      <c r="E40" s="168" t="str">
        <f t="array" ref="E40">IFERROR(XLOOKUP(A40, BASE!E:E, BASE!H:H), "")
</f>
        <v>-</v>
      </c>
      <c r="F40" s="178"/>
      <c r="G40" s="178"/>
      <c r="H40" s="178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139" t="s">
        <v>1294</v>
      </c>
      <c r="B41" s="73" t="str">
        <f t="array" ref="B41">IFERROR(XLOOKUP(A41, BASE!E:E, BASE!B:B), "")
</f>
        <v>Fanout Desconhecido</v>
      </c>
      <c r="C41" s="73" t="str">
        <f t="array" ref="C41">IFERROR(XLOOKUP(A41, BASE!E:E, BASE!C:C), "")
</f>
        <v>-</v>
      </c>
      <c r="D41" s="73">
        <f t="array" ref="D41">IFERROR(XLOOKUP(A41, BASE!E:E, BASE!D:D), "")
</f>
        <v>90</v>
      </c>
      <c r="E41" s="168" t="str">
        <f t="array" ref="E41">IFERROR(XLOOKUP(A41, BASE!E:E, BASE!H:H), "")
</f>
        <v>-</v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139" t="s">
        <v>1295</v>
      </c>
      <c r="B42" s="73" t="str">
        <f t="array" ref="B42">IFERROR(XLOOKUP(A42, BASE!E:E, BASE!B:B), "")
</f>
        <v>Fanout Desconhecido</v>
      </c>
      <c r="C42" s="73" t="str">
        <f t="array" ref="C42">IFERROR(XLOOKUP(A42, BASE!E:E, BASE!C:C), "")
</f>
        <v>-</v>
      </c>
      <c r="D42" s="73">
        <f t="array" ref="D42">IFERROR(XLOOKUP(A42, BASE!E:E, BASE!D:D), "")
</f>
        <v>94</v>
      </c>
      <c r="E42" s="168" t="str">
        <f t="array" ref="E42">IFERROR(XLOOKUP(A42, BASE!E:E, BASE!H:H), "")
</f>
        <v>-</v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139" t="s">
        <v>1296</v>
      </c>
      <c r="B43" s="73" t="str">
        <f t="array" ref="B43">IFERROR(XLOOKUP(A43, BASE!E:E, BASE!B:B), "")
</f>
        <v>Fanout Desconhecido</v>
      </c>
      <c r="C43" s="73" t="str">
        <f t="array" ref="C43">IFERROR(XLOOKUP(A43, BASE!E:E, BASE!C:C), "")
</f>
        <v>-</v>
      </c>
      <c r="D43" s="73">
        <f t="array" ref="D43">IFERROR(XLOOKUP(A43, BASE!E:E, BASE!D:D), "")
</f>
        <v>98</v>
      </c>
      <c r="E43" s="168" t="str">
        <f t="array" ref="E43">IFERROR(XLOOKUP(A43, BASE!E:E, BASE!H:H), "")
</f>
        <v>-</v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139" t="s">
        <v>1297</v>
      </c>
      <c r="B44" s="73" t="str">
        <f t="array" ref="B44">IFERROR(XLOOKUP(A44, BASE!E:E, BASE!B:B), "")
</f>
        <v>Fanout Desconhecido</v>
      </c>
      <c r="C44" s="73" t="str">
        <f t="array" ref="C44">IFERROR(XLOOKUP(A44, BASE!E:E, BASE!C:C), "")
</f>
        <v>-</v>
      </c>
      <c r="D44" s="73">
        <f t="array" ref="D44">IFERROR(XLOOKUP(A44, BASE!E:E, BASE!D:D), "")
</f>
        <v>99</v>
      </c>
      <c r="E44" s="168" t="str">
        <f t="array" ref="E44">IFERROR(XLOOKUP(A44, BASE!E:E, BASE!H:H), "")
</f>
        <v>-</v>
      </c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139" t="s">
        <v>1298</v>
      </c>
      <c r="B45" s="73" t="str">
        <f t="array" ref="B45">IFERROR(XLOOKUP(A45, BASE!E:E, BASE!B:B), "")
</f>
        <v>Fanout Desconhecido</v>
      </c>
      <c r="C45" s="73" t="str">
        <f t="array" ref="C45">IFERROR(XLOOKUP(A45, BASE!E:E, BASE!C:C), "")
</f>
        <v>-</v>
      </c>
      <c r="D45" s="73">
        <f t="array" ref="D45">IFERROR(XLOOKUP(A45, BASE!E:E, BASE!D:D), "")
</f>
        <v>89</v>
      </c>
      <c r="E45" s="168" t="str">
        <f t="array" ref="E45">IFERROR(XLOOKUP(A45, BASE!E:E, BASE!H:H), "")
</f>
        <v>-</v>
      </c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139"/>
      <c r="B46" s="73" t="str">
        <f t="array" ref="B46">IFERROR(XLOOKUP(A46, BASE!E:E, BASE!B:B), "")
</f>
        <v/>
      </c>
      <c r="C46" s="73" t="str">
        <f t="array" ref="C46">IFERROR(XLOOKUP(A46, BASE!E:E, BASE!C:C), "")
</f>
        <v/>
      </c>
      <c r="D46" s="73" t="str">
        <f t="array" ref="D46">IFERROR(XLOOKUP(A46, BASE!E:E, BASE!D:D), "")
</f>
        <v/>
      </c>
      <c r="E46" s="168" t="str">
        <f t="array" ref="E46">IFERROR(XLOOKUP(A46, BASE!E:E, BASE!H:H), "")
</f>
        <v/>
      </c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178"/>
      <c r="B47" s="178"/>
      <c r="C47" s="178"/>
      <c r="D47" s="178"/>
      <c r="E47" s="178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178"/>
      <c r="B48" s="178"/>
      <c r="C48" s="178"/>
      <c r="D48" s="178"/>
      <c r="E48" s="178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178"/>
      <c r="B49" s="178"/>
      <c r="C49" s="178"/>
      <c r="D49" s="178"/>
      <c r="E49" s="178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178"/>
      <c r="B50" s="178"/>
      <c r="C50" s="178"/>
      <c r="D50" s="178"/>
      <c r="E50" s="178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178"/>
      <c r="B51" s="178"/>
      <c r="C51" s="178"/>
      <c r="D51" s="178"/>
      <c r="E51" s="178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178"/>
      <c r="B52" s="178"/>
      <c r="C52" s="178"/>
      <c r="D52" s="178"/>
      <c r="E52" s="178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178"/>
      <c r="B53" s="178"/>
      <c r="C53" s="178"/>
      <c r="D53" s="178"/>
      <c r="E53" s="178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178"/>
      <c r="B54" s="178"/>
      <c r="C54" s="178"/>
      <c r="D54" s="178"/>
      <c r="E54" s="178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178"/>
      <c r="B55" s="178"/>
      <c r="C55" s="178"/>
      <c r="D55" s="178"/>
      <c r="E55" s="178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178"/>
      <c r="B56" s="178"/>
      <c r="C56" s="178"/>
      <c r="D56" s="178"/>
      <c r="E56" s="178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178"/>
      <c r="B57" s="178"/>
      <c r="C57" s="178"/>
      <c r="D57" s="178"/>
      <c r="E57" s="178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178"/>
      <c r="B58" s="178"/>
      <c r="C58" s="178"/>
      <c r="D58" s="178"/>
      <c r="E58" s="178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178"/>
      <c r="B59" s="178"/>
      <c r="C59" s="178"/>
      <c r="D59" s="178"/>
      <c r="E59" s="178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178"/>
      <c r="B60" s="178"/>
      <c r="C60" s="178"/>
      <c r="D60" s="178"/>
      <c r="E60" s="178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178"/>
      <c r="B61" s="178"/>
      <c r="C61" s="178"/>
      <c r="D61" s="178"/>
      <c r="E61" s="178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178"/>
      <c r="B62" s="178"/>
      <c r="C62" s="178"/>
      <c r="D62" s="178"/>
      <c r="E62" s="178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178"/>
      <c r="B63" s="178"/>
      <c r="C63" s="178"/>
      <c r="D63" s="178"/>
      <c r="E63" s="178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178"/>
      <c r="B64" s="178"/>
      <c r="C64" s="178"/>
      <c r="D64" s="178"/>
      <c r="E64" s="178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178"/>
      <c r="B65" s="178"/>
      <c r="C65" s="178"/>
      <c r="D65" s="178"/>
      <c r="E65" s="178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178"/>
      <c r="B66" s="178"/>
      <c r="C66" s="178"/>
      <c r="D66" s="178"/>
      <c r="E66" s="178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178"/>
      <c r="B67" s="178"/>
      <c r="C67" s="178"/>
      <c r="D67" s="178"/>
      <c r="E67" s="178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178"/>
      <c r="B68" s="178"/>
      <c r="C68" s="178"/>
      <c r="D68" s="178"/>
      <c r="E68" s="178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178"/>
      <c r="B69" s="178"/>
      <c r="C69" s="178"/>
      <c r="D69" s="178"/>
      <c r="E69" s="178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178"/>
      <c r="B70" s="178"/>
      <c r="C70" s="178"/>
      <c r="D70" s="178"/>
      <c r="E70" s="178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178"/>
      <c r="B71" s="178"/>
      <c r="C71" s="178"/>
      <c r="D71" s="178"/>
      <c r="E71" s="178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178"/>
      <c r="B72" s="178"/>
      <c r="C72" s="178"/>
      <c r="D72" s="178"/>
      <c r="E72" s="178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178"/>
      <c r="B73" s="178"/>
      <c r="C73" s="178"/>
      <c r="D73" s="178"/>
      <c r="E73" s="178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178"/>
      <c r="B74" s="178"/>
      <c r="C74" s="178"/>
      <c r="D74" s="178"/>
      <c r="E74" s="178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178"/>
      <c r="B75" s="178"/>
      <c r="C75" s="178"/>
      <c r="D75" s="178"/>
      <c r="E75" s="178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178"/>
      <c r="B76" s="178"/>
      <c r="C76" s="178"/>
      <c r="D76" s="178"/>
      <c r="E76" s="178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178"/>
      <c r="B77" s="178"/>
      <c r="C77" s="178"/>
      <c r="D77" s="178"/>
      <c r="E77" s="178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178"/>
      <c r="B78" s="178"/>
      <c r="C78" s="178"/>
      <c r="D78" s="178"/>
      <c r="E78" s="178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178"/>
      <c r="B79" s="178"/>
      <c r="C79" s="178"/>
      <c r="D79" s="178"/>
      <c r="E79" s="178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178"/>
      <c r="B80" s="178"/>
      <c r="C80" s="178"/>
      <c r="D80" s="178"/>
      <c r="E80" s="178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178"/>
      <c r="B81" s="178"/>
      <c r="C81" s="178"/>
      <c r="D81" s="178"/>
      <c r="E81" s="178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178"/>
      <c r="B82" s="178"/>
      <c r="C82" s="178"/>
      <c r="D82" s="178"/>
      <c r="E82" s="178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178"/>
      <c r="B83" s="178"/>
      <c r="C83" s="178"/>
      <c r="D83" s="178"/>
      <c r="E83" s="178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178"/>
      <c r="B84" s="178"/>
      <c r="C84" s="178"/>
      <c r="D84" s="178"/>
      <c r="E84" s="178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178"/>
      <c r="B85" s="178"/>
      <c r="C85" s="178"/>
      <c r="D85" s="178"/>
      <c r="E85" s="178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178"/>
      <c r="B86" s="178"/>
      <c r="C86" s="178"/>
      <c r="D86" s="178"/>
      <c r="E86" s="178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178"/>
      <c r="B87" s="178"/>
      <c r="C87" s="178"/>
      <c r="D87" s="178"/>
      <c r="E87" s="178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178"/>
      <c r="B88" s="178"/>
      <c r="C88" s="178"/>
      <c r="D88" s="178"/>
      <c r="E88" s="178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178"/>
      <c r="B89" s="178"/>
      <c r="C89" s="178"/>
      <c r="D89" s="178"/>
      <c r="E89" s="178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178"/>
      <c r="B90" s="178"/>
      <c r="C90" s="178"/>
      <c r="D90" s="178"/>
      <c r="E90" s="178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178"/>
      <c r="B91" s="178"/>
      <c r="C91" s="178"/>
      <c r="D91" s="178"/>
      <c r="E91" s="178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178"/>
      <c r="B92" s="178"/>
      <c r="C92" s="178"/>
      <c r="D92" s="178"/>
      <c r="E92" s="178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178"/>
      <c r="B93" s="178"/>
      <c r="C93" s="178"/>
      <c r="D93" s="178"/>
      <c r="E93" s="178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178"/>
      <c r="B94" s="178"/>
      <c r="C94" s="178"/>
      <c r="D94" s="178"/>
      <c r="E94" s="178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178"/>
      <c r="B95" s="178"/>
      <c r="C95" s="178"/>
      <c r="D95" s="178"/>
      <c r="E95" s="178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178"/>
      <c r="B96" s="178"/>
      <c r="C96" s="178"/>
      <c r="D96" s="178"/>
      <c r="E96" s="178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178"/>
      <c r="B97" s="178"/>
      <c r="C97" s="178"/>
      <c r="D97" s="178"/>
      <c r="E97" s="178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178"/>
      <c r="B98" s="178"/>
      <c r="C98" s="178"/>
      <c r="D98" s="178"/>
      <c r="E98" s="178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178"/>
      <c r="B99" s="178"/>
      <c r="C99" s="178"/>
      <c r="D99" s="178"/>
      <c r="E99" s="178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178"/>
      <c r="B100" s="178"/>
      <c r="C100" s="178"/>
      <c r="D100" s="178"/>
      <c r="E100" s="178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178"/>
      <c r="B101" s="178"/>
      <c r="C101" s="178"/>
      <c r="D101" s="178"/>
      <c r="E101" s="178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178"/>
      <c r="B102" s="178"/>
      <c r="C102" s="178"/>
      <c r="D102" s="178"/>
      <c r="E102" s="178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178"/>
      <c r="B103" s="178"/>
      <c r="C103" s="178"/>
      <c r="D103" s="178"/>
      <c r="E103" s="178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178"/>
      <c r="B104" s="178"/>
      <c r="C104" s="178"/>
      <c r="D104" s="178"/>
      <c r="E104" s="178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178"/>
      <c r="B105" s="178"/>
      <c r="C105" s="178"/>
      <c r="D105" s="178"/>
      <c r="E105" s="178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178"/>
      <c r="B106" s="178"/>
      <c r="C106" s="178"/>
      <c r="D106" s="178"/>
      <c r="E106" s="178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178"/>
      <c r="B107" s="178"/>
      <c r="C107" s="178"/>
      <c r="D107" s="178"/>
      <c r="E107" s="178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178"/>
      <c r="B108" s="178"/>
      <c r="C108" s="178"/>
      <c r="D108" s="178"/>
      <c r="E108" s="178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178"/>
      <c r="B109" s="178"/>
      <c r="C109" s="178"/>
      <c r="D109" s="178"/>
      <c r="E109" s="178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178"/>
      <c r="B110" s="178"/>
      <c r="C110" s="178"/>
      <c r="D110" s="178"/>
      <c r="E110" s="178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178"/>
      <c r="B111" s="178"/>
      <c r="C111" s="178"/>
      <c r="D111" s="178"/>
      <c r="E111" s="178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178"/>
      <c r="B112" s="178"/>
      <c r="C112" s="178"/>
      <c r="D112" s="178"/>
      <c r="E112" s="178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178"/>
      <c r="B113" s="178"/>
      <c r="C113" s="178"/>
      <c r="D113" s="178"/>
      <c r="E113" s="178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178"/>
      <c r="B114" s="178"/>
      <c r="C114" s="178"/>
      <c r="D114" s="178"/>
      <c r="E114" s="178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178"/>
      <c r="B115" s="178"/>
      <c r="C115" s="178"/>
      <c r="D115" s="178"/>
      <c r="E115" s="178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178"/>
      <c r="B116" s="178"/>
      <c r="C116" s="178"/>
      <c r="D116" s="178"/>
      <c r="E116" s="178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178"/>
      <c r="B117" s="178"/>
      <c r="C117" s="178"/>
      <c r="D117" s="178"/>
      <c r="E117" s="178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178"/>
      <c r="B118" s="178"/>
      <c r="C118" s="178"/>
      <c r="D118" s="178"/>
      <c r="E118" s="178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178"/>
      <c r="B119" s="178"/>
      <c r="C119" s="178"/>
      <c r="D119" s="178"/>
      <c r="E119" s="178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178"/>
      <c r="B120" s="178"/>
      <c r="C120" s="178"/>
      <c r="D120" s="178"/>
      <c r="E120" s="178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178"/>
      <c r="B121" s="178"/>
      <c r="C121" s="178"/>
      <c r="D121" s="178"/>
      <c r="E121" s="178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178"/>
      <c r="B122" s="178"/>
      <c r="C122" s="178"/>
      <c r="D122" s="178"/>
      <c r="E122" s="178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178"/>
      <c r="B123" s="178"/>
      <c r="C123" s="178"/>
      <c r="D123" s="178"/>
      <c r="E123" s="178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178"/>
      <c r="B124" s="178"/>
      <c r="C124" s="178"/>
      <c r="D124" s="178"/>
      <c r="E124" s="178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178"/>
      <c r="B125" s="178"/>
      <c r="C125" s="178"/>
      <c r="D125" s="178"/>
      <c r="E125" s="178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178"/>
      <c r="B126" s="178"/>
      <c r="C126" s="178"/>
      <c r="D126" s="178"/>
      <c r="E126" s="178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178"/>
      <c r="B127" s="178"/>
      <c r="C127" s="178"/>
      <c r="D127" s="178"/>
      <c r="E127" s="178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178"/>
      <c r="B128" s="178"/>
      <c r="C128" s="178"/>
      <c r="D128" s="178"/>
      <c r="E128" s="178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178"/>
      <c r="B129" s="178"/>
      <c r="C129" s="178"/>
      <c r="D129" s="178"/>
      <c r="E129" s="178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178"/>
      <c r="B130" s="178"/>
      <c r="C130" s="178"/>
      <c r="D130" s="178"/>
      <c r="E130" s="178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178"/>
      <c r="B131" s="178"/>
      <c r="C131" s="178"/>
      <c r="D131" s="178"/>
      <c r="E131" s="178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178"/>
      <c r="B132" s="178"/>
      <c r="C132" s="178"/>
      <c r="D132" s="178"/>
      <c r="E132" s="178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178"/>
      <c r="B133" s="178"/>
      <c r="C133" s="178"/>
      <c r="D133" s="178"/>
      <c r="E133" s="178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178"/>
      <c r="B134" s="178"/>
      <c r="C134" s="178"/>
      <c r="D134" s="178"/>
      <c r="E134" s="178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178"/>
      <c r="B135" s="178"/>
      <c r="C135" s="178"/>
      <c r="D135" s="178"/>
      <c r="E135" s="178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178"/>
      <c r="B136" s="178"/>
      <c r="C136" s="178"/>
      <c r="D136" s="178"/>
      <c r="E136" s="178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178"/>
      <c r="B137" s="178"/>
      <c r="C137" s="178"/>
      <c r="D137" s="178"/>
      <c r="E137" s="178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178"/>
      <c r="B138" s="178"/>
      <c r="C138" s="178"/>
      <c r="D138" s="178"/>
      <c r="E138" s="178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178"/>
      <c r="B139" s="178"/>
      <c r="C139" s="178"/>
      <c r="D139" s="178"/>
      <c r="E139" s="178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178"/>
      <c r="B140" s="178"/>
      <c r="C140" s="178"/>
      <c r="D140" s="178"/>
      <c r="E140" s="178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178"/>
      <c r="B141" s="178"/>
      <c r="C141" s="178"/>
      <c r="D141" s="178"/>
      <c r="E141" s="178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178"/>
      <c r="B142" s="178"/>
      <c r="C142" s="178"/>
      <c r="D142" s="178"/>
      <c r="E142" s="178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178"/>
      <c r="B143" s="178"/>
      <c r="C143" s="178"/>
      <c r="D143" s="178"/>
      <c r="E143" s="178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178"/>
      <c r="B144" s="178"/>
      <c r="C144" s="178"/>
      <c r="D144" s="178"/>
      <c r="E144" s="178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178"/>
      <c r="B145" s="178"/>
      <c r="C145" s="178"/>
      <c r="D145" s="178"/>
      <c r="E145" s="178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178"/>
      <c r="B146" s="178"/>
      <c r="C146" s="178"/>
      <c r="D146" s="178"/>
      <c r="E146" s="178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178"/>
      <c r="B147" s="178"/>
      <c r="C147" s="178"/>
      <c r="D147" s="178"/>
      <c r="E147" s="178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178"/>
      <c r="B148" s="178"/>
      <c r="C148" s="178"/>
      <c r="D148" s="178"/>
      <c r="E148" s="178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178"/>
      <c r="B149" s="178"/>
      <c r="C149" s="178"/>
      <c r="D149" s="178"/>
      <c r="E149" s="178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178"/>
      <c r="B150" s="178"/>
      <c r="C150" s="178"/>
      <c r="D150" s="178"/>
      <c r="E150" s="178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178"/>
      <c r="B151" s="178"/>
      <c r="C151" s="178"/>
      <c r="D151" s="178"/>
      <c r="E151" s="178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178"/>
      <c r="B152" s="178"/>
      <c r="C152" s="178"/>
      <c r="D152" s="178"/>
      <c r="E152" s="178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178"/>
      <c r="B153" s="178"/>
      <c r="C153" s="178"/>
      <c r="D153" s="178"/>
      <c r="E153" s="178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178"/>
      <c r="B154" s="178"/>
      <c r="C154" s="178"/>
      <c r="D154" s="178"/>
      <c r="E154" s="178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178"/>
      <c r="B155" s="178"/>
      <c r="C155" s="178"/>
      <c r="D155" s="178"/>
      <c r="E155" s="178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178"/>
      <c r="B156" s="178"/>
      <c r="C156" s="178"/>
      <c r="D156" s="178"/>
      <c r="E156" s="178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178"/>
      <c r="B157" s="178"/>
      <c r="C157" s="178"/>
      <c r="D157" s="178"/>
      <c r="E157" s="178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178"/>
      <c r="B158" s="178"/>
      <c r="C158" s="178"/>
      <c r="D158" s="178"/>
      <c r="E158" s="178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178"/>
      <c r="B159" s="178"/>
      <c r="C159" s="178"/>
      <c r="D159" s="178"/>
      <c r="E159" s="178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178"/>
      <c r="B160" s="178"/>
      <c r="C160" s="178"/>
      <c r="D160" s="178"/>
      <c r="E160" s="178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178"/>
      <c r="B161" s="178"/>
      <c r="C161" s="178"/>
      <c r="D161" s="178"/>
      <c r="E161" s="178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178"/>
      <c r="B162" s="178"/>
      <c r="C162" s="178"/>
      <c r="D162" s="178"/>
      <c r="E162" s="178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178"/>
      <c r="B163" s="178"/>
      <c r="C163" s="178"/>
      <c r="D163" s="178"/>
      <c r="E163" s="178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178"/>
      <c r="B164" s="178"/>
      <c r="C164" s="178"/>
      <c r="D164" s="178"/>
      <c r="E164" s="178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178"/>
      <c r="B165" s="178"/>
      <c r="C165" s="178"/>
      <c r="D165" s="178"/>
      <c r="E165" s="178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178"/>
      <c r="B166" s="178"/>
      <c r="C166" s="178"/>
      <c r="D166" s="178"/>
      <c r="E166" s="178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178"/>
      <c r="B167" s="178"/>
      <c r="C167" s="178"/>
      <c r="D167" s="178"/>
      <c r="E167" s="178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178"/>
      <c r="B168" s="178"/>
      <c r="C168" s="178"/>
      <c r="D168" s="178"/>
      <c r="E168" s="178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178"/>
      <c r="B169" s="178"/>
      <c r="C169" s="178"/>
      <c r="D169" s="178"/>
      <c r="E169" s="178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178"/>
      <c r="B170" s="178"/>
      <c r="C170" s="178"/>
      <c r="D170" s="178"/>
      <c r="E170" s="178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178"/>
      <c r="B171" s="178"/>
      <c r="C171" s="178"/>
      <c r="D171" s="178"/>
      <c r="E171" s="178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178"/>
      <c r="B172" s="178"/>
      <c r="C172" s="178"/>
      <c r="D172" s="178"/>
      <c r="E172" s="178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178"/>
      <c r="B173" s="178"/>
      <c r="C173" s="178"/>
      <c r="D173" s="178"/>
      <c r="E173" s="178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178"/>
      <c r="B174" s="178"/>
      <c r="C174" s="178"/>
      <c r="D174" s="178"/>
      <c r="E174" s="178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178"/>
      <c r="B175" s="178"/>
      <c r="C175" s="178"/>
      <c r="D175" s="178"/>
      <c r="E175" s="178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178"/>
      <c r="B176" s="178"/>
      <c r="C176" s="178"/>
      <c r="D176" s="178"/>
      <c r="E176" s="178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178"/>
      <c r="B177" s="178"/>
      <c r="C177" s="178"/>
      <c r="D177" s="178"/>
      <c r="E177" s="178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178"/>
      <c r="B178" s="178"/>
      <c r="C178" s="178"/>
      <c r="D178" s="178"/>
      <c r="E178" s="178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178"/>
      <c r="B179" s="178"/>
      <c r="C179" s="178"/>
      <c r="D179" s="178"/>
      <c r="E179" s="178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178"/>
      <c r="B180" s="178"/>
      <c r="C180" s="178"/>
      <c r="D180" s="178"/>
      <c r="E180" s="178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178"/>
      <c r="B181" s="178"/>
      <c r="C181" s="178"/>
      <c r="D181" s="178"/>
      <c r="E181" s="178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178"/>
      <c r="B182" s="178"/>
      <c r="C182" s="178"/>
      <c r="D182" s="178"/>
      <c r="E182" s="178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178"/>
      <c r="B183" s="178"/>
      <c r="C183" s="178"/>
      <c r="D183" s="178"/>
      <c r="E183" s="178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178"/>
      <c r="B184" s="178"/>
      <c r="C184" s="178"/>
      <c r="D184" s="178"/>
      <c r="E184" s="178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178"/>
      <c r="B185" s="178"/>
      <c r="C185" s="178"/>
      <c r="D185" s="178"/>
      <c r="E185" s="178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178"/>
      <c r="B186" s="178"/>
      <c r="C186" s="178"/>
      <c r="D186" s="178"/>
      <c r="E186" s="178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178"/>
      <c r="B187" s="178"/>
      <c r="C187" s="178"/>
      <c r="D187" s="178"/>
      <c r="E187" s="178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178"/>
      <c r="B188" s="178"/>
      <c r="C188" s="178"/>
      <c r="D188" s="178"/>
      <c r="E188" s="178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178"/>
      <c r="B189" s="178"/>
      <c r="C189" s="178"/>
      <c r="D189" s="178"/>
      <c r="E189" s="178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178"/>
      <c r="B190" s="178"/>
      <c r="C190" s="178"/>
      <c r="D190" s="178"/>
      <c r="E190" s="178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178"/>
      <c r="B191" s="178"/>
      <c r="C191" s="178"/>
      <c r="D191" s="178"/>
      <c r="E191" s="178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178"/>
      <c r="B192" s="178"/>
      <c r="C192" s="178"/>
      <c r="D192" s="178"/>
      <c r="E192" s="178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178"/>
      <c r="B193" s="178"/>
      <c r="C193" s="178"/>
      <c r="D193" s="178"/>
      <c r="E193" s="178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178"/>
      <c r="B194" s="178"/>
      <c r="C194" s="178"/>
      <c r="D194" s="178"/>
      <c r="E194" s="178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178"/>
      <c r="B195" s="178"/>
      <c r="C195" s="178"/>
      <c r="D195" s="178"/>
      <c r="E195" s="178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178"/>
      <c r="B196" s="178"/>
      <c r="C196" s="178"/>
      <c r="D196" s="178"/>
      <c r="E196" s="178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178"/>
      <c r="B197" s="178"/>
      <c r="C197" s="178"/>
      <c r="D197" s="178"/>
      <c r="E197" s="178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178"/>
      <c r="B198" s="178"/>
      <c r="C198" s="178"/>
      <c r="D198" s="178"/>
      <c r="E198" s="178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178"/>
      <c r="B199" s="178"/>
      <c r="C199" s="178"/>
      <c r="D199" s="178"/>
      <c r="E199" s="178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178"/>
      <c r="B200" s="178"/>
      <c r="C200" s="178"/>
      <c r="D200" s="178"/>
      <c r="E200" s="178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178"/>
      <c r="B201" s="178"/>
      <c r="C201" s="178"/>
      <c r="D201" s="178"/>
      <c r="E201" s="178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178"/>
      <c r="B202" s="178"/>
      <c r="C202" s="178"/>
      <c r="D202" s="178"/>
      <c r="E202" s="178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178"/>
      <c r="B203" s="178"/>
      <c r="C203" s="178"/>
      <c r="D203" s="178"/>
      <c r="E203" s="178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178"/>
      <c r="B204" s="178"/>
      <c r="C204" s="178"/>
      <c r="D204" s="178"/>
      <c r="E204" s="178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178"/>
      <c r="B205" s="178"/>
      <c r="C205" s="178"/>
      <c r="D205" s="178"/>
      <c r="E205" s="178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178"/>
      <c r="B206" s="178"/>
      <c r="C206" s="178"/>
      <c r="D206" s="178"/>
      <c r="E206" s="178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178"/>
      <c r="B207" s="178"/>
      <c r="C207" s="178"/>
      <c r="D207" s="178"/>
      <c r="E207" s="178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178"/>
      <c r="B208" s="178"/>
      <c r="C208" s="178"/>
      <c r="D208" s="178"/>
      <c r="E208" s="178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178"/>
      <c r="B209" s="178"/>
      <c r="C209" s="178"/>
      <c r="D209" s="178"/>
      <c r="E209" s="178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178"/>
      <c r="B210" s="178"/>
      <c r="C210" s="178"/>
      <c r="D210" s="178"/>
      <c r="E210" s="178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178"/>
      <c r="B211" s="178"/>
      <c r="C211" s="178"/>
      <c r="D211" s="178"/>
      <c r="E211" s="178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178"/>
      <c r="B212" s="178"/>
      <c r="C212" s="178"/>
      <c r="D212" s="178"/>
      <c r="E212" s="178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178"/>
      <c r="B213" s="178"/>
      <c r="C213" s="178"/>
      <c r="D213" s="178"/>
      <c r="E213" s="178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178"/>
      <c r="B214" s="178"/>
      <c r="C214" s="178"/>
      <c r="D214" s="178"/>
      <c r="E214" s="178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178"/>
      <c r="B215" s="178"/>
      <c r="C215" s="178"/>
      <c r="D215" s="178"/>
      <c r="E215" s="178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178"/>
      <c r="B216" s="178"/>
      <c r="C216" s="178"/>
      <c r="D216" s="178"/>
      <c r="E216" s="178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178"/>
      <c r="B217" s="178"/>
      <c r="C217" s="178"/>
      <c r="D217" s="178"/>
      <c r="E217" s="178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178"/>
      <c r="B218" s="178"/>
      <c r="C218" s="178"/>
      <c r="D218" s="178"/>
      <c r="E218" s="178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178"/>
      <c r="B219" s="178"/>
      <c r="C219" s="178"/>
      <c r="D219" s="178"/>
      <c r="E219" s="178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178"/>
      <c r="B220" s="178"/>
      <c r="C220" s="178"/>
      <c r="D220" s="178"/>
      <c r="E220" s="178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178"/>
      <c r="B221" s="178"/>
      <c r="C221" s="178"/>
      <c r="D221" s="178"/>
      <c r="E221" s="178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178"/>
      <c r="B222" s="178"/>
      <c r="C222" s="178"/>
      <c r="D222" s="178"/>
      <c r="E222" s="178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178"/>
      <c r="B223" s="178"/>
      <c r="C223" s="178"/>
      <c r="D223" s="178"/>
      <c r="E223" s="178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178"/>
      <c r="B224" s="178"/>
      <c r="C224" s="178"/>
      <c r="D224" s="178"/>
      <c r="E224" s="178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178"/>
      <c r="B225" s="178"/>
      <c r="C225" s="178"/>
      <c r="D225" s="178"/>
      <c r="E225" s="178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178"/>
      <c r="B226" s="178"/>
      <c r="C226" s="178"/>
      <c r="D226" s="178"/>
      <c r="E226" s="178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178"/>
      <c r="B227" s="178"/>
      <c r="C227" s="178"/>
      <c r="D227" s="178"/>
      <c r="E227" s="178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178"/>
      <c r="B228" s="178"/>
      <c r="C228" s="178"/>
      <c r="D228" s="178"/>
      <c r="E228" s="178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178"/>
      <c r="B229" s="178"/>
      <c r="C229" s="178"/>
      <c r="D229" s="178"/>
      <c r="E229" s="178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178"/>
      <c r="B230" s="178"/>
      <c r="C230" s="178"/>
      <c r="D230" s="178"/>
      <c r="E230" s="178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178"/>
      <c r="B231" s="178"/>
      <c r="C231" s="178"/>
      <c r="D231" s="178"/>
      <c r="E231" s="178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178"/>
      <c r="B232" s="178"/>
      <c r="C232" s="178"/>
      <c r="D232" s="178"/>
      <c r="E232" s="178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178"/>
      <c r="B233" s="178"/>
      <c r="C233" s="178"/>
      <c r="D233" s="178"/>
      <c r="E233" s="178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178"/>
      <c r="B234" s="178"/>
      <c r="C234" s="178"/>
      <c r="D234" s="178"/>
      <c r="E234" s="178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178"/>
      <c r="B235" s="178"/>
      <c r="C235" s="178"/>
      <c r="D235" s="178"/>
      <c r="E235" s="178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178"/>
      <c r="B236" s="178"/>
      <c r="C236" s="178"/>
      <c r="D236" s="178"/>
      <c r="E236" s="178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178"/>
      <c r="B237" s="178"/>
      <c r="C237" s="178"/>
      <c r="D237" s="178"/>
      <c r="E237" s="178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178"/>
      <c r="B238" s="178"/>
      <c r="C238" s="178"/>
      <c r="D238" s="178"/>
      <c r="E238" s="178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178"/>
      <c r="B239" s="178"/>
      <c r="C239" s="178"/>
      <c r="D239" s="178"/>
      <c r="E239" s="178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178"/>
      <c r="B240" s="178"/>
      <c r="C240" s="178"/>
      <c r="D240" s="178"/>
      <c r="E240" s="178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178"/>
      <c r="B241" s="178"/>
      <c r="C241" s="178"/>
      <c r="D241" s="178"/>
      <c r="E241" s="178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178"/>
      <c r="B242" s="178"/>
      <c r="C242" s="178"/>
      <c r="D242" s="178"/>
      <c r="E242" s="178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178"/>
      <c r="B243" s="178"/>
      <c r="C243" s="178"/>
      <c r="D243" s="178"/>
      <c r="E243" s="178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178"/>
      <c r="B244" s="178"/>
      <c r="C244" s="178"/>
      <c r="D244" s="178"/>
      <c r="E244" s="178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178"/>
      <c r="B245" s="178"/>
      <c r="C245" s="178"/>
      <c r="D245" s="178"/>
      <c r="E245" s="178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178"/>
      <c r="B246" s="178"/>
      <c r="C246" s="178"/>
      <c r="D246" s="178"/>
      <c r="E246" s="178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178"/>
      <c r="B247" s="178"/>
      <c r="C247" s="178"/>
      <c r="D247" s="178"/>
      <c r="E247" s="178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178"/>
      <c r="B248" s="178"/>
      <c r="C248" s="178"/>
      <c r="D248" s="178"/>
      <c r="E248" s="178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178"/>
      <c r="B249" s="178"/>
      <c r="C249" s="178"/>
      <c r="D249" s="178"/>
      <c r="E249" s="178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178"/>
      <c r="B250" s="178"/>
      <c r="C250" s="178"/>
      <c r="D250" s="178"/>
      <c r="E250" s="178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178"/>
      <c r="B251" s="178"/>
      <c r="C251" s="178"/>
      <c r="D251" s="178"/>
      <c r="E251" s="178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178"/>
      <c r="B252" s="178"/>
      <c r="C252" s="178"/>
      <c r="D252" s="178"/>
      <c r="E252" s="178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178"/>
      <c r="B253" s="178"/>
      <c r="C253" s="178"/>
      <c r="D253" s="178"/>
      <c r="E253" s="178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178"/>
      <c r="B254" s="178"/>
      <c r="C254" s="178"/>
      <c r="D254" s="178"/>
      <c r="E254" s="178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178"/>
      <c r="B255" s="178"/>
      <c r="C255" s="178"/>
      <c r="D255" s="178"/>
      <c r="E255" s="178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178"/>
      <c r="B256" s="178"/>
      <c r="C256" s="178"/>
      <c r="D256" s="178"/>
      <c r="E256" s="178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178"/>
      <c r="B257" s="178"/>
      <c r="C257" s="178"/>
      <c r="D257" s="178"/>
      <c r="E257" s="178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178"/>
      <c r="B258" s="178"/>
      <c r="C258" s="178"/>
      <c r="D258" s="178"/>
      <c r="E258" s="178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178"/>
      <c r="B259" s="178"/>
      <c r="C259" s="178"/>
      <c r="D259" s="178"/>
      <c r="E259" s="178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178"/>
      <c r="B260" s="178"/>
      <c r="C260" s="178"/>
      <c r="D260" s="178"/>
      <c r="E260" s="178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178"/>
      <c r="B261" s="178"/>
      <c r="C261" s="178"/>
      <c r="D261" s="178"/>
      <c r="E261" s="178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178"/>
      <c r="B262" s="178"/>
      <c r="C262" s="178"/>
      <c r="D262" s="178"/>
      <c r="E262" s="178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178"/>
      <c r="B263" s="178"/>
      <c r="C263" s="178"/>
      <c r="D263" s="178"/>
      <c r="E263" s="178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178"/>
      <c r="B264" s="178"/>
      <c r="C264" s="178"/>
      <c r="D264" s="178"/>
      <c r="E264" s="178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178"/>
      <c r="B265" s="178"/>
      <c r="C265" s="178"/>
      <c r="D265" s="178"/>
      <c r="E265" s="178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178"/>
      <c r="B266" s="178"/>
      <c r="C266" s="178"/>
      <c r="D266" s="178"/>
      <c r="E266" s="178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178"/>
      <c r="B267" s="178"/>
      <c r="C267" s="178"/>
      <c r="D267" s="178"/>
      <c r="E267" s="178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178"/>
      <c r="B268" s="178"/>
      <c r="C268" s="178"/>
      <c r="D268" s="178"/>
      <c r="E268" s="178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178"/>
      <c r="B269" s="178"/>
      <c r="C269" s="178"/>
      <c r="D269" s="178"/>
      <c r="E269" s="178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178"/>
      <c r="B270" s="178"/>
      <c r="C270" s="178"/>
      <c r="D270" s="178"/>
      <c r="E270" s="178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178"/>
      <c r="B271" s="178"/>
      <c r="C271" s="178"/>
      <c r="D271" s="178"/>
      <c r="E271" s="178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178"/>
      <c r="B272" s="178"/>
      <c r="C272" s="178"/>
      <c r="D272" s="178"/>
      <c r="E272" s="178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178"/>
      <c r="B273" s="178"/>
      <c r="C273" s="178"/>
      <c r="D273" s="178"/>
      <c r="E273" s="178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178"/>
      <c r="B274" s="178"/>
      <c r="C274" s="178"/>
      <c r="D274" s="178"/>
      <c r="E274" s="178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178"/>
      <c r="B275" s="178"/>
      <c r="C275" s="178"/>
      <c r="D275" s="178"/>
      <c r="E275" s="178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178"/>
      <c r="B276" s="178"/>
      <c r="C276" s="178"/>
      <c r="D276" s="178"/>
      <c r="E276" s="178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178"/>
      <c r="B277" s="178"/>
      <c r="C277" s="178"/>
      <c r="D277" s="178"/>
      <c r="E277" s="178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178"/>
      <c r="B278" s="178"/>
      <c r="C278" s="178"/>
      <c r="D278" s="178"/>
      <c r="E278" s="178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178"/>
      <c r="B279" s="178"/>
      <c r="C279" s="178"/>
      <c r="D279" s="178"/>
      <c r="E279" s="178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178"/>
      <c r="B280" s="178"/>
      <c r="C280" s="178"/>
      <c r="D280" s="178"/>
      <c r="E280" s="178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178"/>
      <c r="B281" s="178"/>
      <c r="C281" s="178"/>
      <c r="D281" s="178"/>
      <c r="E281" s="178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178"/>
      <c r="B282" s="178"/>
      <c r="C282" s="178"/>
      <c r="D282" s="178"/>
      <c r="E282" s="178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178"/>
      <c r="B283" s="178"/>
      <c r="C283" s="178"/>
      <c r="D283" s="178"/>
      <c r="E283" s="178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178"/>
      <c r="B284" s="178"/>
      <c r="C284" s="178"/>
      <c r="D284" s="178"/>
      <c r="E284" s="178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178"/>
      <c r="B285" s="178"/>
      <c r="C285" s="178"/>
      <c r="D285" s="178"/>
      <c r="E285" s="178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178"/>
      <c r="B286" s="178"/>
      <c r="C286" s="178"/>
      <c r="D286" s="178"/>
      <c r="E286" s="178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178"/>
      <c r="B287" s="178"/>
      <c r="C287" s="178"/>
      <c r="D287" s="178"/>
      <c r="E287" s="178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178"/>
      <c r="B288" s="178"/>
      <c r="C288" s="178"/>
      <c r="D288" s="178"/>
      <c r="E288" s="178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178"/>
      <c r="B289" s="178"/>
      <c r="C289" s="178"/>
      <c r="D289" s="178"/>
      <c r="E289" s="178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178"/>
      <c r="B290" s="178"/>
      <c r="C290" s="178"/>
      <c r="D290" s="178"/>
      <c r="E290" s="178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178"/>
      <c r="B291" s="178"/>
      <c r="C291" s="178"/>
      <c r="D291" s="178"/>
      <c r="E291" s="178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178"/>
      <c r="B292" s="178"/>
      <c r="C292" s="178"/>
      <c r="D292" s="178"/>
      <c r="E292" s="178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178"/>
      <c r="B293" s="178"/>
      <c r="C293" s="178"/>
      <c r="D293" s="178"/>
      <c r="E293" s="178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178"/>
      <c r="B294" s="178"/>
      <c r="C294" s="178"/>
      <c r="D294" s="178"/>
      <c r="E294" s="178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178"/>
      <c r="B295" s="178"/>
      <c r="C295" s="178"/>
      <c r="D295" s="178"/>
      <c r="E295" s="178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178"/>
      <c r="B296" s="178"/>
      <c r="C296" s="178"/>
      <c r="D296" s="178"/>
      <c r="E296" s="178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178"/>
      <c r="B297" s="178"/>
      <c r="C297" s="178"/>
      <c r="D297" s="178"/>
      <c r="E297" s="178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178"/>
      <c r="B298" s="178"/>
      <c r="C298" s="178"/>
      <c r="D298" s="178"/>
      <c r="E298" s="178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178"/>
      <c r="B299" s="178"/>
      <c r="C299" s="178"/>
      <c r="D299" s="178"/>
      <c r="E299" s="178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178"/>
      <c r="B300" s="178"/>
      <c r="C300" s="178"/>
      <c r="D300" s="178"/>
      <c r="E300" s="178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178"/>
      <c r="B301" s="178"/>
      <c r="C301" s="178"/>
      <c r="D301" s="178"/>
      <c r="E301" s="178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178"/>
      <c r="B302" s="178"/>
      <c r="C302" s="178"/>
      <c r="D302" s="178"/>
      <c r="E302" s="178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178"/>
      <c r="B303" s="178"/>
      <c r="C303" s="178"/>
      <c r="D303" s="178"/>
      <c r="E303" s="178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178"/>
      <c r="B304" s="178"/>
      <c r="C304" s="178"/>
      <c r="D304" s="178"/>
      <c r="E304" s="178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178"/>
      <c r="B305" s="178"/>
      <c r="C305" s="178"/>
      <c r="D305" s="178"/>
      <c r="E305" s="178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178"/>
      <c r="B306" s="178"/>
      <c r="C306" s="178"/>
      <c r="D306" s="178"/>
      <c r="E306" s="178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178"/>
      <c r="B307" s="178"/>
      <c r="C307" s="178"/>
      <c r="D307" s="178"/>
      <c r="E307" s="178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178"/>
      <c r="B308" s="178"/>
      <c r="C308" s="178"/>
      <c r="D308" s="178"/>
      <c r="E308" s="178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178"/>
      <c r="B309" s="178"/>
      <c r="C309" s="178"/>
      <c r="D309" s="178"/>
      <c r="E309" s="178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178"/>
      <c r="B310" s="178"/>
      <c r="C310" s="178"/>
      <c r="D310" s="178"/>
      <c r="E310" s="178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178"/>
      <c r="B311" s="178"/>
      <c r="C311" s="178"/>
      <c r="D311" s="178"/>
      <c r="E311" s="178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178"/>
      <c r="B312" s="178"/>
      <c r="C312" s="178"/>
      <c r="D312" s="178"/>
      <c r="E312" s="178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178"/>
      <c r="B313" s="178"/>
      <c r="C313" s="178"/>
      <c r="D313" s="178"/>
      <c r="E313" s="178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178"/>
      <c r="B314" s="178"/>
      <c r="C314" s="178"/>
      <c r="D314" s="178"/>
      <c r="E314" s="178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178"/>
      <c r="B315" s="178"/>
      <c r="C315" s="178"/>
      <c r="D315" s="178"/>
      <c r="E315" s="178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178"/>
      <c r="B316" s="178"/>
      <c r="C316" s="178"/>
      <c r="D316" s="178"/>
      <c r="E316" s="178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178"/>
      <c r="B317" s="178"/>
      <c r="C317" s="178"/>
      <c r="D317" s="178"/>
      <c r="E317" s="178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178"/>
      <c r="B318" s="178"/>
      <c r="C318" s="178"/>
      <c r="D318" s="178"/>
      <c r="E318" s="178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178"/>
      <c r="B319" s="178"/>
      <c r="C319" s="178"/>
      <c r="D319" s="178"/>
      <c r="E319" s="178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178"/>
      <c r="B320" s="178"/>
      <c r="C320" s="178"/>
      <c r="D320" s="178"/>
      <c r="E320" s="178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178"/>
      <c r="B321" s="178"/>
      <c r="C321" s="178"/>
      <c r="D321" s="178"/>
      <c r="E321" s="178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178"/>
      <c r="B322" s="178"/>
      <c r="C322" s="178"/>
      <c r="D322" s="178"/>
      <c r="E322" s="178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178"/>
      <c r="B323" s="178"/>
      <c r="C323" s="178"/>
      <c r="D323" s="178"/>
      <c r="E323" s="178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178"/>
      <c r="B324" s="178"/>
      <c r="C324" s="178"/>
      <c r="D324" s="178"/>
      <c r="E324" s="178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178"/>
      <c r="B325" s="178"/>
      <c r="C325" s="178"/>
      <c r="D325" s="178"/>
      <c r="E325" s="178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178"/>
      <c r="B326" s="178"/>
      <c r="C326" s="178"/>
      <c r="D326" s="178"/>
      <c r="E326" s="178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178"/>
      <c r="B327" s="178"/>
      <c r="C327" s="178"/>
      <c r="D327" s="178"/>
      <c r="E327" s="178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178"/>
      <c r="B328" s="178"/>
      <c r="C328" s="178"/>
      <c r="D328" s="178"/>
      <c r="E328" s="178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178"/>
      <c r="B329" s="178"/>
      <c r="C329" s="178"/>
      <c r="D329" s="178"/>
      <c r="E329" s="178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178"/>
      <c r="B330" s="178"/>
      <c r="C330" s="178"/>
      <c r="D330" s="178"/>
      <c r="E330" s="178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178"/>
      <c r="B331" s="178"/>
      <c r="C331" s="178"/>
      <c r="D331" s="178"/>
      <c r="E331" s="178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178"/>
      <c r="B332" s="178"/>
      <c r="C332" s="178"/>
      <c r="D332" s="178"/>
      <c r="E332" s="178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178"/>
      <c r="B333" s="178"/>
      <c r="C333" s="178"/>
      <c r="D333" s="178"/>
      <c r="E333" s="178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178"/>
      <c r="B334" s="178"/>
      <c r="C334" s="178"/>
      <c r="D334" s="178"/>
      <c r="E334" s="178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178"/>
      <c r="B335" s="178"/>
      <c r="C335" s="178"/>
      <c r="D335" s="178"/>
      <c r="E335" s="178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178"/>
      <c r="B336" s="178"/>
      <c r="C336" s="178"/>
      <c r="D336" s="178"/>
      <c r="E336" s="178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178"/>
      <c r="B337" s="178"/>
      <c r="C337" s="178"/>
      <c r="D337" s="178"/>
      <c r="E337" s="178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178"/>
      <c r="B338" s="178"/>
      <c r="C338" s="178"/>
      <c r="D338" s="178"/>
      <c r="E338" s="178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178"/>
      <c r="B339" s="178"/>
      <c r="C339" s="178"/>
      <c r="D339" s="178"/>
      <c r="E339" s="178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178"/>
      <c r="B340" s="178"/>
      <c r="C340" s="178"/>
      <c r="D340" s="178"/>
      <c r="E340" s="178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178"/>
      <c r="B341" s="178"/>
      <c r="C341" s="178"/>
      <c r="D341" s="178"/>
      <c r="E341" s="178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178"/>
      <c r="B342" s="178"/>
      <c r="C342" s="178"/>
      <c r="D342" s="178"/>
      <c r="E342" s="178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178"/>
      <c r="B343" s="178"/>
      <c r="C343" s="178"/>
      <c r="D343" s="178"/>
      <c r="E343" s="178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178"/>
      <c r="B344" s="178"/>
      <c r="C344" s="178"/>
      <c r="D344" s="178"/>
      <c r="E344" s="178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178"/>
      <c r="B345" s="178"/>
      <c r="C345" s="178"/>
      <c r="D345" s="178"/>
      <c r="E345" s="178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178"/>
      <c r="B346" s="178"/>
      <c r="C346" s="178"/>
      <c r="D346" s="178"/>
      <c r="E346" s="178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178"/>
      <c r="B347" s="178"/>
      <c r="C347" s="178"/>
      <c r="D347" s="178"/>
      <c r="E347" s="178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178"/>
      <c r="B348" s="178"/>
      <c r="C348" s="178"/>
      <c r="D348" s="178"/>
      <c r="E348" s="178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178"/>
      <c r="B349" s="178"/>
      <c r="C349" s="178"/>
      <c r="D349" s="178"/>
      <c r="E349" s="178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178"/>
      <c r="B350" s="178"/>
      <c r="C350" s="178"/>
      <c r="D350" s="178"/>
      <c r="E350" s="178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178"/>
      <c r="B351" s="178"/>
      <c r="C351" s="178"/>
      <c r="D351" s="178"/>
      <c r="E351" s="178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178"/>
      <c r="B352" s="178"/>
      <c r="C352" s="178"/>
      <c r="D352" s="178"/>
      <c r="E352" s="178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178"/>
      <c r="B353" s="178"/>
      <c r="C353" s="178"/>
      <c r="D353" s="178"/>
      <c r="E353" s="178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178"/>
      <c r="B354" s="178"/>
      <c r="C354" s="178"/>
      <c r="D354" s="178"/>
      <c r="E354" s="178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178"/>
      <c r="B355" s="178"/>
      <c r="C355" s="178"/>
      <c r="D355" s="178"/>
      <c r="E355" s="178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178"/>
      <c r="B356" s="178"/>
      <c r="C356" s="178"/>
      <c r="D356" s="178"/>
      <c r="E356" s="178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178"/>
      <c r="B357" s="178"/>
      <c r="C357" s="178"/>
      <c r="D357" s="178"/>
      <c r="E357" s="178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178"/>
      <c r="B358" s="178"/>
      <c r="C358" s="178"/>
      <c r="D358" s="178"/>
      <c r="E358" s="178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178"/>
      <c r="B359" s="178"/>
      <c r="C359" s="178"/>
      <c r="D359" s="178"/>
      <c r="E359" s="178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178"/>
      <c r="B360" s="178"/>
      <c r="C360" s="178"/>
      <c r="D360" s="178"/>
      <c r="E360" s="178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178"/>
      <c r="B361" s="178"/>
      <c r="C361" s="178"/>
      <c r="D361" s="178"/>
      <c r="E361" s="178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178"/>
      <c r="B362" s="178"/>
      <c r="C362" s="178"/>
      <c r="D362" s="178"/>
      <c r="E362" s="178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178"/>
      <c r="B363" s="178"/>
      <c r="C363" s="178"/>
      <c r="D363" s="178"/>
      <c r="E363" s="178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178"/>
      <c r="B364" s="178"/>
      <c r="C364" s="178"/>
      <c r="D364" s="178"/>
      <c r="E364" s="178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178"/>
      <c r="B365" s="178"/>
      <c r="C365" s="178"/>
      <c r="D365" s="178"/>
      <c r="E365" s="178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178"/>
      <c r="B366" s="178"/>
      <c r="C366" s="178"/>
      <c r="D366" s="178"/>
      <c r="E366" s="178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178"/>
      <c r="B367" s="178"/>
      <c r="C367" s="178"/>
      <c r="D367" s="178"/>
      <c r="E367" s="178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178"/>
      <c r="B368" s="178"/>
      <c r="C368" s="178"/>
      <c r="D368" s="178"/>
      <c r="E368" s="178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178"/>
      <c r="B369" s="178"/>
      <c r="C369" s="178"/>
      <c r="D369" s="178"/>
      <c r="E369" s="178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178"/>
      <c r="B370" s="178"/>
      <c r="C370" s="178"/>
      <c r="D370" s="178"/>
      <c r="E370" s="178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178"/>
      <c r="B371" s="178"/>
      <c r="C371" s="178"/>
      <c r="D371" s="178"/>
      <c r="E371" s="178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178"/>
      <c r="B372" s="178"/>
      <c r="C372" s="178"/>
      <c r="D372" s="178"/>
      <c r="E372" s="178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178"/>
      <c r="B373" s="178"/>
      <c r="C373" s="178"/>
      <c r="D373" s="178"/>
      <c r="E373" s="178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178"/>
      <c r="B374" s="178"/>
      <c r="C374" s="178"/>
      <c r="D374" s="178"/>
      <c r="E374" s="178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178"/>
      <c r="B375" s="178"/>
      <c r="C375" s="178"/>
      <c r="D375" s="178"/>
      <c r="E375" s="178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178"/>
      <c r="B376" s="178"/>
      <c r="C376" s="178"/>
      <c r="D376" s="178"/>
      <c r="E376" s="178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178"/>
      <c r="B377" s="178"/>
      <c r="C377" s="178"/>
      <c r="D377" s="178"/>
      <c r="E377" s="178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178"/>
      <c r="B378" s="178"/>
      <c r="C378" s="178"/>
      <c r="D378" s="178"/>
      <c r="E378" s="178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178"/>
      <c r="B379" s="178"/>
      <c r="C379" s="178"/>
      <c r="D379" s="178"/>
      <c r="E379" s="178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178"/>
      <c r="B380" s="178"/>
      <c r="C380" s="178"/>
      <c r="D380" s="178"/>
      <c r="E380" s="178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178"/>
      <c r="B381" s="178"/>
      <c r="C381" s="178"/>
      <c r="D381" s="178"/>
      <c r="E381" s="178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178"/>
      <c r="B382" s="178"/>
      <c r="C382" s="178"/>
      <c r="D382" s="178"/>
      <c r="E382" s="178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178"/>
      <c r="B383" s="178"/>
      <c r="C383" s="178"/>
      <c r="D383" s="178"/>
      <c r="E383" s="178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178"/>
      <c r="B384" s="178"/>
      <c r="C384" s="178"/>
      <c r="D384" s="178"/>
      <c r="E384" s="178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178"/>
      <c r="B385" s="178"/>
      <c r="C385" s="178"/>
      <c r="D385" s="178"/>
      <c r="E385" s="178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178"/>
      <c r="B386" s="178"/>
      <c r="C386" s="178"/>
      <c r="D386" s="178"/>
      <c r="E386" s="178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178"/>
      <c r="B387" s="178"/>
      <c r="C387" s="178"/>
      <c r="D387" s="178"/>
      <c r="E387" s="178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178"/>
      <c r="B388" s="178"/>
      <c r="C388" s="178"/>
      <c r="D388" s="178"/>
      <c r="E388" s="178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178"/>
      <c r="B389" s="178"/>
      <c r="C389" s="178"/>
      <c r="D389" s="178"/>
      <c r="E389" s="178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178"/>
      <c r="B390" s="178"/>
      <c r="C390" s="178"/>
      <c r="D390" s="178"/>
      <c r="E390" s="178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178"/>
      <c r="B391" s="178"/>
      <c r="C391" s="178"/>
      <c r="D391" s="178"/>
      <c r="E391" s="178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178"/>
      <c r="B392" s="178"/>
      <c r="C392" s="178"/>
      <c r="D392" s="178"/>
      <c r="E392" s="178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178"/>
      <c r="B393" s="178"/>
      <c r="C393" s="178"/>
      <c r="D393" s="178"/>
      <c r="E393" s="178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178"/>
      <c r="B394" s="178"/>
      <c r="C394" s="178"/>
      <c r="D394" s="178"/>
      <c r="E394" s="178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178"/>
      <c r="B395" s="178"/>
      <c r="C395" s="178"/>
      <c r="D395" s="178"/>
      <c r="E395" s="178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178"/>
      <c r="B396" s="178"/>
      <c r="C396" s="178"/>
      <c r="D396" s="178"/>
      <c r="E396" s="178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178"/>
      <c r="B397" s="178"/>
      <c r="C397" s="178"/>
      <c r="D397" s="178"/>
      <c r="E397" s="178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178"/>
      <c r="B398" s="178"/>
      <c r="C398" s="178"/>
      <c r="D398" s="178"/>
      <c r="E398" s="178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178"/>
      <c r="B399" s="178"/>
      <c r="C399" s="178"/>
      <c r="D399" s="178"/>
      <c r="E399" s="178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178"/>
      <c r="B400" s="178"/>
      <c r="C400" s="178"/>
      <c r="D400" s="178"/>
      <c r="E400" s="178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178"/>
      <c r="B401" s="178"/>
      <c r="C401" s="178"/>
      <c r="D401" s="178"/>
      <c r="E401" s="178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178"/>
      <c r="B402" s="178"/>
      <c r="C402" s="178"/>
      <c r="D402" s="178"/>
      <c r="E402" s="178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178"/>
      <c r="B403" s="178"/>
      <c r="C403" s="178"/>
      <c r="D403" s="178"/>
      <c r="E403" s="178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178"/>
      <c r="B404" s="178"/>
      <c r="C404" s="178"/>
      <c r="D404" s="178"/>
      <c r="E404" s="178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178"/>
      <c r="B405" s="178"/>
      <c r="C405" s="178"/>
      <c r="D405" s="178"/>
      <c r="E405" s="178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178"/>
      <c r="B406" s="178"/>
      <c r="C406" s="178"/>
      <c r="D406" s="178"/>
      <c r="E406" s="178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178"/>
      <c r="B407" s="178"/>
      <c r="C407" s="178"/>
      <c r="D407" s="178"/>
      <c r="E407" s="178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178"/>
      <c r="B408" s="178"/>
      <c r="C408" s="178"/>
      <c r="D408" s="178"/>
      <c r="E408" s="178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178"/>
      <c r="B409" s="178"/>
      <c r="C409" s="178"/>
      <c r="D409" s="178"/>
      <c r="E409" s="178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178"/>
      <c r="B410" s="178"/>
      <c r="C410" s="178"/>
      <c r="D410" s="178"/>
      <c r="E410" s="178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178"/>
      <c r="B411" s="178"/>
      <c r="C411" s="178"/>
      <c r="D411" s="178"/>
      <c r="E411" s="178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178"/>
      <c r="B412" s="178"/>
      <c r="C412" s="178"/>
      <c r="D412" s="178"/>
      <c r="E412" s="178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178"/>
      <c r="B413" s="178"/>
      <c r="C413" s="178"/>
      <c r="D413" s="178"/>
      <c r="E413" s="178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178"/>
      <c r="B414" s="178"/>
      <c r="C414" s="178"/>
      <c r="D414" s="178"/>
      <c r="E414" s="178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178"/>
      <c r="B415" s="178"/>
      <c r="C415" s="178"/>
      <c r="D415" s="178"/>
      <c r="E415" s="178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178"/>
      <c r="B416" s="178"/>
      <c r="C416" s="178"/>
      <c r="D416" s="178"/>
      <c r="E416" s="178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178"/>
      <c r="B417" s="178"/>
      <c r="C417" s="178"/>
      <c r="D417" s="178"/>
      <c r="E417" s="178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178"/>
      <c r="B418" s="178"/>
      <c r="C418" s="178"/>
      <c r="D418" s="178"/>
      <c r="E418" s="178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178"/>
      <c r="B419" s="178"/>
      <c r="C419" s="178"/>
      <c r="D419" s="178"/>
      <c r="E419" s="178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178"/>
      <c r="B420" s="178"/>
      <c r="C420" s="178"/>
      <c r="D420" s="178"/>
      <c r="E420" s="178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178"/>
      <c r="B421" s="178"/>
      <c r="C421" s="178"/>
      <c r="D421" s="178"/>
      <c r="E421" s="178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178"/>
      <c r="B422" s="178"/>
      <c r="C422" s="178"/>
      <c r="D422" s="178"/>
      <c r="E422" s="178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178"/>
      <c r="B423" s="178"/>
      <c r="C423" s="178"/>
      <c r="D423" s="178"/>
      <c r="E423" s="178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178"/>
      <c r="B424" s="178"/>
      <c r="C424" s="178"/>
      <c r="D424" s="178"/>
      <c r="E424" s="178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178"/>
      <c r="B425" s="178"/>
      <c r="C425" s="178"/>
      <c r="D425" s="178"/>
      <c r="E425" s="178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178"/>
      <c r="B426" s="178"/>
      <c r="C426" s="178"/>
      <c r="D426" s="178"/>
      <c r="E426" s="178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178"/>
      <c r="B427" s="178"/>
      <c r="C427" s="178"/>
      <c r="D427" s="178"/>
      <c r="E427" s="178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178"/>
      <c r="B428" s="178"/>
      <c r="C428" s="178"/>
      <c r="D428" s="178"/>
      <c r="E428" s="178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178"/>
      <c r="B429" s="178"/>
      <c r="C429" s="178"/>
      <c r="D429" s="178"/>
      <c r="E429" s="178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178"/>
      <c r="B430" s="178"/>
      <c r="C430" s="178"/>
      <c r="D430" s="178"/>
      <c r="E430" s="178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178"/>
      <c r="B431" s="178"/>
      <c r="C431" s="178"/>
      <c r="D431" s="178"/>
      <c r="E431" s="178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178"/>
      <c r="B432" s="178"/>
      <c r="C432" s="178"/>
      <c r="D432" s="178"/>
      <c r="E432" s="178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178"/>
      <c r="B433" s="178"/>
      <c r="C433" s="178"/>
      <c r="D433" s="178"/>
      <c r="E433" s="178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178"/>
      <c r="B434" s="178"/>
      <c r="C434" s="178"/>
      <c r="D434" s="178"/>
      <c r="E434" s="178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178"/>
      <c r="B435" s="178"/>
      <c r="C435" s="178"/>
      <c r="D435" s="178"/>
      <c r="E435" s="178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178"/>
      <c r="B436" s="178"/>
      <c r="C436" s="178"/>
      <c r="D436" s="178"/>
      <c r="E436" s="178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178"/>
      <c r="B437" s="178"/>
      <c r="C437" s="178"/>
      <c r="D437" s="178"/>
      <c r="E437" s="178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178"/>
      <c r="B438" s="178"/>
      <c r="C438" s="178"/>
      <c r="D438" s="178"/>
      <c r="E438" s="178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178"/>
      <c r="B439" s="178"/>
      <c r="C439" s="178"/>
      <c r="D439" s="178"/>
      <c r="E439" s="178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178"/>
      <c r="B440" s="178"/>
      <c r="C440" s="178"/>
      <c r="D440" s="178"/>
      <c r="E440" s="178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178"/>
      <c r="B441" s="178"/>
      <c r="C441" s="178"/>
      <c r="D441" s="178"/>
      <c r="E441" s="178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178"/>
      <c r="B442" s="178"/>
      <c r="C442" s="178"/>
      <c r="D442" s="178"/>
      <c r="E442" s="178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178"/>
      <c r="B443" s="178"/>
      <c r="C443" s="178"/>
      <c r="D443" s="178"/>
      <c r="E443" s="178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178"/>
      <c r="B444" s="178"/>
      <c r="C444" s="178"/>
      <c r="D444" s="178"/>
      <c r="E444" s="178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178"/>
      <c r="B445" s="178"/>
      <c r="C445" s="178"/>
      <c r="D445" s="178"/>
      <c r="E445" s="178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178"/>
      <c r="B446" s="178"/>
      <c r="C446" s="178"/>
      <c r="D446" s="178"/>
      <c r="E446" s="178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178"/>
      <c r="B447" s="178"/>
      <c r="C447" s="178"/>
      <c r="D447" s="178"/>
      <c r="E447" s="178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178"/>
      <c r="B448" s="178"/>
      <c r="C448" s="178"/>
      <c r="D448" s="178"/>
      <c r="E448" s="178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178"/>
      <c r="B449" s="178"/>
      <c r="C449" s="178"/>
      <c r="D449" s="178"/>
      <c r="E449" s="178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178"/>
      <c r="B450" s="178"/>
      <c r="C450" s="178"/>
      <c r="D450" s="178"/>
      <c r="E450" s="178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178"/>
      <c r="B451" s="178"/>
      <c r="C451" s="178"/>
      <c r="D451" s="178"/>
      <c r="E451" s="178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178"/>
      <c r="B452" s="178"/>
      <c r="C452" s="178"/>
      <c r="D452" s="178"/>
      <c r="E452" s="178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178"/>
      <c r="B453" s="178"/>
      <c r="C453" s="178"/>
      <c r="D453" s="178"/>
      <c r="E453" s="178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178"/>
      <c r="B454" s="178"/>
      <c r="C454" s="178"/>
      <c r="D454" s="178"/>
      <c r="E454" s="178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178"/>
      <c r="B455" s="178"/>
      <c r="C455" s="178"/>
      <c r="D455" s="178"/>
      <c r="E455" s="178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178"/>
      <c r="B456" s="178"/>
      <c r="C456" s="178"/>
      <c r="D456" s="178"/>
      <c r="E456" s="178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178"/>
      <c r="B457" s="178"/>
      <c r="C457" s="178"/>
      <c r="D457" s="178"/>
      <c r="E457" s="178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178"/>
      <c r="B458" s="178"/>
      <c r="C458" s="178"/>
      <c r="D458" s="178"/>
      <c r="E458" s="178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178"/>
      <c r="B459" s="178"/>
      <c r="C459" s="178"/>
      <c r="D459" s="178"/>
      <c r="E459" s="178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178"/>
      <c r="B460" s="178"/>
      <c r="C460" s="178"/>
      <c r="D460" s="178"/>
      <c r="E460" s="178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178"/>
      <c r="B461" s="178"/>
      <c r="C461" s="178"/>
      <c r="D461" s="178"/>
      <c r="E461" s="178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178"/>
      <c r="B462" s="178"/>
      <c r="C462" s="178"/>
      <c r="D462" s="178"/>
      <c r="E462" s="178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178"/>
      <c r="B463" s="178"/>
      <c r="C463" s="178"/>
      <c r="D463" s="178"/>
      <c r="E463" s="178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178"/>
      <c r="B464" s="178"/>
      <c r="C464" s="178"/>
      <c r="D464" s="178"/>
      <c r="E464" s="178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178"/>
      <c r="B465" s="178"/>
      <c r="C465" s="178"/>
      <c r="D465" s="178"/>
      <c r="E465" s="178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178"/>
      <c r="B466" s="178"/>
      <c r="C466" s="178"/>
      <c r="D466" s="178"/>
      <c r="E466" s="178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178"/>
      <c r="B467" s="178"/>
      <c r="C467" s="178"/>
      <c r="D467" s="178"/>
      <c r="E467" s="178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178"/>
      <c r="B468" s="178"/>
      <c r="C468" s="178"/>
      <c r="D468" s="178"/>
      <c r="E468" s="178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178"/>
      <c r="B469" s="178"/>
      <c r="C469" s="178"/>
      <c r="D469" s="178"/>
      <c r="E469" s="178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178"/>
      <c r="B470" s="178"/>
      <c r="C470" s="178"/>
      <c r="D470" s="178"/>
      <c r="E470" s="178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178"/>
      <c r="B471" s="178"/>
      <c r="C471" s="178"/>
      <c r="D471" s="178"/>
      <c r="E471" s="178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178"/>
      <c r="B472" s="178"/>
      <c r="C472" s="178"/>
      <c r="D472" s="178"/>
      <c r="E472" s="178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178"/>
      <c r="B473" s="178"/>
      <c r="C473" s="178"/>
      <c r="D473" s="178"/>
      <c r="E473" s="178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178"/>
      <c r="B474" s="178"/>
      <c r="C474" s="178"/>
      <c r="D474" s="178"/>
      <c r="E474" s="178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178"/>
      <c r="B475" s="178"/>
      <c r="C475" s="178"/>
      <c r="D475" s="178"/>
      <c r="E475" s="178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178"/>
      <c r="B476" s="178"/>
      <c r="C476" s="178"/>
      <c r="D476" s="178"/>
      <c r="E476" s="178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178"/>
      <c r="B477" s="178"/>
      <c r="C477" s="178"/>
      <c r="D477" s="178"/>
      <c r="E477" s="178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178"/>
      <c r="B478" s="178"/>
      <c r="C478" s="178"/>
      <c r="D478" s="178"/>
      <c r="E478" s="178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178"/>
      <c r="B479" s="178"/>
      <c r="C479" s="178"/>
      <c r="D479" s="178"/>
      <c r="E479" s="178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178"/>
      <c r="B480" s="178"/>
      <c r="C480" s="178"/>
      <c r="D480" s="178"/>
      <c r="E480" s="178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178"/>
      <c r="B481" s="178"/>
      <c r="C481" s="178"/>
      <c r="D481" s="178"/>
      <c r="E481" s="178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178"/>
      <c r="B482" s="178"/>
      <c r="C482" s="178"/>
      <c r="D482" s="178"/>
      <c r="E482" s="178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178"/>
      <c r="B483" s="178"/>
      <c r="C483" s="178"/>
      <c r="D483" s="178"/>
      <c r="E483" s="178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178"/>
      <c r="B484" s="178"/>
      <c r="C484" s="178"/>
      <c r="D484" s="178"/>
      <c r="E484" s="178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178"/>
      <c r="B485" s="178"/>
      <c r="C485" s="178"/>
      <c r="D485" s="178"/>
      <c r="E485" s="178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178"/>
      <c r="B486" s="178"/>
      <c r="C486" s="178"/>
      <c r="D486" s="178"/>
      <c r="E486" s="178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178"/>
      <c r="B487" s="178"/>
      <c r="C487" s="178"/>
      <c r="D487" s="178"/>
      <c r="E487" s="178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178"/>
      <c r="B488" s="178"/>
      <c r="C488" s="178"/>
      <c r="D488" s="178"/>
      <c r="E488" s="178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178"/>
      <c r="B489" s="178"/>
      <c r="C489" s="178"/>
      <c r="D489" s="178"/>
      <c r="E489" s="178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178"/>
      <c r="B490" s="178"/>
      <c r="C490" s="178"/>
      <c r="D490" s="178"/>
      <c r="E490" s="178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178"/>
      <c r="B491" s="178"/>
      <c r="C491" s="178"/>
      <c r="D491" s="178"/>
      <c r="E491" s="178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178"/>
      <c r="B492" s="178"/>
      <c r="C492" s="178"/>
      <c r="D492" s="178"/>
      <c r="E492" s="178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178"/>
      <c r="B493" s="178"/>
      <c r="C493" s="178"/>
      <c r="D493" s="178"/>
      <c r="E493" s="178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178"/>
      <c r="B494" s="178"/>
      <c r="C494" s="178"/>
      <c r="D494" s="178"/>
      <c r="E494" s="178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178"/>
      <c r="B495" s="178"/>
      <c r="C495" s="178"/>
      <c r="D495" s="178"/>
      <c r="E495" s="178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178"/>
      <c r="B496" s="178"/>
      <c r="C496" s="178"/>
      <c r="D496" s="178"/>
      <c r="E496" s="178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178"/>
      <c r="B497" s="178"/>
      <c r="C497" s="178"/>
      <c r="D497" s="178"/>
      <c r="E497" s="178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178"/>
      <c r="B498" s="178"/>
      <c r="C498" s="178"/>
      <c r="D498" s="178"/>
      <c r="E498" s="178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178"/>
      <c r="B499" s="178"/>
      <c r="C499" s="178"/>
      <c r="D499" s="178"/>
      <c r="E499" s="178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178"/>
      <c r="B500" s="178"/>
      <c r="C500" s="178"/>
      <c r="D500" s="178"/>
      <c r="E500" s="178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178"/>
      <c r="B501" s="178"/>
      <c r="C501" s="178"/>
      <c r="D501" s="178"/>
      <c r="E501" s="178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178"/>
      <c r="B502" s="178"/>
      <c r="C502" s="178"/>
      <c r="D502" s="178"/>
      <c r="E502" s="178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178"/>
      <c r="B503" s="178"/>
      <c r="C503" s="178"/>
      <c r="D503" s="178"/>
      <c r="E503" s="178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178"/>
      <c r="B504" s="178"/>
      <c r="C504" s="178"/>
      <c r="D504" s="178"/>
      <c r="E504" s="178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178"/>
      <c r="B505" s="178"/>
      <c r="C505" s="178"/>
      <c r="D505" s="178"/>
      <c r="E505" s="178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178"/>
      <c r="B506" s="178"/>
      <c r="C506" s="178"/>
      <c r="D506" s="178"/>
      <c r="E506" s="178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178"/>
      <c r="B507" s="178"/>
      <c r="C507" s="178"/>
      <c r="D507" s="178"/>
      <c r="E507" s="178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178"/>
      <c r="B508" s="178"/>
      <c r="C508" s="178"/>
      <c r="D508" s="178"/>
      <c r="E508" s="178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178"/>
      <c r="B509" s="178"/>
      <c r="C509" s="178"/>
      <c r="D509" s="178"/>
      <c r="E509" s="178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178"/>
      <c r="B510" s="178"/>
      <c r="C510" s="178"/>
      <c r="D510" s="178"/>
      <c r="E510" s="178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178"/>
      <c r="B511" s="178"/>
      <c r="C511" s="178"/>
      <c r="D511" s="178"/>
      <c r="E511" s="178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178"/>
      <c r="B512" s="178"/>
      <c r="C512" s="178"/>
      <c r="D512" s="178"/>
      <c r="E512" s="178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178"/>
      <c r="B513" s="178"/>
      <c r="C513" s="178"/>
      <c r="D513" s="178"/>
      <c r="E513" s="178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178"/>
      <c r="B514" s="178"/>
      <c r="C514" s="178"/>
      <c r="D514" s="178"/>
      <c r="E514" s="178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178"/>
      <c r="B515" s="178"/>
      <c r="C515" s="178"/>
      <c r="D515" s="178"/>
      <c r="E515" s="178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178"/>
      <c r="B516" s="178"/>
      <c r="C516" s="178"/>
      <c r="D516" s="178"/>
      <c r="E516" s="178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178"/>
      <c r="B517" s="178"/>
      <c r="C517" s="178"/>
      <c r="D517" s="178"/>
      <c r="E517" s="178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178"/>
      <c r="B518" s="178"/>
      <c r="C518" s="178"/>
      <c r="D518" s="178"/>
      <c r="E518" s="178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178"/>
      <c r="B519" s="178"/>
      <c r="C519" s="178"/>
      <c r="D519" s="178"/>
      <c r="E519" s="178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178"/>
      <c r="B520" s="178"/>
      <c r="C520" s="178"/>
      <c r="D520" s="178"/>
      <c r="E520" s="178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178"/>
      <c r="B521" s="178"/>
      <c r="C521" s="178"/>
      <c r="D521" s="178"/>
      <c r="E521" s="178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178"/>
      <c r="B522" s="178"/>
      <c r="C522" s="178"/>
      <c r="D522" s="178"/>
      <c r="E522" s="178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178"/>
      <c r="B523" s="178"/>
      <c r="C523" s="178"/>
      <c r="D523" s="178"/>
      <c r="E523" s="178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178"/>
      <c r="B524" s="178"/>
      <c r="C524" s="178"/>
      <c r="D524" s="178"/>
      <c r="E524" s="178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178"/>
      <c r="B525" s="178"/>
      <c r="C525" s="178"/>
      <c r="D525" s="178"/>
      <c r="E525" s="178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178"/>
      <c r="B526" s="178"/>
      <c r="C526" s="178"/>
      <c r="D526" s="178"/>
      <c r="E526" s="178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178"/>
      <c r="B527" s="178"/>
      <c r="C527" s="178"/>
      <c r="D527" s="178"/>
      <c r="E527" s="178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178"/>
      <c r="B528" s="178"/>
      <c r="C528" s="178"/>
      <c r="D528" s="178"/>
      <c r="E528" s="178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178"/>
      <c r="B529" s="178"/>
      <c r="C529" s="178"/>
      <c r="D529" s="178"/>
      <c r="E529" s="178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178"/>
      <c r="B530" s="178"/>
      <c r="C530" s="178"/>
      <c r="D530" s="178"/>
      <c r="E530" s="178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178"/>
      <c r="B531" s="178"/>
      <c r="C531" s="178"/>
      <c r="D531" s="178"/>
      <c r="E531" s="178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178"/>
      <c r="B532" s="178"/>
      <c r="C532" s="178"/>
      <c r="D532" s="178"/>
      <c r="E532" s="178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178"/>
      <c r="B533" s="178"/>
      <c r="C533" s="178"/>
      <c r="D533" s="178"/>
      <c r="E533" s="178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178"/>
      <c r="B534" s="178"/>
      <c r="C534" s="178"/>
      <c r="D534" s="178"/>
      <c r="E534" s="178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178"/>
      <c r="B535" s="178"/>
      <c r="C535" s="178"/>
      <c r="D535" s="178"/>
      <c r="E535" s="178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178"/>
      <c r="B536" s="178"/>
      <c r="C536" s="178"/>
      <c r="D536" s="178"/>
      <c r="E536" s="178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178"/>
      <c r="B537" s="178"/>
      <c r="C537" s="178"/>
      <c r="D537" s="178"/>
      <c r="E537" s="178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178"/>
      <c r="B538" s="178"/>
      <c r="C538" s="178"/>
      <c r="D538" s="178"/>
      <c r="E538" s="178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178"/>
      <c r="B539" s="178"/>
      <c r="C539" s="178"/>
      <c r="D539" s="178"/>
      <c r="E539" s="178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178"/>
      <c r="B540" s="178"/>
      <c r="C540" s="178"/>
      <c r="D540" s="178"/>
      <c r="E540" s="178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178"/>
      <c r="B541" s="178"/>
      <c r="C541" s="178"/>
      <c r="D541" s="178"/>
      <c r="E541" s="178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178"/>
      <c r="B542" s="178"/>
      <c r="C542" s="178"/>
      <c r="D542" s="178"/>
      <c r="E542" s="178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178"/>
      <c r="B543" s="178"/>
      <c r="C543" s="178"/>
      <c r="D543" s="178"/>
      <c r="E543" s="178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178"/>
      <c r="B544" s="178"/>
      <c r="C544" s="178"/>
      <c r="D544" s="178"/>
      <c r="E544" s="178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178"/>
      <c r="B545" s="178"/>
      <c r="C545" s="178"/>
      <c r="D545" s="178"/>
      <c r="E545" s="178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178"/>
      <c r="B546" s="178"/>
      <c r="C546" s="178"/>
      <c r="D546" s="178"/>
      <c r="E546" s="178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178"/>
      <c r="B547" s="178"/>
      <c r="C547" s="178"/>
      <c r="D547" s="178"/>
      <c r="E547" s="178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178"/>
      <c r="B548" s="178"/>
      <c r="C548" s="178"/>
      <c r="D548" s="178"/>
      <c r="E548" s="178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178"/>
      <c r="B549" s="178"/>
      <c r="C549" s="178"/>
      <c r="D549" s="178"/>
      <c r="E549" s="178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178"/>
      <c r="B550" s="178"/>
      <c r="C550" s="178"/>
      <c r="D550" s="178"/>
      <c r="E550" s="178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178"/>
      <c r="B551" s="178"/>
      <c r="C551" s="178"/>
      <c r="D551" s="178"/>
      <c r="E551" s="178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178"/>
      <c r="B552" s="178"/>
      <c r="C552" s="178"/>
      <c r="D552" s="178"/>
      <c r="E552" s="178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178"/>
      <c r="B553" s="178"/>
      <c r="C553" s="178"/>
      <c r="D553" s="178"/>
      <c r="E553" s="178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178"/>
      <c r="B554" s="178"/>
      <c r="C554" s="178"/>
      <c r="D554" s="178"/>
      <c r="E554" s="178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178"/>
      <c r="B555" s="178"/>
      <c r="C555" s="178"/>
      <c r="D555" s="178"/>
      <c r="E555" s="178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178"/>
      <c r="B556" s="178"/>
      <c r="C556" s="178"/>
      <c r="D556" s="178"/>
      <c r="E556" s="178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178"/>
      <c r="B557" s="178"/>
      <c r="C557" s="178"/>
      <c r="D557" s="178"/>
      <c r="E557" s="178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178"/>
      <c r="B558" s="178"/>
      <c r="C558" s="178"/>
      <c r="D558" s="178"/>
      <c r="E558" s="178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178"/>
      <c r="B559" s="178"/>
      <c r="C559" s="178"/>
      <c r="D559" s="178"/>
      <c r="E559" s="178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178"/>
      <c r="B560" s="178"/>
      <c r="C560" s="178"/>
      <c r="D560" s="178"/>
      <c r="E560" s="178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178"/>
      <c r="B561" s="178"/>
      <c r="C561" s="178"/>
      <c r="D561" s="178"/>
      <c r="E561" s="178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178"/>
      <c r="B562" s="178"/>
      <c r="C562" s="178"/>
      <c r="D562" s="178"/>
      <c r="E562" s="178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178"/>
      <c r="B563" s="178"/>
      <c r="C563" s="178"/>
      <c r="D563" s="178"/>
      <c r="E563" s="178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178"/>
      <c r="B564" s="178"/>
      <c r="C564" s="178"/>
      <c r="D564" s="178"/>
      <c r="E564" s="178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178"/>
      <c r="B565" s="178"/>
      <c r="C565" s="178"/>
      <c r="D565" s="178"/>
      <c r="E565" s="178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178"/>
      <c r="B566" s="178"/>
      <c r="C566" s="178"/>
      <c r="D566" s="178"/>
      <c r="E566" s="178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178"/>
      <c r="B567" s="178"/>
      <c r="C567" s="178"/>
      <c r="D567" s="178"/>
      <c r="E567" s="178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178"/>
      <c r="B568" s="178"/>
      <c r="C568" s="178"/>
      <c r="D568" s="178"/>
      <c r="E568" s="178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178"/>
      <c r="B569" s="178"/>
      <c r="C569" s="178"/>
      <c r="D569" s="178"/>
      <c r="E569" s="178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178"/>
      <c r="B570" s="178"/>
      <c r="C570" s="178"/>
      <c r="D570" s="178"/>
      <c r="E570" s="178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178"/>
      <c r="B571" s="178"/>
      <c r="C571" s="178"/>
      <c r="D571" s="178"/>
      <c r="E571" s="178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178"/>
      <c r="B572" s="178"/>
      <c r="C572" s="178"/>
      <c r="D572" s="178"/>
      <c r="E572" s="178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178"/>
      <c r="B573" s="178"/>
      <c r="C573" s="178"/>
      <c r="D573" s="178"/>
      <c r="E573" s="178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178"/>
      <c r="B574" s="178"/>
      <c r="C574" s="178"/>
      <c r="D574" s="178"/>
      <c r="E574" s="178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178"/>
      <c r="B575" s="178"/>
      <c r="C575" s="178"/>
      <c r="D575" s="178"/>
      <c r="E575" s="178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178"/>
      <c r="B576" s="178"/>
      <c r="C576" s="178"/>
      <c r="D576" s="178"/>
      <c r="E576" s="178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178"/>
      <c r="B577" s="178"/>
      <c r="C577" s="178"/>
      <c r="D577" s="178"/>
      <c r="E577" s="178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178"/>
      <c r="B578" s="178"/>
      <c r="C578" s="178"/>
      <c r="D578" s="178"/>
      <c r="E578" s="178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178"/>
      <c r="B579" s="178"/>
      <c r="C579" s="178"/>
      <c r="D579" s="178"/>
      <c r="E579" s="178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178"/>
      <c r="B580" s="178"/>
      <c r="C580" s="178"/>
      <c r="D580" s="178"/>
      <c r="E580" s="178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178"/>
      <c r="B581" s="178"/>
      <c r="C581" s="178"/>
      <c r="D581" s="178"/>
      <c r="E581" s="178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178"/>
      <c r="B582" s="178"/>
      <c r="C582" s="178"/>
      <c r="D582" s="178"/>
      <c r="E582" s="178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178"/>
      <c r="B583" s="178"/>
      <c r="C583" s="178"/>
      <c r="D583" s="178"/>
      <c r="E583" s="178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178"/>
      <c r="B584" s="178"/>
      <c r="C584" s="178"/>
      <c r="D584" s="178"/>
      <c r="E584" s="178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178"/>
      <c r="B585" s="178"/>
      <c r="C585" s="178"/>
      <c r="D585" s="178"/>
      <c r="E585" s="178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178"/>
      <c r="B586" s="178"/>
      <c r="C586" s="178"/>
      <c r="D586" s="178"/>
      <c r="E586" s="178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178"/>
      <c r="B587" s="178"/>
      <c r="C587" s="178"/>
      <c r="D587" s="178"/>
      <c r="E587" s="178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178"/>
      <c r="B588" s="178"/>
      <c r="C588" s="178"/>
      <c r="D588" s="178"/>
      <c r="E588" s="178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178"/>
      <c r="B589" s="178"/>
      <c r="C589" s="178"/>
      <c r="D589" s="178"/>
      <c r="E589" s="178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178"/>
      <c r="B590" s="178"/>
      <c r="C590" s="178"/>
      <c r="D590" s="178"/>
      <c r="E590" s="178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178"/>
      <c r="B591" s="178"/>
      <c r="C591" s="178"/>
      <c r="D591" s="178"/>
      <c r="E591" s="178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178"/>
      <c r="B592" s="178"/>
      <c r="C592" s="178"/>
      <c r="D592" s="178"/>
      <c r="E592" s="178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178"/>
      <c r="B593" s="178"/>
      <c r="C593" s="178"/>
      <c r="D593" s="178"/>
      <c r="E593" s="178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178"/>
      <c r="B594" s="178"/>
      <c r="C594" s="178"/>
      <c r="D594" s="178"/>
      <c r="E594" s="178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178"/>
      <c r="B595" s="178"/>
      <c r="C595" s="178"/>
      <c r="D595" s="178"/>
      <c r="E595" s="178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178"/>
      <c r="B596" s="178"/>
      <c r="C596" s="178"/>
      <c r="D596" s="178"/>
      <c r="E596" s="178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178"/>
      <c r="B597" s="178"/>
      <c r="C597" s="178"/>
      <c r="D597" s="178"/>
      <c r="E597" s="178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178"/>
      <c r="B598" s="178"/>
      <c r="C598" s="178"/>
      <c r="D598" s="178"/>
      <c r="E598" s="178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178"/>
      <c r="B599" s="178"/>
      <c r="C599" s="178"/>
      <c r="D599" s="178"/>
      <c r="E599" s="178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178"/>
      <c r="B600" s="178"/>
      <c r="C600" s="178"/>
      <c r="D600" s="178"/>
      <c r="E600" s="178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178"/>
      <c r="B601" s="178"/>
      <c r="C601" s="178"/>
      <c r="D601" s="178"/>
      <c r="E601" s="178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178"/>
      <c r="B602" s="178"/>
      <c r="C602" s="178"/>
      <c r="D602" s="178"/>
      <c r="E602" s="178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178"/>
      <c r="B603" s="178"/>
      <c r="C603" s="178"/>
      <c r="D603" s="178"/>
      <c r="E603" s="178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178"/>
      <c r="B604" s="178"/>
      <c r="C604" s="178"/>
      <c r="D604" s="178"/>
      <c r="E604" s="178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178"/>
      <c r="B605" s="178"/>
      <c r="C605" s="178"/>
      <c r="D605" s="178"/>
      <c r="E605" s="178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178"/>
      <c r="B606" s="178"/>
      <c r="C606" s="178"/>
      <c r="D606" s="178"/>
      <c r="E606" s="178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178"/>
      <c r="B607" s="178"/>
      <c r="C607" s="178"/>
      <c r="D607" s="178"/>
      <c r="E607" s="178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178"/>
      <c r="B608" s="178"/>
      <c r="C608" s="178"/>
      <c r="D608" s="178"/>
      <c r="E608" s="178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178"/>
      <c r="B609" s="178"/>
      <c r="C609" s="178"/>
      <c r="D609" s="178"/>
      <c r="E609" s="178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178"/>
      <c r="B610" s="178"/>
      <c r="C610" s="178"/>
      <c r="D610" s="178"/>
      <c r="E610" s="178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178"/>
      <c r="B611" s="178"/>
      <c r="C611" s="178"/>
      <c r="D611" s="178"/>
      <c r="E611" s="178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178"/>
      <c r="B612" s="178"/>
      <c r="C612" s="178"/>
      <c r="D612" s="178"/>
      <c r="E612" s="178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178"/>
      <c r="B613" s="178"/>
      <c r="C613" s="178"/>
      <c r="D613" s="178"/>
      <c r="E613" s="178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178"/>
      <c r="B614" s="178"/>
      <c r="C614" s="178"/>
      <c r="D614" s="178"/>
      <c r="E614" s="178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178"/>
      <c r="B615" s="178"/>
      <c r="C615" s="178"/>
      <c r="D615" s="178"/>
      <c r="E615" s="178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178"/>
      <c r="B616" s="178"/>
      <c r="C616" s="178"/>
      <c r="D616" s="178"/>
      <c r="E616" s="178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178"/>
      <c r="B617" s="178"/>
      <c r="C617" s="178"/>
      <c r="D617" s="178"/>
      <c r="E617" s="178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178"/>
      <c r="B618" s="178"/>
      <c r="C618" s="178"/>
      <c r="D618" s="178"/>
      <c r="E618" s="178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178"/>
      <c r="B619" s="178"/>
      <c r="C619" s="178"/>
      <c r="D619" s="178"/>
      <c r="E619" s="178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178"/>
      <c r="B620" s="178"/>
      <c r="C620" s="178"/>
      <c r="D620" s="178"/>
      <c r="E620" s="178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178"/>
      <c r="B621" s="178"/>
      <c r="C621" s="178"/>
      <c r="D621" s="178"/>
      <c r="E621" s="178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178"/>
      <c r="B622" s="178"/>
      <c r="C622" s="178"/>
      <c r="D622" s="178"/>
      <c r="E622" s="178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178"/>
      <c r="B623" s="178"/>
      <c r="C623" s="178"/>
      <c r="D623" s="178"/>
      <c r="E623" s="178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178"/>
      <c r="B624" s="178"/>
      <c r="C624" s="178"/>
      <c r="D624" s="178"/>
      <c r="E624" s="178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178"/>
      <c r="B625" s="178"/>
      <c r="C625" s="178"/>
      <c r="D625" s="178"/>
      <c r="E625" s="178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178"/>
      <c r="B626" s="178"/>
      <c r="C626" s="178"/>
      <c r="D626" s="178"/>
      <c r="E626" s="178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178"/>
      <c r="B627" s="178"/>
      <c r="C627" s="178"/>
      <c r="D627" s="178"/>
      <c r="E627" s="178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178"/>
      <c r="B628" s="178"/>
      <c r="C628" s="178"/>
      <c r="D628" s="178"/>
      <c r="E628" s="178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178"/>
      <c r="B629" s="178"/>
      <c r="C629" s="178"/>
      <c r="D629" s="178"/>
      <c r="E629" s="178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178"/>
      <c r="B630" s="178"/>
      <c r="C630" s="178"/>
      <c r="D630" s="178"/>
      <c r="E630" s="178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178"/>
      <c r="B631" s="178"/>
      <c r="C631" s="178"/>
      <c r="D631" s="178"/>
      <c r="E631" s="178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178"/>
      <c r="B632" s="178"/>
      <c r="C632" s="178"/>
      <c r="D632" s="178"/>
      <c r="E632" s="178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178"/>
      <c r="B633" s="178"/>
      <c r="C633" s="178"/>
      <c r="D633" s="178"/>
      <c r="E633" s="178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178"/>
      <c r="B634" s="178"/>
      <c r="C634" s="178"/>
      <c r="D634" s="178"/>
      <c r="E634" s="178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178"/>
      <c r="B635" s="178"/>
      <c r="C635" s="178"/>
      <c r="D635" s="178"/>
      <c r="E635" s="178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178"/>
      <c r="B636" s="178"/>
      <c r="C636" s="178"/>
      <c r="D636" s="178"/>
      <c r="E636" s="178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178"/>
      <c r="B637" s="178"/>
      <c r="C637" s="178"/>
      <c r="D637" s="178"/>
      <c r="E637" s="178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178"/>
      <c r="B638" s="178"/>
      <c r="C638" s="178"/>
      <c r="D638" s="178"/>
      <c r="E638" s="178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178"/>
      <c r="B639" s="178"/>
      <c r="C639" s="178"/>
      <c r="D639" s="178"/>
      <c r="E639" s="178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178"/>
      <c r="B640" s="178"/>
      <c r="C640" s="178"/>
      <c r="D640" s="178"/>
      <c r="E640" s="178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178"/>
      <c r="B641" s="178"/>
      <c r="C641" s="178"/>
      <c r="D641" s="178"/>
      <c r="E641" s="178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178"/>
      <c r="B642" s="178"/>
      <c r="C642" s="178"/>
      <c r="D642" s="178"/>
      <c r="E642" s="178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178"/>
      <c r="B643" s="178"/>
      <c r="C643" s="178"/>
      <c r="D643" s="178"/>
      <c r="E643" s="178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178"/>
      <c r="B644" s="178"/>
      <c r="C644" s="178"/>
      <c r="D644" s="178"/>
      <c r="E644" s="178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178"/>
      <c r="B645" s="178"/>
      <c r="C645" s="178"/>
      <c r="D645" s="178"/>
      <c r="E645" s="178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178"/>
      <c r="B646" s="178"/>
      <c r="C646" s="178"/>
      <c r="D646" s="178"/>
      <c r="E646" s="178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178"/>
      <c r="B647" s="178"/>
      <c r="C647" s="178"/>
      <c r="D647" s="178"/>
      <c r="E647" s="178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178"/>
      <c r="B648" s="178"/>
      <c r="C648" s="178"/>
      <c r="D648" s="178"/>
      <c r="E648" s="178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178"/>
      <c r="B649" s="178"/>
      <c r="C649" s="178"/>
      <c r="D649" s="178"/>
      <c r="E649" s="178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178"/>
      <c r="B650" s="178"/>
      <c r="C650" s="178"/>
      <c r="D650" s="178"/>
      <c r="E650" s="178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178"/>
      <c r="B651" s="178"/>
      <c r="C651" s="178"/>
      <c r="D651" s="178"/>
      <c r="E651" s="178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178"/>
      <c r="B652" s="178"/>
      <c r="C652" s="178"/>
      <c r="D652" s="178"/>
      <c r="E652" s="178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178"/>
      <c r="B653" s="178"/>
      <c r="C653" s="178"/>
      <c r="D653" s="178"/>
      <c r="E653" s="178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178"/>
      <c r="B654" s="178"/>
      <c r="C654" s="178"/>
      <c r="D654" s="178"/>
      <c r="E654" s="178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178"/>
      <c r="B655" s="178"/>
      <c r="C655" s="178"/>
      <c r="D655" s="178"/>
      <c r="E655" s="178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178"/>
      <c r="B656" s="178"/>
      <c r="C656" s="178"/>
      <c r="D656" s="178"/>
      <c r="E656" s="178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178"/>
      <c r="B657" s="178"/>
      <c r="C657" s="178"/>
      <c r="D657" s="178"/>
      <c r="E657" s="178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178"/>
      <c r="B658" s="178"/>
      <c r="C658" s="178"/>
      <c r="D658" s="178"/>
      <c r="E658" s="178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178"/>
      <c r="B659" s="178"/>
      <c r="C659" s="178"/>
      <c r="D659" s="178"/>
      <c r="E659" s="178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178"/>
      <c r="B660" s="178"/>
      <c r="C660" s="178"/>
      <c r="D660" s="178"/>
      <c r="E660" s="178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178"/>
      <c r="B661" s="178"/>
      <c r="C661" s="178"/>
      <c r="D661" s="178"/>
      <c r="E661" s="178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178"/>
      <c r="B662" s="178"/>
      <c r="C662" s="178"/>
      <c r="D662" s="178"/>
      <c r="E662" s="178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178"/>
      <c r="B663" s="178"/>
      <c r="C663" s="178"/>
      <c r="D663" s="178"/>
      <c r="E663" s="178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178"/>
      <c r="B664" s="178"/>
      <c r="C664" s="178"/>
      <c r="D664" s="178"/>
      <c r="E664" s="178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178"/>
      <c r="B665" s="178"/>
      <c r="C665" s="178"/>
      <c r="D665" s="178"/>
      <c r="E665" s="178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178"/>
      <c r="B666" s="178"/>
      <c r="C666" s="178"/>
      <c r="D666" s="178"/>
      <c r="E666" s="178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178"/>
      <c r="B667" s="178"/>
      <c r="C667" s="178"/>
      <c r="D667" s="178"/>
      <c r="E667" s="178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178"/>
      <c r="B668" s="178"/>
      <c r="C668" s="178"/>
      <c r="D668" s="178"/>
      <c r="E668" s="178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178"/>
      <c r="B669" s="178"/>
      <c r="C669" s="178"/>
      <c r="D669" s="178"/>
      <c r="E669" s="178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178"/>
      <c r="B670" s="178"/>
      <c r="C670" s="178"/>
      <c r="D670" s="178"/>
      <c r="E670" s="178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178"/>
      <c r="B671" s="178"/>
      <c r="C671" s="178"/>
      <c r="D671" s="178"/>
      <c r="E671" s="178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178"/>
      <c r="B672" s="178"/>
      <c r="C672" s="178"/>
      <c r="D672" s="178"/>
      <c r="E672" s="178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178"/>
      <c r="B673" s="178"/>
      <c r="C673" s="178"/>
      <c r="D673" s="178"/>
      <c r="E673" s="178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178"/>
      <c r="B674" s="178"/>
      <c r="C674" s="178"/>
      <c r="D674" s="178"/>
      <c r="E674" s="178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178"/>
      <c r="B675" s="178"/>
      <c r="C675" s="178"/>
      <c r="D675" s="178"/>
      <c r="E675" s="178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178"/>
      <c r="B676" s="178"/>
      <c r="C676" s="178"/>
      <c r="D676" s="178"/>
      <c r="E676" s="178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178"/>
      <c r="B677" s="178"/>
      <c r="C677" s="178"/>
      <c r="D677" s="178"/>
      <c r="E677" s="178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178"/>
      <c r="B678" s="178"/>
      <c r="C678" s="178"/>
      <c r="D678" s="178"/>
      <c r="E678" s="178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178"/>
      <c r="B679" s="178"/>
      <c r="C679" s="178"/>
      <c r="D679" s="178"/>
      <c r="E679" s="178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178"/>
      <c r="B680" s="178"/>
      <c r="C680" s="178"/>
      <c r="D680" s="178"/>
      <c r="E680" s="178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178"/>
      <c r="B681" s="178"/>
      <c r="C681" s="178"/>
      <c r="D681" s="178"/>
      <c r="E681" s="178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178"/>
      <c r="B682" s="178"/>
      <c r="C682" s="178"/>
      <c r="D682" s="178"/>
      <c r="E682" s="178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178"/>
      <c r="B683" s="178"/>
      <c r="C683" s="178"/>
      <c r="D683" s="178"/>
      <c r="E683" s="178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178"/>
      <c r="B684" s="178"/>
      <c r="C684" s="178"/>
      <c r="D684" s="178"/>
      <c r="E684" s="178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178"/>
      <c r="B685" s="178"/>
      <c r="C685" s="178"/>
      <c r="D685" s="178"/>
      <c r="E685" s="178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178"/>
      <c r="B686" s="178"/>
      <c r="C686" s="178"/>
      <c r="D686" s="178"/>
      <c r="E686" s="178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178"/>
      <c r="B687" s="178"/>
      <c r="C687" s="178"/>
      <c r="D687" s="178"/>
      <c r="E687" s="178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178"/>
      <c r="B688" s="178"/>
      <c r="C688" s="178"/>
      <c r="D688" s="178"/>
      <c r="E688" s="178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178"/>
      <c r="B689" s="178"/>
      <c r="C689" s="178"/>
      <c r="D689" s="178"/>
      <c r="E689" s="178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178"/>
      <c r="B690" s="178"/>
      <c r="C690" s="178"/>
      <c r="D690" s="178"/>
      <c r="E690" s="178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178"/>
      <c r="B691" s="178"/>
      <c r="C691" s="178"/>
      <c r="D691" s="178"/>
      <c r="E691" s="178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178"/>
      <c r="B692" s="178"/>
      <c r="C692" s="178"/>
      <c r="D692" s="178"/>
      <c r="E692" s="178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178"/>
      <c r="B693" s="178"/>
      <c r="C693" s="178"/>
      <c r="D693" s="178"/>
      <c r="E693" s="178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178"/>
      <c r="B694" s="178"/>
      <c r="C694" s="178"/>
      <c r="D694" s="178"/>
      <c r="E694" s="178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178"/>
      <c r="B695" s="178"/>
      <c r="C695" s="178"/>
      <c r="D695" s="178"/>
      <c r="E695" s="178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178"/>
      <c r="B696" s="178"/>
      <c r="C696" s="178"/>
      <c r="D696" s="178"/>
      <c r="E696" s="178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178"/>
      <c r="B697" s="178"/>
      <c r="C697" s="178"/>
      <c r="D697" s="178"/>
      <c r="E697" s="178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178"/>
      <c r="B698" s="178"/>
      <c r="C698" s="178"/>
      <c r="D698" s="178"/>
      <c r="E698" s="178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178"/>
      <c r="B699" s="178"/>
      <c r="C699" s="178"/>
      <c r="D699" s="178"/>
      <c r="E699" s="178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178"/>
      <c r="B700" s="178"/>
      <c r="C700" s="178"/>
      <c r="D700" s="178"/>
      <c r="E700" s="178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178"/>
      <c r="B701" s="178"/>
      <c r="C701" s="178"/>
      <c r="D701" s="178"/>
      <c r="E701" s="178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178"/>
      <c r="B702" s="178"/>
      <c r="C702" s="178"/>
      <c r="D702" s="178"/>
      <c r="E702" s="178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178"/>
      <c r="B703" s="178"/>
      <c r="C703" s="178"/>
      <c r="D703" s="178"/>
      <c r="E703" s="178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178"/>
      <c r="B704" s="178"/>
      <c r="C704" s="178"/>
      <c r="D704" s="178"/>
      <c r="E704" s="178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178"/>
      <c r="B705" s="178"/>
      <c r="C705" s="178"/>
      <c r="D705" s="178"/>
      <c r="E705" s="178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178"/>
      <c r="B706" s="178"/>
      <c r="C706" s="178"/>
      <c r="D706" s="178"/>
      <c r="E706" s="178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178"/>
      <c r="B707" s="178"/>
      <c r="C707" s="178"/>
      <c r="D707" s="178"/>
      <c r="E707" s="178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178"/>
      <c r="B708" s="178"/>
      <c r="C708" s="178"/>
      <c r="D708" s="178"/>
      <c r="E708" s="178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178"/>
      <c r="B709" s="178"/>
      <c r="C709" s="178"/>
      <c r="D709" s="178"/>
      <c r="E709" s="178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178"/>
      <c r="B710" s="178"/>
      <c r="C710" s="178"/>
      <c r="D710" s="178"/>
      <c r="E710" s="178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178"/>
      <c r="B711" s="178"/>
      <c r="C711" s="178"/>
      <c r="D711" s="178"/>
      <c r="E711" s="178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178"/>
      <c r="B712" s="178"/>
      <c r="C712" s="178"/>
      <c r="D712" s="178"/>
      <c r="E712" s="178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178"/>
      <c r="B713" s="178"/>
      <c r="C713" s="178"/>
      <c r="D713" s="178"/>
      <c r="E713" s="178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178"/>
      <c r="B714" s="178"/>
      <c r="C714" s="178"/>
      <c r="D714" s="178"/>
      <c r="E714" s="178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178"/>
      <c r="B715" s="178"/>
      <c r="C715" s="178"/>
      <c r="D715" s="178"/>
      <c r="E715" s="178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178"/>
      <c r="B716" s="178"/>
      <c r="C716" s="178"/>
      <c r="D716" s="178"/>
      <c r="E716" s="178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178"/>
      <c r="B717" s="178"/>
      <c r="C717" s="178"/>
      <c r="D717" s="178"/>
      <c r="E717" s="178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178"/>
      <c r="B718" s="178"/>
      <c r="C718" s="178"/>
      <c r="D718" s="178"/>
      <c r="E718" s="178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178"/>
      <c r="B719" s="178"/>
      <c r="C719" s="178"/>
      <c r="D719" s="178"/>
      <c r="E719" s="178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178"/>
      <c r="B720" s="178"/>
      <c r="C720" s="178"/>
      <c r="D720" s="178"/>
      <c r="E720" s="178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178"/>
      <c r="B721" s="178"/>
      <c r="C721" s="178"/>
      <c r="D721" s="178"/>
      <c r="E721" s="178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178"/>
      <c r="B722" s="178"/>
      <c r="C722" s="178"/>
      <c r="D722" s="178"/>
      <c r="E722" s="178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178"/>
      <c r="B723" s="178"/>
      <c r="C723" s="178"/>
      <c r="D723" s="178"/>
      <c r="E723" s="178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178"/>
      <c r="B724" s="178"/>
      <c r="C724" s="178"/>
      <c r="D724" s="178"/>
      <c r="E724" s="178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178"/>
      <c r="B725" s="178"/>
      <c r="C725" s="178"/>
      <c r="D725" s="178"/>
      <c r="E725" s="178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178"/>
      <c r="B726" s="178"/>
      <c r="C726" s="178"/>
      <c r="D726" s="178"/>
      <c r="E726" s="178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178"/>
      <c r="B727" s="178"/>
      <c r="C727" s="178"/>
      <c r="D727" s="178"/>
      <c r="E727" s="178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178"/>
      <c r="B728" s="178"/>
      <c r="C728" s="178"/>
      <c r="D728" s="178"/>
      <c r="E728" s="178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178"/>
      <c r="B729" s="178"/>
      <c r="C729" s="178"/>
      <c r="D729" s="178"/>
      <c r="E729" s="178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178"/>
      <c r="B730" s="178"/>
      <c r="C730" s="178"/>
      <c r="D730" s="178"/>
      <c r="E730" s="178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178"/>
      <c r="B731" s="178"/>
      <c r="C731" s="178"/>
      <c r="D731" s="178"/>
      <c r="E731" s="178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178"/>
      <c r="B732" s="178"/>
      <c r="C732" s="178"/>
      <c r="D732" s="178"/>
      <c r="E732" s="178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178"/>
      <c r="B733" s="178"/>
      <c r="C733" s="178"/>
      <c r="D733" s="178"/>
      <c r="E733" s="178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178"/>
      <c r="B734" s="178"/>
      <c r="C734" s="178"/>
      <c r="D734" s="178"/>
      <c r="E734" s="178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178"/>
      <c r="B735" s="178"/>
      <c r="C735" s="178"/>
      <c r="D735" s="178"/>
      <c r="E735" s="178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178"/>
      <c r="B736" s="178"/>
      <c r="C736" s="178"/>
      <c r="D736" s="178"/>
      <c r="E736" s="178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178"/>
      <c r="B737" s="178"/>
      <c r="C737" s="178"/>
      <c r="D737" s="178"/>
      <c r="E737" s="178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178"/>
      <c r="B738" s="178"/>
      <c r="C738" s="178"/>
      <c r="D738" s="178"/>
      <c r="E738" s="178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178"/>
      <c r="B739" s="178"/>
      <c r="C739" s="178"/>
      <c r="D739" s="178"/>
      <c r="E739" s="178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178"/>
      <c r="B740" s="178"/>
      <c r="C740" s="178"/>
      <c r="D740" s="178"/>
      <c r="E740" s="178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178"/>
      <c r="B741" s="178"/>
      <c r="C741" s="178"/>
      <c r="D741" s="178"/>
      <c r="E741" s="178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178"/>
      <c r="B742" s="178"/>
      <c r="C742" s="178"/>
      <c r="D742" s="178"/>
      <c r="E742" s="178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178"/>
      <c r="B743" s="178"/>
      <c r="C743" s="178"/>
      <c r="D743" s="178"/>
      <c r="E743" s="178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178"/>
      <c r="B744" s="178"/>
      <c r="C744" s="178"/>
      <c r="D744" s="178"/>
      <c r="E744" s="178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178"/>
      <c r="B745" s="178"/>
      <c r="C745" s="178"/>
      <c r="D745" s="178"/>
      <c r="E745" s="178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178"/>
      <c r="B746" s="178"/>
      <c r="C746" s="178"/>
      <c r="D746" s="178"/>
      <c r="E746" s="178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178"/>
      <c r="B747" s="178"/>
      <c r="C747" s="178"/>
      <c r="D747" s="178"/>
      <c r="E747" s="178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178"/>
      <c r="B748" s="178"/>
      <c r="C748" s="178"/>
      <c r="D748" s="178"/>
      <c r="E748" s="178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178"/>
      <c r="B749" s="178"/>
      <c r="C749" s="178"/>
      <c r="D749" s="178"/>
      <c r="E749" s="178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178"/>
      <c r="B750" s="178"/>
      <c r="C750" s="178"/>
      <c r="D750" s="178"/>
      <c r="E750" s="178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178"/>
      <c r="B751" s="178"/>
      <c r="C751" s="178"/>
      <c r="D751" s="178"/>
      <c r="E751" s="178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178"/>
      <c r="B752" s="178"/>
      <c r="C752" s="178"/>
      <c r="D752" s="178"/>
      <c r="E752" s="178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178"/>
      <c r="B753" s="178"/>
      <c r="C753" s="178"/>
      <c r="D753" s="178"/>
      <c r="E753" s="178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178"/>
      <c r="B754" s="178"/>
      <c r="C754" s="178"/>
      <c r="D754" s="178"/>
      <c r="E754" s="178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178"/>
      <c r="B755" s="178"/>
      <c r="C755" s="178"/>
      <c r="D755" s="178"/>
      <c r="E755" s="178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178"/>
      <c r="B756" s="178"/>
      <c r="C756" s="178"/>
      <c r="D756" s="178"/>
      <c r="E756" s="178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178"/>
      <c r="B757" s="178"/>
      <c r="C757" s="178"/>
      <c r="D757" s="178"/>
      <c r="E757" s="178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178"/>
      <c r="B758" s="178"/>
      <c r="C758" s="178"/>
      <c r="D758" s="178"/>
      <c r="E758" s="178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178"/>
      <c r="B759" s="178"/>
      <c r="C759" s="178"/>
      <c r="D759" s="178"/>
      <c r="E759" s="178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178"/>
      <c r="B760" s="178"/>
      <c r="C760" s="178"/>
      <c r="D760" s="178"/>
      <c r="E760" s="178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178"/>
      <c r="B761" s="178"/>
      <c r="C761" s="178"/>
      <c r="D761" s="178"/>
      <c r="E761" s="178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178"/>
      <c r="B762" s="178"/>
      <c r="C762" s="178"/>
      <c r="D762" s="178"/>
      <c r="E762" s="178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178"/>
      <c r="B763" s="178"/>
      <c r="C763" s="178"/>
      <c r="D763" s="178"/>
      <c r="E763" s="178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178"/>
      <c r="B764" s="178"/>
      <c r="C764" s="178"/>
      <c r="D764" s="178"/>
      <c r="E764" s="178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178"/>
      <c r="B765" s="178"/>
      <c r="C765" s="178"/>
      <c r="D765" s="178"/>
      <c r="E765" s="178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178"/>
      <c r="B766" s="178"/>
      <c r="C766" s="178"/>
      <c r="D766" s="178"/>
      <c r="E766" s="178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178"/>
      <c r="B767" s="178"/>
      <c r="C767" s="178"/>
      <c r="D767" s="178"/>
      <c r="E767" s="178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178"/>
      <c r="B768" s="178"/>
      <c r="C768" s="178"/>
      <c r="D768" s="178"/>
      <c r="E768" s="178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178"/>
      <c r="B769" s="178"/>
      <c r="C769" s="178"/>
      <c r="D769" s="178"/>
      <c r="E769" s="178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178"/>
      <c r="B770" s="178"/>
      <c r="C770" s="178"/>
      <c r="D770" s="178"/>
      <c r="E770" s="178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178"/>
      <c r="B771" s="178"/>
      <c r="C771" s="178"/>
      <c r="D771" s="178"/>
      <c r="E771" s="178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178"/>
      <c r="B772" s="178"/>
      <c r="C772" s="178"/>
      <c r="D772" s="178"/>
      <c r="E772" s="178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178"/>
      <c r="B773" s="178"/>
      <c r="C773" s="178"/>
      <c r="D773" s="178"/>
      <c r="E773" s="178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178"/>
      <c r="B774" s="178"/>
      <c r="C774" s="178"/>
      <c r="D774" s="178"/>
      <c r="E774" s="178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178"/>
      <c r="B775" s="178"/>
      <c r="C775" s="178"/>
      <c r="D775" s="178"/>
      <c r="E775" s="178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178"/>
      <c r="B776" s="178"/>
      <c r="C776" s="178"/>
      <c r="D776" s="178"/>
      <c r="E776" s="178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178"/>
      <c r="B777" s="178"/>
      <c r="C777" s="178"/>
      <c r="D777" s="178"/>
      <c r="E777" s="178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178"/>
      <c r="B778" s="178"/>
      <c r="C778" s="178"/>
      <c r="D778" s="178"/>
      <c r="E778" s="178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178"/>
      <c r="B779" s="178"/>
      <c r="C779" s="178"/>
      <c r="D779" s="178"/>
      <c r="E779" s="178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178"/>
      <c r="B780" s="178"/>
      <c r="C780" s="178"/>
      <c r="D780" s="178"/>
      <c r="E780" s="178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178"/>
      <c r="B781" s="178"/>
      <c r="C781" s="178"/>
      <c r="D781" s="178"/>
      <c r="E781" s="178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178"/>
      <c r="B782" s="178"/>
      <c r="C782" s="178"/>
      <c r="D782" s="178"/>
      <c r="E782" s="178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178"/>
      <c r="B783" s="178"/>
      <c r="C783" s="178"/>
      <c r="D783" s="178"/>
      <c r="E783" s="178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178"/>
      <c r="B784" s="178"/>
      <c r="C784" s="178"/>
      <c r="D784" s="178"/>
      <c r="E784" s="178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178"/>
      <c r="B785" s="178"/>
      <c r="C785" s="178"/>
      <c r="D785" s="178"/>
      <c r="E785" s="178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178"/>
      <c r="B786" s="178"/>
      <c r="C786" s="178"/>
      <c r="D786" s="178"/>
      <c r="E786" s="178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178"/>
      <c r="B787" s="178"/>
      <c r="C787" s="178"/>
      <c r="D787" s="178"/>
      <c r="E787" s="178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178"/>
      <c r="B788" s="178"/>
      <c r="C788" s="178"/>
      <c r="D788" s="178"/>
      <c r="E788" s="178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178"/>
      <c r="B789" s="178"/>
      <c r="C789" s="178"/>
      <c r="D789" s="178"/>
      <c r="E789" s="178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178"/>
      <c r="B790" s="178"/>
      <c r="C790" s="178"/>
      <c r="D790" s="178"/>
      <c r="E790" s="178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178"/>
      <c r="B791" s="178"/>
      <c r="C791" s="178"/>
      <c r="D791" s="178"/>
      <c r="E791" s="178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178"/>
      <c r="B792" s="178"/>
      <c r="C792" s="178"/>
      <c r="D792" s="178"/>
      <c r="E792" s="178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178"/>
      <c r="B793" s="178"/>
      <c r="C793" s="178"/>
      <c r="D793" s="178"/>
      <c r="E793" s="178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178"/>
      <c r="B794" s="178"/>
      <c r="C794" s="178"/>
      <c r="D794" s="178"/>
      <c r="E794" s="178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178"/>
      <c r="B795" s="178"/>
      <c r="C795" s="178"/>
      <c r="D795" s="178"/>
      <c r="E795" s="178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178"/>
      <c r="B796" s="178"/>
      <c r="C796" s="178"/>
      <c r="D796" s="178"/>
      <c r="E796" s="178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178"/>
      <c r="B797" s="178"/>
      <c r="C797" s="178"/>
      <c r="D797" s="178"/>
      <c r="E797" s="178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178"/>
      <c r="B798" s="178"/>
      <c r="C798" s="178"/>
      <c r="D798" s="178"/>
      <c r="E798" s="178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178"/>
      <c r="B799" s="178"/>
      <c r="C799" s="178"/>
      <c r="D799" s="178"/>
      <c r="E799" s="178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178"/>
      <c r="B800" s="178"/>
      <c r="C800" s="178"/>
      <c r="D800" s="178"/>
      <c r="E800" s="178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178"/>
      <c r="B801" s="178"/>
      <c r="C801" s="178"/>
      <c r="D801" s="178"/>
      <c r="E801" s="178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178"/>
      <c r="B802" s="178"/>
      <c r="C802" s="178"/>
      <c r="D802" s="178"/>
      <c r="E802" s="178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178"/>
      <c r="B803" s="178"/>
      <c r="C803" s="178"/>
      <c r="D803" s="178"/>
      <c r="E803" s="178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178"/>
      <c r="B804" s="178"/>
      <c r="C804" s="178"/>
      <c r="D804" s="178"/>
      <c r="E804" s="178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178"/>
      <c r="B805" s="178"/>
      <c r="C805" s="178"/>
      <c r="D805" s="178"/>
      <c r="E805" s="178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178"/>
      <c r="B806" s="178"/>
      <c r="C806" s="178"/>
      <c r="D806" s="178"/>
      <c r="E806" s="178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178"/>
      <c r="B807" s="178"/>
      <c r="C807" s="178"/>
      <c r="D807" s="178"/>
      <c r="E807" s="178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178"/>
      <c r="B808" s="178"/>
      <c r="C808" s="178"/>
      <c r="D808" s="178"/>
      <c r="E808" s="178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178"/>
      <c r="B809" s="178"/>
      <c r="C809" s="178"/>
      <c r="D809" s="178"/>
      <c r="E809" s="178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178"/>
      <c r="B810" s="178"/>
      <c r="C810" s="178"/>
      <c r="D810" s="178"/>
      <c r="E810" s="178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178"/>
      <c r="B811" s="178"/>
      <c r="C811" s="178"/>
      <c r="D811" s="178"/>
      <c r="E811" s="178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178"/>
      <c r="B812" s="178"/>
      <c r="C812" s="178"/>
      <c r="D812" s="178"/>
      <c r="E812" s="178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178"/>
      <c r="B813" s="178"/>
      <c r="C813" s="178"/>
      <c r="D813" s="178"/>
      <c r="E813" s="178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178"/>
      <c r="B814" s="178"/>
      <c r="C814" s="178"/>
      <c r="D814" s="178"/>
      <c r="E814" s="178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178"/>
      <c r="B815" s="178"/>
      <c r="C815" s="178"/>
      <c r="D815" s="178"/>
      <c r="E815" s="178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178"/>
      <c r="B816" s="178"/>
      <c r="C816" s="178"/>
      <c r="D816" s="178"/>
      <c r="E816" s="178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178"/>
      <c r="B817" s="178"/>
      <c r="C817" s="178"/>
      <c r="D817" s="178"/>
      <c r="E817" s="178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178"/>
      <c r="B818" s="178"/>
      <c r="C818" s="178"/>
      <c r="D818" s="178"/>
      <c r="E818" s="178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178"/>
      <c r="B819" s="178"/>
      <c r="C819" s="178"/>
      <c r="D819" s="178"/>
      <c r="E819" s="178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178"/>
      <c r="B820" s="178"/>
      <c r="C820" s="178"/>
      <c r="D820" s="178"/>
      <c r="E820" s="178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178"/>
      <c r="B821" s="178"/>
      <c r="C821" s="178"/>
      <c r="D821" s="178"/>
      <c r="E821" s="178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178"/>
      <c r="B822" s="178"/>
      <c r="C822" s="178"/>
      <c r="D822" s="178"/>
      <c r="E822" s="178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178"/>
      <c r="B823" s="178"/>
      <c r="C823" s="178"/>
      <c r="D823" s="178"/>
      <c r="E823" s="178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178"/>
      <c r="B824" s="178"/>
      <c r="C824" s="178"/>
      <c r="D824" s="178"/>
      <c r="E824" s="178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178"/>
      <c r="B825" s="178"/>
      <c r="C825" s="178"/>
      <c r="D825" s="178"/>
      <c r="E825" s="178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178"/>
      <c r="B826" s="178"/>
      <c r="C826" s="178"/>
      <c r="D826" s="178"/>
      <c r="E826" s="178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178"/>
      <c r="B827" s="178"/>
      <c r="C827" s="178"/>
      <c r="D827" s="178"/>
      <c r="E827" s="178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178"/>
      <c r="B828" s="178"/>
      <c r="C828" s="178"/>
      <c r="D828" s="178"/>
      <c r="E828" s="178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178"/>
      <c r="B829" s="178"/>
      <c r="C829" s="178"/>
      <c r="D829" s="178"/>
      <c r="E829" s="178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178"/>
      <c r="B830" s="178"/>
      <c r="C830" s="178"/>
      <c r="D830" s="178"/>
      <c r="E830" s="178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178"/>
      <c r="B831" s="178"/>
      <c r="C831" s="178"/>
      <c r="D831" s="178"/>
      <c r="E831" s="178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178"/>
      <c r="B832" s="178"/>
      <c r="C832" s="178"/>
      <c r="D832" s="178"/>
      <c r="E832" s="178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178"/>
      <c r="B833" s="178"/>
      <c r="C833" s="178"/>
      <c r="D833" s="178"/>
      <c r="E833" s="178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178"/>
      <c r="B834" s="178"/>
      <c r="C834" s="178"/>
      <c r="D834" s="178"/>
      <c r="E834" s="178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178"/>
      <c r="B835" s="178"/>
      <c r="C835" s="178"/>
      <c r="D835" s="178"/>
      <c r="E835" s="178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178"/>
      <c r="B836" s="178"/>
      <c r="C836" s="178"/>
      <c r="D836" s="178"/>
      <c r="E836" s="178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178"/>
      <c r="B837" s="178"/>
      <c r="C837" s="178"/>
      <c r="D837" s="178"/>
      <c r="E837" s="178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178"/>
      <c r="B838" s="178"/>
      <c r="C838" s="178"/>
      <c r="D838" s="178"/>
      <c r="E838" s="178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178"/>
      <c r="B839" s="178"/>
      <c r="C839" s="178"/>
      <c r="D839" s="178"/>
      <c r="E839" s="178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178"/>
      <c r="B840" s="178"/>
      <c r="C840" s="178"/>
      <c r="D840" s="178"/>
      <c r="E840" s="178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178"/>
      <c r="B841" s="178"/>
      <c r="C841" s="178"/>
      <c r="D841" s="178"/>
      <c r="E841" s="178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178"/>
      <c r="B842" s="178"/>
      <c r="C842" s="178"/>
      <c r="D842" s="178"/>
      <c r="E842" s="178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178"/>
      <c r="B843" s="178"/>
      <c r="C843" s="178"/>
      <c r="D843" s="178"/>
      <c r="E843" s="178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178"/>
      <c r="B844" s="178"/>
      <c r="C844" s="178"/>
      <c r="D844" s="178"/>
      <c r="E844" s="178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178"/>
      <c r="B845" s="178"/>
      <c r="C845" s="178"/>
      <c r="D845" s="178"/>
      <c r="E845" s="178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178"/>
      <c r="B846" s="178"/>
      <c r="C846" s="178"/>
      <c r="D846" s="178"/>
      <c r="E846" s="178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178"/>
      <c r="B847" s="178"/>
      <c r="C847" s="178"/>
      <c r="D847" s="178"/>
      <c r="E847" s="178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178"/>
      <c r="B848" s="178"/>
      <c r="C848" s="178"/>
      <c r="D848" s="178"/>
      <c r="E848" s="178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178"/>
      <c r="B849" s="178"/>
      <c r="C849" s="178"/>
      <c r="D849" s="178"/>
      <c r="E849" s="178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178"/>
      <c r="B850" s="178"/>
      <c r="C850" s="178"/>
      <c r="D850" s="178"/>
      <c r="E850" s="178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178"/>
      <c r="B851" s="178"/>
      <c r="C851" s="178"/>
      <c r="D851" s="178"/>
      <c r="E851" s="178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178"/>
      <c r="B852" s="178"/>
      <c r="C852" s="178"/>
      <c r="D852" s="178"/>
      <c r="E852" s="178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178"/>
      <c r="B853" s="178"/>
      <c r="C853" s="178"/>
      <c r="D853" s="178"/>
      <c r="E853" s="178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178"/>
      <c r="B854" s="178"/>
      <c r="C854" s="178"/>
      <c r="D854" s="178"/>
      <c r="E854" s="178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178"/>
      <c r="B855" s="178"/>
      <c r="C855" s="178"/>
      <c r="D855" s="178"/>
      <c r="E855" s="178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178"/>
      <c r="B856" s="178"/>
      <c r="C856" s="178"/>
      <c r="D856" s="178"/>
      <c r="E856" s="178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178"/>
      <c r="B857" s="178"/>
      <c r="C857" s="178"/>
      <c r="D857" s="178"/>
      <c r="E857" s="178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178"/>
      <c r="B858" s="178"/>
      <c r="C858" s="178"/>
      <c r="D858" s="178"/>
      <c r="E858" s="178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178"/>
      <c r="B859" s="178"/>
      <c r="C859" s="178"/>
      <c r="D859" s="178"/>
      <c r="E859" s="178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178"/>
      <c r="B860" s="178"/>
      <c r="C860" s="178"/>
      <c r="D860" s="178"/>
      <c r="E860" s="178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178"/>
      <c r="B861" s="178"/>
      <c r="C861" s="178"/>
      <c r="D861" s="178"/>
      <c r="E861" s="178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178"/>
      <c r="B862" s="178"/>
      <c r="C862" s="178"/>
      <c r="D862" s="178"/>
      <c r="E862" s="178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178"/>
      <c r="B863" s="178"/>
      <c r="C863" s="178"/>
      <c r="D863" s="178"/>
      <c r="E863" s="178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178"/>
      <c r="B864" s="178"/>
      <c r="C864" s="178"/>
      <c r="D864" s="178"/>
      <c r="E864" s="178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178"/>
      <c r="B865" s="178"/>
      <c r="C865" s="178"/>
      <c r="D865" s="178"/>
      <c r="E865" s="178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178"/>
      <c r="B866" s="178"/>
      <c r="C866" s="178"/>
      <c r="D866" s="178"/>
      <c r="E866" s="178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178"/>
      <c r="B867" s="178"/>
      <c r="C867" s="178"/>
      <c r="D867" s="178"/>
      <c r="E867" s="178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178"/>
      <c r="B868" s="178"/>
      <c r="C868" s="178"/>
      <c r="D868" s="178"/>
      <c r="E868" s="178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178"/>
      <c r="B869" s="178"/>
      <c r="C869" s="178"/>
      <c r="D869" s="178"/>
      <c r="E869" s="178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178"/>
      <c r="B870" s="178"/>
      <c r="C870" s="178"/>
      <c r="D870" s="178"/>
      <c r="E870" s="178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178"/>
      <c r="B871" s="178"/>
      <c r="C871" s="178"/>
      <c r="D871" s="178"/>
      <c r="E871" s="178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178"/>
      <c r="B872" s="178"/>
      <c r="C872" s="178"/>
      <c r="D872" s="178"/>
      <c r="E872" s="178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178"/>
      <c r="B873" s="178"/>
      <c r="C873" s="178"/>
      <c r="D873" s="178"/>
      <c r="E873" s="178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178"/>
      <c r="B874" s="178"/>
      <c r="C874" s="178"/>
      <c r="D874" s="178"/>
      <c r="E874" s="178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178"/>
      <c r="B875" s="178"/>
      <c r="C875" s="178"/>
      <c r="D875" s="178"/>
      <c r="E875" s="178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178"/>
      <c r="B876" s="178"/>
      <c r="C876" s="178"/>
      <c r="D876" s="178"/>
      <c r="E876" s="178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178"/>
      <c r="B877" s="178"/>
      <c r="C877" s="178"/>
      <c r="D877" s="178"/>
      <c r="E877" s="178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178"/>
      <c r="B878" s="178"/>
      <c r="C878" s="178"/>
      <c r="D878" s="178"/>
      <c r="E878" s="178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178"/>
      <c r="B879" s="178"/>
      <c r="C879" s="178"/>
      <c r="D879" s="178"/>
      <c r="E879" s="178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178"/>
      <c r="B880" s="178"/>
      <c r="C880" s="178"/>
      <c r="D880" s="178"/>
      <c r="E880" s="178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178"/>
      <c r="B881" s="178"/>
      <c r="C881" s="178"/>
      <c r="D881" s="178"/>
      <c r="E881" s="178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178"/>
      <c r="B882" s="178"/>
      <c r="C882" s="178"/>
      <c r="D882" s="178"/>
      <c r="E882" s="178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178"/>
      <c r="B883" s="178"/>
      <c r="C883" s="178"/>
      <c r="D883" s="178"/>
      <c r="E883" s="178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178"/>
      <c r="B884" s="178"/>
      <c r="C884" s="178"/>
      <c r="D884" s="178"/>
      <c r="E884" s="178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178"/>
      <c r="B885" s="178"/>
      <c r="C885" s="178"/>
      <c r="D885" s="178"/>
      <c r="E885" s="178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178"/>
      <c r="B886" s="178"/>
      <c r="C886" s="178"/>
      <c r="D886" s="178"/>
      <c r="E886" s="178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178"/>
      <c r="B887" s="178"/>
      <c r="C887" s="178"/>
      <c r="D887" s="178"/>
      <c r="E887" s="178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178"/>
      <c r="B888" s="178"/>
      <c r="C888" s="178"/>
      <c r="D888" s="178"/>
      <c r="E888" s="178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178"/>
      <c r="B889" s="178"/>
      <c r="C889" s="178"/>
      <c r="D889" s="178"/>
      <c r="E889" s="178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178"/>
      <c r="B890" s="178"/>
      <c r="C890" s="178"/>
      <c r="D890" s="178"/>
      <c r="E890" s="178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178"/>
      <c r="B891" s="178"/>
      <c r="C891" s="178"/>
      <c r="D891" s="178"/>
      <c r="E891" s="178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178"/>
      <c r="B892" s="178"/>
      <c r="C892" s="178"/>
      <c r="D892" s="178"/>
      <c r="E892" s="178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178"/>
      <c r="B893" s="178"/>
      <c r="C893" s="178"/>
      <c r="D893" s="178"/>
      <c r="E893" s="178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178"/>
      <c r="B894" s="178"/>
      <c r="C894" s="178"/>
      <c r="D894" s="178"/>
      <c r="E894" s="178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178"/>
      <c r="B895" s="178"/>
      <c r="C895" s="178"/>
      <c r="D895" s="178"/>
      <c r="E895" s="178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178"/>
      <c r="B896" s="178"/>
      <c r="C896" s="178"/>
      <c r="D896" s="178"/>
      <c r="E896" s="178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178"/>
      <c r="B897" s="178"/>
      <c r="C897" s="178"/>
      <c r="D897" s="178"/>
      <c r="E897" s="178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178"/>
      <c r="B898" s="178"/>
      <c r="C898" s="178"/>
      <c r="D898" s="178"/>
      <c r="E898" s="178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178"/>
      <c r="B899" s="178"/>
      <c r="C899" s="178"/>
      <c r="D899" s="178"/>
      <c r="E899" s="178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178"/>
      <c r="B900" s="178"/>
      <c r="C900" s="178"/>
      <c r="D900" s="178"/>
      <c r="E900" s="178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178"/>
      <c r="B901" s="178"/>
      <c r="C901" s="178"/>
      <c r="D901" s="178"/>
      <c r="E901" s="178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178"/>
      <c r="B902" s="178"/>
      <c r="C902" s="178"/>
      <c r="D902" s="178"/>
      <c r="E902" s="178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178"/>
      <c r="B903" s="178"/>
      <c r="C903" s="178"/>
      <c r="D903" s="178"/>
      <c r="E903" s="178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178"/>
      <c r="B904" s="178"/>
      <c r="C904" s="178"/>
      <c r="D904" s="178"/>
      <c r="E904" s="178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178"/>
      <c r="B905" s="178"/>
      <c r="C905" s="178"/>
      <c r="D905" s="178"/>
      <c r="E905" s="178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178"/>
      <c r="B906" s="178"/>
      <c r="C906" s="178"/>
      <c r="D906" s="178"/>
      <c r="E906" s="178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178"/>
      <c r="B907" s="178"/>
      <c r="C907" s="178"/>
      <c r="D907" s="178"/>
      <c r="E907" s="178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178"/>
      <c r="B908" s="178"/>
      <c r="C908" s="178"/>
      <c r="D908" s="178"/>
      <c r="E908" s="178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178"/>
      <c r="B909" s="178"/>
      <c r="C909" s="178"/>
      <c r="D909" s="178"/>
      <c r="E909" s="178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178"/>
      <c r="B910" s="178"/>
      <c r="C910" s="178"/>
      <c r="D910" s="178"/>
      <c r="E910" s="178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178"/>
      <c r="B911" s="178"/>
      <c r="C911" s="178"/>
      <c r="D911" s="178"/>
      <c r="E911" s="178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178"/>
      <c r="B912" s="178"/>
      <c r="C912" s="178"/>
      <c r="D912" s="178"/>
      <c r="E912" s="178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178"/>
      <c r="B913" s="178"/>
      <c r="C913" s="178"/>
      <c r="D913" s="178"/>
      <c r="E913" s="178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178"/>
      <c r="B914" s="178"/>
      <c r="C914" s="178"/>
      <c r="D914" s="178"/>
      <c r="E914" s="178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178"/>
      <c r="B915" s="178"/>
      <c r="C915" s="178"/>
      <c r="D915" s="178"/>
      <c r="E915" s="178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178"/>
      <c r="B916" s="178"/>
      <c r="C916" s="178"/>
      <c r="D916" s="178"/>
      <c r="E916" s="178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178"/>
      <c r="B917" s="178"/>
      <c r="C917" s="178"/>
      <c r="D917" s="178"/>
      <c r="E917" s="178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178"/>
      <c r="B918" s="178"/>
      <c r="C918" s="178"/>
      <c r="D918" s="178"/>
      <c r="E918" s="178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178"/>
      <c r="B919" s="178"/>
      <c r="C919" s="178"/>
      <c r="D919" s="178"/>
      <c r="E919" s="178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178"/>
      <c r="B920" s="178"/>
      <c r="C920" s="178"/>
      <c r="D920" s="178"/>
      <c r="E920" s="178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178"/>
      <c r="B921" s="178"/>
      <c r="C921" s="178"/>
      <c r="D921" s="178"/>
      <c r="E921" s="178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178"/>
      <c r="B922" s="178"/>
      <c r="C922" s="178"/>
      <c r="D922" s="178"/>
      <c r="E922" s="178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178"/>
      <c r="B923" s="178"/>
      <c r="C923" s="178"/>
      <c r="D923" s="178"/>
      <c r="E923" s="178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178"/>
      <c r="B924" s="178"/>
      <c r="C924" s="178"/>
      <c r="D924" s="178"/>
      <c r="E924" s="178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178"/>
      <c r="B925" s="178"/>
      <c r="C925" s="178"/>
      <c r="D925" s="178"/>
      <c r="E925" s="178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178"/>
      <c r="B926" s="178"/>
      <c r="C926" s="178"/>
      <c r="D926" s="178"/>
      <c r="E926" s="178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178"/>
      <c r="B927" s="178"/>
      <c r="C927" s="178"/>
      <c r="D927" s="178"/>
      <c r="E927" s="178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178"/>
      <c r="B928" s="178"/>
      <c r="C928" s="178"/>
      <c r="D928" s="178"/>
      <c r="E928" s="178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178"/>
      <c r="B929" s="178"/>
      <c r="C929" s="178"/>
      <c r="D929" s="178"/>
      <c r="E929" s="178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178"/>
      <c r="B930" s="178"/>
      <c r="C930" s="178"/>
      <c r="D930" s="178"/>
      <c r="E930" s="178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178"/>
      <c r="B931" s="178"/>
      <c r="C931" s="178"/>
      <c r="D931" s="178"/>
      <c r="E931" s="178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178"/>
      <c r="B932" s="178"/>
      <c r="C932" s="178"/>
      <c r="D932" s="178"/>
      <c r="E932" s="178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178"/>
      <c r="B933" s="178"/>
      <c r="C933" s="178"/>
      <c r="D933" s="178"/>
      <c r="E933" s="178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178"/>
      <c r="B934" s="178"/>
      <c r="C934" s="178"/>
      <c r="D934" s="178"/>
      <c r="E934" s="178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178"/>
      <c r="B935" s="178"/>
      <c r="C935" s="178"/>
      <c r="D935" s="178"/>
      <c r="E935" s="178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178"/>
      <c r="B936" s="178"/>
      <c r="C936" s="178"/>
      <c r="D936" s="178"/>
      <c r="E936" s="178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178"/>
      <c r="B937" s="178"/>
      <c r="C937" s="178"/>
      <c r="D937" s="178"/>
      <c r="E937" s="178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178"/>
      <c r="B938" s="178"/>
      <c r="C938" s="178"/>
      <c r="D938" s="178"/>
      <c r="E938" s="178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178"/>
      <c r="B939" s="178"/>
      <c r="C939" s="178"/>
      <c r="D939" s="178"/>
      <c r="E939" s="178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178"/>
      <c r="B940" s="178"/>
      <c r="C940" s="178"/>
      <c r="D940" s="178"/>
      <c r="E940" s="178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178"/>
      <c r="B941" s="178"/>
      <c r="C941" s="178"/>
      <c r="D941" s="178"/>
      <c r="E941" s="178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178"/>
      <c r="B942" s="178"/>
      <c r="C942" s="178"/>
      <c r="D942" s="178"/>
      <c r="E942" s="178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178"/>
      <c r="B943" s="178"/>
      <c r="C943" s="178"/>
      <c r="D943" s="178"/>
      <c r="E943" s="178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178"/>
      <c r="B944" s="178"/>
      <c r="C944" s="178"/>
      <c r="D944" s="178"/>
      <c r="E944" s="178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178"/>
      <c r="B945" s="178"/>
      <c r="C945" s="178"/>
      <c r="D945" s="178"/>
      <c r="E945" s="178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178"/>
      <c r="B946" s="178"/>
      <c r="C946" s="178"/>
      <c r="D946" s="178"/>
      <c r="E946" s="178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178"/>
      <c r="B947" s="178"/>
      <c r="C947" s="178"/>
      <c r="D947" s="178"/>
      <c r="E947" s="178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178"/>
      <c r="B948" s="178"/>
      <c r="C948" s="178"/>
      <c r="D948" s="178"/>
      <c r="E948" s="178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178"/>
      <c r="B949" s="178"/>
      <c r="C949" s="178"/>
      <c r="D949" s="178"/>
      <c r="E949" s="178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178"/>
      <c r="B950" s="178"/>
      <c r="C950" s="178"/>
      <c r="D950" s="178"/>
      <c r="E950" s="178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178"/>
      <c r="B951" s="178"/>
      <c r="C951" s="178"/>
      <c r="D951" s="178"/>
      <c r="E951" s="178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178"/>
      <c r="B952" s="178"/>
      <c r="C952" s="178"/>
      <c r="D952" s="178"/>
      <c r="E952" s="178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178"/>
      <c r="B953" s="178"/>
      <c r="C953" s="178"/>
      <c r="D953" s="178"/>
      <c r="E953" s="178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178"/>
      <c r="B954" s="178"/>
      <c r="C954" s="178"/>
      <c r="D954" s="178"/>
      <c r="E954" s="178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178"/>
      <c r="B955" s="178"/>
      <c r="C955" s="178"/>
      <c r="D955" s="178"/>
      <c r="E955" s="178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178"/>
      <c r="B956" s="178"/>
      <c r="C956" s="178"/>
      <c r="D956" s="178"/>
      <c r="E956" s="178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178"/>
      <c r="B957" s="178"/>
      <c r="C957" s="178"/>
      <c r="D957" s="178"/>
      <c r="E957" s="178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178"/>
      <c r="B958" s="178"/>
      <c r="C958" s="178"/>
      <c r="D958" s="178"/>
      <c r="E958" s="178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178"/>
      <c r="B959" s="178"/>
      <c r="C959" s="178"/>
      <c r="D959" s="178"/>
      <c r="E959" s="178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178"/>
      <c r="B960" s="178"/>
      <c r="C960" s="178"/>
      <c r="D960" s="178"/>
      <c r="E960" s="178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178"/>
      <c r="B961" s="178"/>
      <c r="C961" s="178"/>
      <c r="D961" s="178"/>
      <c r="E961" s="178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178"/>
      <c r="B962" s="178"/>
      <c r="C962" s="178"/>
      <c r="D962" s="178"/>
      <c r="E962" s="178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178"/>
      <c r="B963" s="178"/>
      <c r="C963" s="178"/>
      <c r="D963" s="178"/>
      <c r="E963" s="178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178"/>
      <c r="B964" s="178"/>
      <c r="C964" s="178"/>
      <c r="D964" s="178"/>
      <c r="E964" s="178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178"/>
      <c r="B965" s="178"/>
      <c r="C965" s="178"/>
      <c r="D965" s="178"/>
      <c r="E965" s="178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178"/>
      <c r="B966" s="178"/>
      <c r="C966" s="178"/>
      <c r="D966" s="178"/>
      <c r="E966" s="178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178"/>
      <c r="B967" s="178"/>
      <c r="C967" s="178"/>
      <c r="D967" s="178"/>
      <c r="E967" s="178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178"/>
      <c r="B968" s="178"/>
      <c r="C968" s="178"/>
      <c r="D968" s="178"/>
      <c r="E968" s="178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178"/>
      <c r="B969" s="178"/>
      <c r="C969" s="178"/>
      <c r="D969" s="178"/>
      <c r="E969" s="178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178"/>
      <c r="B970" s="178"/>
      <c r="C970" s="178"/>
      <c r="D970" s="178"/>
      <c r="E970" s="178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178"/>
      <c r="B971" s="178"/>
      <c r="C971" s="178"/>
      <c r="D971" s="178"/>
      <c r="E971" s="178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178"/>
      <c r="B972" s="178"/>
      <c r="C972" s="178"/>
      <c r="D972" s="178"/>
      <c r="E972" s="178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178"/>
      <c r="B973" s="178"/>
      <c r="C973" s="178"/>
      <c r="D973" s="178"/>
      <c r="E973" s="178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178"/>
      <c r="B974" s="178"/>
      <c r="C974" s="178"/>
      <c r="D974" s="178"/>
      <c r="E974" s="178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178"/>
      <c r="B975" s="178"/>
      <c r="C975" s="178"/>
      <c r="D975" s="178"/>
      <c r="E975" s="178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178"/>
      <c r="B976" s="178"/>
      <c r="C976" s="178"/>
      <c r="D976" s="178"/>
      <c r="E976" s="178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178"/>
      <c r="B977" s="178"/>
      <c r="C977" s="178"/>
      <c r="D977" s="178"/>
      <c r="E977" s="178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178"/>
      <c r="B978" s="178"/>
      <c r="C978" s="178"/>
      <c r="D978" s="178"/>
      <c r="E978" s="178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178"/>
      <c r="B979" s="178"/>
      <c r="C979" s="178"/>
      <c r="D979" s="178"/>
      <c r="E979" s="178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178"/>
      <c r="B980" s="178"/>
      <c r="C980" s="178"/>
      <c r="D980" s="178"/>
      <c r="E980" s="178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178"/>
      <c r="B981" s="178"/>
      <c r="C981" s="178"/>
      <c r="D981" s="178"/>
      <c r="E981" s="178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178"/>
      <c r="B982" s="178"/>
      <c r="C982" s="178"/>
      <c r="D982" s="178"/>
      <c r="E982" s="178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178"/>
      <c r="B983" s="178"/>
      <c r="C983" s="178"/>
      <c r="D983" s="178"/>
      <c r="E983" s="178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178"/>
      <c r="B984" s="178"/>
      <c r="C984" s="178"/>
      <c r="D984" s="178"/>
      <c r="E984" s="178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178"/>
      <c r="B985" s="178"/>
      <c r="C985" s="178"/>
      <c r="D985" s="178"/>
      <c r="E985" s="178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178"/>
      <c r="B986" s="178"/>
      <c r="C986" s="178"/>
      <c r="D986" s="178"/>
      <c r="E986" s="178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178"/>
      <c r="B987" s="178"/>
      <c r="C987" s="178"/>
      <c r="D987" s="178"/>
      <c r="E987" s="178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178"/>
      <c r="B988" s="178"/>
      <c r="C988" s="178"/>
      <c r="D988" s="178"/>
      <c r="E988" s="178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178"/>
      <c r="B989" s="178"/>
      <c r="C989" s="178"/>
      <c r="D989" s="178"/>
      <c r="E989" s="178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178"/>
      <c r="B990" s="178"/>
      <c r="C990" s="178"/>
      <c r="D990" s="178"/>
      <c r="E990" s="178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178"/>
      <c r="B991" s="178"/>
      <c r="C991" s="178"/>
      <c r="D991" s="178"/>
      <c r="E991" s="178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178"/>
      <c r="B992" s="178"/>
      <c r="C992" s="178"/>
      <c r="D992" s="178"/>
      <c r="E992" s="178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178"/>
      <c r="B993" s="178"/>
      <c r="C993" s="178"/>
      <c r="D993" s="178"/>
      <c r="E993" s="178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178"/>
      <c r="B994" s="178"/>
      <c r="C994" s="178"/>
      <c r="D994" s="178"/>
      <c r="E994" s="178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178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178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>
      <c r="A997" s="178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</sheetData>
  <mergeCells count="1">
    <mergeCell ref="G8:H8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42.63"/>
    <col customWidth="1" min="3" max="3" width="16.0"/>
    <col customWidth="1" min="4" max="4" width="24.25"/>
    <col customWidth="1" min="5" max="5" width="10.38"/>
    <col customWidth="1" min="7" max="7" width="76.8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178"/>
      <c r="G1" s="80" t="s">
        <v>5</v>
      </c>
      <c r="H1" s="81">
        <f>H4</f>
        <v>36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170" t="s">
        <v>1299</v>
      </c>
      <c r="B2" s="73" t="str">
        <f t="array" ref="B2">IFERROR(XLOOKUP(A2, BASE!E:E, BASE!B:B), "")
</f>
        <v>SoC_SP_Cravinhos</v>
      </c>
      <c r="C2" s="73" t="str">
        <f t="array" ref="C2">IFERROR(XLOOKUP(A2, BASE!E:E, BASE!C:C), "")
</f>
        <v>SOC-SP5</v>
      </c>
      <c r="D2" s="73">
        <f t="array" ref="D2">IFERROR(XLOOKUP(A2, BASE!E:E, BASE!D:D), "")
</f>
        <v>95</v>
      </c>
      <c r="E2" s="168">
        <f t="array" ref="E2">IFERROR(XLOOKUP(A2, BASE!E:E, BASE!H:H), "")
</f>
        <v>46052.08333</v>
      </c>
      <c r="F2" s="178"/>
      <c r="G2" s="82" t="s">
        <v>9</v>
      </c>
      <c r="H2" s="82">
        <f>COUNTIF(C:C,"*LSP*")
</f>
        <v>29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185" t="s">
        <v>1300</v>
      </c>
      <c r="B3" s="73" t="str">
        <f t="array" ref="B3">IFERROR(XLOOKUP(A3, BASE!E:E, BASE!B:B), "")
</f>
        <v>SoC_PE_Jaboatão dos Guararapes</v>
      </c>
      <c r="C3" s="73" t="str">
        <f t="array" ref="C3">IFERROR(XLOOKUP(A3, BASE!E:E, BASE!C:C), "")
</f>
        <v>SOC-PE2</v>
      </c>
      <c r="D3" s="73" t="s">
        <v>167</v>
      </c>
      <c r="E3" s="168">
        <f t="array" ref="E3">IFERROR(XLOOKUP(A3, BASE!E:E, BASE!H:H), "")
</f>
        <v>46052.16667</v>
      </c>
      <c r="F3" s="178"/>
      <c r="G3" s="82" t="s">
        <v>13</v>
      </c>
      <c r="H3" s="82">
        <f>COUNTIF(C:C,"*SOC*")
</f>
        <v>21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185" t="s">
        <v>1301</v>
      </c>
      <c r="B4" s="73" t="str">
        <f t="array" ref="B4">IFERROR(XLOOKUP(A4, BASE!E:E, BASE!B:B), "")
</f>
        <v>SoC_RS_Gravataí_02</v>
      </c>
      <c r="C4" s="73" t="str">
        <f t="array" ref="C4">IFERROR(XLOOKUP(A4, BASE!E:E, BASE!C:C), "")
</f>
        <v>SOC-RS2</v>
      </c>
      <c r="D4" s="73" t="s">
        <v>167</v>
      </c>
      <c r="E4" s="168">
        <f t="array" ref="E4">IFERROR(XLOOKUP(A4, BASE!E:E, BASE!H:H), "")
</f>
        <v>46052.16667</v>
      </c>
      <c r="F4" s="178"/>
      <c r="G4" s="82" t="s">
        <v>810</v>
      </c>
      <c r="H4" s="198">
        <f>COUNTIFS(D:D,"&gt;=5",D:D,"&lt;=114")</f>
        <v>36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82" t="s">
        <v>1302</v>
      </c>
      <c r="B5" s="73" t="str">
        <f t="array" ref="B5">IFERROR(XLOOKUP(A5, BASE!E:E, BASE!B:B), "")
</f>
        <v>SoC_SC_Itajaí</v>
      </c>
      <c r="C5" s="73" t="str">
        <f t="array" ref="C5">IFERROR(XLOOKUP(A5, BASE!E:E, BASE!C:C), "")
</f>
        <v>SOC-SC1</v>
      </c>
      <c r="D5" s="73">
        <f t="array" ref="D5">IFERROR(XLOOKUP(A5, BASE!E:E, BASE!D:D), "")
</f>
        <v>100</v>
      </c>
      <c r="E5" s="168">
        <f t="array" ref="E5">IFERROR(XLOOKUP(A5, BASE!E:E, BASE!H:H), "")
</f>
        <v>46052.20833</v>
      </c>
      <c r="F5" s="178"/>
      <c r="G5" s="82" t="s">
        <v>20</v>
      </c>
      <c r="H5" s="82">
        <f>COUNTIF(D:D,"*NÃO DOCOU*")</f>
        <v>12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185" t="s">
        <v>1303</v>
      </c>
      <c r="B6" s="73" t="str">
        <f t="array" ref="B6">IFERROR(XLOOKUP(A6, BASE!E:E, BASE!B:B), "")
</f>
        <v>SoC_SC_Itajaí</v>
      </c>
      <c r="C6" s="73" t="str">
        <f t="array" ref="C6">IFERROR(XLOOKUP(A6, BASE!E:E, BASE!C:C), "")
</f>
        <v>SOC-SC1</v>
      </c>
      <c r="D6" s="73">
        <f t="array" ref="D6">IFERROR(XLOOKUP(A6, BASE!E:E, BASE!D:D), "")
</f>
        <v>101</v>
      </c>
      <c r="E6" s="168">
        <f t="array" ref="E6">IFERROR(XLOOKUP(A6, BASE!E:E, BASE!H:H), "")
</f>
        <v>46052.20833</v>
      </c>
      <c r="F6" s="178"/>
      <c r="G6" s="198" t="s">
        <v>25</v>
      </c>
      <c r="H6" s="199">
        <f>COUNTIF(D:D,"*NÃO CHEGOU*")
</f>
        <v>2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170" t="s">
        <v>1304</v>
      </c>
      <c r="B7" s="73" t="str">
        <f t="array" ref="B7">IFERROR(XLOOKUP(A7, BASE!E:E, BASE!B:B), "")
</f>
        <v>LM Hub_SP_Sumaré_Nova Veneza_1</v>
      </c>
      <c r="C7" s="73" t="str">
        <f t="array" ref="C7">IFERROR(XLOOKUP(A7, BASE!E:E, BASE!C:C), "")
</f>
        <v>HUB-LSP-88</v>
      </c>
      <c r="D7" s="73" t="s">
        <v>1305</v>
      </c>
      <c r="E7" s="168">
        <f t="array" ref="E7">IFERROR(XLOOKUP(A7, BASE!E:E, BASE!H:H), "")
</f>
        <v>46052.20833</v>
      </c>
      <c r="F7" s="178"/>
      <c r="G7" s="82" t="s">
        <v>815</v>
      </c>
      <c r="H7" s="82">
        <f>COUNTIF(D:D,"*DRIVER DUPLICADO*")</f>
        <v>0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185" t="s">
        <v>1306</v>
      </c>
      <c r="B8" s="73" t="str">
        <f t="array" ref="B8">IFERROR(XLOOKUP(A8, BASE!E:E, BASE!B:B), "")
</f>
        <v>LM Hub_SP_Guaratinguetá</v>
      </c>
      <c r="C8" s="73" t="str">
        <f t="array" ref="C8">IFERROR(XLOOKUP(A8, BASE!E:E, BASE!C:C), "")
</f>
        <v>HUB-LSP-33</v>
      </c>
      <c r="D8" s="73">
        <f t="array" ref="D8">IFERROR(XLOOKUP(A8, BASE!E:E, BASE!D:D), "")
</f>
        <v>21</v>
      </c>
      <c r="E8" s="168">
        <f t="array" ref="E8">IFERROR(XLOOKUP(A8, BASE!E:E, BASE!H:H), "")
</f>
        <v>46052.25</v>
      </c>
      <c r="F8" s="178"/>
      <c r="G8" s="18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185" t="s">
        <v>1307</v>
      </c>
      <c r="B9" s="73" t="str">
        <f t="array" ref="B9">IFERROR(XLOOKUP(A9, BASE!E:E, BASE!B:B), "")
</f>
        <v>LM Hub_SP_Limeira_Campo Belo</v>
      </c>
      <c r="C9" s="73" t="str">
        <f t="array" ref="C9">IFERROR(XLOOKUP(A9, BASE!E:E, BASE!C:C), "")
</f>
        <v>HUB-LSP-24</v>
      </c>
      <c r="D9" s="73">
        <f t="array" ref="D9">IFERROR(XLOOKUP(A9, BASE!E:E, BASE!D:D), "")
</f>
        <v>36</v>
      </c>
      <c r="E9" s="168">
        <f t="array" ref="E9">IFERROR(XLOOKUP(A9, BASE!E:E, BASE!H:H), "")
</f>
        <v>46052.25</v>
      </c>
      <c r="F9" s="178"/>
      <c r="G9" s="9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185" t="s">
        <v>1308</v>
      </c>
      <c r="B10" s="73" t="str">
        <f t="array" ref="B10">IFERROR(XLOOKUP(A10, BASE!E:E, BASE!B:B), "")
</f>
        <v>LM Hub_SP_Registro</v>
      </c>
      <c r="C10" s="73" t="str">
        <f t="array" ref="C10">IFERROR(XLOOKUP(A10, BASE!E:E, BASE!C:C), "")
</f>
        <v>HUB-LSP-40</v>
      </c>
      <c r="D10" s="73">
        <f t="array" ref="D10">IFERROR(XLOOKUP(A10, BASE!E:E, BASE!D:D), "")
</f>
        <v>33</v>
      </c>
      <c r="E10" s="168">
        <f t="array" ref="E10">IFERROR(XLOOKUP(A10, BASE!E:E, BASE!H:H), "")
</f>
        <v>46052.25</v>
      </c>
      <c r="F10" s="178"/>
      <c r="G10" s="9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170" t="s">
        <v>1309</v>
      </c>
      <c r="B11" s="73" t="str">
        <f t="array" ref="B11">IFERROR(XLOOKUP(A11, BASE!E:E, BASE!B:B), "")
</f>
        <v>SoC_PR_Curitiba</v>
      </c>
      <c r="C11" s="73" t="str">
        <f t="array" ref="C11">IFERROR(XLOOKUP(A11, BASE!E:E, BASE!C:C), "")
</f>
        <v>SOC-PR1</v>
      </c>
      <c r="D11" s="73">
        <f t="array" ref="D11">IFERROR(XLOOKUP(A11, BASE!E:E, BASE!D:D), "")
</f>
        <v>112</v>
      </c>
      <c r="E11" s="168">
        <f t="array" ref="E11">IFERROR(XLOOKUP(A11, BASE!E:E, BASE!H:H), "")
</f>
        <v>46052.25</v>
      </c>
      <c r="F11" s="178"/>
      <c r="G11" s="200"/>
      <c r="H11" s="178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185" t="s">
        <v>1310</v>
      </c>
      <c r="B12" s="73" t="str">
        <f t="array" ref="B12">IFERROR(XLOOKUP(A12, BASE!E:E, BASE!B:B), "")
</f>
        <v>LM Hub_SP_Atibaia_Ponte_Alta</v>
      </c>
      <c r="C12" s="73" t="str">
        <f t="array" ref="C12">IFERROR(XLOOKUP(A12, BASE!E:E, BASE!C:C), "")
</f>
        <v>HUB-LSP-87</v>
      </c>
      <c r="D12" s="73">
        <f t="array" ref="D12">IFERROR(XLOOKUP(A12, BASE!E:E, BASE!D:D), "")
</f>
        <v>23</v>
      </c>
      <c r="E12" s="168">
        <f t="array" ref="E12">IFERROR(XLOOKUP(A12, BASE!E:E, BASE!H:H), "")
</f>
        <v>46052.27083</v>
      </c>
      <c r="F12" s="178"/>
      <c r="G12" s="84" t="s">
        <v>1311</v>
      </c>
      <c r="H12" s="9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185" t="s">
        <v>1312</v>
      </c>
      <c r="B13" s="73" t="str">
        <f t="array" ref="B13">IFERROR(XLOOKUP(A13, BASE!E:E, BASE!B:B), "")
</f>
        <v>LM Hub_SP_Sorocaba_Região Norte</v>
      </c>
      <c r="C13" s="73" t="str">
        <f t="array" ref="C13">IFERROR(XLOOKUP(A13, BASE!E:E, BASE!C:C), "")
</f>
        <v>HUB-LSP-10</v>
      </c>
      <c r="D13" s="73">
        <f t="array" ref="D13">IFERROR(XLOOKUP(A13, BASE!E:E, BASE!D:D), "")
</f>
        <v>25</v>
      </c>
      <c r="E13" s="168">
        <f t="array" ref="E13">IFERROR(XLOOKUP(A13, BASE!E:E, BASE!H:H), "")
</f>
        <v>46052.27083</v>
      </c>
      <c r="F13" s="178"/>
      <c r="G13" s="187" t="s">
        <v>653</v>
      </c>
      <c r="H13" s="178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185" t="s">
        <v>1313</v>
      </c>
      <c r="B14" s="73" t="str">
        <f t="array" ref="B14">IFERROR(XLOOKUP(A14, BASE!E:E, BASE!B:B), "")
</f>
        <v>LM Hub_SP_Taubaté</v>
      </c>
      <c r="C14" s="73" t="str">
        <f t="array" ref="C14">IFERROR(XLOOKUP(A14, BASE!E:E, BASE!C:C), "")
</f>
        <v>HUB-LSP-08</v>
      </c>
      <c r="D14" s="73">
        <f t="array" ref="D14">IFERROR(XLOOKUP(A14, BASE!E:E, BASE!D:D), "")
</f>
        <v>34</v>
      </c>
      <c r="E14" s="168">
        <f t="array" ref="E14">IFERROR(XLOOKUP(A14, BASE!E:E, BASE!H:H), "")
</f>
        <v>46052.27083</v>
      </c>
      <c r="F14" s="178"/>
      <c r="G14" s="178"/>
      <c r="H14" s="178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24" t="s">
        <v>1314</v>
      </c>
      <c r="B15" s="73" t="str">
        <f t="array" ref="B15">IFERROR(XLOOKUP(A15, BASE!E:E, BASE!B:B), "")
</f>
        <v>SoC_GO_Goiânia_02</v>
      </c>
      <c r="C15" s="73" t="str">
        <f t="array" ref="C15">IFERROR(XLOOKUP(A15, BASE!E:E, BASE!C:C), "")
</f>
        <v>SOC-GO2</v>
      </c>
      <c r="D15" s="73">
        <f t="array" ref="D15">IFERROR(XLOOKUP(A15, BASE!E:E, BASE!D:D), "")
</f>
        <v>86</v>
      </c>
      <c r="E15" s="168">
        <f t="array" ref="E15">IFERROR(XLOOKUP(A15, BASE!E:E, BASE!H:H), "")
</f>
        <v>46052.29167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185" t="s">
        <v>1315</v>
      </c>
      <c r="B16" s="73" t="str">
        <f t="array" ref="B16">IFERROR(XLOOKUP(A16, BASE!E:E, BASE!B:B), "")
</f>
        <v>SoC_RJ_Duque de Caxias</v>
      </c>
      <c r="C16" s="73" t="str">
        <f t="array" ref="C16">IFERROR(XLOOKUP(A16, BASE!E:E, BASE!C:C), "")
</f>
        <v>SOC-RJ2</v>
      </c>
      <c r="D16" s="73">
        <f t="array" ref="D16">IFERROR(XLOOKUP(A16, BASE!E:E, BASE!D:D), "")
</f>
        <v>96</v>
      </c>
      <c r="E16" s="168">
        <f t="array" ref="E16">IFERROR(XLOOKUP(A16, BASE!E:E, BASE!H:H), "")
</f>
        <v>46052.29167</v>
      </c>
      <c r="F16" s="178"/>
      <c r="G16" s="178"/>
      <c r="H16" s="178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185" t="s">
        <v>1316</v>
      </c>
      <c r="B17" s="73" t="str">
        <f t="array" ref="B17">IFERROR(XLOOKUP(A17, BASE!E:E, BASE!B:B), "")
</f>
        <v>SoC_SP_Cravinhos</v>
      </c>
      <c r="C17" s="73" t="str">
        <f t="array" ref="C17">IFERROR(XLOOKUP(A17, BASE!E:E, BASE!C:C), "")
</f>
        <v>SOC-SP5</v>
      </c>
      <c r="D17" s="73">
        <f t="array" ref="D17">IFERROR(XLOOKUP(A17, BASE!E:E, BASE!D:D), "")
</f>
        <v>94</v>
      </c>
      <c r="E17" s="168">
        <f t="array" ref="E17">IFERROR(XLOOKUP(A17, BASE!E:E, BASE!H:H), "")
</f>
        <v>46052.29167</v>
      </c>
      <c r="F17" s="178"/>
      <c r="G17" s="178"/>
      <c r="H17" s="178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185" t="s">
        <v>1317</v>
      </c>
      <c r="B18" s="73" t="str">
        <f t="array" ref="B18">IFERROR(XLOOKUP(A18, BASE!E:E, BASE!B:B), "")
</f>
        <v>SoC_MG_Betim</v>
      </c>
      <c r="C18" s="73" t="str">
        <f t="array" ref="C18">IFERROR(XLOOKUP(A18, BASE!E:E, BASE!C:C), "")
</f>
        <v>SOC-MG2</v>
      </c>
      <c r="D18" s="73">
        <f t="array" ref="D18">IFERROR(XLOOKUP(A18, BASE!E:E, BASE!D:D), "")
</f>
        <v>91</v>
      </c>
      <c r="E18" s="168">
        <f t="array" ref="E18">IFERROR(XLOOKUP(A18, BASE!E:E, BASE!H:H), "")
</f>
        <v>46052.29167</v>
      </c>
      <c r="F18" s="178"/>
      <c r="G18" s="178"/>
      <c r="H18" s="178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185" t="s">
        <v>1318</v>
      </c>
      <c r="B19" s="73" t="str">
        <f t="array" ref="B19">IFERROR(XLOOKUP(A19, BASE!E:E, BASE!B:B), "")
</f>
        <v>SoC_MG_Betim</v>
      </c>
      <c r="C19" s="73" t="str">
        <f t="array" ref="C19">IFERROR(XLOOKUP(A19, BASE!E:E, BASE!C:C), "")
</f>
        <v>SOC-MG2</v>
      </c>
      <c r="D19" s="73" t="s">
        <v>167</v>
      </c>
      <c r="E19" s="168">
        <f t="array" ref="E19">IFERROR(XLOOKUP(A19, BASE!E:E, BASE!H:H), "")
</f>
        <v>46052.29167</v>
      </c>
      <c r="F19" s="178"/>
      <c r="G19" s="178"/>
      <c r="H19" s="178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185" t="s">
        <v>1319</v>
      </c>
      <c r="B20" s="73" t="str">
        <f t="array" ref="B20">IFERROR(XLOOKUP(A20, BASE!E:E, BASE!B:B), "")
</f>
        <v>LM Hub_SP_Barueri_01</v>
      </c>
      <c r="C20" s="73" t="str">
        <f t="array" ref="C20">IFERROR(XLOOKUP(A20, BASE!E:E, BASE!C:C), "")
</f>
        <v>HUB-LSP-81</v>
      </c>
      <c r="D20" s="73" t="s">
        <v>25</v>
      </c>
      <c r="E20" s="168">
        <f t="array" ref="E20">IFERROR(XLOOKUP(A20, BASE!E:E, BASE!H:H), "")
</f>
        <v>46052.29167</v>
      </c>
      <c r="F20" s="178"/>
      <c r="G20" s="178"/>
      <c r="H20" s="178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185" t="s">
        <v>1320</v>
      </c>
      <c r="B21" s="73" t="str">
        <f t="array" ref="B21">IFERROR(XLOOKUP(A21, BASE!E:E, BASE!B:B), "")
</f>
        <v>LM Hub_SP_Jundiaí</v>
      </c>
      <c r="C21" s="73" t="str">
        <f t="array" ref="C21">IFERROR(XLOOKUP(A21, BASE!E:E, BASE!C:C), "")
</f>
        <v>HUB-LSP-100</v>
      </c>
      <c r="D21" s="73">
        <f t="array" ref="D21">IFERROR(XLOOKUP(A21, BASE!E:E, BASE!D:D), "")
</f>
        <v>16</v>
      </c>
      <c r="E21" s="168">
        <f t="array" ref="E21">IFERROR(XLOOKUP(A21, BASE!E:E, BASE!H:H), "")
</f>
        <v>46052.29167</v>
      </c>
      <c r="F21" s="178"/>
      <c r="G21" s="178"/>
      <c r="H21" s="178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185" t="s">
        <v>1321</v>
      </c>
      <c r="B22" s="73" t="str">
        <f t="array" ref="B22">IFERROR(XLOOKUP(A22, BASE!E:E, BASE!B:B), "")
</f>
        <v>LM Hub_SP_Piracicaba</v>
      </c>
      <c r="C22" s="73" t="str">
        <f t="array" ref="C22">IFERROR(XLOOKUP(A22, BASE!E:E, BASE!C:C), "")
</f>
        <v>HUB-LSP-62</v>
      </c>
      <c r="D22" s="73">
        <f t="array" ref="D22">IFERROR(XLOOKUP(A22, BASE!E:E, BASE!D:D), "")
</f>
        <v>17</v>
      </c>
      <c r="E22" s="168">
        <f t="array" ref="E22">IFERROR(XLOOKUP(A22, BASE!E:E, BASE!H:H), "")
</f>
        <v>46052.29167</v>
      </c>
      <c r="F22" s="178"/>
      <c r="G22" s="178"/>
      <c r="H22" s="178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185" t="s">
        <v>1322</v>
      </c>
      <c r="B23" s="73" t="str">
        <f t="array" ref="B23">IFERROR(XLOOKUP(A23, BASE!E:E, BASE!B:B), "")
</f>
        <v>LM Hub_SP_Santos_PraiaGrande_02</v>
      </c>
      <c r="C23" s="73" t="str">
        <f t="array" ref="C23">IFERROR(XLOOKUP(A23, BASE!E:E, BASE!C:C), "")
</f>
        <v>HUB-LSP-63</v>
      </c>
      <c r="D23" s="73">
        <f t="array" ref="D23">IFERROR(XLOOKUP(A23, BASE!E:E, BASE!D:D), "")
</f>
        <v>52</v>
      </c>
      <c r="E23" s="168">
        <f t="array" ref="E23">IFERROR(XLOOKUP(A23, BASE!E:E, BASE!H:H), "")
</f>
        <v>46052.29167</v>
      </c>
      <c r="F23" s="178"/>
      <c r="G23" s="178"/>
      <c r="H23" s="178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185" t="s">
        <v>1323</v>
      </c>
      <c r="B24" s="73" t="str">
        <f t="array" ref="B24">IFERROR(XLOOKUP(A24, BASE!E:E, BASE!B:B), "")
</f>
        <v>LM Hub_SP_Itapevi</v>
      </c>
      <c r="C24" s="73" t="str">
        <f t="array" ref="C24">IFERROR(XLOOKUP(A24, BASE!E:E, BASE!C:C), "")
</f>
        <v>HUB-LSP-41</v>
      </c>
      <c r="D24" s="73">
        <f t="array" ref="D24">IFERROR(XLOOKUP(A24, BASE!E:E, BASE!D:D), "")
</f>
        <v>14</v>
      </c>
      <c r="E24" s="168">
        <f t="array" ref="E24">IFERROR(XLOOKUP(A24, BASE!E:E, BASE!H:H), "")
</f>
        <v>46052.3125</v>
      </c>
      <c r="F24" s="178"/>
      <c r="G24" s="178"/>
      <c r="H24" s="178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185" t="s">
        <v>1324</v>
      </c>
      <c r="B25" s="73" t="str">
        <f t="array" ref="B25">IFERROR(XLOOKUP(A25, BASE!E:E, BASE!B:B), "")
</f>
        <v>LM Hub_SP_Santos_Praia Grande</v>
      </c>
      <c r="C25" s="73" t="str">
        <f t="array" ref="C25">IFERROR(XLOOKUP(A25, BASE!E:E, BASE!C:C), "")
</f>
        <v>HUB-LSP-09</v>
      </c>
      <c r="D25" s="73">
        <f t="array" ref="D25">IFERROR(XLOOKUP(A25, BASE!E:E, BASE!D:D), "")
</f>
        <v>13</v>
      </c>
      <c r="E25" s="168">
        <f t="array" ref="E25">IFERROR(XLOOKUP(A25, BASE!E:E, BASE!H:H), "")
</f>
        <v>46052.3125</v>
      </c>
      <c r="F25" s="178"/>
      <c r="G25" s="178"/>
      <c r="H25" s="178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185" t="s">
        <v>1325</v>
      </c>
      <c r="B26" s="73" t="str">
        <f t="array" ref="B26">IFERROR(XLOOKUP(A26, BASE!E:E, BASE!B:B), "")
</f>
        <v>LM Hub_SP_São José dos Campos</v>
      </c>
      <c r="C26" s="73" t="str">
        <f t="array" ref="C26">IFERROR(XLOOKUP(A26, BASE!E:E, BASE!C:C), "")
</f>
        <v>HUB-LSP-04</v>
      </c>
      <c r="D26" s="73">
        <f t="array" ref="D26">IFERROR(XLOOKUP(A26, BASE!E:E, BASE!D:D), "")
</f>
        <v>12</v>
      </c>
      <c r="E26" s="168">
        <f t="array" ref="E26">IFERROR(XLOOKUP(A26, BASE!E:E, BASE!H:H), "")
</f>
        <v>46052.3125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185" t="s">
        <v>1326</v>
      </c>
      <c r="B27" s="73" t="str">
        <f t="array" ref="B27">IFERROR(XLOOKUP(A27, BASE!E:E, BASE!B:B), "")
</f>
        <v>LM Hub_SP_São Paulo_Mooca</v>
      </c>
      <c r="C27" s="73" t="str">
        <f t="array" ref="C27">IFERROR(XLOOKUP(A27, BASE!E:E, BASE!C:C), "")
</f>
        <v>HUB-LSP-13</v>
      </c>
      <c r="D27" s="73">
        <f t="array" ref="D27">IFERROR(XLOOKUP(A27, BASE!E:E, BASE!D:D), "")
</f>
        <v>6</v>
      </c>
      <c r="E27" s="168">
        <f t="array" ref="E27">IFERROR(XLOOKUP(A27, BASE!E:E, BASE!H:H), "")
</f>
        <v>46052.3125</v>
      </c>
      <c r="F27" s="178"/>
      <c r="G27" s="178"/>
      <c r="H27" s="178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185" t="s">
        <v>1327</v>
      </c>
      <c r="B28" s="73" t="str">
        <f t="array" ref="B28">IFERROR(XLOOKUP(A28, BASE!E:E, BASE!B:B), "")
</f>
        <v>LM Hub_SP_Várzea Paulista</v>
      </c>
      <c r="C28" s="73" t="str">
        <f t="array" ref="C28">IFERROR(XLOOKUP(A28, BASE!E:E, BASE!C:C), "")
</f>
        <v>HUB-LSP-20</v>
      </c>
      <c r="D28" s="73" t="s">
        <v>25</v>
      </c>
      <c r="E28" s="168">
        <f t="array" ref="E28">IFERROR(XLOOKUP(A28, BASE!E:E, BASE!H:H), "")
</f>
        <v>46052.3125</v>
      </c>
      <c r="F28" s="178"/>
      <c r="G28" s="178"/>
      <c r="H28" s="178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170" t="s">
        <v>1328</v>
      </c>
      <c r="B29" s="73" t="str">
        <f t="array" ref="B29">IFERROR(XLOOKUP(A29, BASE!E:E, BASE!B:B), "")
</f>
        <v>LM Hub_SP_Embu das Artes</v>
      </c>
      <c r="C29" s="73" t="str">
        <f t="array" ref="C29">IFERROR(XLOOKUP(A29, BASE!E:E, BASE!C:C), "")
</f>
        <v>HUB-LSP-36</v>
      </c>
      <c r="D29" s="73">
        <f t="array" ref="D29">IFERROR(XLOOKUP(A29, BASE!E:E, BASE!D:D), "")
</f>
        <v>37</v>
      </c>
      <c r="E29" s="168">
        <f t="array" ref="E29">IFERROR(XLOOKUP(A29, BASE!E:E, BASE!H:H), "")
</f>
        <v>46052.33333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185" t="s">
        <v>1329</v>
      </c>
      <c r="B30" s="73" t="str">
        <f t="array" ref="B30">IFERROR(XLOOKUP(A30, BASE!E:E, BASE!B:B), "")
</f>
        <v>LM Hub_SP_VilaGuilherme</v>
      </c>
      <c r="C30" s="73" t="str">
        <f t="array" ref="C30">IFERROR(XLOOKUP(A30, BASE!E:E, BASE!C:C), "")
</f>
        <v>HUB-LSP-68</v>
      </c>
      <c r="D30" s="73">
        <f t="array" ref="D30">IFERROR(XLOOKUP(A30, BASE!E:E, BASE!D:D), "")
</f>
        <v>44</v>
      </c>
      <c r="E30" s="168">
        <f t="array" ref="E30">IFERROR(XLOOKUP(A30, BASE!E:E, BASE!H:H), "")
</f>
        <v>46052.33333</v>
      </c>
      <c r="F30" s="178"/>
      <c r="G30" s="178"/>
      <c r="H30" s="178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185" t="s">
        <v>1330</v>
      </c>
      <c r="B31" s="73" t="str">
        <f t="array" ref="B31">IFERROR(XLOOKUP(A31, BASE!E:E, BASE!B:B), "")
</f>
        <v>LM Hub_SP_São Paulo_Lapa</v>
      </c>
      <c r="C31" s="73" t="str">
        <f t="array" ref="C31">IFERROR(XLOOKUP(A31, BASE!E:E, BASE!C:C), "")
</f>
        <v>HUB-LSP-15</v>
      </c>
      <c r="D31" s="73">
        <f t="array" ref="D31">IFERROR(XLOOKUP(A31, BASE!E:E, BASE!D:D), "")
</f>
        <v>29</v>
      </c>
      <c r="E31" s="168">
        <f t="array" ref="E31">IFERROR(XLOOKUP(A31, BASE!E:E, BASE!H:H), "")
</f>
        <v>46052.33333</v>
      </c>
      <c r="F31" s="178"/>
      <c r="G31" s="178"/>
      <c r="H31" s="178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185" t="s">
        <v>1331</v>
      </c>
      <c r="B32" s="73" t="str">
        <f t="array" ref="B32">IFERROR(XLOOKUP(A32, BASE!E:E, BASE!B:B), "")
</f>
        <v>LM Hub_SP_Artur Alvim</v>
      </c>
      <c r="C32" s="73" t="str">
        <f t="array" ref="C32">IFERROR(XLOOKUP(A32, BASE!E:E, BASE!C:C), "")
</f>
        <v>HUB-LSP-07</v>
      </c>
      <c r="D32" s="73">
        <f t="array" ref="D32">IFERROR(XLOOKUP(A32, BASE!E:E, BASE!D:D), "")
</f>
        <v>19</v>
      </c>
      <c r="E32" s="168">
        <f t="array" ref="E32">IFERROR(XLOOKUP(A32, BASE!E:E, BASE!H:H), "")
</f>
        <v>46052.33333</v>
      </c>
      <c r="F32" s="178"/>
      <c r="G32" s="178"/>
      <c r="H32" s="178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185" t="s">
        <v>1332</v>
      </c>
      <c r="B33" s="73" t="str">
        <f t="array" ref="B33">IFERROR(XLOOKUP(A33, BASE!E:E, BASE!B:B), "")
</f>
        <v>LM Hub_SP_Guarulhos</v>
      </c>
      <c r="C33" s="73" t="str">
        <f t="array" ref="C33">IFERROR(XLOOKUP(A33, BASE!E:E, BASE!C:C), "")
</f>
        <v>HUB-LSP-77</v>
      </c>
      <c r="D33" s="73">
        <f t="array" ref="D33">IFERROR(XLOOKUP(A33, BASE!E:E, BASE!D:D), "")
</f>
        <v>46</v>
      </c>
      <c r="E33" s="168">
        <f t="array" ref="E33">IFERROR(XLOOKUP(A33, BASE!E:E, BASE!H:H), "")
</f>
        <v>46052.33333</v>
      </c>
      <c r="F33" s="178"/>
      <c r="G33" s="178"/>
      <c r="H33" s="178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225" t="s">
        <v>1333</v>
      </c>
      <c r="B34" s="73" t="str">
        <f t="array" ref="B34">IFERROR(XLOOKUP(A34, BASE!E:E, BASE!B:B), "")
</f>
        <v>LM Hub_SP_Itaqua_Zimba</v>
      </c>
      <c r="C34" s="73" t="str">
        <f t="array" ref="C34">IFERROR(XLOOKUP(A34, BASE!E:E, BASE!C:C), "")
</f>
        <v>HUB-LSP-74</v>
      </c>
      <c r="D34" s="73">
        <f t="array" ref="D34">IFERROR(XLOOKUP(A34, BASE!E:E, BASE!D:D), "")
</f>
        <v>9</v>
      </c>
      <c r="E34" s="168">
        <f t="array" ref="E34">IFERROR(XLOOKUP(A34, BASE!E:E, BASE!H:H), "")
</f>
        <v>46052.33333</v>
      </c>
      <c r="F34" s="178"/>
      <c r="G34" s="178"/>
      <c r="H34" s="178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224" t="s">
        <v>1331</v>
      </c>
      <c r="B35" s="73" t="str">
        <f t="array" ref="B35">IFERROR(XLOOKUP(A35, BASE!E:E, BASE!B:B), "")
</f>
        <v>LM Hub_SP_Artur Alvim</v>
      </c>
      <c r="C35" s="73" t="str">
        <f t="array" ref="C35">IFERROR(XLOOKUP(A35, BASE!E:E, BASE!C:C), "")
</f>
        <v>HUB-LSP-07</v>
      </c>
      <c r="D35" s="73">
        <f t="array" ref="D35">IFERROR(XLOOKUP(A35, BASE!E:E, BASE!D:D), "")
</f>
        <v>19</v>
      </c>
      <c r="E35" s="168">
        <f t="array" ref="E35">IFERROR(XLOOKUP(A35, BASE!E:E, BASE!H:H), "")
</f>
        <v>46052.33333</v>
      </c>
      <c r="F35" s="178"/>
      <c r="G35" s="178"/>
      <c r="H35" s="178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224" t="s">
        <v>1334</v>
      </c>
      <c r="B36" s="73" t="str">
        <f t="array" ref="B36">IFERROR(XLOOKUP(A36, BASE!E:E, BASE!B:B), "")
</f>
        <v>LM Hub_SP_Mooca_02</v>
      </c>
      <c r="C36" s="73" t="str">
        <f t="array" ref="C36">IFERROR(XLOOKUP(A36, BASE!E:E, BASE!C:C), "")
</f>
        <v>HUB-LSP-94</v>
      </c>
      <c r="D36" s="73">
        <f t="array" ref="D36">IFERROR(XLOOKUP(A36, BASE!E:E, BASE!D:D), "")
</f>
        <v>49</v>
      </c>
      <c r="E36" s="168">
        <f t="array" ref="E36">IFERROR(XLOOKUP(A36, BASE!E:E, BASE!H:H), "")
</f>
        <v>46052.33333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226" t="s">
        <v>1335</v>
      </c>
      <c r="B37" s="73" t="str">
        <f t="array" ref="B37">IFERROR(XLOOKUP(A37, BASE!E:E, BASE!B:B), "")
</f>
        <v>LM Hub_SP_Osasco_02</v>
      </c>
      <c r="C37" s="73" t="str">
        <f t="array" ref="C37">IFERROR(XLOOKUP(A37, BASE!E:E, BASE!C:C), "")
</f>
        <v>HUB-LSP-60</v>
      </c>
      <c r="D37" s="73">
        <f t="array" ref="D37">IFERROR(XLOOKUP(A37, BASE!E:E, BASE!D:D), "")
</f>
        <v>32</v>
      </c>
      <c r="E37" s="168">
        <f t="array" ref="E37">IFERROR(XLOOKUP(A37, BASE!E:E, BASE!H:H), "")
</f>
        <v>46052.33333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224" t="s">
        <v>1336</v>
      </c>
      <c r="B38" s="73" t="str">
        <f t="array" ref="B38">IFERROR(XLOOKUP(A38, BASE!E:E, BASE!B:B), "")
</f>
        <v>LM Hub_SP_São Bernardo do Campo</v>
      </c>
      <c r="C38" s="73" t="str">
        <f t="array" ref="C38">IFERROR(XLOOKUP(A38, BASE!E:E, BASE!C:C), "")
</f>
        <v>HUB-LSP-79</v>
      </c>
      <c r="D38" s="73">
        <f t="array" ref="D38">IFERROR(XLOOKUP(A38, BASE!E:E, BASE!D:D), "")
</f>
        <v>27</v>
      </c>
      <c r="E38" s="168">
        <f t="array" ref="E38">IFERROR(XLOOKUP(A38, BASE!E:E, BASE!H:H), "")
</f>
        <v>46052.35417</v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225" t="s">
        <v>1337</v>
      </c>
      <c r="B39" s="73" t="str">
        <f t="array" ref="B39">IFERROR(XLOOKUP(A39, BASE!E:E, BASE!B:B), "")
</f>
        <v>LM Hub_SP_Embu das Artes_02</v>
      </c>
      <c r="C39" s="73" t="str">
        <f t="array" ref="C39">IFERROR(XLOOKUP(A39, BASE!E:E, BASE!C:C), "")
</f>
        <v>HUB-LSP-96</v>
      </c>
      <c r="D39" s="73">
        <f t="array" ref="D39">IFERROR(XLOOKUP(A39, BASE!E:E, BASE!D:D), "")
</f>
        <v>24</v>
      </c>
      <c r="E39" s="168">
        <f t="array" ref="E39">IFERROR(XLOOKUP(A39, BASE!E:E, BASE!H:H), "")
</f>
        <v>46052.375</v>
      </c>
      <c r="F39" s="178"/>
      <c r="G39" s="178"/>
      <c r="H39" s="178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224" t="s">
        <v>1338</v>
      </c>
      <c r="B40" s="73" t="str">
        <f t="array" ref="B40">IFERROR(XLOOKUP(A40, BASE!E:E, BASE!B:B), "")
</f>
        <v>LM Hub_SP_Suzano_Baruel</v>
      </c>
      <c r="C40" s="73" t="str">
        <f t="array" ref="C40">IFERROR(XLOOKUP(A40, BASE!E:E, BASE!C:C), "")
</f>
        <v>HUB-LSP-97</v>
      </c>
      <c r="D40" s="73">
        <f t="array" ref="D40">IFERROR(XLOOKUP(A40, BASE!E:E, BASE!D:D), "")
</f>
        <v>28</v>
      </c>
      <c r="E40" s="168">
        <f t="array" ref="E40">IFERROR(XLOOKUP(A40, BASE!E:E, BASE!H:H), "")
</f>
        <v>46052.375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24" t="s">
        <v>1339</v>
      </c>
      <c r="B41" s="73" t="str">
        <f t="array" ref="B41">IFERROR(XLOOKUP(A41, BASE!E:E, BASE!B:B), "")
</f>
        <v>LM Hub_SP_Mauá</v>
      </c>
      <c r="C41" s="73" t="str">
        <f t="array" ref="C41">IFERROR(XLOOKUP(A41, BASE!E:E, BASE!C:C), "")
</f>
        <v>HUB-LSP-64</v>
      </c>
      <c r="D41" s="73">
        <f t="array" ref="D41">IFERROR(XLOOKUP(A41, BASE!E:E, BASE!D:D), "")
</f>
        <v>38</v>
      </c>
      <c r="E41" s="168">
        <f t="array" ref="E41">IFERROR(XLOOKUP(A41, BASE!E:E, BASE!H:H), "")
</f>
        <v>46052.39583</v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24" t="s">
        <v>1340</v>
      </c>
      <c r="B42" s="73" t="str">
        <f t="array" ref="B42">IFERROR(XLOOKUP(A42, BASE!E:E, BASE!B:B), "")
</f>
        <v>LM Hub_MG_Belo Horizonte_02</v>
      </c>
      <c r="C42" s="73" t="str">
        <f t="array" ref="C42">IFERROR(XLOOKUP(A42, BASE!E:E, BASE!C:C), "")
</f>
        <v>HUB-LMG-50</v>
      </c>
      <c r="D42" s="73">
        <f t="array" ref="D42">IFERROR(XLOOKUP(A42, BASE!E:E, BASE!D:D), "")
</f>
        <v>113</v>
      </c>
      <c r="E42" s="168">
        <f t="array" ref="E42">IFERROR(XLOOKUP(A42, BASE!E:E, BASE!H:H), "")
</f>
        <v>46052.4375</v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24" t="s">
        <v>1341</v>
      </c>
      <c r="B43" s="73" t="str">
        <f t="array" ref="B43">IFERROR(XLOOKUP(A43, BASE!E:E, BASE!B:B), "")
</f>
        <v>SoC_RS_Gravataí_02</v>
      </c>
      <c r="C43" s="73" t="str">
        <f t="array" ref="C43">IFERROR(XLOOKUP(A43, BASE!E:E, BASE!C:C), "")
</f>
        <v>SOC-RS2</v>
      </c>
      <c r="D43" s="73">
        <f t="array" ref="D43">IFERROR(XLOOKUP(A43, BASE!E:E, BASE!D:D), "")
</f>
        <v>93</v>
      </c>
      <c r="E43" s="168">
        <f t="array" ref="E43">IFERROR(XLOOKUP(A43, BASE!E:E, BASE!H:H), "")
</f>
        <v>46052.45833</v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24" t="s">
        <v>1342</v>
      </c>
      <c r="B44" s="73" t="str">
        <f t="array" ref="B44">IFERROR(XLOOKUP(A44, BASE!E:E, BASE!B:B), "")
</f>
        <v>SoC_RJ_Duque de Caxias</v>
      </c>
      <c r="C44" s="73" t="str">
        <f t="array" ref="C44">IFERROR(XLOOKUP(A44, BASE!E:E, BASE!C:C), "")
</f>
        <v>SOC-RJ2</v>
      </c>
      <c r="D44" s="73" t="s">
        <v>167</v>
      </c>
      <c r="E44" s="168">
        <f t="array" ref="E44">IFERROR(XLOOKUP(A44, BASE!E:E, BASE!H:H), "")
</f>
        <v>46052.45833</v>
      </c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24" t="s">
        <v>1343</v>
      </c>
      <c r="B45" s="73" t="str">
        <f t="array" ref="B45">IFERROR(XLOOKUP(A45, BASE!E:E, BASE!B:B), "")
</f>
        <v>SoC_GO_Goiânia_02</v>
      </c>
      <c r="C45" s="73" t="str">
        <f t="array" ref="C45">IFERROR(XLOOKUP(A45, BASE!E:E, BASE!C:C), "")
</f>
        <v>SOC-GO2</v>
      </c>
      <c r="D45" s="73" t="s">
        <v>167</v>
      </c>
      <c r="E45" s="168">
        <f t="array" ref="E45">IFERROR(XLOOKUP(A45, BASE!E:E, BASE!H:H), "")
</f>
        <v>46052.45833</v>
      </c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24" t="s">
        <v>1344</v>
      </c>
      <c r="B46" s="73" t="str">
        <f t="array" ref="B46">IFERROR(XLOOKUP(A46, BASE!E:E, BASE!B:B), "")
</f>
        <v>SoC_PE_Jaboatão dos Guararapes</v>
      </c>
      <c r="C46" s="73" t="str">
        <f t="array" ref="C46">IFERROR(XLOOKUP(A46, BASE!E:E, BASE!C:C), "")
</f>
        <v>SOC-PE2</v>
      </c>
      <c r="D46" s="73" t="s">
        <v>167</v>
      </c>
      <c r="E46" s="168">
        <f t="array" ref="E46">IFERROR(XLOOKUP(A46, BASE!E:E, BASE!H:H), "")
</f>
        <v>46052.45833</v>
      </c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24" t="s">
        <v>1345</v>
      </c>
      <c r="B47" s="73" t="str">
        <f t="array" ref="B47">IFERROR(XLOOKUP(A47, BASE!E:E, BASE!B:B), "")
</f>
        <v>SoC_MG_Betim</v>
      </c>
      <c r="C47" s="73" t="str">
        <f t="array" ref="C47">IFERROR(XLOOKUP(A47, BASE!E:E, BASE!C:C), "")
</f>
        <v>SOC-MG2</v>
      </c>
      <c r="D47" s="73" t="s">
        <v>167</v>
      </c>
      <c r="E47" s="168">
        <f t="array" ref="E47">IFERROR(XLOOKUP(A47, BASE!E:E, BASE!H:H), "")
</f>
        <v>46052.45833</v>
      </c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224" t="s">
        <v>1346</v>
      </c>
      <c r="B48" s="73" t="str">
        <f t="array" ref="B48">IFERROR(XLOOKUP(A48, BASE!E:E, BASE!B:B), "")
</f>
        <v>SoC_MG_Betim</v>
      </c>
      <c r="C48" s="73" t="str">
        <f t="array" ref="C48">IFERROR(XLOOKUP(A48, BASE!E:E, BASE!C:C), "")
</f>
        <v>SOC-MG2</v>
      </c>
      <c r="D48" s="73" t="s">
        <v>167</v>
      </c>
      <c r="E48" s="168">
        <f t="array" ref="E48">IFERROR(XLOOKUP(A48, BASE!E:E, BASE!H:H), "")
</f>
        <v>46052.45833</v>
      </c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224" t="s">
        <v>1347</v>
      </c>
      <c r="B49" s="73" t="str">
        <f t="array" ref="B49">IFERROR(XLOOKUP(A49, BASE!E:E, BASE!B:B), "")
</f>
        <v>SoC_BA_Simoes Filho</v>
      </c>
      <c r="C49" s="73" t="str">
        <f t="array" ref="C49">IFERROR(XLOOKUP(A49, BASE!E:E, BASE!C:C), "")
</f>
        <v>SOC-BA2</v>
      </c>
      <c r="D49" s="73" t="s">
        <v>167</v>
      </c>
      <c r="E49" s="168">
        <f t="array" ref="E49">IFERROR(XLOOKUP(A49, BASE!E:E, BASE!H:H), "")
</f>
        <v>46052.45833</v>
      </c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224" t="s">
        <v>1348</v>
      </c>
      <c r="B50" s="73" t="str">
        <f t="array" ref="B50">IFERROR(XLOOKUP(A50, BASE!E:E, BASE!B:B), "")
</f>
        <v>SoC_SP_Cravinhos</v>
      </c>
      <c r="C50" s="73" t="str">
        <f t="array" ref="C50">IFERROR(XLOOKUP(A50, BASE!E:E, BASE!C:C), "")
</f>
        <v>SOC-SP5</v>
      </c>
      <c r="D50" s="73" t="s">
        <v>167</v>
      </c>
      <c r="E50" s="168">
        <f t="array" ref="E50">IFERROR(XLOOKUP(A50, BASE!E:E, BASE!H:H), "")
</f>
        <v>46052.45833</v>
      </c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224" t="s">
        <v>1349</v>
      </c>
      <c r="B51" s="73" t="str">
        <f t="array" ref="B51">IFERROR(XLOOKUP(A51, BASE!E:E, BASE!B:B), "")
</f>
        <v>SoC_SP_Louveira</v>
      </c>
      <c r="C51" s="73" t="str">
        <f t="array" ref="C51">IFERROR(XLOOKUP(A51, BASE!E:E, BASE!C:C), "")
</f>
        <v>SOC-SP7</v>
      </c>
      <c r="D51" s="73" t="s">
        <v>167</v>
      </c>
      <c r="E51" s="168">
        <f t="array" ref="E51">IFERROR(XLOOKUP(A51, BASE!E:E, BASE!H:H), "")
</f>
        <v>46052.47917</v>
      </c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224" t="s">
        <v>1350</v>
      </c>
      <c r="B52" s="73" t="str">
        <f t="array" ref="B52">IFERROR(XLOOKUP(A52, BASE!E:E, BASE!B:B), "")
</f>
        <v>SoC_BA_Simoes Filho</v>
      </c>
      <c r="C52" s="73" t="str">
        <f t="array" ref="C52">IFERROR(XLOOKUP(A52, BASE!E:E, BASE!C:C), "")
</f>
        <v>SOC-BA2</v>
      </c>
      <c r="D52" s="73" t="s">
        <v>167</v>
      </c>
      <c r="E52" s="168">
        <f t="array" ref="E52">IFERROR(XLOOKUP(A52, BASE!E:E, BASE!H:H), "")
</f>
        <v>46052.66667</v>
      </c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178"/>
      <c r="B53" s="178"/>
      <c r="C53" s="178"/>
      <c r="D53" s="178"/>
      <c r="E53" s="178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178"/>
      <c r="B54" s="178"/>
      <c r="C54" s="178"/>
      <c r="D54" s="178"/>
      <c r="E54" s="178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178"/>
      <c r="B55" s="178"/>
      <c r="C55" s="178"/>
      <c r="D55" s="178"/>
      <c r="E55" s="178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178"/>
      <c r="B56" s="178"/>
      <c r="C56" s="178"/>
      <c r="D56" s="178"/>
      <c r="E56" s="178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178"/>
      <c r="B57" s="178"/>
      <c r="C57" s="178"/>
      <c r="D57" s="178"/>
      <c r="E57" s="178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178"/>
      <c r="B58" s="178"/>
      <c r="C58" s="178"/>
      <c r="D58" s="178"/>
      <c r="E58" s="178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178"/>
      <c r="B59" s="178"/>
      <c r="C59" s="178"/>
      <c r="D59" s="178"/>
      <c r="E59" s="178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178"/>
      <c r="B60" s="178"/>
      <c r="C60" s="178"/>
      <c r="D60" s="178"/>
      <c r="E60" s="178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178"/>
      <c r="B61" s="178"/>
      <c r="C61" s="178"/>
      <c r="D61" s="178"/>
      <c r="E61" s="178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178"/>
      <c r="B62" s="178"/>
      <c r="C62" s="178"/>
      <c r="D62" s="178"/>
      <c r="E62" s="178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178"/>
      <c r="B63" s="178"/>
      <c r="C63" s="178"/>
      <c r="D63" s="178"/>
      <c r="E63" s="178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178"/>
      <c r="B64" s="178"/>
      <c r="C64" s="178"/>
      <c r="D64" s="178"/>
      <c r="E64" s="178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178"/>
      <c r="B65" s="178"/>
      <c r="C65" s="178"/>
      <c r="D65" s="178"/>
      <c r="E65" s="178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178"/>
      <c r="B66" s="178"/>
      <c r="C66" s="178"/>
      <c r="D66" s="178"/>
      <c r="E66" s="178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178"/>
      <c r="B67" s="178"/>
      <c r="C67" s="178"/>
      <c r="D67" s="178"/>
      <c r="E67" s="178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178"/>
      <c r="B68" s="178"/>
      <c r="C68" s="178"/>
      <c r="D68" s="178"/>
      <c r="E68" s="178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178"/>
      <c r="B69" s="178"/>
      <c r="C69" s="178"/>
      <c r="D69" s="178"/>
      <c r="E69" s="178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178"/>
      <c r="B70" s="178"/>
      <c r="C70" s="178"/>
      <c r="D70" s="178"/>
      <c r="E70" s="178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178"/>
      <c r="B71" s="178"/>
      <c r="C71" s="178"/>
      <c r="D71" s="178"/>
      <c r="E71" s="178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178"/>
      <c r="B72" s="178"/>
      <c r="C72" s="178"/>
      <c r="D72" s="178"/>
      <c r="E72" s="178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178"/>
      <c r="B73" s="178"/>
      <c r="C73" s="178"/>
      <c r="D73" s="178"/>
      <c r="E73" s="178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178"/>
      <c r="B74" s="178"/>
      <c r="C74" s="178"/>
      <c r="D74" s="178"/>
      <c r="E74" s="178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178"/>
      <c r="B75" s="178"/>
      <c r="C75" s="178"/>
      <c r="D75" s="178"/>
      <c r="E75" s="178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178"/>
      <c r="B76" s="178"/>
      <c r="C76" s="178"/>
      <c r="D76" s="178"/>
      <c r="E76" s="178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178"/>
      <c r="B77" s="178"/>
      <c r="C77" s="178"/>
      <c r="D77" s="178"/>
      <c r="E77" s="178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178"/>
      <c r="B78" s="178"/>
      <c r="C78" s="178"/>
      <c r="D78" s="178"/>
      <c r="E78" s="178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178"/>
      <c r="B79" s="178"/>
      <c r="C79" s="178"/>
      <c r="D79" s="178"/>
      <c r="E79" s="178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178"/>
      <c r="B80" s="178"/>
      <c r="C80" s="178"/>
      <c r="D80" s="178"/>
      <c r="E80" s="178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178"/>
      <c r="B81" s="178"/>
      <c r="C81" s="178"/>
      <c r="D81" s="178"/>
      <c r="E81" s="178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178"/>
      <c r="B82" s="178"/>
      <c r="C82" s="178"/>
      <c r="D82" s="178"/>
      <c r="E82" s="178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178"/>
      <c r="B83" s="178"/>
      <c r="C83" s="178"/>
      <c r="D83" s="178"/>
      <c r="E83" s="178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178"/>
      <c r="B84" s="178"/>
      <c r="C84" s="178"/>
      <c r="D84" s="178"/>
      <c r="E84" s="178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178"/>
      <c r="B85" s="178"/>
      <c r="C85" s="178"/>
      <c r="D85" s="178"/>
      <c r="E85" s="178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178"/>
      <c r="B86" s="178"/>
      <c r="C86" s="178"/>
      <c r="D86" s="178"/>
      <c r="E86" s="178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178"/>
      <c r="B87" s="178"/>
      <c r="C87" s="178"/>
      <c r="D87" s="178"/>
      <c r="E87" s="178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178"/>
      <c r="B88" s="178"/>
      <c r="C88" s="178"/>
      <c r="D88" s="178"/>
      <c r="E88" s="178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178"/>
      <c r="B89" s="178"/>
      <c r="C89" s="178"/>
      <c r="D89" s="178"/>
      <c r="E89" s="178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178"/>
      <c r="B90" s="178"/>
      <c r="C90" s="178"/>
      <c r="D90" s="178"/>
      <c r="E90" s="178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178"/>
      <c r="B91" s="178"/>
      <c r="C91" s="178"/>
      <c r="D91" s="178"/>
      <c r="E91" s="178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178"/>
      <c r="B92" s="178"/>
      <c r="C92" s="178"/>
      <c r="D92" s="178"/>
      <c r="E92" s="178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178"/>
      <c r="B93" s="178"/>
      <c r="C93" s="178"/>
      <c r="D93" s="178"/>
      <c r="E93" s="178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178"/>
      <c r="B94" s="178"/>
      <c r="C94" s="178"/>
      <c r="D94" s="178"/>
      <c r="E94" s="178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178"/>
      <c r="B95" s="178"/>
      <c r="C95" s="178"/>
      <c r="D95" s="178"/>
      <c r="E95" s="178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178"/>
      <c r="B96" s="178"/>
      <c r="C96" s="178"/>
      <c r="D96" s="178"/>
      <c r="E96" s="178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178"/>
      <c r="B97" s="178"/>
      <c r="C97" s="178"/>
      <c r="D97" s="178"/>
      <c r="E97" s="178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178"/>
      <c r="B98" s="178"/>
      <c r="C98" s="178"/>
      <c r="D98" s="178"/>
      <c r="E98" s="178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178"/>
      <c r="B99" s="178"/>
      <c r="C99" s="178"/>
      <c r="D99" s="178"/>
      <c r="E99" s="178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178"/>
      <c r="B100" s="178"/>
      <c r="C100" s="178"/>
      <c r="D100" s="178"/>
      <c r="E100" s="178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178"/>
      <c r="B101" s="178"/>
      <c r="C101" s="178"/>
      <c r="D101" s="178"/>
      <c r="E101" s="178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178"/>
      <c r="B102" s="178"/>
      <c r="C102" s="178"/>
      <c r="D102" s="178"/>
      <c r="E102" s="178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178"/>
      <c r="B103" s="178"/>
      <c r="C103" s="178"/>
      <c r="D103" s="178"/>
      <c r="E103" s="178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178"/>
      <c r="B104" s="178"/>
      <c r="C104" s="178"/>
      <c r="D104" s="178"/>
      <c r="E104" s="178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178"/>
      <c r="B105" s="178"/>
      <c r="C105" s="178"/>
      <c r="D105" s="178"/>
      <c r="E105" s="178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178"/>
      <c r="B106" s="178"/>
      <c r="C106" s="178"/>
      <c r="D106" s="178"/>
      <c r="E106" s="178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178"/>
      <c r="B107" s="178"/>
      <c r="C107" s="178"/>
      <c r="D107" s="178"/>
      <c r="E107" s="178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178"/>
      <c r="B108" s="178"/>
      <c r="C108" s="178"/>
      <c r="D108" s="178"/>
      <c r="E108" s="178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178"/>
      <c r="B109" s="178"/>
      <c r="C109" s="178"/>
      <c r="D109" s="178"/>
      <c r="E109" s="178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178"/>
      <c r="B110" s="178"/>
      <c r="C110" s="178"/>
      <c r="D110" s="178"/>
      <c r="E110" s="178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178"/>
      <c r="B111" s="178"/>
      <c r="C111" s="178"/>
      <c r="D111" s="178"/>
      <c r="E111" s="178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178"/>
      <c r="B112" s="178"/>
      <c r="C112" s="178"/>
      <c r="D112" s="178"/>
      <c r="E112" s="178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178"/>
      <c r="B113" s="178"/>
      <c r="C113" s="178"/>
      <c r="D113" s="178"/>
      <c r="E113" s="178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178"/>
      <c r="B114" s="178"/>
      <c r="C114" s="178"/>
      <c r="D114" s="178"/>
      <c r="E114" s="178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178"/>
      <c r="B115" s="178"/>
      <c r="C115" s="178"/>
      <c r="D115" s="178"/>
      <c r="E115" s="178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178"/>
      <c r="B116" s="178"/>
      <c r="C116" s="178"/>
      <c r="D116" s="178"/>
      <c r="E116" s="178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178"/>
      <c r="B117" s="178"/>
      <c r="C117" s="178"/>
      <c r="D117" s="178"/>
      <c r="E117" s="178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178"/>
      <c r="B118" s="178"/>
      <c r="C118" s="178"/>
      <c r="D118" s="178"/>
      <c r="E118" s="178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178"/>
      <c r="B119" s="178"/>
      <c r="C119" s="178"/>
      <c r="D119" s="178"/>
      <c r="E119" s="178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178"/>
      <c r="B120" s="178"/>
      <c r="C120" s="178"/>
      <c r="D120" s="178"/>
      <c r="E120" s="178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178"/>
      <c r="B121" s="178"/>
      <c r="C121" s="178"/>
      <c r="D121" s="178"/>
      <c r="E121" s="178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178"/>
      <c r="B122" s="178"/>
      <c r="C122" s="178"/>
      <c r="D122" s="178"/>
      <c r="E122" s="178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178"/>
      <c r="B123" s="178"/>
      <c r="C123" s="178"/>
      <c r="D123" s="178"/>
      <c r="E123" s="178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178"/>
      <c r="B124" s="178"/>
      <c r="C124" s="178"/>
      <c r="D124" s="178"/>
      <c r="E124" s="178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178"/>
      <c r="B125" s="178"/>
      <c r="C125" s="178"/>
      <c r="D125" s="178"/>
      <c r="E125" s="178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178"/>
      <c r="B126" s="178"/>
      <c r="C126" s="178"/>
      <c r="D126" s="178"/>
      <c r="E126" s="178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178"/>
      <c r="B127" s="178"/>
      <c r="C127" s="178"/>
      <c r="D127" s="178"/>
      <c r="E127" s="178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178"/>
      <c r="B128" s="178"/>
      <c r="C128" s="178"/>
      <c r="D128" s="178"/>
      <c r="E128" s="178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178"/>
      <c r="B129" s="178"/>
      <c r="C129" s="178"/>
      <c r="D129" s="178"/>
      <c r="E129" s="178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178"/>
      <c r="B130" s="178"/>
      <c r="C130" s="178"/>
      <c r="D130" s="178"/>
      <c r="E130" s="178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178"/>
      <c r="B131" s="178"/>
      <c r="C131" s="178"/>
      <c r="D131" s="178"/>
      <c r="E131" s="178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178"/>
      <c r="B132" s="178"/>
      <c r="C132" s="178"/>
      <c r="D132" s="178"/>
      <c r="E132" s="178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178"/>
      <c r="B133" s="178"/>
      <c r="C133" s="178"/>
      <c r="D133" s="178"/>
      <c r="E133" s="178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178"/>
      <c r="B134" s="178"/>
      <c r="C134" s="178"/>
      <c r="D134" s="178"/>
      <c r="E134" s="178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178"/>
      <c r="B135" s="178"/>
      <c r="C135" s="178"/>
      <c r="D135" s="178"/>
      <c r="E135" s="178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178"/>
      <c r="B136" s="178"/>
      <c r="C136" s="178"/>
      <c r="D136" s="178"/>
      <c r="E136" s="178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178"/>
      <c r="B137" s="178"/>
      <c r="C137" s="178"/>
      <c r="D137" s="178"/>
      <c r="E137" s="178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178"/>
      <c r="B138" s="178"/>
      <c r="C138" s="178"/>
      <c r="D138" s="178"/>
      <c r="E138" s="178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178"/>
      <c r="B139" s="178"/>
      <c r="C139" s="178"/>
      <c r="D139" s="178"/>
      <c r="E139" s="178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178"/>
      <c r="B140" s="178"/>
      <c r="C140" s="178"/>
      <c r="D140" s="178"/>
      <c r="E140" s="178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178"/>
      <c r="B141" s="178"/>
      <c r="C141" s="178"/>
      <c r="D141" s="178"/>
      <c r="E141" s="178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178"/>
      <c r="B142" s="178"/>
      <c r="C142" s="178"/>
      <c r="D142" s="178"/>
      <c r="E142" s="178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178"/>
      <c r="B143" s="178"/>
      <c r="C143" s="178"/>
      <c r="D143" s="178"/>
      <c r="E143" s="178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178"/>
      <c r="B144" s="178"/>
      <c r="C144" s="178"/>
      <c r="D144" s="178"/>
      <c r="E144" s="178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178"/>
      <c r="B145" s="178"/>
      <c r="C145" s="178"/>
      <c r="D145" s="178"/>
      <c r="E145" s="178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178"/>
      <c r="B146" s="178"/>
      <c r="C146" s="178"/>
      <c r="D146" s="178"/>
      <c r="E146" s="178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178"/>
      <c r="B147" s="178"/>
      <c r="C147" s="178"/>
      <c r="D147" s="178"/>
      <c r="E147" s="178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178"/>
      <c r="B148" s="178"/>
      <c r="C148" s="178"/>
      <c r="D148" s="178"/>
      <c r="E148" s="178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178"/>
      <c r="B149" s="178"/>
      <c r="C149" s="178"/>
      <c r="D149" s="178"/>
      <c r="E149" s="178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178"/>
      <c r="B150" s="178"/>
      <c r="C150" s="178"/>
      <c r="D150" s="178"/>
      <c r="E150" s="178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178"/>
      <c r="B151" s="178"/>
      <c r="C151" s="178"/>
      <c r="D151" s="178"/>
      <c r="E151" s="178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178"/>
      <c r="B152" s="178"/>
      <c r="C152" s="178"/>
      <c r="D152" s="178"/>
      <c r="E152" s="178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178"/>
      <c r="B153" s="178"/>
      <c r="C153" s="178"/>
      <c r="D153" s="178"/>
      <c r="E153" s="178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178"/>
      <c r="B154" s="178"/>
      <c r="C154" s="178"/>
      <c r="D154" s="178"/>
      <c r="E154" s="178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178"/>
      <c r="B155" s="178"/>
      <c r="C155" s="178"/>
      <c r="D155" s="178"/>
      <c r="E155" s="178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178"/>
      <c r="B156" s="178"/>
      <c r="C156" s="178"/>
      <c r="D156" s="178"/>
      <c r="E156" s="178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178"/>
      <c r="B157" s="178"/>
      <c r="C157" s="178"/>
      <c r="D157" s="178"/>
      <c r="E157" s="178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178"/>
      <c r="B158" s="178"/>
      <c r="C158" s="178"/>
      <c r="D158" s="178"/>
      <c r="E158" s="178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178"/>
      <c r="B159" s="178"/>
      <c r="C159" s="178"/>
      <c r="D159" s="178"/>
      <c r="E159" s="178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178"/>
      <c r="B160" s="178"/>
      <c r="C160" s="178"/>
      <c r="D160" s="178"/>
      <c r="E160" s="178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178"/>
      <c r="B161" s="178"/>
      <c r="C161" s="178"/>
      <c r="D161" s="178"/>
      <c r="E161" s="178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178"/>
      <c r="B162" s="178"/>
      <c r="C162" s="178"/>
      <c r="D162" s="178"/>
      <c r="E162" s="178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178"/>
      <c r="B163" s="178"/>
      <c r="C163" s="178"/>
      <c r="D163" s="178"/>
      <c r="E163" s="178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178"/>
      <c r="B164" s="178"/>
      <c r="C164" s="178"/>
      <c r="D164" s="178"/>
      <c r="E164" s="178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178"/>
      <c r="B165" s="178"/>
      <c r="C165" s="178"/>
      <c r="D165" s="178"/>
      <c r="E165" s="178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178"/>
      <c r="B166" s="178"/>
      <c r="C166" s="178"/>
      <c r="D166" s="178"/>
      <c r="E166" s="178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178"/>
      <c r="B167" s="178"/>
      <c r="C167" s="178"/>
      <c r="D167" s="178"/>
      <c r="E167" s="178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178"/>
      <c r="B168" s="178"/>
      <c r="C168" s="178"/>
      <c r="D168" s="178"/>
      <c r="E168" s="178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178"/>
      <c r="B169" s="178"/>
      <c r="C169" s="178"/>
      <c r="D169" s="178"/>
      <c r="E169" s="178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178"/>
      <c r="B170" s="178"/>
      <c r="C170" s="178"/>
      <c r="D170" s="178"/>
      <c r="E170" s="178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178"/>
      <c r="B171" s="178"/>
      <c r="C171" s="178"/>
      <c r="D171" s="178"/>
      <c r="E171" s="178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178"/>
      <c r="B172" s="178"/>
      <c r="C172" s="178"/>
      <c r="D172" s="178"/>
      <c r="E172" s="178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178"/>
      <c r="B173" s="178"/>
      <c r="C173" s="178"/>
      <c r="D173" s="178"/>
      <c r="E173" s="178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178"/>
      <c r="B174" s="178"/>
      <c r="C174" s="178"/>
      <c r="D174" s="178"/>
      <c r="E174" s="178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178"/>
      <c r="B175" s="178"/>
      <c r="C175" s="178"/>
      <c r="D175" s="178"/>
      <c r="E175" s="178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178"/>
      <c r="B176" s="178"/>
      <c r="C176" s="178"/>
      <c r="D176" s="178"/>
      <c r="E176" s="178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178"/>
      <c r="B177" s="178"/>
      <c r="C177" s="178"/>
      <c r="D177" s="178"/>
      <c r="E177" s="178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178"/>
      <c r="B178" s="178"/>
      <c r="C178" s="178"/>
      <c r="D178" s="178"/>
      <c r="E178" s="178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178"/>
      <c r="B179" s="178"/>
      <c r="C179" s="178"/>
      <c r="D179" s="178"/>
      <c r="E179" s="178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178"/>
      <c r="B180" s="178"/>
      <c r="C180" s="178"/>
      <c r="D180" s="178"/>
      <c r="E180" s="178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178"/>
      <c r="B181" s="178"/>
      <c r="C181" s="178"/>
      <c r="D181" s="178"/>
      <c r="E181" s="178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178"/>
      <c r="B182" s="178"/>
      <c r="C182" s="178"/>
      <c r="D182" s="178"/>
      <c r="E182" s="178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178"/>
      <c r="B183" s="178"/>
      <c r="C183" s="178"/>
      <c r="D183" s="178"/>
      <c r="E183" s="178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178"/>
      <c r="B184" s="178"/>
      <c r="C184" s="178"/>
      <c r="D184" s="178"/>
      <c r="E184" s="178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178"/>
      <c r="B185" s="178"/>
      <c r="C185" s="178"/>
      <c r="D185" s="178"/>
      <c r="E185" s="178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178"/>
      <c r="B186" s="178"/>
      <c r="C186" s="178"/>
      <c r="D186" s="178"/>
      <c r="E186" s="178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178"/>
      <c r="B187" s="178"/>
      <c r="C187" s="178"/>
      <c r="D187" s="178"/>
      <c r="E187" s="178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178"/>
      <c r="B188" s="178"/>
      <c r="C188" s="178"/>
      <c r="D188" s="178"/>
      <c r="E188" s="178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178"/>
      <c r="B189" s="178"/>
      <c r="C189" s="178"/>
      <c r="D189" s="178"/>
      <c r="E189" s="178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178"/>
      <c r="B190" s="178"/>
      <c r="C190" s="178"/>
      <c r="D190" s="178"/>
      <c r="E190" s="178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178"/>
      <c r="B191" s="178"/>
      <c r="C191" s="178"/>
      <c r="D191" s="178"/>
      <c r="E191" s="178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178"/>
      <c r="B192" s="178"/>
      <c r="C192" s="178"/>
      <c r="D192" s="178"/>
      <c r="E192" s="178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178"/>
      <c r="B193" s="178"/>
      <c r="C193" s="178"/>
      <c r="D193" s="178"/>
      <c r="E193" s="178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178"/>
      <c r="B194" s="178"/>
      <c r="C194" s="178"/>
      <c r="D194" s="178"/>
      <c r="E194" s="178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178"/>
      <c r="B195" s="178"/>
      <c r="C195" s="178"/>
      <c r="D195" s="178"/>
      <c r="E195" s="178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178"/>
      <c r="B196" s="178"/>
      <c r="C196" s="178"/>
      <c r="D196" s="178"/>
      <c r="E196" s="178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178"/>
      <c r="B197" s="178"/>
      <c r="C197" s="178"/>
      <c r="D197" s="178"/>
      <c r="E197" s="178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178"/>
      <c r="B198" s="178"/>
      <c r="C198" s="178"/>
      <c r="D198" s="178"/>
      <c r="E198" s="178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178"/>
      <c r="B199" s="178"/>
      <c r="C199" s="178"/>
      <c r="D199" s="178"/>
      <c r="E199" s="178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178"/>
      <c r="B200" s="178"/>
      <c r="C200" s="178"/>
      <c r="D200" s="178"/>
      <c r="E200" s="178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178"/>
      <c r="B201" s="178"/>
      <c r="C201" s="178"/>
      <c r="D201" s="178"/>
      <c r="E201" s="178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178"/>
      <c r="B202" s="178"/>
      <c r="C202" s="178"/>
      <c r="D202" s="178"/>
      <c r="E202" s="178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178"/>
      <c r="B203" s="178"/>
      <c r="C203" s="178"/>
      <c r="D203" s="178"/>
      <c r="E203" s="178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178"/>
      <c r="B204" s="178"/>
      <c r="C204" s="178"/>
      <c r="D204" s="178"/>
      <c r="E204" s="178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178"/>
      <c r="B205" s="178"/>
      <c r="C205" s="178"/>
      <c r="D205" s="178"/>
      <c r="E205" s="178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178"/>
      <c r="B206" s="178"/>
      <c r="C206" s="178"/>
      <c r="D206" s="178"/>
      <c r="E206" s="178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178"/>
      <c r="B207" s="178"/>
      <c r="C207" s="178"/>
      <c r="D207" s="178"/>
      <c r="E207" s="178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178"/>
      <c r="B208" s="178"/>
      <c r="C208" s="178"/>
      <c r="D208" s="178"/>
      <c r="E208" s="178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178"/>
      <c r="B209" s="178"/>
      <c r="C209" s="178"/>
      <c r="D209" s="178"/>
      <c r="E209" s="178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178"/>
      <c r="B210" s="178"/>
      <c r="C210" s="178"/>
      <c r="D210" s="178"/>
      <c r="E210" s="178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178"/>
      <c r="B211" s="178"/>
      <c r="C211" s="178"/>
      <c r="D211" s="178"/>
      <c r="E211" s="178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178"/>
      <c r="B212" s="178"/>
      <c r="C212" s="178"/>
      <c r="D212" s="178"/>
      <c r="E212" s="178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178"/>
      <c r="B213" s="178"/>
      <c r="C213" s="178"/>
      <c r="D213" s="178"/>
      <c r="E213" s="178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178"/>
      <c r="B214" s="178"/>
      <c r="C214" s="178"/>
      <c r="D214" s="178"/>
      <c r="E214" s="178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178"/>
      <c r="B215" s="178"/>
      <c r="C215" s="178"/>
      <c r="D215" s="178"/>
      <c r="E215" s="178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178"/>
      <c r="B216" s="178"/>
      <c r="C216" s="178"/>
      <c r="D216" s="178"/>
      <c r="E216" s="178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178"/>
      <c r="B217" s="178"/>
      <c r="C217" s="178"/>
      <c r="D217" s="178"/>
      <c r="E217" s="178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178"/>
      <c r="B218" s="178"/>
      <c r="C218" s="178"/>
      <c r="D218" s="178"/>
      <c r="E218" s="178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178"/>
      <c r="B219" s="178"/>
      <c r="C219" s="178"/>
      <c r="D219" s="178"/>
      <c r="E219" s="178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178"/>
      <c r="B220" s="178"/>
      <c r="C220" s="178"/>
      <c r="D220" s="178"/>
      <c r="E220" s="178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178"/>
      <c r="B221" s="178"/>
      <c r="C221" s="178"/>
      <c r="D221" s="178"/>
      <c r="E221" s="178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178"/>
      <c r="B222" s="178"/>
      <c r="C222" s="178"/>
      <c r="D222" s="178"/>
      <c r="E222" s="178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178"/>
      <c r="B223" s="178"/>
      <c r="C223" s="178"/>
      <c r="D223" s="178"/>
      <c r="E223" s="178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178"/>
      <c r="B224" s="178"/>
      <c r="C224" s="178"/>
      <c r="D224" s="178"/>
      <c r="E224" s="178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178"/>
      <c r="B225" s="178"/>
      <c r="C225" s="178"/>
      <c r="D225" s="178"/>
      <c r="E225" s="178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178"/>
      <c r="B226" s="178"/>
      <c r="C226" s="178"/>
      <c r="D226" s="178"/>
      <c r="E226" s="178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178"/>
      <c r="B227" s="178"/>
      <c r="C227" s="178"/>
      <c r="D227" s="178"/>
      <c r="E227" s="178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178"/>
      <c r="B228" s="178"/>
      <c r="C228" s="178"/>
      <c r="D228" s="178"/>
      <c r="E228" s="178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178"/>
      <c r="B229" s="178"/>
      <c r="C229" s="178"/>
      <c r="D229" s="178"/>
      <c r="E229" s="178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178"/>
      <c r="B230" s="178"/>
      <c r="C230" s="178"/>
      <c r="D230" s="178"/>
      <c r="E230" s="178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178"/>
      <c r="B231" s="178"/>
      <c r="C231" s="178"/>
      <c r="D231" s="178"/>
      <c r="E231" s="178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178"/>
      <c r="B232" s="178"/>
      <c r="C232" s="178"/>
      <c r="D232" s="178"/>
      <c r="E232" s="178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178"/>
      <c r="B233" s="178"/>
      <c r="C233" s="178"/>
      <c r="D233" s="178"/>
      <c r="E233" s="178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178"/>
      <c r="B234" s="178"/>
      <c r="C234" s="178"/>
      <c r="D234" s="178"/>
      <c r="E234" s="178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178"/>
      <c r="B235" s="178"/>
      <c r="C235" s="178"/>
      <c r="D235" s="178"/>
      <c r="E235" s="178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178"/>
      <c r="B236" s="178"/>
      <c r="C236" s="178"/>
      <c r="D236" s="178"/>
      <c r="E236" s="178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178"/>
      <c r="B237" s="178"/>
      <c r="C237" s="178"/>
      <c r="D237" s="178"/>
      <c r="E237" s="178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178"/>
      <c r="B238" s="178"/>
      <c r="C238" s="178"/>
      <c r="D238" s="178"/>
      <c r="E238" s="178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178"/>
      <c r="B239" s="178"/>
      <c r="C239" s="178"/>
      <c r="D239" s="178"/>
      <c r="E239" s="178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178"/>
      <c r="B240" s="178"/>
      <c r="C240" s="178"/>
      <c r="D240" s="178"/>
      <c r="E240" s="178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178"/>
      <c r="B241" s="178"/>
      <c r="C241" s="178"/>
      <c r="D241" s="178"/>
      <c r="E241" s="178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178"/>
      <c r="B242" s="178"/>
      <c r="C242" s="178"/>
      <c r="D242" s="178"/>
      <c r="E242" s="178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178"/>
      <c r="B243" s="178"/>
      <c r="C243" s="178"/>
      <c r="D243" s="178"/>
      <c r="E243" s="178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178"/>
      <c r="B244" s="178"/>
      <c r="C244" s="178"/>
      <c r="D244" s="178"/>
      <c r="E244" s="178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178"/>
      <c r="B245" s="178"/>
      <c r="C245" s="178"/>
      <c r="D245" s="178"/>
      <c r="E245" s="178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178"/>
      <c r="B246" s="178"/>
      <c r="C246" s="178"/>
      <c r="D246" s="178"/>
      <c r="E246" s="178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178"/>
      <c r="B247" s="178"/>
      <c r="C247" s="178"/>
      <c r="D247" s="178"/>
      <c r="E247" s="178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178"/>
      <c r="B248" s="178"/>
      <c r="C248" s="178"/>
      <c r="D248" s="178"/>
      <c r="E248" s="178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178"/>
      <c r="B249" s="178"/>
      <c r="C249" s="178"/>
      <c r="D249" s="178"/>
      <c r="E249" s="178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178"/>
      <c r="B250" s="178"/>
      <c r="C250" s="178"/>
      <c r="D250" s="178"/>
      <c r="E250" s="178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178"/>
      <c r="B251" s="178"/>
      <c r="C251" s="178"/>
      <c r="D251" s="178"/>
      <c r="E251" s="178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178"/>
      <c r="B252" s="178"/>
      <c r="C252" s="178"/>
      <c r="D252" s="178"/>
      <c r="E252" s="178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178"/>
      <c r="B253" s="178"/>
      <c r="C253" s="178"/>
      <c r="D253" s="178"/>
      <c r="E253" s="178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178"/>
      <c r="B254" s="178"/>
      <c r="C254" s="178"/>
      <c r="D254" s="178"/>
      <c r="E254" s="178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178"/>
      <c r="B255" s="178"/>
      <c r="C255" s="178"/>
      <c r="D255" s="178"/>
      <c r="E255" s="178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178"/>
      <c r="B256" s="178"/>
      <c r="C256" s="178"/>
      <c r="D256" s="178"/>
      <c r="E256" s="178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178"/>
      <c r="B257" s="178"/>
      <c r="C257" s="178"/>
      <c r="D257" s="178"/>
      <c r="E257" s="178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178"/>
      <c r="B258" s="178"/>
      <c r="C258" s="178"/>
      <c r="D258" s="178"/>
      <c r="E258" s="178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178"/>
      <c r="B259" s="178"/>
      <c r="C259" s="178"/>
      <c r="D259" s="178"/>
      <c r="E259" s="178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178"/>
      <c r="B260" s="178"/>
      <c r="C260" s="178"/>
      <c r="D260" s="178"/>
      <c r="E260" s="178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178"/>
      <c r="B261" s="178"/>
      <c r="C261" s="178"/>
      <c r="D261" s="178"/>
      <c r="E261" s="178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178"/>
      <c r="B262" s="178"/>
      <c r="C262" s="178"/>
      <c r="D262" s="178"/>
      <c r="E262" s="178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178"/>
      <c r="B263" s="178"/>
      <c r="C263" s="178"/>
      <c r="D263" s="178"/>
      <c r="E263" s="178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178"/>
      <c r="B264" s="178"/>
      <c r="C264" s="178"/>
      <c r="D264" s="178"/>
      <c r="E264" s="178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178"/>
      <c r="B265" s="178"/>
      <c r="C265" s="178"/>
      <c r="D265" s="178"/>
      <c r="E265" s="178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178"/>
      <c r="B266" s="178"/>
      <c r="C266" s="178"/>
      <c r="D266" s="178"/>
      <c r="E266" s="178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178"/>
      <c r="B267" s="178"/>
      <c r="C267" s="178"/>
      <c r="D267" s="178"/>
      <c r="E267" s="178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178"/>
      <c r="B268" s="178"/>
      <c r="C268" s="178"/>
      <c r="D268" s="178"/>
      <c r="E268" s="178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178"/>
      <c r="B269" s="178"/>
      <c r="C269" s="178"/>
      <c r="D269" s="178"/>
      <c r="E269" s="178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178"/>
      <c r="B270" s="178"/>
      <c r="C270" s="178"/>
      <c r="D270" s="178"/>
      <c r="E270" s="178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178"/>
      <c r="B271" s="178"/>
      <c r="C271" s="178"/>
      <c r="D271" s="178"/>
      <c r="E271" s="178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178"/>
      <c r="B272" s="178"/>
      <c r="C272" s="178"/>
      <c r="D272" s="178"/>
      <c r="E272" s="178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178"/>
      <c r="B273" s="178"/>
      <c r="C273" s="178"/>
      <c r="D273" s="178"/>
      <c r="E273" s="178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178"/>
      <c r="B274" s="178"/>
      <c r="C274" s="178"/>
      <c r="D274" s="178"/>
      <c r="E274" s="178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178"/>
      <c r="B275" s="178"/>
      <c r="C275" s="178"/>
      <c r="D275" s="178"/>
      <c r="E275" s="178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178"/>
      <c r="B276" s="178"/>
      <c r="C276" s="178"/>
      <c r="D276" s="178"/>
      <c r="E276" s="178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178"/>
      <c r="B277" s="178"/>
      <c r="C277" s="178"/>
      <c r="D277" s="178"/>
      <c r="E277" s="178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178"/>
      <c r="B278" s="178"/>
      <c r="C278" s="178"/>
      <c r="D278" s="178"/>
      <c r="E278" s="178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178"/>
      <c r="B279" s="178"/>
      <c r="C279" s="178"/>
      <c r="D279" s="178"/>
      <c r="E279" s="178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178"/>
      <c r="B280" s="178"/>
      <c r="C280" s="178"/>
      <c r="D280" s="178"/>
      <c r="E280" s="178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178"/>
      <c r="B281" s="178"/>
      <c r="C281" s="178"/>
      <c r="D281" s="178"/>
      <c r="E281" s="178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178"/>
      <c r="B282" s="178"/>
      <c r="C282" s="178"/>
      <c r="D282" s="178"/>
      <c r="E282" s="178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178"/>
      <c r="B283" s="178"/>
      <c r="C283" s="178"/>
      <c r="D283" s="178"/>
      <c r="E283" s="178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178"/>
      <c r="B284" s="178"/>
      <c r="C284" s="178"/>
      <c r="D284" s="178"/>
      <c r="E284" s="178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178"/>
      <c r="B285" s="178"/>
      <c r="C285" s="178"/>
      <c r="D285" s="178"/>
      <c r="E285" s="178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178"/>
      <c r="B286" s="178"/>
      <c r="C286" s="178"/>
      <c r="D286" s="178"/>
      <c r="E286" s="178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178"/>
      <c r="B287" s="178"/>
      <c r="C287" s="178"/>
      <c r="D287" s="178"/>
      <c r="E287" s="178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178"/>
      <c r="B288" s="178"/>
      <c r="C288" s="178"/>
      <c r="D288" s="178"/>
      <c r="E288" s="178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178"/>
      <c r="B289" s="178"/>
      <c r="C289" s="178"/>
      <c r="D289" s="178"/>
      <c r="E289" s="178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178"/>
      <c r="B290" s="178"/>
      <c r="C290" s="178"/>
      <c r="D290" s="178"/>
      <c r="E290" s="178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178"/>
      <c r="B291" s="178"/>
      <c r="C291" s="178"/>
      <c r="D291" s="178"/>
      <c r="E291" s="178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178"/>
      <c r="B292" s="178"/>
      <c r="C292" s="178"/>
      <c r="D292" s="178"/>
      <c r="E292" s="178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178"/>
      <c r="B293" s="178"/>
      <c r="C293" s="178"/>
      <c r="D293" s="178"/>
      <c r="E293" s="178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178"/>
      <c r="B294" s="178"/>
      <c r="C294" s="178"/>
      <c r="D294" s="178"/>
      <c r="E294" s="178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178"/>
      <c r="B295" s="178"/>
      <c r="C295" s="178"/>
      <c r="D295" s="178"/>
      <c r="E295" s="178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178"/>
      <c r="B296" s="178"/>
      <c r="C296" s="178"/>
      <c r="D296" s="178"/>
      <c r="E296" s="178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178"/>
      <c r="B297" s="178"/>
      <c r="C297" s="178"/>
      <c r="D297" s="178"/>
      <c r="E297" s="178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178"/>
      <c r="B298" s="178"/>
      <c r="C298" s="178"/>
      <c r="D298" s="178"/>
      <c r="E298" s="178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178"/>
      <c r="B299" s="178"/>
      <c r="C299" s="178"/>
      <c r="D299" s="178"/>
      <c r="E299" s="178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178"/>
      <c r="B300" s="178"/>
      <c r="C300" s="178"/>
      <c r="D300" s="178"/>
      <c r="E300" s="178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178"/>
      <c r="B301" s="178"/>
      <c r="C301" s="178"/>
      <c r="D301" s="178"/>
      <c r="E301" s="178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178"/>
      <c r="B302" s="178"/>
      <c r="C302" s="178"/>
      <c r="D302" s="178"/>
      <c r="E302" s="178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178"/>
      <c r="B303" s="178"/>
      <c r="C303" s="178"/>
      <c r="D303" s="178"/>
      <c r="E303" s="178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178"/>
      <c r="B304" s="178"/>
      <c r="C304" s="178"/>
      <c r="D304" s="178"/>
      <c r="E304" s="178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178"/>
      <c r="B305" s="178"/>
      <c r="C305" s="178"/>
      <c r="D305" s="178"/>
      <c r="E305" s="178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178"/>
      <c r="B306" s="178"/>
      <c r="C306" s="178"/>
      <c r="D306" s="178"/>
      <c r="E306" s="178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178"/>
      <c r="B307" s="178"/>
      <c r="C307" s="178"/>
      <c r="D307" s="178"/>
      <c r="E307" s="178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178"/>
      <c r="B308" s="178"/>
      <c r="C308" s="178"/>
      <c r="D308" s="178"/>
      <c r="E308" s="178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178"/>
      <c r="B309" s="178"/>
      <c r="C309" s="178"/>
      <c r="D309" s="178"/>
      <c r="E309" s="178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178"/>
      <c r="B310" s="178"/>
      <c r="C310" s="178"/>
      <c r="D310" s="178"/>
      <c r="E310" s="178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178"/>
      <c r="B311" s="178"/>
      <c r="C311" s="178"/>
      <c r="D311" s="178"/>
      <c r="E311" s="178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178"/>
      <c r="B312" s="178"/>
      <c r="C312" s="178"/>
      <c r="D312" s="178"/>
      <c r="E312" s="178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178"/>
      <c r="B313" s="178"/>
      <c r="C313" s="178"/>
      <c r="D313" s="178"/>
      <c r="E313" s="178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178"/>
      <c r="B314" s="178"/>
      <c r="C314" s="178"/>
      <c r="D314" s="178"/>
      <c r="E314" s="178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178"/>
      <c r="B315" s="178"/>
      <c r="C315" s="178"/>
      <c r="D315" s="178"/>
      <c r="E315" s="178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178"/>
      <c r="B316" s="178"/>
      <c r="C316" s="178"/>
      <c r="D316" s="178"/>
      <c r="E316" s="178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178"/>
      <c r="B317" s="178"/>
      <c r="C317" s="178"/>
      <c r="D317" s="178"/>
      <c r="E317" s="178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178"/>
      <c r="B318" s="178"/>
      <c r="C318" s="178"/>
      <c r="D318" s="178"/>
      <c r="E318" s="178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178"/>
      <c r="B319" s="178"/>
      <c r="C319" s="178"/>
      <c r="D319" s="178"/>
      <c r="E319" s="178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178"/>
      <c r="B320" s="178"/>
      <c r="C320" s="178"/>
      <c r="D320" s="178"/>
      <c r="E320" s="178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178"/>
      <c r="B321" s="178"/>
      <c r="C321" s="178"/>
      <c r="D321" s="178"/>
      <c r="E321" s="178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178"/>
      <c r="B322" s="178"/>
      <c r="C322" s="178"/>
      <c r="D322" s="178"/>
      <c r="E322" s="178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178"/>
      <c r="B323" s="178"/>
      <c r="C323" s="178"/>
      <c r="D323" s="178"/>
      <c r="E323" s="178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178"/>
      <c r="B324" s="178"/>
      <c r="C324" s="178"/>
      <c r="D324" s="178"/>
      <c r="E324" s="178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178"/>
      <c r="B325" s="178"/>
      <c r="C325" s="178"/>
      <c r="D325" s="178"/>
      <c r="E325" s="178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178"/>
      <c r="B326" s="178"/>
      <c r="C326" s="178"/>
      <c r="D326" s="178"/>
      <c r="E326" s="178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178"/>
      <c r="B327" s="178"/>
      <c r="C327" s="178"/>
      <c r="D327" s="178"/>
      <c r="E327" s="178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178"/>
      <c r="B328" s="178"/>
      <c r="C328" s="178"/>
      <c r="D328" s="178"/>
      <c r="E328" s="178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178"/>
      <c r="B329" s="178"/>
      <c r="C329" s="178"/>
      <c r="D329" s="178"/>
      <c r="E329" s="178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178"/>
      <c r="B330" s="178"/>
      <c r="C330" s="178"/>
      <c r="D330" s="178"/>
      <c r="E330" s="178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178"/>
      <c r="B331" s="178"/>
      <c r="C331" s="178"/>
      <c r="D331" s="178"/>
      <c r="E331" s="178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178"/>
      <c r="B332" s="178"/>
      <c r="C332" s="178"/>
      <c r="D332" s="178"/>
      <c r="E332" s="178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178"/>
      <c r="B333" s="178"/>
      <c r="C333" s="178"/>
      <c r="D333" s="178"/>
      <c r="E333" s="178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178"/>
      <c r="B334" s="178"/>
      <c r="C334" s="178"/>
      <c r="D334" s="178"/>
      <c r="E334" s="178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178"/>
      <c r="B335" s="178"/>
      <c r="C335" s="178"/>
      <c r="D335" s="178"/>
      <c r="E335" s="178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178"/>
      <c r="B336" s="178"/>
      <c r="C336" s="178"/>
      <c r="D336" s="178"/>
      <c r="E336" s="178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178"/>
      <c r="B337" s="178"/>
      <c r="C337" s="178"/>
      <c r="D337" s="178"/>
      <c r="E337" s="178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178"/>
      <c r="B338" s="178"/>
      <c r="C338" s="178"/>
      <c r="D338" s="178"/>
      <c r="E338" s="178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178"/>
      <c r="B339" s="178"/>
      <c r="C339" s="178"/>
      <c r="D339" s="178"/>
      <c r="E339" s="178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178"/>
      <c r="B340" s="178"/>
      <c r="C340" s="178"/>
      <c r="D340" s="178"/>
      <c r="E340" s="178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178"/>
      <c r="B341" s="178"/>
      <c r="C341" s="178"/>
      <c r="D341" s="178"/>
      <c r="E341" s="178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178"/>
      <c r="B342" s="178"/>
      <c r="C342" s="178"/>
      <c r="D342" s="178"/>
      <c r="E342" s="178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178"/>
      <c r="B343" s="178"/>
      <c r="C343" s="178"/>
      <c r="D343" s="178"/>
      <c r="E343" s="178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178"/>
      <c r="B344" s="178"/>
      <c r="C344" s="178"/>
      <c r="D344" s="178"/>
      <c r="E344" s="178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178"/>
      <c r="B345" s="178"/>
      <c r="C345" s="178"/>
      <c r="D345" s="178"/>
      <c r="E345" s="178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178"/>
      <c r="B346" s="178"/>
      <c r="C346" s="178"/>
      <c r="D346" s="178"/>
      <c r="E346" s="178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178"/>
      <c r="B347" s="178"/>
      <c r="C347" s="178"/>
      <c r="D347" s="178"/>
      <c r="E347" s="178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178"/>
      <c r="B348" s="178"/>
      <c r="C348" s="178"/>
      <c r="D348" s="178"/>
      <c r="E348" s="178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178"/>
      <c r="B349" s="178"/>
      <c r="C349" s="178"/>
      <c r="D349" s="178"/>
      <c r="E349" s="178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178"/>
      <c r="B350" s="178"/>
      <c r="C350" s="178"/>
      <c r="D350" s="178"/>
      <c r="E350" s="178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178"/>
      <c r="B351" s="178"/>
      <c r="C351" s="178"/>
      <c r="D351" s="178"/>
      <c r="E351" s="178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178"/>
      <c r="B352" s="178"/>
      <c r="C352" s="178"/>
      <c r="D352" s="178"/>
      <c r="E352" s="178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178"/>
      <c r="B353" s="178"/>
      <c r="C353" s="178"/>
      <c r="D353" s="178"/>
      <c r="E353" s="178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178"/>
      <c r="B354" s="178"/>
      <c r="C354" s="178"/>
      <c r="D354" s="178"/>
      <c r="E354" s="178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178"/>
      <c r="B355" s="178"/>
      <c r="C355" s="178"/>
      <c r="D355" s="178"/>
      <c r="E355" s="178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178"/>
      <c r="B356" s="178"/>
      <c r="C356" s="178"/>
      <c r="D356" s="178"/>
      <c r="E356" s="178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178"/>
      <c r="B357" s="178"/>
      <c r="C357" s="178"/>
      <c r="D357" s="178"/>
      <c r="E357" s="178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178"/>
      <c r="B358" s="178"/>
      <c r="C358" s="178"/>
      <c r="D358" s="178"/>
      <c r="E358" s="178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178"/>
      <c r="B359" s="178"/>
      <c r="C359" s="178"/>
      <c r="D359" s="178"/>
      <c r="E359" s="178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178"/>
      <c r="B360" s="178"/>
      <c r="C360" s="178"/>
      <c r="D360" s="178"/>
      <c r="E360" s="178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178"/>
      <c r="B361" s="178"/>
      <c r="C361" s="178"/>
      <c r="D361" s="178"/>
      <c r="E361" s="178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178"/>
      <c r="B362" s="178"/>
      <c r="C362" s="178"/>
      <c r="D362" s="178"/>
      <c r="E362" s="178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178"/>
      <c r="B363" s="178"/>
      <c r="C363" s="178"/>
      <c r="D363" s="178"/>
      <c r="E363" s="178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178"/>
      <c r="B364" s="178"/>
      <c r="C364" s="178"/>
      <c r="D364" s="178"/>
      <c r="E364" s="178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178"/>
      <c r="B365" s="178"/>
      <c r="C365" s="178"/>
      <c r="D365" s="178"/>
      <c r="E365" s="178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178"/>
      <c r="B366" s="178"/>
      <c r="C366" s="178"/>
      <c r="D366" s="178"/>
      <c r="E366" s="178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178"/>
      <c r="B367" s="178"/>
      <c r="C367" s="178"/>
      <c r="D367" s="178"/>
      <c r="E367" s="178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178"/>
      <c r="B368" s="178"/>
      <c r="C368" s="178"/>
      <c r="D368" s="178"/>
      <c r="E368" s="178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178"/>
      <c r="B369" s="178"/>
      <c r="C369" s="178"/>
      <c r="D369" s="178"/>
      <c r="E369" s="178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178"/>
      <c r="B370" s="178"/>
      <c r="C370" s="178"/>
      <c r="D370" s="178"/>
      <c r="E370" s="178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178"/>
      <c r="B371" s="178"/>
      <c r="C371" s="178"/>
      <c r="D371" s="178"/>
      <c r="E371" s="178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178"/>
      <c r="B372" s="178"/>
      <c r="C372" s="178"/>
      <c r="D372" s="178"/>
      <c r="E372" s="178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178"/>
      <c r="B373" s="178"/>
      <c r="C373" s="178"/>
      <c r="D373" s="178"/>
      <c r="E373" s="178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178"/>
      <c r="B374" s="178"/>
      <c r="C374" s="178"/>
      <c r="D374" s="178"/>
      <c r="E374" s="178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178"/>
      <c r="B375" s="178"/>
      <c r="C375" s="178"/>
      <c r="D375" s="178"/>
      <c r="E375" s="178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178"/>
      <c r="B376" s="178"/>
      <c r="C376" s="178"/>
      <c r="D376" s="178"/>
      <c r="E376" s="178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178"/>
      <c r="B377" s="178"/>
      <c r="C377" s="178"/>
      <c r="D377" s="178"/>
      <c r="E377" s="178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178"/>
      <c r="B378" s="178"/>
      <c r="C378" s="178"/>
      <c r="D378" s="178"/>
      <c r="E378" s="178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178"/>
      <c r="B379" s="178"/>
      <c r="C379" s="178"/>
      <c r="D379" s="178"/>
      <c r="E379" s="178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178"/>
      <c r="B380" s="178"/>
      <c r="C380" s="178"/>
      <c r="D380" s="178"/>
      <c r="E380" s="178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178"/>
      <c r="B381" s="178"/>
      <c r="C381" s="178"/>
      <c r="D381" s="178"/>
      <c r="E381" s="178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178"/>
      <c r="B382" s="178"/>
      <c r="C382" s="178"/>
      <c r="D382" s="178"/>
      <c r="E382" s="178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178"/>
      <c r="B383" s="178"/>
      <c r="C383" s="178"/>
      <c r="D383" s="178"/>
      <c r="E383" s="178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178"/>
      <c r="B384" s="178"/>
      <c r="C384" s="178"/>
      <c r="D384" s="178"/>
      <c r="E384" s="178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178"/>
      <c r="B385" s="178"/>
      <c r="C385" s="178"/>
      <c r="D385" s="178"/>
      <c r="E385" s="178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178"/>
      <c r="B386" s="178"/>
      <c r="C386" s="178"/>
      <c r="D386" s="178"/>
      <c r="E386" s="178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178"/>
      <c r="B387" s="178"/>
      <c r="C387" s="178"/>
      <c r="D387" s="178"/>
      <c r="E387" s="178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178"/>
      <c r="B388" s="178"/>
      <c r="C388" s="178"/>
      <c r="D388" s="178"/>
      <c r="E388" s="178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178"/>
      <c r="B389" s="178"/>
      <c r="C389" s="178"/>
      <c r="D389" s="178"/>
      <c r="E389" s="178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178"/>
      <c r="B390" s="178"/>
      <c r="C390" s="178"/>
      <c r="D390" s="178"/>
      <c r="E390" s="178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178"/>
      <c r="B391" s="178"/>
      <c r="C391" s="178"/>
      <c r="D391" s="178"/>
      <c r="E391" s="178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178"/>
      <c r="B392" s="178"/>
      <c r="C392" s="178"/>
      <c r="D392" s="178"/>
      <c r="E392" s="178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178"/>
      <c r="B393" s="178"/>
      <c r="C393" s="178"/>
      <c r="D393" s="178"/>
      <c r="E393" s="178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178"/>
      <c r="B394" s="178"/>
      <c r="C394" s="178"/>
      <c r="D394" s="178"/>
      <c r="E394" s="178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178"/>
      <c r="B395" s="178"/>
      <c r="C395" s="178"/>
      <c r="D395" s="178"/>
      <c r="E395" s="178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178"/>
      <c r="B396" s="178"/>
      <c r="C396" s="178"/>
      <c r="D396" s="178"/>
      <c r="E396" s="178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178"/>
      <c r="B397" s="178"/>
      <c r="C397" s="178"/>
      <c r="D397" s="178"/>
      <c r="E397" s="178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178"/>
      <c r="B398" s="178"/>
      <c r="C398" s="178"/>
      <c r="D398" s="178"/>
      <c r="E398" s="178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178"/>
      <c r="B399" s="178"/>
      <c r="C399" s="178"/>
      <c r="D399" s="178"/>
      <c r="E399" s="178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178"/>
      <c r="B400" s="178"/>
      <c r="C400" s="178"/>
      <c r="D400" s="178"/>
      <c r="E400" s="178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178"/>
      <c r="B401" s="178"/>
      <c r="C401" s="178"/>
      <c r="D401" s="178"/>
      <c r="E401" s="178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178"/>
      <c r="B402" s="178"/>
      <c r="C402" s="178"/>
      <c r="D402" s="178"/>
      <c r="E402" s="178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178"/>
      <c r="B403" s="178"/>
      <c r="C403" s="178"/>
      <c r="D403" s="178"/>
      <c r="E403" s="178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178"/>
      <c r="B404" s="178"/>
      <c r="C404" s="178"/>
      <c r="D404" s="178"/>
      <c r="E404" s="178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178"/>
      <c r="B405" s="178"/>
      <c r="C405" s="178"/>
      <c r="D405" s="178"/>
      <c r="E405" s="178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178"/>
      <c r="B406" s="178"/>
      <c r="C406" s="178"/>
      <c r="D406" s="178"/>
      <c r="E406" s="178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178"/>
      <c r="B407" s="178"/>
      <c r="C407" s="178"/>
      <c r="D407" s="178"/>
      <c r="E407" s="178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178"/>
      <c r="B408" s="178"/>
      <c r="C408" s="178"/>
      <c r="D408" s="178"/>
      <c r="E408" s="178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178"/>
      <c r="B409" s="178"/>
      <c r="C409" s="178"/>
      <c r="D409" s="178"/>
      <c r="E409" s="178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178"/>
      <c r="B410" s="178"/>
      <c r="C410" s="178"/>
      <c r="D410" s="178"/>
      <c r="E410" s="178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178"/>
      <c r="B411" s="178"/>
      <c r="C411" s="178"/>
      <c r="D411" s="178"/>
      <c r="E411" s="178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178"/>
      <c r="B412" s="178"/>
      <c r="C412" s="178"/>
      <c r="D412" s="178"/>
      <c r="E412" s="178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178"/>
      <c r="B413" s="178"/>
      <c r="C413" s="178"/>
      <c r="D413" s="178"/>
      <c r="E413" s="178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178"/>
      <c r="B414" s="178"/>
      <c r="C414" s="178"/>
      <c r="D414" s="178"/>
      <c r="E414" s="178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178"/>
      <c r="B415" s="178"/>
      <c r="C415" s="178"/>
      <c r="D415" s="178"/>
      <c r="E415" s="178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178"/>
      <c r="B416" s="178"/>
      <c r="C416" s="178"/>
      <c r="D416" s="178"/>
      <c r="E416" s="178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178"/>
      <c r="B417" s="178"/>
      <c r="C417" s="178"/>
      <c r="D417" s="178"/>
      <c r="E417" s="178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178"/>
      <c r="B418" s="178"/>
      <c r="C418" s="178"/>
      <c r="D418" s="178"/>
      <c r="E418" s="178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178"/>
      <c r="B419" s="178"/>
      <c r="C419" s="178"/>
      <c r="D419" s="178"/>
      <c r="E419" s="178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178"/>
      <c r="B420" s="178"/>
      <c r="C420" s="178"/>
      <c r="D420" s="178"/>
      <c r="E420" s="178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178"/>
      <c r="B421" s="178"/>
      <c r="C421" s="178"/>
      <c r="D421" s="178"/>
      <c r="E421" s="178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178"/>
      <c r="B422" s="178"/>
      <c r="C422" s="178"/>
      <c r="D422" s="178"/>
      <c r="E422" s="178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178"/>
      <c r="B423" s="178"/>
      <c r="C423" s="178"/>
      <c r="D423" s="178"/>
      <c r="E423" s="178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178"/>
      <c r="B424" s="178"/>
      <c r="C424" s="178"/>
      <c r="D424" s="178"/>
      <c r="E424" s="178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178"/>
      <c r="B425" s="178"/>
      <c r="C425" s="178"/>
      <c r="D425" s="178"/>
      <c r="E425" s="178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178"/>
      <c r="B426" s="178"/>
      <c r="C426" s="178"/>
      <c r="D426" s="178"/>
      <c r="E426" s="178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178"/>
      <c r="B427" s="178"/>
      <c r="C427" s="178"/>
      <c r="D427" s="178"/>
      <c r="E427" s="178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178"/>
      <c r="B428" s="178"/>
      <c r="C428" s="178"/>
      <c r="D428" s="178"/>
      <c r="E428" s="178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178"/>
      <c r="B429" s="178"/>
      <c r="C429" s="178"/>
      <c r="D429" s="178"/>
      <c r="E429" s="178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178"/>
      <c r="B430" s="178"/>
      <c r="C430" s="178"/>
      <c r="D430" s="178"/>
      <c r="E430" s="178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178"/>
      <c r="B431" s="178"/>
      <c r="C431" s="178"/>
      <c r="D431" s="178"/>
      <c r="E431" s="178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178"/>
      <c r="B432" s="178"/>
      <c r="C432" s="178"/>
      <c r="D432" s="178"/>
      <c r="E432" s="178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178"/>
      <c r="B433" s="178"/>
      <c r="C433" s="178"/>
      <c r="D433" s="178"/>
      <c r="E433" s="178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178"/>
      <c r="B434" s="178"/>
      <c r="C434" s="178"/>
      <c r="D434" s="178"/>
      <c r="E434" s="178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178"/>
      <c r="B435" s="178"/>
      <c r="C435" s="178"/>
      <c r="D435" s="178"/>
      <c r="E435" s="178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178"/>
      <c r="B436" s="178"/>
      <c r="C436" s="178"/>
      <c r="D436" s="178"/>
      <c r="E436" s="178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178"/>
      <c r="B437" s="178"/>
      <c r="C437" s="178"/>
      <c r="D437" s="178"/>
      <c r="E437" s="178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178"/>
      <c r="B438" s="178"/>
      <c r="C438" s="178"/>
      <c r="D438" s="178"/>
      <c r="E438" s="178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178"/>
      <c r="B439" s="178"/>
      <c r="C439" s="178"/>
      <c r="D439" s="178"/>
      <c r="E439" s="178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178"/>
      <c r="B440" s="178"/>
      <c r="C440" s="178"/>
      <c r="D440" s="178"/>
      <c r="E440" s="178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178"/>
      <c r="B441" s="178"/>
      <c r="C441" s="178"/>
      <c r="D441" s="178"/>
      <c r="E441" s="178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178"/>
      <c r="B442" s="178"/>
      <c r="C442" s="178"/>
      <c r="D442" s="178"/>
      <c r="E442" s="178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178"/>
      <c r="B443" s="178"/>
      <c r="C443" s="178"/>
      <c r="D443" s="178"/>
      <c r="E443" s="178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178"/>
      <c r="B444" s="178"/>
      <c r="C444" s="178"/>
      <c r="D444" s="178"/>
      <c r="E444" s="178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178"/>
      <c r="B445" s="178"/>
      <c r="C445" s="178"/>
      <c r="D445" s="178"/>
      <c r="E445" s="178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178"/>
      <c r="B446" s="178"/>
      <c r="C446" s="178"/>
      <c r="D446" s="178"/>
      <c r="E446" s="178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178"/>
      <c r="B447" s="178"/>
      <c r="C447" s="178"/>
      <c r="D447" s="178"/>
      <c r="E447" s="178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178"/>
      <c r="B448" s="178"/>
      <c r="C448" s="178"/>
      <c r="D448" s="178"/>
      <c r="E448" s="178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178"/>
      <c r="B449" s="178"/>
      <c r="C449" s="178"/>
      <c r="D449" s="178"/>
      <c r="E449" s="178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178"/>
      <c r="B450" s="178"/>
      <c r="C450" s="178"/>
      <c r="D450" s="178"/>
      <c r="E450" s="178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178"/>
      <c r="B451" s="178"/>
      <c r="C451" s="178"/>
      <c r="D451" s="178"/>
      <c r="E451" s="178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178"/>
      <c r="B452" s="178"/>
      <c r="C452" s="178"/>
      <c r="D452" s="178"/>
      <c r="E452" s="178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178"/>
      <c r="B453" s="178"/>
      <c r="C453" s="178"/>
      <c r="D453" s="178"/>
      <c r="E453" s="178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178"/>
      <c r="B454" s="178"/>
      <c r="C454" s="178"/>
      <c r="D454" s="178"/>
      <c r="E454" s="178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178"/>
      <c r="B455" s="178"/>
      <c r="C455" s="178"/>
      <c r="D455" s="178"/>
      <c r="E455" s="178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178"/>
      <c r="B456" s="178"/>
      <c r="C456" s="178"/>
      <c r="D456" s="178"/>
      <c r="E456" s="178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178"/>
      <c r="B457" s="178"/>
      <c r="C457" s="178"/>
      <c r="D457" s="178"/>
      <c r="E457" s="178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178"/>
      <c r="B458" s="178"/>
      <c r="C458" s="178"/>
      <c r="D458" s="178"/>
      <c r="E458" s="178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178"/>
      <c r="B459" s="178"/>
      <c r="C459" s="178"/>
      <c r="D459" s="178"/>
      <c r="E459" s="178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178"/>
      <c r="B460" s="178"/>
      <c r="C460" s="178"/>
      <c r="D460" s="178"/>
      <c r="E460" s="178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178"/>
      <c r="B461" s="178"/>
      <c r="C461" s="178"/>
      <c r="D461" s="178"/>
      <c r="E461" s="178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178"/>
      <c r="B462" s="178"/>
      <c r="C462" s="178"/>
      <c r="D462" s="178"/>
      <c r="E462" s="178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178"/>
      <c r="B463" s="178"/>
      <c r="C463" s="178"/>
      <c r="D463" s="178"/>
      <c r="E463" s="178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178"/>
      <c r="B464" s="178"/>
      <c r="C464" s="178"/>
      <c r="D464" s="178"/>
      <c r="E464" s="178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178"/>
      <c r="B465" s="178"/>
      <c r="C465" s="178"/>
      <c r="D465" s="178"/>
      <c r="E465" s="178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178"/>
      <c r="B466" s="178"/>
      <c r="C466" s="178"/>
      <c r="D466" s="178"/>
      <c r="E466" s="178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178"/>
      <c r="B467" s="178"/>
      <c r="C467" s="178"/>
      <c r="D467" s="178"/>
      <c r="E467" s="178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178"/>
      <c r="B468" s="178"/>
      <c r="C468" s="178"/>
      <c r="D468" s="178"/>
      <c r="E468" s="178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178"/>
      <c r="B469" s="178"/>
      <c r="C469" s="178"/>
      <c r="D469" s="178"/>
      <c r="E469" s="178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178"/>
      <c r="B470" s="178"/>
      <c r="C470" s="178"/>
      <c r="D470" s="178"/>
      <c r="E470" s="178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178"/>
      <c r="B471" s="178"/>
      <c r="C471" s="178"/>
      <c r="D471" s="178"/>
      <c r="E471" s="178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178"/>
      <c r="B472" s="178"/>
      <c r="C472" s="178"/>
      <c r="D472" s="178"/>
      <c r="E472" s="178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178"/>
      <c r="B473" s="178"/>
      <c r="C473" s="178"/>
      <c r="D473" s="178"/>
      <c r="E473" s="178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178"/>
      <c r="B474" s="178"/>
      <c r="C474" s="178"/>
      <c r="D474" s="178"/>
      <c r="E474" s="178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178"/>
      <c r="B475" s="178"/>
      <c r="C475" s="178"/>
      <c r="D475" s="178"/>
      <c r="E475" s="178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178"/>
      <c r="B476" s="178"/>
      <c r="C476" s="178"/>
      <c r="D476" s="178"/>
      <c r="E476" s="178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178"/>
      <c r="B477" s="178"/>
      <c r="C477" s="178"/>
      <c r="D477" s="178"/>
      <c r="E477" s="178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178"/>
      <c r="B478" s="178"/>
      <c r="C478" s="178"/>
      <c r="D478" s="178"/>
      <c r="E478" s="178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178"/>
      <c r="B479" s="178"/>
      <c r="C479" s="178"/>
      <c r="D479" s="178"/>
      <c r="E479" s="178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178"/>
      <c r="B480" s="178"/>
      <c r="C480" s="178"/>
      <c r="D480" s="178"/>
      <c r="E480" s="178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178"/>
      <c r="B481" s="178"/>
      <c r="C481" s="178"/>
      <c r="D481" s="178"/>
      <c r="E481" s="178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178"/>
      <c r="B482" s="178"/>
      <c r="C482" s="178"/>
      <c r="D482" s="178"/>
      <c r="E482" s="178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178"/>
      <c r="B483" s="178"/>
      <c r="C483" s="178"/>
      <c r="D483" s="178"/>
      <c r="E483" s="178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178"/>
      <c r="B484" s="178"/>
      <c r="C484" s="178"/>
      <c r="D484" s="178"/>
      <c r="E484" s="178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178"/>
      <c r="B485" s="178"/>
      <c r="C485" s="178"/>
      <c r="D485" s="178"/>
      <c r="E485" s="178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178"/>
      <c r="B486" s="178"/>
      <c r="C486" s="178"/>
      <c r="D486" s="178"/>
      <c r="E486" s="178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178"/>
      <c r="B487" s="178"/>
      <c r="C487" s="178"/>
      <c r="D487" s="178"/>
      <c r="E487" s="178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178"/>
      <c r="B488" s="178"/>
      <c r="C488" s="178"/>
      <c r="D488" s="178"/>
      <c r="E488" s="178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178"/>
      <c r="B489" s="178"/>
      <c r="C489" s="178"/>
      <c r="D489" s="178"/>
      <c r="E489" s="178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178"/>
      <c r="B490" s="178"/>
      <c r="C490" s="178"/>
      <c r="D490" s="178"/>
      <c r="E490" s="178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178"/>
      <c r="B491" s="178"/>
      <c r="C491" s="178"/>
      <c r="D491" s="178"/>
      <c r="E491" s="178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178"/>
      <c r="B492" s="178"/>
      <c r="C492" s="178"/>
      <c r="D492" s="178"/>
      <c r="E492" s="178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178"/>
      <c r="B493" s="178"/>
      <c r="C493" s="178"/>
      <c r="D493" s="178"/>
      <c r="E493" s="178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178"/>
      <c r="B494" s="178"/>
      <c r="C494" s="178"/>
      <c r="D494" s="178"/>
      <c r="E494" s="178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178"/>
      <c r="B495" s="178"/>
      <c r="C495" s="178"/>
      <c r="D495" s="178"/>
      <c r="E495" s="178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178"/>
      <c r="B496" s="178"/>
      <c r="C496" s="178"/>
      <c r="D496" s="178"/>
      <c r="E496" s="178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178"/>
      <c r="B497" s="178"/>
      <c r="C497" s="178"/>
      <c r="D497" s="178"/>
      <c r="E497" s="178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178"/>
      <c r="B498" s="178"/>
      <c r="C498" s="178"/>
      <c r="D498" s="178"/>
      <c r="E498" s="178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178"/>
      <c r="B499" s="178"/>
      <c r="C499" s="178"/>
      <c r="D499" s="178"/>
      <c r="E499" s="178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178"/>
      <c r="B500" s="178"/>
      <c r="C500" s="178"/>
      <c r="D500" s="178"/>
      <c r="E500" s="178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178"/>
      <c r="B501" s="178"/>
      <c r="C501" s="178"/>
      <c r="D501" s="178"/>
      <c r="E501" s="178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178"/>
      <c r="B502" s="178"/>
      <c r="C502" s="178"/>
      <c r="D502" s="178"/>
      <c r="E502" s="178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178"/>
      <c r="B503" s="178"/>
      <c r="C503" s="178"/>
      <c r="D503" s="178"/>
      <c r="E503" s="178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178"/>
      <c r="B504" s="178"/>
      <c r="C504" s="178"/>
      <c r="D504" s="178"/>
      <c r="E504" s="178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178"/>
      <c r="B505" s="178"/>
      <c r="C505" s="178"/>
      <c r="D505" s="178"/>
      <c r="E505" s="178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178"/>
      <c r="B506" s="178"/>
      <c r="C506" s="178"/>
      <c r="D506" s="178"/>
      <c r="E506" s="178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178"/>
      <c r="B507" s="178"/>
      <c r="C507" s="178"/>
      <c r="D507" s="178"/>
      <c r="E507" s="178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178"/>
      <c r="B508" s="178"/>
      <c r="C508" s="178"/>
      <c r="D508" s="178"/>
      <c r="E508" s="178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178"/>
      <c r="B509" s="178"/>
      <c r="C509" s="178"/>
      <c r="D509" s="178"/>
      <c r="E509" s="178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178"/>
      <c r="B510" s="178"/>
      <c r="C510" s="178"/>
      <c r="D510" s="178"/>
      <c r="E510" s="178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178"/>
      <c r="B511" s="178"/>
      <c r="C511" s="178"/>
      <c r="D511" s="178"/>
      <c r="E511" s="178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178"/>
      <c r="B512" s="178"/>
      <c r="C512" s="178"/>
      <c r="D512" s="178"/>
      <c r="E512" s="178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178"/>
      <c r="B513" s="178"/>
      <c r="C513" s="178"/>
      <c r="D513" s="178"/>
      <c r="E513" s="178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178"/>
      <c r="B514" s="178"/>
      <c r="C514" s="178"/>
      <c r="D514" s="178"/>
      <c r="E514" s="178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178"/>
      <c r="B515" s="178"/>
      <c r="C515" s="178"/>
      <c r="D515" s="178"/>
      <c r="E515" s="178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178"/>
      <c r="B516" s="178"/>
      <c r="C516" s="178"/>
      <c r="D516" s="178"/>
      <c r="E516" s="178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178"/>
      <c r="B517" s="178"/>
      <c r="C517" s="178"/>
      <c r="D517" s="178"/>
      <c r="E517" s="178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178"/>
      <c r="B518" s="178"/>
      <c r="C518" s="178"/>
      <c r="D518" s="178"/>
      <c r="E518" s="178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178"/>
      <c r="B519" s="178"/>
      <c r="C519" s="178"/>
      <c r="D519" s="178"/>
      <c r="E519" s="178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178"/>
      <c r="B520" s="178"/>
      <c r="C520" s="178"/>
      <c r="D520" s="178"/>
      <c r="E520" s="178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178"/>
      <c r="B521" s="178"/>
      <c r="C521" s="178"/>
      <c r="D521" s="178"/>
      <c r="E521" s="178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178"/>
      <c r="B522" s="178"/>
      <c r="C522" s="178"/>
      <c r="D522" s="178"/>
      <c r="E522" s="178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178"/>
      <c r="B523" s="178"/>
      <c r="C523" s="178"/>
      <c r="D523" s="178"/>
      <c r="E523" s="178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178"/>
      <c r="B524" s="178"/>
      <c r="C524" s="178"/>
      <c r="D524" s="178"/>
      <c r="E524" s="178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178"/>
      <c r="B525" s="178"/>
      <c r="C525" s="178"/>
      <c r="D525" s="178"/>
      <c r="E525" s="178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178"/>
      <c r="B526" s="178"/>
      <c r="C526" s="178"/>
      <c r="D526" s="178"/>
      <c r="E526" s="178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178"/>
      <c r="B527" s="178"/>
      <c r="C527" s="178"/>
      <c r="D527" s="178"/>
      <c r="E527" s="178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178"/>
      <c r="B528" s="178"/>
      <c r="C528" s="178"/>
      <c r="D528" s="178"/>
      <c r="E528" s="178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178"/>
      <c r="B529" s="178"/>
      <c r="C529" s="178"/>
      <c r="D529" s="178"/>
      <c r="E529" s="178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178"/>
      <c r="B530" s="178"/>
      <c r="C530" s="178"/>
      <c r="D530" s="178"/>
      <c r="E530" s="178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178"/>
      <c r="B531" s="178"/>
      <c r="C531" s="178"/>
      <c r="D531" s="178"/>
      <c r="E531" s="178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178"/>
      <c r="B532" s="178"/>
      <c r="C532" s="178"/>
      <c r="D532" s="178"/>
      <c r="E532" s="178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178"/>
      <c r="B533" s="178"/>
      <c r="C533" s="178"/>
      <c r="D533" s="178"/>
      <c r="E533" s="178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178"/>
      <c r="B534" s="178"/>
      <c r="C534" s="178"/>
      <c r="D534" s="178"/>
      <c r="E534" s="178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178"/>
      <c r="B535" s="178"/>
      <c r="C535" s="178"/>
      <c r="D535" s="178"/>
      <c r="E535" s="178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178"/>
      <c r="B536" s="178"/>
      <c r="C536" s="178"/>
      <c r="D536" s="178"/>
      <c r="E536" s="178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178"/>
      <c r="B537" s="178"/>
      <c r="C537" s="178"/>
      <c r="D537" s="178"/>
      <c r="E537" s="178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178"/>
      <c r="B538" s="178"/>
      <c r="C538" s="178"/>
      <c r="D538" s="178"/>
      <c r="E538" s="178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178"/>
      <c r="B539" s="178"/>
      <c r="C539" s="178"/>
      <c r="D539" s="178"/>
      <c r="E539" s="178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178"/>
      <c r="B540" s="178"/>
      <c r="C540" s="178"/>
      <c r="D540" s="178"/>
      <c r="E540" s="178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178"/>
      <c r="B541" s="178"/>
      <c r="C541" s="178"/>
      <c r="D541" s="178"/>
      <c r="E541" s="178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178"/>
      <c r="B542" s="178"/>
      <c r="C542" s="178"/>
      <c r="D542" s="178"/>
      <c r="E542" s="178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178"/>
      <c r="B543" s="178"/>
      <c r="C543" s="178"/>
      <c r="D543" s="178"/>
      <c r="E543" s="178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178"/>
      <c r="B544" s="178"/>
      <c r="C544" s="178"/>
      <c r="D544" s="178"/>
      <c r="E544" s="178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178"/>
      <c r="B545" s="178"/>
      <c r="C545" s="178"/>
      <c r="D545" s="178"/>
      <c r="E545" s="178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178"/>
      <c r="B546" s="178"/>
      <c r="C546" s="178"/>
      <c r="D546" s="178"/>
      <c r="E546" s="178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178"/>
      <c r="B547" s="178"/>
      <c r="C547" s="178"/>
      <c r="D547" s="178"/>
      <c r="E547" s="178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178"/>
      <c r="B548" s="178"/>
      <c r="C548" s="178"/>
      <c r="D548" s="178"/>
      <c r="E548" s="178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178"/>
      <c r="B549" s="178"/>
      <c r="C549" s="178"/>
      <c r="D549" s="178"/>
      <c r="E549" s="178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178"/>
      <c r="B550" s="178"/>
      <c r="C550" s="178"/>
      <c r="D550" s="178"/>
      <c r="E550" s="178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178"/>
      <c r="B551" s="178"/>
      <c r="C551" s="178"/>
      <c r="D551" s="178"/>
      <c r="E551" s="178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178"/>
      <c r="B552" s="178"/>
      <c r="C552" s="178"/>
      <c r="D552" s="178"/>
      <c r="E552" s="178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178"/>
      <c r="B553" s="178"/>
      <c r="C553" s="178"/>
      <c r="D553" s="178"/>
      <c r="E553" s="178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178"/>
      <c r="B554" s="178"/>
      <c r="C554" s="178"/>
      <c r="D554" s="178"/>
      <c r="E554" s="178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178"/>
      <c r="B555" s="178"/>
      <c r="C555" s="178"/>
      <c r="D555" s="178"/>
      <c r="E555" s="178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178"/>
      <c r="B556" s="178"/>
      <c r="C556" s="178"/>
      <c r="D556" s="178"/>
      <c r="E556" s="178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178"/>
      <c r="B557" s="178"/>
      <c r="C557" s="178"/>
      <c r="D557" s="178"/>
      <c r="E557" s="178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178"/>
      <c r="B558" s="178"/>
      <c r="C558" s="178"/>
      <c r="D558" s="178"/>
      <c r="E558" s="178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178"/>
      <c r="B559" s="178"/>
      <c r="C559" s="178"/>
      <c r="D559" s="178"/>
      <c r="E559" s="178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178"/>
      <c r="B560" s="178"/>
      <c r="C560" s="178"/>
      <c r="D560" s="178"/>
      <c r="E560" s="178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178"/>
      <c r="B561" s="178"/>
      <c r="C561" s="178"/>
      <c r="D561" s="178"/>
      <c r="E561" s="178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178"/>
      <c r="B562" s="178"/>
      <c r="C562" s="178"/>
      <c r="D562" s="178"/>
      <c r="E562" s="178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178"/>
      <c r="B563" s="178"/>
      <c r="C563" s="178"/>
      <c r="D563" s="178"/>
      <c r="E563" s="178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178"/>
      <c r="B564" s="178"/>
      <c r="C564" s="178"/>
      <c r="D564" s="178"/>
      <c r="E564" s="178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178"/>
      <c r="B565" s="178"/>
      <c r="C565" s="178"/>
      <c r="D565" s="178"/>
      <c r="E565" s="178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178"/>
      <c r="B566" s="178"/>
      <c r="C566" s="178"/>
      <c r="D566" s="178"/>
      <c r="E566" s="178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178"/>
      <c r="B567" s="178"/>
      <c r="C567" s="178"/>
      <c r="D567" s="178"/>
      <c r="E567" s="178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178"/>
      <c r="B568" s="178"/>
      <c r="C568" s="178"/>
      <c r="D568" s="178"/>
      <c r="E568" s="178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178"/>
      <c r="B569" s="178"/>
      <c r="C569" s="178"/>
      <c r="D569" s="178"/>
      <c r="E569" s="178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178"/>
      <c r="B570" s="178"/>
      <c r="C570" s="178"/>
      <c r="D570" s="178"/>
      <c r="E570" s="178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178"/>
      <c r="B571" s="178"/>
      <c r="C571" s="178"/>
      <c r="D571" s="178"/>
      <c r="E571" s="178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178"/>
      <c r="B572" s="178"/>
      <c r="C572" s="178"/>
      <c r="D572" s="178"/>
      <c r="E572" s="178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178"/>
      <c r="B573" s="178"/>
      <c r="C573" s="178"/>
      <c r="D573" s="178"/>
      <c r="E573" s="178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178"/>
      <c r="B574" s="178"/>
      <c r="C574" s="178"/>
      <c r="D574" s="178"/>
      <c r="E574" s="178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178"/>
      <c r="B575" s="178"/>
      <c r="C575" s="178"/>
      <c r="D575" s="178"/>
      <c r="E575" s="178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178"/>
      <c r="B576" s="178"/>
      <c r="C576" s="178"/>
      <c r="D576" s="178"/>
      <c r="E576" s="178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178"/>
      <c r="B577" s="178"/>
      <c r="C577" s="178"/>
      <c r="D577" s="178"/>
      <c r="E577" s="178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178"/>
      <c r="B578" s="178"/>
      <c r="C578" s="178"/>
      <c r="D578" s="178"/>
      <c r="E578" s="178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178"/>
      <c r="B579" s="178"/>
      <c r="C579" s="178"/>
      <c r="D579" s="178"/>
      <c r="E579" s="178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178"/>
      <c r="B580" s="178"/>
      <c r="C580" s="178"/>
      <c r="D580" s="178"/>
      <c r="E580" s="178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178"/>
      <c r="B581" s="178"/>
      <c r="C581" s="178"/>
      <c r="D581" s="178"/>
      <c r="E581" s="178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178"/>
      <c r="B582" s="178"/>
      <c r="C582" s="178"/>
      <c r="D582" s="178"/>
      <c r="E582" s="178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178"/>
      <c r="B583" s="178"/>
      <c r="C583" s="178"/>
      <c r="D583" s="178"/>
      <c r="E583" s="178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178"/>
      <c r="B584" s="178"/>
      <c r="C584" s="178"/>
      <c r="D584" s="178"/>
      <c r="E584" s="178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178"/>
      <c r="B585" s="178"/>
      <c r="C585" s="178"/>
      <c r="D585" s="178"/>
      <c r="E585" s="178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178"/>
      <c r="B586" s="178"/>
      <c r="C586" s="178"/>
      <c r="D586" s="178"/>
      <c r="E586" s="178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178"/>
      <c r="B587" s="178"/>
      <c r="C587" s="178"/>
      <c r="D587" s="178"/>
      <c r="E587" s="178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178"/>
      <c r="B588" s="178"/>
      <c r="C588" s="178"/>
      <c r="D588" s="178"/>
      <c r="E588" s="178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178"/>
      <c r="B589" s="178"/>
      <c r="C589" s="178"/>
      <c r="D589" s="178"/>
      <c r="E589" s="178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178"/>
      <c r="B590" s="178"/>
      <c r="C590" s="178"/>
      <c r="D590" s="178"/>
      <c r="E590" s="178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178"/>
      <c r="B591" s="178"/>
      <c r="C591" s="178"/>
      <c r="D591" s="178"/>
      <c r="E591" s="178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178"/>
      <c r="B592" s="178"/>
      <c r="C592" s="178"/>
      <c r="D592" s="178"/>
      <c r="E592" s="178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178"/>
      <c r="B593" s="178"/>
      <c r="C593" s="178"/>
      <c r="D593" s="178"/>
      <c r="E593" s="178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178"/>
      <c r="B594" s="178"/>
      <c r="C594" s="178"/>
      <c r="D594" s="178"/>
      <c r="E594" s="178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178"/>
      <c r="B595" s="178"/>
      <c r="C595" s="178"/>
      <c r="D595" s="178"/>
      <c r="E595" s="178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178"/>
      <c r="B596" s="178"/>
      <c r="C596" s="178"/>
      <c r="D596" s="178"/>
      <c r="E596" s="178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178"/>
      <c r="B597" s="178"/>
      <c r="C597" s="178"/>
      <c r="D597" s="178"/>
      <c r="E597" s="178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178"/>
      <c r="B598" s="178"/>
      <c r="C598" s="178"/>
      <c r="D598" s="178"/>
      <c r="E598" s="178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178"/>
      <c r="B599" s="178"/>
      <c r="C599" s="178"/>
      <c r="D599" s="178"/>
      <c r="E599" s="178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178"/>
      <c r="B600" s="178"/>
      <c r="C600" s="178"/>
      <c r="D600" s="178"/>
      <c r="E600" s="178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178"/>
      <c r="B601" s="178"/>
      <c r="C601" s="178"/>
      <c r="D601" s="178"/>
      <c r="E601" s="178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178"/>
      <c r="B602" s="178"/>
      <c r="C602" s="178"/>
      <c r="D602" s="178"/>
      <c r="E602" s="178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178"/>
      <c r="B603" s="178"/>
      <c r="C603" s="178"/>
      <c r="D603" s="178"/>
      <c r="E603" s="178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178"/>
      <c r="B604" s="178"/>
      <c r="C604" s="178"/>
      <c r="D604" s="178"/>
      <c r="E604" s="178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178"/>
      <c r="B605" s="178"/>
      <c r="C605" s="178"/>
      <c r="D605" s="178"/>
      <c r="E605" s="178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178"/>
      <c r="B606" s="178"/>
      <c r="C606" s="178"/>
      <c r="D606" s="178"/>
      <c r="E606" s="178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178"/>
      <c r="B607" s="178"/>
      <c r="C607" s="178"/>
      <c r="D607" s="178"/>
      <c r="E607" s="178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178"/>
      <c r="B608" s="178"/>
      <c r="C608" s="178"/>
      <c r="D608" s="178"/>
      <c r="E608" s="178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178"/>
      <c r="B609" s="178"/>
      <c r="C609" s="178"/>
      <c r="D609" s="178"/>
      <c r="E609" s="178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178"/>
      <c r="B610" s="178"/>
      <c r="C610" s="178"/>
      <c r="D610" s="178"/>
      <c r="E610" s="178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178"/>
      <c r="B611" s="178"/>
      <c r="C611" s="178"/>
      <c r="D611" s="178"/>
      <c r="E611" s="178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178"/>
      <c r="B612" s="178"/>
      <c r="C612" s="178"/>
      <c r="D612" s="178"/>
      <c r="E612" s="178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178"/>
      <c r="B613" s="178"/>
      <c r="C613" s="178"/>
      <c r="D613" s="178"/>
      <c r="E613" s="178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178"/>
      <c r="B614" s="178"/>
      <c r="C614" s="178"/>
      <c r="D614" s="178"/>
      <c r="E614" s="178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178"/>
      <c r="B615" s="178"/>
      <c r="C615" s="178"/>
      <c r="D615" s="178"/>
      <c r="E615" s="178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178"/>
      <c r="B616" s="178"/>
      <c r="C616" s="178"/>
      <c r="D616" s="178"/>
      <c r="E616" s="178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178"/>
      <c r="B617" s="178"/>
      <c r="C617" s="178"/>
      <c r="D617" s="178"/>
      <c r="E617" s="178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178"/>
      <c r="B618" s="178"/>
      <c r="C618" s="178"/>
      <c r="D618" s="178"/>
      <c r="E618" s="178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178"/>
      <c r="B619" s="178"/>
      <c r="C619" s="178"/>
      <c r="D619" s="178"/>
      <c r="E619" s="178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178"/>
      <c r="B620" s="178"/>
      <c r="C620" s="178"/>
      <c r="D620" s="178"/>
      <c r="E620" s="178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178"/>
      <c r="B621" s="178"/>
      <c r="C621" s="178"/>
      <c r="D621" s="178"/>
      <c r="E621" s="178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178"/>
      <c r="B622" s="178"/>
      <c r="C622" s="178"/>
      <c r="D622" s="178"/>
      <c r="E622" s="178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178"/>
      <c r="B623" s="178"/>
      <c r="C623" s="178"/>
      <c r="D623" s="178"/>
      <c r="E623" s="178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178"/>
      <c r="B624" s="178"/>
      <c r="C624" s="178"/>
      <c r="D624" s="178"/>
      <c r="E624" s="178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178"/>
      <c r="B625" s="178"/>
      <c r="C625" s="178"/>
      <c r="D625" s="178"/>
      <c r="E625" s="178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178"/>
      <c r="B626" s="178"/>
      <c r="C626" s="178"/>
      <c r="D626" s="178"/>
      <c r="E626" s="178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178"/>
      <c r="B627" s="178"/>
      <c r="C627" s="178"/>
      <c r="D627" s="178"/>
      <c r="E627" s="178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178"/>
      <c r="B628" s="178"/>
      <c r="C628" s="178"/>
      <c r="D628" s="178"/>
      <c r="E628" s="178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178"/>
      <c r="B629" s="178"/>
      <c r="C629" s="178"/>
      <c r="D629" s="178"/>
      <c r="E629" s="178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178"/>
      <c r="B630" s="178"/>
      <c r="C630" s="178"/>
      <c r="D630" s="178"/>
      <c r="E630" s="178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178"/>
      <c r="B631" s="178"/>
      <c r="C631" s="178"/>
      <c r="D631" s="178"/>
      <c r="E631" s="178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178"/>
      <c r="B632" s="178"/>
      <c r="C632" s="178"/>
      <c r="D632" s="178"/>
      <c r="E632" s="178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178"/>
      <c r="B633" s="178"/>
      <c r="C633" s="178"/>
      <c r="D633" s="178"/>
      <c r="E633" s="178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178"/>
      <c r="B634" s="178"/>
      <c r="C634" s="178"/>
      <c r="D634" s="178"/>
      <c r="E634" s="178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178"/>
      <c r="B635" s="178"/>
      <c r="C635" s="178"/>
      <c r="D635" s="178"/>
      <c r="E635" s="178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178"/>
      <c r="B636" s="178"/>
      <c r="C636" s="178"/>
      <c r="D636" s="178"/>
      <c r="E636" s="178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178"/>
      <c r="B637" s="178"/>
      <c r="C637" s="178"/>
      <c r="D637" s="178"/>
      <c r="E637" s="178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178"/>
      <c r="B638" s="178"/>
      <c r="C638" s="178"/>
      <c r="D638" s="178"/>
      <c r="E638" s="178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178"/>
      <c r="B639" s="178"/>
      <c r="C639" s="178"/>
      <c r="D639" s="178"/>
      <c r="E639" s="178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178"/>
      <c r="B640" s="178"/>
      <c r="C640" s="178"/>
      <c r="D640" s="178"/>
      <c r="E640" s="178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178"/>
      <c r="B641" s="178"/>
      <c r="C641" s="178"/>
      <c r="D641" s="178"/>
      <c r="E641" s="178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178"/>
      <c r="B642" s="178"/>
      <c r="C642" s="178"/>
      <c r="D642" s="178"/>
      <c r="E642" s="178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178"/>
      <c r="B643" s="178"/>
      <c r="C643" s="178"/>
      <c r="D643" s="178"/>
      <c r="E643" s="178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178"/>
      <c r="B644" s="178"/>
      <c r="C644" s="178"/>
      <c r="D644" s="178"/>
      <c r="E644" s="178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178"/>
      <c r="B645" s="178"/>
      <c r="C645" s="178"/>
      <c r="D645" s="178"/>
      <c r="E645" s="178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178"/>
      <c r="B646" s="178"/>
      <c r="C646" s="178"/>
      <c r="D646" s="178"/>
      <c r="E646" s="178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178"/>
      <c r="B647" s="178"/>
      <c r="C647" s="178"/>
      <c r="D647" s="178"/>
      <c r="E647" s="178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178"/>
      <c r="B648" s="178"/>
      <c r="C648" s="178"/>
      <c r="D648" s="178"/>
      <c r="E648" s="178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178"/>
      <c r="B649" s="178"/>
      <c r="C649" s="178"/>
      <c r="D649" s="178"/>
      <c r="E649" s="178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178"/>
      <c r="B650" s="178"/>
      <c r="C650" s="178"/>
      <c r="D650" s="178"/>
      <c r="E650" s="178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178"/>
      <c r="B651" s="178"/>
      <c r="C651" s="178"/>
      <c r="D651" s="178"/>
      <c r="E651" s="178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178"/>
      <c r="B652" s="178"/>
      <c r="C652" s="178"/>
      <c r="D652" s="178"/>
      <c r="E652" s="178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178"/>
      <c r="B653" s="178"/>
      <c r="C653" s="178"/>
      <c r="D653" s="178"/>
      <c r="E653" s="178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178"/>
      <c r="B654" s="178"/>
      <c r="C654" s="178"/>
      <c r="D654" s="178"/>
      <c r="E654" s="178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178"/>
      <c r="B655" s="178"/>
      <c r="C655" s="178"/>
      <c r="D655" s="178"/>
      <c r="E655" s="178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178"/>
      <c r="B656" s="178"/>
      <c r="C656" s="178"/>
      <c r="D656" s="178"/>
      <c r="E656" s="178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178"/>
      <c r="B657" s="178"/>
      <c r="C657" s="178"/>
      <c r="D657" s="178"/>
      <c r="E657" s="178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178"/>
      <c r="B658" s="178"/>
      <c r="C658" s="178"/>
      <c r="D658" s="178"/>
      <c r="E658" s="178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178"/>
      <c r="B659" s="178"/>
      <c r="C659" s="178"/>
      <c r="D659" s="178"/>
      <c r="E659" s="178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178"/>
      <c r="B660" s="178"/>
      <c r="C660" s="178"/>
      <c r="D660" s="178"/>
      <c r="E660" s="178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178"/>
      <c r="B661" s="178"/>
      <c r="C661" s="178"/>
      <c r="D661" s="178"/>
      <c r="E661" s="178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178"/>
      <c r="B662" s="178"/>
      <c r="C662" s="178"/>
      <c r="D662" s="178"/>
      <c r="E662" s="178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178"/>
      <c r="B663" s="178"/>
      <c r="C663" s="178"/>
      <c r="D663" s="178"/>
      <c r="E663" s="178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178"/>
      <c r="B664" s="178"/>
      <c r="C664" s="178"/>
      <c r="D664" s="178"/>
      <c r="E664" s="178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178"/>
      <c r="B665" s="178"/>
      <c r="C665" s="178"/>
      <c r="D665" s="178"/>
      <c r="E665" s="178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178"/>
      <c r="B666" s="178"/>
      <c r="C666" s="178"/>
      <c r="D666" s="178"/>
      <c r="E666" s="178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178"/>
      <c r="B667" s="178"/>
      <c r="C667" s="178"/>
      <c r="D667" s="178"/>
      <c r="E667" s="178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178"/>
      <c r="B668" s="178"/>
      <c r="C668" s="178"/>
      <c r="D668" s="178"/>
      <c r="E668" s="178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178"/>
      <c r="B669" s="178"/>
      <c r="C669" s="178"/>
      <c r="D669" s="178"/>
      <c r="E669" s="178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178"/>
      <c r="B670" s="178"/>
      <c r="C670" s="178"/>
      <c r="D670" s="178"/>
      <c r="E670" s="178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178"/>
      <c r="B671" s="178"/>
      <c r="C671" s="178"/>
      <c r="D671" s="178"/>
      <c r="E671" s="178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178"/>
      <c r="B672" s="178"/>
      <c r="C672" s="178"/>
      <c r="D672" s="178"/>
      <c r="E672" s="178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178"/>
      <c r="B673" s="178"/>
      <c r="C673" s="178"/>
      <c r="D673" s="178"/>
      <c r="E673" s="178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178"/>
      <c r="B674" s="178"/>
      <c r="C674" s="178"/>
      <c r="D674" s="178"/>
      <c r="E674" s="178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178"/>
      <c r="B675" s="178"/>
      <c r="C675" s="178"/>
      <c r="D675" s="178"/>
      <c r="E675" s="178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178"/>
      <c r="B676" s="178"/>
      <c r="C676" s="178"/>
      <c r="D676" s="178"/>
      <c r="E676" s="178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178"/>
      <c r="B677" s="178"/>
      <c r="C677" s="178"/>
      <c r="D677" s="178"/>
      <c r="E677" s="178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178"/>
      <c r="B678" s="178"/>
      <c r="C678" s="178"/>
      <c r="D678" s="178"/>
      <c r="E678" s="178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178"/>
      <c r="B679" s="178"/>
      <c r="C679" s="178"/>
      <c r="D679" s="178"/>
      <c r="E679" s="178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178"/>
      <c r="B680" s="178"/>
      <c r="C680" s="178"/>
      <c r="D680" s="178"/>
      <c r="E680" s="178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178"/>
      <c r="B681" s="178"/>
      <c r="C681" s="178"/>
      <c r="D681" s="178"/>
      <c r="E681" s="178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178"/>
      <c r="B682" s="178"/>
      <c r="C682" s="178"/>
      <c r="D682" s="178"/>
      <c r="E682" s="178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178"/>
      <c r="B683" s="178"/>
      <c r="C683" s="178"/>
      <c r="D683" s="178"/>
      <c r="E683" s="178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178"/>
      <c r="B684" s="178"/>
      <c r="C684" s="178"/>
      <c r="D684" s="178"/>
      <c r="E684" s="178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178"/>
      <c r="B685" s="178"/>
      <c r="C685" s="178"/>
      <c r="D685" s="178"/>
      <c r="E685" s="178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178"/>
      <c r="B686" s="178"/>
      <c r="C686" s="178"/>
      <c r="D686" s="178"/>
      <c r="E686" s="178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178"/>
      <c r="B687" s="178"/>
      <c r="C687" s="178"/>
      <c r="D687" s="178"/>
      <c r="E687" s="178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178"/>
      <c r="B688" s="178"/>
      <c r="C688" s="178"/>
      <c r="D688" s="178"/>
      <c r="E688" s="178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178"/>
      <c r="B689" s="178"/>
      <c r="C689" s="178"/>
      <c r="D689" s="178"/>
      <c r="E689" s="178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178"/>
      <c r="B690" s="178"/>
      <c r="C690" s="178"/>
      <c r="D690" s="178"/>
      <c r="E690" s="178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178"/>
      <c r="B691" s="178"/>
      <c r="C691" s="178"/>
      <c r="D691" s="178"/>
      <c r="E691" s="178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178"/>
      <c r="B692" s="178"/>
      <c r="C692" s="178"/>
      <c r="D692" s="178"/>
      <c r="E692" s="178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178"/>
      <c r="B693" s="178"/>
      <c r="C693" s="178"/>
      <c r="D693" s="178"/>
      <c r="E693" s="178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178"/>
      <c r="B694" s="178"/>
      <c r="C694" s="178"/>
      <c r="D694" s="178"/>
      <c r="E694" s="178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178"/>
      <c r="B695" s="178"/>
      <c r="C695" s="178"/>
      <c r="D695" s="178"/>
      <c r="E695" s="178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178"/>
      <c r="B696" s="178"/>
      <c r="C696" s="178"/>
      <c r="D696" s="178"/>
      <c r="E696" s="178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178"/>
      <c r="B697" s="178"/>
      <c r="C697" s="178"/>
      <c r="D697" s="178"/>
      <c r="E697" s="178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178"/>
      <c r="B698" s="178"/>
      <c r="C698" s="178"/>
      <c r="D698" s="178"/>
      <c r="E698" s="178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178"/>
      <c r="B699" s="178"/>
      <c r="C699" s="178"/>
      <c r="D699" s="178"/>
      <c r="E699" s="178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178"/>
      <c r="B700" s="178"/>
      <c r="C700" s="178"/>
      <c r="D700" s="178"/>
      <c r="E700" s="178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178"/>
      <c r="B701" s="178"/>
      <c r="C701" s="178"/>
      <c r="D701" s="178"/>
      <c r="E701" s="178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178"/>
      <c r="B702" s="178"/>
      <c r="C702" s="178"/>
      <c r="D702" s="178"/>
      <c r="E702" s="178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178"/>
      <c r="B703" s="178"/>
      <c r="C703" s="178"/>
      <c r="D703" s="178"/>
      <c r="E703" s="178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178"/>
      <c r="B704" s="178"/>
      <c r="C704" s="178"/>
      <c r="D704" s="178"/>
      <c r="E704" s="178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178"/>
      <c r="B705" s="178"/>
      <c r="C705" s="178"/>
      <c r="D705" s="178"/>
      <c r="E705" s="178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178"/>
      <c r="B706" s="178"/>
      <c r="C706" s="178"/>
      <c r="D706" s="178"/>
      <c r="E706" s="178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178"/>
      <c r="B707" s="178"/>
      <c r="C707" s="178"/>
      <c r="D707" s="178"/>
      <c r="E707" s="178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178"/>
      <c r="B708" s="178"/>
      <c r="C708" s="178"/>
      <c r="D708" s="178"/>
      <c r="E708" s="178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178"/>
      <c r="B709" s="178"/>
      <c r="C709" s="178"/>
      <c r="D709" s="178"/>
      <c r="E709" s="178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178"/>
      <c r="B710" s="178"/>
      <c r="C710" s="178"/>
      <c r="D710" s="178"/>
      <c r="E710" s="178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178"/>
      <c r="B711" s="178"/>
      <c r="C711" s="178"/>
      <c r="D711" s="178"/>
      <c r="E711" s="178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178"/>
      <c r="B712" s="178"/>
      <c r="C712" s="178"/>
      <c r="D712" s="178"/>
      <c r="E712" s="178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178"/>
      <c r="B713" s="178"/>
      <c r="C713" s="178"/>
      <c r="D713" s="178"/>
      <c r="E713" s="178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178"/>
      <c r="B714" s="178"/>
      <c r="C714" s="178"/>
      <c r="D714" s="178"/>
      <c r="E714" s="178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178"/>
      <c r="B715" s="178"/>
      <c r="C715" s="178"/>
      <c r="D715" s="178"/>
      <c r="E715" s="178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178"/>
      <c r="B716" s="178"/>
      <c r="C716" s="178"/>
      <c r="D716" s="178"/>
      <c r="E716" s="178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178"/>
      <c r="B717" s="178"/>
      <c r="C717" s="178"/>
      <c r="D717" s="178"/>
      <c r="E717" s="178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178"/>
      <c r="B718" s="178"/>
      <c r="C718" s="178"/>
      <c r="D718" s="178"/>
      <c r="E718" s="178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178"/>
      <c r="B719" s="178"/>
      <c r="C719" s="178"/>
      <c r="D719" s="178"/>
      <c r="E719" s="178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178"/>
      <c r="B720" s="178"/>
      <c r="C720" s="178"/>
      <c r="D720" s="178"/>
      <c r="E720" s="178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178"/>
      <c r="B721" s="178"/>
      <c r="C721" s="178"/>
      <c r="D721" s="178"/>
      <c r="E721" s="178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178"/>
      <c r="B722" s="178"/>
      <c r="C722" s="178"/>
      <c r="D722" s="178"/>
      <c r="E722" s="178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178"/>
      <c r="B723" s="178"/>
      <c r="C723" s="178"/>
      <c r="D723" s="178"/>
      <c r="E723" s="178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178"/>
      <c r="B724" s="178"/>
      <c r="C724" s="178"/>
      <c r="D724" s="178"/>
      <c r="E724" s="178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178"/>
      <c r="B725" s="178"/>
      <c r="C725" s="178"/>
      <c r="D725" s="178"/>
      <c r="E725" s="178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178"/>
      <c r="B726" s="178"/>
      <c r="C726" s="178"/>
      <c r="D726" s="178"/>
      <c r="E726" s="178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178"/>
      <c r="B727" s="178"/>
      <c r="C727" s="178"/>
      <c r="D727" s="178"/>
      <c r="E727" s="178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178"/>
      <c r="B728" s="178"/>
      <c r="C728" s="178"/>
      <c r="D728" s="178"/>
      <c r="E728" s="178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178"/>
      <c r="B729" s="178"/>
      <c r="C729" s="178"/>
      <c r="D729" s="178"/>
      <c r="E729" s="178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178"/>
      <c r="B730" s="178"/>
      <c r="C730" s="178"/>
      <c r="D730" s="178"/>
      <c r="E730" s="178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178"/>
      <c r="B731" s="178"/>
      <c r="C731" s="178"/>
      <c r="D731" s="178"/>
      <c r="E731" s="178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178"/>
      <c r="B732" s="178"/>
      <c r="C732" s="178"/>
      <c r="D732" s="178"/>
      <c r="E732" s="178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178"/>
      <c r="B733" s="178"/>
      <c r="C733" s="178"/>
      <c r="D733" s="178"/>
      <c r="E733" s="178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178"/>
      <c r="B734" s="178"/>
      <c r="C734" s="178"/>
      <c r="D734" s="178"/>
      <c r="E734" s="178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178"/>
      <c r="B735" s="178"/>
      <c r="C735" s="178"/>
      <c r="D735" s="178"/>
      <c r="E735" s="178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178"/>
      <c r="B736" s="178"/>
      <c r="C736" s="178"/>
      <c r="D736" s="178"/>
      <c r="E736" s="178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178"/>
      <c r="B737" s="178"/>
      <c r="C737" s="178"/>
      <c r="D737" s="178"/>
      <c r="E737" s="178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178"/>
      <c r="B738" s="178"/>
      <c r="C738" s="178"/>
      <c r="D738" s="178"/>
      <c r="E738" s="178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178"/>
      <c r="B739" s="178"/>
      <c r="C739" s="178"/>
      <c r="D739" s="178"/>
      <c r="E739" s="178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178"/>
      <c r="B740" s="178"/>
      <c r="C740" s="178"/>
      <c r="D740" s="178"/>
      <c r="E740" s="178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178"/>
      <c r="B741" s="178"/>
      <c r="C741" s="178"/>
      <c r="D741" s="178"/>
      <c r="E741" s="178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178"/>
      <c r="B742" s="178"/>
      <c r="C742" s="178"/>
      <c r="D742" s="178"/>
      <c r="E742" s="178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178"/>
      <c r="B743" s="178"/>
      <c r="C743" s="178"/>
      <c r="D743" s="178"/>
      <c r="E743" s="178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178"/>
      <c r="B744" s="178"/>
      <c r="C744" s="178"/>
      <c r="D744" s="178"/>
      <c r="E744" s="178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178"/>
      <c r="B745" s="178"/>
      <c r="C745" s="178"/>
      <c r="D745" s="178"/>
      <c r="E745" s="178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178"/>
      <c r="B746" s="178"/>
      <c r="C746" s="178"/>
      <c r="D746" s="178"/>
      <c r="E746" s="178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178"/>
      <c r="B747" s="178"/>
      <c r="C747" s="178"/>
      <c r="D747" s="178"/>
      <c r="E747" s="178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178"/>
      <c r="B748" s="178"/>
      <c r="C748" s="178"/>
      <c r="D748" s="178"/>
      <c r="E748" s="178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178"/>
      <c r="B749" s="178"/>
      <c r="C749" s="178"/>
      <c r="D749" s="178"/>
      <c r="E749" s="178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178"/>
      <c r="B750" s="178"/>
      <c r="C750" s="178"/>
      <c r="D750" s="178"/>
      <c r="E750" s="178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178"/>
      <c r="B751" s="178"/>
      <c r="C751" s="178"/>
      <c r="D751" s="178"/>
      <c r="E751" s="178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178"/>
      <c r="B752" s="178"/>
      <c r="C752" s="178"/>
      <c r="D752" s="178"/>
      <c r="E752" s="178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178"/>
      <c r="B753" s="178"/>
      <c r="C753" s="178"/>
      <c r="D753" s="178"/>
      <c r="E753" s="178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178"/>
      <c r="B754" s="178"/>
      <c r="C754" s="178"/>
      <c r="D754" s="178"/>
      <c r="E754" s="178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178"/>
      <c r="B755" s="178"/>
      <c r="C755" s="178"/>
      <c r="D755" s="178"/>
      <c r="E755" s="178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178"/>
      <c r="B756" s="178"/>
      <c r="C756" s="178"/>
      <c r="D756" s="178"/>
      <c r="E756" s="178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178"/>
      <c r="B757" s="178"/>
      <c r="C757" s="178"/>
      <c r="D757" s="178"/>
      <c r="E757" s="178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178"/>
      <c r="B758" s="178"/>
      <c r="C758" s="178"/>
      <c r="D758" s="178"/>
      <c r="E758" s="178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178"/>
      <c r="B759" s="178"/>
      <c r="C759" s="178"/>
      <c r="D759" s="178"/>
      <c r="E759" s="178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178"/>
      <c r="B760" s="178"/>
      <c r="C760" s="178"/>
      <c r="D760" s="178"/>
      <c r="E760" s="178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178"/>
      <c r="B761" s="178"/>
      <c r="C761" s="178"/>
      <c r="D761" s="178"/>
      <c r="E761" s="178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178"/>
      <c r="B762" s="178"/>
      <c r="C762" s="178"/>
      <c r="D762" s="178"/>
      <c r="E762" s="178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178"/>
      <c r="B763" s="178"/>
      <c r="C763" s="178"/>
      <c r="D763" s="178"/>
      <c r="E763" s="178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178"/>
      <c r="B764" s="178"/>
      <c r="C764" s="178"/>
      <c r="D764" s="178"/>
      <c r="E764" s="178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178"/>
      <c r="B765" s="178"/>
      <c r="C765" s="178"/>
      <c r="D765" s="178"/>
      <c r="E765" s="178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178"/>
      <c r="B766" s="178"/>
      <c r="C766" s="178"/>
      <c r="D766" s="178"/>
      <c r="E766" s="178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178"/>
      <c r="B767" s="178"/>
      <c r="C767" s="178"/>
      <c r="D767" s="178"/>
      <c r="E767" s="178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178"/>
      <c r="B768" s="178"/>
      <c r="C768" s="178"/>
      <c r="D768" s="178"/>
      <c r="E768" s="178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178"/>
      <c r="B769" s="178"/>
      <c r="C769" s="178"/>
      <c r="D769" s="178"/>
      <c r="E769" s="178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178"/>
      <c r="B770" s="178"/>
      <c r="C770" s="178"/>
      <c r="D770" s="178"/>
      <c r="E770" s="178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178"/>
      <c r="B771" s="178"/>
      <c r="C771" s="178"/>
      <c r="D771" s="178"/>
      <c r="E771" s="178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178"/>
      <c r="B772" s="178"/>
      <c r="C772" s="178"/>
      <c r="D772" s="178"/>
      <c r="E772" s="178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178"/>
      <c r="B773" s="178"/>
      <c r="C773" s="178"/>
      <c r="D773" s="178"/>
      <c r="E773" s="178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178"/>
      <c r="B774" s="178"/>
      <c r="C774" s="178"/>
      <c r="D774" s="178"/>
      <c r="E774" s="178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178"/>
      <c r="B775" s="178"/>
      <c r="C775" s="178"/>
      <c r="D775" s="178"/>
      <c r="E775" s="178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178"/>
      <c r="B776" s="178"/>
      <c r="C776" s="178"/>
      <c r="D776" s="178"/>
      <c r="E776" s="178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178"/>
      <c r="B777" s="178"/>
      <c r="C777" s="178"/>
      <c r="D777" s="178"/>
      <c r="E777" s="178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178"/>
      <c r="B778" s="178"/>
      <c r="C778" s="178"/>
      <c r="D778" s="178"/>
      <c r="E778" s="178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178"/>
      <c r="B779" s="178"/>
      <c r="C779" s="178"/>
      <c r="D779" s="178"/>
      <c r="E779" s="178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178"/>
      <c r="B780" s="178"/>
      <c r="C780" s="178"/>
      <c r="D780" s="178"/>
      <c r="E780" s="178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178"/>
      <c r="B781" s="178"/>
      <c r="C781" s="178"/>
      <c r="D781" s="178"/>
      <c r="E781" s="178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178"/>
      <c r="B782" s="178"/>
      <c r="C782" s="178"/>
      <c r="D782" s="178"/>
      <c r="E782" s="178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178"/>
      <c r="B783" s="178"/>
      <c r="C783" s="178"/>
      <c r="D783" s="178"/>
      <c r="E783" s="178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178"/>
      <c r="B784" s="178"/>
      <c r="C784" s="178"/>
      <c r="D784" s="178"/>
      <c r="E784" s="178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178"/>
      <c r="B785" s="178"/>
      <c r="C785" s="178"/>
      <c r="D785" s="178"/>
      <c r="E785" s="178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178"/>
      <c r="B786" s="178"/>
      <c r="C786" s="178"/>
      <c r="D786" s="178"/>
      <c r="E786" s="178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178"/>
      <c r="B787" s="178"/>
      <c r="C787" s="178"/>
      <c r="D787" s="178"/>
      <c r="E787" s="178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178"/>
      <c r="B788" s="178"/>
      <c r="C788" s="178"/>
      <c r="D788" s="178"/>
      <c r="E788" s="178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178"/>
      <c r="B789" s="178"/>
      <c r="C789" s="178"/>
      <c r="D789" s="178"/>
      <c r="E789" s="178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178"/>
      <c r="B790" s="178"/>
      <c r="C790" s="178"/>
      <c r="D790" s="178"/>
      <c r="E790" s="178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178"/>
      <c r="B791" s="178"/>
      <c r="C791" s="178"/>
      <c r="D791" s="178"/>
      <c r="E791" s="178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178"/>
      <c r="B792" s="178"/>
      <c r="C792" s="178"/>
      <c r="D792" s="178"/>
      <c r="E792" s="178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178"/>
      <c r="B793" s="178"/>
      <c r="C793" s="178"/>
      <c r="D793" s="178"/>
      <c r="E793" s="178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178"/>
      <c r="B794" s="178"/>
      <c r="C794" s="178"/>
      <c r="D794" s="178"/>
      <c r="E794" s="178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178"/>
      <c r="B795" s="178"/>
      <c r="C795" s="178"/>
      <c r="D795" s="178"/>
      <c r="E795" s="178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178"/>
      <c r="B796" s="178"/>
      <c r="C796" s="178"/>
      <c r="D796" s="178"/>
      <c r="E796" s="178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178"/>
      <c r="B797" s="178"/>
      <c r="C797" s="178"/>
      <c r="D797" s="178"/>
      <c r="E797" s="178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178"/>
      <c r="B798" s="178"/>
      <c r="C798" s="178"/>
      <c r="D798" s="178"/>
      <c r="E798" s="178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178"/>
      <c r="B799" s="178"/>
      <c r="C799" s="178"/>
      <c r="D799" s="178"/>
      <c r="E799" s="178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178"/>
      <c r="B800" s="178"/>
      <c r="C800" s="178"/>
      <c r="D800" s="178"/>
      <c r="E800" s="178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178"/>
      <c r="B801" s="178"/>
      <c r="C801" s="178"/>
      <c r="D801" s="178"/>
      <c r="E801" s="178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178"/>
      <c r="B802" s="178"/>
      <c r="C802" s="178"/>
      <c r="D802" s="178"/>
      <c r="E802" s="178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178"/>
      <c r="B803" s="178"/>
      <c r="C803" s="178"/>
      <c r="D803" s="178"/>
      <c r="E803" s="178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178"/>
      <c r="B804" s="178"/>
      <c r="C804" s="178"/>
      <c r="D804" s="178"/>
      <c r="E804" s="178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178"/>
      <c r="B805" s="178"/>
      <c r="C805" s="178"/>
      <c r="D805" s="178"/>
      <c r="E805" s="178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178"/>
      <c r="B806" s="178"/>
      <c r="C806" s="178"/>
      <c r="D806" s="178"/>
      <c r="E806" s="178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178"/>
      <c r="B807" s="178"/>
      <c r="C807" s="178"/>
      <c r="D807" s="178"/>
      <c r="E807" s="178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178"/>
      <c r="B808" s="178"/>
      <c r="C808" s="178"/>
      <c r="D808" s="178"/>
      <c r="E808" s="178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178"/>
      <c r="B809" s="178"/>
      <c r="C809" s="178"/>
      <c r="D809" s="178"/>
      <c r="E809" s="178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178"/>
      <c r="B810" s="178"/>
      <c r="C810" s="178"/>
      <c r="D810" s="178"/>
      <c r="E810" s="178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178"/>
      <c r="B811" s="178"/>
      <c r="C811" s="178"/>
      <c r="D811" s="178"/>
      <c r="E811" s="178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178"/>
      <c r="B812" s="178"/>
      <c r="C812" s="178"/>
      <c r="D812" s="178"/>
      <c r="E812" s="178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178"/>
      <c r="B813" s="178"/>
      <c r="C813" s="178"/>
      <c r="D813" s="178"/>
      <c r="E813" s="178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178"/>
      <c r="B814" s="178"/>
      <c r="C814" s="178"/>
      <c r="D814" s="178"/>
      <c r="E814" s="178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178"/>
      <c r="B815" s="178"/>
      <c r="C815" s="178"/>
      <c r="D815" s="178"/>
      <c r="E815" s="178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178"/>
      <c r="B816" s="178"/>
      <c r="C816" s="178"/>
      <c r="D816" s="178"/>
      <c r="E816" s="178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178"/>
      <c r="B817" s="178"/>
      <c r="C817" s="178"/>
      <c r="D817" s="178"/>
      <c r="E817" s="178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178"/>
      <c r="B818" s="178"/>
      <c r="C818" s="178"/>
      <c r="D818" s="178"/>
      <c r="E818" s="178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178"/>
      <c r="B819" s="178"/>
      <c r="C819" s="178"/>
      <c r="D819" s="178"/>
      <c r="E819" s="178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178"/>
      <c r="B820" s="178"/>
      <c r="C820" s="178"/>
      <c r="D820" s="178"/>
      <c r="E820" s="178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178"/>
      <c r="B821" s="178"/>
      <c r="C821" s="178"/>
      <c r="D821" s="178"/>
      <c r="E821" s="178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178"/>
      <c r="B822" s="178"/>
      <c r="C822" s="178"/>
      <c r="D822" s="178"/>
      <c r="E822" s="178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178"/>
      <c r="B823" s="178"/>
      <c r="C823" s="178"/>
      <c r="D823" s="178"/>
      <c r="E823" s="178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178"/>
      <c r="B824" s="178"/>
      <c r="C824" s="178"/>
      <c r="D824" s="178"/>
      <c r="E824" s="178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178"/>
      <c r="B825" s="178"/>
      <c r="C825" s="178"/>
      <c r="D825" s="178"/>
      <c r="E825" s="178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178"/>
      <c r="B826" s="178"/>
      <c r="C826" s="178"/>
      <c r="D826" s="178"/>
      <c r="E826" s="178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178"/>
      <c r="B827" s="178"/>
      <c r="C827" s="178"/>
      <c r="D827" s="178"/>
      <c r="E827" s="178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178"/>
      <c r="B828" s="178"/>
      <c r="C828" s="178"/>
      <c r="D828" s="178"/>
      <c r="E828" s="178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178"/>
      <c r="B829" s="178"/>
      <c r="C829" s="178"/>
      <c r="D829" s="178"/>
      <c r="E829" s="178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178"/>
      <c r="B830" s="178"/>
      <c r="C830" s="178"/>
      <c r="D830" s="178"/>
      <c r="E830" s="178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178"/>
      <c r="B831" s="178"/>
      <c r="C831" s="178"/>
      <c r="D831" s="178"/>
      <c r="E831" s="178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178"/>
      <c r="B832" s="178"/>
      <c r="C832" s="178"/>
      <c r="D832" s="178"/>
      <c r="E832" s="178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178"/>
      <c r="B833" s="178"/>
      <c r="C833" s="178"/>
      <c r="D833" s="178"/>
      <c r="E833" s="178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178"/>
      <c r="B834" s="178"/>
      <c r="C834" s="178"/>
      <c r="D834" s="178"/>
      <c r="E834" s="178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178"/>
      <c r="B835" s="178"/>
      <c r="C835" s="178"/>
      <c r="D835" s="178"/>
      <c r="E835" s="178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178"/>
      <c r="B836" s="178"/>
      <c r="C836" s="178"/>
      <c r="D836" s="178"/>
      <c r="E836" s="178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178"/>
      <c r="B837" s="178"/>
      <c r="C837" s="178"/>
      <c r="D837" s="178"/>
      <c r="E837" s="178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178"/>
      <c r="B838" s="178"/>
      <c r="C838" s="178"/>
      <c r="D838" s="178"/>
      <c r="E838" s="178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178"/>
      <c r="B839" s="178"/>
      <c r="C839" s="178"/>
      <c r="D839" s="178"/>
      <c r="E839" s="178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178"/>
      <c r="B840" s="178"/>
      <c r="C840" s="178"/>
      <c r="D840" s="178"/>
      <c r="E840" s="178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178"/>
      <c r="B841" s="178"/>
      <c r="C841" s="178"/>
      <c r="D841" s="178"/>
      <c r="E841" s="178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178"/>
      <c r="B842" s="178"/>
      <c r="C842" s="178"/>
      <c r="D842" s="178"/>
      <c r="E842" s="178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178"/>
      <c r="B843" s="178"/>
      <c r="C843" s="178"/>
      <c r="D843" s="178"/>
      <c r="E843" s="178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178"/>
      <c r="B844" s="178"/>
      <c r="C844" s="178"/>
      <c r="D844" s="178"/>
      <c r="E844" s="178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178"/>
      <c r="B845" s="178"/>
      <c r="C845" s="178"/>
      <c r="D845" s="178"/>
      <c r="E845" s="178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178"/>
      <c r="B846" s="178"/>
      <c r="C846" s="178"/>
      <c r="D846" s="178"/>
      <c r="E846" s="178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178"/>
      <c r="B847" s="178"/>
      <c r="C847" s="178"/>
      <c r="D847" s="178"/>
      <c r="E847" s="178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178"/>
      <c r="B848" s="178"/>
      <c r="C848" s="178"/>
      <c r="D848" s="178"/>
      <c r="E848" s="178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178"/>
      <c r="B849" s="178"/>
      <c r="C849" s="178"/>
      <c r="D849" s="178"/>
      <c r="E849" s="178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178"/>
      <c r="B850" s="178"/>
      <c r="C850" s="178"/>
      <c r="D850" s="178"/>
      <c r="E850" s="178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178"/>
      <c r="B851" s="178"/>
      <c r="C851" s="178"/>
      <c r="D851" s="178"/>
      <c r="E851" s="178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178"/>
      <c r="B852" s="178"/>
      <c r="C852" s="178"/>
      <c r="D852" s="178"/>
      <c r="E852" s="178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178"/>
      <c r="B853" s="178"/>
      <c r="C853" s="178"/>
      <c r="D853" s="178"/>
      <c r="E853" s="178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178"/>
      <c r="B854" s="178"/>
      <c r="C854" s="178"/>
      <c r="D854" s="178"/>
      <c r="E854" s="178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178"/>
      <c r="B855" s="178"/>
      <c r="C855" s="178"/>
      <c r="D855" s="178"/>
      <c r="E855" s="178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178"/>
      <c r="B856" s="178"/>
      <c r="C856" s="178"/>
      <c r="D856" s="178"/>
      <c r="E856" s="178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178"/>
      <c r="B857" s="178"/>
      <c r="C857" s="178"/>
      <c r="D857" s="178"/>
      <c r="E857" s="178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178"/>
      <c r="B858" s="178"/>
      <c r="C858" s="178"/>
      <c r="D858" s="178"/>
      <c r="E858" s="178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178"/>
      <c r="B859" s="178"/>
      <c r="C859" s="178"/>
      <c r="D859" s="178"/>
      <c r="E859" s="178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178"/>
      <c r="B860" s="178"/>
      <c r="C860" s="178"/>
      <c r="D860" s="178"/>
      <c r="E860" s="178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178"/>
      <c r="B861" s="178"/>
      <c r="C861" s="178"/>
      <c r="D861" s="178"/>
      <c r="E861" s="178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178"/>
      <c r="B862" s="178"/>
      <c r="C862" s="178"/>
      <c r="D862" s="178"/>
      <c r="E862" s="178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178"/>
      <c r="B863" s="178"/>
      <c r="C863" s="178"/>
      <c r="D863" s="178"/>
      <c r="E863" s="178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178"/>
      <c r="B864" s="178"/>
      <c r="C864" s="178"/>
      <c r="D864" s="178"/>
      <c r="E864" s="178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178"/>
      <c r="B865" s="178"/>
      <c r="C865" s="178"/>
      <c r="D865" s="178"/>
      <c r="E865" s="178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178"/>
      <c r="B866" s="178"/>
      <c r="C866" s="178"/>
      <c r="D866" s="178"/>
      <c r="E866" s="178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178"/>
      <c r="B867" s="178"/>
      <c r="C867" s="178"/>
      <c r="D867" s="178"/>
      <c r="E867" s="178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178"/>
      <c r="B868" s="178"/>
      <c r="C868" s="178"/>
      <c r="D868" s="178"/>
      <c r="E868" s="178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178"/>
      <c r="B869" s="178"/>
      <c r="C869" s="178"/>
      <c r="D869" s="178"/>
      <c r="E869" s="178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178"/>
      <c r="B870" s="178"/>
      <c r="C870" s="178"/>
      <c r="D870" s="178"/>
      <c r="E870" s="178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178"/>
      <c r="B871" s="178"/>
      <c r="C871" s="178"/>
      <c r="D871" s="178"/>
      <c r="E871" s="178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178"/>
      <c r="B872" s="178"/>
      <c r="C872" s="178"/>
      <c r="D872" s="178"/>
      <c r="E872" s="178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178"/>
      <c r="B873" s="178"/>
      <c r="C873" s="178"/>
      <c r="D873" s="178"/>
      <c r="E873" s="178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178"/>
      <c r="B874" s="178"/>
      <c r="C874" s="178"/>
      <c r="D874" s="178"/>
      <c r="E874" s="178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178"/>
      <c r="B875" s="178"/>
      <c r="C875" s="178"/>
      <c r="D875" s="178"/>
      <c r="E875" s="178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178"/>
      <c r="B876" s="178"/>
      <c r="C876" s="178"/>
      <c r="D876" s="178"/>
      <c r="E876" s="178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178"/>
      <c r="B877" s="178"/>
      <c r="C877" s="178"/>
      <c r="D877" s="178"/>
      <c r="E877" s="178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178"/>
      <c r="B878" s="178"/>
      <c r="C878" s="178"/>
      <c r="D878" s="178"/>
      <c r="E878" s="178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178"/>
      <c r="B879" s="178"/>
      <c r="C879" s="178"/>
      <c r="D879" s="178"/>
      <c r="E879" s="178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178"/>
      <c r="B880" s="178"/>
      <c r="C880" s="178"/>
      <c r="D880" s="178"/>
      <c r="E880" s="178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178"/>
      <c r="B881" s="178"/>
      <c r="C881" s="178"/>
      <c r="D881" s="178"/>
      <c r="E881" s="178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178"/>
      <c r="B882" s="178"/>
      <c r="C882" s="178"/>
      <c r="D882" s="178"/>
      <c r="E882" s="178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178"/>
      <c r="B883" s="178"/>
      <c r="C883" s="178"/>
      <c r="D883" s="178"/>
      <c r="E883" s="178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178"/>
      <c r="B884" s="178"/>
      <c r="C884" s="178"/>
      <c r="D884" s="178"/>
      <c r="E884" s="178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178"/>
      <c r="B885" s="178"/>
      <c r="C885" s="178"/>
      <c r="D885" s="178"/>
      <c r="E885" s="178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178"/>
      <c r="B886" s="178"/>
      <c r="C886" s="178"/>
      <c r="D886" s="178"/>
      <c r="E886" s="178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178"/>
      <c r="B887" s="178"/>
      <c r="C887" s="178"/>
      <c r="D887" s="178"/>
      <c r="E887" s="178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178"/>
      <c r="B888" s="178"/>
      <c r="C888" s="178"/>
      <c r="D888" s="178"/>
      <c r="E888" s="178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178"/>
      <c r="B889" s="178"/>
      <c r="C889" s="178"/>
      <c r="D889" s="178"/>
      <c r="E889" s="178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178"/>
      <c r="B890" s="178"/>
      <c r="C890" s="178"/>
      <c r="D890" s="178"/>
      <c r="E890" s="178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178"/>
      <c r="B891" s="178"/>
      <c r="C891" s="178"/>
      <c r="D891" s="178"/>
      <c r="E891" s="178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178"/>
      <c r="B892" s="178"/>
      <c r="C892" s="178"/>
      <c r="D892" s="178"/>
      <c r="E892" s="178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178"/>
      <c r="B893" s="178"/>
      <c r="C893" s="178"/>
      <c r="D893" s="178"/>
      <c r="E893" s="178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178"/>
      <c r="B894" s="178"/>
      <c r="C894" s="178"/>
      <c r="D894" s="178"/>
      <c r="E894" s="178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178"/>
      <c r="B895" s="178"/>
      <c r="C895" s="178"/>
      <c r="D895" s="178"/>
      <c r="E895" s="178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178"/>
      <c r="B896" s="178"/>
      <c r="C896" s="178"/>
      <c r="D896" s="178"/>
      <c r="E896" s="178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178"/>
      <c r="B897" s="178"/>
      <c r="C897" s="178"/>
      <c r="D897" s="178"/>
      <c r="E897" s="178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178"/>
      <c r="B898" s="178"/>
      <c r="C898" s="178"/>
      <c r="D898" s="178"/>
      <c r="E898" s="178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178"/>
      <c r="B899" s="178"/>
      <c r="C899" s="178"/>
      <c r="D899" s="178"/>
      <c r="E899" s="178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178"/>
      <c r="B900" s="178"/>
      <c r="C900" s="178"/>
      <c r="D900" s="178"/>
      <c r="E900" s="178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178"/>
      <c r="B901" s="178"/>
      <c r="C901" s="178"/>
      <c r="D901" s="178"/>
      <c r="E901" s="178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178"/>
      <c r="B902" s="178"/>
      <c r="C902" s="178"/>
      <c r="D902" s="178"/>
      <c r="E902" s="178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178"/>
      <c r="B903" s="178"/>
      <c r="C903" s="178"/>
      <c r="D903" s="178"/>
      <c r="E903" s="178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178"/>
      <c r="B904" s="178"/>
      <c r="C904" s="178"/>
      <c r="D904" s="178"/>
      <c r="E904" s="178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178"/>
      <c r="B905" s="178"/>
      <c r="C905" s="178"/>
      <c r="D905" s="178"/>
      <c r="E905" s="178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178"/>
      <c r="B906" s="178"/>
      <c r="C906" s="178"/>
      <c r="D906" s="178"/>
      <c r="E906" s="178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178"/>
      <c r="B907" s="178"/>
      <c r="C907" s="178"/>
      <c r="D907" s="178"/>
      <c r="E907" s="178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178"/>
      <c r="B908" s="178"/>
      <c r="C908" s="178"/>
      <c r="D908" s="178"/>
      <c r="E908" s="178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178"/>
      <c r="B909" s="178"/>
      <c r="C909" s="178"/>
      <c r="D909" s="178"/>
      <c r="E909" s="178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178"/>
      <c r="B910" s="178"/>
      <c r="C910" s="178"/>
      <c r="D910" s="178"/>
      <c r="E910" s="178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178"/>
      <c r="B911" s="178"/>
      <c r="C911" s="178"/>
      <c r="D911" s="178"/>
      <c r="E911" s="178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178"/>
      <c r="B912" s="178"/>
      <c r="C912" s="178"/>
      <c r="D912" s="178"/>
      <c r="E912" s="178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178"/>
      <c r="B913" s="178"/>
      <c r="C913" s="178"/>
      <c r="D913" s="178"/>
      <c r="E913" s="178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178"/>
      <c r="B914" s="178"/>
      <c r="C914" s="178"/>
      <c r="D914" s="178"/>
      <c r="E914" s="178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178"/>
      <c r="B915" s="178"/>
      <c r="C915" s="178"/>
      <c r="D915" s="178"/>
      <c r="E915" s="178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178"/>
      <c r="B916" s="178"/>
      <c r="C916" s="178"/>
      <c r="D916" s="178"/>
      <c r="E916" s="178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178"/>
      <c r="B917" s="178"/>
      <c r="C917" s="178"/>
      <c r="D917" s="178"/>
      <c r="E917" s="178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178"/>
      <c r="B918" s="178"/>
      <c r="C918" s="178"/>
      <c r="D918" s="178"/>
      <c r="E918" s="178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178"/>
      <c r="B919" s="178"/>
      <c r="C919" s="178"/>
      <c r="D919" s="178"/>
      <c r="E919" s="178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178"/>
      <c r="B920" s="178"/>
      <c r="C920" s="178"/>
      <c r="D920" s="178"/>
      <c r="E920" s="178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178"/>
      <c r="B921" s="178"/>
      <c r="C921" s="178"/>
      <c r="D921" s="178"/>
      <c r="E921" s="178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178"/>
      <c r="B922" s="178"/>
      <c r="C922" s="178"/>
      <c r="D922" s="178"/>
      <c r="E922" s="178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178"/>
      <c r="B923" s="178"/>
      <c r="C923" s="178"/>
      <c r="D923" s="178"/>
      <c r="E923" s="178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178"/>
      <c r="B924" s="178"/>
      <c r="C924" s="178"/>
      <c r="D924" s="178"/>
      <c r="E924" s="178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178"/>
      <c r="B925" s="178"/>
      <c r="C925" s="178"/>
      <c r="D925" s="178"/>
      <c r="E925" s="178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178"/>
      <c r="B926" s="178"/>
      <c r="C926" s="178"/>
      <c r="D926" s="178"/>
      <c r="E926" s="178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178"/>
      <c r="B927" s="178"/>
      <c r="C927" s="178"/>
      <c r="D927" s="178"/>
      <c r="E927" s="178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178"/>
      <c r="B928" s="178"/>
      <c r="C928" s="178"/>
      <c r="D928" s="178"/>
      <c r="E928" s="178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178"/>
      <c r="B929" s="178"/>
      <c r="C929" s="178"/>
      <c r="D929" s="178"/>
      <c r="E929" s="178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178"/>
      <c r="B930" s="178"/>
      <c r="C930" s="178"/>
      <c r="D930" s="178"/>
      <c r="E930" s="178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178"/>
      <c r="B931" s="178"/>
      <c r="C931" s="178"/>
      <c r="D931" s="178"/>
      <c r="E931" s="178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178"/>
      <c r="B932" s="178"/>
      <c r="C932" s="178"/>
      <c r="D932" s="178"/>
      <c r="E932" s="178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178"/>
      <c r="B933" s="178"/>
      <c r="C933" s="178"/>
      <c r="D933" s="178"/>
      <c r="E933" s="178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178"/>
      <c r="B934" s="178"/>
      <c r="C934" s="178"/>
      <c r="D934" s="178"/>
      <c r="E934" s="178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178"/>
      <c r="B935" s="178"/>
      <c r="C935" s="178"/>
      <c r="D935" s="178"/>
      <c r="E935" s="178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178"/>
      <c r="B936" s="178"/>
      <c r="C936" s="178"/>
      <c r="D936" s="178"/>
      <c r="E936" s="178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178"/>
      <c r="B937" s="178"/>
      <c r="C937" s="178"/>
      <c r="D937" s="178"/>
      <c r="E937" s="178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178"/>
      <c r="B938" s="178"/>
      <c r="C938" s="178"/>
      <c r="D938" s="178"/>
      <c r="E938" s="178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178"/>
      <c r="B939" s="178"/>
      <c r="C939" s="178"/>
      <c r="D939" s="178"/>
      <c r="E939" s="178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178"/>
      <c r="B940" s="178"/>
      <c r="C940" s="178"/>
      <c r="D940" s="178"/>
      <c r="E940" s="178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178"/>
      <c r="B941" s="178"/>
      <c r="C941" s="178"/>
      <c r="D941" s="178"/>
      <c r="E941" s="178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178"/>
      <c r="B942" s="178"/>
      <c r="C942" s="178"/>
      <c r="D942" s="178"/>
      <c r="E942" s="178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178"/>
      <c r="B943" s="178"/>
      <c r="C943" s="178"/>
      <c r="D943" s="178"/>
      <c r="E943" s="178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178"/>
      <c r="B944" s="178"/>
      <c r="C944" s="178"/>
      <c r="D944" s="178"/>
      <c r="E944" s="178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178"/>
      <c r="B945" s="178"/>
      <c r="C945" s="178"/>
      <c r="D945" s="178"/>
      <c r="E945" s="178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178"/>
      <c r="B946" s="178"/>
      <c r="C946" s="178"/>
      <c r="D946" s="178"/>
      <c r="E946" s="178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178"/>
      <c r="B947" s="178"/>
      <c r="C947" s="178"/>
      <c r="D947" s="178"/>
      <c r="E947" s="178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178"/>
      <c r="B948" s="178"/>
      <c r="C948" s="178"/>
      <c r="D948" s="178"/>
      <c r="E948" s="178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178"/>
      <c r="B949" s="178"/>
      <c r="C949" s="178"/>
      <c r="D949" s="178"/>
      <c r="E949" s="178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178"/>
      <c r="B950" s="178"/>
      <c r="C950" s="178"/>
      <c r="D950" s="178"/>
      <c r="E950" s="178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178"/>
      <c r="B951" s="178"/>
      <c r="C951" s="178"/>
      <c r="D951" s="178"/>
      <c r="E951" s="178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178"/>
      <c r="B952" s="178"/>
      <c r="C952" s="178"/>
      <c r="D952" s="178"/>
      <c r="E952" s="178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178"/>
      <c r="B953" s="178"/>
      <c r="C953" s="178"/>
      <c r="D953" s="178"/>
      <c r="E953" s="178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178"/>
      <c r="B954" s="178"/>
      <c r="C954" s="178"/>
      <c r="D954" s="178"/>
      <c r="E954" s="178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178"/>
      <c r="B955" s="178"/>
      <c r="C955" s="178"/>
      <c r="D955" s="178"/>
      <c r="E955" s="178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178"/>
      <c r="B956" s="178"/>
      <c r="C956" s="178"/>
      <c r="D956" s="178"/>
      <c r="E956" s="178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178"/>
      <c r="B957" s="178"/>
      <c r="C957" s="178"/>
      <c r="D957" s="178"/>
      <c r="E957" s="178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178"/>
      <c r="B958" s="178"/>
      <c r="C958" s="178"/>
      <c r="D958" s="178"/>
      <c r="E958" s="178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178"/>
      <c r="B959" s="178"/>
      <c r="C959" s="178"/>
      <c r="D959" s="178"/>
      <c r="E959" s="178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178"/>
      <c r="B960" s="178"/>
      <c r="C960" s="178"/>
      <c r="D960" s="178"/>
      <c r="E960" s="178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178"/>
      <c r="B961" s="178"/>
      <c r="C961" s="178"/>
      <c r="D961" s="178"/>
      <c r="E961" s="178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178"/>
      <c r="B962" s="178"/>
      <c r="C962" s="178"/>
      <c r="D962" s="178"/>
      <c r="E962" s="178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178"/>
      <c r="B963" s="178"/>
      <c r="C963" s="178"/>
      <c r="D963" s="178"/>
      <c r="E963" s="178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178"/>
      <c r="B964" s="178"/>
      <c r="C964" s="178"/>
      <c r="D964" s="178"/>
      <c r="E964" s="178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178"/>
      <c r="B965" s="178"/>
      <c r="C965" s="178"/>
      <c r="D965" s="178"/>
      <c r="E965" s="178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178"/>
      <c r="B966" s="178"/>
      <c r="C966" s="178"/>
      <c r="D966" s="178"/>
      <c r="E966" s="178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178"/>
      <c r="B967" s="178"/>
      <c r="C967" s="178"/>
      <c r="D967" s="178"/>
      <c r="E967" s="178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178"/>
      <c r="B968" s="178"/>
      <c r="C968" s="178"/>
      <c r="D968" s="178"/>
      <c r="E968" s="178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178"/>
      <c r="B969" s="178"/>
      <c r="C969" s="178"/>
      <c r="D969" s="178"/>
      <c r="E969" s="178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178"/>
      <c r="B970" s="178"/>
      <c r="C970" s="178"/>
      <c r="D970" s="178"/>
      <c r="E970" s="178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178"/>
      <c r="B971" s="178"/>
      <c r="C971" s="178"/>
      <c r="D971" s="178"/>
      <c r="E971" s="178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178"/>
      <c r="B972" s="178"/>
      <c r="C972" s="178"/>
      <c r="D972" s="178"/>
      <c r="E972" s="178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178"/>
      <c r="B973" s="178"/>
      <c r="C973" s="178"/>
      <c r="D973" s="178"/>
      <c r="E973" s="178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178"/>
      <c r="B974" s="178"/>
      <c r="C974" s="178"/>
      <c r="D974" s="178"/>
      <c r="E974" s="178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178"/>
      <c r="B975" s="178"/>
      <c r="C975" s="178"/>
      <c r="D975" s="178"/>
      <c r="E975" s="178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178"/>
      <c r="B976" s="178"/>
      <c r="C976" s="178"/>
      <c r="D976" s="178"/>
      <c r="E976" s="178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178"/>
      <c r="B977" s="178"/>
      <c r="C977" s="178"/>
      <c r="D977" s="178"/>
      <c r="E977" s="178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178"/>
      <c r="B978" s="178"/>
      <c r="C978" s="178"/>
      <c r="D978" s="178"/>
      <c r="E978" s="178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178"/>
      <c r="B979" s="178"/>
      <c r="C979" s="178"/>
      <c r="D979" s="178"/>
      <c r="E979" s="178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178"/>
      <c r="B980" s="178"/>
      <c r="C980" s="178"/>
      <c r="D980" s="178"/>
      <c r="E980" s="178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178"/>
      <c r="B981" s="178"/>
      <c r="C981" s="178"/>
      <c r="D981" s="178"/>
      <c r="E981" s="178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178"/>
      <c r="B982" s="178"/>
      <c r="C982" s="178"/>
      <c r="D982" s="178"/>
      <c r="E982" s="178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178"/>
      <c r="B983" s="178"/>
      <c r="C983" s="178"/>
      <c r="D983" s="178"/>
      <c r="E983" s="178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178"/>
      <c r="B984" s="178"/>
      <c r="C984" s="178"/>
      <c r="D984" s="178"/>
      <c r="E984" s="178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178"/>
      <c r="B985" s="178"/>
      <c r="C985" s="178"/>
      <c r="D985" s="178"/>
      <c r="E985" s="178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178"/>
      <c r="B986" s="178"/>
      <c r="C986" s="178"/>
      <c r="D986" s="178"/>
      <c r="E986" s="178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178"/>
      <c r="B987" s="178"/>
      <c r="C987" s="178"/>
      <c r="D987" s="178"/>
      <c r="E987" s="178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178"/>
      <c r="B988" s="178"/>
      <c r="C988" s="178"/>
      <c r="D988" s="178"/>
      <c r="E988" s="178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178"/>
      <c r="B989" s="178"/>
      <c r="C989" s="178"/>
      <c r="D989" s="178"/>
      <c r="E989" s="178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178"/>
      <c r="B990" s="178"/>
      <c r="C990" s="178"/>
      <c r="D990" s="178"/>
      <c r="E990" s="178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178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178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178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</sheetData>
  <mergeCells count="1">
    <mergeCell ref="G8:H8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42.63"/>
    <col customWidth="1" min="3" max="3" width="16.0"/>
    <col customWidth="1" min="4" max="4" width="24.25"/>
    <col customWidth="1" min="5" max="5" width="10.38"/>
    <col customWidth="1" min="7" max="7" width="76.8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178"/>
      <c r="G1" s="80" t="s">
        <v>5</v>
      </c>
      <c r="H1" s="81">
        <f>H4</f>
        <v>33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169" t="s">
        <v>1351</v>
      </c>
      <c r="B2" s="73" t="str">
        <f t="array" ref="B2">IFERROR(XLOOKUP(A2, BASE!E:E, BASE!B:B), "")
</f>
        <v>LM Hub_SP_Guaratinguetá</v>
      </c>
      <c r="C2" s="73" t="str">
        <f t="array" ref="C2">IFERROR(XLOOKUP(A2, BASE!E:E, BASE!C:C), "")
</f>
        <v>HUB-LSP-33</v>
      </c>
      <c r="D2" s="73">
        <f t="array" ref="D2">IFERROR(XLOOKUP(A2, BASE!E:E, BASE!D:D), "")
</f>
        <v>25</v>
      </c>
      <c r="E2" s="168">
        <f t="array" ref="E2">IFERROR(XLOOKUP(A2, BASE!E:E, BASE!H:H), "")
</f>
        <v>46053.25</v>
      </c>
      <c r="F2" s="178"/>
      <c r="G2" s="82" t="s">
        <v>9</v>
      </c>
      <c r="H2" s="82">
        <f>COUNTIF(C:C,"*LSP*")
</f>
        <v>24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169" t="s">
        <v>1352</v>
      </c>
      <c r="B3" s="73" t="str">
        <f t="array" ref="B3">IFERROR(XLOOKUP(A3, BASE!E:E, BASE!B:B), "")
</f>
        <v>LM Hub_SP_Limeira_Campo Belo</v>
      </c>
      <c r="C3" s="73" t="str">
        <f t="array" ref="C3">IFERROR(XLOOKUP(A3, BASE!E:E, BASE!C:C), "")
</f>
        <v>HUB-LSP-24</v>
      </c>
      <c r="D3" s="73">
        <f t="array" ref="D3">IFERROR(XLOOKUP(A3, BASE!E:E, BASE!D:D), "")
</f>
        <v>12</v>
      </c>
      <c r="E3" s="168">
        <f t="array" ref="E3">IFERROR(XLOOKUP(A3, BASE!E:E, BASE!H:H), "")
</f>
        <v>46053.25</v>
      </c>
      <c r="F3" s="178"/>
      <c r="G3" s="82" t="s">
        <v>13</v>
      </c>
      <c r="H3" s="82">
        <f>COUNTIF(C:C,"*SOC*")
</f>
        <v>11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169" t="s">
        <v>1353</v>
      </c>
      <c r="B4" s="73" t="str">
        <f t="array" ref="B4">IFERROR(XLOOKUP(A4, BASE!E:E, BASE!B:B), "")
</f>
        <v>LM Hub_SP_Registro</v>
      </c>
      <c r="C4" s="73" t="str">
        <f t="array" ref="C4">IFERROR(XLOOKUP(A4, BASE!E:E, BASE!C:C), "")
</f>
        <v>HUB-LSP-40</v>
      </c>
      <c r="D4" s="73">
        <f t="array" ref="D4">IFERROR(XLOOKUP(A4, BASE!E:E, BASE!D:D), "")
</f>
        <v>33</v>
      </c>
      <c r="E4" s="168">
        <f t="array" ref="E4">IFERROR(XLOOKUP(A4, BASE!E:E, BASE!H:H), "")
</f>
        <v>46053.25</v>
      </c>
      <c r="F4" s="178"/>
      <c r="G4" s="82" t="s">
        <v>810</v>
      </c>
      <c r="H4" s="198">
        <f>COUNTIFS(D:D,"&gt;=5",D:D,"&lt;=114")</f>
        <v>33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69" t="s">
        <v>1354</v>
      </c>
      <c r="B5" s="73" t="str">
        <f t="array" ref="B5">IFERROR(XLOOKUP(A5, BASE!E:E, BASE!B:B), "")
</f>
        <v>SoC_SP_Santana</v>
      </c>
      <c r="C5" s="73" t="str">
        <f t="array" ref="C5">IFERROR(XLOOKUP(A5, BASE!E:E, BASE!C:C), "")
</f>
        <v>SOC-SP2</v>
      </c>
      <c r="D5" s="73">
        <f t="array" ref="D5">IFERROR(XLOOKUP(A5, BASE!E:E, BASE!D:D), "")
</f>
        <v>32</v>
      </c>
      <c r="E5" s="168">
        <f t="array" ref="E5">IFERROR(XLOOKUP(A5, BASE!E:E, BASE!H:H), "")
</f>
        <v>46053.25</v>
      </c>
      <c r="F5" s="178"/>
      <c r="G5" s="82" t="s">
        <v>20</v>
      </c>
      <c r="H5" s="82">
        <f>COUNTIF(D:D,"*NÃO DOCOU*")</f>
        <v>2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169" t="s">
        <v>1355</v>
      </c>
      <c r="B6" s="73" t="str">
        <f t="array" ref="B6">IFERROR(XLOOKUP(A6, BASE!E:E, BASE!B:B), "")
</f>
        <v>LM Hub_SP_Atibaia_Ponte_Alta</v>
      </c>
      <c r="C6" s="73" t="str">
        <f t="array" ref="C6">IFERROR(XLOOKUP(A6, BASE!E:E, BASE!C:C), "")
</f>
        <v>HUB-LSP-87</v>
      </c>
      <c r="D6" s="73">
        <f t="array" ref="D6">IFERROR(XLOOKUP(A6, BASE!E:E, BASE!D:D), "")
</f>
        <v>36</v>
      </c>
      <c r="E6" s="168">
        <f t="array" ref="E6">IFERROR(XLOOKUP(A6, BASE!E:E, BASE!H:H), "")
</f>
        <v>46053.27083</v>
      </c>
      <c r="F6" s="178"/>
      <c r="G6" s="198" t="s">
        <v>25</v>
      </c>
      <c r="H6" s="199">
        <f>COUNTIF(D:D,"*NÃO CHEGOU*")
</f>
        <v>0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169" t="s">
        <v>1356</v>
      </c>
      <c r="B7" s="73" t="str">
        <f t="array" ref="B7">IFERROR(XLOOKUP(A7, BASE!E:E, BASE!B:B), "")
</f>
        <v>LM Hub_SP_Taubaté</v>
      </c>
      <c r="C7" s="73" t="str">
        <f t="array" ref="C7">IFERROR(XLOOKUP(A7, BASE!E:E, BASE!C:C), "")
</f>
        <v>HUB-LSP-08</v>
      </c>
      <c r="D7" s="73">
        <f t="array" ref="D7">IFERROR(XLOOKUP(A7, BASE!E:E, BASE!D:D), "")
</f>
        <v>49</v>
      </c>
      <c r="E7" s="168">
        <f t="array" ref="E7">IFERROR(XLOOKUP(A7, BASE!E:E, BASE!H:H), "")
</f>
        <v>46053.27083</v>
      </c>
      <c r="F7" s="178"/>
      <c r="G7" s="82" t="s">
        <v>815</v>
      </c>
      <c r="H7" s="82">
        <f>COUNTIF(D:D,"*DRIVER DUPLICADO*")</f>
        <v>0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169" t="s">
        <v>1357</v>
      </c>
      <c r="B8" s="73" t="str">
        <f t="array" ref="B8">IFERROR(XLOOKUP(A8, BASE!E:E, BASE!B:B), "")
</f>
        <v>SoC_BA_Simoes Filho</v>
      </c>
      <c r="C8" s="73" t="str">
        <f t="array" ref="C8">IFERROR(XLOOKUP(A8, BASE!E:E, BASE!C:C), "")
</f>
        <v>SOC-BA2</v>
      </c>
      <c r="D8" s="73">
        <f t="array" ref="D8">IFERROR(XLOOKUP(A8, BASE!E:E, BASE!D:D), "")
</f>
        <v>89</v>
      </c>
      <c r="E8" s="168">
        <f t="array" ref="E8">IFERROR(XLOOKUP(A8, BASE!E:E, BASE!H:H), "")
</f>
        <v>46053.29167</v>
      </c>
      <c r="F8" s="178"/>
      <c r="G8" s="18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169" t="s">
        <v>1358</v>
      </c>
      <c r="B9" s="73" t="str">
        <f t="array" ref="B9">IFERROR(XLOOKUP(A9, BASE!E:E, BASE!B:B), "")
</f>
        <v>LM Hub_SP_Barueri_01</v>
      </c>
      <c r="C9" s="73" t="str">
        <f t="array" ref="C9">IFERROR(XLOOKUP(A9, BASE!E:E, BASE!C:C), "")
</f>
        <v>HUB-LSP-81</v>
      </c>
      <c r="D9" s="73">
        <f t="array" ref="D9">IFERROR(XLOOKUP(A9, BASE!E:E, BASE!D:D), "")
</f>
        <v>21</v>
      </c>
      <c r="E9" s="168">
        <f t="array" ref="E9">IFERROR(XLOOKUP(A9, BASE!E:E, BASE!H:H), "")
</f>
        <v>46053.29167</v>
      </c>
      <c r="F9" s="178"/>
      <c r="G9" s="9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169" t="s">
        <v>1359</v>
      </c>
      <c r="B10" s="73" t="str">
        <f t="array" ref="B10">IFERROR(XLOOKUP(A10, BASE!E:E, BASE!B:B), "")
</f>
        <v>LM Hub_SP_Piracicaba</v>
      </c>
      <c r="C10" s="73" t="str">
        <f t="array" ref="C10">IFERROR(XLOOKUP(A10, BASE!E:E, BASE!C:C), "")
</f>
        <v>HUB-LSP-62</v>
      </c>
      <c r="D10" s="73">
        <f t="array" ref="D10">IFERROR(XLOOKUP(A10, BASE!E:E, BASE!D:D), "")
</f>
        <v>19</v>
      </c>
      <c r="E10" s="168">
        <f t="array" ref="E10">IFERROR(XLOOKUP(A10, BASE!E:E, BASE!H:H), "")
</f>
        <v>46053.29167</v>
      </c>
      <c r="F10" s="178"/>
      <c r="G10" s="9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94" t="s">
        <v>1360</v>
      </c>
      <c r="B11" s="73" t="str">
        <f t="array" ref="B11">IFERROR(XLOOKUP(A11, BASE!E:E, BASE!B:B), "")
</f>
        <v>LM Hub_SP_Santos_PraiaGrande_02</v>
      </c>
      <c r="C11" s="73" t="str">
        <f t="array" ref="C11">IFERROR(XLOOKUP(A11, BASE!E:E, BASE!C:C), "")
</f>
        <v>HUB-LSP-63</v>
      </c>
      <c r="D11" s="73">
        <f t="array" ref="D11">IFERROR(XLOOKUP(A11, BASE!E:E, BASE!D:D), "")
</f>
        <v>27</v>
      </c>
      <c r="E11" s="168">
        <f t="array" ref="E11">IFERROR(XLOOKUP(A11, BASE!E:E, BASE!H:H), "")
</f>
        <v>46053.29167</v>
      </c>
      <c r="F11" s="178"/>
      <c r="G11" s="200"/>
      <c r="H11" s="178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169" t="s">
        <v>1361</v>
      </c>
      <c r="B12" s="73" t="str">
        <f t="array" ref="B12">IFERROR(XLOOKUP(A12, BASE!E:E, BASE!B:B), "")
</f>
        <v>LM Hub_SP_Itapevi</v>
      </c>
      <c r="C12" s="73" t="str">
        <f t="array" ref="C12">IFERROR(XLOOKUP(A12, BASE!E:E, BASE!C:C), "")
</f>
        <v>HUB-LSP-41</v>
      </c>
      <c r="D12" s="73">
        <f t="array" ref="D12">IFERROR(XLOOKUP(A12, BASE!E:E, BASE!D:D), "")
</f>
        <v>22</v>
      </c>
      <c r="E12" s="168">
        <f t="array" ref="E12">IFERROR(XLOOKUP(A12, BASE!E:E, BASE!H:H), "")
</f>
        <v>46053.3125</v>
      </c>
      <c r="F12" s="178"/>
      <c r="G12" s="84" t="s">
        <v>1362</v>
      </c>
      <c r="H12" s="9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169" t="s">
        <v>1363</v>
      </c>
      <c r="B13" s="73" t="str">
        <f t="array" ref="B13">IFERROR(XLOOKUP(A13, BASE!E:E, BASE!B:B), "")
</f>
        <v>LM Hub_SP_Santos_Praia Grande</v>
      </c>
      <c r="C13" s="73" t="str">
        <f t="array" ref="C13">IFERROR(XLOOKUP(A13, BASE!E:E, BASE!C:C), "")
</f>
        <v>HUB-LSP-09</v>
      </c>
      <c r="D13" s="73">
        <f t="array" ref="D13">IFERROR(XLOOKUP(A13, BASE!E:E, BASE!D:D), "")
</f>
        <v>9</v>
      </c>
      <c r="E13" s="168">
        <f t="array" ref="E13">IFERROR(XLOOKUP(A13, BASE!E:E, BASE!H:H), "")
</f>
        <v>46053.3125</v>
      </c>
      <c r="F13" s="178"/>
      <c r="G13" s="187" t="s">
        <v>653</v>
      </c>
      <c r="H13" s="178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169" t="s">
        <v>1364</v>
      </c>
      <c r="B14" s="73" t="str">
        <f t="array" ref="B14">IFERROR(XLOOKUP(A14, BASE!E:E, BASE!B:B), "")
</f>
        <v>LM Hub_SP_São José dos Campos</v>
      </c>
      <c r="C14" s="73" t="str">
        <f t="array" ref="C14">IFERROR(XLOOKUP(A14, BASE!E:E, BASE!C:C), "")
</f>
        <v>HUB-LSP-04</v>
      </c>
      <c r="D14" s="73">
        <f t="array" ref="D14">IFERROR(XLOOKUP(A14, BASE!E:E, BASE!D:D), "")
</f>
        <v>16</v>
      </c>
      <c r="E14" s="168">
        <f t="array" ref="E14">IFERROR(XLOOKUP(A14, BASE!E:E, BASE!H:H), "")
</f>
        <v>46053.3125</v>
      </c>
      <c r="F14" s="178"/>
      <c r="G14" s="178"/>
      <c r="H14" s="178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169" t="s">
        <v>1365</v>
      </c>
      <c r="B15" s="73" t="str">
        <f t="array" ref="B15">IFERROR(XLOOKUP(A15, BASE!E:E, BASE!B:B), "")
</f>
        <v>LM Hub_SP_São Paulo_Mooca</v>
      </c>
      <c r="C15" s="73" t="str">
        <f t="array" ref="C15">IFERROR(XLOOKUP(A15, BASE!E:E, BASE!C:C), "")
</f>
        <v>HUB-LSP-13</v>
      </c>
      <c r="D15" s="73">
        <f t="array" ref="D15">IFERROR(XLOOKUP(A15, BASE!E:E, BASE!D:D), "")
</f>
        <v>34</v>
      </c>
      <c r="E15" s="168">
        <f t="array" ref="E15">IFERROR(XLOOKUP(A15, BASE!E:E, BASE!H:H), "")
</f>
        <v>46053.3125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169" t="s">
        <v>1366</v>
      </c>
      <c r="B16" s="73" t="str">
        <f t="array" ref="B16">IFERROR(XLOOKUP(A16, BASE!E:E, BASE!B:B), "")
</f>
        <v>LM Hub_SP_Guarujá</v>
      </c>
      <c r="C16" s="73" t="str">
        <f t="array" ref="C16">IFERROR(XLOOKUP(A16, BASE!E:E, BASE!C:C), "")
</f>
        <v>HUB-LSP-06</v>
      </c>
      <c r="D16" s="73">
        <f t="array" ref="D16">IFERROR(XLOOKUP(A16, BASE!E:E, BASE!D:D), "")
</f>
        <v>29</v>
      </c>
      <c r="E16" s="168">
        <f t="array" ref="E16">IFERROR(XLOOKUP(A16, BASE!E:E, BASE!H:H), "")
</f>
        <v>46053.3125</v>
      </c>
      <c r="F16" s="178"/>
      <c r="G16" s="178"/>
      <c r="H16" s="178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169" t="s">
        <v>1367</v>
      </c>
      <c r="B17" s="73" t="str">
        <f t="array" ref="B17">IFERROR(XLOOKUP(A17, BASE!E:E, BASE!B:B), "")
</f>
        <v>LM Hub_SP_Várzea Paulista</v>
      </c>
      <c r="C17" s="73" t="str">
        <f t="array" ref="C17">IFERROR(XLOOKUP(A17, BASE!E:E, BASE!C:C), "")
</f>
        <v>HUB-LSP-20</v>
      </c>
      <c r="D17" s="73">
        <f t="array" ref="D17">IFERROR(XLOOKUP(A17, BASE!E:E, BASE!D:D), "")
</f>
        <v>15</v>
      </c>
      <c r="E17" s="168">
        <f t="array" ref="E17">IFERROR(XLOOKUP(A17, BASE!E:E, BASE!H:H), "")
</f>
        <v>46053.3125</v>
      </c>
      <c r="F17" s="178"/>
      <c r="G17" s="178"/>
      <c r="H17" s="178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27" t="s">
        <v>1368</v>
      </c>
      <c r="B18" s="73" t="str">
        <f t="array" ref="B18">IFERROR(XLOOKUP(A18, BASE!E:E, BASE!B:B), "")
</f>
        <v>LM Hub_SP_Artur Alvim</v>
      </c>
      <c r="C18" s="73" t="str">
        <f t="array" ref="C18">IFERROR(XLOOKUP(A18, BASE!E:E, BASE!C:C), "")
</f>
        <v>HUB-LSP-07</v>
      </c>
      <c r="D18" s="73">
        <f t="array" ref="D18">IFERROR(XLOOKUP(A18, BASE!E:E, BASE!D:D), "")
</f>
        <v>23</v>
      </c>
      <c r="E18" s="168">
        <f t="array" ref="E18">IFERROR(XLOOKUP(A18, BASE!E:E, BASE!H:H), "")
</f>
        <v>46053.33333</v>
      </c>
      <c r="F18" s="178"/>
      <c r="G18" s="178"/>
      <c r="H18" s="178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169" t="s">
        <v>1369</v>
      </c>
      <c r="B19" s="73" t="str">
        <f t="array" ref="B19">IFERROR(XLOOKUP(A19, BASE!E:E, BASE!B:B), "")
</f>
        <v>LM Hub_SP_Osasco_02</v>
      </c>
      <c r="C19" s="73" t="str">
        <f t="array" ref="C19">IFERROR(XLOOKUP(A19, BASE!E:E, BASE!C:C), "")
</f>
        <v>HUB-LSP-60</v>
      </c>
      <c r="D19" s="73">
        <f t="array" ref="D19">IFERROR(XLOOKUP(A19, BASE!E:E, BASE!D:D), "")
</f>
        <v>28</v>
      </c>
      <c r="E19" s="168">
        <f t="array" ref="E19">IFERROR(XLOOKUP(A19, BASE!E:E, BASE!H:H), "")
</f>
        <v>46053.33333</v>
      </c>
      <c r="F19" s="178"/>
      <c r="G19" s="178"/>
      <c r="H19" s="178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169" t="s">
        <v>1370</v>
      </c>
      <c r="B20" s="73" t="str">
        <f t="array" ref="B20">IFERROR(XLOOKUP(A20, BASE!E:E, BASE!B:B), "")
</f>
        <v>LM Hub_SP_Embu das Artes</v>
      </c>
      <c r="C20" s="73" t="str">
        <f t="array" ref="C20">IFERROR(XLOOKUP(A20, BASE!E:E, BASE!C:C), "")
</f>
        <v>HUB-LSP-36</v>
      </c>
      <c r="D20" s="73">
        <f t="array" ref="D20">IFERROR(XLOOKUP(A20, BASE!E:E, BASE!D:D), "")
</f>
        <v>17</v>
      </c>
      <c r="E20" s="168">
        <f t="array" ref="E20">IFERROR(XLOOKUP(A20, BASE!E:E, BASE!H:H), "")
</f>
        <v>46053.33333</v>
      </c>
      <c r="F20" s="178"/>
      <c r="G20" s="178"/>
      <c r="H20" s="178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169" t="s">
        <v>1371</v>
      </c>
      <c r="B21" s="73" t="str">
        <f t="array" ref="B21">IFERROR(XLOOKUP(A21, BASE!E:E, BASE!B:B), "")
</f>
        <v>LM Hub_SP_Guarulhos</v>
      </c>
      <c r="C21" s="73" t="str">
        <f t="array" ref="C21">IFERROR(XLOOKUP(A21, BASE!E:E, BASE!C:C), "")
</f>
        <v>HUB-LSP-77</v>
      </c>
      <c r="D21" s="73">
        <f t="array" ref="D21">IFERROR(XLOOKUP(A21, BASE!E:E, BASE!D:D), "")
</f>
        <v>26</v>
      </c>
      <c r="E21" s="168">
        <f t="array" ref="E21">IFERROR(XLOOKUP(A21, BASE!E:E, BASE!H:H), "")
</f>
        <v>46053.33333</v>
      </c>
      <c r="F21" s="178"/>
      <c r="G21" s="178"/>
      <c r="H21" s="178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170" t="s">
        <v>1372</v>
      </c>
      <c r="B22" s="73" t="str">
        <f t="array" ref="B22">IFERROR(XLOOKUP(A22, BASE!E:E, BASE!B:B), "")
</f>
        <v>SoC_SP_Guarulhos</v>
      </c>
      <c r="C22" s="73" t="str">
        <f t="array" ref="C22">IFERROR(XLOOKUP(A22, BASE!E:E, BASE!C:C), "")
</f>
        <v>SOC-SP6</v>
      </c>
      <c r="D22" s="73">
        <f t="array" ref="D22">IFERROR(XLOOKUP(A22, BASE!E:E, BASE!D:D), "")
</f>
        <v>48</v>
      </c>
      <c r="E22" s="168">
        <f t="array" ref="E22">IFERROR(XLOOKUP(A22, BASE!E:E, BASE!H:H), "")
</f>
        <v>46053.33333</v>
      </c>
      <c r="F22" s="178"/>
      <c r="G22" s="178"/>
      <c r="H22" s="178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170" t="s">
        <v>1373</v>
      </c>
      <c r="B23" s="73" t="str">
        <f t="array" ref="B23">IFERROR(XLOOKUP(A23, BASE!E:E, BASE!B:B), "")
</f>
        <v>LM Hub_SP_Itaqua_Zimba</v>
      </c>
      <c r="C23" s="73" t="str">
        <f t="array" ref="C23">IFERROR(XLOOKUP(A23, BASE!E:E, BASE!C:C), "")
</f>
        <v>HUB-LSP-74</v>
      </c>
      <c r="D23" s="73">
        <f t="array" ref="D23">IFERROR(XLOOKUP(A23, BASE!E:E, BASE!D:D), "")
</f>
        <v>8</v>
      </c>
      <c r="E23" s="168">
        <f t="array" ref="E23">IFERROR(XLOOKUP(A23, BASE!E:E, BASE!H:H), "")
</f>
        <v>46053.33333</v>
      </c>
      <c r="F23" s="178"/>
      <c r="G23" s="178"/>
      <c r="H23" s="178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170" t="s">
        <v>1374</v>
      </c>
      <c r="B24" s="73" t="str">
        <f t="array" ref="B24">IFERROR(XLOOKUP(A24, BASE!E:E, BASE!B:B), "")
</f>
        <v>LM Hub_SP_São Paulo_Lapa</v>
      </c>
      <c r="C24" s="73" t="str">
        <f t="array" ref="C24">IFERROR(XLOOKUP(A24, BASE!E:E, BASE!C:C), "")
</f>
        <v>HUB-LSP-15</v>
      </c>
      <c r="D24" s="73">
        <f t="array" ref="D24">IFERROR(XLOOKUP(A24, BASE!E:E, BASE!D:D), "")
</f>
        <v>14</v>
      </c>
      <c r="E24" s="168">
        <f t="array" ref="E24">IFERROR(XLOOKUP(A24, BASE!E:E, BASE!H:H), "")
</f>
        <v>46053.33333</v>
      </c>
      <c r="F24" s="178"/>
      <c r="G24" s="178"/>
      <c r="H24" s="178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170" t="s">
        <v>1375</v>
      </c>
      <c r="B25" s="73" t="str">
        <f t="array" ref="B25">IFERROR(XLOOKUP(A25, BASE!E:E, BASE!B:B), "")
</f>
        <v>LM Hub_SP_VilaGuilherme</v>
      </c>
      <c r="C25" s="73" t="str">
        <f t="array" ref="C25">IFERROR(XLOOKUP(A25, BASE!E:E, BASE!C:C), "")
</f>
        <v>HUB-LSP-68</v>
      </c>
      <c r="D25" s="73">
        <f t="array" ref="D25">IFERROR(XLOOKUP(A25, BASE!E:E, BASE!D:D), "")
</f>
        <v>37</v>
      </c>
      <c r="E25" s="168">
        <f t="array" ref="E25">IFERROR(XLOOKUP(A25, BASE!E:E, BASE!H:H), "")
</f>
        <v>46053.33333</v>
      </c>
      <c r="F25" s="178"/>
      <c r="G25" s="178"/>
      <c r="H25" s="178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227" t="s">
        <v>1376</v>
      </c>
      <c r="B26" s="73" t="str">
        <f t="array" ref="B26">IFERROR(XLOOKUP(A26, BASE!E:E, BASE!B:B), "")
</f>
        <v>LM Hub_SP_Parque Novo Mundo</v>
      </c>
      <c r="C26" s="73" t="str">
        <f t="array" ref="C26">IFERROR(XLOOKUP(A26, BASE!E:E, BASE!C:C), "")
</f>
        <v>HUB-LSP-89</v>
      </c>
      <c r="D26" s="73" t="s">
        <v>167</v>
      </c>
      <c r="E26" s="168">
        <f t="array" ref="E26">IFERROR(XLOOKUP(A26, BASE!E:E, BASE!H:H), "")
</f>
        <v>46053.35417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169" t="s">
        <v>1377</v>
      </c>
      <c r="B27" s="73" t="str">
        <f t="array" ref="B27">IFERROR(XLOOKUP(A27, BASE!E:E, BASE!B:B), "")
</f>
        <v>LM Hub_SP_Embu das Artes_02</v>
      </c>
      <c r="C27" s="73" t="str">
        <f t="array" ref="C27">IFERROR(XLOOKUP(A27, BASE!E:E, BASE!C:C), "")
</f>
        <v>HUB-LSP-96</v>
      </c>
      <c r="D27" s="73">
        <f t="array" ref="D27">IFERROR(XLOOKUP(A27, BASE!E:E, BASE!D:D), "")
</f>
        <v>24</v>
      </c>
      <c r="E27" s="168">
        <f t="array" ref="E27">IFERROR(XLOOKUP(A27, BASE!E:E, BASE!H:H), "")
</f>
        <v>46053.375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227" t="s">
        <v>1378</v>
      </c>
      <c r="B28" s="73" t="str">
        <f t="array" ref="B28">IFERROR(XLOOKUP(A28, BASE!E:E, BASE!B:B), "")
</f>
        <v>LM Hub_SP_Mauá</v>
      </c>
      <c r="C28" s="73" t="str">
        <f t="array" ref="C28">IFERROR(XLOOKUP(A28, BASE!E:E, BASE!C:C), "")
</f>
        <v>HUB-LSP-64</v>
      </c>
      <c r="D28" s="73">
        <f t="array" ref="D28">IFERROR(XLOOKUP(A28, BASE!E:E, BASE!D:D), "")
</f>
        <v>35</v>
      </c>
      <c r="E28" s="168">
        <f t="array" ref="E28">IFERROR(XLOOKUP(A28, BASE!E:E, BASE!H:H), "")
</f>
        <v>46053.39583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170" t="s">
        <v>1379</v>
      </c>
      <c r="B29" s="73" t="str">
        <f t="array" ref="B29">IFERROR(XLOOKUP(A29, BASE!E:E, BASE!B:B), "")
</f>
        <v>SoC_PE_Jaboatão dos Guararapes</v>
      </c>
      <c r="C29" s="73" t="str">
        <f t="array" ref="C29">IFERROR(XLOOKUP(A29, BASE!E:E, BASE!C:C), "")
</f>
        <v>SOC-PE2</v>
      </c>
      <c r="D29" s="73">
        <f t="array" ref="D29">IFERROR(XLOOKUP(A29, BASE!E:E, BASE!D:D), "")
</f>
        <v>98</v>
      </c>
      <c r="E29" s="168">
        <f t="array" ref="E29">IFERROR(XLOOKUP(A29, BASE!E:E, BASE!H:H), "")
</f>
        <v>46053.45833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169" t="s">
        <v>1380</v>
      </c>
      <c r="B30" s="73" t="str">
        <f t="array" ref="B30">IFERROR(XLOOKUP(A30, BASE!E:E, BASE!B:B), "")
</f>
        <v>SoC_GO_Goiânia_02</v>
      </c>
      <c r="C30" s="73" t="str">
        <f t="array" ref="C30">IFERROR(XLOOKUP(A30, BASE!E:E, BASE!C:C), "")
</f>
        <v>SOC-GO2</v>
      </c>
      <c r="D30" s="73">
        <f t="array" ref="D30">IFERROR(XLOOKUP(A30, BASE!E:E, BASE!D:D), "")
</f>
        <v>87</v>
      </c>
      <c r="E30" s="168">
        <f t="array" ref="E30">IFERROR(XLOOKUP(A30, BASE!E:E, BASE!H:H), "")
</f>
        <v>46053.45833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169" t="s">
        <v>1381</v>
      </c>
      <c r="B31" s="73" t="str">
        <f t="array" ref="B31">IFERROR(XLOOKUP(A31, BASE!E:E, BASE!B:B), "")
</f>
        <v>SoC_MG_Betim</v>
      </c>
      <c r="C31" s="73" t="str">
        <f t="array" ref="C31">IFERROR(XLOOKUP(A31, BASE!E:E, BASE!C:C), "")
</f>
        <v>SOC-MG2</v>
      </c>
      <c r="D31" s="73">
        <f t="array" ref="D31">IFERROR(XLOOKUP(A31, BASE!E:E, BASE!D:D), "")
</f>
        <v>91</v>
      </c>
      <c r="E31" s="168">
        <f t="array" ref="E31">IFERROR(XLOOKUP(A31, BASE!E:E, BASE!H:H), "")
</f>
        <v>46053.45833</v>
      </c>
      <c r="F31" s="178"/>
      <c r="G31" s="178"/>
      <c r="H31" s="178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169" t="s">
        <v>1382</v>
      </c>
      <c r="B32" s="73" t="str">
        <f t="array" ref="B32">IFERROR(XLOOKUP(A32, BASE!E:E, BASE!B:B), "")
</f>
        <v>SoC_SP_Cravinhos</v>
      </c>
      <c r="C32" s="73" t="str">
        <f t="array" ref="C32">IFERROR(XLOOKUP(A32, BASE!E:E, BASE!C:C), "")
</f>
        <v>SOC-SP5</v>
      </c>
      <c r="D32" s="73">
        <f t="array" ref="D32">IFERROR(XLOOKUP(A32, BASE!E:E, BASE!D:D), "")
</f>
        <v>94</v>
      </c>
      <c r="E32" s="168">
        <f t="array" ref="E32">IFERROR(XLOOKUP(A32, BASE!E:E, BASE!H:H), "")
</f>
        <v>46053.45833</v>
      </c>
      <c r="F32" s="178"/>
      <c r="G32" s="178"/>
      <c r="H32" s="178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94" t="s">
        <v>1383</v>
      </c>
      <c r="B33" s="73" t="str">
        <f t="array" ref="B33">IFERROR(XLOOKUP(A33, BASE!E:E, BASE!B:B), "")
</f>
        <v>SoC_BA_Simoes Filho</v>
      </c>
      <c r="C33" s="73" t="str">
        <f t="array" ref="C33">IFERROR(XLOOKUP(A33, BASE!E:E, BASE!C:C), "")
</f>
        <v>SOC-BA2</v>
      </c>
      <c r="D33" s="73">
        <f t="array" ref="D33">IFERROR(XLOOKUP(A33, BASE!E:E, BASE!D:D), "")
</f>
        <v>89</v>
      </c>
      <c r="E33" s="168">
        <f t="array" ref="E33">IFERROR(XLOOKUP(A33, BASE!E:E, BASE!H:H), "")
</f>
        <v>46053.66667</v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94" t="s">
        <v>1384</v>
      </c>
      <c r="B34" s="73" t="str">
        <f t="array" ref="B34">IFERROR(XLOOKUP(A34, BASE!E:E, BASE!B:B), "")
</f>
        <v>SoC_PE_Jaboatão dos Guararapes</v>
      </c>
      <c r="C34" s="73" t="str">
        <f t="array" ref="C34">IFERROR(XLOOKUP(A34, BASE!E:E, BASE!C:C), "")
</f>
        <v>SOC-PE2</v>
      </c>
      <c r="D34" s="73" t="s">
        <v>167</v>
      </c>
      <c r="E34" s="168">
        <f t="array" ref="E34">IFERROR(XLOOKUP(A34, BASE!E:E, BASE!H:H), "")
</f>
        <v>46053.66667</v>
      </c>
      <c r="F34" s="178"/>
      <c r="G34" s="178"/>
      <c r="H34" s="178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94" t="s">
        <v>1385</v>
      </c>
      <c r="B35" s="73" t="str">
        <f t="array" ref="B35">IFERROR(XLOOKUP(A35, BASE!E:E, BASE!B:B), "")
</f>
        <v>SoC_RJ_Duque de Caxias</v>
      </c>
      <c r="C35" s="73" t="str">
        <f t="array" ref="C35">IFERROR(XLOOKUP(A35, BASE!E:E, BASE!C:C), "")
</f>
        <v>SOC-RJ2</v>
      </c>
      <c r="D35" s="73">
        <f t="array" ref="D35">IFERROR(XLOOKUP(A35, BASE!E:E, BASE!D:D), "")
</f>
        <v>96</v>
      </c>
      <c r="E35" s="168">
        <f t="array" ref="E35">IFERROR(XLOOKUP(A35, BASE!E:E, BASE!H:H), "")
</f>
        <v>46053.66667</v>
      </c>
      <c r="F35" s="178"/>
      <c r="G35" s="178"/>
      <c r="H35" s="178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94" t="s">
        <v>1386</v>
      </c>
      <c r="B36" s="73" t="str">
        <f t="array" ref="B36">IFERROR(XLOOKUP(A36, BASE!E:E, BASE!B:B), "")
</f>
        <v>SoC_RJ_Duque de Caxias</v>
      </c>
      <c r="C36" s="73" t="str">
        <f t="array" ref="C36">IFERROR(XLOOKUP(A36, BASE!E:E, BASE!C:C), "")
</f>
        <v>SOC-RJ2</v>
      </c>
      <c r="D36" s="73">
        <f t="array" ref="D36">IFERROR(XLOOKUP(A36, BASE!E:E, BASE!D:D), "")
</f>
        <v>96</v>
      </c>
      <c r="E36" s="168">
        <f t="array" ref="E36">IFERROR(XLOOKUP(A36, BASE!E:E, BASE!H:H), "")
</f>
        <v>46053.66667</v>
      </c>
      <c r="F36" s="178"/>
      <c r="G36" s="178"/>
      <c r="H36" s="178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169"/>
      <c r="B37" s="73" t="str">
        <f t="array" ref="B37">IFERROR(XLOOKUP(A37, BASE!E:E, BASE!B:B), "")
</f>
        <v/>
      </c>
      <c r="C37" s="73" t="str">
        <f t="array" ref="C37">IFERROR(XLOOKUP(A37, BASE!E:E, BASE!C:C), "")
</f>
        <v/>
      </c>
      <c r="D37" s="73" t="str">
        <f t="array" ref="D37">IFERROR(XLOOKUP(A37, BASE!E:E, BASE!D:D), "")
</f>
        <v/>
      </c>
      <c r="E37" s="168" t="str">
        <f t="array" ref="E37">IFERROR(XLOOKUP(A37, BASE!E:E, BASE!H:H), "")
</f>
        <v/>
      </c>
      <c r="F37" s="178"/>
      <c r="G37" s="178"/>
      <c r="H37" s="178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94"/>
      <c r="B38" s="73" t="str">
        <f t="array" ref="B38">IFERROR(XLOOKUP(A38, BASE!E:E, BASE!B:B), "")
</f>
        <v/>
      </c>
      <c r="C38" s="73" t="str">
        <f t="array" ref="C38">IFERROR(XLOOKUP(A38, BASE!E:E, BASE!C:C), "")
</f>
        <v/>
      </c>
      <c r="D38" s="73" t="str">
        <f t="array" ref="D38">IFERROR(XLOOKUP(A38, BASE!E:E, BASE!D:D), "")
</f>
        <v/>
      </c>
      <c r="E38" s="168" t="str">
        <f t="array" ref="E38">IFERROR(XLOOKUP(A38, BASE!E:E, BASE!H:H), "")
</f>
        <v/>
      </c>
      <c r="F38" s="178"/>
      <c r="G38" s="178"/>
      <c r="H38" s="178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94"/>
      <c r="B39" s="73" t="str">
        <f t="array" ref="B39">IFERROR(XLOOKUP(A39, BASE!E:E, BASE!B:B), "")
</f>
        <v/>
      </c>
      <c r="C39" s="73" t="str">
        <f t="array" ref="C39">IFERROR(XLOOKUP(A39, BASE!E:E, BASE!C:C), "")
</f>
        <v/>
      </c>
      <c r="D39" s="73" t="str">
        <f t="array" ref="D39">IFERROR(XLOOKUP(A39, BASE!E:E, BASE!D:D), "")
</f>
        <v/>
      </c>
      <c r="E39" s="168" t="str">
        <f t="array" ref="E39">IFERROR(XLOOKUP(A39, BASE!E:E, BASE!H:H), "")
</f>
        <v/>
      </c>
      <c r="F39" s="178"/>
      <c r="G39" s="178"/>
      <c r="H39" s="178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94"/>
      <c r="B40" s="73" t="str">
        <f t="array" ref="B40">IFERROR(XLOOKUP(A40, BASE!E:E, BASE!B:B), "")
</f>
        <v/>
      </c>
      <c r="C40" s="73" t="str">
        <f t="array" ref="C40">IFERROR(XLOOKUP(A40, BASE!E:E, BASE!C:C), "")
</f>
        <v/>
      </c>
      <c r="D40" s="73" t="str">
        <f t="array" ref="D40">IFERROR(XLOOKUP(A40, BASE!E:E, BASE!D:D), "")
</f>
        <v/>
      </c>
      <c r="E40" s="168" t="str">
        <f t="array" ref="E40">IFERROR(XLOOKUP(A40, BASE!E:E, BASE!H:H), "")
</f>
        <v/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169"/>
      <c r="B41" s="73" t="str">
        <f t="array" ref="B41">IFERROR(XLOOKUP(A41, BASE!E:E, BASE!B:B), "")
</f>
        <v/>
      </c>
      <c r="C41" s="73" t="str">
        <f t="array" ref="C41">IFERROR(XLOOKUP(A41, BASE!E:E, BASE!C:C), "")
</f>
        <v/>
      </c>
      <c r="D41" s="73" t="str">
        <f t="array" ref="D41">IFERROR(XLOOKUP(A41, BASE!E:E, BASE!D:D), "")
</f>
        <v/>
      </c>
      <c r="E41" s="168" t="str">
        <f t="array" ref="E41">IFERROR(XLOOKUP(A41, BASE!E:E, BASE!H:H), "")
</f>
        <v/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94"/>
      <c r="B42" s="73" t="str">
        <f t="array" ref="B42">IFERROR(XLOOKUP(A42, BASE!E:E, BASE!B:B), "")
</f>
        <v/>
      </c>
      <c r="C42" s="73" t="str">
        <f t="array" ref="C42">IFERROR(XLOOKUP(A42, BASE!E:E, BASE!C:C), "")
</f>
        <v/>
      </c>
      <c r="D42" s="73" t="str">
        <f t="array" ref="D42">IFERROR(XLOOKUP(A42, BASE!E:E, BASE!D:D), "")
</f>
        <v/>
      </c>
      <c r="E42" s="168" t="str">
        <f t="array" ref="E42">IFERROR(XLOOKUP(A42, BASE!E:E, BASE!H:H), "")
</f>
        <v/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94"/>
      <c r="B43" s="73" t="str">
        <f t="array" ref="B43">IFERROR(XLOOKUP(A43, BASE!E:E, BASE!B:B), "")
</f>
        <v/>
      </c>
      <c r="C43" s="73" t="str">
        <f t="array" ref="C43">IFERROR(XLOOKUP(A43, BASE!E:E, BASE!C:C), "")
</f>
        <v/>
      </c>
      <c r="D43" s="73" t="str">
        <f t="array" ref="D43">IFERROR(XLOOKUP(A43, BASE!E:E, BASE!D:D), "")
</f>
        <v/>
      </c>
      <c r="E43" s="168" t="str">
        <f t="array" ref="E43">IFERROR(XLOOKUP(A43, BASE!E:E, BASE!H:H), "")
</f>
        <v/>
      </c>
      <c r="F43" s="178"/>
      <c r="G43" s="178"/>
      <c r="H43" s="178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94"/>
      <c r="B44" s="73" t="str">
        <f t="array" ref="B44">IFERROR(XLOOKUP(A44, BASE!E:E, BASE!B:B), "")
</f>
        <v/>
      </c>
      <c r="C44" s="73" t="str">
        <f t="array" ref="C44">IFERROR(XLOOKUP(A44, BASE!E:E, BASE!C:C), "")
</f>
        <v/>
      </c>
      <c r="D44" s="73" t="str">
        <f t="array" ref="D44">IFERROR(XLOOKUP(A44, BASE!E:E, BASE!D:D), "")
</f>
        <v/>
      </c>
      <c r="E44" s="168" t="str">
        <f t="array" ref="E44">IFERROR(XLOOKUP(A44, BASE!E:E, BASE!H:H), "")
</f>
        <v/>
      </c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94"/>
      <c r="B45" s="73" t="str">
        <f t="array" ref="B45">IFERROR(XLOOKUP(A45, BASE!E:E, BASE!B:B), "")
</f>
        <v/>
      </c>
      <c r="C45" s="73" t="str">
        <f t="array" ref="C45">IFERROR(XLOOKUP(A45, BASE!E:E, BASE!C:C), "")
</f>
        <v/>
      </c>
      <c r="D45" s="73" t="str">
        <f t="array" ref="D45">IFERROR(XLOOKUP(A45, BASE!E:E, BASE!D:D), "")
</f>
        <v/>
      </c>
      <c r="E45" s="168" t="str">
        <f t="array" ref="E45">IFERROR(XLOOKUP(A45, BASE!E:E, BASE!H:H), "")
</f>
        <v/>
      </c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24"/>
      <c r="B46" s="73" t="str">
        <f t="array" ref="B46">IFERROR(XLOOKUP(A46, BASE!E:E, BASE!B:B), "")
</f>
        <v/>
      </c>
      <c r="C46" s="73" t="str">
        <f t="array" ref="C46">IFERROR(XLOOKUP(A46, BASE!E:E, BASE!C:C), "")
</f>
        <v/>
      </c>
      <c r="D46" s="73" t="str">
        <f t="array" ref="D46">IFERROR(XLOOKUP(A46, BASE!E:E, BASE!D:D), "")
</f>
        <v/>
      </c>
      <c r="E46" s="168" t="str">
        <f t="array" ref="E46">IFERROR(XLOOKUP(A46, BASE!E:E, BASE!H:H), "")
</f>
        <v/>
      </c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24"/>
      <c r="B47" s="73" t="str">
        <f t="array" ref="B47">IFERROR(XLOOKUP(A47, BASE!E:E, BASE!B:B), "")
</f>
        <v/>
      </c>
      <c r="C47" s="73" t="str">
        <f t="array" ref="C47">IFERROR(XLOOKUP(A47, BASE!E:E, BASE!C:C), "")
</f>
        <v/>
      </c>
      <c r="D47" s="73" t="str">
        <f t="array" ref="D47">IFERROR(XLOOKUP(A47, BASE!E:E, BASE!D:D), "")
</f>
        <v/>
      </c>
      <c r="E47" s="168" t="str">
        <f t="array" ref="E47">IFERROR(XLOOKUP(A47, BASE!E:E, BASE!H:H), "")
</f>
        <v/>
      </c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224"/>
      <c r="B48" s="73" t="str">
        <f t="array" ref="B48">IFERROR(XLOOKUP(A48, BASE!E:E, BASE!B:B), "")
</f>
        <v/>
      </c>
      <c r="C48" s="73" t="str">
        <f t="array" ref="C48">IFERROR(XLOOKUP(A48, BASE!E:E, BASE!C:C), "")
</f>
        <v/>
      </c>
      <c r="D48" s="73" t="str">
        <f t="array" ref="D48">IFERROR(XLOOKUP(A48, BASE!E:E, BASE!D:D), "")
</f>
        <v/>
      </c>
      <c r="E48" s="168" t="str">
        <f t="array" ref="E48">IFERROR(XLOOKUP(A48, BASE!E:E, BASE!H:H), "")
</f>
        <v/>
      </c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224"/>
      <c r="B49" s="73" t="str">
        <f t="array" ref="B49">IFERROR(XLOOKUP(A49, BASE!E:E, BASE!B:B), "")
</f>
        <v/>
      </c>
      <c r="C49" s="73" t="str">
        <f t="array" ref="C49">IFERROR(XLOOKUP(A49, BASE!E:E, BASE!C:C), "")
</f>
        <v/>
      </c>
      <c r="D49" s="73" t="str">
        <f t="array" ref="D49">IFERROR(XLOOKUP(A49, BASE!E:E, BASE!D:D), "")
</f>
        <v/>
      </c>
      <c r="E49" s="168" t="str">
        <f t="array" ref="E49">IFERROR(XLOOKUP(A49, BASE!E:E, BASE!H:H), "")
</f>
        <v/>
      </c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224"/>
      <c r="B50" s="73" t="str">
        <f t="array" ref="B50">IFERROR(XLOOKUP(A50, BASE!E:E, BASE!B:B), "")
</f>
        <v/>
      </c>
      <c r="C50" s="73" t="str">
        <f t="array" ref="C50">IFERROR(XLOOKUP(A50, BASE!E:E, BASE!C:C), "")
</f>
        <v/>
      </c>
      <c r="D50" s="73" t="str">
        <f t="array" ref="D50">IFERROR(XLOOKUP(A50, BASE!E:E, BASE!D:D), "")
</f>
        <v/>
      </c>
      <c r="E50" s="168" t="str">
        <f t="array" ref="E50">IFERROR(XLOOKUP(A50, BASE!E:E, BASE!H:H), "")
</f>
        <v/>
      </c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224"/>
      <c r="B51" s="73" t="str">
        <f t="array" ref="B51">IFERROR(XLOOKUP(A51, BASE!E:E, BASE!B:B), "")
</f>
        <v/>
      </c>
      <c r="C51" s="73" t="str">
        <f t="array" ref="C51">IFERROR(XLOOKUP(A51, BASE!E:E, BASE!C:C), "")
</f>
        <v/>
      </c>
      <c r="D51" s="73" t="str">
        <f t="array" ref="D51">IFERROR(XLOOKUP(A51, BASE!E:E, BASE!D:D), "")
</f>
        <v/>
      </c>
      <c r="E51" s="168" t="str">
        <f t="array" ref="E51">IFERROR(XLOOKUP(A51, BASE!E:E, BASE!H:H), "")
</f>
        <v/>
      </c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224"/>
      <c r="B52" s="73" t="str">
        <f t="array" ref="B52">IFERROR(XLOOKUP(A52, BASE!E:E, BASE!B:B), "")
</f>
        <v/>
      </c>
      <c r="C52" s="73" t="str">
        <f t="array" ref="C52">IFERROR(XLOOKUP(A52, BASE!E:E, BASE!C:C), "")
</f>
        <v/>
      </c>
      <c r="D52" s="73" t="str">
        <f t="array" ref="D52">IFERROR(XLOOKUP(A52, BASE!E:E, BASE!D:D), "")
</f>
        <v/>
      </c>
      <c r="E52" s="168" t="str">
        <f t="array" ref="E52">IFERROR(XLOOKUP(A52, BASE!E:E, BASE!H:H), "")
</f>
        <v/>
      </c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178"/>
      <c r="B53" s="178"/>
      <c r="C53" s="178"/>
      <c r="D53" s="178"/>
      <c r="E53" s="178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178"/>
      <c r="B54" s="178"/>
      <c r="C54" s="178"/>
      <c r="D54" s="178"/>
      <c r="E54" s="178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178"/>
      <c r="B55" s="178"/>
      <c r="C55" s="178"/>
      <c r="D55" s="178"/>
      <c r="E55" s="178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178"/>
      <c r="B56" s="178"/>
      <c r="C56" s="178"/>
      <c r="D56" s="178"/>
      <c r="E56" s="178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178"/>
      <c r="B57" s="178"/>
      <c r="C57" s="178"/>
      <c r="D57" s="178"/>
      <c r="E57" s="178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178"/>
      <c r="B58" s="178"/>
      <c r="C58" s="178"/>
      <c r="D58" s="178"/>
      <c r="E58" s="178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178"/>
      <c r="B59" s="178"/>
      <c r="C59" s="178"/>
      <c r="D59" s="178"/>
      <c r="E59" s="178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178"/>
      <c r="B60" s="178"/>
      <c r="C60" s="178"/>
      <c r="D60" s="178"/>
      <c r="E60" s="178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178"/>
      <c r="B61" s="178"/>
      <c r="C61" s="178"/>
      <c r="D61" s="178"/>
      <c r="E61" s="178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178"/>
      <c r="B62" s="178"/>
      <c r="C62" s="178"/>
      <c r="D62" s="178"/>
      <c r="E62" s="178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178"/>
      <c r="B63" s="178"/>
      <c r="C63" s="178"/>
      <c r="D63" s="178"/>
      <c r="E63" s="178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178"/>
      <c r="B64" s="178"/>
      <c r="C64" s="178"/>
      <c r="D64" s="178"/>
      <c r="E64" s="178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178"/>
      <c r="B65" s="178"/>
      <c r="C65" s="178"/>
      <c r="D65" s="178"/>
      <c r="E65" s="178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178"/>
      <c r="B66" s="178"/>
      <c r="C66" s="178"/>
      <c r="D66" s="178"/>
      <c r="E66" s="178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178"/>
      <c r="B67" s="178"/>
      <c r="C67" s="178"/>
      <c r="D67" s="178"/>
      <c r="E67" s="178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178"/>
      <c r="B68" s="178"/>
      <c r="C68" s="178"/>
      <c r="D68" s="178"/>
      <c r="E68" s="178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178"/>
      <c r="B69" s="178"/>
      <c r="C69" s="178"/>
      <c r="D69" s="178"/>
      <c r="E69" s="178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178"/>
      <c r="B70" s="178"/>
      <c r="C70" s="178"/>
      <c r="D70" s="178"/>
      <c r="E70" s="178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178"/>
      <c r="B71" s="178"/>
      <c r="C71" s="178"/>
      <c r="D71" s="178"/>
      <c r="E71" s="178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178"/>
      <c r="B72" s="178"/>
      <c r="C72" s="178"/>
      <c r="D72" s="178"/>
      <c r="E72" s="178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178"/>
      <c r="B73" s="178"/>
      <c r="C73" s="178"/>
      <c r="D73" s="178"/>
      <c r="E73" s="178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178"/>
      <c r="B74" s="178"/>
      <c r="C74" s="178"/>
      <c r="D74" s="178"/>
      <c r="E74" s="178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178"/>
      <c r="B75" s="178"/>
      <c r="C75" s="178"/>
      <c r="D75" s="178"/>
      <c r="E75" s="178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178"/>
      <c r="B76" s="178"/>
      <c r="C76" s="178"/>
      <c r="D76" s="178"/>
      <c r="E76" s="178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178"/>
      <c r="B77" s="178"/>
      <c r="C77" s="178"/>
      <c r="D77" s="178"/>
      <c r="E77" s="178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178"/>
      <c r="B78" s="178"/>
      <c r="C78" s="178"/>
      <c r="D78" s="178"/>
      <c r="E78" s="178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178"/>
      <c r="B79" s="178"/>
      <c r="C79" s="178"/>
      <c r="D79" s="178"/>
      <c r="E79" s="178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178"/>
      <c r="B80" s="178"/>
      <c r="C80" s="178"/>
      <c r="D80" s="178"/>
      <c r="E80" s="178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178"/>
      <c r="B81" s="178"/>
      <c r="C81" s="178"/>
      <c r="D81" s="178"/>
      <c r="E81" s="178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178"/>
      <c r="B82" s="178"/>
      <c r="C82" s="178"/>
      <c r="D82" s="178"/>
      <c r="E82" s="178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178"/>
      <c r="B83" s="178"/>
      <c r="C83" s="178"/>
      <c r="D83" s="178"/>
      <c r="E83" s="178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178"/>
      <c r="B84" s="178"/>
      <c r="C84" s="178"/>
      <c r="D84" s="178"/>
      <c r="E84" s="178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178"/>
      <c r="B85" s="178"/>
      <c r="C85" s="178"/>
      <c r="D85" s="178"/>
      <c r="E85" s="178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178"/>
      <c r="B86" s="178"/>
      <c r="C86" s="178"/>
      <c r="D86" s="178"/>
      <c r="E86" s="178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178"/>
      <c r="B87" s="178"/>
      <c r="C87" s="178"/>
      <c r="D87" s="178"/>
      <c r="E87" s="178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178"/>
      <c r="B88" s="178"/>
      <c r="C88" s="178"/>
      <c r="D88" s="178"/>
      <c r="E88" s="178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178"/>
      <c r="B89" s="178"/>
      <c r="C89" s="178"/>
      <c r="D89" s="178"/>
      <c r="E89" s="178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178"/>
      <c r="B90" s="178"/>
      <c r="C90" s="178"/>
      <c r="D90" s="178"/>
      <c r="E90" s="178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178"/>
      <c r="B91" s="178"/>
      <c r="C91" s="178"/>
      <c r="D91" s="178"/>
      <c r="E91" s="178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178"/>
      <c r="B92" s="178"/>
      <c r="C92" s="178"/>
      <c r="D92" s="178"/>
      <c r="E92" s="178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178"/>
      <c r="B93" s="178"/>
      <c r="C93" s="178"/>
      <c r="D93" s="178"/>
      <c r="E93" s="178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178"/>
      <c r="B94" s="178"/>
      <c r="C94" s="178"/>
      <c r="D94" s="178"/>
      <c r="E94" s="178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178"/>
      <c r="B95" s="178"/>
      <c r="C95" s="178"/>
      <c r="D95" s="178"/>
      <c r="E95" s="178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178"/>
      <c r="B96" s="178"/>
      <c r="C96" s="178"/>
      <c r="D96" s="178"/>
      <c r="E96" s="178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178"/>
      <c r="B97" s="178"/>
      <c r="C97" s="178"/>
      <c r="D97" s="178"/>
      <c r="E97" s="178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178"/>
      <c r="B98" s="178"/>
      <c r="C98" s="178"/>
      <c r="D98" s="178"/>
      <c r="E98" s="178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178"/>
      <c r="B99" s="178"/>
      <c r="C99" s="178"/>
      <c r="D99" s="178"/>
      <c r="E99" s="178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178"/>
      <c r="B100" s="178"/>
      <c r="C100" s="178"/>
      <c r="D100" s="178"/>
      <c r="E100" s="178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178"/>
      <c r="B101" s="178"/>
      <c r="C101" s="178"/>
      <c r="D101" s="178"/>
      <c r="E101" s="178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178"/>
      <c r="B102" s="178"/>
      <c r="C102" s="178"/>
      <c r="D102" s="178"/>
      <c r="E102" s="178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178"/>
      <c r="B103" s="178"/>
      <c r="C103" s="178"/>
      <c r="D103" s="178"/>
      <c r="E103" s="178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178"/>
      <c r="B104" s="178"/>
      <c r="C104" s="178"/>
      <c r="D104" s="178"/>
      <c r="E104" s="178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178"/>
      <c r="B105" s="178"/>
      <c r="C105" s="178"/>
      <c r="D105" s="178"/>
      <c r="E105" s="178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178"/>
      <c r="B106" s="178"/>
      <c r="C106" s="178"/>
      <c r="D106" s="178"/>
      <c r="E106" s="178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178"/>
      <c r="B107" s="178"/>
      <c r="C107" s="178"/>
      <c r="D107" s="178"/>
      <c r="E107" s="178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178"/>
      <c r="B108" s="178"/>
      <c r="C108" s="178"/>
      <c r="D108" s="178"/>
      <c r="E108" s="178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178"/>
      <c r="B109" s="178"/>
      <c r="C109" s="178"/>
      <c r="D109" s="178"/>
      <c r="E109" s="178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178"/>
      <c r="B110" s="178"/>
      <c r="C110" s="178"/>
      <c r="D110" s="178"/>
      <c r="E110" s="178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178"/>
      <c r="B111" s="178"/>
      <c r="C111" s="178"/>
      <c r="D111" s="178"/>
      <c r="E111" s="178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178"/>
      <c r="B112" s="178"/>
      <c r="C112" s="178"/>
      <c r="D112" s="178"/>
      <c r="E112" s="178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178"/>
      <c r="B113" s="178"/>
      <c r="C113" s="178"/>
      <c r="D113" s="178"/>
      <c r="E113" s="178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178"/>
      <c r="B114" s="178"/>
      <c r="C114" s="178"/>
      <c r="D114" s="178"/>
      <c r="E114" s="178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178"/>
      <c r="B115" s="178"/>
      <c r="C115" s="178"/>
      <c r="D115" s="178"/>
      <c r="E115" s="178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178"/>
      <c r="B116" s="178"/>
      <c r="C116" s="178"/>
      <c r="D116" s="178"/>
      <c r="E116" s="178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178"/>
      <c r="B117" s="178"/>
      <c r="C117" s="178"/>
      <c r="D117" s="178"/>
      <c r="E117" s="178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178"/>
      <c r="B118" s="178"/>
      <c r="C118" s="178"/>
      <c r="D118" s="178"/>
      <c r="E118" s="178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178"/>
      <c r="B119" s="178"/>
      <c r="C119" s="178"/>
      <c r="D119" s="178"/>
      <c r="E119" s="178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178"/>
      <c r="B120" s="178"/>
      <c r="C120" s="178"/>
      <c r="D120" s="178"/>
      <c r="E120" s="178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178"/>
      <c r="B121" s="178"/>
      <c r="C121" s="178"/>
      <c r="D121" s="178"/>
      <c r="E121" s="178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178"/>
      <c r="B122" s="178"/>
      <c r="C122" s="178"/>
      <c r="D122" s="178"/>
      <c r="E122" s="178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178"/>
      <c r="B123" s="178"/>
      <c r="C123" s="178"/>
      <c r="D123" s="178"/>
      <c r="E123" s="178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178"/>
      <c r="B124" s="178"/>
      <c r="C124" s="178"/>
      <c r="D124" s="178"/>
      <c r="E124" s="178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178"/>
      <c r="B125" s="178"/>
      <c r="C125" s="178"/>
      <c r="D125" s="178"/>
      <c r="E125" s="178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178"/>
      <c r="B126" s="178"/>
      <c r="C126" s="178"/>
      <c r="D126" s="178"/>
      <c r="E126" s="178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178"/>
      <c r="B127" s="178"/>
      <c r="C127" s="178"/>
      <c r="D127" s="178"/>
      <c r="E127" s="178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178"/>
      <c r="B128" s="178"/>
      <c r="C128" s="178"/>
      <c r="D128" s="178"/>
      <c r="E128" s="178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178"/>
      <c r="B129" s="178"/>
      <c r="C129" s="178"/>
      <c r="D129" s="178"/>
      <c r="E129" s="178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178"/>
      <c r="B130" s="178"/>
      <c r="C130" s="178"/>
      <c r="D130" s="178"/>
      <c r="E130" s="178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178"/>
      <c r="B131" s="178"/>
      <c r="C131" s="178"/>
      <c r="D131" s="178"/>
      <c r="E131" s="178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178"/>
      <c r="B132" s="178"/>
      <c r="C132" s="178"/>
      <c r="D132" s="178"/>
      <c r="E132" s="178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178"/>
      <c r="B133" s="178"/>
      <c r="C133" s="178"/>
      <c r="D133" s="178"/>
      <c r="E133" s="178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178"/>
      <c r="B134" s="178"/>
      <c r="C134" s="178"/>
      <c r="D134" s="178"/>
      <c r="E134" s="178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178"/>
      <c r="B135" s="178"/>
      <c r="C135" s="178"/>
      <c r="D135" s="178"/>
      <c r="E135" s="178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178"/>
      <c r="B136" s="178"/>
      <c r="C136" s="178"/>
      <c r="D136" s="178"/>
      <c r="E136" s="178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178"/>
      <c r="B137" s="178"/>
      <c r="C137" s="178"/>
      <c r="D137" s="178"/>
      <c r="E137" s="178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178"/>
      <c r="B138" s="178"/>
      <c r="C138" s="178"/>
      <c r="D138" s="178"/>
      <c r="E138" s="178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178"/>
      <c r="B139" s="178"/>
      <c r="C139" s="178"/>
      <c r="D139" s="178"/>
      <c r="E139" s="178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178"/>
      <c r="B140" s="178"/>
      <c r="C140" s="178"/>
      <c r="D140" s="178"/>
      <c r="E140" s="178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178"/>
      <c r="B141" s="178"/>
      <c r="C141" s="178"/>
      <c r="D141" s="178"/>
      <c r="E141" s="178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178"/>
      <c r="B142" s="178"/>
      <c r="C142" s="178"/>
      <c r="D142" s="178"/>
      <c r="E142" s="178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178"/>
      <c r="B143" s="178"/>
      <c r="C143" s="178"/>
      <c r="D143" s="178"/>
      <c r="E143" s="178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178"/>
      <c r="B144" s="178"/>
      <c r="C144" s="178"/>
      <c r="D144" s="178"/>
      <c r="E144" s="178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178"/>
      <c r="B145" s="178"/>
      <c r="C145" s="178"/>
      <c r="D145" s="178"/>
      <c r="E145" s="178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178"/>
      <c r="B146" s="178"/>
      <c r="C146" s="178"/>
      <c r="D146" s="178"/>
      <c r="E146" s="178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178"/>
      <c r="B147" s="178"/>
      <c r="C147" s="178"/>
      <c r="D147" s="178"/>
      <c r="E147" s="178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178"/>
      <c r="B148" s="178"/>
      <c r="C148" s="178"/>
      <c r="D148" s="178"/>
      <c r="E148" s="178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178"/>
      <c r="B149" s="178"/>
      <c r="C149" s="178"/>
      <c r="D149" s="178"/>
      <c r="E149" s="178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178"/>
      <c r="B150" s="178"/>
      <c r="C150" s="178"/>
      <c r="D150" s="178"/>
      <c r="E150" s="178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178"/>
      <c r="B151" s="178"/>
      <c r="C151" s="178"/>
      <c r="D151" s="178"/>
      <c r="E151" s="178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178"/>
      <c r="B152" s="178"/>
      <c r="C152" s="178"/>
      <c r="D152" s="178"/>
      <c r="E152" s="178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178"/>
      <c r="B153" s="178"/>
      <c r="C153" s="178"/>
      <c r="D153" s="178"/>
      <c r="E153" s="178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178"/>
      <c r="B154" s="178"/>
      <c r="C154" s="178"/>
      <c r="D154" s="178"/>
      <c r="E154" s="178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178"/>
      <c r="B155" s="178"/>
      <c r="C155" s="178"/>
      <c r="D155" s="178"/>
      <c r="E155" s="178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178"/>
      <c r="B156" s="178"/>
      <c r="C156" s="178"/>
      <c r="D156" s="178"/>
      <c r="E156" s="178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178"/>
      <c r="B157" s="178"/>
      <c r="C157" s="178"/>
      <c r="D157" s="178"/>
      <c r="E157" s="178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178"/>
      <c r="B158" s="178"/>
      <c r="C158" s="178"/>
      <c r="D158" s="178"/>
      <c r="E158" s="178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178"/>
      <c r="B159" s="178"/>
      <c r="C159" s="178"/>
      <c r="D159" s="178"/>
      <c r="E159" s="178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178"/>
      <c r="B160" s="178"/>
      <c r="C160" s="178"/>
      <c r="D160" s="178"/>
      <c r="E160" s="178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178"/>
      <c r="B161" s="178"/>
      <c r="C161" s="178"/>
      <c r="D161" s="178"/>
      <c r="E161" s="178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178"/>
      <c r="B162" s="178"/>
      <c r="C162" s="178"/>
      <c r="D162" s="178"/>
      <c r="E162" s="178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178"/>
      <c r="B163" s="178"/>
      <c r="C163" s="178"/>
      <c r="D163" s="178"/>
      <c r="E163" s="178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178"/>
      <c r="B164" s="178"/>
      <c r="C164" s="178"/>
      <c r="D164" s="178"/>
      <c r="E164" s="178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178"/>
      <c r="B165" s="178"/>
      <c r="C165" s="178"/>
      <c r="D165" s="178"/>
      <c r="E165" s="178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178"/>
      <c r="B166" s="178"/>
      <c r="C166" s="178"/>
      <c r="D166" s="178"/>
      <c r="E166" s="178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178"/>
      <c r="B167" s="178"/>
      <c r="C167" s="178"/>
      <c r="D167" s="178"/>
      <c r="E167" s="178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178"/>
      <c r="B168" s="178"/>
      <c r="C168" s="178"/>
      <c r="D168" s="178"/>
      <c r="E168" s="178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178"/>
      <c r="B169" s="178"/>
      <c r="C169" s="178"/>
      <c r="D169" s="178"/>
      <c r="E169" s="178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178"/>
      <c r="B170" s="178"/>
      <c r="C170" s="178"/>
      <c r="D170" s="178"/>
      <c r="E170" s="178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178"/>
      <c r="B171" s="178"/>
      <c r="C171" s="178"/>
      <c r="D171" s="178"/>
      <c r="E171" s="178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178"/>
      <c r="B172" s="178"/>
      <c r="C172" s="178"/>
      <c r="D172" s="178"/>
      <c r="E172" s="178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178"/>
      <c r="B173" s="178"/>
      <c r="C173" s="178"/>
      <c r="D173" s="178"/>
      <c r="E173" s="178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178"/>
      <c r="B174" s="178"/>
      <c r="C174" s="178"/>
      <c r="D174" s="178"/>
      <c r="E174" s="178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178"/>
      <c r="B175" s="178"/>
      <c r="C175" s="178"/>
      <c r="D175" s="178"/>
      <c r="E175" s="178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178"/>
      <c r="B176" s="178"/>
      <c r="C176" s="178"/>
      <c r="D176" s="178"/>
      <c r="E176" s="178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178"/>
      <c r="B177" s="178"/>
      <c r="C177" s="178"/>
      <c r="D177" s="178"/>
      <c r="E177" s="178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178"/>
      <c r="B178" s="178"/>
      <c r="C178" s="178"/>
      <c r="D178" s="178"/>
      <c r="E178" s="178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178"/>
      <c r="B179" s="178"/>
      <c r="C179" s="178"/>
      <c r="D179" s="178"/>
      <c r="E179" s="178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178"/>
      <c r="B180" s="178"/>
      <c r="C180" s="178"/>
      <c r="D180" s="178"/>
      <c r="E180" s="178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178"/>
      <c r="B181" s="178"/>
      <c r="C181" s="178"/>
      <c r="D181" s="178"/>
      <c r="E181" s="178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178"/>
      <c r="B182" s="178"/>
      <c r="C182" s="178"/>
      <c r="D182" s="178"/>
      <c r="E182" s="178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178"/>
      <c r="B183" s="178"/>
      <c r="C183" s="178"/>
      <c r="D183" s="178"/>
      <c r="E183" s="178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178"/>
      <c r="B184" s="178"/>
      <c r="C184" s="178"/>
      <c r="D184" s="178"/>
      <c r="E184" s="178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178"/>
      <c r="B185" s="178"/>
      <c r="C185" s="178"/>
      <c r="D185" s="178"/>
      <c r="E185" s="178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178"/>
      <c r="B186" s="178"/>
      <c r="C186" s="178"/>
      <c r="D186" s="178"/>
      <c r="E186" s="178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178"/>
      <c r="B187" s="178"/>
      <c r="C187" s="178"/>
      <c r="D187" s="178"/>
      <c r="E187" s="178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178"/>
      <c r="B188" s="178"/>
      <c r="C188" s="178"/>
      <c r="D188" s="178"/>
      <c r="E188" s="178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178"/>
      <c r="B189" s="178"/>
      <c r="C189" s="178"/>
      <c r="D189" s="178"/>
      <c r="E189" s="178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178"/>
      <c r="B190" s="178"/>
      <c r="C190" s="178"/>
      <c r="D190" s="178"/>
      <c r="E190" s="178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178"/>
      <c r="B191" s="178"/>
      <c r="C191" s="178"/>
      <c r="D191" s="178"/>
      <c r="E191" s="178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178"/>
      <c r="B192" s="178"/>
      <c r="C192" s="178"/>
      <c r="D192" s="178"/>
      <c r="E192" s="178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178"/>
      <c r="B193" s="178"/>
      <c r="C193" s="178"/>
      <c r="D193" s="178"/>
      <c r="E193" s="178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178"/>
      <c r="B194" s="178"/>
      <c r="C194" s="178"/>
      <c r="D194" s="178"/>
      <c r="E194" s="178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178"/>
      <c r="B195" s="178"/>
      <c r="C195" s="178"/>
      <c r="D195" s="178"/>
      <c r="E195" s="178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178"/>
      <c r="B196" s="178"/>
      <c r="C196" s="178"/>
      <c r="D196" s="178"/>
      <c r="E196" s="178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178"/>
      <c r="B197" s="178"/>
      <c r="C197" s="178"/>
      <c r="D197" s="178"/>
      <c r="E197" s="178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178"/>
      <c r="B198" s="178"/>
      <c r="C198" s="178"/>
      <c r="D198" s="178"/>
      <c r="E198" s="178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178"/>
      <c r="B199" s="178"/>
      <c r="C199" s="178"/>
      <c r="D199" s="178"/>
      <c r="E199" s="178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178"/>
      <c r="B200" s="178"/>
      <c r="C200" s="178"/>
      <c r="D200" s="178"/>
      <c r="E200" s="178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178"/>
      <c r="B201" s="178"/>
      <c r="C201" s="178"/>
      <c r="D201" s="178"/>
      <c r="E201" s="178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178"/>
      <c r="B202" s="178"/>
      <c r="C202" s="178"/>
      <c r="D202" s="178"/>
      <c r="E202" s="178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178"/>
      <c r="B203" s="178"/>
      <c r="C203" s="178"/>
      <c r="D203" s="178"/>
      <c r="E203" s="178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178"/>
      <c r="B204" s="178"/>
      <c r="C204" s="178"/>
      <c r="D204" s="178"/>
      <c r="E204" s="178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178"/>
      <c r="B205" s="178"/>
      <c r="C205" s="178"/>
      <c r="D205" s="178"/>
      <c r="E205" s="178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178"/>
      <c r="B206" s="178"/>
      <c r="C206" s="178"/>
      <c r="D206" s="178"/>
      <c r="E206" s="178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178"/>
      <c r="B207" s="178"/>
      <c r="C207" s="178"/>
      <c r="D207" s="178"/>
      <c r="E207" s="178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178"/>
      <c r="B208" s="178"/>
      <c r="C208" s="178"/>
      <c r="D208" s="178"/>
      <c r="E208" s="178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178"/>
      <c r="B209" s="178"/>
      <c r="C209" s="178"/>
      <c r="D209" s="178"/>
      <c r="E209" s="178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178"/>
      <c r="B210" s="178"/>
      <c r="C210" s="178"/>
      <c r="D210" s="178"/>
      <c r="E210" s="178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178"/>
      <c r="B211" s="178"/>
      <c r="C211" s="178"/>
      <c r="D211" s="178"/>
      <c r="E211" s="178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178"/>
      <c r="B212" s="178"/>
      <c r="C212" s="178"/>
      <c r="D212" s="178"/>
      <c r="E212" s="178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178"/>
      <c r="B213" s="178"/>
      <c r="C213" s="178"/>
      <c r="D213" s="178"/>
      <c r="E213" s="178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178"/>
      <c r="B214" s="178"/>
      <c r="C214" s="178"/>
      <c r="D214" s="178"/>
      <c r="E214" s="178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178"/>
      <c r="B215" s="178"/>
      <c r="C215" s="178"/>
      <c r="D215" s="178"/>
      <c r="E215" s="178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178"/>
      <c r="B216" s="178"/>
      <c r="C216" s="178"/>
      <c r="D216" s="178"/>
      <c r="E216" s="178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178"/>
      <c r="B217" s="178"/>
      <c r="C217" s="178"/>
      <c r="D217" s="178"/>
      <c r="E217" s="178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178"/>
      <c r="B218" s="178"/>
      <c r="C218" s="178"/>
      <c r="D218" s="178"/>
      <c r="E218" s="178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178"/>
      <c r="B219" s="178"/>
      <c r="C219" s="178"/>
      <c r="D219" s="178"/>
      <c r="E219" s="178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178"/>
      <c r="B220" s="178"/>
      <c r="C220" s="178"/>
      <c r="D220" s="178"/>
      <c r="E220" s="178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178"/>
      <c r="B221" s="178"/>
      <c r="C221" s="178"/>
      <c r="D221" s="178"/>
      <c r="E221" s="178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178"/>
      <c r="B222" s="178"/>
      <c r="C222" s="178"/>
      <c r="D222" s="178"/>
      <c r="E222" s="178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178"/>
      <c r="B223" s="178"/>
      <c r="C223" s="178"/>
      <c r="D223" s="178"/>
      <c r="E223" s="178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178"/>
      <c r="B224" s="178"/>
      <c r="C224" s="178"/>
      <c r="D224" s="178"/>
      <c r="E224" s="178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178"/>
      <c r="B225" s="178"/>
      <c r="C225" s="178"/>
      <c r="D225" s="178"/>
      <c r="E225" s="178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178"/>
      <c r="B226" s="178"/>
      <c r="C226" s="178"/>
      <c r="D226" s="178"/>
      <c r="E226" s="178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178"/>
      <c r="B227" s="178"/>
      <c r="C227" s="178"/>
      <c r="D227" s="178"/>
      <c r="E227" s="178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178"/>
      <c r="B228" s="178"/>
      <c r="C228" s="178"/>
      <c r="D228" s="178"/>
      <c r="E228" s="178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178"/>
      <c r="B229" s="178"/>
      <c r="C229" s="178"/>
      <c r="D229" s="178"/>
      <c r="E229" s="178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178"/>
      <c r="B230" s="178"/>
      <c r="C230" s="178"/>
      <c r="D230" s="178"/>
      <c r="E230" s="178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178"/>
      <c r="B231" s="178"/>
      <c r="C231" s="178"/>
      <c r="D231" s="178"/>
      <c r="E231" s="178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178"/>
      <c r="B232" s="178"/>
      <c r="C232" s="178"/>
      <c r="D232" s="178"/>
      <c r="E232" s="178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178"/>
      <c r="B233" s="178"/>
      <c r="C233" s="178"/>
      <c r="D233" s="178"/>
      <c r="E233" s="178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178"/>
      <c r="B234" s="178"/>
      <c r="C234" s="178"/>
      <c r="D234" s="178"/>
      <c r="E234" s="178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178"/>
      <c r="B235" s="178"/>
      <c r="C235" s="178"/>
      <c r="D235" s="178"/>
      <c r="E235" s="178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178"/>
      <c r="B236" s="178"/>
      <c r="C236" s="178"/>
      <c r="D236" s="178"/>
      <c r="E236" s="178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178"/>
      <c r="B237" s="178"/>
      <c r="C237" s="178"/>
      <c r="D237" s="178"/>
      <c r="E237" s="178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178"/>
      <c r="B238" s="178"/>
      <c r="C238" s="178"/>
      <c r="D238" s="178"/>
      <c r="E238" s="178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178"/>
      <c r="B239" s="178"/>
      <c r="C239" s="178"/>
      <c r="D239" s="178"/>
      <c r="E239" s="178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178"/>
      <c r="B240" s="178"/>
      <c r="C240" s="178"/>
      <c r="D240" s="178"/>
      <c r="E240" s="178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178"/>
      <c r="B241" s="178"/>
      <c r="C241" s="178"/>
      <c r="D241" s="178"/>
      <c r="E241" s="178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178"/>
      <c r="B242" s="178"/>
      <c r="C242" s="178"/>
      <c r="D242" s="178"/>
      <c r="E242" s="178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178"/>
      <c r="B243" s="178"/>
      <c r="C243" s="178"/>
      <c r="D243" s="178"/>
      <c r="E243" s="178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178"/>
      <c r="B244" s="178"/>
      <c r="C244" s="178"/>
      <c r="D244" s="178"/>
      <c r="E244" s="178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178"/>
      <c r="B245" s="178"/>
      <c r="C245" s="178"/>
      <c r="D245" s="178"/>
      <c r="E245" s="178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178"/>
      <c r="B246" s="178"/>
      <c r="C246" s="178"/>
      <c r="D246" s="178"/>
      <c r="E246" s="178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178"/>
      <c r="B247" s="178"/>
      <c r="C247" s="178"/>
      <c r="D247" s="178"/>
      <c r="E247" s="178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178"/>
      <c r="B248" s="178"/>
      <c r="C248" s="178"/>
      <c r="D248" s="178"/>
      <c r="E248" s="178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178"/>
      <c r="B249" s="178"/>
      <c r="C249" s="178"/>
      <c r="D249" s="178"/>
      <c r="E249" s="178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178"/>
      <c r="B250" s="178"/>
      <c r="C250" s="178"/>
      <c r="D250" s="178"/>
      <c r="E250" s="178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178"/>
      <c r="B251" s="178"/>
      <c r="C251" s="178"/>
      <c r="D251" s="178"/>
      <c r="E251" s="178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178"/>
      <c r="B252" s="178"/>
      <c r="C252" s="178"/>
      <c r="D252" s="178"/>
      <c r="E252" s="178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178"/>
      <c r="B253" s="178"/>
      <c r="C253" s="178"/>
      <c r="D253" s="178"/>
      <c r="E253" s="178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178"/>
      <c r="B254" s="178"/>
      <c r="C254" s="178"/>
      <c r="D254" s="178"/>
      <c r="E254" s="178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178"/>
      <c r="B255" s="178"/>
      <c r="C255" s="178"/>
      <c r="D255" s="178"/>
      <c r="E255" s="178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178"/>
      <c r="B256" s="178"/>
      <c r="C256" s="178"/>
      <c r="D256" s="178"/>
      <c r="E256" s="178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178"/>
      <c r="B257" s="178"/>
      <c r="C257" s="178"/>
      <c r="D257" s="178"/>
      <c r="E257" s="178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178"/>
      <c r="B258" s="178"/>
      <c r="C258" s="178"/>
      <c r="D258" s="178"/>
      <c r="E258" s="178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178"/>
      <c r="B259" s="178"/>
      <c r="C259" s="178"/>
      <c r="D259" s="178"/>
      <c r="E259" s="178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178"/>
      <c r="B260" s="178"/>
      <c r="C260" s="178"/>
      <c r="D260" s="178"/>
      <c r="E260" s="178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178"/>
      <c r="B261" s="178"/>
      <c r="C261" s="178"/>
      <c r="D261" s="178"/>
      <c r="E261" s="178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178"/>
      <c r="B262" s="178"/>
      <c r="C262" s="178"/>
      <c r="D262" s="178"/>
      <c r="E262" s="178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178"/>
      <c r="B263" s="178"/>
      <c r="C263" s="178"/>
      <c r="D263" s="178"/>
      <c r="E263" s="178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178"/>
      <c r="B264" s="178"/>
      <c r="C264" s="178"/>
      <c r="D264" s="178"/>
      <c r="E264" s="178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178"/>
      <c r="B265" s="178"/>
      <c r="C265" s="178"/>
      <c r="D265" s="178"/>
      <c r="E265" s="178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178"/>
      <c r="B266" s="178"/>
      <c r="C266" s="178"/>
      <c r="D266" s="178"/>
      <c r="E266" s="178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178"/>
      <c r="B267" s="178"/>
      <c r="C267" s="178"/>
      <c r="D267" s="178"/>
      <c r="E267" s="178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178"/>
      <c r="B268" s="178"/>
      <c r="C268" s="178"/>
      <c r="D268" s="178"/>
      <c r="E268" s="178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178"/>
      <c r="B269" s="178"/>
      <c r="C269" s="178"/>
      <c r="D269" s="178"/>
      <c r="E269" s="178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178"/>
      <c r="B270" s="178"/>
      <c r="C270" s="178"/>
      <c r="D270" s="178"/>
      <c r="E270" s="178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178"/>
      <c r="B271" s="178"/>
      <c r="C271" s="178"/>
      <c r="D271" s="178"/>
      <c r="E271" s="178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178"/>
      <c r="B272" s="178"/>
      <c r="C272" s="178"/>
      <c r="D272" s="178"/>
      <c r="E272" s="178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178"/>
      <c r="B273" s="178"/>
      <c r="C273" s="178"/>
      <c r="D273" s="178"/>
      <c r="E273" s="178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178"/>
      <c r="B274" s="178"/>
      <c r="C274" s="178"/>
      <c r="D274" s="178"/>
      <c r="E274" s="178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178"/>
      <c r="B275" s="178"/>
      <c r="C275" s="178"/>
      <c r="D275" s="178"/>
      <c r="E275" s="178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178"/>
      <c r="B276" s="178"/>
      <c r="C276" s="178"/>
      <c r="D276" s="178"/>
      <c r="E276" s="178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178"/>
      <c r="B277" s="178"/>
      <c r="C277" s="178"/>
      <c r="D277" s="178"/>
      <c r="E277" s="178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178"/>
      <c r="B278" s="178"/>
      <c r="C278" s="178"/>
      <c r="D278" s="178"/>
      <c r="E278" s="178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178"/>
      <c r="B279" s="178"/>
      <c r="C279" s="178"/>
      <c r="D279" s="178"/>
      <c r="E279" s="178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178"/>
      <c r="B280" s="178"/>
      <c r="C280" s="178"/>
      <c r="D280" s="178"/>
      <c r="E280" s="178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178"/>
      <c r="B281" s="178"/>
      <c r="C281" s="178"/>
      <c r="D281" s="178"/>
      <c r="E281" s="178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178"/>
      <c r="B282" s="178"/>
      <c r="C282" s="178"/>
      <c r="D282" s="178"/>
      <c r="E282" s="178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178"/>
      <c r="B283" s="178"/>
      <c r="C283" s="178"/>
      <c r="D283" s="178"/>
      <c r="E283" s="178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178"/>
      <c r="B284" s="178"/>
      <c r="C284" s="178"/>
      <c r="D284" s="178"/>
      <c r="E284" s="178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178"/>
      <c r="B285" s="178"/>
      <c r="C285" s="178"/>
      <c r="D285" s="178"/>
      <c r="E285" s="178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178"/>
      <c r="B286" s="178"/>
      <c r="C286" s="178"/>
      <c r="D286" s="178"/>
      <c r="E286" s="178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178"/>
      <c r="B287" s="178"/>
      <c r="C287" s="178"/>
      <c r="D287" s="178"/>
      <c r="E287" s="178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178"/>
      <c r="B288" s="178"/>
      <c r="C288" s="178"/>
      <c r="D288" s="178"/>
      <c r="E288" s="178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178"/>
      <c r="B289" s="178"/>
      <c r="C289" s="178"/>
      <c r="D289" s="178"/>
      <c r="E289" s="178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178"/>
      <c r="B290" s="178"/>
      <c r="C290" s="178"/>
      <c r="D290" s="178"/>
      <c r="E290" s="178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178"/>
      <c r="B291" s="178"/>
      <c r="C291" s="178"/>
      <c r="D291" s="178"/>
      <c r="E291" s="178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178"/>
      <c r="B292" s="178"/>
      <c r="C292" s="178"/>
      <c r="D292" s="178"/>
      <c r="E292" s="178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178"/>
      <c r="B293" s="178"/>
      <c r="C293" s="178"/>
      <c r="D293" s="178"/>
      <c r="E293" s="178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178"/>
      <c r="B294" s="178"/>
      <c r="C294" s="178"/>
      <c r="D294" s="178"/>
      <c r="E294" s="178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178"/>
      <c r="B295" s="178"/>
      <c r="C295" s="178"/>
      <c r="D295" s="178"/>
      <c r="E295" s="178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178"/>
      <c r="B296" s="178"/>
      <c r="C296" s="178"/>
      <c r="D296" s="178"/>
      <c r="E296" s="178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178"/>
      <c r="B297" s="178"/>
      <c r="C297" s="178"/>
      <c r="D297" s="178"/>
      <c r="E297" s="178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178"/>
      <c r="B298" s="178"/>
      <c r="C298" s="178"/>
      <c r="D298" s="178"/>
      <c r="E298" s="178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178"/>
      <c r="B299" s="178"/>
      <c r="C299" s="178"/>
      <c r="D299" s="178"/>
      <c r="E299" s="178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178"/>
      <c r="B300" s="178"/>
      <c r="C300" s="178"/>
      <c r="D300" s="178"/>
      <c r="E300" s="178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178"/>
      <c r="B301" s="178"/>
      <c r="C301" s="178"/>
      <c r="D301" s="178"/>
      <c r="E301" s="178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178"/>
      <c r="B302" s="178"/>
      <c r="C302" s="178"/>
      <c r="D302" s="178"/>
      <c r="E302" s="178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178"/>
      <c r="B303" s="178"/>
      <c r="C303" s="178"/>
      <c r="D303" s="178"/>
      <c r="E303" s="178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178"/>
      <c r="B304" s="178"/>
      <c r="C304" s="178"/>
      <c r="D304" s="178"/>
      <c r="E304" s="178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178"/>
      <c r="B305" s="178"/>
      <c r="C305" s="178"/>
      <c r="D305" s="178"/>
      <c r="E305" s="178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178"/>
      <c r="B306" s="178"/>
      <c r="C306" s="178"/>
      <c r="D306" s="178"/>
      <c r="E306" s="178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178"/>
      <c r="B307" s="178"/>
      <c r="C307" s="178"/>
      <c r="D307" s="178"/>
      <c r="E307" s="178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178"/>
      <c r="B308" s="178"/>
      <c r="C308" s="178"/>
      <c r="D308" s="178"/>
      <c r="E308" s="178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178"/>
      <c r="B309" s="178"/>
      <c r="C309" s="178"/>
      <c r="D309" s="178"/>
      <c r="E309" s="178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178"/>
      <c r="B310" s="178"/>
      <c r="C310" s="178"/>
      <c r="D310" s="178"/>
      <c r="E310" s="178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178"/>
      <c r="B311" s="178"/>
      <c r="C311" s="178"/>
      <c r="D311" s="178"/>
      <c r="E311" s="178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178"/>
      <c r="B312" s="178"/>
      <c r="C312" s="178"/>
      <c r="D312" s="178"/>
      <c r="E312" s="178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178"/>
      <c r="B313" s="178"/>
      <c r="C313" s="178"/>
      <c r="D313" s="178"/>
      <c r="E313" s="178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178"/>
      <c r="B314" s="178"/>
      <c r="C314" s="178"/>
      <c r="D314" s="178"/>
      <c r="E314" s="178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178"/>
      <c r="B315" s="178"/>
      <c r="C315" s="178"/>
      <c r="D315" s="178"/>
      <c r="E315" s="178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178"/>
      <c r="B316" s="178"/>
      <c r="C316" s="178"/>
      <c r="D316" s="178"/>
      <c r="E316" s="178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178"/>
      <c r="B317" s="178"/>
      <c r="C317" s="178"/>
      <c r="D317" s="178"/>
      <c r="E317" s="178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178"/>
      <c r="B318" s="178"/>
      <c r="C318" s="178"/>
      <c r="D318" s="178"/>
      <c r="E318" s="178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178"/>
      <c r="B319" s="178"/>
      <c r="C319" s="178"/>
      <c r="D319" s="178"/>
      <c r="E319" s="178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178"/>
      <c r="B320" s="178"/>
      <c r="C320" s="178"/>
      <c r="D320" s="178"/>
      <c r="E320" s="178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178"/>
      <c r="B321" s="178"/>
      <c r="C321" s="178"/>
      <c r="D321" s="178"/>
      <c r="E321" s="178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178"/>
      <c r="B322" s="178"/>
      <c r="C322" s="178"/>
      <c r="D322" s="178"/>
      <c r="E322" s="178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178"/>
      <c r="B323" s="178"/>
      <c r="C323" s="178"/>
      <c r="D323" s="178"/>
      <c r="E323" s="178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178"/>
      <c r="B324" s="178"/>
      <c r="C324" s="178"/>
      <c r="D324" s="178"/>
      <c r="E324" s="178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178"/>
      <c r="B325" s="178"/>
      <c r="C325" s="178"/>
      <c r="D325" s="178"/>
      <c r="E325" s="178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178"/>
      <c r="B326" s="178"/>
      <c r="C326" s="178"/>
      <c r="D326" s="178"/>
      <c r="E326" s="178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178"/>
      <c r="B327" s="178"/>
      <c r="C327" s="178"/>
      <c r="D327" s="178"/>
      <c r="E327" s="178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178"/>
      <c r="B328" s="178"/>
      <c r="C328" s="178"/>
      <c r="D328" s="178"/>
      <c r="E328" s="178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178"/>
      <c r="B329" s="178"/>
      <c r="C329" s="178"/>
      <c r="D329" s="178"/>
      <c r="E329" s="178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178"/>
      <c r="B330" s="178"/>
      <c r="C330" s="178"/>
      <c r="D330" s="178"/>
      <c r="E330" s="178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178"/>
      <c r="B331" s="178"/>
      <c r="C331" s="178"/>
      <c r="D331" s="178"/>
      <c r="E331" s="178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178"/>
      <c r="B332" s="178"/>
      <c r="C332" s="178"/>
      <c r="D332" s="178"/>
      <c r="E332" s="178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178"/>
      <c r="B333" s="178"/>
      <c r="C333" s="178"/>
      <c r="D333" s="178"/>
      <c r="E333" s="178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178"/>
      <c r="B334" s="178"/>
      <c r="C334" s="178"/>
      <c r="D334" s="178"/>
      <c r="E334" s="178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178"/>
      <c r="B335" s="178"/>
      <c r="C335" s="178"/>
      <c r="D335" s="178"/>
      <c r="E335" s="178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178"/>
      <c r="B336" s="178"/>
      <c r="C336" s="178"/>
      <c r="D336" s="178"/>
      <c r="E336" s="178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178"/>
      <c r="B337" s="178"/>
      <c r="C337" s="178"/>
      <c r="D337" s="178"/>
      <c r="E337" s="178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178"/>
      <c r="B338" s="178"/>
      <c r="C338" s="178"/>
      <c r="D338" s="178"/>
      <c r="E338" s="178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178"/>
      <c r="B339" s="178"/>
      <c r="C339" s="178"/>
      <c r="D339" s="178"/>
      <c r="E339" s="178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178"/>
      <c r="B340" s="178"/>
      <c r="C340" s="178"/>
      <c r="D340" s="178"/>
      <c r="E340" s="178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178"/>
      <c r="B341" s="178"/>
      <c r="C341" s="178"/>
      <c r="D341" s="178"/>
      <c r="E341" s="178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178"/>
      <c r="B342" s="178"/>
      <c r="C342" s="178"/>
      <c r="D342" s="178"/>
      <c r="E342" s="178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178"/>
      <c r="B343" s="178"/>
      <c r="C343" s="178"/>
      <c r="D343" s="178"/>
      <c r="E343" s="178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178"/>
      <c r="B344" s="178"/>
      <c r="C344" s="178"/>
      <c r="D344" s="178"/>
      <c r="E344" s="178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178"/>
      <c r="B345" s="178"/>
      <c r="C345" s="178"/>
      <c r="D345" s="178"/>
      <c r="E345" s="178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178"/>
      <c r="B346" s="178"/>
      <c r="C346" s="178"/>
      <c r="D346" s="178"/>
      <c r="E346" s="178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178"/>
      <c r="B347" s="178"/>
      <c r="C347" s="178"/>
      <c r="D347" s="178"/>
      <c r="E347" s="178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178"/>
      <c r="B348" s="178"/>
      <c r="C348" s="178"/>
      <c r="D348" s="178"/>
      <c r="E348" s="178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178"/>
      <c r="B349" s="178"/>
      <c r="C349" s="178"/>
      <c r="D349" s="178"/>
      <c r="E349" s="178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178"/>
      <c r="B350" s="178"/>
      <c r="C350" s="178"/>
      <c r="D350" s="178"/>
      <c r="E350" s="178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178"/>
      <c r="B351" s="178"/>
      <c r="C351" s="178"/>
      <c r="D351" s="178"/>
      <c r="E351" s="178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178"/>
      <c r="B352" s="178"/>
      <c r="C352" s="178"/>
      <c r="D352" s="178"/>
      <c r="E352" s="178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178"/>
      <c r="B353" s="178"/>
      <c r="C353" s="178"/>
      <c r="D353" s="178"/>
      <c r="E353" s="178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178"/>
      <c r="B354" s="178"/>
      <c r="C354" s="178"/>
      <c r="D354" s="178"/>
      <c r="E354" s="178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178"/>
      <c r="B355" s="178"/>
      <c r="C355" s="178"/>
      <c r="D355" s="178"/>
      <c r="E355" s="178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178"/>
      <c r="B356" s="178"/>
      <c r="C356" s="178"/>
      <c r="D356" s="178"/>
      <c r="E356" s="178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178"/>
      <c r="B357" s="178"/>
      <c r="C357" s="178"/>
      <c r="D357" s="178"/>
      <c r="E357" s="178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178"/>
      <c r="B358" s="178"/>
      <c r="C358" s="178"/>
      <c r="D358" s="178"/>
      <c r="E358" s="178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178"/>
      <c r="B359" s="178"/>
      <c r="C359" s="178"/>
      <c r="D359" s="178"/>
      <c r="E359" s="178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178"/>
      <c r="B360" s="178"/>
      <c r="C360" s="178"/>
      <c r="D360" s="178"/>
      <c r="E360" s="178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178"/>
      <c r="B361" s="178"/>
      <c r="C361" s="178"/>
      <c r="D361" s="178"/>
      <c r="E361" s="178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178"/>
      <c r="B362" s="178"/>
      <c r="C362" s="178"/>
      <c r="D362" s="178"/>
      <c r="E362" s="178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178"/>
      <c r="B363" s="178"/>
      <c r="C363" s="178"/>
      <c r="D363" s="178"/>
      <c r="E363" s="178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178"/>
      <c r="B364" s="178"/>
      <c r="C364" s="178"/>
      <c r="D364" s="178"/>
      <c r="E364" s="178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178"/>
      <c r="B365" s="178"/>
      <c r="C365" s="178"/>
      <c r="D365" s="178"/>
      <c r="E365" s="178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178"/>
      <c r="B366" s="178"/>
      <c r="C366" s="178"/>
      <c r="D366" s="178"/>
      <c r="E366" s="178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178"/>
      <c r="B367" s="178"/>
      <c r="C367" s="178"/>
      <c r="D367" s="178"/>
      <c r="E367" s="178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178"/>
      <c r="B368" s="178"/>
      <c r="C368" s="178"/>
      <c r="D368" s="178"/>
      <c r="E368" s="178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178"/>
      <c r="B369" s="178"/>
      <c r="C369" s="178"/>
      <c r="D369" s="178"/>
      <c r="E369" s="178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178"/>
      <c r="B370" s="178"/>
      <c r="C370" s="178"/>
      <c r="D370" s="178"/>
      <c r="E370" s="178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178"/>
      <c r="B371" s="178"/>
      <c r="C371" s="178"/>
      <c r="D371" s="178"/>
      <c r="E371" s="178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178"/>
      <c r="B372" s="178"/>
      <c r="C372" s="178"/>
      <c r="D372" s="178"/>
      <c r="E372" s="178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178"/>
      <c r="B373" s="178"/>
      <c r="C373" s="178"/>
      <c r="D373" s="178"/>
      <c r="E373" s="178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178"/>
      <c r="B374" s="178"/>
      <c r="C374" s="178"/>
      <c r="D374" s="178"/>
      <c r="E374" s="178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178"/>
      <c r="B375" s="178"/>
      <c r="C375" s="178"/>
      <c r="D375" s="178"/>
      <c r="E375" s="178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178"/>
      <c r="B376" s="178"/>
      <c r="C376" s="178"/>
      <c r="D376" s="178"/>
      <c r="E376" s="178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178"/>
      <c r="B377" s="178"/>
      <c r="C377" s="178"/>
      <c r="D377" s="178"/>
      <c r="E377" s="178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178"/>
      <c r="B378" s="178"/>
      <c r="C378" s="178"/>
      <c r="D378" s="178"/>
      <c r="E378" s="178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178"/>
      <c r="B379" s="178"/>
      <c r="C379" s="178"/>
      <c r="D379" s="178"/>
      <c r="E379" s="178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178"/>
      <c r="B380" s="178"/>
      <c r="C380" s="178"/>
      <c r="D380" s="178"/>
      <c r="E380" s="178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178"/>
      <c r="B381" s="178"/>
      <c r="C381" s="178"/>
      <c r="D381" s="178"/>
      <c r="E381" s="178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178"/>
      <c r="B382" s="178"/>
      <c r="C382" s="178"/>
      <c r="D382" s="178"/>
      <c r="E382" s="178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178"/>
      <c r="B383" s="178"/>
      <c r="C383" s="178"/>
      <c r="D383" s="178"/>
      <c r="E383" s="178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178"/>
      <c r="B384" s="178"/>
      <c r="C384" s="178"/>
      <c r="D384" s="178"/>
      <c r="E384" s="178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178"/>
      <c r="B385" s="178"/>
      <c r="C385" s="178"/>
      <c r="D385" s="178"/>
      <c r="E385" s="178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178"/>
      <c r="B386" s="178"/>
      <c r="C386" s="178"/>
      <c r="D386" s="178"/>
      <c r="E386" s="178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178"/>
      <c r="B387" s="178"/>
      <c r="C387" s="178"/>
      <c r="D387" s="178"/>
      <c r="E387" s="178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178"/>
      <c r="B388" s="178"/>
      <c r="C388" s="178"/>
      <c r="D388" s="178"/>
      <c r="E388" s="178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178"/>
      <c r="B389" s="178"/>
      <c r="C389" s="178"/>
      <c r="D389" s="178"/>
      <c r="E389" s="178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178"/>
      <c r="B390" s="178"/>
      <c r="C390" s="178"/>
      <c r="D390" s="178"/>
      <c r="E390" s="178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178"/>
      <c r="B391" s="178"/>
      <c r="C391" s="178"/>
      <c r="D391" s="178"/>
      <c r="E391" s="178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178"/>
      <c r="B392" s="178"/>
      <c r="C392" s="178"/>
      <c r="D392" s="178"/>
      <c r="E392" s="178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178"/>
      <c r="B393" s="178"/>
      <c r="C393" s="178"/>
      <c r="D393" s="178"/>
      <c r="E393" s="178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178"/>
      <c r="B394" s="178"/>
      <c r="C394" s="178"/>
      <c r="D394" s="178"/>
      <c r="E394" s="178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178"/>
      <c r="B395" s="178"/>
      <c r="C395" s="178"/>
      <c r="D395" s="178"/>
      <c r="E395" s="178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178"/>
      <c r="B396" s="178"/>
      <c r="C396" s="178"/>
      <c r="D396" s="178"/>
      <c r="E396" s="178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178"/>
      <c r="B397" s="178"/>
      <c r="C397" s="178"/>
      <c r="D397" s="178"/>
      <c r="E397" s="178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178"/>
      <c r="B398" s="178"/>
      <c r="C398" s="178"/>
      <c r="D398" s="178"/>
      <c r="E398" s="178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178"/>
      <c r="B399" s="178"/>
      <c r="C399" s="178"/>
      <c r="D399" s="178"/>
      <c r="E399" s="178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178"/>
      <c r="B400" s="178"/>
      <c r="C400" s="178"/>
      <c r="D400" s="178"/>
      <c r="E400" s="178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178"/>
      <c r="B401" s="178"/>
      <c r="C401" s="178"/>
      <c r="D401" s="178"/>
      <c r="E401" s="178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178"/>
      <c r="B402" s="178"/>
      <c r="C402" s="178"/>
      <c r="D402" s="178"/>
      <c r="E402" s="178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178"/>
      <c r="B403" s="178"/>
      <c r="C403" s="178"/>
      <c r="D403" s="178"/>
      <c r="E403" s="178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178"/>
      <c r="B404" s="178"/>
      <c r="C404" s="178"/>
      <c r="D404" s="178"/>
      <c r="E404" s="178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178"/>
      <c r="B405" s="178"/>
      <c r="C405" s="178"/>
      <c r="D405" s="178"/>
      <c r="E405" s="178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178"/>
      <c r="B406" s="178"/>
      <c r="C406" s="178"/>
      <c r="D406" s="178"/>
      <c r="E406" s="178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178"/>
      <c r="B407" s="178"/>
      <c r="C407" s="178"/>
      <c r="D407" s="178"/>
      <c r="E407" s="178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178"/>
      <c r="B408" s="178"/>
      <c r="C408" s="178"/>
      <c r="D408" s="178"/>
      <c r="E408" s="178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178"/>
      <c r="B409" s="178"/>
      <c r="C409" s="178"/>
      <c r="D409" s="178"/>
      <c r="E409" s="178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178"/>
      <c r="B410" s="178"/>
      <c r="C410" s="178"/>
      <c r="D410" s="178"/>
      <c r="E410" s="178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178"/>
      <c r="B411" s="178"/>
      <c r="C411" s="178"/>
      <c r="D411" s="178"/>
      <c r="E411" s="178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178"/>
      <c r="B412" s="178"/>
      <c r="C412" s="178"/>
      <c r="D412" s="178"/>
      <c r="E412" s="178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178"/>
      <c r="B413" s="178"/>
      <c r="C413" s="178"/>
      <c r="D413" s="178"/>
      <c r="E413" s="178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178"/>
      <c r="B414" s="178"/>
      <c r="C414" s="178"/>
      <c r="D414" s="178"/>
      <c r="E414" s="178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178"/>
      <c r="B415" s="178"/>
      <c r="C415" s="178"/>
      <c r="D415" s="178"/>
      <c r="E415" s="178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178"/>
      <c r="B416" s="178"/>
      <c r="C416" s="178"/>
      <c r="D416" s="178"/>
      <c r="E416" s="178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178"/>
      <c r="B417" s="178"/>
      <c r="C417" s="178"/>
      <c r="D417" s="178"/>
      <c r="E417" s="178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178"/>
      <c r="B418" s="178"/>
      <c r="C418" s="178"/>
      <c r="D418" s="178"/>
      <c r="E418" s="178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178"/>
      <c r="B419" s="178"/>
      <c r="C419" s="178"/>
      <c r="D419" s="178"/>
      <c r="E419" s="178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178"/>
      <c r="B420" s="178"/>
      <c r="C420" s="178"/>
      <c r="D420" s="178"/>
      <c r="E420" s="178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178"/>
      <c r="B421" s="178"/>
      <c r="C421" s="178"/>
      <c r="D421" s="178"/>
      <c r="E421" s="178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178"/>
      <c r="B422" s="178"/>
      <c r="C422" s="178"/>
      <c r="D422" s="178"/>
      <c r="E422" s="178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178"/>
      <c r="B423" s="178"/>
      <c r="C423" s="178"/>
      <c r="D423" s="178"/>
      <c r="E423" s="178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178"/>
      <c r="B424" s="178"/>
      <c r="C424" s="178"/>
      <c r="D424" s="178"/>
      <c r="E424" s="178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178"/>
      <c r="B425" s="178"/>
      <c r="C425" s="178"/>
      <c r="D425" s="178"/>
      <c r="E425" s="178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178"/>
      <c r="B426" s="178"/>
      <c r="C426" s="178"/>
      <c r="D426" s="178"/>
      <c r="E426" s="178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178"/>
      <c r="B427" s="178"/>
      <c r="C427" s="178"/>
      <c r="D427" s="178"/>
      <c r="E427" s="178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178"/>
      <c r="B428" s="178"/>
      <c r="C428" s="178"/>
      <c r="D428" s="178"/>
      <c r="E428" s="178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178"/>
      <c r="B429" s="178"/>
      <c r="C429" s="178"/>
      <c r="D429" s="178"/>
      <c r="E429" s="178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178"/>
      <c r="B430" s="178"/>
      <c r="C430" s="178"/>
      <c r="D430" s="178"/>
      <c r="E430" s="178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178"/>
      <c r="B431" s="178"/>
      <c r="C431" s="178"/>
      <c r="D431" s="178"/>
      <c r="E431" s="178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178"/>
      <c r="B432" s="178"/>
      <c r="C432" s="178"/>
      <c r="D432" s="178"/>
      <c r="E432" s="178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178"/>
      <c r="B433" s="178"/>
      <c r="C433" s="178"/>
      <c r="D433" s="178"/>
      <c r="E433" s="178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178"/>
      <c r="B434" s="178"/>
      <c r="C434" s="178"/>
      <c r="D434" s="178"/>
      <c r="E434" s="178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178"/>
      <c r="B435" s="178"/>
      <c r="C435" s="178"/>
      <c r="D435" s="178"/>
      <c r="E435" s="178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178"/>
      <c r="B436" s="178"/>
      <c r="C436" s="178"/>
      <c r="D436" s="178"/>
      <c r="E436" s="178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178"/>
      <c r="B437" s="178"/>
      <c r="C437" s="178"/>
      <c r="D437" s="178"/>
      <c r="E437" s="178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178"/>
      <c r="B438" s="178"/>
      <c r="C438" s="178"/>
      <c r="D438" s="178"/>
      <c r="E438" s="178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178"/>
      <c r="B439" s="178"/>
      <c r="C439" s="178"/>
      <c r="D439" s="178"/>
      <c r="E439" s="178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178"/>
      <c r="B440" s="178"/>
      <c r="C440" s="178"/>
      <c r="D440" s="178"/>
      <c r="E440" s="178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178"/>
      <c r="B441" s="178"/>
      <c r="C441" s="178"/>
      <c r="D441" s="178"/>
      <c r="E441" s="178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178"/>
      <c r="B442" s="178"/>
      <c r="C442" s="178"/>
      <c r="D442" s="178"/>
      <c r="E442" s="178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178"/>
      <c r="B443" s="178"/>
      <c r="C443" s="178"/>
      <c r="D443" s="178"/>
      <c r="E443" s="178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178"/>
      <c r="B444" s="178"/>
      <c r="C444" s="178"/>
      <c r="D444" s="178"/>
      <c r="E444" s="178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178"/>
      <c r="B445" s="178"/>
      <c r="C445" s="178"/>
      <c r="D445" s="178"/>
      <c r="E445" s="178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178"/>
      <c r="B446" s="178"/>
      <c r="C446" s="178"/>
      <c r="D446" s="178"/>
      <c r="E446" s="178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178"/>
      <c r="B447" s="178"/>
      <c r="C447" s="178"/>
      <c r="D447" s="178"/>
      <c r="E447" s="178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178"/>
      <c r="B448" s="178"/>
      <c r="C448" s="178"/>
      <c r="D448" s="178"/>
      <c r="E448" s="178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178"/>
      <c r="B449" s="178"/>
      <c r="C449" s="178"/>
      <c r="D449" s="178"/>
      <c r="E449" s="178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178"/>
      <c r="B450" s="178"/>
      <c r="C450" s="178"/>
      <c r="D450" s="178"/>
      <c r="E450" s="178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178"/>
      <c r="B451" s="178"/>
      <c r="C451" s="178"/>
      <c r="D451" s="178"/>
      <c r="E451" s="178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178"/>
      <c r="B452" s="178"/>
      <c r="C452" s="178"/>
      <c r="D452" s="178"/>
      <c r="E452" s="178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178"/>
      <c r="B453" s="178"/>
      <c r="C453" s="178"/>
      <c r="D453" s="178"/>
      <c r="E453" s="178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178"/>
      <c r="B454" s="178"/>
      <c r="C454" s="178"/>
      <c r="D454" s="178"/>
      <c r="E454" s="178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178"/>
      <c r="B455" s="178"/>
      <c r="C455" s="178"/>
      <c r="D455" s="178"/>
      <c r="E455" s="178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178"/>
      <c r="B456" s="178"/>
      <c r="C456" s="178"/>
      <c r="D456" s="178"/>
      <c r="E456" s="178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178"/>
      <c r="B457" s="178"/>
      <c r="C457" s="178"/>
      <c r="D457" s="178"/>
      <c r="E457" s="178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178"/>
      <c r="B458" s="178"/>
      <c r="C458" s="178"/>
      <c r="D458" s="178"/>
      <c r="E458" s="178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178"/>
      <c r="B459" s="178"/>
      <c r="C459" s="178"/>
      <c r="D459" s="178"/>
      <c r="E459" s="178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178"/>
      <c r="B460" s="178"/>
      <c r="C460" s="178"/>
      <c r="D460" s="178"/>
      <c r="E460" s="178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178"/>
      <c r="B461" s="178"/>
      <c r="C461" s="178"/>
      <c r="D461" s="178"/>
      <c r="E461" s="178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178"/>
      <c r="B462" s="178"/>
      <c r="C462" s="178"/>
      <c r="D462" s="178"/>
      <c r="E462" s="178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178"/>
      <c r="B463" s="178"/>
      <c r="C463" s="178"/>
      <c r="D463" s="178"/>
      <c r="E463" s="178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178"/>
      <c r="B464" s="178"/>
      <c r="C464" s="178"/>
      <c r="D464" s="178"/>
      <c r="E464" s="178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178"/>
      <c r="B465" s="178"/>
      <c r="C465" s="178"/>
      <c r="D465" s="178"/>
      <c r="E465" s="178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178"/>
      <c r="B466" s="178"/>
      <c r="C466" s="178"/>
      <c r="D466" s="178"/>
      <c r="E466" s="178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178"/>
      <c r="B467" s="178"/>
      <c r="C467" s="178"/>
      <c r="D467" s="178"/>
      <c r="E467" s="178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178"/>
      <c r="B468" s="178"/>
      <c r="C468" s="178"/>
      <c r="D468" s="178"/>
      <c r="E468" s="178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178"/>
      <c r="B469" s="178"/>
      <c r="C469" s="178"/>
      <c r="D469" s="178"/>
      <c r="E469" s="178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178"/>
      <c r="B470" s="178"/>
      <c r="C470" s="178"/>
      <c r="D470" s="178"/>
      <c r="E470" s="178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178"/>
      <c r="B471" s="178"/>
      <c r="C471" s="178"/>
      <c r="D471" s="178"/>
      <c r="E471" s="178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178"/>
      <c r="B472" s="178"/>
      <c r="C472" s="178"/>
      <c r="D472" s="178"/>
      <c r="E472" s="178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178"/>
      <c r="B473" s="178"/>
      <c r="C473" s="178"/>
      <c r="D473" s="178"/>
      <c r="E473" s="178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178"/>
      <c r="B474" s="178"/>
      <c r="C474" s="178"/>
      <c r="D474" s="178"/>
      <c r="E474" s="178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178"/>
      <c r="B475" s="178"/>
      <c r="C475" s="178"/>
      <c r="D475" s="178"/>
      <c r="E475" s="178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178"/>
      <c r="B476" s="178"/>
      <c r="C476" s="178"/>
      <c r="D476" s="178"/>
      <c r="E476" s="178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178"/>
      <c r="B477" s="178"/>
      <c r="C477" s="178"/>
      <c r="D477" s="178"/>
      <c r="E477" s="178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178"/>
      <c r="B478" s="178"/>
      <c r="C478" s="178"/>
      <c r="D478" s="178"/>
      <c r="E478" s="178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178"/>
      <c r="B479" s="178"/>
      <c r="C479" s="178"/>
      <c r="D479" s="178"/>
      <c r="E479" s="178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178"/>
      <c r="B480" s="178"/>
      <c r="C480" s="178"/>
      <c r="D480" s="178"/>
      <c r="E480" s="178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178"/>
      <c r="B481" s="178"/>
      <c r="C481" s="178"/>
      <c r="D481" s="178"/>
      <c r="E481" s="178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178"/>
      <c r="B482" s="178"/>
      <c r="C482" s="178"/>
      <c r="D482" s="178"/>
      <c r="E482" s="178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178"/>
      <c r="B483" s="178"/>
      <c r="C483" s="178"/>
      <c r="D483" s="178"/>
      <c r="E483" s="178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178"/>
      <c r="B484" s="178"/>
      <c r="C484" s="178"/>
      <c r="D484" s="178"/>
      <c r="E484" s="178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178"/>
      <c r="B485" s="178"/>
      <c r="C485" s="178"/>
      <c r="D485" s="178"/>
      <c r="E485" s="178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178"/>
      <c r="B486" s="178"/>
      <c r="C486" s="178"/>
      <c r="D486" s="178"/>
      <c r="E486" s="178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178"/>
      <c r="B487" s="178"/>
      <c r="C487" s="178"/>
      <c r="D487" s="178"/>
      <c r="E487" s="178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178"/>
      <c r="B488" s="178"/>
      <c r="C488" s="178"/>
      <c r="D488" s="178"/>
      <c r="E488" s="178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178"/>
      <c r="B489" s="178"/>
      <c r="C489" s="178"/>
      <c r="D489" s="178"/>
      <c r="E489" s="178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178"/>
      <c r="B490" s="178"/>
      <c r="C490" s="178"/>
      <c r="D490" s="178"/>
      <c r="E490" s="178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178"/>
      <c r="B491" s="178"/>
      <c r="C491" s="178"/>
      <c r="D491" s="178"/>
      <c r="E491" s="178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178"/>
      <c r="B492" s="178"/>
      <c r="C492" s="178"/>
      <c r="D492" s="178"/>
      <c r="E492" s="178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178"/>
      <c r="B493" s="178"/>
      <c r="C493" s="178"/>
      <c r="D493" s="178"/>
      <c r="E493" s="178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178"/>
      <c r="B494" s="178"/>
      <c r="C494" s="178"/>
      <c r="D494" s="178"/>
      <c r="E494" s="178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178"/>
      <c r="B495" s="178"/>
      <c r="C495" s="178"/>
      <c r="D495" s="178"/>
      <c r="E495" s="178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178"/>
      <c r="B496" s="178"/>
      <c r="C496" s="178"/>
      <c r="D496" s="178"/>
      <c r="E496" s="178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178"/>
      <c r="B497" s="178"/>
      <c r="C497" s="178"/>
      <c r="D497" s="178"/>
      <c r="E497" s="178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178"/>
      <c r="B498" s="178"/>
      <c r="C498" s="178"/>
      <c r="D498" s="178"/>
      <c r="E498" s="178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178"/>
      <c r="B499" s="178"/>
      <c r="C499" s="178"/>
      <c r="D499" s="178"/>
      <c r="E499" s="178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178"/>
      <c r="B500" s="178"/>
      <c r="C500" s="178"/>
      <c r="D500" s="178"/>
      <c r="E500" s="178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178"/>
      <c r="B501" s="178"/>
      <c r="C501" s="178"/>
      <c r="D501" s="178"/>
      <c r="E501" s="178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178"/>
      <c r="B502" s="178"/>
      <c r="C502" s="178"/>
      <c r="D502" s="178"/>
      <c r="E502" s="178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178"/>
      <c r="B503" s="178"/>
      <c r="C503" s="178"/>
      <c r="D503" s="178"/>
      <c r="E503" s="178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178"/>
      <c r="B504" s="178"/>
      <c r="C504" s="178"/>
      <c r="D504" s="178"/>
      <c r="E504" s="178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178"/>
      <c r="B505" s="178"/>
      <c r="C505" s="178"/>
      <c r="D505" s="178"/>
      <c r="E505" s="178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178"/>
      <c r="B506" s="178"/>
      <c r="C506" s="178"/>
      <c r="D506" s="178"/>
      <c r="E506" s="178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178"/>
      <c r="B507" s="178"/>
      <c r="C507" s="178"/>
      <c r="D507" s="178"/>
      <c r="E507" s="178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178"/>
      <c r="B508" s="178"/>
      <c r="C508" s="178"/>
      <c r="D508" s="178"/>
      <c r="E508" s="178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178"/>
      <c r="B509" s="178"/>
      <c r="C509" s="178"/>
      <c r="D509" s="178"/>
      <c r="E509" s="178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178"/>
      <c r="B510" s="178"/>
      <c r="C510" s="178"/>
      <c r="D510" s="178"/>
      <c r="E510" s="178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178"/>
      <c r="B511" s="178"/>
      <c r="C511" s="178"/>
      <c r="D511" s="178"/>
      <c r="E511" s="178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178"/>
      <c r="B512" s="178"/>
      <c r="C512" s="178"/>
      <c r="D512" s="178"/>
      <c r="E512" s="178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178"/>
      <c r="B513" s="178"/>
      <c r="C513" s="178"/>
      <c r="D513" s="178"/>
      <c r="E513" s="178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178"/>
      <c r="B514" s="178"/>
      <c r="C514" s="178"/>
      <c r="D514" s="178"/>
      <c r="E514" s="178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178"/>
      <c r="B515" s="178"/>
      <c r="C515" s="178"/>
      <c r="D515" s="178"/>
      <c r="E515" s="178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178"/>
      <c r="B516" s="178"/>
      <c r="C516" s="178"/>
      <c r="D516" s="178"/>
      <c r="E516" s="178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178"/>
      <c r="B517" s="178"/>
      <c r="C517" s="178"/>
      <c r="D517" s="178"/>
      <c r="E517" s="178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178"/>
      <c r="B518" s="178"/>
      <c r="C518" s="178"/>
      <c r="D518" s="178"/>
      <c r="E518" s="178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178"/>
      <c r="B519" s="178"/>
      <c r="C519" s="178"/>
      <c r="D519" s="178"/>
      <c r="E519" s="178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178"/>
      <c r="B520" s="178"/>
      <c r="C520" s="178"/>
      <c r="D520" s="178"/>
      <c r="E520" s="178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178"/>
      <c r="B521" s="178"/>
      <c r="C521" s="178"/>
      <c r="D521" s="178"/>
      <c r="E521" s="178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178"/>
      <c r="B522" s="178"/>
      <c r="C522" s="178"/>
      <c r="D522" s="178"/>
      <c r="E522" s="178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178"/>
      <c r="B523" s="178"/>
      <c r="C523" s="178"/>
      <c r="D523" s="178"/>
      <c r="E523" s="178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178"/>
      <c r="B524" s="178"/>
      <c r="C524" s="178"/>
      <c r="D524" s="178"/>
      <c r="E524" s="178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178"/>
      <c r="B525" s="178"/>
      <c r="C525" s="178"/>
      <c r="D525" s="178"/>
      <c r="E525" s="178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178"/>
      <c r="B526" s="178"/>
      <c r="C526" s="178"/>
      <c r="D526" s="178"/>
      <c r="E526" s="178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178"/>
      <c r="B527" s="178"/>
      <c r="C527" s="178"/>
      <c r="D527" s="178"/>
      <c r="E527" s="178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178"/>
      <c r="B528" s="178"/>
      <c r="C528" s="178"/>
      <c r="D528" s="178"/>
      <c r="E528" s="178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178"/>
      <c r="B529" s="178"/>
      <c r="C529" s="178"/>
      <c r="D529" s="178"/>
      <c r="E529" s="178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178"/>
      <c r="B530" s="178"/>
      <c r="C530" s="178"/>
      <c r="D530" s="178"/>
      <c r="E530" s="178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178"/>
      <c r="B531" s="178"/>
      <c r="C531" s="178"/>
      <c r="D531" s="178"/>
      <c r="E531" s="178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178"/>
      <c r="B532" s="178"/>
      <c r="C532" s="178"/>
      <c r="D532" s="178"/>
      <c r="E532" s="178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178"/>
      <c r="B533" s="178"/>
      <c r="C533" s="178"/>
      <c r="D533" s="178"/>
      <c r="E533" s="178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178"/>
      <c r="B534" s="178"/>
      <c r="C534" s="178"/>
      <c r="D534" s="178"/>
      <c r="E534" s="178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178"/>
      <c r="B535" s="178"/>
      <c r="C535" s="178"/>
      <c r="D535" s="178"/>
      <c r="E535" s="178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178"/>
      <c r="B536" s="178"/>
      <c r="C536" s="178"/>
      <c r="D536" s="178"/>
      <c r="E536" s="178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178"/>
      <c r="B537" s="178"/>
      <c r="C537" s="178"/>
      <c r="D537" s="178"/>
      <c r="E537" s="178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178"/>
      <c r="B538" s="178"/>
      <c r="C538" s="178"/>
      <c r="D538" s="178"/>
      <c r="E538" s="178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178"/>
      <c r="B539" s="178"/>
      <c r="C539" s="178"/>
      <c r="D539" s="178"/>
      <c r="E539" s="178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178"/>
      <c r="B540" s="178"/>
      <c r="C540" s="178"/>
      <c r="D540" s="178"/>
      <c r="E540" s="178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178"/>
      <c r="B541" s="178"/>
      <c r="C541" s="178"/>
      <c r="D541" s="178"/>
      <c r="E541" s="178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178"/>
      <c r="B542" s="178"/>
      <c r="C542" s="178"/>
      <c r="D542" s="178"/>
      <c r="E542" s="178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178"/>
      <c r="B543" s="178"/>
      <c r="C543" s="178"/>
      <c r="D543" s="178"/>
      <c r="E543" s="178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178"/>
      <c r="B544" s="178"/>
      <c r="C544" s="178"/>
      <c r="D544" s="178"/>
      <c r="E544" s="178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178"/>
      <c r="B545" s="178"/>
      <c r="C545" s="178"/>
      <c r="D545" s="178"/>
      <c r="E545" s="178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178"/>
      <c r="B546" s="178"/>
      <c r="C546" s="178"/>
      <c r="D546" s="178"/>
      <c r="E546" s="178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178"/>
      <c r="B547" s="178"/>
      <c r="C547" s="178"/>
      <c r="D547" s="178"/>
      <c r="E547" s="178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178"/>
      <c r="B548" s="178"/>
      <c r="C548" s="178"/>
      <c r="D548" s="178"/>
      <c r="E548" s="178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178"/>
      <c r="B549" s="178"/>
      <c r="C549" s="178"/>
      <c r="D549" s="178"/>
      <c r="E549" s="178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178"/>
      <c r="B550" s="178"/>
      <c r="C550" s="178"/>
      <c r="D550" s="178"/>
      <c r="E550" s="178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178"/>
      <c r="B551" s="178"/>
      <c r="C551" s="178"/>
      <c r="D551" s="178"/>
      <c r="E551" s="178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178"/>
      <c r="B552" s="178"/>
      <c r="C552" s="178"/>
      <c r="D552" s="178"/>
      <c r="E552" s="178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178"/>
      <c r="B553" s="178"/>
      <c r="C553" s="178"/>
      <c r="D553" s="178"/>
      <c r="E553" s="178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178"/>
      <c r="B554" s="178"/>
      <c r="C554" s="178"/>
      <c r="D554" s="178"/>
      <c r="E554" s="178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178"/>
      <c r="B555" s="178"/>
      <c r="C555" s="178"/>
      <c r="D555" s="178"/>
      <c r="E555" s="178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178"/>
      <c r="B556" s="178"/>
      <c r="C556" s="178"/>
      <c r="D556" s="178"/>
      <c r="E556" s="178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178"/>
      <c r="B557" s="178"/>
      <c r="C557" s="178"/>
      <c r="D557" s="178"/>
      <c r="E557" s="178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178"/>
      <c r="B558" s="178"/>
      <c r="C558" s="178"/>
      <c r="D558" s="178"/>
      <c r="E558" s="178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178"/>
      <c r="B559" s="178"/>
      <c r="C559" s="178"/>
      <c r="D559" s="178"/>
      <c r="E559" s="178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178"/>
      <c r="B560" s="178"/>
      <c r="C560" s="178"/>
      <c r="D560" s="178"/>
      <c r="E560" s="178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178"/>
      <c r="B561" s="178"/>
      <c r="C561" s="178"/>
      <c r="D561" s="178"/>
      <c r="E561" s="178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178"/>
      <c r="B562" s="178"/>
      <c r="C562" s="178"/>
      <c r="D562" s="178"/>
      <c r="E562" s="178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178"/>
      <c r="B563" s="178"/>
      <c r="C563" s="178"/>
      <c r="D563" s="178"/>
      <c r="E563" s="178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178"/>
      <c r="B564" s="178"/>
      <c r="C564" s="178"/>
      <c r="D564" s="178"/>
      <c r="E564" s="178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178"/>
      <c r="B565" s="178"/>
      <c r="C565" s="178"/>
      <c r="D565" s="178"/>
      <c r="E565" s="178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178"/>
      <c r="B566" s="178"/>
      <c r="C566" s="178"/>
      <c r="D566" s="178"/>
      <c r="E566" s="178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178"/>
      <c r="B567" s="178"/>
      <c r="C567" s="178"/>
      <c r="D567" s="178"/>
      <c r="E567" s="178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178"/>
      <c r="B568" s="178"/>
      <c r="C568" s="178"/>
      <c r="D568" s="178"/>
      <c r="E568" s="178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178"/>
      <c r="B569" s="178"/>
      <c r="C569" s="178"/>
      <c r="D569" s="178"/>
      <c r="E569" s="178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178"/>
      <c r="B570" s="178"/>
      <c r="C570" s="178"/>
      <c r="D570" s="178"/>
      <c r="E570" s="178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178"/>
      <c r="B571" s="178"/>
      <c r="C571" s="178"/>
      <c r="D571" s="178"/>
      <c r="E571" s="178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178"/>
      <c r="B572" s="178"/>
      <c r="C572" s="178"/>
      <c r="D572" s="178"/>
      <c r="E572" s="178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178"/>
      <c r="B573" s="178"/>
      <c r="C573" s="178"/>
      <c r="D573" s="178"/>
      <c r="E573" s="178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178"/>
      <c r="B574" s="178"/>
      <c r="C574" s="178"/>
      <c r="D574" s="178"/>
      <c r="E574" s="178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178"/>
      <c r="B575" s="178"/>
      <c r="C575" s="178"/>
      <c r="D575" s="178"/>
      <c r="E575" s="178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178"/>
      <c r="B576" s="178"/>
      <c r="C576" s="178"/>
      <c r="D576" s="178"/>
      <c r="E576" s="178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178"/>
      <c r="B577" s="178"/>
      <c r="C577" s="178"/>
      <c r="D577" s="178"/>
      <c r="E577" s="178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178"/>
      <c r="B578" s="178"/>
      <c r="C578" s="178"/>
      <c r="D578" s="178"/>
      <c r="E578" s="178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178"/>
      <c r="B579" s="178"/>
      <c r="C579" s="178"/>
      <c r="D579" s="178"/>
      <c r="E579" s="178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178"/>
      <c r="B580" s="178"/>
      <c r="C580" s="178"/>
      <c r="D580" s="178"/>
      <c r="E580" s="178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178"/>
      <c r="B581" s="178"/>
      <c r="C581" s="178"/>
      <c r="D581" s="178"/>
      <c r="E581" s="178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178"/>
      <c r="B582" s="178"/>
      <c r="C582" s="178"/>
      <c r="D582" s="178"/>
      <c r="E582" s="178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178"/>
      <c r="B583" s="178"/>
      <c r="C583" s="178"/>
      <c r="D583" s="178"/>
      <c r="E583" s="178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178"/>
      <c r="B584" s="178"/>
      <c r="C584" s="178"/>
      <c r="D584" s="178"/>
      <c r="E584" s="178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178"/>
      <c r="B585" s="178"/>
      <c r="C585" s="178"/>
      <c r="D585" s="178"/>
      <c r="E585" s="178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178"/>
      <c r="B586" s="178"/>
      <c r="C586" s="178"/>
      <c r="D586" s="178"/>
      <c r="E586" s="178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178"/>
      <c r="B587" s="178"/>
      <c r="C587" s="178"/>
      <c r="D587" s="178"/>
      <c r="E587" s="178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178"/>
      <c r="B588" s="178"/>
      <c r="C588" s="178"/>
      <c r="D588" s="178"/>
      <c r="E588" s="178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178"/>
      <c r="B589" s="178"/>
      <c r="C589" s="178"/>
      <c r="D589" s="178"/>
      <c r="E589" s="178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178"/>
      <c r="B590" s="178"/>
      <c r="C590" s="178"/>
      <c r="D590" s="178"/>
      <c r="E590" s="178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178"/>
      <c r="B591" s="178"/>
      <c r="C591" s="178"/>
      <c r="D591" s="178"/>
      <c r="E591" s="178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178"/>
      <c r="B592" s="178"/>
      <c r="C592" s="178"/>
      <c r="D592" s="178"/>
      <c r="E592" s="178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178"/>
      <c r="B593" s="178"/>
      <c r="C593" s="178"/>
      <c r="D593" s="178"/>
      <c r="E593" s="178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178"/>
      <c r="B594" s="178"/>
      <c r="C594" s="178"/>
      <c r="D594" s="178"/>
      <c r="E594" s="178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178"/>
      <c r="B595" s="178"/>
      <c r="C595" s="178"/>
      <c r="D595" s="178"/>
      <c r="E595" s="178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178"/>
      <c r="B596" s="178"/>
      <c r="C596" s="178"/>
      <c r="D596" s="178"/>
      <c r="E596" s="178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178"/>
      <c r="B597" s="178"/>
      <c r="C597" s="178"/>
      <c r="D597" s="178"/>
      <c r="E597" s="178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178"/>
      <c r="B598" s="178"/>
      <c r="C598" s="178"/>
      <c r="D598" s="178"/>
      <c r="E598" s="178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178"/>
      <c r="B599" s="178"/>
      <c r="C599" s="178"/>
      <c r="D599" s="178"/>
      <c r="E599" s="178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178"/>
      <c r="B600" s="178"/>
      <c r="C600" s="178"/>
      <c r="D600" s="178"/>
      <c r="E600" s="178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178"/>
      <c r="B601" s="178"/>
      <c r="C601" s="178"/>
      <c r="D601" s="178"/>
      <c r="E601" s="178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178"/>
      <c r="B602" s="178"/>
      <c r="C602" s="178"/>
      <c r="D602" s="178"/>
      <c r="E602" s="178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178"/>
      <c r="B603" s="178"/>
      <c r="C603" s="178"/>
      <c r="D603" s="178"/>
      <c r="E603" s="178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178"/>
      <c r="B604" s="178"/>
      <c r="C604" s="178"/>
      <c r="D604" s="178"/>
      <c r="E604" s="178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178"/>
      <c r="B605" s="178"/>
      <c r="C605" s="178"/>
      <c r="D605" s="178"/>
      <c r="E605" s="178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178"/>
      <c r="B606" s="178"/>
      <c r="C606" s="178"/>
      <c r="D606" s="178"/>
      <c r="E606" s="178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178"/>
      <c r="B607" s="178"/>
      <c r="C607" s="178"/>
      <c r="D607" s="178"/>
      <c r="E607" s="178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178"/>
      <c r="B608" s="178"/>
      <c r="C608" s="178"/>
      <c r="D608" s="178"/>
      <c r="E608" s="178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178"/>
      <c r="B609" s="178"/>
      <c r="C609" s="178"/>
      <c r="D609" s="178"/>
      <c r="E609" s="178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178"/>
      <c r="B610" s="178"/>
      <c r="C610" s="178"/>
      <c r="D610" s="178"/>
      <c r="E610" s="178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178"/>
      <c r="B611" s="178"/>
      <c r="C611" s="178"/>
      <c r="D611" s="178"/>
      <c r="E611" s="178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178"/>
      <c r="B612" s="178"/>
      <c r="C612" s="178"/>
      <c r="D612" s="178"/>
      <c r="E612" s="178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178"/>
      <c r="B613" s="178"/>
      <c r="C613" s="178"/>
      <c r="D613" s="178"/>
      <c r="E613" s="178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178"/>
      <c r="B614" s="178"/>
      <c r="C614" s="178"/>
      <c r="D614" s="178"/>
      <c r="E614" s="178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178"/>
      <c r="B615" s="178"/>
      <c r="C615" s="178"/>
      <c r="D615" s="178"/>
      <c r="E615" s="178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178"/>
      <c r="B616" s="178"/>
      <c r="C616" s="178"/>
      <c r="D616" s="178"/>
      <c r="E616" s="178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178"/>
      <c r="B617" s="178"/>
      <c r="C617" s="178"/>
      <c r="D617" s="178"/>
      <c r="E617" s="178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178"/>
      <c r="B618" s="178"/>
      <c r="C618" s="178"/>
      <c r="D618" s="178"/>
      <c r="E618" s="178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178"/>
      <c r="B619" s="178"/>
      <c r="C619" s="178"/>
      <c r="D619" s="178"/>
      <c r="E619" s="178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178"/>
      <c r="B620" s="178"/>
      <c r="C620" s="178"/>
      <c r="D620" s="178"/>
      <c r="E620" s="178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178"/>
      <c r="B621" s="178"/>
      <c r="C621" s="178"/>
      <c r="D621" s="178"/>
      <c r="E621" s="178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178"/>
      <c r="B622" s="178"/>
      <c r="C622" s="178"/>
      <c r="D622" s="178"/>
      <c r="E622" s="178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178"/>
      <c r="B623" s="178"/>
      <c r="C623" s="178"/>
      <c r="D623" s="178"/>
      <c r="E623" s="178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178"/>
      <c r="B624" s="178"/>
      <c r="C624" s="178"/>
      <c r="D624" s="178"/>
      <c r="E624" s="178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178"/>
      <c r="B625" s="178"/>
      <c r="C625" s="178"/>
      <c r="D625" s="178"/>
      <c r="E625" s="178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178"/>
      <c r="B626" s="178"/>
      <c r="C626" s="178"/>
      <c r="D626" s="178"/>
      <c r="E626" s="178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178"/>
      <c r="B627" s="178"/>
      <c r="C627" s="178"/>
      <c r="D627" s="178"/>
      <c r="E627" s="178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178"/>
      <c r="B628" s="178"/>
      <c r="C628" s="178"/>
      <c r="D628" s="178"/>
      <c r="E628" s="178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178"/>
      <c r="B629" s="178"/>
      <c r="C629" s="178"/>
      <c r="D629" s="178"/>
      <c r="E629" s="178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178"/>
      <c r="B630" s="178"/>
      <c r="C630" s="178"/>
      <c r="D630" s="178"/>
      <c r="E630" s="178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178"/>
      <c r="B631" s="178"/>
      <c r="C631" s="178"/>
      <c r="D631" s="178"/>
      <c r="E631" s="178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178"/>
      <c r="B632" s="178"/>
      <c r="C632" s="178"/>
      <c r="D632" s="178"/>
      <c r="E632" s="178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178"/>
      <c r="B633" s="178"/>
      <c r="C633" s="178"/>
      <c r="D633" s="178"/>
      <c r="E633" s="178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178"/>
      <c r="B634" s="178"/>
      <c r="C634" s="178"/>
      <c r="D634" s="178"/>
      <c r="E634" s="178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178"/>
      <c r="B635" s="178"/>
      <c r="C635" s="178"/>
      <c r="D635" s="178"/>
      <c r="E635" s="178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178"/>
      <c r="B636" s="178"/>
      <c r="C636" s="178"/>
      <c r="D636" s="178"/>
      <c r="E636" s="178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178"/>
      <c r="B637" s="178"/>
      <c r="C637" s="178"/>
      <c r="D637" s="178"/>
      <c r="E637" s="178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178"/>
      <c r="B638" s="178"/>
      <c r="C638" s="178"/>
      <c r="D638" s="178"/>
      <c r="E638" s="178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178"/>
      <c r="B639" s="178"/>
      <c r="C639" s="178"/>
      <c r="D639" s="178"/>
      <c r="E639" s="178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178"/>
      <c r="B640" s="178"/>
      <c r="C640" s="178"/>
      <c r="D640" s="178"/>
      <c r="E640" s="178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178"/>
      <c r="B641" s="178"/>
      <c r="C641" s="178"/>
      <c r="D641" s="178"/>
      <c r="E641" s="178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178"/>
      <c r="B642" s="178"/>
      <c r="C642" s="178"/>
      <c r="D642" s="178"/>
      <c r="E642" s="178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178"/>
      <c r="B643" s="178"/>
      <c r="C643" s="178"/>
      <c r="D643" s="178"/>
      <c r="E643" s="178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178"/>
      <c r="B644" s="178"/>
      <c r="C644" s="178"/>
      <c r="D644" s="178"/>
      <c r="E644" s="178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178"/>
      <c r="B645" s="178"/>
      <c r="C645" s="178"/>
      <c r="D645" s="178"/>
      <c r="E645" s="178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178"/>
      <c r="B646" s="178"/>
      <c r="C646" s="178"/>
      <c r="D646" s="178"/>
      <c r="E646" s="178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178"/>
      <c r="B647" s="178"/>
      <c r="C647" s="178"/>
      <c r="D647" s="178"/>
      <c r="E647" s="178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178"/>
      <c r="B648" s="178"/>
      <c r="C648" s="178"/>
      <c r="D648" s="178"/>
      <c r="E648" s="178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178"/>
      <c r="B649" s="178"/>
      <c r="C649" s="178"/>
      <c r="D649" s="178"/>
      <c r="E649" s="178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178"/>
      <c r="B650" s="178"/>
      <c r="C650" s="178"/>
      <c r="D650" s="178"/>
      <c r="E650" s="178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178"/>
      <c r="B651" s="178"/>
      <c r="C651" s="178"/>
      <c r="D651" s="178"/>
      <c r="E651" s="178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178"/>
      <c r="B652" s="178"/>
      <c r="C652" s="178"/>
      <c r="D652" s="178"/>
      <c r="E652" s="178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178"/>
      <c r="B653" s="178"/>
      <c r="C653" s="178"/>
      <c r="D653" s="178"/>
      <c r="E653" s="178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178"/>
      <c r="B654" s="178"/>
      <c r="C654" s="178"/>
      <c r="D654" s="178"/>
      <c r="E654" s="178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178"/>
      <c r="B655" s="178"/>
      <c r="C655" s="178"/>
      <c r="D655" s="178"/>
      <c r="E655" s="178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178"/>
      <c r="B656" s="178"/>
      <c r="C656" s="178"/>
      <c r="D656" s="178"/>
      <c r="E656" s="178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178"/>
      <c r="B657" s="178"/>
      <c r="C657" s="178"/>
      <c r="D657" s="178"/>
      <c r="E657" s="178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178"/>
      <c r="B658" s="178"/>
      <c r="C658" s="178"/>
      <c r="D658" s="178"/>
      <c r="E658" s="178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178"/>
      <c r="B659" s="178"/>
      <c r="C659" s="178"/>
      <c r="D659" s="178"/>
      <c r="E659" s="178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178"/>
      <c r="B660" s="178"/>
      <c r="C660" s="178"/>
      <c r="D660" s="178"/>
      <c r="E660" s="178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178"/>
      <c r="B661" s="178"/>
      <c r="C661" s="178"/>
      <c r="D661" s="178"/>
      <c r="E661" s="178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178"/>
      <c r="B662" s="178"/>
      <c r="C662" s="178"/>
      <c r="D662" s="178"/>
      <c r="E662" s="178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178"/>
      <c r="B663" s="178"/>
      <c r="C663" s="178"/>
      <c r="D663" s="178"/>
      <c r="E663" s="178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178"/>
      <c r="B664" s="178"/>
      <c r="C664" s="178"/>
      <c r="D664" s="178"/>
      <c r="E664" s="178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178"/>
      <c r="B665" s="178"/>
      <c r="C665" s="178"/>
      <c r="D665" s="178"/>
      <c r="E665" s="178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178"/>
      <c r="B666" s="178"/>
      <c r="C666" s="178"/>
      <c r="D666" s="178"/>
      <c r="E666" s="178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178"/>
      <c r="B667" s="178"/>
      <c r="C667" s="178"/>
      <c r="D667" s="178"/>
      <c r="E667" s="178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178"/>
      <c r="B668" s="178"/>
      <c r="C668" s="178"/>
      <c r="D668" s="178"/>
      <c r="E668" s="178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178"/>
      <c r="B669" s="178"/>
      <c r="C669" s="178"/>
      <c r="D669" s="178"/>
      <c r="E669" s="178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178"/>
      <c r="B670" s="178"/>
      <c r="C670" s="178"/>
      <c r="D670" s="178"/>
      <c r="E670" s="178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178"/>
      <c r="B671" s="178"/>
      <c r="C671" s="178"/>
      <c r="D671" s="178"/>
      <c r="E671" s="178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178"/>
      <c r="B672" s="178"/>
      <c r="C672" s="178"/>
      <c r="D672" s="178"/>
      <c r="E672" s="178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178"/>
      <c r="B673" s="178"/>
      <c r="C673" s="178"/>
      <c r="D673" s="178"/>
      <c r="E673" s="178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178"/>
      <c r="B674" s="178"/>
      <c r="C674" s="178"/>
      <c r="D674" s="178"/>
      <c r="E674" s="178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178"/>
      <c r="B675" s="178"/>
      <c r="C675" s="178"/>
      <c r="D675" s="178"/>
      <c r="E675" s="178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178"/>
      <c r="B676" s="178"/>
      <c r="C676" s="178"/>
      <c r="D676" s="178"/>
      <c r="E676" s="178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178"/>
      <c r="B677" s="178"/>
      <c r="C677" s="178"/>
      <c r="D677" s="178"/>
      <c r="E677" s="178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178"/>
      <c r="B678" s="178"/>
      <c r="C678" s="178"/>
      <c r="D678" s="178"/>
      <c r="E678" s="178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178"/>
      <c r="B679" s="178"/>
      <c r="C679" s="178"/>
      <c r="D679" s="178"/>
      <c r="E679" s="178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178"/>
      <c r="B680" s="178"/>
      <c r="C680" s="178"/>
      <c r="D680" s="178"/>
      <c r="E680" s="178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178"/>
      <c r="B681" s="178"/>
      <c r="C681" s="178"/>
      <c r="D681" s="178"/>
      <c r="E681" s="178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178"/>
      <c r="B682" s="178"/>
      <c r="C682" s="178"/>
      <c r="D682" s="178"/>
      <c r="E682" s="178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178"/>
      <c r="B683" s="178"/>
      <c r="C683" s="178"/>
      <c r="D683" s="178"/>
      <c r="E683" s="178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178"/>
      <c r="B684" s="178"/>
      <c r="C684" s="178"/>
      <c r="D684" s="178"/>
      <c r="E684" s="178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178"/>
      <c r="B685" s="178"/>
      <c r="C685" s="178"/>
      <c r="D685" s="178"/>
      <c r="E685" s="178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178"/>
      <c r="B686" s="178"/>
      <c r="C686" s="178"/>
      <c r="D686" s="178"/>
      <c r="E686" s="178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178"/>
      <c r="B687" s="178"/>
      <c r="C687" s="178"/>
      <c r="D687" s="178"/>
      <c r="E687" s="178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178"/>
      <c r="B688" s="178"/>
      <c r="C688" s="178"/>
      <c r="D688" s="178"/>
      <c r="E688" s="178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178"/>
      <c r="B689" s="178"/>
      <c r="C689" s="178"/>
      <c r="D689" s="178"/>
      <c r="E689" s="178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178"/>
      <c r="B690" s="178"/>
      <c r="C690" s="178"/>
      <c r="D690" s="178"/>
      <c r="E690" s="178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178"/>
      <c r="B691" s="178"/>
      <c r="C691" s="178"/>
      <c r="D691" s="178"/>
      <c r="E691" s="178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178"/>
      <c r="B692" s="178"/>
      <c r="C692" s="178"/>
      <c r="D692" s="178"/>
      <c r="E692" s="178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178"/>
      <c r="B693" s="178"/>
      <c r="C693" s="178"/>
      <c r="D693" s="178"/>
      <c r="E693" s="178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178"/>
      <c r="B694" s="178"/>
      <c r="C694" s="178"/>
      <c r="D694" s="178"/>
      <c r="E694" s="178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178"/>
      <c r="B695" s="178"/>
      <c r="C695" s="178"/>
      <c r="D695" s="178"/>
      <c r="E695" s="178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178"/>
      <c r="B696" s="178"/>
      <c r="C696" s="178"/>
      <c r="D696" s="178"/>
      <c r="E696" s="178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178"/>
      <c r="B697" s="178"/>
      <c r="C697" s="178"/>
      <c r="D697" s="178"/>
      <c r="E697" s="178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178"/>
      <c r="B698" s="178"/>
      <c r="C698" s="178"/>
      <c r="D698" s="178"/>
      <c r="E698" s="178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178"/>
      <c r="B699" s="178"/>
      <c r="C699" s="178"/>
      <c r="D699" s="178"/>
      <c r="E699" s="178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178"/>
      <c r="B700" s="178"/>
      <c r="C700" s="178"/>
      <c r="D700" s="178"/>
      <c r="E700" s="178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178"/>
      <c r="B701" s="178"/>
      <c r="C701" s="178"/>
      <c r="D701" s="178"/>
      <c r="E701" s="178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178"/>
      <c r="B702" s="178"/>
      <c r="C702" s="178"/>
      <c r="D702" s="178"/>
      <c r="E702" s="178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178"/>
      <c r="B703" s="178"/>
      <c r="C703" s="178"/>
      <c r="D703" s="178"/>
      <c r="E703" s="178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178"/>
      <c r="B704" s="178"/>
      <c r="C704" s="178"/>
      <c r="D704" s="178"/>
      <c r="E704" s="178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178"/>
      <c r="B705" s="178"/>
      <c r="C705" s="178"/>
      <c r="D705" s="178"/>
      <c r="E705" s="178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178"/>
      <c r="B706" s="178"/>
      <c r="C706" s="178"/>
      <c r="D706" s="178"/>
      <c r="E706" s="178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178"/>
      <c r="B707" s="178"/>
      <c r="C707" s="178"/>
      <c r="D707" s="178"/>
      <c r="E707" s="178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178"/>
      <c r="B708" s="178"/>
      <c r="C708" s="178"/>
      <c r="D708" s="178"/>
      <c r="E708" s="178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178"/>
      <c r="B709" s="178"/>
      <c r="C709" s="178"/>
      <c r="D709" s="178"/>
      <c r="E709" s="178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178"/>
      <c r="B710" s="178"/>
      <c r="C710" s="178"/>
      <c r="D710" s="178"/>
      <c r="E710" s="178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178"/>
      <c r="B711" s="178"/>
      <c r="C711" s="178"/>
      <c r="D711" s="178"/>
      <c r="E711" s="178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178"/>
      <c r="B712" s="178"/>
      <c r="C712" s="178"/>
      <c r="D712" s="178"/>
      <c r="E712" s="178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178"/>
      <c r="B713" s="178"/>
      <c r="C713" s="178"/>
      <c r="D713" s="178"/>
      <c r="E713" s="178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178"/>
      <c r="B714" s="178"/>
      <c r="C714" s="178"/>
      <c r="D714" s="178"/>
      <c r="E714" s="178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178"/>
      <c r="B715" s="178"/>
      <c r="C715" s="178"/>
      <c r="D715" s="178"/>
      <c r="E715" s="178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178"/>
      <c r="B716" s="178"/>
      <c r="C716" s="178"/>
      <c r="D716" s="178"/>
      <c r="E716" s="178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178"/>
      <c r="B717" s="178"/>
      <c r="C717" s="178"/>
      <c r="D717" s="178"/>
      <c r="E717" s="178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178"/>
      <c r="B718" s="178"/>
      <c r="C718" s="178"/>
      <c r="D718" s="178"/>
      <c r="E718" s="178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178"/>
      <c r="B719" s="178"/>
      <c r="C719" s="178"/>
      <c r="D719" s="178"/>
      <c r="E719" s="178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178"/>
      <c r="B720" s="178"/>
      <c r="C720" s="178"/>
      <c r="D720" s="178"/>
      <c r="E720" s="178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178"/>
      <c r="B721" s="178"/>
      <c r="C721" s="178"/>
      <c r="D721" s="178"/>
      <c r="E721" s="178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178"/>
      <c r="B722" s="178"/>
      <c r="C722" s="178"/>
      <c r="D722" s="178"/>
      <c r="E722" s="178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178"/>
      <c r="B723" s="178"/>
      <c r="C723" s="178"/>
      <c r="D723" s="178"/>
      <c r="E723" s="178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178"/>
      <c r="B724" s="178"/>
      <c r="C724" s="178"/>
      <c r="D724" s="178"/>
      <c r="E724" s="178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178"/>
      <c r="B725" s="178"/>
      <c r="C725" s="178"/>
      <c r="D725" s="178"/>
      <c r="E725" s="178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178"/>
      <c r="B726" s="178"/>
      <c r="C726" s="178"/>
      <c r="D726" s="178"/>
      <c r="E726" s="178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178"/>
      <c r="B727" s="178"/>
      <c r="C727" s="178"/>
      <c r="D727" s="178"/>
      <c r="E727" s="178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178"/>
      <c r="B728" s="178"/>
      <c r="C728" s="178"/>
      <c r="D728" s="178"/>
      <c r="E728" s="178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178"/>
      <c r="B729" s="178"/>
      <c r="C729" s="178"/>
      <c r="D729" s="178"/>
      <c r="E729" s="178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178"/>
      <c r="B730" s="178"/>
      <c r="C730" s="178"/>
      <c r="D730" s="178"/>
      <c r="E730" s="178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178"/>
      <c r="B731" s="178"/>
      <c r="C731" s="178"/>
      <c r="D731" s="178"/>
      <c r="E731" s="178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178"/>
      <c r="B732" s="178"/>
      <c r="C732" s="178"/>
      <c r="D732" s="178"/>
      <c r="E732" s="178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178"/>
      <c r="B733" s="178"/>
      <c r="C733" s="178"/>
      <c r="D733" s="178"/>
      <c r="E733" s="178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178"/>
      <c r="B734" s="178"/>
      <c r="C734" s="178"/>
      <c r="D734" s="178"/>
      <c r="E734" s="178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178"/>
      <c r="B735" s="178"/>
      <c r="C735" s="178"/>
      <c r="D735" s="178"/>
      <c r="E735" s="178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178"/>
      <c r="B736" s="178"/>
      <c r="C736" s="178"/>
      <c r="D736" s="178"/>
      <c r="E736" s="178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178"/>
      <c r="B737" s="178"/>
      <c r="C737" s="178"/>
      <c r="D737" s="178"/>
      <c r="E737" s="178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178"/>
      <c r="B738" s="178"/>
      <c r="C738" s="178"/>
      <c r="D738" s="178"/>
      <c r="E738" s="178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178"/>
      <c r="B739" s="178"/>
      <c r="C739" s="178"/>
      <c r="D739" s="178"/>
      <c r="E739" s="178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178"/>
      <c r="B740" s="178"/>
      <c r="C740" s="178"/>
      <c r="D740" s="178"/>
      <c r="E740" s="178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178"/>
      <c r="B741" s="178"/>
      <c r="C741" s="178"/>
      <c r="D741" s="178"/>
      <c r="E741" s="178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178"/>
      <c r="B742" s="178"/>
      <c r="C742" s="178"/>
      <c r="D742" s="178"/>
      <c r="E742" s="178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178"/>
      <c r="B743" s="178"/>
      <c r="C743" s="178"/>
      <c r="D743" s="178"/>
      <c r="E743" s="178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178"/>
      <c r="B744" s="178"/>
      <c r="C744" s="178"/>
      <c r="D744" s="178"/>
      <c r="E744" s="178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178"/>
      <c r="B745" s="178"/>
      <c r="C745" s="178"/>
      <c r="D745" s="178"/>
      <c r="E745" s="178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178"/>
      <c r="B746" s="178"/>
      <c r="C746" s="178"/>
      <c r="D746" s="178"/>
      <c r="E746" s="178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178"/>
      <c r="B747" s="178"/>
      <c r="C747" s="178"/>
      <c r="D747" s="178"/>
      <c r="E747" s="178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178"/>
      <c r="B748" s="178"/>
      <c r="C748" s="178"/>
      <c r="D748" s="178"/>
      <c r="E748" s="178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178"/>
      <c r="B749" s="178"/>
      <c r="C749" s="178"/>
      <c r="D749" s="178"/>
      <c r="E749" s="178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178"/>
      <c r="B750" s="178"/>
      <c r="C750" s="178"/>
      <c r="D750" s="178"/>
      <c r="E750" s="178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178"/>
      <c r="B751" s="178"/>
      <c r="C751" s="178"/>
      <c r="D751" s="178"/>
      <c r="E751" s="178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178"/>
      <c r="B752" s="178"/>
      <c r="C752" s="178"/>
      <c r="D752" s="178"/>
      <c r="E752" s="178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178"/>
      <c r="B753" s="178"/>
      <c r="C753" s="178"/>
      <c r="D753" s="178"/>
      <c r="E753" s="178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178"/>
      <c r="B754" s="178"/>
      <c r="C754" s="178"/>
      <c r="D754" s="178"/>
      <c r="E754" s="178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178"/>
      <c r="B755" s="178"/>
      <c r="C755" s="178"/>
      <c r="D755" s="178"/>
      <c r="E755" s="178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178"/>
      <c r="B756" s="178"/>
      <c r="C756" s="178"/>
      <c r="D756" s="178"/>
      <c r="E756" s="178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178"/>
      <c r="B757" s="178"/>
      <c r="C757" s="178"/>
      <c r="D757" s="178"/>
      <c r="E757" s="178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178"/>
      <c r="B758" s="178"/>
      <c r="C758" s="178"/>
      <c r="D758" s="178"/>
      <c r="E758" s="178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178"/>
      <c r="B759" s="178"/>
      <c r="C759" s="178"/>
      <c r="D759" s="178"/>
      <c r="E759" s="178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178"/>
      <c r="B760" s="178"/>
      <c r="C760" s="178"/>
      <c r="D760" s="178"/>
      <c r="E760" s="178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178"/>
      <c r="B761" s="178"/>
      <c r="C761" s="178"/>
      <c r="D761" s="178"/>
      <c r="E761" s="178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178"/>
      <c r="B762" s="178"/>
      <c r="C762" s="178"/>
      <c r="D762" s="178"/>
      <c r="E762" s="178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178"/>
      <c r="B763" s="178"/>
      <c r="C763" s="178"/>
      <c r="D763" s="178"/>
      <c r="E763" s="178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178"/>
      <c r="B764" s="178"/>
      <c r="C764" s="178"/>
      <c r="D764" s="178"/>
      <c r="E764" s="178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178"/>
      <c r="B765" s="178"/>
      <c r="C765" s="178"/>
      <c r="D765" s="178"/>
      <c r="E765" s="178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178"/>
      <c r="B766" s="178"/>
      <c r="C766" s="178"/>
      <c r="D766" s="178"/>
      <c r="E766" s="178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178"/>
      <c r="B767" s="178"/>
      <c r="C767" s="178"/>
      <c r="D767" s="178"/>
      <c r="E767" s="178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178"/>
      <c r="B768" s="178"/>
      <c r="C768" s="178"/>
      <c r="D768" s="178"/>
      <c r="E768" s="178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178"/>
      <c r="B769" s="178"/>
      <c r="C769" s="178"/>
      <c r="D769" s="178"/>
      <c r="E769" s="178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178"/>
      <c r="B770" s="178"/>
      <c r="C770" s="178"/>
      <c r="D770" s="178"/>
      <c r="E770" s="178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178"/>
      <c r="B771" s="178"/>
      <c r="C771" s="178"/>
      <c r="D771" s="178"/>
      <c r="E771" s="178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178"/>
      <c r="B772" s="178"/>
      <c r="C772" s="178"/>
      <c r="D772" s="178"/>
      <c r="E772" s="178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178"/>
      <c r="B773" s="178"/>
      <c r="C773" s="178"/>
      <c r="D773" s="178"/>
      <c r="E773" s="178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178"/>
      <c r="B774" s="178"/>
      <c r="C774" s="178"/>
      <c r="D774" s="178"/>
      <c r="E774" s="178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178"/>
      <c r="B775" s="178"/>
      <c r="C775" s="178"/>
      <c r="D775" s="178"/>
      <c r="E775" s="178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178"/>
      <c r="B776" s="178"/>
      <c r="C776" s="178"/>
      <c r="D776" s="178"/>
      <c r="E776" s="178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178"/>
      <c r="B777" s="178"/>
      <c r="C777" s="178"/>
      <c r="D777" s="178"/>
      <c r="E777" s="178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178"/>
      <c r="B778" s="178"/>
      <c r="C778" s="178"/>
      <c r="D778" s="178"/>
      <c r="E778" s="178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178"/>
      <c r="B779" s="178"/>
      <c r="C779" s="178"/>
      <c r="D779" s="178"/>
      <c r="E779" s="178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178"/>
      <c r="B780" s="178"/>
      <c r="C780" s="178"/>
      <c r="D780" s="178"/>
      <c r="E780" s="178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178"/>
      <c r="B781" s="178"/>
      <c r="C781" s="178"/>
      <c r="D781" s="178"/>
      <c r="E781" s="178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178"/>
      <c r="B782" s="178"/>
      <c r="C782" s="178"/>
      <c r="D782" s="178"/>
      <c r="E782" s="178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178"/>
      <c r="B783" s="178"/>
      <c r="C783" s="178"/>
      <c r="D783" s="178"/>
      <c r="E783" s="178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178"/>
      <c r="B784" s="178"/>
      <c r="C784" s="178"/>
      <c r="D784" s="178"/>
      <c r="E784" s="178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178"/>
      <c r="B785" s="178"/>
      <c r="C785" s="178"/>
      <c r="D785" s="178"/>
      <c r="E785" s="178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178"/>
      <c r="B786" s="178"/>
      <c r="C786" s="178"/>
      <c r="D786" s="178"/>
      <c r="E786" s="178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178"/>
      <c r="B787" s="178"/>
      <c r="C787" s="178"/>
      <c r="D787" s="178"/>
      <c r="E787" s="178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178"/>
      <c r="B788" s="178"/>
      <c r="C788" s="178"/>
      <c r="D788" s="178"/>
      <c r="E788" s="178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178"/>
      <c r="B789" s="178"/>
      <c r="C789" s="178"/>
      <c r="D789" s="178"/>
      <c r="E789" s="178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178"/>
      <c r="B790" s="178"/>
      <c r="C790" s="178"/>
      <c r="D790" s="178"/>
      <c r="E790" s="178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178"/>
      <c r="B791" s="178"/>
      <c r="C791" s="178"/>
      <c r="D791" s="178"/>
      <c r="E791" s="178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178"/>
      <c r="B792" s="178"/>
      <c r="C792" s="178"/>
      <c r="D792" s="178"/>
      <c r="E792" s="178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178"/>
      <c r="B793" s="178"/>
      <c r="C793" s="178"/>
      <c r="D793" s="178"/>
      <c r="E793" s="178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178"/>
      <c r="B794" s="178"/>
      <c r="C794" s="178"/>
      <c r="D794" s="178"/>
      <c r="E794" s="178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178"/>
      <c r="B795" s="178"/>
      <c r="C795" s="178"/>
      <c r="D795" s="178"/>
      <c r="E795" s="178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178"/>
      <c r="B796" s="178"/>
      <c r="C796" s="178"/>
      <c r="D796" s="178"/>
      <c r="E796" s="178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178"/>
      <c r="B797" s="178"/>
      <c r="C797" s="178"/>
      <c r="D797" s="178"/>
      <c r="E797" s="178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178"/>
      <c r="B798" s="178"/>
      <c r="C798" s="178"/>
      <c r="D798" s="178"/>
      <c r="E798" s="178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178"/>
      <c r="B799" s="178"/>
      <c r="C799" s="178"/>
      <c r="D799" s="178"/>
      <c r="E799" s="178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178"/>
      <c r="B800" s="178"/>
      <c r="C800" s="178"/>
      <c r="D800" s="178"/>
      <c r="E800" s="178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178"/>
      <c r="B801" s="178"/>
      <c r="C801" s="178"/>
      <c r="D801" s="178"/>
      <c r="E801" s="178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178"/>
      <c r="B802" s="178"/>
      <c r="C802" s="178"/>
      <c r="D802" s="178"/>
      <c r="E802" s="178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178"/>
      <c r="B803" s="178"/>
      <c r="C803" s="178"/>
      <c r="D803" s="178"/>
      <c r="E803" s="178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178"/>
      <c r="B804" s="178"/>
      <c r="C804" s="178"/>
      <c r="D804" s="178"/>
      <c r="E804" s="178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178"/>
      <c r="B805" s="178"/>
      <c r="C805" s="178"/>
      <c r="D805" s="178"/>
      <c r="E805" s="178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178"/>
      <c r="B806" s="178"/>
      <c r="C806" s="178"/>
      <c r="D806" s="178"/>
      <c r="E806" s="178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178"/>
      <c r="B807" s="178"/>
      <c r="C807" s="178"/>
      <c r="D807" s="178"/>
      <c r="E807" s="178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178"/>
      <c r="B808" s="178"/>
      <c r="C808" s="178"/>
      <c r="D808" s="178"/>
      <c r="E808" s="178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178"/>
      <c r="B809" s="178"/>
      <c r="C809" s="178"/>
      <c r="D809" s="178"/>
      <c r="E809" s="178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178"/>
      <c r="B810" s="178"/>
      <c r="C810" s="178"/>
      <c r="D810" s="178"/>
      <c r="E810" s="178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178"/>
      <c r="B811" s="178"/>
      <c r="C811" s="178"/>
      <c r="D811" s="178"/>
      <c r="E811" s="178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178"/>
      <c r="B812" s="178"/>
      <c r="C812" s="178"/>
      <c r="D812" s="178"/>
      <c r="E812" s="178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178"/>
      <c r="B813" s="178"/>
      <c r="C813" s="178"/>
      <c r="D813" s="178"/>
      <c r="E813" s="178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178"/>
      <c r="B814" s="178"/>
      <c r="C814" s="178"/>
      <c r="D814" s="178"/>
      <c r="E814" s="178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178"/>
      <c r="B815" s="178"/>
      <c r="C815" s="178"/>
      <c r="D815" s="178"/>
      <c r="E815" s="178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178"/>
      <c r="B816" s="178"/>
      <c r="C816" s="178"/>
      <c r="D816" s="178"/>
      <c r="E816" s="178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178"/>
      <c r="B817" s="178"/>
      <c r="C817" s="178"/>
      <c r="D817" s="178"/>
      <c r="E817" s="178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178"/>
      <c r="B818" s="178"/>
      <c r="C818" s="178"/>
      <c r="D818" s="178"/>
      <c r="E818" s="178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178"/>
      <c r="B819" s="178"/>
      <c r="C819" s="178"/>
      <c r="D819" s="178"/>
      <c r="E819" s="178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178"/>
      <c r="B820" s="178"/>
      <c r="C820" s="178"/>
      <c r="D820" s="178"/>
      <c r="E820" s="178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178"/>
      <c r="B821" s="178"/>
      <c r="C821" s="178"/>
      <c r="D821" s="178"/>
      <c r="E821" s="178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178"/>
      <c r="B822" s="178"/>
      <c r="C822" s="178"/>
      <c r="D822" s="178"/>
      <c r="E822" s="178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178"/>
      <c r="B823" s="178"/>
      <c r="C823" s="178"/>
      <c r="D823" s="178"/>
      <c r="E823" s="178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178"/>
      <c r="B824" s="178"/>
      <c r="C824" s="178"/>
      <c r="D824" s="178"/>
      <c r="E824" s="178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178"/>
      <c r="B825" s="178"/>
      <c r="C825" s="178"/>
      <c r="D825" s="178"/>
      <c r="E825" s="178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178"/>
      <c r="B826" s="178"/>
      <c r="C826" s="178"/>
      <c r="D826" s="178"/>
      <c r="E826" s="178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178"/>
      <c r="B827" s="178"/>
      <c r="C827" s="178"/>
      <c r="D827" s="178"/>
      <c r="E827" s="178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178"/>
      <c r="B828" s="178"/>
      <c r="C828" s="178"/>
      <c r="D828" s="178"/>
      <c r="E828" s="178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178"/>
      <c r="B829" s="178"/>
      <c r="C829" s="178"/>
      <c r="D829" s="178"/>
      <c r="E829" s="178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178"/>
      <c r="B830" s="178"/>
      <c r="C830" s="178"/>
      <c r="D830" s="178"/>
      <c r="E830" s="178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178"/>
      <c r="B831" s="178"/>
      <c r="C831" s="178"/>
      <c r="D831" s="178"/>
      <c r="E831" s="178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178"/>
      <c r="B832" s="178"/>
      <c r="C832" s="178"/>
      <c r="D832" s="178"/>
      <c r="E832" s="178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178"/>
      <c r="B833" s="178"/>
      <c r="C833" s="178"/>
      <c r="D833" s="178"/>
      <c r="E833" s="178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178"/>
      <c r="B834" s="178"/>
      <c r="C834" s="178"/>
      <c r="D834" s="178"/>
      <c r="E834" s="178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178"/>
      <c r="B835" s="178"/>
      <c r="C835" s="178"/>
      <c r="D835" s="178"/>
      <c r="E835" s="178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178"/>
      <c r="B836" s="178"/>
      <c r="C836" s="178"/>
      <c r="D836" s="178"/>
      <c r="E836" s="178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178"/>
      <c r="B837" s="178"/>
      <c r="C837" s="178"/>
      <c r="D837" s="178"/>
      <c r="E837" s="178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178"/>
      <c r="B838" s="178"/>
      <c r="C838" s="178"/>
      <c r="D838" s="178"/>
      <c r="E838" s="178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178"/>
      <c r="B839" s="178"/>
      <c r="C839" s="178"/>
      <c r="D839" s="178"/>
      <c r="E839" s="178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178"/>
      <c r="B840" s="178"/>
      <c r="C840" s="178"/>
      <c r="D840" s="178"/>
      <c r="E840" s="178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178"/>
      <c r="B841" s="178"/>
      <c r="C841" s="178"/>
      <c r="D841" s="178"/>
      <c r="E841" s="178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178"/>
      <c r="B842" s="178"/>
      <c r="C842" s="178"/>
      <c r="D842" s="178"/>
      <c r="E842" s="178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178"/>
      <c r="B843" s="178"/>
      <c r="C843" s="178"/>
      <c r="D843" s="178"/>
      <c r="E843" s="178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178"/>
      <c r="B844" s="178"/>
      <c r="C844" s="178"/>
      <c r="D844" s="178"/>
      <c r="E844" s="178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178"/>
      <c r="B845" s="178"/>
      <c r="C845" s="178"/>
      <c r="D845" s="178"/>
      <c r="E845" s="178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178"/>
      <c r="B846" s="178"/>
      <c r="C846" s="178"/>
      <c r="D846" s="178"/>
      <c r="E846" s="178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178"/>
      <c r="B847" s="178"/>
      <c r="C847" s="178"/>
      <c r="D847" s="178"/>
      <c r="E847" s="178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178"/>
      <c r="B848" s="178"/>
      <c r="C848" s="178"/>
      <c r="D848" s="178"/>
      <c r="E848" s="178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178"/>
      <c r="B849" s="178"/>
      <c r="C849" s="178"/>
      <c r="D849" s="178"/>
      <c r="E849" s="178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178"/>
      <c r="B850" s="178"/>
      <c r="C850" s="178"/>
      <c r="D850" s="178"/>
      <c r="E850" s="178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178"/>
      <c r="B851" s="178"/>
      <c r="C851" s="178"/>
      <c r="D851" s="178"/>
      <c r="E851" s="178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178"/>
      <c r="B852" s="178"/>
      <c r="C852" s="178"/>
      <c r="D852" s="178"/>
      <c r="E852" s="178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178"/>
      <c r="B853" s="178"/>
      <c r="C853" s="178"/>
      <c r="D853" s="178"/>
      <c r="E853" s="178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178"/>
      <c r="B854" s="178"/>
      <c r="C854" s="178"/>
      <c r="D854" s="178"/>
      <c r="E854" s="178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178"/>
      <c r="B855" s="178"/>
      <c r="C855" s="178"/>
      <c r="D855" s="178"/>
      <c r="E855" s="178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178"/>
      <c r="B856" s="178"/>
      <c r="C856" s="178"/>
      <c r="D856" s="178"/>
      <c r="E856" s="178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178"/>
      <c r="B857" s="178"/>
      <c r="C857" s="178"/>
      <c r="D857" s="178"/>
      <c r="E857" s="178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178"/>
      <c r="B858" s="178"/>
      <c r="C858" s="178"/>
      <c r="D858" s="178"/>
      <c r="E858" s="178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178"/>
      <c r="B859" s="178"/>
      <c r="C859" s="178"/>
      <c r="D859" s="178"/>
      <c r="E859" s="178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178"/>
      <c r="B860" s="178"/>
      <c r="C860" s="178"/>
      <c r="D860" s="178"/>
      <c r="E860" s="178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178"/>
      <c r="B861" s="178"/>
      <c r="C861" s="178"/>
      <c r="D861" s="178"/>
      <c r="E861" s="178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178"/>
      <c r="B862" s="178"/>
      <c r="C862" s="178"/>
      <c r="D862" s="178"/>
      <c r="E862" s="178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178"/>
      <c r="B863" s="178"/>
      <c r="C863" s="178"/>
      <c r="D863" s="178"/>
      <c r="E863" s="178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178"/>
      <c r="B864" s="178"/>
      <c r="C864" s="178"/>
      <c r="D864" s="178"/>
      <c r="E864" s="178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178"/>
      <c r="B865" s="178"/>
      <c r="C865" s="178"/>
      <c r="D865" s="178"/>
      <c r="E865" s="178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178"/>
      <c r="B866" s="178"/>
      <c r="C866" s="178"/>
      <c r="D866" s="178"/>
      <c r="E866" s="178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178"/>
      <c r="B867" s="178"/>
      <c r="C867" s="178"/>
      <c r="D867" s="178"/>
      <c r="E867" s="178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178"/>
      <c r="B868" s="178"/>
      <c r="C868" s="178"/>
      <c r="D868" s="178"/>
      <c r="E868" s="178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178"/>
      <c r="B869" s="178"/>
      <c r="C869" s="178"/>
      <c r="D869" s="178"/>
      <c r="E869" s="178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178"/>
      <c r="B870" s="178"/>
      <c r="C870" s="178"/>
      <c r="D870" s="178"/>
      <c r="E870" s="178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178"/>
      <c r="B871" s="178"/>
      <c r="C871" s="178"/>
      <c r="D871" s="178"/>
      <c r="E871" s="178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178"/>
      <c r="B872" s="178"/>
      <c r="C872" s="178"/>
      <c r="D872" s="178"/>
      <c r="E872" s="178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178"/>
      <c r="B873" s="178"/>
      <c r="C873" s="178"/>
      <c r="D873" s="178"/>
      <c r="E873" s="178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178"/>
      <c r="B874" s="178"/>
      <c r="C874" s="178"/>
      <c r="D874" s="178"/>
      <c r="E874" s="178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178"/>
      <c r="B875" s="178"/>
      <c r="C875" s="178"/>
      <c r="D875" s="178"/>
      <c r="E875" s="178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178"/>
      <c r="B876" s="178"/>
      <c r="C876" s="178"/>
      <c r="D876" s="178"/>
      <c r="E876" s="178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178"/>
      <c r="B877" s="178"/>
      <c r="C877" s="178"/>
      <c r="D877" s="178"/>
      <c r="E877" s="178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178"/>
      <c r="B878" s="178"/>
      <c r="C878" s="178"/>
      <c r="D878" s="178"/>
      <c r="E878" s="178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178"/>
      <c r="B879" s="178"/>
      <c r="C879" s="178"/>
      <c r="D879" s="178"/>
      <c r="E879" s="178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178"/>
      <c r="B880" s="178"/>
      <c r="C880" s="178"/>
      <c r="D880" s="178"/>
      <c r="E880" s="178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178"/>
      <c r="B881" s="178"/>
      <c r="C881" s="178"/>
      <c r="D881" s="178"/>
      <c r="E881" s="178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178"/>
      <c r="B882" s="178"/>
      <c r="C882" s="178"/>
      <c r="D882" s="178"/>
      <c r="E882" s="178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178"/>
      <c r="B883" s="178"/>
      <c r="C883" s="178"/>
      <c r="D883" s="178"/>
      <c r="E883" s="178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178"/>
      <c r="B884" s="178"/>
      <c r="C884" s="178"/>
      <c r="D884" s="178"/>
      <c r="E884" s="178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178"/>
      <c r="B885" s="178"/>
      <c r="C885" s="178"/>
      <c r="D885" s="178"/>
      <c r="E885" s="178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178"/>
      <c r="B886" s="178"/>
      <c r="C886" s="178"/>
      <c r="D886" s="178"/>
      <c r="E886" s="178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178"/>
      <c r="B887" s="178"/>
      <c r="C887" s="178"/>
      <c r="D887" s="178"/>
      <c r="E887" s="178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178"/>
      <c r="B888" s="178"/>
      <c r="C888" s="178"/>
      <c r="D888" s="178"/>
      <c r="E888" s="178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178"/>
      <c r="B889" s="178"/>
      <c r="C889" s="178"/>
      <c r="D889" s="178"/>
      <c r="E889" s="178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178"/>
      <c r="B890" s="178"/>
      <c r="C890" s="178"/>
      <c r="D890" s="178"/>
      <c r="E890" s="178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178"/>
      <c r="B891" s="178"/>
      <c r="C891" s="178"/>
      <c r="D891" s="178"/>
      <c r="E891" s="178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178"/>
      <c r="B892" s="178"/>
      <c r="C892" s="178"/>
      <c r="D892" s="178"/>
      <c r="E892" s="178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178"/>
      <c r="B893" s="178"/>
      <c r="C893" s="178"/>
      <c r="D893" s="178"/>
      <c r="E893" s="178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178"/>
      <c r="B894" s="178"/>
      <c r="C894" s="178"/>
      <c r="D894" s="178"/>
      <c r="E894" s="178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178"/>
      <c r="B895" s="178"/>
      <c r="C895" s="178"/>
      <c r="D895" s="178"/>
      <c r="E895" s="178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178"/>
      <c r="B896" s="178"/>
      <c r="C896" s="178"/>
      <c r="D896" s="178"/>
      <c r="E896" s="178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178"/>
      <c r="B897" s="178"/>
      <c r="C897" s="178"/>
      <c r="D897" s="178"/>
      <c r="E897" s="178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178"/>
      <c r="B898" s="178"/>
      <c r="C898" s="178"/>
      <c r="D898" s="178"/>
      <c r="E898" s="178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178"/>
      <c r="B899" s="178"/>
      <c r="C899" s="178"/>
      <c r="D899" s="178"/>
      <c r="E899" s="178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178"/>
      <c r="B900" s="178"/>
      <c r="C900" s="178"/>
      <c r="D900" s="178"/>
      <c r="E900" s="178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178"/>
      <c r="B901" s="178"/>
      <c r="C901" s="178"/>
      <c r="D901" s="178"/>
      <c r="E901" s="178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178"/>
      <c r="B902" s="178"/>
      <c r="C902" s="178"/>
      <c r="D902" s="178"/>
      <c r="E902" s="178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178"/>
      <c r="B903" s="178"/>
      <c r="C903" s="178"/>
      <c r="D903" s="178"/>
      <c r="E903" s="178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178"/>
      <c r="B904" s="178"/>
      <c r="C904" s="178"/>
      <c r="D904" s="178"/>
      <c r="E904" s="178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178"/>
      <c r="B905" s="178"/>
      <c r="C905" s="178"/>
      <c r="D905" s="178"/>
      <c r="E905" s="178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178"/>
      <c r="B906" s="178"/>
      <c r="C906" s="178"/>
      <c r="D906" s="178"/>
      <c r="E906" s="178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178"/>
      <c r="B907" s="178"/>
      <c r="C907" s="178"/>
      <c r="D907" s="178"/>
      <c r="E907" s="178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178"/>
      <c r="B908" s="178"/>
      <c r="C908" s="178"/>
      <c r="D908" s="178"/>
      <c r="E908" s="178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178"/>
      <c r="B909" s="178"/>
      <c r="C909" s="178"/>
      <c r="D909" s="178"/>
      <c r="E909" s="178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178"/>
      <c r="B910" s="178"/>
      <c r="C910" s="178"/>
      <c r="D910" s="178"/>
      <c r="E910" s="178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178"/>
      <c r="B911" s="178"/>
      <c r="C911" s="178"/>
      <c r="D911" s="178"/>
      <c r="E911" s="178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178"/>
      <c r="B912" s="178"/>
      <c r="C912" s="178"/>
      <c r="D912" s="178"/>
      <c r="E912" s="178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178"/>
      <c r="B913" s="178"/>
      <c r="C913" s="178"/>
      <c r="D913" s="178"/>
      <c r="E913" s="178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178"/>
      <c r="B914" s="178"/>
      <c r="C914" s="178"/>
      <c r="D914" s="178"/>
      <c r="E914" s="178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178"/>
      <c r="B915" s="178"/>
      <c r="C915" s="178"/>
      <c r="D915" s="178"/>
      <c r="E915" s="178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178"/>
      <c r="B916" s="178"/>
      <c r="C916" s="178"/>
      <c r="D916" s="178"/>
      <c r="E916" s="178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178"/>
      <c r="B917" s="178"/>
      <c r="C917" s="178"/>
      <c r="D917" s="178"/>
      <c r="E917" s="178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178"/>
      <c r="B918" s="178"/>
      <c r="C918" s="178"/>
      <c r="D918" s="178"/>
      <c r="E918" s="178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178"/>
      <c r="B919" s="178"/>
      <c r="C919" s="178"/>
      <c r="D919" s="178"/>
      <c r="E919" s="178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178"/>
      <c r="B920" s="178"/>
      <c r="C920" s="178"/>
      <c r="D920" s="178"/>
      <c r="E920" s="178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178"/>
      <c r="B921" s="178"/>
      <c r="C921" s="178"/>
      <c r="D921" s="178"/>
      <c r="E921" s="178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178"/>
      <c r="B922" s="178"/>
      <c r="C922" s="178"/>
      <c r="D922" s="178"/>
      <c r="E922" s="178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178"/>
      <c r="B923" s="178"/>
      <c r="C923" s="178"/>
      <c r="D923" s="178"/>
      <c r="E923" s="178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178"/>
      <c r="B924" s="178"/>
      <c r="C924" s="178"/>
      <c r="D924" s="178"/>
      <c r="E924" s="178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178"/>
      <c r="B925" s="178"/>
      <c r="C925" s="178"/>
      <c r="D925" s="178"/>
      <c r="E925" s="178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178"/>
      <c r="B926" s="178"/>
      <c r="C926" s="178"/>
      <c r="D926" s="178"/>
      <c r="E926" s="178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178"/>
      <c r="B927" s="178"/>
      <c r="C927" s="178"/>
      <c r="D927" s="178"/>
      <c r="E927" s="178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178"/>
      <c r="B928" s="178"/>
      <c r="C928" s="178"/>
      <c r="D928" s="178"/>
      <c r="E928" s="178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178"/>
      <c r="B929" s="178"/>
      <c r="C929" s="178"/>
      <c r="D929" s="178"/>
      <c r="E929" s="178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178"/>
      <c r="B930" s="178"/>
      <c r="C930" s="178"/>
      <c r="D930" s="178"/>
      <c r="E930" s="178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178"/>
      <c r="B931" s="178"/>
      <c r="C931" s="178"/>
      <c r="D931" s="178"/>
      <c r="E931" s="178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178"/>
      <c r="B932" s="178"/>
      <c r="C932" s="178"/>
      <c r="D932" s="178"/>
      <c r="E932" s="178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178"/>
      <c r="B933" s="178"/>
      <c r="C933" s="178"/>
      <c r="D933" s="178"/>
      <c r="E933" s="178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178"/>
      <c r="B934" s="178"/>
      <c r="C934" s="178"/>
      <c r="D934" s="178"/>
      <c r="E934" s="178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178"/>
      <c r="B935" s="178"/>
      <c r="C935" s="178"/>
      <c r="D935" s="178"/>
      <c r="E935" s="178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178"/>
      <c r="B936" s="178"/>
      <c r="C936" s="178"/>
      <c r="D936" s="178"/>
      <c r="E936" s="178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178"/>
      <c r="B937" s="178"/>
      <c r="C937" s="178"/>
      <c r="D937" s="178"/>
      <c r="E937" s="178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178"/>
      <c r="B938" s="178"/>
      <c r="C938" s="178"/>
      <c r="D938" s="178"/>
      <c r="E938" s="178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178"/>
      <c r="B939" s="178"/>
      <c r="C939" s="178"/>
      <c r="D939" s="178"/>
      <c r="E939" s="178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178"/>
      <c r="B940" s="178"/>
      <c r="C940" s="178"/>
      <c r="D940" s="178"/>
      <c r="E940" s="178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178"/>
      <c r="B941" s="178"/>
      <c r="C941" s="178"/>
      <c r="D941" s="178"/>
      <c r="E941" s="178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178"/>
      <c r="B942" s="178"/>
      <c r="C942" s="178"/>
      <c r="D942" s="178"/>
      <c r="E942" s="178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178"/>
      <c r="B943" s="178"/>
      <c r="C943" s="178"/>
      <c r="D943" s="178"/>
      <c r="E943" s="178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178"/>
      <c r="B944" s="178"/>
      <c r="C944" s="178"/>
      <c r="D944" s="178"/>
      <c r="E944" s="178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178"/>
      <c r="B945" s="178"/>
      <c r="C945" s="178"/>
      <c r="D945" s="178"/>
      <c r="E945" s="178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178"/>
      <c r="B946" s="178"/>
      <c r="C946" s="178"/>
      <c r="D946" s="178"/>
      <c r="E946" s="178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178"/>
      <c r="B947" s="178"/>
      <c r="C947" s="178"/>
      <c r="D947" s="178"/>
      <c r="E947" s="178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178"/>
      <c r="B948" s="178"/>
      <c r="C948" s="178"/>
      <c r="D948" s="178"/>
      <c r="E948" s="178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178"/>
      <c r="B949" s="178"/>
      <c r="C949" s="178"/>
      <c r="D949" s="178"/>
      <c r="E949" s="178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178"/>
      <c r="B950" s="178"/>
      <c r="C950" s="178"/>
      <c r="D950" s="178"/>
      <c r="E950" s="178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178"/>
      <c r="B951" s="178"/>
      <c r="C951" s="178"/>
      <c r="D951" s="178"/>
      <c r="E951" s="178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178"/>
      <c r="B952" s="178"/>
      <c r="C952" s="178"/>
      <c r="D952" s="178"/>
      <c r="E952" s="178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178"/>
      <c r="B953" s="178"/>
      <c r="C953" s="178"/>
      <c r="D953" s="178"/>
      <c r="E953" s="178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178"/>
      <c r="B954" s="178"/>
      <c r="C954" s="178"/>
      <c r="D954" s="178"/>
      <c r="E954" s="178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178"/>
      <c r="B955" s="178"/>
      <c r="C955" s="178"/>
      <c r="D955" s="178"/>
      <c r="E955" s="178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178"/>
      <c r="B956" s="178"/>
      <c r="C956" s="178"/>
      <c r="D956" s="178"/>
      <c r="E956" s="178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178"/>
      <c r="B957" s="178"/>
      <c r="C957" s="178"/>
      <c r="D957" s="178"/>
      <c r="E957" s="178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178"/>
      <c r="B958" s="178"/>
      <c r="C958" s="178"/>
      <c r="D958" s="178"/>
      <c r="E958" s="178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178"/>
      <c r="B959" s="178"/>
      <c r="C959" s="178"/>
      <c r="D959" s="178"/>
      <c r="E959" s="178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178"/>
      <c r="B960" s="178"/>
      <c r="C960" s="178"/>
      <c r="D960" s="178"/>
      <c r="E960" s="178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178"/>
      <c r="B961" s="178"/>
      <c r="C961" s="178"/>
      <c r="D961" s="178"/>
      <c r="E961" s="178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178"/>
      <c r="B962" s="178"/>
      <c r="C962" s="178"/>
      <c r="D962" s="178"/>
      <c r="E962" s="178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178"/>
      <c r="B963" s="178"/>
      <c r="C963" s="178"/>
      <c r="D963" s="178"/>
      <c r="E963" s="178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178"/>
      <c r="B964" s="178"/>
      <c r="C964" s="178"/>
      <c r="D964" s="178"/>
      <c r="E964" s="178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178"/>
      <c r="B965" s="178"/>
      <c r="C965" s="178"/>
      <c r="D965" s="178"/>
      <c r="E965" s="178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178"/>
      <c r="B966" s="178"/>
      <c r="C966" s="178"/>
      <c r="D966" s="178"/>
      <c r="E966" s="178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178"/>
      <c r="B967" s="178"/>
      <c r="C967" s="178"/>
      <c r="D967" s="178"/>
      <c r="E967" s="178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178"/>
      <c r="B968" s="178"/>
      <c r="C968" s="178"/>
      <c r="D968" s="178"/>
      <c r="E968" s="178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178"/>
      <c r="B969" s="178"/>
      <c r="C969" s="178"/>
      <c r="D969" s="178"/>
      <c r="E969" s="178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178"/>
      <c r="B970" s="178"/>
      <c r="C970" s="178"/>
      <c r="D970" s="178"/>
      <c r="E970" s="178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178"/>
      <c r="B971" s="178"/>
      <c r="C971" s="178"/>
      <c r="D971" s="178"/>
      <c r="E971" s="178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178"/>
      <c r="B972" s="178"/>
      <c r="C972" s="178"/>
      <c r="D972" s="178"/>
      <c r="E972" s="178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178"/>
      <c r="B973" s="178"/>
      <c r="C973" s="178"/>
      <c r="D973" s="178"/>
      <c r="E973" s="178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178"/>
      <c r="B974" s="178"/>
      <c r="C974" s="178"/>
      <c r="D974" s="178"/>
      <c r="E974" s="178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178"/>
      <c r="B975" s="178"/>
      <c r="C975" s="178"/>
      <c r="D975" s="178"/>
      <c r="E975" s="178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178"/>
      <c r="B976" s="178"/>
      <c r="C976" s="178"/>
      <c r="D976" s="178"/>
      <c r="E976" s="178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178"/>
      <c r="B977" s="178"/>
      <c r="C977" s="178"/>
      <c r="D977" s="178"/>
      <c r="E977" s="178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178"/>
      <c r="B978" s="178"/>
      <c r="C978" s="178"/>
      <c r="D978" s="178"/>
      <c r="E978" s="178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178"/>
      <c r="B979" s="178"/>
      <c r="C979" s="178"/>
      <c r="D979" s="178"/>
      <c r="E979" s="178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178"/>
      <c r="B980" s="178"/>
      <c r="C980" s="178"/>
      <c r="D980" s="178"/>
      <c r="E980" s="178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178"/>
      <c r="B981" s="178"/>
      <c r="C981" s="178"/>
      <c r="D981" s="178"/>
      <c r="E981" s="178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178"/>
      <c r="B982" s="178"/>
      <c r="C982" s="178"/>
      <c r="D982" s="178"/>
      <c r="E982" s="178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178"/>
      <c r="B983" s="178"/>
      <c r="C983" s="178"/>
      <c r="D983" s="178"/>
      <c r="E983" s="178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178"/>
      <c r="B984" s="178"/>
      <c r="C984" s="178"/>
      <c r="D984" s="178"/>
      <c r="E984" s="178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178"/>
      <c r="B985" s="178"/>
      <c r="C985" s="178"/>
      <c r="D985" s="178"/>
      <c r="E985" s="178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178"/>
      <c r="B986" s="178"/>
      <c r="C986" s="178"/>
      <c r="D986" s="178"/>
      <c r="E986" s="178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178"/>
      <c r="B987" s="178"/>
      <c r="C987" s="178"/>
      <c r="D987" s="178"/>
      <c r="E987" s="178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178"/>
      <c r="B988" s="178"/>
      <c r="C988" s="178"/>
      <c r="D988" s="178"/>
      <c r="E988" s="178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178"/>
      <c r="B989" s="178"/>
      <c r="C989" s="178"/>
      <c r="D989" s="178"/>
      <c r="E989" s="178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178"/>
      <c r="B990" s="178"/>
      <c r="C990" s="178"/>
      <c r="D990" s="178"/>
      <c r="E990" s="178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178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178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178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</sheetData>
  <mergeCells count="1">
    <mergeCell ref="G8:H8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42.63"/>
    <col customWidth="1" min="3" max="3" width="16.0"/>
    <col customWidth="1" min="4" max="4" width="24.25"/>
    <col customWidth="1" min="5" max="5" width="10.38"/>
    <col customWidth="1" min="7" max="7" width="76.8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178"/>
      <c r="G1" s="80" t="s">
        <v>5</v>
      </c>
      <c r="H1" s="81">
        <f>H4</f>
        <v>33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128" t="s">
        <v>1387</v>
      </c>
      <c r="B2" s="73" t="str">
        <f t="array" ref="B2">IFERROR(XLOOKUP(A2, BASE!E:E, BASE!B:B), "")
</f>
        <v>SoC_SP_Santana</v>
      </c>
      <c r="C2" s="73" t="str">
        <f t="array" ref="C2">IFERROR(XLOOKUP(A2, BASE!E:E, BASE!C:C), "")
</f>
        <v>SOC-SP2</v>
      </c>
      <c r="D2" s="73">
        <f t="array" ref="D2">IFERROR(XLOOKUP(A2, BASE!E:E, BASE!D:D), "")
</f>
        <v>32</v>
      </c>
      <c r="E2" s="168">
        <f t="array" ref="E2">IFERROR(XLOOKUP(A2, BASE!E:E, BASE!H:H), "")
</f>
        <v>46056.27083</v>
      </c>
      <c r="F2" s="178"/>
      <c r="G2" s="82" t="s">
        <v>9</v>
      </c>
      <c r="H2" s="82">
        <f>COUNTIF(C:C,"*LSP*")
</f>
        <v>22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208" t="s">
        <v>1388</v>
      </c>
      <c r="B3" s="73" t="str">
        <f t="array" ref="B3">IFERROR(XLOOKUP(A3, BASE!E:E, BASE!B:B), "")
</f>
        <v>LM Hub_SP_Atibaia_Ponte_Alta</v>
      </c>
      <c r="C3" s="73" t="str">
        <f t="array" ref="C3">IFERROR(XLOOKUP(A3, BASE!E:E, BASE!C:C), "")
</f>
        <v>HUB-LSP-87</v>
      </c>
      <c r="D3" s="73">
        <f t="array" ref="D3">IFERROR(XLOOKUP(A3, BASE!E:E, BASE!D:D), "")
</f>
        <v>17</v>
      </c>
      <c r="E3" s="168">
        <f t="array" ref="E3">IFERROR(XLOOKUP(A3, BASE!E:E, BASE!H:H), "")
</f>
        <v>46056.27083</v>
      </c>
      <c r="F3" s="178"/>
      <c r="G3" s="82" t="s">
        <v>13</v>
      </c>
      <c r="H3" s="82">
        <f>COUNTIF(C:C,"*SOC*")
</f>
        <v>12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208" t="s">
        <v>1389</v>
      </c>
      <c r="B4" s="73" t="str">
        <f t="array" ref="B4">IFERROR(XLOOKUP(A4, BASE!E:E, BASE!B:B), "")
</f>
        <v>LM Hub_SP_Taubaté</v>
      </c>
      <c r="C4" s="73" t="str">
        <f t="array" ref="C4">IFERROR(XLOOKUP(A4, BASE!E:E, BASE!C:C), "")
</f>
        <v>HUB-LSP-08</v>
      </c>
      <c r="D4" s="73">
        <f t="array" ref="D4">IFERROR(XLOOKUP(A4, BASE!E:E, BASE!D:D), "")
</f>
        <v>45</v>
      </c>
      <c r="E4" s="168">
        <f t="array" ref="E4">IFERROR(XLOOKUP(A4, BASE!E:E, BASE!H:H), "")
</f>
        <v>46056.27083</v>
      </c>
      <c r="F4" s="178"/>
      <c r="G4" s="82" t="s">
        <v>810</v>
      </c>
      <c r="H4" s="198">
        <f>COUNTIFS(D:D,"&gt;=5",D:D,"&lt;=114")</f>
        <v>33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208" t="s">
        <v>1390</v>
      </c>
      <c r="B5" s="73" t="str">
        <f t="array" ref="B5">IFERROR(XLOOKUP(A5, BASE!E:E, BASE!B:B), "")
</f>
        <v>LM Hub_SP_Sorocaba_Região Norte</v>
      </c>
      <c r="C5" s="73" t="str">
        <f t="array" ref="C5">IFERROR(XLOOKUP(A5, BASE!E:E, BASE!C:C), "")
</f>
        <v>HUB-LSP-10</v>
      </c>
      <c r="D5" s="73">
        <f t="array" ref="D5">IFERROR(XLOOKUP(A5, BASE!E:E, BASE!D:D), "")
</f>
        <v>28</v>
      </c>
      <c r="E5" s="168">
        <f t="array" ref="E5">IFERROR(XLOOKUP(A5, BASE!E:E, BASE!H:H), "")
</f>
        <v>46056.27083</v>
      </c>
      <c r="F5" s="178"/>
      <c r="G5" s="82" t="s">
        <v>20</v>
      </c>
      <c r="H5" s="82">
        <f>COUNTIF(D:D,"*NÃO DOCOU*")</f>
        <v>1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208" t="s">
        <v>1391</v>
      </c>
      <c r="B6" s="73" t="str">
        <f t="array" ref="B6">IFERROR(XLOOKUP(A6, BASE!E:E, BASE!B:B), "")
</f>
        <v>SoC_SC_Itajaí</v>
      </c>
      <c r="C6" s="73" t="str">
        <f t="array" ref="C6">IFERROR(XLOOKUP(A6, BASE!E:E, BASE!C:C), "")
</f>
        <v>SOC-SC1</v>
      </c>
      <c r="D6" s="73">
        <f t="array" ref="D6">IFERROR(XLOOKUP(A6, BASE!E:E, BASE!D:D), "")
</f>
        <v>100</v>
      </c>
      <c r="E6" s="168">
        <f t="array" ref="E6">IFERROR(XLOOKUP(A6, BASE!E:E, BASE!H:H), "")
</f>
        <v>46056.29167</v>
      </c>
      <c r="F6" s="178"/>
      <c r="G6" s="198" t="s">
        <v>25</v>
      </c>
      <c r="H6" s="199">
        <f>COUNTIF(D:D,"*NÃO CHEGOU*")
</f>
        <v>0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208" t="s">
        <v>1392</v>
      </c>
      <c r="B7" s="73" t="str">
        <f t="array" ref="B7">IFERROR(XLOOKUP(A7, BASE!E:E, BASE!B:B), "")
</f>
        <v>LM Hub_SP_Barueri_01</v>
      </c>
      <c r="C7" s="73" t="str">
        <f t="array" ref="C7">IFERROR(XLOOKUP(A7, BASE!E:E, BASE!C:C), "")
</f>
        <v>HUB-LSP-81</v>
      </c>
      <c r="D7" s="73">
        <f t="array" ref="D7">IFERROR(XLOOKUP(A7, BASE!E:E, BASE!D:D), "")
</f>
        <v>27</v>
      </c>
      <c r="E7" s="168">
        <f t="array" ref="E7">IFERROR(XLOOKUP(A7, BASE!E:E, BASE!H:H), "")
</f>
        <v>46056.29167</v>
      </c>
      <c r="F7" s="178"/>
      <c r="G7" s="82" t="s">
        <v>815</v>
      </c>
      <c r="H7" s="82">
        <f>COUNTIF(D:D,"*DRIVER DUPLICADO*")</f>
        <v>0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167" t="s">
        <v>1393</v>
      </c>
      <c r="B8" s="73" t="str">
        <f t="array" ref="B8">IFERROR(XLOOKUP(A8, BASE!E:E, BASE!B:B), "")
</f>
        <v>SoC_SP_Louveira</v>
      </c>
      <c r="C8" s="73" t="str">
        <f t="array" ref="C8">IFERROR(XLOOKUP(A8, BASE!E:E, BASE!C:C), "")
</f>
        <v>SOC-SP7</v>
      </c>
      <c r="D8" s="73">
        <f t="array" ref="D8">IFERROR(XLOOKUP(A8, BASE!E:E, BASE!D:D), "")
</f>
        <v>38</v>
      </c>
      <c r="E8" s="168">
        <f t="array" ref="E8">IFERROR(XLOOKUP(A8, BASE!E:E, BASE!H:H), "")
</f>
        <v>46056.29167</v>
      </c>
      <c r="F8" s="178"/>
      <c r="G8" s="18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208" t="s">
        <v>1394</v>
      </c>
      <c r="B9" s="73" t="str">
        <f t="array" ref="B9">IFERROR(XLOOKUP(A9, BASE!E:E, BASE!B:B), "")
</f>
        <v>LM Hub_SP_Jundiaí</v>
      </c>
      <c r="C9" s="73" t="str">
        <f t="array" ref="C9">IFERROR(XLOOKUP(A9, BASE!E:E, BASE!C:C), "")
</f>
        <v>HUB-LSP-100</v>
      </c>
      <c r="D9" s="73">
        <f t="array" ref="D9">IFERROR(XLOOKUP(A9, BASE!E:E, BASE!D:D), "")
</f>
        <v>9</v>
      </c>
      <c r="E9" s="168">
        <f t="array" ref="E9">IFERROR(XLOOKUP(A9, BASE!E:E, BASE!H:H), "")
</f>
        <v>46056.29167</v>
      </c>
      <c r="F9" s="178"/>
      <c r="G9" s="9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208" t="s">
        <v>1395</v>
      </c>
      <c r="B10" s="73" t="str">
        <f t="array" ref="B10">IFERROR(XLOOKUP(A10, BASE!E:E, BASE!B:B), "")
</f>
        <v>LM Hub_SP_Piracicaba</v>
      </c>
      <c r="C10" s="73" t="str">
        <f t="array" ref="C10">IFERROR(XLOOKUP(A10, BASE!E:E, BASE!C:C), "")
</f>
        <v>HUB-LSP-62</v>
      </c>
      <c r="D10" s="73">
        <f t="array" ref="D10">IFERROR(XLOOKUP(A10, BASE!E:E, BASE!D:D), "")
</f>
        <v>24</v>
      </c>
      <c r="E10" s="168">
        <f t="array" ref="E10">IFERROR(XLOOKUP(A10, BASE!E:E, BASE!H:H), "")
</f>
        <v>46056.29167</v>
      </c>
      <c r="F10" s="178"/>
      <c r="G10" s="9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208" t="s">
        <v>1396</v>
      </c>
      <c r="B11" s="73" t="str">
        <f t="array" ref="B11">IFERROR(XLOOKUP(A11, BASE!E:E, BASE!B:B), "")
</f>
        <v>LM Hub_SP_Santos_PraiaGrande_02</v>
      </c>
      <c r="C11" s="73" t="str">
        <f t="array" ref="C11">IFERROR(XLOOKUP(A11, BASE!E:E, BASE!C:C), "")
</f>
        <v>HUB-LSP-63</v>
      </c>
      <c r="D11" s="73">
        <f t="array" ref="D11">IFERROR(XLOOKUP(A11, BASE!E:E, BASE!D:D), "")
</f>
        <v>19</v>
      </c>
      <c r="E11" s="168">
        <f t="array" ref="E11">IFERROR(XLOOKUP(A11, BASE!E:E, BASE!H:H), "")
</f>
        <v>46056.29167</v>
      </c>
      <c r="F11" s="178"/>
      <c r="G11" s="9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208" t="s">
        <v>1397</v>
      </c>
      <c r="B12" s="73" t="str">
        <f t="array" ref="B12">IFERROR(XLOOKUP(A12, BASE!E:E, BASE!B:B), "")
</f>
        <v>LM Hub_SP_São José dos Campos</v>
      </c>
      <c r="C12" s="73" t="str">
        <f t="array" ref="C12">IFERROR(XLOOKUP(A12, BASE!E:E, BASE!C:C), "")
</f>
        <v>HUB-LSP-04</v>
      </c>
      <c r="D12" s="73">
        <f t="array" ref="D12">IFERROR(XLOOKUP(A12, BASE!E:E, BASE!D:D), "")
</f>
        <v>26</v>
      </c>
      <c r="E12" s="168">
        <f t="array" ref="E12">IFERROR(XLOOKUP(A12, BASE!E:E, BASE!H:H), "")
</f>
        <v>46056.3125</v>
      </c>
      <c r="F12" s="178"/>
      <c r="G12" s="84" t="s">
        <v>1398</v>
      </c>
      <c r="H12" s="9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208" t="s">
        <v>1399</v>
      </c>
      <c r="B13" s="73" t="str">
        <f t="array" ref="B13">IFERROR(XLOOKUP(A13, BASE!E:E, BASE!B:B), "")
</f>
        <v>LM Hub_SP_Guarujá</v>
      </c>
      <c r="C13" s="73" t="str">
        <f t="array" ref="C13">IFERROR(XLOOKUP(A13, BASE!E:E, BASE!C:C), "")
</f>
        <v>HUB-LSP-06</v>
      </c>
      <c r="D13" s="73">
        <f t="array" ref="D13">IFERROR(XLOOKUP(A13, BASE!E:E, BASE!D:D), "")
</f>
        <v>34</v>
      </c>
      <c r="E13" s="168">
        <f t="array" ref="E13">IFERROR(XLOOKUP(A13, BASE!E:E, BASE!H:H), "")
</f>
        <v>46056.3125</v>
      </c>
      <c r="F13" s="178"/>
      <c r="G13" s="187" t="s">
        <v>653</v>
      </c>
      <c r="H13" s="178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08" t="s">
        <v>1400</v>
      </c>
      <c r="B14" s="73" t="str">
        <f t="array" ref="B14">IFERROR(XLOOKUP(A14, BASE!E:E, BASE!B:B), "")
</f>
        <v>LM Hub_SP_Santos_Praia Grande</v>
      </c>
      <c r="C14" s="73" t="str">
        <f t="array" ref="C14">IFERROR(XLOOKUP(A14, BASE!E:E, BASE!C:C), "")
</f>
        <v>HUB-LSP-09</v>
      </c>
      <c r="D14" s="73">
        <f t="array" ref="D14">IFERROR(XLOOKUP(A14, BASE!E:E, BASE!D:D), "")
</f>
        <v>13</v>
      </c>
      <c r="E14" s="168">
        <f t="array" ref="E14">IFERROR(XLOOKUP(A14, BASE!E:E, BASE!H:H), "")
</f>
        <v>46056.3125</v>
      </c>
      <c r="F14" s="178"/>
      <c r="G14" s="178"/>
      <c r="H14" s="178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08" t="s">
        <v>1401</v>
      </c>
      <c r="B15" s="73" t="str">
        <f t="array" ref="B15">IFERROR(XLOOKUP(A15, BASE!E:E, BASE!B:B), "")
</f>
        <v>LM Hub_SP_Várzea Paulista</v>
      </c>
      <c r="C15" s="73" t="str">
        <f t="array" ref="C15">IFERROR(XLOOKUP(A15, BASE!E:E, BASE!C:C), "")
</f>
        <v>HUB-LSP-20</v>
      </c>
      <c r="D15" s="73">
        <f t="array" ref="D15">IFERROR(XLOOKUP(A15, BASE!E:E, BASE!D:D), "")
</f>
        <v>16</v>
      </c>
      <c r="E15" s="168">
        <f t="array" ref="E15">IFERROR(XLOOKUP(A15, BASE!E:E, BASE!H:H), "")
</f>
        <v>46056.3125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08" t="s">
        <v>1402</v>
      </c>
      <c r="B16" s="73" t="str">
        <f t="array" ref="B16">IFERROR(XLOOKUP(A16, BASE!E:E, BASE!B:B), "")
</f>
        <v>LM Hub_SP_Itapevi</v>
      </c>
      <c r="C16" s="73" t="str">
        <f t="array" ref="C16">IFERROR(XLOOKUP(A16, BASE!E:E, BASE!C:C), "")
</f>
        <v>HUB-LSP-41</v>
      </c>
      <c r="D16" s="73">
        <f t="array" ref="D16">IFERROR(XLOOKUP(A16, BASE!E:E, BASE!D:D), "")
</f>
        <v>21</v>
      </c>
      <c r="E16" s="168">
        <f t="array" ref="E16">IFERROR(XLOOKUP(A16, BASE!E:E, BASE!H:H), "")
</f>
        <v>46056.3125</v>
      </c>
      <c r="F16" s="178"/>
      <c r="G16" s="178"/>
      <c r="H16" s="178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08" t="s">
        <v>1403</v>
      </c>
      <c r="B17" s="73" t="str">
        <f t="array" ref="B17">IFERROR(XLOOKUP(A17, BASE!E:E, BASE!B:B), "")
</f>
        <v>LM Hub_SP_São Paulo_Mooca</v>
      </c>
      <c r="C17" s="73" t="str">
        <f t="array" ref="C17">IFERROR(XLOOKUP(A17, BASE!E:E, BASE!C:C), "")
</f>
        <v>HUB-LSP-13</v>
      </c>
      <c r="D17" s="73">
        <f t="array" ref="D17">IFERROR(XLOOKUP(A17, BASE!E:E, BASE!D:D), "")
</f>
        <v>48</v>
      </c>
      <c r="E17" s="168">
        <f t="array" ref="E17">IFERROR(XLOOKUP(A17, BASE!E:E, BASE!H:H), "")
</f>
        <v>46056.3125</v>
      </c>
      <c r="F17" s="178"/>
      <c r="G17" s="178"/>
      <c r="H17" s="178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08" t="s">
        <v>1404</v>
      </c>
      <c r="B18" s="73" t="str">
        <f t="array" ref="B18">IFERROR(XLOOKUP(A18, BASE!E:E, BASE!B:B), "")
</f>
        <v>LM Hub_SP_Artur Alvim</v>
      </c>
      <c r="C18" s="73" t="str">
        <f t="array" ref="C18">IFERROR(XLOOKUP(A18, BASE!E:E, BASE!C:C), "")
</f>
        <v>HUB-LSP-07</v>
      </c>
      <c r="D18" s="73">
        <f t="array" ref="D18">IFERROR(XLOOKUP(A18, BASE!E:E, BASE!D:D), "")
</f>
        <v>18</v>
      </c>
      <c r="E18" s="168">
        <f t="array" ref="E18">IFERROR(XLOOKUP(A18, BASE!E:E, BASE!H:H), "")
</f>
        <v>46056.33333</v>
      </c>
      <c r="F18" s="178"/>
      <c r="G18" s="178"/>
      <c r="H18" s="178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228" t="s">
        <v>1405</v>
      </c>
      <c r="B19" s="73" t="str">
        <f t="array" ref="B19">IFERROR(XLOOKUP(A19, BASE!E:E, BASE!B:B), "")
</f>
        <v>LM Hub_SP_Jurubatuba</v>
      </c>
      <c r="C19" s="73" t="str">
        <f t="array" ref="C19">IFERROR(XLOOKUP(A19, BASE!E:E, BASE!C:C), "")
</f>
        <v>HUB-LSP-16</v>
      </c>
      <c r="D19" s="73">
        <f t="array" ref="D19">IFERROR(XLOOKUP(A19, BASE!E:E, BASE!D:D), "")
</f>
        <v>41</v>
      </c>
      <c r="E19" s="168">
        <f t="array" ref="E19">IFERROR(XLOOKUP(A19, BASE!E:E, BASE!H:H), "")
</f>
        <v>46056.33333</v>
      </c>
      <c r="F19" s="178"/>
      <c r="G19" s="178"/>
      <c r="H19" s="178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208" t="s">
        <v>1406</v>
      </c>
      <c r="B20" s="73" t="str">
        <f t="array" ref="B20">IFERROR(XLOOKUP(A20, BASE!E:E, BASE!B:B), "")
</f>
        <v>LM Hub_SP_Guarulhos</v>
      </c>
      <c r="C20" s="73" t="str">
        <f t="array" ref="C20">IFERROR(XLOOKUP(A20, BASE!E:E, BASE!C:C), "")
</f>
        <v>HUB-LSP-77</v>
      </c>
      <c r="D20" s="73">
        <f t="array" ref="D20">IFERROR(XLOOKUP(A20, BASE!E:E, BASE!D:D), "")
</f>
        <v>23</v>
      </c>
      <c r="E20" s="168">
        <f t="array" ref="E20">IFERROR(XLOOKUP(A20, BASE!E:E, BASE!H:H), "")
</f>
        <v>46056.33333</v>
      </c>
      <c r="F20" s="178"/>
      <c r="G20" s="178"/>
      <c r="H20" s="178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167" t="s">
        <v>1407</v>
      </c>
      <c r="B21" s="73" t="str">
        <f t="array" ref="B21">IFERROR(XLOOKUP(A21, BASE!E:E, BASE!B:B), "")
</f>
        <v>LM Hub_SP_VilaGuilherme</v>
      </c>
      <c r="C21" s="73" t="str">
        <f t="array" ref="C21">IFERROR(XLOOKUP(A21, BASE!E:E, BASE!C:C), "")
</f>
        <v>HUB-LSP-68</v>
      </c>
      <c r="D21" s="73">
        <f t="array" ref="D21">IFERROR(XLOOKUP(A21, BASE!E:E, BASE!D:D), "")
</f>
        <v>37</v>
      </c>
      <c r="E21" s="168">
        <f t="array" ref="E21">IFERROR(XLOOKUP(A21, BASE!E:E, BASE!H:H), "")
</f>
        <v>46056.33333</v>
      </c>
      <c r="F21" s="178"/>
      <c r="G21" s="178"/>
      <c r="H21" s="178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208" t="s">
        <v>1408</v>
      </c>
      <c r="B22" s="73" t="str">
        <f t="array" ref="B22">IFERROR(XLOOKUP(A22, BASE!E:E, BASE!B:B), "")
</f>
        <v>LM Hub_SP_Itaqua_Zimba</v>
      </c>
      <c r="C22" s="73" t="str">
        <f t="array" ref="C22">IFERROR(XLOOKUP(A22, BASE!E:E, BASE!C:C), "")
</f>
        <v>HUB-LSP-74</v>
      </c>
      <c r="D22" s="73">
        <f t="array" ref="D22">IFERROR(XLOOKUP(A22, BASE!E:E, BASE!D:D), "")
</f>
        <v>12</v>
      </c>
      <c r="E22" s="168">
        <f t="array" ref="E22">IFERROR(XLOOKUP(A22, BASE!E:E, BASE!H:H), "")
</f>
        <v>46056.33333</v>
      </c>
      <c r="F22" s="178"/>
      <c r="G22" s="178"/>
      <c r="H22" s="178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208" t="s">
        <v>1409</v>
      </c>
      <c r="B23" s="73" t="str">
        <f t="array" ref="B23">IFERROR(XLOOKUP(A23, BASE!E:E, BASE!B:B), "")
</f>
        <v>LM Hub_SP_São Bernardo do Campo</v>
      </c>
      <c r="C23" s="73" t="str">
        <f t="array" ref="C23">IFERROR(XLOOKUP(A23, BASE!E:E, BASE!C:C), "")
</f>
        <v>HUB-LSP-79</v>
      </c>
      <c r="D23" s="73">
        <f t="array" ref="D23">IFERROR(XLOOKUP(A23, BASE!E:E, BASE!D:D), "")
</f>
        <v>15</v>
      </c>
      <c r="E23" s="168">
        <f t="array" ref="E23">IFERROR(XLOOKUP(A23, BASE!E:E, BASE!H:H), "")
</f>
        <v>46056.35417</v>
      </c>
      <c r="F23" s="178"/>
      <c r="G23" s="178"/>
      <c r="H23" s="178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208" t="s">
        <v>1410</v>
      </c>
      <c r="B24" s="73" t="str">
        <f t="array" ref="B24">IFERROR(XLOOKUP(A24, BASE!E:E, BASE!B:B), "")
</f>
        <v>LM Hub_SP_Embu das Artes_02</v>
      </c>
      <c r="C24" s="73" t="str">
        <f t="array" ref="C24">IFERROR(XLOOKUP(A24, BASE!E:E, BASE!C:C), "")
</f>
        <v>HUB-LSP-96</v>
      </c>
      <c r="D24" s="73">
        <f t="array" ref="D24">IFERROR(XLOOKUP(A24, BASE!E:E, BASE!D:D), "")
</f>
        <v>5</v>
      </c>
      <c r="E24" s="168">
        <f t="array" ref="E24">IFERROR(XLOOKUP(A24, BASE!E:E, BASE!H:H), "")
</f>
        <v>46056.375</v>
      </c>
      <c r="F24" s="178"/>
      <c r="G24" s="178"/>
      <c r="H24" s="178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208" t="s">
        <v>1411</v>
      </c>
      <c r="B25" s="73" t="str">
        <f t="array" ref="B25">IFERROR(XLOOKUP(A25, BASE!E:E, BASE!B:B), "")
</f>
        <v>LM Hub_SP_Suzano_Baruel</v>
      </c>
      <c r="C25" s="73" t="str">
        <f t="array" ref="C25">IFERROR(XLOOKUP(A25, BASE!E:E, BASE!C:C), "")
</f>
        <v>HUB-LSP-97</v>
      </c>
      <c r="D25" s="73">
        <f t="array" ref="D25">IFERROR(XLOOKUP(A25, BASE!E:E, BASE!D:D), "")
</f>
        <v>14</v>
      </c>
      <c r="E25" s="168">
        <f t="array" ref="E25">IFERROR(XLOOKUP(A25, BASE!E:E, BASE!H:H), "")
</f>
        <v>46056.375</v>
      </c>
      <c r="F25" s="178"/>
      <c r="G25" s="178"/>
      <c r="H25" s="178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208" t="s">
        <v>1412</v>
      </c>
      <c r="B26" s="73" t="str">
        <f t="array" ref="B26">IFERROR(XLOOKUP(A26, BASE!E:E, BASE!B:B), "")
</f>
        <v>LM Hub_SP_Santo André</v>
      </c>
      <c r="C26" s="73" t="str">
        <f t="array" ref="C26">IFERROR(XLOOKUP(A26, BASE!E:E, BASE!C:C), "")
</f>
        <v>HUB-LSP-93</v>
      </c>
      <c r="D26" s="73">
        <f t="array" ref="D26">IFERROR(XLOOKUP(A26, BASE!E:E, BASE!D:D), "")
</f>
        <v>33</v>
      </c>
      <c r="E26" s="168">
        <f t="array" ref="E26">IFERROR(XLOOKUP(A26, BASE!E:E, BASE!H:H), "")
</f>
        <v>46056.39583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139" t="s">
        <v>1413</v>
      </c>
      <c r="B27" s="73" t="str">
        <f t="array" ref="B27">IFERROR(XLOOKUP(A27, BASE!E:E, BASE!B:B), "")
</f>
        <v>SoC_MG_Betim</v>
      </c>
      <c r="C27" s="73" t="str">
        <f t="array" ref="C27">IFERROR(XLOOKUP(A27, BASE!E:E, BASE!C:C), "")
</f>
        <v>SOC-MG2</v>
      </c>
      <c r="D27" s="73">
        <f t="array" ref="D27">IFERROR(XLOOKUP(A27, BASE!E:E, BASE!D:D), "")
</f>
        <v>91</v>
      </c>
      <c r="E27" s="168">
        <f t="array" ref="E27">IFERROR(XLOOKUP(A27, BASE!E:E, BASE!H:H), "")
</f>
        <v>46056.45833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167" t="s">
        <v>1414</v>
      </c>
      <c r="B28" s="73" t="str">
        <f t="array" ref="B28">IFERROR(XLOOKUP(A28, BASE!E:E, BASE!B:B), "")
</f>
        <v>SoC_PE_Jaboatão dos Guararapes</v>
      </c>
      <c r="C28" s="73" t="str">
        <f t="array" ref="C28">IFERROR(XLOOKUP(A28, BASE!E:E, BASE!C:C), "")
</f>
        <v>SOC-PE2</v>
      </c>
      <c r="D28" s="73">
        <f t="array" ref="D28">IFERROR(XLOOKUP(A28, BASE!E:E, BASE!D:D), "")
</f>
        <v>98</v>
      </c>
      <c r="E28" s="168">
        <f t="array" ref="E28">IFERROR(XLOOKUP(A28, BASE!E:E, BASE!H:H), "")
</f>
        <v>46056.45833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139" t="s">
        <v>1415</v>
      </c>
      <c r="B29" s="73" t="str">
        <f t="array" ref="B29">IFERROR(XLOOKUP(A29, BASE!E:E, BASE!B:B), "")
</f>
        <v>SoC_BA_Simoes Filho</v>
      </c>
      <c r="C29" s="73" t="str">
        <f t="array" ref="C29">IFERROR(XLOOKUP(A29, BASE!E:E, BASE!C:C), "")
</f>
        <v>SOC-BA2</v>
      </c>
      <c r="D29" s="73">
        <f t="array" ref="D29">IFERROR(XLOOKUP(A29, BASE!E:E, BASE!D:D), "")
</f>
        <v>88</v>
      </c>
      <c r="E29" s="168">
        <f t="array" ref="E29">IFERROR(XLOOKUP(A29, BASE!E:E, BASE!H:H), "")
</f>
        <v>46056.45833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208" t="s">
        <v>1416</v>
      </c>
      <c r="B30" s="73" t="str">
        <f t="array" ref="B30">IFERROR(XLOOKUP(A30, BASE!E:E, BASE!B:B), "")
</f>
        <v>SoC_RJ_Duque de Caxias</v>
      </c>
      <c r="C30" s="73" t="str">
        <f t="array" ref="C30">IFERROR(XLOOKUP(A30, BASE!E:E, BASE!C:C), "")
</f>
        <v>SOC-RJ2</v>
      </c>
      <c r="D30" s="73">
        <f t="array" ref="D30">IFERROR(XLOOKUP(A30, BASE!E:E, BASE!D:D), "")
</f>
        <v>96</v>
      </c>
      <c r="E30" s="168">
        <f t="array" ref="E30">IFERROR(XLOOKUP(A30, BASE!E:E, BASE!H:H), "")
</f>
        <v>46056.45833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139" t="s">
        <v>1417</v>
      </c>
      <c r="B31" s="73" t="str">
        <f t="array" ref="B31">IFERROR(XLOOKUP(A31, BASE!E:E, BASE!B:B), "")
</f>
        <v>SoC_GO_Goiânia_02</v>
      </c>
      <c r="C31" s="73" t="str">
        <f t="array" ref="C31">IFERROR(XLOOKUP(A31, BASE!E:E, BASE!C:C), "")
</f>
        <v>SOC-GO2</v>
      </c>
      <c r="D31" s="73">
        <f t="array" ref="D31">IFERROR(XLOOKUP(A31, BASE!E:E, BASE!D:D), "")
</f>
        <v>87</v>
      </c>
      <c r="E31" s="168">
        <f t="array" ref="E31">IFERROR(XLOOKUP(A31, BASE!E:E, BASE!H:H), "")
</f>
        <v>46056.66667</v>
      </c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08" t="s">
        <v>1418</v>
      </c>
      <c r="B32" s="73" t="str">
        <f t="array" ref="B32">IFERROR(XLOOKUP(A32, BASE!E:E, BASE!B:B), "")
</f>
        <v>SoC_RS_Gravataí_02</v>
      </c>
      <c r="C32" s="73" t="str">
        <f t="array" ref="C32">IFERROR(XLOOKUP(A32, BASE!E:E, BASE!C:C), "")
</f>
        <v>SOC-RS2</v>
      </c>
      <c r="D32" s="73">
        <f t="array" ref="D32">IFERROR(XLOOKUP(A32, BASE!E:E, BASE!D:D), "")
</f>
        <v>93</v>
      </c>
      <c r="E32" s="168">
        <f t="array" ref="E32">IFERROR(XLOOKUP(A32, BASE!E:E, BASE!H:H), "")
</f>
        <v>46056.66667</v>
      </c>
      <c r="F32" s="178"/>
      <c r="G32" s="178"/>
      <c r="H32" s="178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208" t="s">
        <v>1419</v>
      </c>
      <c r="B33" s="73" t="str">
        <f t="array" ref="B33">IFERROR(XLOOKUP(A33, BASE!E:E, BASE!B:B), "")
</f>
        <v>SoC_RJ_Duque de Caxias</v>
      </c>
      <c r="C33" s="73" t="str">
        <f t="array" ref="C33">IFERROR(XLOOKUP(A33, BASE!E:E, BASE!C:C), "")
</f>
        <v>SOC-RJ2</v>
      </c>
      <c r="D33" s="73" t="s">
        <v>167</v>
      </c>
      <c r="E33" s="168">
        <f t="array" ref="E33">IFERROR(XLOOKUP(A33, BASE!E:E, BASE!H:H), "")
</f>
        <v>46056.66667</v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139" t="s">
        <v>1420</v>
      </c>
      <c r="B34" s="73" t="str">
        <f t="array" ref="B34">IFERROR(XLOOKUP(A34, BASE!E:E, BASE!B:B), "")
</f>
        <v>SoC_GO_Goiânia_02</v>
      </c>
      <c r="C34" s="73" t="str">
        <f t="array" ref="C34">IFERROR(XLOOKUP(A34, BASE!E:E, BASE!C:C), "")
</f>
        <v>SOC-GO2</v>
      </c>
      <c r="D34" s="73">
        <f t="array" ref="D34">IFERROR(XLOOKUP(A34, BASE!E:E, BASE!D:D), "")
</f>
        <v>86</v>
      </c>
      <c r="E34" s="168">
        <f t="array" ref="E34">IFERROR(XLOOKUP(A34, BASE!E:E, BASE!H:H), "")
</f>
        <v>46056.75</v>
      </c>
      <c r="F34" s="178"/>
      <c r="G34" s="178"/>
      <c r="H34" s="178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139" t="s">
        <v>1421</v>
      </c>
      <c r="B35" s="73" t="str">
        <f t="array" ref="B35">IFERROR(XLOOKUP(A35, BASE!E:E, BASE!B:B), "")
</f>
        <v>SoC_RJ_Duque de Caxias</v>
      </c>
      <c r="C35" s="73" t="str">
        <f t="array" ref="C35">IFERROR(XLOOKUP(A35, BASE!E:E, BASE!C:C), "")
</f>
        <v>SOC-RJ2</v>
      </c>
      <c r="D35" s="73">
        <f t="array" ref="D35">IFERROR(XLOOKUP(A35, BASE!E:E, BASE!D:D), "")
</f>
        <v>97</v>
      </c>
      <c r="E35" s="168">
        <f t="array" ref="E35">IFERROR(XLOOKUP(A35, BASE!E:E, BASE!H:H), "")
</f>
        <v>46056.75</v>
      </c>
      <c r="F35" s="178"/>
      <c r="G35" s="178"/>
      <c r="H35" s="178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139"/>
      <c r="B36" s="73" t="str">
        <f t="array" ref="B36">IFERROR(XLOOKUP(A36, BASE!E:E, BASE!B:B), "")
</f>
        <v/>
      </c>
      <c r="C36" s="73" t="str">
        <f t="array" ref="C36">IFERROR(XLOOKUP(A36, BASE!E:E, BASE!C:C), "")
</f>
        <v/>
      </c>
      <c r="D36" s="73" t="str">
        <f t="array" ref="D36">IFERROR(XLOOKUP(A36, BASE!E:E, BASE!D:D), "")
</f>
        <v/>
      </c>
      <c r="E36" s="168" t="str">
        <f t="array" ref="E36">IFERROR(XLOOKUP(A36, BASE!E:E, BASE!H:H), "")
</f>
        <v/>
      </c>
      <c r="F36" s="178"/>
      <c r="G36" s="178"/>
      <c r="H36" s="178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128"/>
      <c r="B37" s="73" t="str">
        <f t="array" ref="B37">IFERROR(XLOOKUP(A37, BASE!E:E, BASE!B:B), "")
</f>
        <v/>
      </c>
      <c r="C37" s="73" t="str">
        <f t="array" ref="C37">IFERROR(XLOOKUP(A37, BASE!E:E, BASE!C:C), "")
</f>
        <v/>
      </c>
      <c r="D37" s="73" t="str">
        <f t="array" ref="D37">IFERROR(XLOOKUP(A37, BASE!E:E, BASE!D:D), "")
</f>
        <v/>
      </c>
      <c r="E37" s="168" t="str">
        <f t="array" ref="E37">IFERROR(XLOOKUP(A37, BASE!E:E, BASE!H:H), "")
</f>
        <v/>
      </c>
      <c r="F37" s="178"/>
      <c r="G37" s="178"/>
      <c r="H37" s="178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127"/>
      <c r="B38" s="73" t="str">
        <f t="array" ref="B38">IFERROR(XLOOKUP(A38, BASE!E:E, BASE!B:B), "")
</f>
        <v/>
      </c>
      <c r="C38" s="73" t="str">
        <f t="array" ref="C38">IFERROR(XLOOKUP(A38, BASE!E:E, BASE!C:C), "")
</f>
        <v/>
      </c>
      <c r="D38" s="73" t="str">
        <f t="array" ref="D38">IFERROR(XLOOKUP(A38, BASE!E:E, BASE!D:D), "")
</f>
        <v/>
      </c>
      <c r="E38" s="168" t="str">
        <f t="array" ref="E38">IFERROR(XLOOKUP(A38, BASE!E:E, BASE!H:H), "")
</f>
        <v/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127"/>
      <c r="B39" s="73" t="str">
        <f t="array" ref="B39">IFERROR(XLOOKUP(A39, BASE!E:E, BASE!B:B), "")
</f>
        <v/>
      </c>
      <c r="C39" s="73" t="str">
        <f t="array" ref="C39">IFERROR(XLOOKUP(A39, BASE!E:E, BASE!C:C), "")
</f>
        <v/>
      </c>
      <c r="D39" s="73" t="str">
        <f t="array" ref="D39">IFERROR(XLOOKUP(A39, BASE!E:E, BASE!D:D), "")
</f>
        <v/>
      </c>
      <c r="E39" s="168" t="str">
        <f t="array" ref="E39">IFERROR(XLOOKUP(A39, BASE!E:E, BASE!H:H), "")
</f>
        <v/>
      </c>
      <c r="F39" s="178"/>
      <c r="G39" s="178"/>
      <c r="H39" s="178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95"/>
      <c r="B40" s="73" t="str">
        <f t="array" ref="B40">IFERROR(XLOOKUP(A40, BASE!E:E, BASE!B:B), "")
</f>
        <v/>
      </c>
      <c r="C40" s="73" t="str">
        <f t="array" ref="C40">IFERROR(XLOOKUP(A40, BASE!E:E, BASE!C:C), "")
</f>
        <v/>
      </c>
      <c r="D40" s="73" t="str">
        <f t="array" ref="D40">IFERROR(XLOOKUP(A40, BASE!E:E, BASE!D:D), "")
</f>
        <v/>
      </c>
      <c r="E40" s="168" t="str">
        <f t="array" ref="E40">IFERROR(XLOOKUP(A40, BASE!E:E, BASE!H:H), "")
</f>
        <v/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94"/>
      <c r="B41" s="73" t="str">
        <f t="array" ref="B41">IFERROR(XLOOKUP(A41, BASE!E:E, BASE!B:B), "")
</f>
        <v/>
      </c>
      <c r="C41" s="73" t="str">
        <f t="array" ref="C41">IFERROR(XLOOKUP(A41, BASE!E:E, BASE!C:C), "")
</f>
        <v/>
      </c>
      <c r="D41" s="73" t="str">
        <f t="array" ref="D41">IFERROR(XLOOKUP(A41, BASE!E:E, BASE!D:D), "")
</f>
        <v/>
      </c>
      <c r="E41" s="168" t="str">
        <f t="array" ref="E41">IFERROR(XLOOKUP(A41, BASE!E:E, BASE!H:H), "")
</f>
        <v/>
      </c>
      <c r="F41" s="178"/>
      <c r="G41" s="178"/>
      <c r="H41" s="178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94"/>
      <c r="B42" s="73" t="str">
        <f t="array" ref="B42">IFERROR(XLOOKUP(A42, BASE!E:E, BASE!B:B), "")
</f>
        <v/>
      </c>
      <c r="C42" s="73" t="str">
        <f t="array" ref="C42">IFERROR(XLOOKUP(A42, BASE!E:E, BASE!C:C), "")
</f>
        <v/>
      </c>
      <c r="D42" s="73" t="str">
        <f t="array" ref="D42">IFERROR(XLOOKUP(A42, BASE!E:E, BASE!D:D), "")
</f>
        <v/>
      </c>
      <c r="E42" s="168" t="str">
        <f t="array" ref="E42">IFERROR(XLOOKUP(A42, BASE!E:E, BASE!H:H), "")
</f>
        <v/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94"/>
      <c r="B43" s="73" t="str">
        <f t="array" ref="B43">IFERROR(XLOOKUP(A43, BASE!E:E, BASE!B:B), "")
</f>
        <v/>
      </c>
      <c r="C43" s="73" t="str">
        <f t="array" ref="C43">IFERROR(XLOOKUP(A43, BASE!E:E, BASE!C:C), "")
</f>
        <v/>
      </c>
      <c r="D43" s="73" t="str">
        <f t="array" ref="D43">IFERROR(XLOOKUP(A43, BASE!E:E, BASE!D:D), "")
</f>
        <v/>
      </c>
      <c r="E43" s="168" t="str">
        <f t="array" ref="E43">IFERROR(XLOOKUP(A43, BASE!E:E, BASE!H:H), "")
</f>
        <v/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24"/>
      <c r="B44" s="73" t="str">
        <f t="array" ref="B44">IFERROR(XLOOKUP(A44, BASE!E:E, BASE!B:B), "")
</f>
        <v/>
      </c>
      <c r="C44" s="73" t="str">
        <f t="array" ref="C44">IFERROR(XLOOKUP(A44, BASE!E:E, BASE!C:C), "")
</f>
        <v/>
      </c>
      <c r="D44" s="73" t="str">
        <f t="array" ref="D44">IFERROR(XLOOKUP(A44, BASE!E:E, BASE!D:D), "")
</f>
        <v/>
      </c>
      <c r="E44" s="168" t="str">
        <f t="array" ref="E44">IFERROR(XLOOKUP(A44, BASE!E:E, BASE!H:H), "")
</f>
        <v/>
      </c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24"/>
      <c r="B45" s="73" t="str">
        <f t="array" ref="B45">IFERROR(XLOOKUP(A45, BASE!E:E, BASE!B:B), "")
</f>
        <v/>
      </c>
      <c r="C45" s="73" t="str">
        <f t="array" ref="C45">IFERROR(XLOOKUP(A45, BASE!E:E, BASE!C:C), "")
</f>
        <v/>
      </c>
      <c r="D45" s="73" t="str">
        <f t="array" ref="D45">IFERROR(XLOOKUP(A45, BASE!E:E, BASE!D:D), "")
</f>
        <v/>
      </c>
      <c r="E45" s="168" t="str">
        <f t="array" ref="E45">IFERROR(XLOOKUP(A45, BASE!E:E, BASE!H:H), "")
</f>
        <v/>
      </c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24"/>
      <c r="B46" s="73" t="str">
        <f t="array" ref="B46">IFERROR(XLOOKUP(A46, BASE!E:E, BASE!B:B), "")
</f>
        <v/>
      </c>
      <c r="C46" s="73" t="str">
        <f t="array" ref="C46">IFERROR(XLOOKUP(A46, BASE!E:E, BASE!C:C), "")
</f>
        <v/>
      </c>
      <c r="D46" s="73" t="str">
        <f t="array" ref="D46">IFERROR(XLOOKUP(A46, BASE!E:E, BASE!D:D), "")
</f>
        <v/>
      </c>
      <c r="E46" s="168" t="str">
        <f t="array" ref="E46">IFERROR(XLOOKUP(A46, BASE!E:E, BASE!H:H), "")
</f>
        <v/>
      </c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24"/>
      <c r="B47" s="73" t="str">
        <f t="array" ref="B47">IFERROR(XLOOKUP(A47, BASE!E:E, BASE!B:B), "")
</f>
        <v/>
      </c>
      <c r="C47" s="73" t="str">
        <f t="array" ref="C47">IFERROR(XLOOKUP(A47, BASE!E:E, BASE!C:C), "")
</f>
        <v/>
      </c>
      <c r="D47" s="73" t="str">
        <f t="array" ref="D47">IFERROR(XLOOKUP(A47, BASE!E:E, BASE!D:D), "")
</f>
        <v/>
      </c>
      <c r="E47" s="168" t="str">
        <f t="array" ref="E47">IFERROR(XLOOKUP(A47, BASE!E:E, BASE!H:H), "")
</f>
        <v/>
      </c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224"/>
      <c r="B48" s="73" t="str">
        <f t="array" ref="B48">IFERROR(XLOOKUP(A48, BASE!E:E, BASE!B:B), "")
</f>
        <v/>
      </c>
      <c r="C48" s="73" t="str">
        <f t="array" ref="C48">IFERROR(XLOOKUP(A48, BASE!E:E, BASE!C:C), "")
</f>
        <v/>
      </c>
      <c r="D48" s="73" t="str">
        <f t="array" ref="D48">IFERROR(XLOOKUP(A48, BASE!E:E, BASE!D:D), "")
</f>
        <v/>
      </c>
      <c r="E48" s="168" t="str">
        <f t="array" ref="E48">IFERROR(XLOOKUP(A48, BASE!E:E, BASE!H:H), "")
</f>
        <v/>
      </c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224"/>
      <c r="B49" s="73" t="str">
        <f t="array" ref="B49">IFERROR(XLOOKUP(A49, BASE!E:E, BASE!B:B), "")
</f>
        <v/>
      </c>
      <c r="C49" s="73" t="str">
        <f t="array" ref="C49">IFERROR(XLOOKUP(A49, BASE!E:E, BASE!C:C), "")
</f>
        <v/>
      </c>
      <c r="D49" s="73" t="str">
        <f t="array" ref="D49">IFERROR(XLOOKUP(A49, BASE!E:E, BASE!D:D), "")
</f>
        <v/>
      </c>
      <c r="E49" s="168" t="str">
        <f t="array" ref="E49">IFERROR(XLOOKUP(A49, BASE!E:E, BASE!H:H), "")
</f>
        <v/>
      </c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224"/>
      <c r="B50" s="73" t="str">
        <f t="array" ref="B50">IFERROR(XLOOKUP(A50, BASE!E:E, BASE!B:B), "")
</f>
        <v/>
      </c>
      <c r="C50" s="73" t="str">
        <f t="array" ref="C50">IFERROR(XLOOKUP(A50, BASE!E:E, BASE!C:C), "")
</f>
        <v/>
      </c>
      <c r="D50" s="73" t="str">
        <f t="array" ref="D50">IFERROR(XLOOKUP(A50, BASE!E:E, BASE!D:D), "")
</f>
        <v/>
      </c>
      <c r="E50" s="168" t="str">
        <f t="array" ref="E50">IFERROR(XLOOKUP(A50, BASE!E:E, BASE!H:H), "")
</f>
        <v/>
      </c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178"/>
      <c r="B51" s="178"/>
      <c r="C51" s="178"/>
      <c r="D51" s="178"/>
      <c r="E51" s="178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178"/>
      <c r="B52" s="178"/>
      <c r="C52" s="178"/>
      <c r="D52" s="178"/>
      <c r="E52" s="178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178"/>
      <c r="B53" s="178"/>
      <c r="C53" s="178"/>
      <c r="D53" s="178"/>
      <c r="E53" s="178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178"/>
      <c r="B54" s="178"/>
      <c r="C54" s="178"/>
      <c r="D54" s="178"/>
      <c r="E54" s="178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178"/>
      <c r="B55" s="178"/>
      <c r="C55" s="178"/>
      <c r="D55" s="178"/>
      <c r="E55" s="178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178"/>
      <c r="B56" s="178"/>
      <c r="C56" s="178"/>
      <c r="D56" s="178"/>
      <c r="E56" s="178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178"/>
      <c r="B57" s="178"/>
      <c r="C57" s="178"/>
      <c r="D57" s="178"/>
      <c r="E57" s="178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178"/>
      <c r="B58" s="178"/>
      <c r="C58" s="178"/>
      <c r="D58" s="178"/>
      <c r="E58" s="178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178"/>
      <c r="B59" s="178"/>
      <c r="C59" s="178"/>
      <c r="D59" s="178"/>
      <c r="E59" s="178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178"/>
      <c r="B60" s="178"/>
      <c r="C60" s="178"/>
      <c r="D60" s="178"/>
      <c r="E60" s="178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178"/>
      <c r="B61" s="178"/>
      <c r="C61" s="178"/>
      <c r="D61" s="178"/>
      <c r="E61" s="178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178"/>
      <c r="B62" s="178"/>
      <c r="C62" s="178"/>
      <c r="D62" s="178"/>
      <c r="E62" s="178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178"/>
      <c r="B63" s="178"/>
      <c r="C63" s="178"/>
      <c r="D63" s="178"/>
      <c r="E63" s="178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178"/>
      <c r="B64" s="178"/>
      <c r="C64" s="178"/>
      <c r="D64" s="178"/>
      <c r="E64" s="178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178"/>
      <c r="B65" s="178"/>
      <c r="C65" s="178"/>
      <c r="D65" s="178"/>
      <c r="E65" s="178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178"/>
      <c r="B66" s="178"/>
      <c r="C66" s="178"/>
      <c r="D66" s="178"/>
      <c r="E66" s="178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178"/>
      <c r="B67" s="178"/>
      <c r="C67" s="178"/>
      <c r="D67" s="178"/>
      <c r="E67" s="178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178"/>
      <c r="B68" s="178"/>
      <c r="C68" s="178"/>
      <c r="D68" s="178"/>
      <c r="E68" s="178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178"/>
      <c r="B69" s="178"/>
      <c r="C69" s="178"/>
      <c r="D69" s="178"/>
      <c r="E69" s="178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178"/>
      <c r="B70" s="178"/>
      <c r="C70" s="178"/>
      <c r="D70" s="178"/>
      <c r="E70" s="178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178"/>
      <c r="B71" s="178"/>
      <c r="C71" s="178"/>
      <c r="D71" s="178"/>
      <c r="E71" s="178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178"/>
      <c r="B72" s="178"/>
      <c r="C72" s="178"/>
      <c r="D72" s="178"/>
      <c r="E72" s="178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178"/>
      <c r="B73" s="178"/>
      <c r="C73" s="178"/>
      <c r="D73" s="178"/>
      <c r="E73" s="178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178"/>
      <c r="B74" s="178"/>
      <c r="C74" s="178"/>
      <c r="D74" s="178"/>
      <c r="E74" s="178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178"/>
      <c r="B75" s="178"/>
      <c r="C75" s="178"/>
      <c r="D75" s="178"/>
      <c r="E75" s="178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178"/>
      <c r="B76" s="178"/>
      <c r="C76" s="178"/>
      <c r="D76" s="178"/>
      <c r="E76" s="178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178"/>
      <c r="B77" s="178"/>
      <c r="C77" s="178"/>
      <c r="D77" s="178"/>
      <c r="E77" s="178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178"/>
      <c r="B78" s="178"/>
      <c r="C78" s="178"/>
      <c r="D78" s="178"/>
      <c r="E78" s="178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178"/>
      <c r="B79" s="178"/>
      <c r="C79" s="178"/>
      <c r="D79" s="178"/>
      <c r="E79" s="178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178"/>
      <c r="B80" s="178"/>
      <c r="C80" s="178"/>
      <c r="D80" s="178"/>
      <c r="E80" s="178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178"/>
      <c r="B81" s="178"/>
      <c r="C81" s="178"/>
      <c r="D81" s="178"/>
      <c r="E81" s="178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178"/>
      <c r="B82" s="178"/>
      <c r="C82" s="178"/>
      <c r="D82" s="178"/>
      <c r="E82" s="178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178"/>
      <c r="B83" s="178"/>
      <c r="C83" s="178"/>
      <c r="D83" s="178"/>
      <c r="E83" s="178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178"/>
      <c r="B84" s="178"/>
      <c r="C84" s="178"/>
      <c r="D84" s="178"/>
      <c r="E84" s="178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178"/>
      <c r="B85" s="178"/>
      <c r="C85" s="178"/>
      <c r="D85" s="178"/>
      <c r="E85" s="178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178"/>
      <c r="B86" s="178"/>
      <c r="C86" s="178"/>
      <c r="D86" s="178"/>
      <c r="E86" s="178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178"/>
      <c r="B87" s="178"/>
      <c r="C87" s="178"/>
      <c r="D87" s="178"/>
      <c r="E87" s="178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178"/>
      <c r="B88" s="178"/>
      <c r="C88" s="178"/>
      <c r="D88" s="178"/>
      <c r="E88" s="178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178"/>
      <c r="B89" s="178"/>
      <c r="C89" s="178"/>
      <c r="D89" s="178"/>
      <c r="E89" s="178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178"/>
      <c r="B90" s="178"/>
      <c r="C90" s="178"/>
      <c r="D90" s="178"/>
      <c r="E90" s="178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178"/>
      <c r="B91" s="178"/>
      <c r="C91" s="178"/>
      <c r="D91" s="178"/>
      <c r="E91" s="178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178"/>
      <c r="B92" s="178"/>
      <c r="C92" s="178"/>
      <c r="D92" s="178"/>
      <c r="E92" s="178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178"/>
      <c r="B93" s="178"/>
      <c r="C93" s="178"/>
      <c r="D93" s="178"/>
      <c r="E93" s="178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178"/>
      <c r="B94" s="178"/>
      <c r="C94" s="178"/>
      <c r="D94" s="178"/>
      <c r="E94" s="178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178"/>
      <c r="B95" s="178"/>
      <c r="C95" s="178"/>
      <c r="D95" s="178"/>
      <c r="E95" s="178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178"/>
      <c r="B96" s="178"/>
      <c r="C96" s="178"/>
      <c r="D96" s="178"/>
      <c r="E96" s="178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178"/>
      <c r="B97" s="178"/>
      <c r="C97" s="178"/>
      <c r="D97" s="178"/>
      <c r="E97" s="178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178"/>
      <c r="B98" s="178"/>
      <c r="C98" s="178"/>
      <c r="D98" s="178"/>
      <c r="E98" s="178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178"/>
      <c r="B99" s="178"/>
      <c r="C99" s="178"/>
      <c r="D99" s="178"/>
      <c r="E99" s="178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178"/>
      <c r="B100" s="178"/>
      <c r="C100" s="178"/>
      <c r="D100" s="178"/>
      <c r="E100" s="178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178"/>
      <c r="B101" s="178"/>
      <c r="C101" s="178"/>
      <c r="D101" s="178"/>
      <c r="E101" s="178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178"/>
      <c r="B102" s="178"/>
      <c r="C102" s="178"/>
      <c r="D102" s="178"/>
      <c r="E102" s="178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178"/>
      <c r="B103" s="178"/>
      <c r="C103" s="178"/>
      <c r="D103" s="178"/>
      <c r="E103" s="178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178"/>
      <c r="B104" s="178"/>
      <c r="C104" s="178"/>
      <c r="D104" s="178"/>
      <c r="E104" s="178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178"/>
      <c r="B105" s="178"/>
      <c r="C105" s="178"/>
      <c r="D105" s="178"/>
      <c r="E105" s="178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178"/>
      <c r="B106" s="178"/>
      <c r="C106" s="178"/>
      <c r="D106" s="178"/>
      <c r="E106" s="178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178"/>
      <c r="B107" s="178"/>
      <c r="C107" s="178"/>
      <c r="D107" s="178"/>
      <c r="E107" s="178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178"/>
      <c r="B108" s="178"/>
      <c r="C108" s="178"/>
      <c r="D108" s="178"/>
      <c r="E108" s="178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178"/>
      <c r="B109" s="178"/>
      <c r="C109" s="178"/>
      <c r="D109" s="178"/>
      <c r="E109" s="178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178"/>
      <c r="B110" s="178"/>
      <c r="C110" s="178"/>
      <c r="D110" s="178"/>
      <c r="E110" s="178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178"/>
      <c r="B111" s="178"/>
      <c r="C111" s="178"/>
      <c r="D111" s="178"/>
      <c r="E111" s="178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178"/>
      <c r="B112" s="178"/>
      <c r="C112" s="178"/>
      <c r="D112" s="178"/>
      <c r="E112" s="178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178"/>
      <c r="B113" s="178"/>
      <c r="C113" s="178"/>
      <c r="D113" s="178"/>
      <c r="E113" s="178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178"/>
      <c r="B114" s="178"/>
      <c r="C114" s="178"/>
      <c r="D114" s="178"/>
      <c r="E114" s="178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178"/>
      <c r="B115" s="178"/>
      <c r="C115" s="178"/>
      <c r="D115" s="178"/>
      <c r="E115" s="178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178"/>
      <c r="B116" s="178"/>
      <c r="C116" s="178"/>
      <c r="D116" s="178"/>
      <c r="E116" s="178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178"/>
      <c r="B117" s="178"/>
      <c r="C117" s="178"/>
      <c r="D117" s="178"/>
      <c r="E117" s="178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178"/>
      <c r="B118" s="178"/>
      <c r="C118" s="178"/>
      <c r="D118" s="178"/>
      <c r="E118" s="178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178"/>
      <c r="B119" s="178"/>
      <c r="C119" s="178"/>
      <c r="D119" s="178"/>
      <c r="E119" s="178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178"/>
      <c r="B120" s="178"/>
      <c r="C120" s="178"/>
      <c r="D120" s="178"/>
      <c r="E120" s="178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178"/>
      <c r="B121" s="178"/>
      <c r="C121" s="178"/>
      <c r="D121" s="178"/>
      <c r="E121" s="178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178"/>
      <c r="B122" s="178"/>
      <c r="C122" s="178"/>
      <c r="D122" s="178"/>
      <c r="E122" s="178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178"/>
      <c r="B123" s="178"/>
      <c r="C123" s="178"/>
      <c r="D123" s="178"/>
      <c r="E123" s="178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178"/>
      <c r="B124" s="178"/>
      <c r="C124" s="178"/>
      <c r="D124" s="178"/>
      <c r="E124" s="178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178"/>
      <c r="B125" s="178"/>
      <c r="C125" s="178"/>
      <c r="D125" s="178"/>
      <c r="E125" s="178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178"/>
      <c r="B126" s="178"/>
      <c r="C126" s="178"/>
      <c r="D126" s="178"/>
      <c r="E126" s="178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178"/>
      <c r="B127" s="178"/>
      <c r="C127" s="178"/>
      <c r="D127" s="178"/>
      <c r="E127" s="178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178"/>
      <c r="B128" s="178"/>
      <c r="C128" s="178"/>
      <c r="D128" s="178"/>
      <c r="E128" s="178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178"/>
      <c r="B129" s="178"/>
      <c r="C129" s="178"/>
      <c r="D129" s="178"/>
      <c r="E129" s="178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178"/>
      <c r="B130" s="178"/>
      <c r="C130" s="178"/>
      <c r="D130" s="178"/>
      <c r="E130" s="178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178"/>
      <c r="B131" s="178"/>
      <c r="C131" s="178"/>
      <c r="D131" s="178"/>
      <c r="E131" s="178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178"/>
      <c r="B132" s="178"/>
      <c r="C132" s="178"/>
      <c r="D132" s="178"/>
      <c r="E132" s="178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178"/>
      <c r="B133" s="178"/>
      <c r="C133" s="178"/>
      <c r="D133" s="178"/>
      <c r="E133" s="178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178"/>
      <c r="B134" s="178"/>
      <c r="C134" s="178"/>
      <c r="D134" s="178"/>
      <c r="E134" s="178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178"/>
      <c r="B135" s="178"/>
      <c r="C135" s="178"/>
      <c r="D135" s="178"/>
      <c r="E135" s="178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178"/>
      <c r="B136" s="178"/>
      <c r="C136" s="178"/>
      <c r="D136" s="178"/>
      <c r="E136" s="178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178"/>
      <c r="B137" s="178"/>
      <c r="C137" s="178"/>
      <c r="D137" s="178"/>
      <c r="E137" s="178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178"/>
      <c r="B138" s="178"/>
      <c r="C138" s="178"/>
      <c r="D138" s="178"/>
      <c r="E138" s="178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178"/>
      <c r="B139" s="178"/>
      <c r="C139" s="178"/>
      <c r="D139" s="178"/>
      <c r="E139" s="178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178"/>
      <c r="B140" s="178"/>
      <c r="C140" s="178"/>
      <c r="D140" s="178"/>
      <c r="E140" s="178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178"/>
      <c r="B141" s="178"/>
      <c r="C141" s="178"/>
      <c r="D141" s="178"/>
      <c r="E141" s="178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178"/>
      <c r="B142" s="178"/>
      <c r="C142" s="178"/>
      <c r="D142" s="178"/>
      <c r="E142" s="178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178"/>
      <c r="B143" s="178"/>
      <c r="C143" s="178"/>
      <c r="D143" s="178"/>
      <c r="E143" s="178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178"/>
      <c r="B144" s="178"/>
      <c r="C144" s="178"/>
      <c r="D144" s="178"/>
      <c r="E144" s="178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178"/>
      <c r="B145" s="178"/>
      <c r="C145" s="178"/>
      <c r="D145" s="178"/>
      <c r="E145" s="178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178"/>
      <c r="B146" s="178"/>
      <c r="C146" s="178"/>
      <c r="D146" s="178"/>
      <c r="E146" s="178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178"/>
      <c r="B147" s="178"/>
      <c r="C147" s="178"/>
      <c r="D147" s="178"/>
      <c r="E147" s="178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178"/>
      <c r="B148" s="178"/>
      <c r="C148" s="178"/>
      <c r="D148" s="178"/>
      <c r="E148" s="178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178"/>
      <c r="B149" s="178"/>
      <c r="C149" s="178"/>
      <c r="D149" s="178"/>
      <c r="E149" s="178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178"/>
      <c r="B150" s="178"/>
      <c r="C150" s="178"/>
      <c r="D150" s="178"/>
      <c r="E150" s="178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178"/>
      <c r="B151" s="178"/>
      <c r="C151" s="178"/>
      <c r="D151" s="178"/>
      <c r="E151" s="178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178"/>
      <c r="B152" s="178"/>
      <c r="C152" s="178"/>
      <c r="D152" s="178"/>
      <c r="E152" s="178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178"/>
      <c r="B153" s="178"/>
      <c r="C153" s="178"/>
      <c r="D153" s="178"/>
      <c r="E153" s="178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178"/>
      <c r="B154" s="178"/>
      <c r="C154" s="178"/>
      <c r="D154" s="178"/>
      <c r="E154" s="178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178"/>
      <c r="B155" s="178"/>
      <c r="C155" s="178"/>
      <c r="D155" s="178"/>
      <c r="E155" s="178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178"/>
      <c r="B156" s="178"/>
      <c r="C156" s="178"/>
      <c r="D156" s="178"/>
      <c r="E156" s="178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178"/>
      <c r="B157" s="178"/>
      <c r="C157" s="178"/>
      <c r="D157" s="178"/>
      <c r="E157" s="178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178"/>
      <c r="B158" s="178"/>
      <c r="C158" s="178"/>
      <c r="D158" s="178"/>
      <c r="E158" s="178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178"/>
      <c r="B159" s="178"/>
      <c r="C159" s="178"/>
      <c r="D159" s="178"/>
      <c r="E159" s="178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178"/>
      <c r="B160" s="178"/>
      <c r="C160" s="178"/>
      <c r="D160" s="178"/>
      <c r="E160" s="178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178"/>
      <c r="B161" s="178"/>
      <c r="C161" s="178"/>
      <c r="D161" s="178"/>
      <c r="E161" s="178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178"/>
      <c r="B162" s="178"/>
      <c r="C162" s="178"/>
      <c r="D162" s="178"/>
      <c r="E162" s="178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178"/>
      <c r="B163" s="178"/>
      <c r="C163" s="178"/>
      <c r="D163" s="178"/>
      <c r="E163" s="178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178"/>
      <c r="B164" s="178"/>
      <c r="C164" s="178"/>
      <c r="D164" s="178"/>
      <c r="E164" s="178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178"/>
      <c r="B165" s="178"/>
      <c r="C165" s="178"/>
      <c r="D165" s="178"/>
      <c r="E165" s="178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178"/>
      <c r="B166" s="178"/>
      <c r="C166" s="178"/>
      <c r="D166" s="178"/>
      <c r="E166" s="178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178"/>
      <c r="B167" s="178"/>
      <c r="C167" s="178"/>
      <c r="D167" s="178"/>
      <c r="E167" s="178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178"/>
      <c r="B168" s="178"/>
      <c r="C168" s="178"/>
      <c r="D168" s="178"/>
      <c r="E168" s="178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178"/>
      <c r="B169" s="178"/>
      <c r="C169" s="178"/>
      <c r="D169" s="178"/>
      <c r="E169" s="178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178"/>
      <c r="B170" s="178"/>
      <c r="C170" s="178"/>
      <c r="D170" s="178"/>
      <c r="E170" s="178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178"/>
      <c r="B171" s="178"/>
      <c r="C171" s="178"/>
      <c r="D171" s="178"/>
      <c r="E171" s="178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178"/>
      <c r="B172" s="178"/>
      <c r="C172" s="178"/>
      <c r="D172" s="178"/>
      <c r="E172" s="178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178"/>
      <c r="B173" s="178"/>
      <c r="C173" s="178"/>
      <c r="D173" s="178"/>
      <c r="E173" s="178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178"/>
      <c r="B174" s="178"/>
      <c r="C174" s="178"/>
      <c r="D174" s="178"/>
      <c r="E174" s="178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178"/>
      <c r="B175" s="178"/>
      <c r="C175" s="178"/>
      <c r="D175" s="178"/>
      <c r="E175" s="178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178"/>
      <c r="B176" s="178"/>
      <c r="C176" s="178"/>
      <c r="D176" s="178"/>
      <c r="E176" s="178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178"/>
      <c r="B177" s="178"/>
      <c r="C177" s="178"/>
      <c r="D177" s="178"/>
      <c r="E177" s="178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178"/>
      <c r="B178" s="178"/>
      <c r="C178" s="178"/>
      <c r="D178" s="178"/>
      <c r="E178" s="178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178"/>
      <c r="B179" s="178"/>
      <c r="C179" s="178"/>
      <c r="D179" s="178"/>
      <c r="E179" s="178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178"/>
      <c r="B180" s="178"/>
      <c r="C180" s="178"/>
      <c r="D180" s="178"/>
      <c r="E180" s="178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178"/>
      <c r="B181" s="178"/>
      <c r="C181" s="178"/>
      <c r="D181" s="178"/>
      <c r="E181" s="178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178"/>
      <c r="B182" s="178"/>
      <c r="C182" s="178"/>
      <c r="D182" s="178"/>
      <c r="E182" s="178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178"/>
      <c r="B183" s="178"/>
      <c r="C183" s="178"/>
      <c r="D183" s="178"/>
      <c r="E183" s="178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178"/>
      <c r="B184" s="178"/>
      <c r="C184" s="178"/>
      <c r="D184" s="178"/>
      <c r="E184" s="178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178"/>
      <c r="B185" s="178"/>
      <c r="C185" s="178"/>
      <c r="D185" s="178"/>
      <c r="E185" s="178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178"/>
      <c r="B186" s="178"/>
      <c r="C186" s="178"/>
      <c r="D186" s="178"/>
      <c r="E186" s="178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178"/>
      <c r="B187" s="178"/>
      <c r="C187" s="178"/>
      <c r="D187" s="178"/>
      <c r="E187" s="178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178"/>
      <c r="B188" s="178"/>
      <c r="C188" s="178"/>
      <c r="D188" s="178"/>
      <c r="E188" s="178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178"/>
      <c r="B189" s="178"/>
      <c r="C189" s="178"/>
      <c r="D189" s="178"/>
      <c r="E189" s="178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178"/>
      <c r="B190" s="178"/>
      <c r="C190" s="178"/>
      <c r="D190" s="178"/>
      <c r="E190" s="178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178"/>
      <c r="B191" s="178"/>
      <c r="C191" s="178"/>
      <c r="D191" s="178"/>
      <c r="E191" s="178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178"/>
      <c r="B192" s="178"/>
      <c r="C192" s="178"/>
      <c r="D192" s="178"/>
      <c r="E192" s="178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178"/>
      <c r="B193" s="178"/>
      <c r="C193" s="178"/>
      <c r="D193" s="178"/>
      <c r="E193" s="178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178"/>
      <c r="B194" s="178"/>
      <c r="C194" s="178"/>
      <c r="D194" s="178"/>
      <c r="E194" s="178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178"/>
      <c r="B195" s="178"/>
      <c r="C195" s="178"/>
      <c r="D195" s="178"/>
      <c r="E195" s="178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178"/>
      <c r="B196" s="178"/>
      <c r="C196" s="178"/>
      <c r="D196" s="178"/>
      <c r="E196" s="178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178"/>
      <c r="B197" s="178"/>
      <c r="C197" s="178"/>
      <c r="D197" s="178"/>
      <c r="E197" s="178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178"/>
      <c r="B198" s="178"/>
      <c r="C198" s="178"/>
      <c r="D198" s="178"/>
      <c r="E198" s="178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178"/>
      <c r="B199" s="178"/>
      <c r="C199" s="178"/>
      <c r="D199" s="178"/>
      <c r="E199" s="178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178"/>
      <c r="B200" s="178"/>
      <c r="C200" s="178"/>
      <c r="D200" s="178"/>
      <c r="E200" s="178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178"/>
      <c r="B201" s="178"/>
      <c r="C201" s="178"/>
      <c r="D201" s="178"/>
      <c r="E201" s="178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178"/>
      <c r="B202" s="178"/>
      <c r="C202" s="178"/>
      <c r="D202" s="178"/>
      <c r="E202" s="178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178"/>
      <c r="B203" s="178"/>
      <c r="C203" s="178"/>
      <c r="D203" s="178"/>
      <c r="E203" s="178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178"/>
      <c r="B204" s="178"/>
      <c r="C204" s="178"/>
      <c r="D204" s="178"/>
      <c r="E204" s="178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178"/>
      <c r="B205" s="178"/>
      <c r="C205" s="178"/>
      <c r="D205" s="178"/>
      <c r="E205" s="178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178"/>
      <c r="B206" s="178"/>
      <c r="C206" s="178"/>
      <c r="D206" s="178"/>
      <c r="E206" s="178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178"/>
      <c r="B207" s="178"/>
      <c r="C207" s="178"/>
      <c r="D207" s="178"/>
      <c r="E207" s="178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178"/>
      <c r="B208" s="178"/>
      <c r="C208" s="178"/>
      <c r="D208" s="178"/>
      <c r="E208" s="178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178"/>
      <c r="B209" s="178"/>
      <c r="C209" s="178"/>
      <c r="D209" s="178"/>
      <c r="E209" s="178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178"/>
      <c r="B210" s="178"/>
      <c r="C210" s="178"/>
      <c r="D210" s="178"/>
      <c r="E210" s="178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178"/>
      <c r="B211" s="178"/>
      <c r="C211" s="178"/>
      <c r="D211" s="178"/>
      <c r="E211" s="178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178"/>
      <c r="B212" s="178"/>
      <c r="C212" s="178"/>
      <c r="D212" s="178"/>
      <c r="E212" s="178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178"/>
      <c r="B213" s="178"/>
      <c r="C213" s="178"/>
      <c r="D213" s="178"/>
      <c r="E213" s="178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178"/>
      <c r="B214" s="178"/>
      <c r="C214" s="178"/>
      <c r="D214" s="178"/>
      <c r="E214" s="178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178"/>
      <c r="B215" s="178"/>
      <c r="C215" s="178"/>
      <c r="D215" s="178"/>
      <c r="E215" s="178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178"/>
      <c r="B216" s="178"/>
      <c r="C216" s="178"/>
      <c r="D216" s="178"/>
      <c r="E216" s="178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178"/>
      <c r="B217" s="178"/>
      <c r="C217" s="178"/>
      <c r="D217" s="178"/>
      <c r="E217" s="178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178"/>
      <c r="B218" s="178"/>
      <c r="C218" s="178"/>
      <c r="D218" s="178"/>
      <c r="E218" s="178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178"/>
      <c r="B219" s="178"/>
      <c r="C219" s="178"/>
      <c r="D219" s="178"/>
      <c r="E219" s="178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178"/>
      <c r="B220" s="178"/>
      <c r="C220" s="178"/>
      <c r="D220" s="178"/>
      <c r="E220" s="178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178"/>
      <c r="B221" s="178"/>
      <c r="C221" s="178"/>
      <c r="D221" s="178"/>
      <c r="E221" s="178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178"/>
      <c r="B222" s="178"/>
      <c r="C222" s="178"/>
      <c r="D222" s="178"/>
      <c r="E222" s="178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178"/>
      <c r="B223" s="178"/>
      <c r="C223" s="178"/>
      <c r="D223" s="178"/>
      <c r="E223" s="178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178"/>
      <c r="B224" s="178"/>
      <c r="C224" s="178"/>
      <c r="D224" s="178"/>
      <c r="E224" s="178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178"/>
      <c r="B225" s="178"/>
      <c r="C225" s="178"/>
      <c r="D225" s="178"/>
      <c r="E225" s="178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178"/>
      <c r="B226" s="178"/>
      <c r="C226" s="178"/>
      <c r="D226" s="178"/>
      <c r="E226" s="178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178"/>
      <c r="B227" s="178"/>
      <c r="C227" s="178"/>
      <c r="D227" s="178"/>
      <c r="E227" s="178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178"/>
      <c r="B228" s="178"/>
      <c r="C228" s="178"/>
      <c r="D228" s="178"/>
      <c r="E228" s="178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178"/>
      <c r="B229" s="178"/>
      <c r="C229" s="178"/>
      <c r="D229" s="178"/>
      <c r="E229" s="178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178"/>
      <c r="B230" s="178"/>
      <c r="C230" s="178"/>
      <c r="D230" s="178"/>
      <c r="E230" s="178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178"/>
      <c r="B231" s="178"/>
      <c r="C231" s="178"/>
      <c r="D231" s="178"/>
      <c r="E231" s="178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178"/>
      <c r="B232" s="178"/>
      <c r="C232" s="178"/>
      <c r="D232" s="178"/>
      <c r="E232" s="178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178"/>
      <c r="B233" s="178"/>
      <c r="C233" s="178"/>
      <c r="D233" s="178"/>
      <c r="E233" s="178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178"/>
      <c r="B234" s="178"/>
      <c r="C234" s="178"/>
      <c r="D234" s="178"/>
      <c r="E234" s="178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178"/>
      <c r="B235" s="178"/>
      <c r="C235" s="178"/>
      <c r="D235" s="178"/>
      <c r="E235" s="178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178"/>
      <c r="B236" s="178"/>
      <c r="C236" s="178"/>
      <c r="D236" s="178"/>
      <c r="E236" s="178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178"/>
      <c r="B237" s="178"/>
      <c r="C237" s="178"/>
      <c r="D237" s="178"/>
      <c r="E237" s="178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178"/>
      <c r="B238" s="178"/>
      <c r="C238" s="178"/>
      <c r="D238" s="178"/>
      <c r="E238" s="178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178"/>
      <c r="B239" s="178"/>
      <c r="C239" s="178"/>
      <c r="D239" s="178"/>
      <c r="E239" s="178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178"/>
      <c r="B240" s="178"/>
      <c r="C240" s="178"/>
      <c r="D240" s="178"/>
      <c r="E240" s="178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178"/>
      <c r="B241" s="178"/>
      <c r="C241" s="178"/>
      <c r="D241" s="178"/>
      <c r="E241" s="178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178"/>
      <c r="B242" s="178"/>
      <c r="C242" s="178"/>
      <c r="D242" s="178"/>
      <c r="E242" s="178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178"/>
      <c r="B243" s="178"/>
      <c r="C243" s="178"/>
      <c r="D243" s="178"/>
      <c r="E243" s="178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178"/>
      <c r="B244" s="178"/>
      <c r="C244" s="178"/>
      <c r="D244" s="178"/>
      <c r="E244" s="178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178"/>
      <c r="B245" s="178"/>
      <c r="C245" s="178"/>
      <c r="D245" s="178"/>
      <c r="E245" s="178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178"/>
      <c r="B246" s="178"/>
      <c r="C246" s="178"/>
      <c r="D246" s="178"/>
      <c r="E246" s="178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178"/>
      <c r="B247" s="178"/>
      <c r="C247" s="178"/>
      <c r="D247" s="178"/>
      <c r="E247" s="178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178"/>
      <c r="B248" s="178"/>
      <c r="C248" s="178"/>
      <c r="D248" s="178"/>
      <c r="E248" s="178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178"/>
      <c r="B249" s="178"/>
      <c r="C249" s="178"/>
      <c r="D249" s="178"/>
      <c r="E249" s="178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178"/>
      <c r="B250" s="178"/>
      <c r="C250" s="178"/>
      <c r="D250" s="178"/>
      <c r="E250" s="178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178"/>
      <c r="B251" s="178"/>
      <c r="C251" s="178"/>
      <c r="D251" s="178"/>
      <c r="E251" s="178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178"/>
      <c r="B252" s="178"/>
      <c r="C252" s="178"/>
      <c r="D252" s="178"/>
      <c r="E252" s="178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178"/>
      <c r="B253" s="178"/>
      <c r="C253" s="178"/>
      <c r="D253" s="178"/>
      <c r="E253" s="178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178"/>
      <c r="B254" s="178"/>
      <c r="C254" s="178"/>
      <c r="D254" s="178"/>
      <c r="E254" s="178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178"/>
      <c r="B255" s="178"/>
      <c r="C255" s="178"/>
      <c r="D255" s="178"/>
      <c r="E255" s="178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178"/>
      <c r="B256" s="178"/>
      <c r="C256" s="178"/>
      <c r="D256" s="178"/>
      <c r="E256" s="178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178"/>
      <c r="B257" s="178"/>
      <c r="C257" s="178"/>
      <c r="D257" s="178"/>
      <c r="E257" s="178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178"/>
      <c r="B258" s="178"/>
      <c r="C258" s="178"/>
      <c r="D258" s="178"/>
      <c r="E258" s="178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178"/>
      <c r="B259" s="178"/>
      <c r="C259" s="178"/>
      <c r="D259" s="178"/>
      <c r="E259" s="178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178"/>
      <c r="B260" s="178"/>
      <c r="C260" s="178"/>
      <c r="D260" s="178"/>
      <c r="E260" s="178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178"/>
      <c r="B261" s="178"/>
      <c r="C261" s="178"/>
      <c r="D261" s="178"/>
      <c r="E261" s="178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178"/>
      <c r="B262" s="178"/>
      <c r="C262" s="178"/>
      <c r="D262" s="178"/>
      <c r="E262" s="178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178"/>
      <c r="B263" s="178"/>
      <c r="C263" s="178"/>
      <c r="D263" s="178"/>
      <c r="E263" s="178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178"/>
      <c r="B264" s="178"/>
      <c r="C264" s="178"/>
      <c r="D264" s="178"/>
      <c r="E264" s="178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178"/>
      <c r="B265" s="178"/>
      <c r="C265" s="178"/>
      <c r="D265" s="178"/>
      <c r="E265" s="178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178"/>
      <c r="B266" s="178"/>
      <c r="C266" s="178"/>
      <c r="D266" s="178"/>
      <c r="E266" s="178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178"/>
      <c r="B267" s="178"/>
      <c r="C267" s="178"/>
      <c r="D267" s="178"/>
      <c r="E267" s="178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178"/>
      <c r="B268" s="178"/>
      <c r="C268" s="178"/>
      <c r="D268" s="178"/>
      <c r="E268" s="178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178"/>
      <c r="B269" s="178"/>
      <c r="C269" s="178"/>
      <c r="D269" s="178"/>
      <c r="E269" s="178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178"/>
      <c r="B270" s="178"/>
      <c r="C270" s="178"/>
      <c r="D270" s="178"/>
      <c r="E270" s="178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178"/>
      <c r="B271" s="178"/>
      <c r="C271" s="178"/>
      <c r="D271" s="178"/>
      <c r="E271" s="178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178"/>
      <c r="B272" s="178"/>
      <c r="C272" s="178"/>
      <c r="D272" s="178"/>
      <c r="E272" s="178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178"/>
      <c r="B273" s="178"/>
      <c r="C273" s="178"/>
      <c r="D273" s="178"/>
      <c r="E273" s="178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178"/>
      <c r="B274" s="178"/>
      <c r="C274" s="178"/>
      <c r="D274" s="178"/>
      <c r="E274" s="178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178"/>
      <c r="B275" s="178"/>
      <c r="C275" s="178"/>
      <c r="D275" s="178"/>
      <c r="E275" s="178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178"/>
      <c r="B276" s="178"/>
      <c r="C276" s="178"/>
      <c r="D276" s="178"/>
      <c r="E276" s="178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178"/>
      <c r="B277" s="178"/>
      <c r="C277" s="178"/>
      <c r="D277" s="178"/>
      <c r="E277" s="178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178"/>
      <c r="B278" s="178"/>
      <c r="C278" s="178"/>
      <c r="D278" s="178"/>
      <c r="E278" s="178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178"/>
      <c r="B279" s="178"/>
      <c r="C279" s="178"/>
      <c r="D279" s="178"/>
      <c r="E279" s="178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178"/>
      <c r="B280" s="178"/>
      <c r="C280" s="178"/>
      <c r="D280" s="178"/>
      <c r="E280" s="178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178"/>
      <c r="B281" s="178"/>
      <c r="C281" s="178"/>
      <c r="D281" s="178"/>
      <c r="E281" s="178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178"/>
      <c r="B282" s="178"/>
      <c r="C282" s="178"/>
      <c r="D282" s="178"/>
      <c r="E282" s="178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178"/>
      <c r="B283" s="178"/>
      <c r="C283" s="178"/>
      <c r="D283" s="178"/>
      <c r="E283" s="178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178"/>
      <c r="B284" s="178"/>
      <c r="C284" s="178"/>
      <c r="D284" s="178"/>
      <c r="E284" s="178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178"/>
      <c r="B285" s="178"/>
      <c r="C285" s="178"/>
      <c r="D285" s="178"/>
      <c r="E285" s="178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178"/>
      <c r="B286" s="178"/>
      <c r="C286" s="178"/>
      <c r="D286" s="178"/>
      <c r="E286" s="178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178"/>
      <c r="B287" s="178"/>
      <c r="C287" s="178"/>
      <c r="D287" s="178"/>
      <c r="E287" s="178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178"/>
      <c r="B288" s="178"/>
      <c r="C288" s="178"/>
      <c r="D288" s="178"/>
      <c r="E288" s="178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178"/>
      <c r="B289" s="178"/>
      <c r="C289" s="178"/>
      <c r="D289" s="178"/>
      <c r="E289" s="178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178"/>
      <c r="B290" s="178"/>
      <c r="C290" s="178"/>
      <c r="D290" s="178"/>
      <c r="E290" s="178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178"/>
      <c r="B291" s="178"/>
      <c r="C291" s="178"/>
      <c r="D291" s="178"/>
      <c r="E291" s="178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178"/>
      <c r="B292" s="178"/>
      <c r="C292" s="178"/>
      <c r="D292" s="178"/>
      <c r="E292" s="178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178"/>
      <c r="B293" s="178"/>
      <c r="C293" s="178"/>
      <c r="D293" s="178"/>
      <c r="E293" s="178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178"/>
      <c r="B294" s="178"/>
      <c r="C294" s="178"/>
      <c r="D294" s="178"/>
      <c r="E294" s="178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178"/>
      <c r="B295" s="178"/>
      <c r="C295" s="178"/>
      <c r="D295" s="178"/>
      <c r="E295" s="178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178"/>
      <c r="B296" s="178"/>
      <c r="C296" s="178"/>
      <c r="D296" s="178"/>
      <c r="E296" s="178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178"/>
      <c r="B297" s="178"/>
      <c r="C297" s="178"/>
      <c r="D297" s="178"/>
      <c r="E297" s="178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178"/>
      <c r="B298" s="178"/>
      <c r="C298" s="178"/>
      <c r="D298" s="178"/>
      <c r="E298" s="178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178"/>
      <c r="B299" s="178"/>
      <c r="C299" s="178"/>
      <c r="D299" s="178"/>
      <c r="E299" s="178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178"/>
      <c r="B300" s="178"/>
      <c r="C300" s="178"/>
      <c r="D300" s="178"/>
      <c r="E300" s="178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178"/>
      <c r="B301" s="178"/>
      <c r="C301" s="178"/>
      <c r="D301" s="178"/>
      <c r="E301" s="178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178"/>
      <c r="B302" s="178"/>
      <c r="C302" s="178"/>
      <c r="D302" s="178"/>
      <c r="E302" s="178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178"/>
      <c r="B303" s="178"/>
      <c r="C303" s="178"/>
      <c r="D303" s="178"/>
      <c r="E303" s="178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178"/>
      <c r="B304" s="178"/>
      <c r="C304" s="178"/>
      <c r="D304" s="178"/>
      <c r="E304" s="178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178"/>
      <c r="B305" s="178"/>
      <c r="C305" s="178"/>
      <c r="D305" s="178"/>
      <c r="E305" s="178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178"/>
      <c r="B306" s="178"/>
      <c r="C306" s="178"/>
      <c r="D306" s="178"/>
      <c r="E306" s="178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178"/>
      <c r="B307" s="178"/>
      <c r="C307" s="178"/>
      <c r="D307" s="178"/>
      <c r="E307" s="178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178"/>
      <c r="B308" s="178"/>
      <c r="C308" s="178"/>
      <c r="D308" s="178"/>
      <c r="E308" s="178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178"/>
      <c r="B309" s="178"/>
      <c r="C309" s="178"/>
      <c r="D309" s="178"/>
      <c r="E309" s="178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178"/>
      <c r="B310" s="178"/>
      <c r="C310" s="178"/>
      <c r="D310" s="178"/>
      <c r="E310" s="178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178"/>
      <c r="B311" s="178"/>
      <c r="C311" s="178"/>
      <c r="D311" s="178"/>
      <c r="E311" s="178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178"/>
      <c r="B312" s="178"/>
      <c r="C312" s="178"/>
      <c r="D312" s="178"/>
      <c r="E312" s="178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178"/>
      <c r="B313" s="178"/>
      <c r="C313" s="178"/>
      <c r="D313" s="178"/>
      <c r="E313" s="178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178"/>
      <c r="B314" s="178"/>
      <c r="C314" s="178"/>
      <c r="D314" s="178"/>
      <c r="E314" s="178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178"/>
      <c r="B315" s="178"/>
      <c r="C315" s="178"/>
      <c r="D315" s="178"/>
      <c r="E315" s="178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178"/>
      <c r="B316" s="178"/>
      <c r="C316" s="178"/>
      <c r="D316" s="178"/>
      <c r="E316" s="178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178"/>
      <c r="B317" s="178"/>
      <c r="C317" s="178"/>
      <c r="D317" s="178"/>
      <c r="E317" s="178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178"/>
      <c r="B318" s="178"/>
      <c r="C318" s="178"/>
      <c r="D318" s="178"/>
      <c r="E318" s="178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178"/>
      <c r="B319" s="178"/>
      <c r="C319" s="178"/>
      <c r="D319" s="178"/>
      <c r="E319" s="178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178"/>
      <c r="B320" s="178"/>
      <c r="C320" s="178"/>
      <c r="D320" s="178"/>
      <c r="E320" s="178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178"/>
      <c r="B321" s="178"/>
      <c r="C321" s="178"/>
      <c r="D321" s="178"/>
      <c r="E321" s="178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178"/>
      <c r="B322" s="178"/>
      <c r="C322" s="178"/>
      <c r="D322" s="178"/>
      <c r="E322" s="178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178"/>
      <c r="B323" s="178"/>
      <c r="C323" s="178"/>
      <c r="D323" s="178"/>
      <c r="E323" s="178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178"/>
      <c r="B324" s="178"/>
      <c r="C324" s="178"/>
      <c r="D324" s="178"/>
      <c r="E324" s="178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178"/>
      <c r="B325" s="178"/>
      <c r="C325" s="178"/>
      <c r="D325" s="178"/>
      <c r="E325" s="178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178"/>
      <c r="B326" s="178"/>
      <c r="C326" s="178"/>
      <c r="D326" s="178"/>
      <c r="E326" s="178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178"/>
      <c r="B327" s="178"/>
      <c r="C327" s="178"/>
      <c r="D327" s="178"/>
      <c r="E327" s="178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178"/>
      <c r="B328" s="178"/>
      <c r="C328" s="178"/>
      <c r="D328" s="178"/>
      <c r="E328" s="178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178"/>
      <c r="B329" s="178"/>
      <c r="C329" s="178"/>
      <c r="D329" s="178"/>
      <c r="E329" s="178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178"/>
      <c r="B330" s="178"/>
      <c r="C330" s="178"/>
      <c r="D330" s="178"/>
      <c r="E330" s="178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178"/>
      <c r="B331" s="178"/>
      <c r="C331" s="178"/>
      <c r="D331" s="178"/>
      <c r="E331" s="178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178"/>
      <c r="B332" s="178"/>
      <c r="C332" s="178"/>
      <c r="D332" s="178"/>
      <c r="E332" s="178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178"/>
      <c r="B333" s="178"/>
      <c r="C333" s="178"/>
      <c r="D333" s="178"/>
      <c r="E333" s="178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178"/>
      <c r="B334" s="178"/>
      <c r="C334" s="178"/>
      <c r="D334" s="178"/>
      <c r="E334" s="178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178"/>
      <c r="B335" s="178"/>
      <c r="C335" s="178"/>
      <c r="D335" s="178"/>
      <c r="E335" s="178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178"/>
      <c r="B336" s="178"/>
      <c r="C336" s="178"/>
      <c r="D336" s="178"/>
      <c r="E336" s="178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178"/>
      <c r="B337" s="178"/>
      <c r="C337" s="178"/>
      <c r="D337" s="178"/>
      <c r="E337" s="178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178"/>
      <c r="B338" s="178"/>
      <c r="C338" s="178"/>
      <c r="D338" s="178"/>
      <c r="E338" s="178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178"/>
      <c r="B339" s="178"/>
      <c r="C339" s="178"/>
      <c r="D339" s="178"/>
      <c r="E339" s="178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178"/>
      <c r="B340" s="178"/>
      <c r="C340" s="178"/>
      <c r="D340" s="178"/>
      <c r="E340" s="178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178"/>
      <c r="B341" s="178"/>
      <c r="C341" s="178"/>
      <c r="D341" s="178"/>
      <c r="E341" s="178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178"/>
      <c r="B342" s="178"/>
      <c r="C342" s="178"/>
      <c r="D342" s="178"/>
      <c r="E342" s="178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178"/>
      <c r="B343" s="178"/>
      <c r="C343" s="178"/>
      <c r="D343" s="178"/>
      <c r="E343" s="178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178"/>
      <c r="B344" s="178"/>
      <c r="C344" s="178"/>
      <c r="D344" s="178"/>
      <c r="E344" s="178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178"/>
      <c r="B345" s="178"/>
      <c r="C345" s="178"/>
      <c r="D345" s="178"/>
      <c r="E345" s="178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178"/>
      <c r="B346" s="178"/>
      <c r="C346" s="178"/>
      <c r="D346" s="178"/>
      <c r="E346" s="178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178"/>
      <c r="B347" s="178"/>
      <c r="C347" s="178"/>
      <c r="D347" s="178"/>
      <c r="E347" s="178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178"/>
      <c r="B348" s="178"/>
      <c r="C348" s="178"/>
      <c r="D348" s="178"/>
      <c r="E348" s="178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178"/>
      <c r="B349" s="178"/>
      <c r="C349" s="178"/>
      <c r="D349" s="178"/>
      <c r="E349" s="178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178"/>
      <c r="B350" s="178"/>
      <c r="C350" s="178"/>
      <c r="D350" s="178"/>
      <c r="E350" s="178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178"/>
      <c r="B351" s="178"/>
      <c r="C351" s="178"/>
      <c r="D351" s="178"/>
      <c r="E351" s="178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178"/>
      <c r="B352" s="178"/>
      <c r="C352" s="178"/>
      <c r="D352" s="178"/>
      <c r="E352" s="178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178"/>
      <c r="B353" s="178"/>
      <c r="C353" s="178"/>
      <c r="D353" s="178"/>
      <c r="E353" s="178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178"/>
      <c r="B354" s="178"/>
      <c r="C354" s="178"/>
      <c r="D354" s="178"/>
      <c r="E354" s="178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178"/>
      <c r="B355" s="178"/>
      <c r="C355" s="178"/>
      <c r="D355" s="178"/>
      <c r="E355" s="178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178"/>
      <c r="B356" s="178"/>
      <c r="C356" s="178"/>
      <c r="D356" s="178"/>
      <c r="E356" s="178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178"/>
      <c r="B357" s="178"/>
      <c r="C357" s="178"/>
      <c r="D357" s="178"/>
      <c r="E357" s="178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178"/>
      <c r="B358" s="178"/>
      <c r="C358" s="178"/>
      <c r="D358" s="178"/>
      <c r="E358" s="178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178"/>
      <c r="B359" s="178"/>
      <c r="C359" s="178"/>
      <c r="D359" s="178"/>
      <c r="E359" s="178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178"/>
      <c r="B360" s="178"/>
      <c r="C360" s="178"/>
      <c r="D360" s="178"/>
      <c r="E360" s="178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178"/>
      <c r="B361" s="178"/>
      <c r="C361" s="178"/>
      <c r="D361" s="178"/>
      <c r="E361" s="178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178"/>
      <c r="B362" s="178"/>
      <c r="C362" s="178"/>
      <c r="D362" s="178"/>
      <c r="E362" s="178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178"/>
      <c r="B363" s="178"/>
      <c r="C363" s="178"/>
      <c r="D363" s="178"/>
      <c r="E363" s="178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178"/>
      <c r="B364" s="178"/>
      <c r="C364" s="178"/>
      <c r="D364" s="178"/>
      <c r="E364" s="178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178"/>
      <c r="B365" s="178"/>
      <c r="C365" s="178"/>
      <c r="D365" s="178"/>
      <c r="E365" s="178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178"/>
      <c r="B366" s="178"/>
      <c r="C366" s="178"/>
      <c r="D366" s="178"/>
      <c r="E366" s="178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178"/>
      <c r="B367" s="178"/>
      <c r="C367" s="178"/>
      <c r="D367" s="178"/>
      <c r="E367" s="178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178"/>
      <c r="B368" s="178"/>
      <c r="C368" s="178"/>
      <c r="D368" s="178"/>
      <c r="E368" s="178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178"/>
      <c r="B369" s="178"/>
      <c r="C369" s="178"/>
      <c r="D369" s="178"/>
      <c r="E369" s="178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178"/>
      <c r="B370" s="178"/>
      <c r="C370" s="178"/>
      <c r="D370" s="178"/>
      <c r="E370" s="178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178"/>
      <c r="B371" s="178"/>
      <c r="C371" s="178"/>
      <c r="D371" s="178"/>
      <c r="E371" s="178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178"/>
      <c r="B372" s="178"/>
      <c r="C372" s="178"/>
      <c r="D372" s="178"/>
      <c r="E372" s="178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178"/>
      <c r="B373" s="178"/>
      <c r="C373" s="178"/>
      <c r="D373" s="178"/>
      <c r="E373" s="178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178"/>
      <c r="B374" s="178"/>
      <c r="C374" s="178"/>
      <c r="D374" s="178"/>
      <c r="E374" s="178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178"/>
      <c r="B375" s="178"/>
      <c r="C375" s="178"/>
      <c r="D375" s="178"/>
      <c r="E375" s="178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178"/>
      <c r="B376" s="178"/>
      <c r="C376" s="178"/>
      <c r="D376" s="178"/>
      <c r="E376" s="178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178"/>
      <c r="B377" s="178"/>
      <c r="C377" s="178"/>
      <c r="D377" s="178"/>
      <c r="E377" s="178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178"/>
      <c r="B378" s="178"/>
      <c r="C378" s="178"/>
      <c r="D378" s="178"/>
      <c r="E378" s="178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178"/>
      <c r="B379" s="178"/>
      <c r="C379" s="178"/>
      <c r="D379" s="178"/>
      <c r="E379" s="178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178"/>
      <c r="B380" s="178"/>
      <c r="C380" s="178"/>
      <c r="D380" s="178"/>
      <c r="E380" s="178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178"/>
      <c r="B381" s="178"/>
      <c r="C381" s="178"/>
      <c r="D381" s="178"/>
      <c r="E381" s="178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178"/>
      <c r="B382" s="178"/>
      <c r="C382" s="178"/>
      <c r="D382" s="178"/>
      <c r="E382" s="178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178"/>
      <c r="B383" s="178"/>
      <c r="C383" s="178"/>
      <c r="D383" s="178"/>
      <c r="E383" s="178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178"/>
      <c r="B384" s="178"/>
      <c r="C384" s="178"/>
      <c r="D384" s="178"/>
      <c r="E384" s="178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178"/>
      <c r="B385" s="178"/>
      <c r="C385" s="178"/>
      <c r="D385" s="178"/>
      <c r="E385" s="178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178"/>
      <c r="B386" s="178"/>
      <c r="C386" s="178"/>
      <c r="D386" s="178"/>
      <c r="E386" s="178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178"/>
      <c r="B387" s="178"/>
      <c r="C387" s="178"/>
      <c r="D387" s="178"/>
      <c r="E387" s="178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178"/>
      <c r="B388" s="178"/>
      <c r="C388" s="178"/>
      <c r="D388" s="178"/>
      <c r="E388" s="178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178"/>
      <c r="B389" s="178"/>
      <c r="C389" s="178"/>
      <c r="D389" s="178"/>
      <c r="E389" s="178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178"/>
      <c r="B390" s="178"/>
      <c r="C390" s="178"/>
      <c r="D390" s="178"/>
      <c r="E390" s="178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178"/>
      <c r="B391" s="178"/>
      <c r="C391" s="178"/>
      <c r="D391" s="178"/>
      <c r="E391" s="178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178"/>
      <c r="B392" s="178"/>
      <c r="C392" s="178"/>
      <c r="D392" s="178"/>
      <c r="E392" s="178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178"/>
      <c r="B393" s="178"/>
      <c r="C393" s="178"/>
      <c r="D393" s="178"/>
      <c r="E393" s="178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178"/>
      <c r="B394" s="178"/>
      <c r="C394" s="178"/>
      <c r="D394" s="178"/>
      <c r="E394" s="178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178"/>
      <c r="B395" s="178"/>
      <c r="C395" s="178"/>
      <c r="D395" s="178"/>
      <c r="E395" s="178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178"/>
      <c r="B396" s="178"/>
      <c r="C396" s="178"/>
      <c r="D396" s="178"/>
      <c r="E396" s="178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178"/>
      <c r="B397" s="178"/>
      <c r="C397" s="178"/>
      <c r="D397" s="178"/>
      <c r="E397" s="178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178"/>
      <c r="B398" s="178"/>
      <c r="C398" s="178"/>
      <c r="D398" s="178"/>
      <c r="E398" s="178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178"/>
      <c r="B399" s="178"/>
      <c r="C399" s="178"/>
      <c r="D399" s="178"/>
      <c r="E399" s="178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178"/>
      <c r="B400" s="178"/>
      <c r="C400" s="178"/>
      <c r="D400" s="178"/>
      <c r="E400" s="178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178"/>
      <c r="B401" s="178"/>
      <c r="C401" s="178"/>
      <c r="D401" s="178"/>
      <c r="E401" s="178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178"/>
      <c r="B402" s="178"/>
      <c r="C402" s="178"/>
      <c r="D402" s="178"/>
      <c r="E402" s="178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178"/>
      <c r="B403" s="178"/>
      <c r="C403" s="178"/>
      <c r="D403" s="178"/>
      <c r="E403" s="178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178"/>
      <c r="B404" s="178"/>
      <c r="C404" s="178"/>
      <c r="D404" s="178"/>
      <c r="E404" s="178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178"/>
      <c r="B405" s="178"/>
      <c r="C405" s="178"/>
      <c r="D405" s="178"/>
      <c r="E405" s="178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178"/>
      <c r="B406" s="178"/>
      <c r="C406" s="178"/>
      <c r="D406" s="178"/>
      <c r="E406" s="178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178"/>
      <c r="B407" s="178"/>
      <c r="C407" s="178"/>
      <c r="D407" s="178"/>
      <c r="E407" s="178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178"/>
      <c r="B408" s="178"/>
      <c r="C408" s="178"/>
      <c r="D408" s="178"/>
      <c r="E408" s="178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178"/>
      <c r="B409" s="178"/>
      <c r="C409" s="178"/>
      <c r="D409" s="178"/>
      <c r="E409" s="178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178"/>
      <c r="B410" s="178"/>
      <c r="C410" s="178"/>
      <c r="D410" s="178"/>
      <c r="E410" s="178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178"/>
      <c r="B411" s="178"/>
      <c r="C411" s="178"/>
      <c r="D411" s="178"/>
      <c r="E411" s="178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178"/>
      <c r="B412" s="178"/>
      <c r="C412" s="178"/>
      <c r="D412" s="178"/>
      <c r="E412" s="178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178"/>
      <c r="B413" s="178"/>
      <c r="C413" s="178"/>
      <c r="D413" s="178"/>
      <c r="E413" s="178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178"/>
      <c r="B414" s="178"/>
      <c r="C414" s="178"/>
      <c r="D414" s="178"/>
      <c r="E414" s="178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178"/>
      <c r="B415" s="178"/>
      <c r="C415" s="178"/>
      <c r="D415" s="178"/>
      <c r="E415" s="178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178"/>
      <c r="B416" s="178"/>
      <c r="C416" s="178"/>
      <c r="D416" s="178"/>
      <c r="E416" s="178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178"/>
      <c r="B417" s="178"/>
      <c r="C417" s="178"/>
      <c r="D417" s="178"/>
      <c r="E417" s="178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178"/>
      <c r="B418" s="178"/>
      <c r="C418" s="178"/>
      <c r="D418" s="178"/>
      <c r="E418" s="178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178"/>
      <c r="B419" s="178"/>
      <c r="C419" s="178"/>
      <c r="D419" s="178"/>
      <c r="E419" s="178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178"/>
      <c r="B420" s="178"/>
      <c r="C420" s="178"/>
      <c r="D420" s="178"/>
      <c r="E420" s="178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178"/>
      <c r="B421" s="178"/>
      <c r="C421" s="178"/>
      <c r="D421" s="178"/>
      <c r="E421" s="178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178"/>
      <c r="B422" s="178"/>
      <c r="C422" s="178"/>
      <c r="D422" s="178"/>
      <c r="E422" s="178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178"/>
      <c r="B423" s="178"/>
      <c r="C423" s="178"/>
      <c r="D423" s="178"/>
      <c r="E423" s="178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178"/>
      <c r="B424" s="178"/>
      <c r="C424" s="178"/>
      <c r="D424" s="178"/>
      <c r="E424" s="178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178"/>
      <c r="B425" s="178"/>
      <c r="C425" s="178"/>
      <c r="D425" s="178"/>
      <c r="E425" s="178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178"/>
      <c r="B426" s="178"/>
      <c r="C426" s="178"/>
      <c r="D426" s="178"/>
      <c r="E426" s="178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178"/>
      <c r="B427" s="178"/>
      <c r="C427" s="178"/>
      <c r="D427" s="178"/>
      <c r="E427" s="178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178"/>
      <c r="B428" s="178"/>
      <c r="C428" s="178"/>
      <c r="D428" s="178"/>
      <c r="E428" s="178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178"/>
      <c r="B429" s="178"/>
      <c r="C429" s="178"/>
      <c r="D429" s="178"/>
      <c r="E429" s="178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178"/>
      <c r="B430" s="178"/>
      <c r="C430" s="178"/>
      <c r="D430" s="178"/>
      <c r="E430" s="178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178"/>
      <c r="B431" s="178"/>
      <c r="C431" s="178"/>
      <c r="D431" s="178"/>
      <c r="E431" s="178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178"/>
      <c r="B432" s="178"/>
      <c r="C432" s="178"/>
      <c r="D432" s="178"/>
      <c r="E432" s="178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178"/>
      <c r="B433" s="178"/>
      <c r="C433" s="178"/>
      <c r="D433" s="178"/>
      <c r="E433" s="178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178"/>
      <c r="B434" s="178"/>
      <c r="C434" s="178"/>
      <c r="D434" s="178"/>
      <c r="E434" s="178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178"/>
      <c r="B435" s="178"/>
      <c r="C435" s="178"/>
      <c r="D435" s="178"/>
      <c r="E435" s="178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178"/>
      <c r="B436" s="178"/>
      <c r="C436" s="178"/>
      <c r="D436" s="178"/>
      <c r="E436" s="178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178"/>
      <c r="B437" s="178"/>
      <c r="C437" s="178"/>
      <c r="D437" s="178"/>
      <c r="E437" s="178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178"/>
      <c r="B438" s="178"/>
      <c r="C438" s="178"/>
      <c r="D438" s="178"/>
      <c r="E438" s="178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178"/>
      <c r="B439" s="178"/>
      <c r="C439" s="178"/>
      <c r="D439" s="178"/>
      <c r="E439" s="178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178"/>
      <c r="B440" s="178"/>
      <c r="C440" s="178"/>
      <c r="D440" s="178"/>
      <c r="E440" s="178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178"/>
      <c r="B441" s="178"/>
      <c r="C441" s="178"/>
      <c r="D441" s="178"/>
      <c r="E441" s="178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178"/>
      <c r="B442" s="178"/>
      <c r="C442" s="178"/>
      <c r="D442" s="178"/>
      <c r="E442" s="178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178"/>
      <c r="B443" s="178"/>
      <c r="C443" s="178"/>
      <c r="D443" s="178"/>
      <c r="E443" s="178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178"/>
      <c r="B444" s="178"/>
      <c r="C444" s="178"/>
      <c r="D444" s="178"/>
      <c r="E444" s="178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178"/>
      <c r="B445" s="178"/>
      <c r="C445" s="178"/>
      <c r="D445" s="178"/>
      <c r="E445" s="178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178"/>
      <c r="B446" s="178"/>
      <c r="C446" s="178"/>
      <c r="D446" s="178"/>
      <c r="E446" s="178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178"/>
      <c r="B447" s="178"/>
      <c r="C447" s="178"/>
      <c r="D447" s="178"/>
      <c r="E447" s="178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178"/>
      <c r="B448" s="178"/>
      <c r="C448" s="178"/>
      <c r="D448" s="178"/>
      <c r="E448" s="178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178"/>
      <c r="B449" s="178"/>
      <c r="C449" s="178"/>
      <c r="D449" s="178"/>
      <c r="E449" s="178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178"/>
      <c r="B450" s="178"/>
      <c r="C450" s="178"/>
      <c r="D450" s="178"/>
      <c r="E450" s="178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178"/>
      <c r="B451" s="178"/>
      <c r="C451" s="178"/>
      <c r="D451" s="178"/>
      <c r="E451" s="178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178"/>
      <c r="B452" s="178"/>
      <c r="C452" s="178"/>
      <c r="D452" s="178"/>
      <c r="E452" s="178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178"/>
      <c r="B453" s="178"/>
      <c r="C453" s="178"/>
      <c r="D453" s="178"/>
      <c r="E453" s="178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178"/>
      <c r="B454" s="178"/>
      <c r="C454" s="178"/>
      <c r="D454" s="178"/>
      <c r="E454" s="178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178"/>
      <c r="B455" s="178"/>
      <c r="C455" s="178"/>
      <c r="D455" s="178"/>
      <c r="E455" s="178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178"/>
      <c r="B456" s="178"/>
      <c r="C456" s="178"/>
      <c r="D456" s="178"/>
      <c r="E456" s="178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178"/>
      <c r="B457" s="178"/>
      <c r="C457" s="178"/>
      <c r="D457" s="178"/>
      <c r="E457" s="178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178"/>
      <c r="B458" s="178"/>
      <c r="C458" s="178"/>
      <c r="D458" s="178"/>
      <c r="E458" s="178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178"/>
      <c r="B459" s="178"/>
      <c r="C459" s="178"/>
      <c r="D459" s="178"/>
      <c r="E459" s="178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178"/>
      <c r="B460" s="178"/>
      <c r="C460" s="178"/>
      <c r="D460" s="178"/>
      <c r="E460" s="178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178"/>
      <c r="B461" s="178"/>
      <c r="C461" s="178"/>
      <c r="D461" s="178"/>
      <c r="E461" s="178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178"/>
      <c r="B462" s="178"/>
      <c r="C462" s="178"/>
      <c r="D462" s="178"/>
      <c r="E462" s="178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178"/>
      <c r="B463" s="178"/>
      <c r="C463" s="178"/>
      <c r="D463" s="178"/>
      <c r="E463" s="178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178"/>
      <c r="B464" s="178"/>
      <c r="C464" s="178"/>
      <c r="D464" s="178"/>
      <c r="E464" s="178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178"/>
      <c r="B465" s="178"/>
      <c r="C465" s="178"/>
      <c r="D465" s="178"/>
      <c r="E465" s="178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178"/>
      <c r="B466" s="178"/>
      <c r="C466" s="178"/>
      <c r="D466" s="178"/>
      <c r="E466" s="178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178"/>
      <c r="B467" s="178"/>
      <c r="C467" s="178"/>
      <c r="D467" s="178"/>
      <c r="E467" s="178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178"/>
      <c r="B468" s="178"/>
      <c r="C468" s="178"/>
      <c r="D468" s="178"/>
      <c r="E468" s="178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178"/>
      <c r="B469" s="178"/>
      <c r="C469" s="178"/>
      <c r="D469" s="178"/>
      <c r="E469" s="178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178"/>
      <c r="B470" s="178"/>
      <c r="C470" s="178"/>
      <c r="D470" s="178"/>
      <c r="E470" s="178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178"/>
      <c r="B471" s="178"/>
      <c r="C471" s="178"/>
      <c r="D471" s="178"/>
      <c r="E471" s="178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178"/>
      <c r="B472" s="178"/>
      <c r="C472" s="178"/>
      <c r="D472" s="178"/>
      <c r="E472" s="178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178"/>
      <c r="B473" s="178"/>
      <c r="C473" s="178"/>
      <c r="D473" s="178"/>
      <c r="E473" s="178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178"/>
      <c r="B474" s="178"/>
      <c r="C474" s="178"/>
      <c r="D474" s="178"/>
      <c r="E474" s="178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178"/>
      <c r="B475" s="178"/>
      <c r="C475" s="178"/>
      <c r="D475" s="178"/>
      <c r="E475" s="178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178"/>
      <c r="B476" s="178"/>
      <c r="C476" s="178"/>
      <c r="D476" s="178"/>
      <c r="E476" s="178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178"/>
      <c r="B477" s="178"/>
      <c r="C477" s="178"/>
      <c r="D477" s="178"/>
      <c r="E477" s="178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178"/>
      <c r="B478" s="178"/>
      <c r="C478" s="178"/>
      <c r="D478" s="178"/>
      <c r="E478" s="178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178"/>
      <c r="B479" s="178"/>
      <c r="C479" s="178"/>
      <c r="D479" s="178"/>
      <c r="E479" s="178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178"/>
      <c r="B480" s="178"/>
      <c r="C480" s="178"/>
      <c r="D480" s="178"/>
      <c r="E480" s="178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178"/>
      <c r="B481" s="178"/>
      <c r="C481" s="178"/>
      <c r="D481" s="178"/>
      <c r="E481" s="178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178"/>
      <c r="B482" s="178"/>
      <c r="C482" s="178"/>
      <c r="D482" s="178"/>
      <c r="E482" s="178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178"/>
      <c r="B483" s="178"/>
      <c r="C483" s="178"/>
      <c r="D483" s="178"/>
      <c r="E483" s="178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178"/>
      <c r="B484" s="178"/>
      <c r="C484" s="178"/>
      <c r="D484" s="178"/>
      <c r="E484" s="178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178"/>
      <c r="B485" s="178"/>
      <c r="C485" s="178"/>
      <c r="D485" s="178"/>
      <c r="E485" s="178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178"/>
      <c r="B486" s="178"/>
      <c r="C486" s="178"/>
      <c r="D486" s="178"/>
      <c r="E486" s="178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178"/>
      <c r="B487" s="178"/>
      <c r="C487" s="178"/>
      <c r="D487" s="178"/>
      <c r="E487" s="178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178"/>
      <c r="B488" s="178"/>
      <c r="C488" s="178"/>
      <c r="D488" s="178"/>
      <c r="E488" s="178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178"/>
      <c r="B489" s="178"/>
      <c r="C489" s="178"/>
      <c r="D489" s="178"/>
      <c r="E489" s="178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178"/>
      <c r="B490" s="178"/>
      <c r="C490" s="178"/>
      <c r="D490" s="178"/>
      <c r="E490" s="178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178"/>
      <c r="B491" s="178"/>
      <c r="C491" s="178"/>
      <c r="D491" s="178"/>
      <c r="E491" s="178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178"/>
      <c r="B492" s="178"/>
      <c r="C492" s="178"/>
      <c r="D492" s="178"/>
      <c r="E492" s="178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178"/>
      <c r="B493" s="178"/>
      <c r="C493" s="178"/>
      <c r="D493" s="178"/>
      <c r="E493" s="178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178"/>
      <c r="B494" s="178"/>
      <c r="C494" s="178"/>
      <c r="D494" s="178"/>
      <c r="E494" s="178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178"/>
      <c r="B495" s="178"/>
      <c r="C495" s="178"/>
      <c r="D495" s="178"/>
      <c r="E495" s="178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178"/>
      <c r="B496" s="178"/>
      <c r="C496" s="178"/>
      <c r="D496" s="178"/>
      <c r="E496" s="178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178"/>
      <c r="B497" s="178"/>
      <c r="C497" s="178"/>
      <c r="D497" s="178"/>
      <c r="E497" s="178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178"/>
      <c r="B498" s="178"/>
      <c r="C498" s="178"/>
      <c r="D498" s="178"/>
      <c r="E498" s="178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178"/>
      <c r="B499" s="178"/>
      <c r="C499" s="178"/>
      <c r="D499" s="178"/>
      <c r="E499" s="178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178"/>
      <c r="B500" s="178"/>
      <c r="C500" s="178"/>
      <c r="D500" s="178"/>
      <c r="E500" s="178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178"/>
      <c r="B501" s="178"/>
      <c r="C501" s="178"/>
      <c r="D501" s="178"/>
      <c r="E501" s="178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178"/>
      <c r="B502" s="178"/>
      <c r="C502" s="178"/>
      <c r="D502" s="178"/>
      <c r="E502" s="178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178"/>
      <c r="B503" s="178"/>
      <c r="C503" s="178"/>
      <c r="D503" s="178"/>
      <c r="E503" s="178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178"/>
      <c r="B504" s="178"/>
      <c r="C504" s="178"/>
      <c r="D504" s="178"/>
      <c r="E504" s="178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178"/>
      <c r="B505" s="178"/>
      <c r="C505" s="178"/>
      <c r="D505" s="178"/>
      <c r="E505" s="178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178"/>
      <c r="B506" s="178"/>
      <c r="C506" s="178"/>
      <c r="D506" s="178"/>
      <c r="E506" s="178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178"/>
      <c r="B507" s="178"/>
      <c r="C507" s="178"/>
      <c r="D507" s="178"/>
      <c r="E507" s="178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178"/>
      <c r="B508" s="178"/>
      <c r="C508" s="178"/>
      <c r="D508" s="178"/>
      <c r="E508" s="178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178"/>
      <c r="B509" s="178"/>
      <c r="C509" s="178"/>
      <c r="D509" s="178"/>
      <c r="E509" s="178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178"/>
      <c r="B510" s="178"/>
      <c r="C510" s="178"/>
      <c r="D510" s="178"/>
      <c r="E510" s="178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178"/>
      <c r="B511" s="178"/>
      <c r="C511" s="178"/>
      <c r="D511" s="178"/>
      <c r="E511" s="178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178"/>
      <c r="B512" s="178"/>
      <c r="C512" s="178"/>
      <c r="D512" s="178"/>
      <c r="E512" s="178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178"/>
      <c r="B513" s="178"/>
      <c r="C513" s="178"/>
      <c r="D513" s="178"/>
      <c r="E513" s="178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178"/>
      <c r="B514" s="178"/>
      <c r="C514" s="178"/>
      <c r="D514" s="178"/>
      <c r="E514" s="178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178"/>
      <c r="B515" s="178"/>
      <c r="C515" s="178"/>
      <c r="D515" s="178"/>
      <c r="E515" s="178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178"/>
      <c r="B516" s="178"/>
      <c r="C516" s="178"/>
      <c r="D516" s="178"/>
      <c r="E516" s="178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178"/>
      <c r="B517" s="178"/>
      <c r="C517" s="178"/>
      <c r="D517" s="178"/>
      <c r="E517" s="178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178"/>
      <c r="B518" s="178"/>
      <c r="C518" s="178"/>
      <c r="D518" s="178"/>
      <c r="E518" s="178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178"/>
      <c r="B519" s="178"/>
      <c r="C519" s="178"/>
      <c r="D519" s="178"/>
      <c r="E519" s="178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178"/>
      <c r="B520" s="178"/>
      <c r="C520" s="178"/>
      <c r="D520" s="178"/>
      <c r="E520" s="178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178"/>
      <c r="B521" s="178"/>
      <c r="C521" s="178"/>
      <c r="D521" s="178"/>
      <c r="E521" s="178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178"/>
      <c r="B522" s="178"/>
      <c r="C522" s="178"/>
      <c r="D522" s="178"/>
      <c r="E522" s="178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178"/>
      <c r="B523" s="178"/>
      <c r="C523" s="178"/>
      <c r="D523" s="178"/>
      <c r="E523" s="178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178"/>
      <c r="B524" s="178"/>
      <c r="C524" s="178"/>
      <c r="D524" s="178"/>
      <c r="E524" s="178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178"/>
      <c r="B525" s="178"/>
      <c r="C525" s="178"/>
      <c r="D525" s="178"/>
      <c r="E525" s="178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178"/>
      <c r="B526" s="178"/>
      <c r="C526" s="178"/>
      <c r="D526" s="178"/>
      <c r="E526" s="178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178"/>
      <c r="B527" s="178"/>
      <c r="C527" s="178"/>
      <c r="D527" s="178"/>
      <c r="E527" s="178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178"/>
      <c r="B528" s="178"/>
      <c r="C528" s="178"/>
      <c r="D528" s="178"/>
      <c r="E528" s="178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178"/>
      <c r="B529" s="178"/>
      <c r="C529" s="178"/>
      <c r="D529" s="178"/>
      <c r="E529" s="178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178"/>
      <c r="B530" s="178"/>
      <c r="C530" s="178"/>
      <c r="D530" s="178"/>
      <c r="E530" s="178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178"/>
      <c r="B531" s="178"/>
      <c r="C531" s="178"/>
      <c r="D531" s="178"/>
      <c r="E531" s="178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178"/>
      <c r="B532" s="178"/>
      <c r="C532" s="178"/>
      <c r="D532" s="178"/>
      <c r="E532" s="178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178"/>
      <c r="B533" s="178"/>
      <c r="C533" s="178"/>
      <c r="D533" s="178"/>
      <c r="E533" s="178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178"/>
      <c r="B534" s="178"/>
      <c r="C534" s="178"/>
      <c r="D534" s="178"/>
      <c r="E534" s="178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178"/>
      <c r="B535" s="178"/>
      <c r="C535" s="178"/>
      <c r="D535" s="178"/>
      <c r="E535" s="178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178"/>
      <c r="B536" s="178"/>
      <c r="C536" s="178"/>
      <c r="D536" s="178"/>
      <c r="E536" s="178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178"/>
      <c r="B537" s="178"/>
      <c r="C537" s="178"/>
      <c r="D537" s="178"/>
      <c r="E537" s="178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178"/>
      <c r="B538" s="178"/>
      <c r="C538" s="178"/>
      <c r="D538" s="178"/>
      <c r="E538" s="178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178"/>
      <c r="B539" s="178"/>
      <c r="C539" s="178"/>
      <c r="D539" s="178"/>
      <c r="E539" s="178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178"/>
      <c r="B540" s="178"/>
      <c r="C540" s="178"/>
      <c r="D540" s="178"/>
      <c r="E540" s="178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178"/>
      <c r="B541" s="178"/>
      <c r="C541" s="178"/>
      <c r="D541" s="178"/>
      <c r="E541" s="178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178"/>
      <c r="B542" s="178"/>
      <c r="C542" s="178"/>
      <c r="D542" s="178"/>
      <c r="E542" s="178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178"/>
      <c r="B543" s="178"/>
      <c r="C543" s="178"/>
      <c r="D543" s="178"/>
      <c r="E543" s="178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178"/>
      <c r="B544" s="178"/>
      <c r="C544" s="178"/>
      <c r="D544" s="178"/>
      <c r="E544" s="178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178"/>
      <c r="B545" s="178"/>
      <c r="C545" s="178"/>
      <c r="D545" s="178"/>
      <c r="E545" s="178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178"/>
      <c r="B546" s="178"/>
      <c r="C546" s="178"/>
      <c r="D546" s="178"/>
      <c r="E546" s="178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178"/>
      <c r="B547" s="178"/>
      <c r="C547" s="178"/>
      <c r="D547" s="178"/>
      <c r="E547" s="178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178"/>
      <c r="B548" s="178"/>
      <c r="C548" s="178"/>
      <c r="D548" s="178"/>
      <c r="E548" s="178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178"/>
      <c r="B549" s="178"/>
      <c r="C549" s="178"/>
      <c r="D549" s="178"/>
      <c r="E549" s="178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178"/>
      <c r="B550" s="178"/>
      <c r="C550" s="178"/>
      <c r="D550" s="178"/>
      <c r="E550" s="178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178"/>
      <c r="B551" s="178"/>
      <c r="C551" s="178"/>
      <c r="D551" s="178"/>
      <c r="E551" s="178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178"/>
      <c r="B552" s="178"/>
      <c r="C552" s="178"/>
      <c r="D552" s="178"/>
      <c r="E552" s="178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178"/>
      <c r="B553" s="178"/>
      <c r="C553" s="178"/>
      <c r="D553" s="178"/>
      <c r="E553" s="178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178"/>
      <c r="B554" s="178"/>
      <c r="C554" s="178"/>
      <c r="D554" s="178"/>
      <c r="E554" s="178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178"/>
      <c r="B555" s="178"/>
      <c r="C555" s="178"/>
      <c r="D555" s="178"/>
      <c r="E555" s="178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178"/>
      <c r="B556" s="178"/>
      <c r="C556" s="178"/>
      <c r="D556" s="178"/>
      <c r="E556" s="178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178"/>
      <c r="B557" s="178"/>
      <c r="C557" s="178"/>
      <c r="D557" s="178"/>
      <c r="E557" s="178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178"/>
      <c r="B558" s="178"/>
      <c r="C558" s="178"/>
      <c r="D558" s="178"/>
      <c r="E558" s="178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178"/>
      <c r="B559" s="178"/>
      <c r="C559" s="178"/>
      <c r="D559" s="178"/>
      <c r="E559" s="178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178"/>
      <c r="B560" s="178"/>
      <c r="C560" s="178"/>
      <c r="D560" s="178"/>
      <c r="E560" s="178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178"/>
      <c r="B561" s="178"/>
      <c r="C561" s="178"/>
      <c r="D561" s="178"/>
      <c r="E561" s="178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178"/>
      <c r="B562" s="178"/>
      <c r="C562" s="178"/>
      <c r="D562" s="178"/>
      <c r="E562" s="178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178"/>
      <c r="B563" s="178"/>
      <c r="C563" s="178"/>
      <c r="D563" s="178"/>
      <c r="E563" s="178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178"/>
      <c r="B564" s="178"/>
      <c r="C564" s="178"/>
      <c r="D564" s="178"/>
      <c r="E564" s="178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178"/>
      <c r="B565" s="178"/>
      <c r="C565" s="178"/>
      <c r="D565" s="178"/>
      <c r="E565" s="178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178"/>
      <c r="B566" s="178"/>
      <c r="C566" s="178"/>
      <c r="D566" s="178"/>
      <c r="E566" s="178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178"/>
      <c r="B567" s="178"/>
      <c r="C567" s="178"/>
      <c r="D567" s="178"/>
      <c r="E567" s="178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178"/>
      <c r="B568" s="178"/>
      <c r="C568" s="178"/>
      <c r="D568" s="178"/>
      <c r="E568" s="178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178"/>
      <c r="B569" s="178"/>
      <c r="C569" s="178"/>
      <c r="D569" s="178"/>
      <c r="E569" s="178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178"/>
      <c r="B570" s="178"/>
      <c r="C570" s="178"/>
      <c r="D570" s="178"/>
      <c r="E570" s="178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178"/>
      <c r="B571" s="178"/>
      <c r="C571" s="178"/>
      <c r="D571" s="178"/>
      <c r="E571" s="178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178"/>
      <c r="B572" s="178"/>
      <c r="C572" s="178"/>
      <c r="D572" s="178"/>
      <c r="E572" s="178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178"/>
      <c r="B573" s="178"/>
      <c r="C573" s="178"/>
      <c r="D573" s="178"/>
      <c r="E573" s="178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178"/>
      <c r="B574" s="178"/>
      <c r="C574" s="178"/>
      <c r="D574" s="178"/>
      <c r="E574" s="178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178"/>
      <c r="B575" s="178"/>
      <c r="C575" s="178"/>
      <c r="D575" s="178"/>
      <c r="E575" s="178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178"/>
      <c r="B576" s="178"/>
      <c r="C576" s="178"/>
      <c r="D576" s="178"/>
      <c r="E576" s="178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178"/>
      <c r="B577" s="178"/>
      <c r="C577" s="178"/>
      <c r="D577" s="178"/>
      <c r="E577" s="178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178"/>
      <c r="B578" s="178"/>
      <c r="C578" s="178"/>
      <c r="D578" s="178"/>
      <c r="E578" s="178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178"/>
      <c r="B579" s="178"/>
      <c r="C579" s="178"/>
      <c r="D579" s="178"/>
      <c r="E579" s="178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178"/>
      <c r="B580" s="178"/>
      <c r="C580" s="178"/>
      <c r="D580" s="178"/>
      <c r="E580" s="178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178"/>
      <c r="B581" s="178"/>
      <c r="C581" s="178"/>
      <c r="D581" s="178"/>
      <c r="E581" s="178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178"/>
      <c r="B582" s="178"/>
      <c r="C582" s="178"/>
      <c r="D582" s="178"/>
      <c r="E582" s="178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178"/>
      <c r="B583" s="178"/>
      <c r="C583" s="178"/>
      <c r="D583" s="178"/>
      <c r="E583" s="178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178"/>
      <c r="B584" s="178"/>
      <c r="C584" s="178"/>
      <c r="D584" s="178"/>
      <c r="E584" s="178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178"/>
      <c r="B585" s="178"/>
      <c r="C585" s="178"/>
      <c r="D585" s="178"/>
      <c r="E585" s="178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178"/>
      <c r="B586" s="178"/>
      <c r="C586" s="178"/>
      <c r="D586" s="178"/>
      <c r="E586" s="178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178"/>
      <c r="B587" s="178"/>
      <c r="C587" s="178"/>
      <c r="D587" s="178"/>
      <c r="E587" s="178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178"/>
      <c r="B588" s="178"/>
      <c r="C588" s="178"/>
      <c r="D588" s="178"/>
      <c r="E588" s="178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178"/>
      <c r="B589" s="178"/>
      <c r="C589" s="178"/>
      <c r="D589" s="178"/>
      <c r="E589" s="178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178"/>
      <c r="B590" s="178"/>
      <c r="C590" s="178"/>
      <c r="D590" s="178"/>
      <c r="E590" s="178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178"/>
      <c r="B591" s="178"/>
      <c r="C591" s="178"/>
      <c r="D591" s="178"/>
      <c r="E591" s="178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178"/>
      <c r="B592" s="178"/>
      <c r="C592" s="178"/>
      <c r="D592" s="178"/>
      <c r="E592" s="178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178"/>
      <c r="B593" s="178"/>
      <c r="C593" s="178"/>
      <c r="D593" s="178"/>
      <c r="E593" s="178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178"/>
      <c r="B594" s="178"/>
      <c r="C594" s="178"/>
      <c r="D594" s="178"/>
      <c r="E594" s="178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178"/>
      <c r="B595" s="178"/>
      <c r="C595" s="178"/>
      <c r="D595" s="178"/>
      <c r="E595" s="178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178"/>
      <c r="B596" s="178"/>
      <c r="C596" s="178"/>
      <c r="D596" s="178"/>
      <c r="E596" s="178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178"/>
      <c r="B597" s="178"/>
      <c r="C597" s="178"/>
      <c r="D597" s="178"/>
      <c r="E597" s="178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178"/>
      <c r="B598" s="178"/>
      <c r="C598" s="178"/>
      <c r="D598" s="178"/>
      <c r="E598" s="178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178"/>
      <c r="B599" s="178"/>
      <c r="C599" s="178"/>
      <c r="D599" s="178"/>
      <c r="E599" s="178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178"/>
      <c r="B600" s="178"/>
      <c r="C600" s="178"/>
      <c r="D600" s="178"/>
      <c r="E600" s="178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178"/>
      <c r="B601" s="178"/>
      <c r="C601" s="178"/>
      <c r="D601" s="178"/>
      <c r="E601" s="178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178"/>
      <c r="B602" s="178"/>
      <c r="C602" s="178"/>
      <c r="D602" s="178"/>
      <c r="E602" s="178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178"/>
      <c r="B603" s="178"/>
      <c r="C603" s="178"/>
      <c r="D603" s="178"/>
      <c r="E603" s="178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178"/>
      <c r="B604" s="178"/>
      <c r="C604" s="178"/>
      <c r="D604" s="178"/>
      <c r="E604" s="178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178"/>
      <c r="B605" s="178"/>
      <c r="C605" s="178"/>
      <c r="D605" s="178"/>
      <c r="E605" s="178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178"/>
      <c r="B606" s="178"/>
      <c r="C606" s="178"/>
      <c r="D606" s="178"/>
      <c r="E606" s="178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178"/>
      <c r="B607" s="178"/>
      <c r="C607" s="178"/>
      <c r="D607" s="178"/>
      <c r="E607" s="178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178"/>
      <c r="B608" s="178"/>
      <c r="C608" s="178"/>
      <c r="D608" s="178"/>
      <c r="E608" s="178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178"/>
      <c r="B609" s="178"/>
      <c r="C609" s="178"/>
      <c r="D609" s="178"/>
      <c r="E609" s="178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178"/>
      <c r="B610" s="178"/>
      <c r="C610" s="178"/>
      <c r="D610" s="178"/>
      <c r="E610" s="178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178"/>
      <c r="B611" s="178"/>
      <c r="C611" s="178"/>
      <c r="D611" s="178"/>
      <c r="E611" s="178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178"/>
      <c r="B612" s="178"/>
      <c r="C612" s="178"/>
      <c r="D612" s="178"/>
      <c r="E612" s="178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178"/>
      <c r="B613" s="178"/>
      <c r="C613" s="178"/>
      <c r="D613" s="178"/>
      <c r="E613" s="178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178"/>
      <c r="B614" s="178"/>
      <c r="C614" s="178"/>
      <c r="D614" s="178"/>
      <c r="E614" s="178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178"/>
      <c r="B615" s="178"/>
      <c r="C615" s="178"/>
      <c r="D615" s="178"/>
      <c r="E615" s="178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178"/>
      <c r="B616" s="178"/>
      <c r="C616" s="178"/>
      <c r="D616" s="178"/>
      <c r="E616" s="178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178"/>
      <c r="B617" s="178"/>
      <c r="C617" s="178"/>
      <c r="D617" s="178"/>
      <c r="E617" s="178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178"/>
      <c r="B618" s="178"/>
      <c r="C618" s="178"/>
      <c r="D618" s="178"/>
      <c r="E618" s="178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178"/>
      <c r="B619" s="178"/>
      <c r="C619" s="178"/>
      <c r="D619" s="178"/>
      <c r="E619" s="178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178"/>
      <c r="B620" s="178"/>
      <c r="C620" s="178"/>
      <c r="D620" s="178"/>
      <c r="E620" s="178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178"/>
      <c r="B621" s="178"/>
      <c r="C621" s="178"/>
      <c r="D621" s="178"/>
      <c r="E621" s="178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178"/>
      <c r="B622" s="178"/>
      <c r="C622" s="178"/>
      <c r="D622" s="178"/>
      <c r="E622" s="178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178"/>
      <c r="B623" s="178"/>
      <c r="C623" s="178"/>
      <c r="D623" s="178"/>
      <c r="E623" s="178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178"/>
      <c r="B624" s="178"/>
      <c r="C624" s="178"/>
      <c r="D624" s="178"/>
      <c r="E624" s="178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178"/>
      <c r="B625" s="178"/>
      <c r="C625" s="178"/>
      <c r="D625" s="178"/>
      <c r="E625" s="178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178"/>
      <c r="B626" s="178"/>
      <c r="C626" s="178"/>
      <c r="D626" s="178"/>
      <c r="E626" s="178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178"/>
      <c r="B627" s="178"/>
      <c r="C627" s="178"/>
      <c r="D627" s="178"/>
      <c r="E627" s="178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178"/>
      <c r="B628" s="178"/>
      <c r="C628" s="178"/>
      <c r="D628" s="178"/>
      <c r="E628" s="178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178"/>
      <c r="B629" s="178"/>
      <c r="C629" s="178"/>
      <c r="D629" s="178"/>
      <c r="E629" s="178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178"/>
      <c r="B630" s="178"/>
      <c r="C630" s="178"/>
      <c r="D630" s="178"/>
      <c r="E630" s="178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178"/>
      <c r="B631" s="178"/>
      <c r="C631" s="178"/>
      <c r="D631" s="178"/>
      <c r="E631" s="178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178"/>
      <c r="B632" s="178"/>
      <c r="C632" s="178"/>
      <c r="D632" s="178"/>
      <c r="E632" s="178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178"/>
      <c r="B633" s="178"/>
      <c r="C633" s="178"/>
      <c r="D633" s="178"/>
      <c r="E633" s="178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178"/>
      <c r="B634" s="178"/>
      <c r="C634" s="178"/>
      <c r="D634" s="178"/>
      <c r="E634" s="178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178"/>
      <c r="B635" s="178"/>
      <c r="C635" s="178"/>
      <c r="D635" s="178"/>
      <c r="E635" s="178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178"/>
      <c r="B636" s="178"/>
      <c r="C636" s="178"/>
      <c r="D636" s="178"/>
      <c r="E636" s="178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178"/>
      <c r="B637" s="178"/>
      <c r="C637" s="178"/>
      <c r="D637" s="178"/>
      <c r="E637" s="178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178"/>
      <c r="B638" s="178"/>
      <c r="C638" s="178"/>
      <c r="D638" s="178"/>
      <c r="E638" s="178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178"/>
      <c r="B639" s="178"/>
      <c r="C639" s="178"/>
      <c r="D639" s="178"/>
      <c r="E639" s="178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178"/>
      <c r="B640" s="178"/>
      <c r="C640" s="178"/>
      <c r="D640" s="178"/>
      <c r="E640" s="178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178"/>
      <c r="B641" s="178"/>
      <c r="C641" s="178"/>
      <c r="D641" s="178"/>
      <c r="E641" s="178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178"/>
      <c r="B642" s="178"/>
      <c r="C642" s="178"/>
      <c r="D642" s="178"/>
      <c r="E642" s="178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178"/>
      <c r="B643" s="178"/>
      <c r="C643" s="178"/>
      <c r="D643" s="178"/>
      <c r="E643" s="178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178"/>
      <c r="B644" s="178"/>
      <c r="C644" s="178"/>
      <c r="D644" s="178"/>
      <c r="E644" s="178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178"/>
      <c r="B645" s="178"/>
      <c r="C645" s="178"/>
      <c r="D645" s="178"/>
      <c r="E645" s="178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178"/>
      <c r="B646" s="178"/>
      <c r="C646" s="178"/>
      <c r="D646" s="178"/>
      <c r="E646" s="178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178"/>
      <c r="B647" s="178"/>
      <c r="C647" s="178"/>
      <c r="D647" s="178"/>
      <c r="E647" s="178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178"/>
      <c r="B648" s="178"/>
      <c r="C648" s="178"/>
      <c r="D648" s="178"/>
      <c r="E648" s="178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178"/>
      <c r="B649" s="178"/>
      <c r="C649" s="178"/>
      <c r="D649" s="178"/>
      <c r="E649" s="178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178"/>
      <c r="B650" s="178"/>
      <c r="C650" s="178"/>
      <c r="D650" s="178"/>
      <c r="E650" s="178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178"/>
      <c r="B651" s="178"/>
      <c r="C651" s="178"/>
      <c r="D651" s="178"/>
      <c r="E651" s="178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178"/>
      <c r="B652" s="178"/>
      <c r="C652" s="178"/>
      <c r="D652" s="178"/>
      <c r="E652" s="178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178"/>
      <c r="B653" s="178"/>
      <c r="C653" s="178"/>
      <c r="D653" s="178"/>
      <c r="E653" s="178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178"/>
      <c r="B654" s="178"/>
      <c r="C654" s="178"/>
      <c r="D654" s="178"/>
      <c r="E654" s="178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178"/>
      <c r="B655" s="178"/>
      <c r="C655" s="178"/>
      <c r="D655" s="178"/>
      <c r="E655" s="178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178"/>
      <c r="B656" s="178"/>
      <c r="C656" s="178"/>
      <c r="D656" s="178"/>
      <c r="E656" s="178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178"/>
      <c r="B657" s="178"/>
      <c r="C657" s="178"/>
      <c r="D657" s="178"/>
      <c r="E657" s="178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178"/>
      <c r="B658" s="178"/>
      <c r="C658" s="178"/>
      <c r="D658" s="178"/>
      <c r="E658" s="178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178"/>
      <c r="B659" s="178"/>
      <c r="C659" s="178"/>
      <c r="D659" s="178"/>
      <c r="E659" s="178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178"/>
      <c r="B660" s="178"/>
      <c r="C660" s="178"/>
      <c r="D660" s="178"/>
      <c r="E660" s="178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178"/>
      <c r="B661" s="178"/>
      <c r="C661" s="178"/>
      <c r="D661" s="178"/>
      <c r="E661" s="178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178"/>
      <c r="B662" s="178"/>
      <c r="C662" s="178"/>
      <c r="D662" s="178"/>
      <c r="E662" s="178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178"/>
      <c r="B663" s="178"/>
      <c r="C663" s="178"/>
      <c r="D663" s="178"/>
      <c r="E663" s="178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178"/>
      <c r="B664" s="178"/>
      <c r="C664" s="178"/>
      <c r="D664" s="178"/>
      <c r="E664" s="178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178"/>
      <c r="B665" s="178"/>
      <c r="C665" s="178"/>
      <c r="D665" s="178"/>
      <c r="E665" s="178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178"/>
      <c r="B666" s="178"/>
      <c r="C666" s="178"/>
      <c r="D666" s="178"/>
      <c r="E666" s="178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178"/>
      <c r="B667" s="178"/>
      <c r="C667" s="178"/>
      <c r="D667" s="178"/>
      <c r="E667" s="178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178"/>
      <c r="B668" s="178"/>
      <c r="C668" s="178"/>
      <c r="D668" s="178"/>
      <c r="E668" s="178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178"/>
      <c r="B669" s="178"/>
      <c r="C669" s="178"/>
      <c r="D669" s="178"/>
      <c r="E669" s="178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178"/>
      <c r="B670" s="178"/>
      <c r="C670" s="178"/>
      <c r="D670" s="178"/>
      <c r="E670" s="178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178"/>
      <c r="B671" s="178"/>
      <c r="C671" s="178"/>
      <c r="D671" s="178"/>
      <c r="E671" s="178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178"/>
      <c r="B672" s="178"/>
      <c r="C672" s="178"/>
      <c r="D672" s="178"/>
      <c r="E672" s="178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178"/>
      <c r="B673" s="178"/>
      <c r="C673" s="178"/>
      <c r="D673" s="178"/>
      <c r="E673" s="178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178"/>
      <c r="B674" s="178"/>
      <c r="C674" s="178"/>
      <c r="D674" s="178"/>
      <c r="E674" s="178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178"/>
      <c r="B675" s="178"/>
      <c r="C675" s="178"/>
      <c r="D675" s="178"/>
      <c r="E675" s="178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178"/>
      <c r="B676" s="178"/>
      <c r="C676" s="178"/>
      <c r="D676" s="178"/>
      <c r="E676" s="178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178"/>
      <c r="B677" s="178"/>
      <c r="C677" s="178"/>
      <c r="D677" s="178"/>
      <c r="E677" s="178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178"/>
      <c r="B678" s="178"/>
      <c r="C678" s="178"/>
      <c r="D678" s="178"/>
      <c r="E678" s="178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178"/>
      <c r="B679" s="178"/>
      <c r="C679" s="178"/>
      <c r="D679" s="178"/>
      <c r="E679" s="178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178"/>
      <c r="B680" s="178"/>
      <c r="C680" s="178"/>
      <c r="D680" s="178"/>
      <c r="E680" s="178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178"/>
      <c r="B681" s="178"/>
      <c r="C681" s="178"/>
      <c r="D681" s="178"/>
      <c r="E681" s="178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178"/>
      <c r="B682" s="178"/>
      <c r="C682" s="178"/>
      <c r="D682" s="178"/>
      <c r="E682" s="178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178"/>
      <c r="B683" s="178"/>
      <c r="C683" s="178"/>
      <c r="D683" s="178"/>
      <c r="E683" s="178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178"/>
      <c r="B684" s="178"/>
      <c r="C684" s="178"/>
      <c r="D684" s="178"/>
      <c r="E684" s="178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178"/>
      <c r="B685" s="178"/>
      <c r="C685" s="178"/>
      <c r="D685" s="178"/>
      <c r="E685" s="178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178"/>
      <c r="B686" s="178"/>
      <c r="C686" s="178"/>
      <c r="D686" s="178"/>
      <c r="E686" s="178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178"/>
      <c r="B687" s="178"/>
      <c r="C687" s="178"/>
      <c r="D687" s="178"/>
      <c r="E687" s="178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178"/>
      <c r="B688" s="178"/>
      <c r="C688" s="178"/>
      <c r="D688" s="178"/>
      <c r="E688" s="178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178"/>
      <c r="B689" s="178"/>
      <c r="C689" s="178"/>
      <c r="D689" s="178"/>
      <c r="E689" s="178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178"/>
      <c r="B690" s="178"/>
      <c r="C690" s="178"/>
      <c r="D690" s="178"/>
      <c r="E690" s="178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178"/>
      <c r="B691" s="178"/>
      <c r="C691" s="178"/>
      <c r="D691" s="178"/>
      <c r="E691" s="178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178"/>
      <c r="B692" s="178"/>
      <c r="C692" s="178"/>
      <c r="D692" s="178"/>
      <c r="E692" s="178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178"/>
      <c r="B693" s="178"/>
      <c r="C693" s="178"/>
      <c r="D693" s="178"/>
      <c r="E693" s="178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178"/>
      <c r="B694" s="178"/>
      <c r="C694" s="178"/>
      <c r="D694" s="178"/>
      <c r="E694" s="178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178"/>
      <c r="B695" s="178"/>
      <c r="C695" s="178"/>
      <c r="D695" s="178"/>
      <c r="E695" s="178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178"/>
      <c r="B696" s="178"/>
      <c r="C696" s="178"/>
      <c r="D696" s="178"/>
      <c r="E696" s="178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178"/>
      <c r="B697" s="178"/>
      <c r="C697" s="178"/>
      <c r="D697" s="178"/>
      <c r="E697" s="178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178"/>
      <c r="B698" s="178"/>
      <c r="C698" s="178"/>
      <c r="D698" s="178"/>
      <c r="E698" s="178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178"/>
      <c r="B699" s="178"/>
      <c r="C699" s="178"/>
      <c r="D699" s="178"/>
      <c r="E699" s="178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178"/>
      <c r="B700" s="178"/>
      <c r="C700" s="178"/>
      <c r="D700" s="178"/>
      <c r="E700" s="178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178"/>
      <c r="B701" s="178"/>
      <c r="C701" s="178"/>
      <c r="D701" s="178"/>
      <c r="E701" s="178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178"/>
      <c r="B702" s="178"/>
      <c r="C702" s="178"/>
      <c r="D702" s="178"/>
      <c r="E702" s="178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178"/>
      <c r="B703" s="178"/>
      <c r="C703" s="178"/>
      <c r="D703" s="178"/>
      <c r="E703" s="178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178"/>
      <c r="B704" s="178"/>
      <c r="C704" s="178"/>
      <c r="D704" s="178"/>
      <c r="E704" s="178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178"/>
      <c r="B705" s="178"/>
      <c r="C705" s="178"/>
      <c r="D705" s="178"/>
      <c r="E705" s="178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178"/>
      <c r="B706" s="178"/>
      <c r="C706" s="178"/>
      <c r="D706" s="178"/>
      <c r="E706" s="178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178"/>
      <c r="B707" s="178"/>
      <c r="C707" s="178"/>
      <c r="D707" s="178"/>
      <c r="E707" s="178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178"/>
      <c r="B708" s="178"/>
      <c r="C708" s="178"/>
      <c r="D708" s="178"/>
      <c r="E708" s="178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178"/>
      <c r="B709" s="178"/>
      <c r="C709" s="178"/>
      <c r="D709" s="178"/>
      <c r="E709" s="178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178"/>
      <c r="B710" s="178"/>
      <c r="C710" s="178"/>
      <c r="D710" s="178"/>
      <c r="E710" s="178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178"/>
      <c r="B711" s="178"/>
      <c r="C711" s="178"/>
      <c r="D711" s="178"/>
      <c r="E711" s="178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178"/>
      <c r="B712" s="178"/>
      <c r="C712" s="178"/>
      <c r="D712" s="178"/>
      <c r="E712" s="178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178"/>
      <c r="B713" s="178"/>
      <c r="C713" s="178"/>
      <c r="D713" s="178"/>
      <c r="E713" s="178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178"/>
      <c r="B714" s="178"/>
      <c r="C714" s="178"/>
      <c r="D714" s="178"/>
      <c r="E714" s="178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178"/>
      <c r="B715" s="178"/>
      <c r="C715" s="178"/>
      <c r="D715" s="178"/>
      <c r="E715" s="178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178"/>
      <c r="B716" s="178"/>
      <c r="C716" s="178"/>
      <c r="D716" s="178"/>
      <c r="E716" s="178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178"/>
      <c r="B717" s="178"/>
      <c r="C717" s="178"/>
      <c r="D717" s="178"/>
      <c r="E717" s="178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178"/>
      <c r="B718" s="178"/>
      <c r="C718" s="178"/>
      <c r="D718" s="178"/>
      <c r="E718" s="178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178"/>
      <c r="B719" s="178"/>
      <c r="C719" s="178"/>
      <c r="D719" s="178"/>
      <c r="E719" s="178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178"/>
      <c r="B720" s="178"/>
      <c r="C720" s="178"/>
      <c r="D720" s="178"/>
      <c r="E720" s="178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178"/>
      <c r="B721" s="178"/>
      <c r="C721" s="178"/>
      <c r="D721" s="178"/>
      <c r="E721" s="178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178"/>
      <c r="B722" s="178"/>
      <c r="C722" s="178"/>
      <c r="D722" s="178"/>
      <c r="E722" s="178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178"/>
      <c r="B723" s="178"/>
      <c r="C723" s="178"/>
      <c r="D723" s="178"/>
      <c r="E723" s="178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178"/>
      <c r="B724" s="178"/>
      <c r="C724" s="178"/>
      <c r="D724" s="178"/>
      <c r="E724" s="178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178"/>
      <c r="B725" s="178"/>
      <c r="C725" s="178"/>
      <c r="D725" s="178"/>
      <c r="E725" s="178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178"/>
      <c r="B726" s="178"/>
      <c r="C726" s="178"/>
      <c r="D726" s="178"/>
      <c r="E726" s="178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178"/>
      <c r="B727" s="178"/>
      <c r="C727" s="178"/>
      <c r="D727" s="178"/>
      <c r="E727" s="178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178"/>
      <c r="B728" s="178"/>
      <c r="C728" s="178"/>
      <c r="D728" s="178"/>
      <c r="E728" s="178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178"/>
      <c r="B729" s="178"/>
      <c r="C729" s="178"/>
      <c r="D729" s="178"/>
      <c r="E729" s="178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178"/>
      <c r="B730" s="178"/>
      <c r="C730" s="178"/>
      <c r="D730" s="178"/>
      <c r="E730" s="178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178"/>
      <c r="B731" s="178"/>
      <c r="C731" s="178"/>
      <c r="D731" s="178"/>
      <c r="E731" s="178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178"/>
      <c r="B732" s="178"/>
      <c r="C732" s="178"/>
      <c r="D732" s="178"/>
      <c r="E732" s="178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178"/>
      <c r="B733" s="178"/>
      <c r="C733" s="178"/>
      <c r="D733" s="178"/>
      <c r="E733" s="178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178"/>
      <c r="B734" s="178"/>
      <c r="C734" s="178"/>
      <c r="D734" s="178"/>
      <c r="E734" s="178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178"/>
      <c r="B735" s="178"/>
      <c r="C735" s="178"/>
      <c r="D735" s="178"/>
      <c r="E735" s="178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178"/>
      <c r="B736" s="178"/>
      <c r="C736" s="178"/>
      <c r="D736" s="178"/>
      <c r="E736" s="178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178"/>
      <c r="B737" s="178"/>
      <c r="C737" s="178"/>
      <c r="D737" s="178"/>
      <c r="E737" s="178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178"/>
      <c r="B738" s="178"/>
      <c r="C738" s="178"/>
      <c r="D738" s="178"/>
      <c r="E738" s="178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178"/>
      <c r="B739" s="178"/>
      <c r="C739" s="178"/>
      <c r="D739" s="178"/>
      <c r="E739" s="178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178"/>
      <c r="B740" s="178"/>
      <c r="C740" s="178"/>
      <c r="D740" s="178"/>
      <c r="E740" s="178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178"/>
      <c r="B741" s="178"/>
      <c r="C741" s="178"/>
      <c r="D741" s="178"/>
      <c r="E741" s="178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178"/>
      <c r="B742" s="178"/>
      <c r="C742" s="178"/>
      <c r="D742" s="178"/>
      <c r="E742" s="178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178"/>
      <c r="B743" s="178"/>
      <c r="C743" s="178"/>
      <c r="D743" s="178"/>
      <c r="E743" s="178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178"/>
      <c r="B744" s="178"/>
      <c r="C744" s="178"/>
      <c r="D744" s="178"/>
      <c r="E744" s="178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178"/>
      <c r="B745" s="178"/>
      <c r="C745" s="178"/>
      <c r="D745" s="178"/>
      <c r="E745" s="178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178"/>
      <c r="B746" s="178"/>
      <c r="C746" s="178"/>
      <c r="D746" s="178"/>
      <c r="E746" s="178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178"/>
      <c r="B747" s="178"/>
      <c r="C747" s="178"/>
      <c r="D747" s="178"/>
      <c r="E747" s="178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178"/>
      <c r="B748" s="178"/>
      <c r="C748" s="178"/>
      <c r="D748" s="178"/>
      <c r="E748" s="178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178"/>
      <c r="B749" s="178"/>
      <c r="C749" s="178"/>
      <c r="D749" s="178"/>
      <c r="E749" s="178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178"/>
      <c r="B750" s="178"/>
      <c r="C750" s="178"/>
      <c r="D750" s="178"/>
      <c r="E750" s="178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178"/>
      <c r="B751" s="178"/>
      <c r="C751" s="178"/>
      <c r="D751" s="178"/>
      <c r="E751" s="178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178"/>
      <c r="B752" s="178"/>
      <c r="C752" s="178"/>
      <c r="D752" s="178"/>
      <c r="E752" s="178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178"/>
      <c r="B753" s="178"/>
      <c r="C753" s="178"/>
      <c r="D753" s="178"/>
      <c r="E753" s="178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178"/>
      <c r="B754" s="178"/>
      <c r="C754" s="178"/>
      <c r="D754" s="178"/>
      <c r="E754" s="178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178"/>
      <c r="B755" s="178"/>
      <c r="C755" s="178"/>
      <c r="D755" s="178"/>
      <c r="E755" s="178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178"/>
      <c r="B756" s="178"/>
      <c r="C756" s="178"/>
      <c r="D756" s="178"/>
      <c r="E756" s="178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178"/>
      <c r="B757" s="178"/>
      <c r="C757" s="178"/>
      <c r="D757" s="178"/>
      <c r="E757" s="178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178"/>
      <c r="B758" s="178"/>
      <c r="C758" s="178"/>
      <c r="D758" s="178"/>
      <c r="E758" s="178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178"/>
      <c r="B759" s="178"/>
      <c r="C759" s="178"/>
      <c r="D759" s="178"/>
      <c r="E759" s="178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178"/>
      <c r="B760" s="178"/>
      <c r="C760" s="178"/>
      <c r="D760" s="178"/>
      <c r="E760" s="178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178"/>
      <c r="B761" s="178"/>
      <c r="C761" s="178"/>
      <c r="D761" s="178"/>
      <c r="E761" s="178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178"/>
      <c r="B762" s="178"/>
      <c r="C762" s="178"/>
      <c r="D762" s="178"/>
      <c r="E762" s="178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178"/>
      <c r="B763" s="178"/>
      <c r="C763" s="178"/>
      <c r="D763" s="178"/>
      <c r="E763" s="178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178"/>
      <c r="B764" s="178"/>
      <c r="C764" s="178"/>
      <c r="D764" s="178"/>
      <c r="E764" s="178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178"/>
      <c r="B765" s="178"/>
      <c r="C765" s="178"/>
      <c r="D765" s="178"/>
      <c r="E765" s="178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178"/>
      <c r="B766" s="178"/>
      <c r="C766" s="178"/>
      <c r="D766" s="178"/>
      <c r="E766" s="178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178"/>
      <c r="B767" s="178"/>
      <c r="C767" s="178"/>
      <c r="D767" s="178"/>
      <c r="E767" s="178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178"/>
      <c r="B768" s="178"/>
      <c r="C768" s="178"/>
      <c r="D768" s="178"/>
      <c r="E768" s="178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178"/>
      <c r="B769" s="178"/>
      <c r="C769" s="178"/>
      <c r="D769" s="178"/>
      <c r="E769" s="178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178"/>
      <c r="B770" s="178"/>
      <c r="C770" s="178"/>
      <c r="D770" s="178"/>
      <c r="E770" s="178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178"/>
      <c r="B771" s="178"/>
      <c r="C771" s="178"/>
      <c r="D771" s="178"/>
      <c r="E771" s="178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178"/>
      <c r="B772" s="178"/>
      <c r="C772" s="178"/>
      <c r="D772" s="178"/>
      <c r="E772" s="178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178"/>
      <c r="B773" s="178"/>
      <c r="C773" s="178"/>
      <c r="D773" s="178"/>
      <c r="E773" s="178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178"/>
      <c r="B774" s="178"/>
      <c r="C774" s="178"/>
      <c r="D774" s="178"/>
      <c r="E774" s="178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178"/>
      <c r="B775" s="178"/>
      <c r="C775" s="178"/>
      <c r="D775" s="178"/>
      <c r="E775" s="178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178"/>
      <c r="B776" s="178"/>
      <c r="C776" s="178"/>
      <c r="D776" s="178"/>
      <c r="E776" s="178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178"/>
      <c r="B777" s="178"/>
      <c r="C777" s="178"/>
      <c r="D777" s="178"/>
      <c r="E777" s="178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178"/>
      <c r="B778" s="178"/>
      <c r="C778" s="178"/>
      <c r="D778" s="178"/>
      <c r="E778" s="178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178"/>
      <c r="B779" s="178"/>
      <c r="C779" s="178"/>
      <c r="D779" s="178"/>
      <c r="E779" s="178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178"/>
      <c r="B780" s="178"/>
      <c r="C780" s="178"/>
      <c r="D780" s="178"/>
      <c r="E780" s="178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178"/>
      <c r="B781" s="178"/>
      <c r="C781" s="178"/>
      <c r="D781" s="178"/>
      <c r="E781" s="178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178"/>
      <c r="B782" s="178"/>
      <c r="C782" s="178"/>
      <c r="D782" s="178"/>
      <c r="E782" s="178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178"/>
      <c r="B783" s="178"/>
      <c r="C783" s="178"/>
      <c r="D783" s="178"/>
      <c r="E783" s="178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178"/>
      <c r="B784" s="178"/>
      <c r="C784" s="178"/>
      <c r="D784" s="178"/>
      <c r="E784" s="178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178"/>
      <c r="B785" s="178"/>
      <c r="C785" s="178"/>
      <c r="D785" s="178"/>
      <c r="E785" s="178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178"/>
      <c r="B786" s="178"/>
      <c r="C786" s="178"/>
      <c r="D786" s="178"/>
      <c r="E786" s="178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178"/>
      <c r="B787" s="178"/>
      <c r="C787" s="178"/>
      <c r="D787" s="178"/>
      <c r="E787" s="178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178"/>
      <c r="B788" s="178"/>
      <c r="C788" s="178"/>
      <c r="D788" s="178"/>
      <c r="E788" s="178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178"/>
      <c r="B789" s="178"/>
      <c r="C789" s="178"/>
      <c r="D789" s="178"/>
      <c r="E789" s="178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178"/>
      <c r="B790" s="178"/>
      <c r="C790" s="178"/>
      <c r="D790" s="178"/>
      <c r="E790" s="178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178"/>
      <c r="B791" s="178"/>
      <c r="C791" s="178"/>
      <c r="D791" s="178"/>
      <c r="E791" s="178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178"/>
      <c r="B792" s="178"/>
      <c r="C792" s="178"/>
      <c r="D792" s="178"/>
      <c r="E792" s="178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178"/>
      <c r="B793" s="178"/>
      <c r="C793" s="178"/>
      <c r="D793" s="178"/>
      <c r="E793" s="178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178"/>
      <c r="B794" s="178"/>
      <c r="C794" s="178"/>
      <c r="D794" s="178"/>
      <c r="E794" s="178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178"/>
      <c r="B795" s="178"/>
      <c r="C795" s="178"/>
      <c r="D795" s="178"/>
      <c r="E795" s="178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178"/>
      <c r="B796" s="178"/>
      <c r="C796" s="178"/>
      <c r="D796" s="178"/>
      <c r="E796" s="178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178"/>
      <c r="B797" s="178"/>
      <c r="C797" s="178"/>
      <c r="D797" s="178"/>
      <c r="E797" s="178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178"/>
      <c r="B798" s="178"/>
      <c r="C798" s="178"/>
      <c r="D798" s="178"/>
      <c r="E798" s="178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178"/>
      <c r="B799" s="178"/>
      <c r="C799" s="178"/>
      <c r="D799" s="178"/>
      <c r="E799" s="178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178"/>
      <c r="B800" s="178"/>
      <c r="C800" s="178"/>
      <c r="D800" s="178"/>
      <c r="E800" s="178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178"/>
      <c r="B801" s="178"/>
      <c r="C801" s="178"/>
      <c r="D801" s="178"/>
      <c r="E801" s="178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178"/>
      <c r="B802" s="178"/>
      <c r="C802" s="178"/>
      <c r="D802" s="178"/>
      <c r="E802" s="178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178"/>
      <c r="B803" s="178"/>
      <c r="C803" s="178"/>
      <c r="D803" s="178"/>
      <c r="E803" s="178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178"/>
      <c r="B804" s="178"/>
      <c r="C804" s="178"/>
      <c r="D804" s="178"/>
      <c r="E804" s="178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178"/>
      <c r="B805" s="178"/>
      <c r="C805" s="178"/>
      <c r="D805" s="178"/>
      <c r="E805" s="178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178"/>
      <c r="B806" s="178"/>
      <c r="C806" s="178"/>
      <c r="D806" s="178"/>
      <c r="E806" s="178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178"/>
      <c r="B807" s="178"/>
      <c r="C807" s="178"/>
      <c r="D807" s="178"/>
      <c r="E807" s="178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178"/>
      <c r="B808" s="178"/>
      <c r="C808" s="178"/>
      <c r="D808" s="178"/>
      <c r="E808" s="178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178"/>
      <c r="B809" s="178"/>
      <c r="C809" s="178"/>
      <c r="D809" s="178"/>
      <c r="E809" s="178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178"/>
      <c r="B810" s="178"/>
      <c r="C810" s="178"/>
      <c r="D810" s="178"/>
      <c r="E810" s="178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178"/>
      <c r="B811" s="178"/>
      <c r="C811" s="178"/>
      <c r="D811" s="178"/>
      <c r="E811" s="178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178"/>
      <c r="B812" s="178"/>
      <c r="C812" s="178"/>
      <c r="D812" s="178"/>
      <c r="E812" s="178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178"/>
      <c r="B813" s="178"/>
      <c r="C813" s="178"/>
      <c r="D813" s="178"/>
      <c r="E813" s="178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178"/>
      <c r="B814" s="178"/>
      <c r="C814" s="178"/>
      <c r="D814" s="178"/>
      <c r="E814" s="178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178"/>
      <c r="B815" s="178"/>
      <c r="C815" s="178"/>
      <c r="D815" s="178"/>
      <c r="E815" s="178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178"/>
      <c r="B816" s="178"/>
      <c r="C816" s="178"/>
      <c r="D816" s="178"/>
      <c r="E816" s="178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178"/>
      <c r="B817" s="178"/>
      <c r="C817" s="178"/>
      <c r="D817" s="178"/>
      <c r="E817" s="178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178"/>
      <c r="B818" s="178"/>
      <c r="C818" s="178"/>
      <c r="D818" s="178"/>
      <c r="E818" s="178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178"/>
      <c r="B819" s="178"/>
      <c r="C819" s="178"/>
      <c r="D819" s="178"/>
      <c r="E819" s="178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178"/>
      <c r="B820" s="178"/>
      <c r="C820" s="178"/>
      <c r="D820" s="178"/>
      <c r="E820" s="178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178"/>
      <c r="B821" s="178"/>
      <c r="C821" s="178"/>
      <c r="D821" s="178"/>
      <c r="E821" s="178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178"/>
      <c r="B822" s="178"/>
      <c r="C822" s="178"/>
      <c r="D822" s="178"/>
      <c r="E822" s="178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178"/>
      <c r="B823" s="178"/>
      <c r="C823" s="178"/>
      <c r="D823" s="178"/>
      <c r="E823" s="178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178"/>
      <c r="B824" s="178"/>
      <c r="C824" s="178"/>
      <c r="D824" s="178"/>
      <c r="E824" s="178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178"/>
      <c r="B825" s="178"/>
      <c r="C825" s="178"/>
      <c r="D825" s="178"/>
      <c r="E825" s="178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178"/>
      <c r="B826" s="178"/>
      <c r="C826" s="178"/>
      <c r="D826" s="178"/>
      <c r="E826" s="178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178"/>
      <c r="B827" s="178"/>
      <c r="C827" s="178"/>
      <c r="D827" s="178"/>
      <c r="E827" s="178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178"/>
      <c r="B828" s="178"/>
      <c r="C828" s="178"/>
      <c r="D828" s="178"/>
      <c r="E828" s="178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178"/>
      <c r="B829" s="178"/>
      <c r="C829" s="178"/>
      <c r="D829" s="178"/>
      <c r="E829" s="178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178"/>
      <c r="B830" s="178"/>
      <c r="C830" s="178"/>
      <c r="D830" s="178"/>
      <c r="E830" s="178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178"/>
      <c r="B831" s="178"/>
      <c r="C831" s="178"/>
      <c r="D831" s="178"/>
      <c r="E831" s="178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178"/>
      <c r="B832" s="178"/>
      <c r="C832" s="178"/>
      <c r="D832" s="178"/>
      <c r="E832" s="178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178"/>
      <c r="B833" s="178"/>
      <c r="C833" s="178"/>
      <c r="D833" s="178"/>
      <c r="E833" s="178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178"/>
      <c r="B834" s="178"/>
      <c r="C834" s="178"/>
      <c r="D834" s="178"/>
      <c r="E834" s="178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178"/>
      <c r="B835" s="178"/>
      <c r="C835" s="178"/>
      <c r="D835" s="178"/>
      <c r="E835" s="178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178"/>
      <c r="B836" s="178"/>
      <c r="C836" s="178"/>
      <c r="D836" s="178"/>
      <c r="E836" s="178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178"/>
      <c r="B837" s="178"/>
      <c r="C837" s="178"/>
      <c r="D837" s="178"/>
      <c r="E837" s="178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178"/>
      <c r="B838" s="178"/>
      <c r="C838" s="178"/>
      <c r="D838" s="178"/>
      <c r="E838" s="178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178"/>
      <c r="B839" s="178"/>
      <c r="C839" s="178"/>
      <c r="D839" s="178"/>
      <c r="E839" s="178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178"/>
      <c r="B840" s="178"/>
      <c r="C840" s="178"/>
      <c r="D840" s="178"/>
      <c r="E840" s="178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178"/>
      <c r="B841" s="178"/>
      <c r="C841" s="178"/>
      <c r="D841" s="178"/>
      <c r="E841" s="178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178"/>
      <c r="B842" s="178"/>
      <c r="C842" s="178"/>
      <c r="D842" s="178"/>
      <c r="E842" s="178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178"/>
      <c r="B843" s="178"/>
      <c r="C843" s="178"/>
      <c r="D843" s="178"/>
      <c r="E843" s="178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178"/>
      <c r="B844" s="178"/>
      <c r="C844" s="178"/>
      <c r="D844" s="178"/>
      <c r="E844" s="178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178"/>
      <c r="B845" s="178"/>
      <c r="C845" s="178"/>
      <c r="D845" s="178"/>
      <c r="E845" s="178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178"/>
      <c r="B846" s="178"/>
      <c r="C846" s="178"/>
      <c r="D846" s="178"/>
      <c r="E846" s="178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178"/>
      <c r="B847" s="178"/>
      <c r="C847" s="178"/>
      <c r="D847" s="178"/>
      <c r="E847" s="178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178"/>
      <c r="B848" s="178"/>
      <c r="C848" s="178"/>
      <c r="D848" s="178"/>
      <c r="E848" s="178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178"/>
      <c r="B849" s="178"/>
      <c r="C849" s="178"/>
      <c r="D849" s="178"/>
      <c r="E849" s="178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178"/>
      <c r="B850" s="178"/>
      <c r="C850" s="178"/>
      <c r="D850" s="178"/>
      <c r="E850" s="178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178"/>
      <c r="B851" s="178"/>
      <c r="C851" s="178"/>
      <c r="D851" s="178"/>
      <c r="E851" s="178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178"/>
      <c r="B852" s="178"/>
      <c r="C852" s="178"/>
      <c r="D852" s="178"/>
      <c r="E852" s="178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178"/>
      <c r="B853" s="178"/>
      <c r="C853" s="178"/>
      <c r="D853" s="178"/>
      <c r="E853" s="178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178"/>
      <c r="B854" s="178"/>
      <c r="C854" s="178"/>
      <c r="D854" s="178"/>
      <c r="E854" s="178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178"/>
      <c r="B855" s="178"/>
      <c r="C855" s="178"/>
      <c r="D855" s="178"/>
      <c r="E855" s="178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178"/>
      <c r="B856" s="178"/>
      <c r="C856" s="178"/>
      <c r="D856" s="178"/>
      <c r="E856" s="178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178"/>
      <c r="B857" s="178"/>
      <c r="C857" s="178"/>
      <c r="D857" s="178"/>
      <c r="E857" s="178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178"/>
      <c r="B858" s="178"/>
      <c r="C858" s="178"/>
      <c r="D858" s="178"/>
      <c r="E858" s="178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178"/>
      <c r="B859" s="178"/>
      <c r="C859" s="178"/>
      <c r="D859" s="178"/>
      <c r="E859" s="178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178"/>
      <c r="B860" s="178"/>
      <c r="C860" s="178"/>
      <c r="D860" s="178"/>
      <c r="E860" s="178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178"/>
      <c r="B861" s="178"/>
      <c r="C861" s="178"/>
      <c r="D861" s="178"/>
      <c r="E861" s="178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178"/>
      <c r="B862" s="178"/>
      <c r="C862" s="178"/>
      <c r="D862" s="178"/>
      <c r="E862" s="178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178"/>
      <c r="B863" s="178"/>
      <c r="C863" s="178"/>
      <c r="D863" s="178"/>
      <c r="E863" s="178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178"/>
      <c r="B864" s="178"/>
      <c r="C864" s="178"/>
      <c r="D864" s="178"/>
      <c r="E864" s="178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178"/>
      <c r="B865" s="178"/>
      <c r="C865" s="178"/>
      <c r="D865" s="178"/>
      <c r="E865" s="178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178"/>
      <c r="B866" s="178"/>
      <c r="C866" s="178"/>
      <c r="D866" s="178"/>
      <c r="E866" s="178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178"/>
      <c r="B867" s="178"/>
      <c r="C867" s="178"/>
      <c r="D867" s="178"/>
      <c r="E867" s="178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178"/>
      <c r="B868" s="178"/>
      <c r="C868" s="178"/>
      <c r="D868" s="178"/>
      <c r="E868" s="178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178"/>
      <c r="B869" s="178"/>
      <c r="C869" s="178"/>
      <c r="D869" s="178"/>
      <c r="E869" s="178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178"/>
      <c r="B870" s="178"/>
      <c r="C870" s="178"/>
      <c r="D870" s="178"/>
      <c r="E870" s="178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178"/>
      <c r="B871" s="178"/>
      <c r="C871" s="178"/>
      <c r="D871" s="178"/>
      <c r="E871" s="178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178"/>
      <c r="B872" s="178"/>
      <c r="C872" s="178"/>
      <c r="D872" s="178"/>
      <c r="E872" s="178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178"/>
      <c r="B873" s="178"/>
      <c r="C873" s="178"/>
      <c r="D873" s="178"/>
      <c r="E873" s="178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178"/>
      <c r="B874" s="178"/>
      <c r="C874" s="178"/>
      <c r="D874" s="178"/>
      <c r="E874" s="178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178"/>
      <c r="B875" s="178"/>
      <c r="C875" s="178"/>
      <c r="D875" s="178"/>
      <c r="E875" s="178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178"/>
      <c r="B876" s="178"/>
      <c r="C876" s="178"/>
      <c r="D876" s="178"/>
      <c r="E876" s="178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178"/>
      <c r="B877" s="178"/>
      <c r="C877" s="178"/>
      <c r="D877" s="178"/>
      <c r="E877" s="178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178"/>
      <c r="B878" s="178"/>
      <c r="C878" s="178"/>
      <c r="D878" s="178"/>
      <c r="E878" s="178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178"/>
      <c r="B879" s="178"/>
      <c r="C879" s="178"/>
      <c r="D879" s="178"/>
      <c r="E879" s="178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178"/>
      <c r="B880" s="178"/>
      <c r="C880" s="178"/>
      <c r="D880" s="178"/>
      <c r="E880" s="178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178"/>
      <c r="B881" s="178"/>
      <c r="C881" s="178"/>
      <c r="D881" s="178"/>
      <c r="E881" s="178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178"/>
      <c r="B882" s="178"/>
      <c r="C882" s="178"/>
      <c r="D882" s="178"/>
      <c r="E882" s="178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178"/>
      <c r="B883" s="178"/>
      <c r="C883" s="178"/>
      <c r="D883" s="178"/>
      <c r="E883" s="178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178"/>
      <c r="B884" s="178"/>
      <c r="C884" s="178"/>
      <c r="D884" s="178"/>
      <c r="E884" s="178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178"/>
      <c r="B885" s="178"/>
      <c r="C885" s="178"/>
      <c r="D885" s="178"/>
      <c r="E885" s="178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178"/>
      <c r="B886" s="178"/>
      <c r="C886" s="178"/>
      <c r="D886" s="178"/>
      <c r="E886" s="178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178"/>
      <c r="B887" s="178"/>
      <c r="C887" s="178"/>
      <c r="D887" s="178"/>
      <c r="E887" s="178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178"/>
      <c r="B888" s="178"/>
      <c r="C888" s="178"/>
      <c r="D888" s="178"/>
      <c r="E888" s="178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178"/>
      <c r="B889" s="178"/>
      <c r="C889" s="178"/>
      <c r="D889" s="178"/>
      <c r="E889" s="178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178"/>
      <c r="B890" s="178"/>
      <c r="C890" s="178"/>
      <c r="D890" s="178"/>
      <c r="E890" s="178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178"/>
      <c r="B891" s="178"/>
      <c r="C891" s="178"/>
      <c r="D891" s="178"/>
      <c r="E891" s="178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178"/>
      <c r="B892" s="178"/>
      <c r="C892" s="178"/>
      <c r="D892" s="178"/>
      <c r="E892" s="178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178"/>
      <c r="B893" s="178"/>
      <c r="C893" s="178"/>
      <c r="D893" s="178"/>
      <c r="E893" s="178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178"/>
      <c r="B894" s="178"/>
      <c r="C894" s="178"/>
      <c r="D894" s="178"/>
      <c r="E894" s="178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178"/>
      <c r="B895" s="178"/>
      <c r="C895" s="178"/>
      <c r="D895" s="178"/>
      <c r="E895" s="178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178"/>
      <c r="B896" s="178"/>
      <c r="C896" s="178"/>
      <c r="D896" s="178"/>
      <c r="E896" s="178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178"/>
      <c r="B897" s="178"/>
      <c r="C897" s="178"/>
      <c r="D897" s="178"/>
      <c r="E897" s="178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178"/>
      <c r="B898" s="178"/>
      <c r="C898" s="178"/>
      <c r="D898" s="178"/>
      <c r="E898" s="178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178"/>
      <c r="B899" s="178"/>
      <c r="C899" s="178"/>
      <c r="D899" s="178"/>
      <c r="E899" s="178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178"/>
      <c r="B900" s="178"/>
      <c r="C900" s="178"/>
      <c r="D900" s="178"/>
      <c r="E900" s="178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178"/>
      <c r="B901" s="178"/>
      <c r="C901" s="178"/>
      <c r="D901" s="178"/>
      <c r="E901" s="178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178"/>
      <c r="B902" s="178"/>
      <c r="C902" s="178"/>
      <c r="D902" s="178"/>
      <c r="E902" s="178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178"/>
      <c r="B903" s="178"/>
      <c r="C903" s="178"/>
      <c r="D903" s="178"/>
      <c r="E903" s="178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178"/>
      <c r="B904" s="178"/>
      <c r="C904" s="178"/>
      <c r="D904" s="178"/>
      <c r="E904" s="178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178"/>
      <c r="B905" s="178"/>
      <c r="C905" s="178"/>
      <c r="D905" s="178"/>
      <c r="E905" s="178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178"/>
      <c r="B906" s="178"/>
      <c r="C906" s="178"/>
      <c r="D906" s="178"/>
      <c r="E906" s="178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178"/>
      <c r="B907" s="178"/>
      <c r="C907" s="178"/>
      <c r="D907" s="178"/>
      <c r="E907" s="178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178"/>
      <c r="B908" s="178"/>
      <c r="C908" s="178"/>
      <c r="D908" s="178"/>
      <c r="E908" s="178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178"/>
      <c r="B909" s="178"/>
      <c r="C909" s="178"/>
      <c r="D909" s="178"/>
      <c r="E909" s="178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178"/>
      <c r="B910" s="178"/>
      <c r="C910" s="178"/>
      <c r="D910" s="178"/>
      <c r="E910" s="178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178"/>
      <c r="B911" s="178"/>
      <c r="C911" s="178"/>
      <c r="D911" s="178"/>
      <c r="E911" s="178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178"/>
      <c r="B912" s="178"/>
      <c r="C912" s="178"/>
      <c r="D912" s="178"/>
      <c r="E912" s="178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178"/>
      <c r="B913" s="178"/>
      <c r="C913" s="178"/>
      <c r="D913" s="178"/>
      <c r="E913" s="178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178"/>
      <c r="B914" s="178"/>
      <c r="C914" s="178"/>
      <c r="D914" s="178"/>
      <c r="E914" s="178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178"/>
      <c r="B915" s="178"/>
      <c r="C915" s="178"/>
      <c r="D915" s="178"/>
      <c r="E915" s="178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178"/>
      <c r="B916" s="178"/>
      <c r="C916" s="178"/>
      <c r="D916" s="178"/>
      <c r="E916" s="178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178"/>
      <c r="B917" s="178"/>
      <c r="C917" s="178"/>
      <c r="D917" s="178"/>
      <c r="E917" s="178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178"/>
      <c r="B918" s="178"/>
      <c r="C918" s="178"/>
      <c r="D918" s="178"/>
      <c r="E918" s="178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178"/>
      <c r="B919" s="178"/>
      <c r="C919" s="178"/>
      <c r="D919" s="178"/>
      <c r="E919" s="178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178"/>
      <c r="B920" s="178"/>
      <c r="C920" s="178"/>
      <c r="D920" s="178"/>
      <c r="E920" s="178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178"/>
      <c r="B921" s="178"/>
      <c r="C921" s="178"/>
      <c r="D921" s="178"/>
      <c r="E921" s="178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178"/>
      <c r="B922" s="178"/>
      <c r="C922" s="178"/>
      <c r="D922" s="178"/>
      <c r="E922" s="178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178"/>
      <c r="B923" s="178"/>
      <c r="C923" s="178"/>
      <c r="D923" s="178"/>
      <c r="E923" s="178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178"/>
      <c r="B924" s="178"/>
      <c r="C924" s="178"/>
      <c r="D924" s="178"/>
      <c r="E924" s="178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178"/>
      <c r="B925" s="178"/>
      <c r="C925" s="178"/>
      <c r="D925" s="178"/>
      <c r="E925" s="178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178"/>
      <c r="B926" s="178"/>
      <c r="C926" s="178"/>
      <c r="D926" s="178"/>
      <c r="E926" s="178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178"/>
      <c r="B927" s="178"/>
      <c r="C927" s="178"/>
      <c r="D927" s="178"/>
      <c r="E927" s="178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178"/>
      <c r="B928" s="178"/>
      <c r="C928" s="178"/>
      <c r="D928" s="178"/>
      <c r="E928" s="178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178"/>
      <c r="B929" s="178"/>
      <c r="C929" s="178"/>
      <c r="D929" s="178"/>
      <c r="E929" s="178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178"/>
      <c r="B930" s="178"/>
      <c r="C930" s="178"/>
      <c r="D930" s="178"/>
      <c r="E930" s="178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178"/>
      <c r="B931" s="178"/>
      <c r="C931" s="178"/>
      <c r="D931" s="178"/>
      <c r="E931" s="178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178"/>
      <c r="B932" s="178"/>
      <c r="C932" s="178"/>
      <c r="D932" s="178"/>
      <c r="E932" s="178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178"/>
      <c r="B933" s="178"/>
      <c r="C933" s="178"/>
      <c r="D933" s="178"/>
      <c r="E933" s="178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178"/>
      <c r="B934" s="178"/>
      <c r="C934" s="178"/>
      <c r="D934" s="178"/>
      <c r="E934" s="178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178"/>
      <c r="B935" s="178"/>
      <c r="C935" s="178"/>
      <c r="D935" s="178"/>
      <c r="E935" s="178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178"/>
      <c r="B936" s="178"/>
      <c r="C936" s="178"/>
      <c r="D936" s="178"/>
      <c r="E936" s="178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178"/>
      <c r="B937" s="178"/>
      <c r="C937" s="178"/>
      <c r="D937" s="178"/>
      <c r="E937" s="178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178"/>
      <c r="B938" s="178"/>
      <c r="C938" s="178"/>
      <c r="D938" s="178"/>
      <c r="E938" s="178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178"/>
      <c r="B939" s="178"/>
      <c r="C939" s="178"/>
      <c r="D939" s="178"/>
      <c r="E939" s="178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178"/>
      <c r="B940" s="178"/>
      <c r="C940" s="178"/>
      <c r="D940" s="178"/>
      <c r="E940" s="178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178"/>
      <c r="B941" s="178"/>
      <c r="C941" s="178"/>
      <c r="D941" s="178"/>
      <c r="E941" s="178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178"/>
      <c r="B942" s="178"/>
      <c r="C942" s="178"/>
      <c r="D942" s="178"/>
      <c r="E942" s="178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178"/>
      <c r="B943" s="178"/>
      <c r="C943" s="178"/>
      <c r="D943" s="178"/>
      <c r="E943" s="178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178"/>
      <c r="B944" s="178"/>
      <c r="C944" s="178"/>
      <c r="D944" s="178"/>
      <c r="E944" s="178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178"/>
      <c r="B945" s="178"/>
      <c r="C945" s="178"/>
      <c r="D945" s="178"/>
      <c r="E945" s="178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178"/>
      <c r="B946" s="178"/>
      <c r="C946" s="178"/>
      <c r="D946" s="178"/>
      <c r="E946" s="178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178"/>
      <c r="B947" s="178"/>
      <c r="C947" s="178"/>
      <c r="D947" s="178"/>
      <c r="E947" s="178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178"/>
      <c r="B948" s="178"/>
      <c r="C948" s="178"/>
      <c r="D948" s="178"/>
      <c r="E948" s="178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178"/>
      <c r="B949" s="178"/>
      <c r="C949" s="178"/>
      <c r="D949" s="178"/>
      <c r="E949" s="178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178"/>
      <c r="B950" s="178"/>
      <c r="C950" s="178"/>
      <c r="D950" s="178"/>
      <c r="E950" s="178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178"/>
      <c r="B951" s="178"/>
      <c r="C951" s="178"/>
      <c r="D951" s="178"/>
      <c r="E951" s="178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178"/>
      <c r="B952" s="178"/>
      <c r="C952" s="178"/>
      <c r="D952" s="178"/>
      <c r="E952" s="178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178"/>
      <c r="B953" s="178"/>
      <c r="C953" s="178"/>
      <c r="D953" s="178"/>
      <c r="E953" s="178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178"/>
      <c r="B954" s="178"/>
      <c r="C954" s="178"/>
      <c r="D954" s="178"/>
      <c r="E954" s="178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178"/>
      <c r="B955" s="178"/>
      <c r="C955" s="178"/>
      <c r="D955" s="178"/>
      <c r="E955" s="178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178"/>
      <c r="B956" s="178"/>
      <c r="C956" s="178"/>
      <c r="D956" s="178"/>
      <c r="E956" s="178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178"/>
      <c r="B957" s="178"/>
      <c r="C957" s="178"/>
      <c r="D957" s="178"/>
      <c r="E957" s="178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178"/>
      <c r="B958" s="178"/>
      <c r="C958" s="178"/>
      <c r="D958" s="178"/>
      <c r="E958" s="178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178"/>
      <c r="B959" s="178"/>
      <c r="C959" s="178"/>
      <c r="D959" s="178"/>
      <c r="E959" s="178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178"/>
      <c r="B960" s="178"/>
      <c r="C960" s="178"/>
      <c r="D960" s="178"/>
      <c r="E960" s="178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178"/>
      <c r="B961" s="178"/>
      <c r="C961" s="178"/>
      <c r="D961" s="178"/>
      <c r="E961" s="178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178"/>
      <c r="B962" s="178"/>
      <c r="C962" s="178"/>
      <c r="D962" s="178"/>
      <c r="E962" s="178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178"/>
      <c r="B963" s="178"/>
      <c r="C963" s="178"/>
      <c r="D963" s="178"/>
      <c r="E963" s="178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178"/>
      <c r="B964" s="178"/>
      <c r="C964" s="178"/>
      <c r="D964" s="178"/>
      <c r="E964" s="178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178"/>
      <c r="B965" s="178"/>
      <c r="C965" s="178"/>
      <c r="D965" s="178"/>
      <c r="E965" s="178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178"/>
      <c r="B966" s="178"/>
      <c r="C966" s="178"/>
      <c r="D966" s="178"/>
      <c r="E966" s="178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178"/>
      <c r="B967" s="178"/>
      <c r="C967" s="178"/>
      <c r="D967" s="178"/>
      <c r="E967" s="178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178"/>
      <c r="B968" s="178"/>
      <c r="C968" s="178"/>
      <c r="D968" s="178"/>
      <c r="E968" s="178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178"/>
      <c r="B969" s="178"/>
      <c r="C969" s="178"/>
      <c r="D969" s="178"/>
      <c r="E969" s="178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178"/>
      <c r="B970" s="178"/>
      <c r="C970" s="178"/>
      <c r="D970" s="178"/>
      <c r="E970" s="178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178"/>
      <c r="B971" s="178"/>
      <c r="C971" s="178"/>
      <c r="D971" s="178"/>
      <c r="E971" s="178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178"/>
      <c r="B972" s="178"/>
      <c r="C972" s="178"/>
      <c r="D972" s="178"/>
      <c r="E972" s="178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178"/>
      <c r="B973" s="178"/>
      <c r="C973" s="178"/>
      <c r="D973" s="178"/>
      <c r="E973" s="178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178"/>
      <c r="B974" s="178"/>
      <c r="C974" s="178"/>
      <c r="D974" s="178"/>
      <c r="E974" s="178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178"/>
      <c r="B975" s="178"/>
      <c r="C975" s="178"/>
      <c r="D975" s="178"/>
      <c r="E975" s="178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178"/>
      <c r="B976" s="178"/>
      <c r="C976" s="178"/>
      <c r="D976" s="178"/>
      <c r="E976" s="178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178"/>
      <c r="B977" s="178"/>
      <c r="C977" s="178"/>
      <c r="D977" s="178"/>
      <c r="E977" s="178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178"/>
      <c r="B978" s="178"/>
      <c r="C978" s="178"/>
      <c r="D978" s="178"/>
      <c r="E978" s="178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178"/>
      <c r="B979" s="178"/>
      <c r="C979" s="178"/>
      <c r="D979" s="178"/>
      <c r="E979" s="178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178"/>
      <c r="B980" s="178"/>
      <c r="C980" s="178"/>
      <c r="D980" s="178"/>
      <c r="E980" s="178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178"/>
      <c r="B981" s="178"/>
      <c r="C981" s="178"/>
      <c r="D981" s="178"/>
      <c r="E981" s="178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178"/>
      <c r="B982" s="178"/>
      <c r="C982" s="178"/>
      <c r="D982" s="178"/>
      <c r="E982" s="178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178"/>
      <c r="B983" s="178"/>
      <c r="C983" s="178"/>
      <c r="D983" s="178"/>
      <c r="E983" s="178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178"/>
      <c r="B984" s="178"/>
      <c r="C984" s="178"/>
      <c r="D984" s="178"/>
      <c r="E984" s="178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178"/>
      <c r="B985" s="178"/>
      <c r="C985" s="178"/>
      <c r="D985" s="178"/>
      <c r="E985" s="178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178"/>
      <c r="B986" s="178"/>
      <c r="C986" s="178"/>
      <c r="D986" s="178"/>
      <c r="E986" s="178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178"/>
      <c r="B987" s="178"/>
      <c r="C987" s="178"/>
      <c r="D987" s="178"/>
      <c r="E987" s="178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178"/>
      <c r="B988" s="178"/>
      <c r="C988" s="178"/>
      <c r="D988" s="178"/>
      <c r="E988" s="178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178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178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178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</sheetData>
  <mergeCells count="1">
    <mergeCell ref="G8:H8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42.63"/>
    <col customWidth="1" min="3" max="3" width="16.0"/>
    <col customWidth="1" min="4" max="4" width="24.25"/>
    <col customWidth="1" min="5" max="5" width="10.38"/>
    <col customWidth="1" min="7" max="7" width="76.8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178"/>
      <c r="G1" s="80" t="s">
        <v>5</v>
      </c>
      <c r="H1" s="81">
        <f>H4</f>
        <v>34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169" t="s">
        <v>1422</v>
      </c>
      <c r="B2" s="73" t="str">
        <f t="array" ref="B2">IFERROR(XLOOKUP(A2, BASE!E:E, BASE!B:B), "")
</f>
        <v>LM Hub_SP_Guaratinguetá</v>
      </c>
      <c r="C2" s="73" t="str">
        <f t="array" ref="C2">IFERROR(XLOOKUP(A2, BASE!E:E, BASE!C:C), "")
</f>
        <v>HUB-LSP-33</v>
      </c>
      <c r="D2" s="73">
        <f t="array" ref="D2">IFERROR(XLOOKUP(A2, BASE!E:E, BASE!D:D), "")
</f>
        <v>22</v>
      </c>
      <c r="E2" s="168">
        <f t="array" ref="E2">IFERROR(XLOOKUP(A2, BASE!E:E, BASE!H:H), "")
</f>
        <v>46057.25</v>
      </c>
      <c r="F2" s="178"/>
      <c r="G2" s="82" t="s">
        <v>9</v>
      </c>
      <c r="H2" s="82">
        <f>COUNTIF(C:C,"*LSP*")
</f>
        <v>21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169" t="s">
        <v>1423</v>
      </c>
      <c r="B3" s="73" t="str">
        <f t="array" ref="B3">IFERROR(XLOOKUP(A3, BASE!E:E, BASE!B:B), "")
</f>
        <v>LM Hub_SP_Registro</v>
      </c>
      <c r="C3" s="73" t="str">
        <f t="array" ref="C3">IFERROR(XLOOKUP(A3, BASE!E:E, BASE!C:C), "")
</f>
        <v>HUB-LSP-40</v>
      </c>
      <c r="D3" s="73">
        <f t="array" ref="D3">IFERROR(XLOOKUP(A3, BASE!E:E, BASE!D:D), "")
</f>
        <v>45</v>
      </c>
      <c r="E3" s="168">
        <f t="array" ref="E3">IFERROR(XLOOKUP(A3, BASE!E:E, BASE!H:H), "")
</f>
        <v>46057.25</v>
      </c>
      <c r="F3" s="178"/>
      <c r="G3" s="82" t="s">
        <v>13</v>
      </c>
      <c r="H3" s="82">
        <f>COUNTIF(C:C,"*SOC*")
</f>
        <v>15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169" t="s">
        <v>1424</v>
      </c>
      <c r="B4" s="73" t="str">
        <f t="array" ref="B4">IFERROR(XLOOKUP(A4, BASE!E:E, BASE!B:B), "")
</f>
        <v>SoC_SP_Louveira</v>
      </c>
      <c r="C4" s="73" t="str">
        <f t="array" ref="C4">IFERROR(XLOOKUP(A4, BASE!E:E, BASE!C:C), "")
</f>
        <v>SOC-SP7</v>
      </c>
      <c r="D4" s="73">
        <f t="array" ref="D4">IFERROR(XLOOKUP(A4, BASE!E:E, BASE!D:D), "")
</f>
        <v>38</v>
      </c>
      <c r="E4" s="168">
        <f t="array" ref="E4">IFERROR(XLOOKUP(A4, BASE!E:E, BASE!H:H), "")
</f>
        <v>46057.25</v>
      </c>
      <c r="F4" s="178"/>
      <c r="G4" s="82" t="s">
        <v>810</v>
      </c>
      <c r="H4" s="198">
        <f>COUNTIFS(D:D,"&gt;=5",D:D,"&lt;=114")</f>
        <v>34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69" t="s">
        <v>1425</v>
      </c>
      <c r="B5" s="73" t="str">
        <f t="array" ref="B5">IFERROR(XLOOKUP(A5, BASE!E:E, BASE!B:B), "")
</f>
        <v>LM Hub_SP_Atibaia_Ponte_Alta</v>
      </c>
      <c r="C5" s="73" t="str">
        <f t="array" ref="C5">IFERROR(XLOOKUP(A5, BASE!E:E, BASE!C:C), "")
</f>
        <v>HUB-LSP-87</v>
      </c>
      <c r="D5" s="73">
        <f t="array" ref="D5">IFERROR(XLOOKUP(A5, BASE!E:E, BASE!D:D), "")
</f>
        <v>17</v>
      </c>
      <c r="E5" s="168">
        <f t="array" ref="E5">IFERROR(XLOOKUP(A5, BASE!E:E, BASE!H:H), "")
</f>
        <v>46057.27083</v>
      </c>
      <c r="F5" s="178"/>
      <c r="G5" s="82" t="s">
        <v>20</v>
      </c>
      <c r="H5" s="82">
        <f>COUNTIF(D:D,"*NÃO DOCOU*")</f>
        <v>1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169" t="s">
        <v>1426</v>
      </c>
      <c r="B6" s="73" t="str">
        <f t="array" ref="B6">IFERROR(XLOOKUP(A6, BASE!E:E, BASE!B:B), "")
</f>
        <v>LM Hub_SP_Taubaté</v>
      </c>
      <c r="C6" s="73" t="str">
        <f t="array" ref="C6">IFERROR(XLOOKUP(A6, BASE!E:E, BASE!C:C), "")
</f>
        <v>HUB-LSP-08</v>
      </c>
      <c r="D6" s="73">
        <f t="array" ref="D6">IFERROR(XLOOKUP(A6, BASE!E:E, BASE!D:D), "")
</f>
        <v>35</v>
      </c>
      <c r="E6" s="168">
        <f t="array" ref="E6">IFERROR(XLOOKUP(A6, BASE!E:E, BASE!H:H), "")
</f>
        <v>46057.27083</v>
      </c>
      <c r="F6" s="178"/>
      <c r="G6" s="198" t="s">
        <v>25</v>
      </c>
      <c r="H6" s="199">
        <f>COUNTIF(D:D,"*NÃO CHEGOU*")
</f>
        <v>0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169" t="s">
        <v>1427</v>
      </c>
      <c r="B7" s="73" t="str">
        <f t="array" ref="B7">IFERROR(XLOOKUP(A7, BASE!E:E, BASE!B:B), "")
</f>
        <v>LM Hub_SP_Sorocaba_Região Norte</v>
      </c>
      <c r="C7" s="73" t="str">
        <f t="array" ref="C7">IFERROR(XLOOKUP(A7, BASE!E:E, BASE!C:C), "")
</f>
        <v>HUB-LSP-10</v>
      </c>
      <c r="D7" s="73">
        <f t="array" ref="D7">IFERROR(XLOOKUP(A7, BASE!E:E, BASE!D:D), "")
</f>
        <v>27</v>
      </c>
      <c r="E7" s="168">
        <f t="array" ref="E7">IFERROR(XLOOKUP(A7, BASE!E:E, BASE!H:H), "")
</f>
        <v>46057.27083</v>
      </c>
      <c r="F7" s="178"/>
      <c r="G7" s="82" t="s">
        <v>815</v>
      </c>
      <c r="H7" s="82">
        <f>COUNTIF(D:D,"*DRIVER DUPLICADO*")</f>
        <v>0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169" t="s">
        <v>1428</v>
      </c>
      <c r="B8" s="73" t="str">
        <f t="array" ref="B8">IFERROR(XLOOKUP(A8, BASE!E:E, BASE!B:B), "")
</f>
        <v>SoC_SP_Cravinhos</v>
      </c>
      <c r="C8" s="73" t="str">
        <f t="array" ref="C8">IFERROR(XLOOKUP(A8, BASE!E:E, BASE!C:C), "")
</f>
        <v>SOC-SP5</v>
      </c>
      <c r="D8" s="73">
        <f t="array" ref="D8">IFERROR(XLOOKUP(A8, BASE!E:E, BASE!D:D), "")
</f>
        <v>102</v>
      </c>
      <c r="E8" s="168">
        <f t="array" ref="E8">IFERROR(XLOOKUP(A8, BASE!E:E, BASE!H:H), "")
</f>
        <v>46057.29167</v>
      </c>
      <c r="F8" s="178"/>
      <c r="G8" s="82" t="s">
        <v>1429</v>
      </c>
      <c r="H8" s="198">
        <v>11.0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169" t="s">
        <v>1430</v>
      </c>
      <c r="B9" s="73" t="str">
        <f t="array" ref="B9">IFERROR(XLOOKUP(A9, BASE!E:E, BASE!B:B), "")
</f>
        <v>SoC_MG_Betim</v>
      </c>
      <c r="C9" s="73" t="str">
        <f t="array" ref="C9">IFERROR(XLOOKUP(A9, BASE!E:E, BASE!C:C), "")
</f>
        <v>SOC-MG2</v>
      </c>
      <c r="D9" s="73" t="str">
        <f t="array" ref="D9">IFERROR(XLOOKUP(A9, BASE!E:E, BASE!D:D), "")
</f>
        <v>90/103</v>
      </c>
      <c r="E9" s="168">
        <f t="array" ref="E9">IFERROR(XLOOKUP(A9, BASE!E:E, BASE!H:H), "")
</f>
        <v>46057.29167</v>
      </c>
      <c r="F9" s="178"/>
      <c r="G9" s="82" t="s">
        <v>1431</v>
      </c>
      <c r="H9" s="198">
        <v>23.0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169" t="s">
        <v>1432</v>
      </c>
      <c r="B10" s="73" t="str">
        <f t="array" ref="B10">IFERROR(XLOOKUP(A10, BASE!E:E, BASE!B:B), "")
</f>
        <v>SoC_MG_Betim</v>
      </c>
      <c r="C10" s="73" t="str">
        <f t="array" ref="C10">IFERROR(XLOOKUP(A10, BASE!E:E, BASE!C:C), "")
</f>
        <v>SOC-MG2</v>
      </c>
      <c r="D10" s="73">
        <f t="array" ref="D10">IFERROR(XLOOKUP(A10, BASE!E:E, BASE!D:D), "")
</f>
        <v>91</v>
      </c>
      <c r="E10" s="168">
        <f t="array" ref="E10">IFERROR(XLOOKUP(A10, BASE!E:E, BASE!H:H), "")
</f>
        <v>46057.29167</v>
      </c>
      <c r="F10" s="178"/>
      <c r="G10" s="9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169" t="s">
        <v>1433</v>
      </c>
      <c r="B11" s="73" t="str">
        <f t="array" ref="B11">IFERROR(XLOOKUP(A11, BASE!E:E, BASE!B:B), "")
</f>
        <v>SoC_SC_Itajaí</v>
      </c>
      <c r="C11" s="73" t="str">
        <f t="array" ref="C11">IFERROR(XLOOKUP(A11, BASE!E:E, BASE!C:C), "")
</f>
        <v>SOC-SC1</v>
      </c>
      <c r="D11" s="73">
        <f t="array" ref="D11">IFERROR(XLOOKUP(A11, BASE!E:E, BASE!D:D), "")
</f>
        <v>100</v>
      </c>
      <c r="E11" s="168">
        <f t="array" ref="E11">IFERROR(XLOOKUP(A11, BASE!E:E, BASE!H:H), "")
</f>
        <v>46057.29167</v>
      </c>
      <c r="F11" s="178"/>
      <c r="G11" s="84" t="s">
        <v>1434</v>
      </c>
      <c r="H11" s="9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169" t="s">
        <v>1435</v>
      </c>
      <c r="B12" s="73" t="str">
        <f t="array" ref="B12">IFERROR(XLOOKUP(A12, BASE!E:E, BASE!B:B), "")
</f>
        <v>SoC_PR_Curitiba</v>
      </c>
      <c r="C12" s="73" t="str">
        <f t="array" ref="C12">IFERROR(XLOOKUP(A12, BASE!E:E, BASE!C:C), "")
</f>
        <v>SOC-PR1</v>
      </c>
      <c r="D12" s="73">
        <f t="array" ref="D12">IFERROR(XLOOKUP(A12, BASE!E:E, BASE!D:D), "")
</f>
        <v>41</v>
      </c>
      <c r="E12" s="168">
        <f t="array" ref="E12">IFERROR(XLOOKUP(A12, BASE!E:E, BASE!H:H), "")
</f>
        <v>46057.29167</v>
      </c>
      <c r="F12" s="178"/>
      <c r="G12" s="187" t="s">
        <v>653</v>
      </c>
      <c r="H12" s="178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169" t="s">
        <v>1436</v>
      </c>
      <c r="B13" s="73" t="str">
        <f t="array" ref="B13">IFERROR(XLOOKUP(A13, BASE!E:E, BASE!B:B), "")
</f>
        <v>LM Hub_SP_Barueri_01</v>
      </c>
      <c r="C13" s="73" t="str">
        <f t="array" ref="C13">IFERROR(XLOOKUP(A13, BASE!E:E, BASE!C:C), "")
</f>
        <v>HUB-LSP-81</v>
      </c>
      <c r="D13" s="73">
        <f t="array" ref="D13">IFERROR(XLOOKUP(A13, BASE!E:E, BASE!D:D), "")
</f>
        <v>24</v>
      </c>
      <c r="E13" s="168">
        <f t="array" ref="E13">IFERROR(XLOOKUP(A13, BASE!E:E, BASE!H:H), "")
</f>
        <v>46057.29167</v>
      </c>
      <c r="F13" s="178"/>
      <c r="G13" s="178"/>
      <c r="H13" s="178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169" t="s">
        <v>1437</v>
      </c>
      <c r="B14" s="73" t="str">
        <f t="array" ref="B14">IFERROR(XLOOKUP(A14, BASE!E:E, BASE!B:B), "")
</f>
        <v>LM Hub_SP_Piracicaba</v>
      </c>
      <c r="C14" s="73" t="str">
        <f t="array" ref="C14">IFERROR(XLOOKUP(A14, BASE!E:E, BASE!C:C), "")
</f>
        <v>HUB-LSP-62</v>
      </c>
      <c r="D14" s="73">
        <f t="array" ref="D14">IFERROR(XLOOKUP(A14, BASE!E:E, BASE!D:D), "")
</f>
        <v>23</v>
      </c>
      <c r="E14" s="168">
        <f t="array" ref="E14">IFERROR(XLOOKUP(A14, BASE!E:E, BASE!H:H), "")
</f>
        <v>46057.29167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169" t="s">
        <v>1438</v>
      </c>
      <c r="B15" s="73" t="str">
        <f t="array" ref="B15">IFERROR(XLOOKUP(A15, BASE!E:E, BASE!B:B), "")
</f>
        <v>LM Hub_SP_Santos_PraiaGrande_02</v>
      </c>
      <c r="C15" s="73" t="str">
        <f t="array" ref="C15">IFERROR(XLOOKUP(A15, BASE!E:E, BASE!C:C), "")
</f>
        <v>HUB-LSP-63</v>
      </c>
      <c r="D15" s="73">
        <f t="array" ref="D15">IFERROR(XLOOKUP(A15, BASE!E:E, BASE!D:D), "")
</f>
        <v>14</v>
      </c>
      <c r="E15" s="168">
        <f t="array" ref="E15">IFERROR(XLOOKUP(A15, BASE!E:E, BASE!H:H), "")
</f>
        <v>46057.29167</v>
      </c>
      <c r="F15" s="178"/>
      <c r="G15" s="178"/>
      <c r="H15" s="178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169" t="s">
        <v>1439</v>
      </c>
      <c r="B16" s="73" t="str">
        <f t="array" ref="B16">IFERROR(XLOOKUP(A16, BASE!E:E, BASE!B:B), "")
</f>
        <v>LM Hub_SP_Guarujá</v>
      </c>
      <c r="C16" s="73" t="str">
        <f t="array" ref="C16">IFERROR(XLOOKUP(A16, BASE!E:E, BASE!C:C), "")
</f>
        <v>HUB-LSP-06</v>
      </c>
      <c r="D16" s="73">
        <f t="array" ref="D16">IFERROR(XLOOKUP(A16, BASE!E:E, BASE!D:D), "")
</f>
        <v>34</v>
      </c>
      <c r="E16" s="168">
        <f t="array" ref="E16">IFERROR(XLOOKUP(A16, BASE!E:E, BASE!H:H), "")
</f>
        <v>46057.3125</v>
      </c>
      <c r="F16" s="178"/>
      <c r="G16" s="178"/>
      <c r="H16" s="178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169" t="s">
        <v>1440</v>
      </c>
      <c r="B17" s="73" t="str">
        <f t="array" ref="B17">IFERROR(XLOOKUP(A17, BASE!E:E, BASE!B:B), "")
</f>
        <v>LM Hub_SP_Santos_Praia Grande</v>
      </c>
      <c r="C17" s="73" t="str">
        <f t="array" ref="C17">IFERROR(XLOOKUP(A17, BASE!E:E, BASE!C:C), "")
</f>
        <v>HUB-LSP-09</v>
      </c>
      <c r="D17" s="73">
        <f t="array" ref="D17">IFERROR(XLOOKUP(A17, BASE!E:E, BASE!D:D), "")
</f>
        <v>18</v>
      </c>
      <c r="E17" s="168">
        <f t="array" ref="E17">IFERROR(XLOOKUP(A17, BASE!E:E, BASE!H:H), "")
</f>
        <v>46057.3125</v>
      </c>
      <c r="F17" s="178"/>
      <c r="G17" s="178"/>
      <c r="H17" s="178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169" t="s">
        <v>1441</v>
      </c>
      <c r="B18" s="73" t="str">
        <f t="array" ref="B18">IFERROR(XLOOKUP(A18, BASE!E:E, BASE!B:B), "")
</f>
        <v>LM Hub_SP_São José dos Campos</v>
      </c>
      <c r="C18" s="73" t="str">
        <f t="array" ref="C18">IFERROR(XLOOKUP(A18, BASE!E:E, BASE!C:C), "")
</f>
        <v>HUB-LSP-04</v>
      </c>
      <c r="D18" s="73">
        <f t="array" ref="D18">IFERROR(XLOOKUP(A18, BASE!E:E, BASE!D:D), "")
</f>
        <v>21</v>
      </c>
      <c r="E18" s="168">
        <f t="array" ref="E18">IFERROR(XLOOKUP(A18, BASE!E:E, BASE!H:H), "")
</f>
        <v>46057.3125</v>
      </c>
      <c r="F18" s="178"/>
      <c r="G18" s="178"/>
      <c r="H18" s="178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169" t="s">
        <v>1442</v>
      </c>
      <c r="B19" s="73" t="str">
        <f t="array" ref="B19">IFERROR(XLOOKUP(A19, BASE!E:E, BASE!B:B), "")
</f>
        <v>LM Hub_SP_Várzea Paulista</v>
      </c>
      <c r="C19" s="73" t="str">
        <f t="array" ref="C19">IFERROR(XLOOKUP(A19, BASE!E:E, BASE!C:C), "")
</f>
        <v>HUB-LSP-20</v>
      </c>
      <c r="D19" s="73">
        <f t="array" ref="D19">IFERROR(XLOOKUP(A19, BASE!E:E, BASE!D:D), "")
</f>
        <v>19</v>
      </c>
      <c r="E19" s="168">
        <f t="array" ref="E19">IFERROR(XLOOKUP(A19, BASE!E:E, BASE!H:H), "")
</f>
        <v>46057.3125</v>
      </c>
      <c r="F19" s="178"/>
      <c r="G19" s="178"/>
      <c r="H19" s="178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94" t="s">
        <v>1443</v>
      </c>
      <c r="B20" s="73" t="str">
        <f t="array" ref="B20">IFERROR(XLOOKUP(A20, BASE!E:E, BASE!B:B), "")
</f>
        <v>LM Hub_SP_São Paulo_Mooca</v>
      </c>
      <c r="C20" s="73" t="str">
        <f t="array" ref="C20">IFERROR(XLOOKUP(A20, BASE!E:E, BASE!C:C), "")
</f>
        <v>HUB-LSP-13</v>
      </c>
      <c r="D20" s="73">
        <f t="array" ref="D20">IFERROR(XLOOKUP(A20, BASE!E:E, BASE!D:D), "")
</f>
        <v>7</v>
      </c>
      <c r="E20" s="168">
        <f t="array" ref="E20">IFERROR(XLOOKUP(A20, BASE!E:E, BASE!H:H), "")
</f>
        <v>46057.3125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169" t="s">
        <v>1440</v>
      </c>
      <c r="B21" s="73" t="str">
        <f t="array" ref="B21">IFERROR(XLOOKUP(A21, BASE!E:E, BASE!B:B), "")
</f>
        <v>LM Hub_SP_Santos_Praia Grande</v>
      </c>
      <c r="C21" s="73" t="str">
        <f t="array" ref="C21">IFERROR(XLOOKUP(A21, BASE!E:E, BASE!C:C), "")
</f>
        <v>HUB-LSP-09</v>
      </c>
      <c r="D21" s="73">
        <f t="array" ref="D21">IFERROR(XLOOKUP(A21, BASE!E:E, BASE!D:D), "")
</f>
        <v>18</v>
      </c>
      <c r="E21" s="168">
        <f t="array" ref="E21">IFERROR(XLOOKUP(A21, BASE!E:E, BASE!H:H), "")
</f>
        <v>46057.3125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169" t="s">
        <v>1444</v>
      </c>
      <c r="B22" s="73" t="str">
        <f t="array" ref="B22">IFERROR(XLOOKUP(A22, BASE!E:E, BASE!B:B), "")
</f>
        <v>LM Hub_SP_Artur Alvim</v>
      </c>
      <c r="C22" s="73" t="str">
        <f t="array" ref="C22">IFERROR(XLOOKUP(A22, BASE!E:E, BASE!C:C), "")
</f>
        <v>HUB-LSP-07</v>
      </c>
      <c r="D22" s="73">
        <f t="array" ref="D22">IFERROR(XLOOKUP(A22, BASE!E:E, BASE!D:D), "")
</f>
        <v>29</v>
      </c>
      <c r="E22" s="168">
        <f t="array" ref="E22">IFERROR(XLOOKUP(A22, BASE!E:E, BASE!H:H), "")
</f>
        <v>46057.33333</v>
      </c>
      <c r="F22" s="178"/>
      <c r="G22" s="178"/>
      <c r="H22" s="178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169" t="s">
        <v>1445</v>
      </c>
      <c r="B23" s="73" t="str">
        <f t="array" ref="B23">IFERROR(XLOOKUP(A23, BASE!E:E, BASE!B:B), "")
</f>
        <v>LM Hub_SP_São Paulo_Lapa</v>
      </c>
      <c r="C23" s="73" t="str">
        <f t="array" ref="C23">IFERROR(XLOOKUP(A23, BASE!E:E, BASE!C:C), "")
</f>
        <v>HUB-LSP-15</v>
      </c>
      <c r="D23" s="73">
        <f t="array" ref="D23">IFERROR(XLOOKUP(A23, BASE!E:E, BASE!D:D), "")
</f>
        <v>25</v>
      </c>
      <c r="E23" s="168">
        <f t="array" ref="E23">IFERROR(XLOOKUP(A23, BASE!E:E, BASE!H:H), "")
</f>
        <v>46057.33333</v>
      </c>
      <c r="F23" s="178"/>
      <c r="G23" s="178"/>
      <c r="H23" s="178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169" t="s">
        <v>1446</v>
      </c>
      <c r="B24" s="73" t="str">
        <f t="array" ref="B24">IFERROR(XLOOKUP(A24, BASE!E:E, BASE!B:B), "")
</f>
        <v>LM Hub_SP_Jurubatuba</v>
      </c>
      <c r="C24" s="73" t="str">
        <f t="array" ref="C24">IFERROR(XLOOKUP(A24, BASE!E:E, BASE!C:C), "")
</f>
        <v>HUB-LSP-16</v>
      </c>
      <c r="D24" s="73">
        <f t="array" ref="D24">IFERROR(XLOOKUP(A24, BASE!E:E, BASE!D:D), "")
</f>
        <v>26</v>
      </c>
      <c r="E24" s="168">
        <f t="array" ref="E24">IFERROR(XLOOKUP(A24, BASE!E:E, BASE!H:H), "")
</f>
        <v>46057.33333</v>
      </c>
      <c r="F24" s="178"/>
      <c r="G24" s="178"/>
      <c r="H24" s="178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169" t="s">
        <v>1447</v>
      </c>
      <c r="B25" s="73" t="str">
        <f t="array" ref="B25">IFERROR(XLOOKUP(A25, BASE!E:E, BASE!B:B), "")
</f>
        <v>LM Hub_SP_São Bernardo do Campo</v>
      </c>
      <c r="C25" s="73" t="str">
        <f t="array" ref="C25">IFERROR(XLOOKUP(A25, BASE!E:E, BASE!C:C), "")
</f>
        <v>HUB-LSP-79</v>
      </c>
      <c r="D25" s="73">
        <f t="array" ref="D25">IFERROR(XLOOKUP(A25, BASE!E:E, BASE!D:D), "")
</f>
        <v>16</v>
      </c>
      <c r="E25" s="168">
        <f t="array" ref="E25">IFERROR(XLOOKUP(A25, BASE!E:E, BASE!H:H), "")
</f>
        <v>46057.35417</v>
      </c>
      <c r="F25" s="178"/>
      <c r="G25" s="178"/>
      <c r="H25" s="178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169" t="s">
        <v>1448</v>
      </c>
      <c r="B26" s="73" t="str">
        <f t="array" ref="B26">IFERROR(XLOOKUP(A26, BASE!E:E, BASE!B:B), "")
</f>
        <v>LM Hub_SP_Suzano_Baruel</v>
      </c>
      <c r="C26" s="73" t="str">
        <f t="array" ref="C26">IFERROR(XLOOKUP(A26, BASE!E:E, BASE!C:C), "")
</f>
        <v>HUB-LSP-97</v>
      </c>
      <c r="D26" s="73">
        <f t="array" ref="D26">IFERROR(XLOOKUP(A26, BASE!E:E, BASE!D:D), "")
</f>
        <v>9</v>
      </c>
      <c r="E26" s="168">
        <f t="array" ref="E26">IFERROR(XLOOKUP(A26, BASE!E:E, BASE!H:H), "")
</f>
        <v>46057.375</v>
      </c>
      <c r="F26" s="178"/>
      <c r="G26" s="178"/>
      <c r="H26" s="178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169" t="s">
        <v>1449</v>
      </c>
      <c r="B27" s="73" t="str">
        <f t="array" ref="B27">IFERROR(XLOOKUP(A27, BASE!E:E, BASE!B:B), "")
</f>
        <v>LM Hub_SP_Embu das Artes_02</v>
      </c>
      <c r="C27" s="73" t="str">
        <f t="array" ref="C27">IFERROR(XLOOKUP(A27, BASE!E:E, BASE!C:C), "")
</f>
        <v>HUB-LSP-96</v>
      </c>
      <c r="D27" s="73">
        <f t="array" ref="D27">IFERROR(XLOOKUP(A27, BASE!E:E, BASE!D:D), "")
</f>
        <v>12</v>
      </c>
      <c r="E27" s="168">
        <f t="array" ref="E27">IFERROR(XLOOKUP(A27, BASE!E:E, BASE!H:H), "")
</f>
        <v>46057.375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167" t="s">
        <v>1450</v>
      </c>
      <c r="B28" s="73" t="str">
        <f t="array" ref="B28">IFERROR(XLOOKUP(A28, BASE!E:E, BASE!B:B), "")
</f>
        <v>LM Hub_SP_Santo André</v>
      </c>
      <c r="C28" s="73" t="str">
        <f t="array" ref="C28">IFERROR(XLOOKUP(A28, BASE!E:E, BASE!C:C), "")
</f>
        <v>HUB-LSP-93</v>
      </c>
      <c r="D28" s="73" t="s">
        <v>167</v>
      </c>
      <c r="E28" s="168">
        <f t="array" ref="E28">IFERROR(XLOOKUP(A28, BASE!E:E, BASE!H:H), "")
</f>
        <v>46057.39583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167" t="s">
        <v>1451</v>
      </c>
      <c r="B29" s="73" t="str">
        <f t="array" ref="B29">IFERROR(XLOOKUP(A29, BASE!E:E, BASE!B:B), "")
</f>
        <v>SoC_RJ_Duque de Caxias</v>
      </c>
      <c r="C29" s="73" t="str">
        <f t="array" ref="C29">IFERROR(XLOOKUP(A29, BASE!E:E, BASE!C:C), "")
</f>
        <v>SOC-RJ2</v>
      </c>
      <c r="D29" s="73">
        <f t="array" ref="D29">IFERROR(XLOOKUP(A29, BASE!E:E, BASE!D:D), "")
</f>
        <v>19</v>
      </c>
      <c r="E29" s="168">
        <f t="array" ref="E29">IFERROR(XLOOKUP(A29, BASE!E:E, BASE!H:H), "")
</f>
        <v>46057.45833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95" t="s">
        <v>1452</v>
      </c>
      <c r="B30" s="73" t="str">
        <f t="array" ref="B30">IFERROR(XLOOKUP(A30, BASE!E:E, BASE!B:B), "")
</f>
        <v>SoC_BA_Simoes Filho</v>
      </c>
      <c r="C30" s="73" t="str">
        <f t="array" ref="C30">IFERROR(XLOOKUP(A30, BASE!E:E, BASE!C:C), "")
</f>
        <v>SOC-BA2</v>
      </c>
      <c r="D30" s="73">
        <f t="array" ref="D30">IFERROR(XLOOKUP(A30, BASE!E:E, BASE!D:D), "")
</f>
        <v>89</v>
      </c>
      <c r="E30" s="168">
        <f t="array" ref="E30">IFERROR(XLOOKUP(A30, BASE!E:E, BASE!H:H), "")
</f>
        <v>46057.45833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119" t="s">
        <v>1453</v>
      </c>
      <c r="B31" s="73" t="str">
        <f t="array" ref="B31">IFERROR(XLOOKUP(A31, BASE!E:E, BASE!B:B), "")
</f>
        <v>SoC_PE_Jaboatão dos Guararapes</v>
      </c>
      <c r="C31" s="73" t="str">
        <f t="array" ref="C31">IFERROR(XLOOKUP(A31, BASE!E:E, BASE!C:C), "")
</f>
        <v>SOC-PE2</v>
      </c>
      <c r="D31" s="73">
        <f t="array" ref="D31">IFERROR(XLOOKUP(A31, BASE!E:E, BASE!D:D), "")
</f>
        <v>98</v>
      </c>
      <c r="E31" s="168">
        <f t="array" ref="E31">IFERROR(XLOOKUP(A31, BASE!E:E, BASE!H:H), "")
</f>
        <v>46057.45833</v>
      </c>
      <c r="F31" s="178"/>
      <c r="G31" s="178"/>
      <c r="H31" s="178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119" t="s">
        <v>1454</v>
      </c>
      <c r="B32" s="73" t="str">
        <f t="array" ref="B32">IFERROR(XLOOKUP(A32, BASE!E:E, BASE!B:B), "")
</f>
        <v>SoC_PE_Jaboatão dos Guararapes</v>
      </c>
      <c r="C32" s="73" t="str">
        <f t="array" ref="C32">IFERROR(XLOOKUP(A32, BASE!E:E, BASE!C:C), "")
</f>
        <v>SOC-PE2</v>
      </c>
      <c r="D32" s="73">
        <f t="array" ref="D32">IFERROR(XLOOKUP(A32, BASE!E:E, BASE!D:D), "")
</f>
        <v>99</v>
      </c>
      <c r="E32" s="168">
        <f t="array" ref="E32">IFERROR(XLOOKUP(A32, BASE!E:E, BASE!H:H), "")
</f>
        <v>46057.45833</v>
      </c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95" t="s">
        <v>1455</v>
      </c>
      <c r="B33" s="73" t="str">
        <f t="array" ref="B33">IFERROR(XLOOKUP(A33, BASE!E:E, BASE!B:B), "")
</f>
        <v>SoC_GO_Goiânia_02</v>
      </c>
      <c r="C33" s="73" t="str">
        <f t="array" ref="C33">IFERROR(XLOOKUP(A33, BASE!E:E, BASE!C:C), "")
</f>
        <v>SOC-GO2</v>
      </c>
      <c r="D33" s="73">
        <f t="array" ref="D33">IFERROR(XLOOKUP(A33, BASE!E:E, BASE!D:D), "")
</f>
        <v>87</v>
      </c>
      <c r="E33" s="168">
        <f t="array" ref="E33">IFERROR(XLOOKUP(A33, BASE!E:E, BASE!H:H), "")
</f>
        <v>46057.45833</v>
      </c>
      <c r="F33" s="178"/>
      <c r="G33" s="178"/>
      <c r="H33" s="178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95" t="s">
        <v>1456</v>
      </c>
      <c r="B34" s="73" t="str">
        <f t="array" ref="B34">IFERROR(XLOOKUP(A34, BASE!E:E, BASE!B:B), "")
</f>
        <v>SoC_RJ_Duque de Caxias</v>
      </c>
      <c r="C34" s="73" t="str">
        <f t="array" ref="C34">IFERROR(XLOOKUP(A34, BASE!E:E, BASE!C:C), "")
</f>
        <v>SOC-RJ2</v>
      </c>
      <c r="D34" s="73">
        <f t="array" ref="D34">IFERROR(XLOOKUP(A34, BASE!E:E, BASE!D:D), "")
</f>
        <v>97</v>
      </c>
      <c r="E34" s="168">
        <f t="array" ref="E34">IFERROR(XLOOKUP(A34, BASE!E:E, BASE!H:H), "")
</f>
        <v>46057.45833</v>
      </c>
      <c r="F34" s="178"/>
      <c r="G34" s="178"/>
      <c r="H34" s="178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95" t="s">
        <v>1457</v>
      </c>
      <c r="B35" s="73" t="str">
        <f t="array" ref="B35">IFERROR(XLOOKUP(A35, BASE!E:E, BASE!B:B), "")
</f>
        <v>SoC_RJ_Duque de Caxias</v>
      </c>
      <c r="C35" s="73" t="str">
        <f t="array" ref="C35">IFERROR(XLOOKUP(A35, BASE!E:E, BASE!C:C), "")
</f>
        <v>SOC-RJ2</v>
      </c>
      <c r="D35" s="73">
        <f t="array" ref="D35">IFERROR(XLOOKUP(A35, BASE!E:E, BASE!D:D), "")
</f>
        <v>96</v>
      </c>
      <c r="E35" s="168">
        <f t="array" ref="E35">IFERROR(XLOOKUP(A35, BASE!E:E, BASE!H:H), "")
</f>
        <v>46057.45833</v>
      </c>
      <c r="F35" s="178"/>
      <c r="G35" s="178"/>
      <c r="H35" s="178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102" t="s">
        <v>1458</v>
      </c>
      <c r="B36" s="73" t="str">
        <f t="array" ref="B36">IFERROR(XLOOKUP(A36, BASE!E:E, BASE!B:B), "")
</f>
        <v>SoC_SP_Cravinhos</v>
      </c>
      <c r="C36" s="73" t="str">
        <f t="array" ref="C36">IFERROR(XLOOKUP(A36, BASE!E:E, BASE!C:C), "")
</f>
        <v>SOC-SP5</v>
      </c>
      <c r="D36" s="73">
        <f t="array" ref="D36">IFERROR(XLOOKUP(A36, BASE!E:E, BASE!D:D), "")
</f>
        <v>94</v>
      </c>
      <c r="E36" s="168">
        <f t="array" ref="E36">IFERROR(XLOOKUP(A36, BASE!E:E, BASE!H:H), "")
</f>
        <v>46057.45833</v>
      </c>
      <c r="F36" s="178"/>
      <c r="G36" s="178"/>
      <c r="H36" s="178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161" t="s">
        <v>1459</v>
      </c>
      <c r="B37" s="73" t="str">
        <f t="array" ref="B37">IFERROR(XLOOKUP(A37, BASE!E:E, BASE!B:B), "")
</f>
        <v>SoC_BA_Simoes Filho</v>
      </c>
      <c r="C37" s="73" t="str">
        <f t="array" ref="C37">IFERROR(XLOOKUP(A37, BASE!E:E, BASE!C:C), "")
</f>
        <v>SOC-BA2</v>
      </c>
      <c r="D37" s="73">
        <f t="array" ref="D37">IFERROR(XLOOKUP(A37, BASE!E:E, BASE!D:D), "")
</f>
        <v>88</v>
      </c>
      <c r="E37" s="168">
        <f t="array" ref="E37">IFERROR(XLOOKUP(A37, BASE!E:E, BASE!H:H), "")
</f>
        <v>46057.66667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127"/>
      <c r="B38" s="73" t="str">
        <f t="array" ref="B38">IFERROR(XLOOKUP(A38, BASE!E:E, BASE!B:B), "")
</f>
        <v/>
      </c>
      <c r="C38" s="73" t="str">
        <f t="array" ref="C38">IFERROR(XLOOKUP(A38, BASE!E:E, BASE!C:C), "")
</f>
        <v/>
      </c>
      <c r="D38" s="73" t="str">
        <f t="array" ref="D38">IFERROR(XLOOKUP(A38, BASE!E:E, BASE!D:D), "")
</f>
        <v/>
      </c>
      <c r="E38" s="168" t="str">
        <f t="array" ref="E38">IFERROR(XLOOKUP(A38, BASE!E:E, BASE!H:H), "")
</f>
        <v/>
      </c>
      <c r="F38" s="178"/>
      <c r="G38" s="178"/>
      <c r="H38" s="178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95"/>
      <c r="B39" s="73" t="str">
        <f t="array" ref="B39">IFERROR(XLOOKUP(A39, BASE!E:E, BASE!B:B), "")
</f>
        <v/>
      </c>
      <c r="C39" s="73" t="str">
        <f t="array" ref="C39">IFERROR(XLOOKUP(A39, BASE!E:E, BASE!C:C), "")
</f>
        <v/>
      </c>
      <c r="D39" s="73" t="str">
        <f t="array" ref="D39">IFERROR(XLOOKUP(A39, BASE!E:E, BASE!D:D), "")
</f>
        <v/>
      </c>
      <c r="E39" s="168" t="str">
        <f t="array" ref="E39">IFERROR(XLOOKUP(A39, BASE!E:E, BASE!H:H), "")
</f>
        <v/>
      </c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94"/>
      <c r="B40" s="73" t="str">
        <f t="array" ref="B40">IFERROR(XLOOKUP(A40, BASE!E:E, BASE!B:B), "")
</f>
        <v/>
      </c>
      <c r="C40" s="73" t="str">
        <f t="array" ref="C40">IFERROR(XLOOKUP(A40, BASE!E:E, BASE!C:C), "")
</f>
        <v/>
      </c>
      <c r="D40" s="73" t="str">
        <f t="array" ref="D40">IFERROR(XLOOKUP(A40, BASE!E:E, BASE!D:D), "")
</f>
        <v/>
      </c>
      <c r="E40" s="168" t="str">
        <f t="array" ref="E40">IFERROR(XLOOKUP(A40, BASE!E:E, BASE!H:H), "")
</f>
        <v/>
      </c>
      <c r="F40" s="178"/>
      <c r="G40" s="178"/>
      <c r="H40" s="178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94"/>
      <c r="B41" s="73" t="str">
        <f t="array" ref="B41">IFERROR(XLOOKUP(A41, BASE!E:E, BASE!B:B), "")
</f>
        <v/>
      </c>
      <c r="C41" s="73" t="str">
        <f t="array" ref="C41">IFERROR(XLOOKUP(A41, BASE!E:E, BASE!C:C), "")
</f>
        <v/>
      </c>
      <c r="D41" s="73" t="str">
        <f t="array" ref="D41">IFERROR(XLOOKUP(A41, BASE!E:E, BASE!D:D), "")
</f>
        <v/>
      </c>
      <c r="E41" s="168" t="str">
        <f t="array" ref="E41">IFERROR(XLOOKUP(A41, BASE!E:E, BASE!H:H), "")
</f>
        <v/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94"/>
      <c r="B42" s="73" t="str">
        <f t="array" ref="B42">IFERROR(XLOOKUP(A42, BASE!E:E, BASE!B:B), "")
</f>
        <v/>
      </c>
      <c r="C42" s="73" t="str">
        <f t="array" ref="C42">IFERROR(XLOOKUP(A42, BASE!E:E, BASE!C:C), "")
</f>
        <v/>
      </c>
      <c r="D42" s="73" t="str">
        <f t="array" ref="D42">IFERROR(XLOOKUP(A42, BASE!E:E, BASE!D:D), "")
</f>
        <v/>
      </c>
      <c r="E42" s="168" t="str">
        <f t="array" ref="E42">IFERROR(XLOOKUP(A42, BASE!E:E, BASE!H:H), "")
</f>
        <v/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24"/>
      <c r="B43" s="73" t="str">
        <f t="array" ref="B43">IFERROR(XLOOKUP(A43, BASE!E:E, BASE!B:B), "")
</f>
        <v/>
      </c>
      <c r="C43" s="73" t="str">
        <f t="array" ref="C43">IFERROR(XLOOKUP(A43, BASE!E:E, BASE!C:C), "")
</f>
        <v/>
      </c>
      <c r="D43" s="73" t="str">
        <f t="array" ref="D43">IFERROR(XLOOKUP(A43, BASE!E:E, BASE!D:D), "")
</f>
        <v/>
      </c>
      <c r="E43" s="168" t="str">
        <f t="array" ref="E43">IFERROR(XLOOKUP(A43, BASE!E:E, BASE!H:H), "")
</f>
        <v/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24"/>
      <c r="B44" s="73" t="str">
        <f t="array" ref="B44">IFERROR(XLOOKUP(A44, BASE!E:E, BASE!B:B), "")
</f>
        <v/>
      </c>
      <c r="C44" s="73" t="str">
        <f t="array" ref="C44">IFERROR(XLOOKUP(A44, BASE!E:E, BASE!C:C), "")
</f>
        <v/>
      </c>
      <c r="D44" s="73" t="str">
        <f t="array" ref="D44">IFERROR(XLOOKUP(A44, BASE!E:E, BASE!D:D), "")
</f>
        <v/>
      </c>
      <c r="E44" s="168" t="str">
        <f t="array" ref="E44">IFERROR(XLOOKUP(A44, BASE!E:E, BASE!H:H), "")
</f>
        <v/>
      </c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24"/>
      <c r="B45" s="73" t="str">
        <f t="array" ref="B45">IFERROR(XLOOKUP(A45, BASE!E:E, BASE!B:B), "")
</f>
        <v/>
      </c>
      <c r="C45" s="73" t="str">
        <f t="array" ref="C45">IFERROR(XLOOKUP(A45, BASE!E:E, BASE!C:C), "")
</f>
        <v/>
      </c>
      <c r="D45" s="73" t="str">
        <f t="array" ref="D45">IFERROR(XLOOKUP(A45, BASE!E:E, BASE!D:D), "")
</f>
        <v/>
      </c>
      <c r="E45" s="168" t="str">
        <f t="array" ref="E45">IFERROR(XLOOKUP(A45, BASE!E:E, BASE!H:H), "")
</f>
        <v/>
      </c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24"/>
      <c r="B46" s="73" t="str">
        <f t="array" ref="B46">IFERROR(XLOOKUP(A46, BASE!E:E, BASE!B:B), "")
</f>
        <v/>
      </c>
      <c r="C46" s="73" t="str">
        <f t="array" ref="C46">IFERROR(XLOOKUP(A46, BASE!E:E, BASE!C:C), "")
</f>
        <v/>
      </c>
      <c r="D46" s="73" t="str">
        <f t="array" ref="D46">IFERROR(XLOOKUP(A46, BASE!E:E, BASE!D:D), "")
</f>
        <v/>
      </c>
      <c r="E46" s="168" t="str">
        <f t="array" ref="E46">IFERROR(XLOOKUP(A46, BASE!E:E, BASE!H:H), "")
</f>
        <v/>
      </c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24"/>
      <c r="B47" s="73" t="str">
        <f t="array" ref="B47">IFERROR(XLOOKUP(A47, BASE!E:E, BASE!B:B), "")
</f>
        <v/>
      </c>
      <c r="C47" s="73" t="str">
        <f t="array" ref="C47">IFERROR(XLOOKUP(A47, BASE!E:E, BASE!C:C), "")
</f>
        <v/>
      </c>
      <c r="D47" s="73" t="str">
        <f t="array" ref="D47">IFERROR(XLOOKUP(A47, BASE!E:E, BASE!D:D), "")
</f>
        <v/>
      </c>
      <c r="E47" s="168" t="str">
        <f t="array" ref="E47">IFERROR(XLOOKUP(A47, BASE!E:E, BASE!H:H), "")
</f>
        <v/>
      </c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224"/>
      <c r="B48" s="73" t="str">
        <f t="array" ref="B48">IFERROR(XLOOKUP(A48, BASE!E:E, BASE!B:B), "")
</f>
        <v/>
      </c>
      <c r="C48" s="73" t="str">
        <f t="array" ref="C48">IFERROR(XLOOKUP(A48, BASE!E:E, BASE!C:C), "")
</f>
        <v/>
      </c>
      <c r="D48" s="73" t="str">
        <f t="array" ref="D48">IFERROR(XLOOKUP(A48, BASE!E:E, BASE!D:D), "")
</f>
        <v/>
      </c>
      <c r="E48" s="168" t="str">
        <f t="array" ref="E48">IFERROR(XLOOKUP(A48, BASE!E:E, BASE!H:H), "")
</f>
        <v/>
      </c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224"/>
      <c r="B49" s="73" t="str">
        <f t="array" ref="B49">IFERROR(XLOOKUP(A49, BASE!E:E, BASE!B:B), "")
</f>
        <v/>
      </c>
      <c r="C49" s="73" t="str">
        <f t="array" ref="C49">IFERROR(XLOOKUP(A49, BASE!E:E, BASE!C:C), "")
</f>
        <v/>
      </c>
      <c r="D49" s="73" t="str">
        <f t="array" ref="D49">IFERROR(XLOOKUP(A49, BASE!E:E, BASE!D:D), "")
</f>
        <v/>
      </c>
      <c r="E49" s="168" t="str">
        <f t="array" ref="E49">IFERROR(XLOOKUP(A49, BASE!E:E, BASE!H:H), "")
</f>
        <v/>
      </c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178"/>
      <c r="B50" s="178"/>
      <c r="C50" s="178"/>
      <c r="D50" s="178"/>
      <c r="E50" s="178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178"/>
      <c r="B51" s="178"/>
      <c r="C51" s="178"/>
      <c r="D51" s="178"/>
      <c r="E51" s="178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178"/>
      <c r="B52" s="178"/>
      <c r="C52" s="178"/>
      <c r="D52" s="178"/>
      <c r="E52" s="178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178"/>
      <c r="B53" s="178"/>
      <c r="C53" s="178"/>
      <c r="D53" s="178"/>
      <c r="E53" s="178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178"/>
      <c r="B54" s="178"/>
      <c r="C54" s="178"/>
      <c r="D54" s="178"/>
      <c r="E54" s="178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178"/>
      <c r="B55" s="178"/>
      <c r="C55" s="178"/>
      <c r="D55" s="178"/>
      <c r="E55" s="178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178"/>
      <c r="B56" s="178"/>
      <c r="C56" s="178"/>
      <c r="D56" s="178"/>
      <c r="E56" s="178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178"/>
      <c r="B57" s="178"/>
      <c r="C57" s="178"/>
      <c r="D57" s="178"/>
      <c r="E57" s="178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178"/>
      <c r="B58" s="178"/>
      <c r="C58" s="178"/>
      <c r="D58" s="178"/>
      <c r="E58" s="178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178"/>
      <c r="B59" s="178"/>
      <c r="C59" s="178"/>
      <c r="D59" s="178"/>
      <c r="E59" s="178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178"/>
      <c r="B60" s="178"/>
      <c r="C60" s="178"/>
      <c r="D60" s="178"/>
      <c r="E60" s="178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178"/>
      <c r="B61" s="178"/>
      <c r="C61" s="178"/>
      <c r="D61" s="178"/>
      <c r="E61" s="178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178"/>
      <c r="B62" s="178"/>
      <c r="C62" s="178"/>
      <c r="D62" s="178"/>
      <c r="E62" s="178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178"/>
      <c r="B63" s="178"/>
      <c r="C63" s="178"/>
      <c r="D63" s="178"/>
      <c r="E63" s="178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178"/>
      <c r="B64" s="178"/>
      <c r="C64" s="178"/>
      <c r="D64" s="178"/>
      <c r="E64" s="178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178"/>
      <c r="B65" s="178"/>
      <c r="C65" s="178"/>
      <c r="D65" s="178"/>
      <c r="E65" s="178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178"/>
      <c r="B66" s="178"/>
      <c r="C66" s="178"/>
      <c r="D66" s="178"/>
      <c r="E66" s="178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178"/>
      <c r="B67" s="178"/>
      <c r="C67" s="178"/>
      <c r="D67" s="178"/>
      <c r="E67" s="178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178"/>
      <c r="B68" s="178"/>
      <c r="C68" s="178"/>
      <c r="D68" s="178"/>
      <c r="E68" s="178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178"/>
      <c r="B69" s="178"/>
      <c r="C69" s="178"/>
      <c r="D69" s="178"/>
      <c r="E69" s="178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178"/>
      <c r="B70" s="178"/>
      <c r="C70" s="178"/>
      <c r="D70" s="178"/>
      <c r="E70" s="178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178"/>
      <c r="B71" s="178"/>
      <c r="C71" s="178"/>
      <c r="D71" s="178"/>
      <c r="E71" s="178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178"/>
      <c r="B72" s="178"/>
      <c r="C72" s="178"/>
      <c r="D72" s="178"/>
      <c r="E72" s="178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178"/>
      <c r="B73" s="178"/>
      <c r="C73" s="178"/>
      <c r="D73" s="178"/>
      <c r="E73" s="178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178"/>
      <c r="B74" s="178"/>
      <c r="C74" s="178"/>
      <c r="D74" s="178"/>
      <c r="E74" s="178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178"/>
      <c r="B75" s="178"/>
      <c r="C75" s="178"/>
      <c r="D75" s="178"/>
      <c r="E75" s="178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178"/>
      <c r="B76" s="178"/>
      <c r="C76" s="178"/>
      <c r="D76" s="178"/>
      <c r="E76" s="178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178"/>
      <c r="B77" s="178"/>
      <c r="C77" s="178"/>
      <c r="D77" s="178"/>
      <c r="E77" s="178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178"/>
      <c r="B78" s="178"/>
      <c r="C78" s="178"/>
      <c r="D78" s="178"/>
      <c r="E78" s="178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178"/>
      <c r="B79" s="178"/>
      <c r="C79" s="178"/>
      <c r="D79" s="178"/>
      <c r="E79" s="178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178"/>
      <c r="B80" s="178"/>
      <c r="C80" s="178"/>
      <c r="D80" s="178"/>
      <c r="E80" s="178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178"/>
      <c r="B81" s="178"/>
      <c r="C81" s="178"/>
      <c r="D81" s="178"/>
      <c r="E81" s="178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178"/>
      <c r="B82" s="178"/>
      <c r="C82" s="178"/>
      <c r="D82" s="178"/>
      <c r="E82" s="178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178"/>
      <c r="B83" s="178"/>
      <c r="C83" s="178"/>
      <c r="D83" s="178"/>
      <c r="E83" s="178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178"/>
      <c r="B84" s="178"/>
      <c r="C84" s="178"/>
      <c r="D84" s="178"/>
      <c r="E84" s="178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178"/>
      <c r="B85" s="178"/>
      <c r="C85" s="178"/>
      <c r="D85" s="178"/>
      <c r="E85" s="178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178"/>
      <c r="B86" s="178"/>
      <c r="C86" s="178"/>
      <c r="D86" s="178"/>
      <c r="E86" s="178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178"/>
      <c r="B87" s="178"/>
      <c r="C87" s="178"/>
      <c r="D87" s="178"/>
      <c r="E87" s="178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178"/>
      <c r="B88" s="178"/>
      <c r="C88" s="178"/>
      <c r="D88" s="178"/>
      <c r="E88" s="178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178"/>
      <c r="B89" s="178"/>
      <c r="C89" s="178"/>
      <c r="D89" s="178"/>
      <c r="E89" s="178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178"/>
      <c r="B90" s="178"/>
      <c r="C90" s="178"/>
      <c r="D90" s="178"/>
      <c r="E90" s="178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178"/>
      <c r="B91" s="178"/>
      <c r="C91" s="178"/>
      <c r="D91" s="178"/>
      <c r="E91" s="178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178"/>
      <c r="B92" s="178"/>
      <c r="C92" s="178"/>
      <c r="D92" s="178"/>
      <c r="E92" s="178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178"/>
      <c r="B93" s="178"/>
      <c r="C93" s="178"/>
      <c r="D93" s="178"/>
      <c r="E93" s="178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178"/>
      <c r="B94" s="178"/>
      <c r="C94" s="178"/>
      <c r="D94" s="178"/>
      <c r="E94" s="178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178"/>
      <c r="B95" s="178"/>
      <c r="C95" s="178"/>
      <c r="D95" s="178"/>
      <c r="E95" s="178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178"/>
      <c r="B96" s="178"/>
      <c r="C96" s="178"/>
      <c r="D96" s="178"/>
      <c r="E96" s="178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178"/>
      <c r="B97" s="178"/>
      <c r="C97" s="178"/>
      <c r="D97" s="178"/>
      <c r="E97" s="178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178"/>
      <c r="B98" s="178"/>
      <c r="C98" s="178"/>
      <c r="D98" s="178"/>
      <c r="E98" s="178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178"/>
      <c r="B99" s="178"/>
      <c r="C99" s="178"/>
      <c r="D99" s="178"/>
      <c r="E99" s="178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178"/>
      <c r="B100" s="178"/>
      <c r="C100" s="178"/>
      <c r="D100" s="178"/>
      <c r="E100" s="178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178"/>
      <c r="B101" s="178"/>
      <c r="C101" s="178"/>
      <c r="D101" s="178"/>
      <c r="E101" s="178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178"/>
      <c r="B102" s="178"/>
      <c r="C102" s="178"/>
      <c r="D102" s="178"/>
      <c r="E102" s="178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178"/>
      <c r="B103" s="178"/>
      <c r="C103" s="178"/>
      <c r="D103" s="178"/>
      <c r="E103" s="178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178"/>
      <c r="B104" s="178"/>
      <c r="C104" s="178"/>
      <c r="D104" s="178"/>
      <c r="E104" s="178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178"/>
      <c r="B105" s="178"/>
      <c r="C105" s="178"/>
      <c r="D105" s="178"/>
      <c r="E105" s="178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178"/>
      <c r="B106" s="178"/>
      <c r="C106" s="178"/>
      <c r="D106" s="178"/>
      <c r="E106" s="178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178"/>
      <c r="B107" s="178"/>
      <c r="C107" s="178"/>
      <c r="D107" s="178"/>
      <c r="E107" s="178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178"/>
      <c r="B108" s="178"/>
      <c r="C108" s="178"/>
      <c r="D108" s="178"/>
      <c r="E108" s="178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178"/>
      <c r="B109" s="178"/>
      <c r="C109" s="178"/>
      <c r="D109" s="178"/>
      <c r="E109" s="178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178"/>
      <c r="B110" s="178"/>
      <c r="C110" s="178"/>
      <c r="D110" s="178"/>
      <c r="E110" s="178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178"/>
      <c r="B111" s="178"/>
      <c r="C111" s="178"/>
      <c r="D111" s="178"/>
      <c r="E111" s="178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178"/>
      <c r="B112" s="178"/>
      <c r="C112" s="178"/>
      <c r="D112" s="178"/>
      <c r="E112" s="178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178"/>
      <c r="B113" s="178"/>
      <c r="C113" s="178"/>
      <c r="D113" s="178"/>
      <c r="E113" s="178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178"/>
      <c r="B114" s="178"/>
      <c r="C114" s="178"/>
      <c r="D114" s="178"/>
      <c r="E114" s="178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178"/>
      <c r="B115" s="178"/>
      <c r="C115" s="178"/>
      <c r="D115" s="178"/>
      <c r="E115" s="178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178"/>
      <c r="B116" s="178"/>
      <c r="C116" s="178"/>
      <c r="D116" s="178"/>
      <c r="E116" s="178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178"/>
      <c r="B117" s="178"/>
      <c r="C117" s="178"/>
      <c r="D117" s="178"/>
      <c r="E117" s="178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178"/>
      <c r="B118" s="178"/>
      <c r="C118" s="178"/>
      <c r="D118" s="178"/>
      <c r="E118" s="178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178"/>
      <c r="B119" s="178"/>
      <c r="C119" s="178"/>
      <c r="D119" s="178"/>
      <c r="E119" s="178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178"/>
      <c r="B120" s="178"/>
      <c r="C120" s="178"/>
      <c r="D120" s="178"/>
      <c r="E120" s="178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178"/>
      <c r="B121" s="178"/>
      <c r="C121" s="178"/>
      <c r="D121" s="178"/>
      <c r="E121" s="178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178"/>
      <c r="B122" s="178"/>
      <c r="C122" s="178"/>
      <c r="D122" s="178"/>
      <c r="E122" s="178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178"/>
      <c r="B123" s="178"/>
      <c r="C123" s="178"/>
      <c r="D123" s="178"/>
      <c r="E123" s="178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178"/>
      <c r="B124" s="178"/>
      <c r="C124" s="178"/>
      <c r="D124" s="178"/>
      <c r="E124" s="178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178"/>
      <c r="B125" s="178"/>
      <c r="C125" s="178"/>
      <c r="D125" s="178"/>
      <c r="E125" s="178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178"/>
      <c r="B126" s="178"/>
      <c r="C126" s="178"/>
      <c r="D126" s="178"/>
      <c r="E126" s="178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178"/>
      <c r="B127" s="178"/>
      <c r="C127" s="178"/>
      <c r="D127" s="178"/>
      <c r="E127" s="178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178"/>
      <c r="B128" s="178"/>
      <c r="C128" s="178"/>
      <c r="D128" s="178"/>
      <c r="E128" s="178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178"/>
      <c r="B129" s="178"/>
      <c r="C129" s="178"/>
      <c r="D129" s="178"/>
      <c r="E129" s="178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178"/>
      <c r="B130" s="178"/>
      <c r="C130" s="178"/>
      <c r="D130" s="178"/>
      <c r="E130" s="178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178"/>
      <c r="B131" s="178"/>
      <c r="C131" s="178"/>
      <c r="D131" s="178"/>
      <c r="E131" s="178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178"/>
      <c r="B132" s="178"/>
      <c r="C132" s="178"/>
      <c r="D132" s="178"/>
      <c r="E132" s="178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178"/>
      <c r="B133" s="178"/>
      <c r="C133" s="178"/>
      <c r="D133" s="178"/>
      <c r="E133" s="178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178"/>
      <c r="B134" s="178"/>
      <c r="C134" s="178"/>
      <c r="D134" s="178"/>
      <c r="E134" s="178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178"/>
      <c r="B135" s="178"/>
      <c r="C135" s="178"/>
      <c r="D135" s="178"/>
      <c r="E135" s="178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178"/>
      <c r="B136" s="178"/>
      <c r="C136" s="178"/>
      <c r="D136" s="178"/>
      <c r="E136" s="178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178"/>
      <c r="B137" s="178"/>
      <c r="C137" s="178"/>
      <c r="D137" s="178"/>
      <c r="E137" s="178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178"/>
      <c r="B138" s="178"/>
      <c r="C138" s="178"/>
      <c r="D138" s="178"/>
      <c r="E138" s="178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178"/>
      <c r="B139" s="178"/>
      <c r="C139" s="178"/>
      <c r="D139" s="178"/>
      <c r="E139" s="178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178"/>
      <c r="B140" s="178"/>
      <c r="C140" s="178"/>
      <c r="D140" s="178"/>
      <c r="E140" s="178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178"/>
      <c r="B141" s="178"/>
      <c r="C141" s="178"/>
      <c r="D141" s="178"/>
      <c r="E141" s="178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178"/>
      <c r="B142" s="178"/>
      <c r="C142" s="178"/>
      <c r="D142" s="178"/>
      <c r="E142" s="178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178"/>
      <c r="B143" s="178"/>
      <c r="C143" s="178"/>
      <c r="D143" s="178"/>
      <c r="E143" s="178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178"/>
      <c r="B144" s="178"/>
      <c r="C144" s="178"/>
      <c r="D144" s="178"/>
      <c r="E144" s="178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178"/>
      <c r="B145" s="178"/>
      <c r="C145" s="178"/>
      <c r="D145" s="178"/>
      <c r="E145" s="178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178"/>
      <c r="B146" s="178"/>
      <c r="C146" s="178"/>
      <c r="D146" s="178"/>
      <c r="E146" s="178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178"/>
      <c r="B147" s="178"/>
      <c r="C147" s="178"/>
      <c r="D147" s="178"/>
      <c r="E147" s="178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178"/>
      <c r="B148" s="178"/>
      <c r="C148" s="178"/>
      <c r="D148" s="178"/>
      <c r="E148" s="178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178"/>
      <c r="B149" s="178"/>
      <c r="C149" s="178"/>
      <c r="D149" s="178"/>
      <c r="E149" s="178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178"/>
      <c r="B150" s="178"/>
      <c r="C150" s="178"/>
      <c r="D150" s="178"/>
      <c r="E150" s="178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178"/>
      <c r="B151" s="178"/>
      <c r="C151" s="178"/>
      <c r="D151" s="178"/>
      <c r="E151" s="178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178"/>
      <c r="B152" s="178"/>
      <c r="C152" s="178"/>
      <c r="D152" s="178"/>
      <c r="E152" s="178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178"/>
      <c r="B153" s="178"/>
      <c r="C153" s="178"/>
      <c r="D153" s="178"/>
      <c r="E153" s="178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178"/>
      <c r="B154" s="178"/>
      <c r="C154" s="178"/>
      <c r="D154" s="178"/>
      <c r="E154" s="178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178"/>
      <c r="B155" s="178"/>
      <c r="C155" s="178"/>
      <c r="D155" s="178"/>
      <c r="E155" s="178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178"/>
      <c r="B156" s="178"/>
      <c r="C156" s="178"/>
      <c r="D156" s="178"/>
      <c r="E156" s="178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178"/>
      <c r="B157" s="178"/>
      <c r="C157" s="178"/>
      <c r="D157" s="178"/>
      <c r="E157" s="178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178"/>
      <c r="B158" s="178"/>
      <c r="C158" s="178"/>
      <c r="D158" s="178"/>
      <c r="E158" s="178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178"/>
      <c r="B159" s="178"/>
      <c r="C159" s="178"/>
      <c r="D159" s="178"/>
      <c r="E159" s="178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178"/>
      <c r="B160" s="178"/>
      <c r="C160" s="178"/>
      <c r="D160" s="178"/>
      <c r="E160" s="178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178"/>
      <c r="B161" s="178"/>
      <c r="C161" s="178"/>
      <c r="D161" s="178"/>
      <c r="E161" s="178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178"/>
      <c r="B162" s="178"/>
      <c r="C162" s="178"/>
      <c r="D162" s="178"/>
      <c r="E162" s="178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178"/>
      <c r="B163" s="178"/>
      <c r="C163" s="178"/>
      <c r="D163" s="178"/>
      <c r="E163" s="178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178"/>
      <c r="B164" s="178"/>
      <c r="C164" s="178"/>
      <c r="D164" s="178"/>
      <c r="E164" s="178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178"/>
      <c r="B165" s="178"/>
      <c r="C165" s="178"/>
      <c r="D165" s="178"/>
      <c r="E165" s="178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178"/>
      <c r="B166" s="178"/>
      <c r="C166" s="178"/>
      <c r="D166" s="178"/>
      <c r="E166" s="178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178"/>
      <c r="B167" s="178"/>
      <c r="C167" s="178"/>
      <c r="D167" s="178"/>
      <c r="E167" s="178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178"/>
      <c r="B168" s="178"/>
      <c r="C168" s="178"/>
      <c r="D168" s="178"/>
      <c r="E168" s="178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178"/>
      <c r="B169" s="178"/>
      <c r="C169" s="178"/>
      <c r="D169" s="178"/>
      <c r="E169" s="178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178"/>
      <c r="B170" s="178"/>
      <c r="C170" s="178"/>
      <c r="D170" s="178"/>
      <c r="E170" s="178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178"/>
      <c r="B171" s="178"/>
      <c r="C171" s="178"/>
      <c r="D171" s="178"/>
      <c r="E171" s="178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178"/>
      <c r="B172" s="178"/>
      <c r="C172" s="178"/>
      <c r="D172" s="178"/>
      <c r="E172" s="178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178"/>
      <c r="B173" s="178"/>
      <c r="C173" s="178"/>
      <c r="D173" s="178"/>
      <c r="E173" s="178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178"/>
      <c r="B174" s="178"/>
      <c r="C174" s="178"/>
      <c r="D174" s="178"/>
      <c r="E174" s="178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178"/>
      <c r="B175" s="178"/>
      <c r="C175" s="178"/>
      <c r="D175" s="178"/>
      <c r="E175" s="178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178"/>
      <c r="B176" s="178"/>
      <c r="C176" s="178"/>
      <c r="D176" s="178"/>
      <c r="E176" s="178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178"/>
      <c r="B177" s="178"/>
      <c r="C177" s="178"/>
      <c r="D177" s="178"/>
      <c r="E177" s="178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178"/>
      <c r="B178" s="178"/>
      <c r="C178" s="178"/>
      <c r="D178" s="178"/>
      <c r="E178" s="178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178"/>
      <c r="B179" s="178"/>
      <c r="C179" s="178"/>
      <c r="D179" s="178"/>
      <c r="E179" s="178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178"/>
      <c r="B180" s="178"/>
      <c r="C180" s="178"/>
      <c r="D180" s="178"/>
      <c r="E180" s="178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178"/>
      <c r="B181" s="178"/>
      <c r="C181" s="178"/>
      <c r="D181" s="178"/>
      <c r="E181" s="178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178"/>
      <c r="B182" s="178"/>
      <c r="C182" s="178"/>
      <c r="D182" s="178"/>
      <c r="E182" s="178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178"/>
      <c r="B183" s="178"/>
      <c r="C183" s="178"/>
      <c r="D183" s="178"/>
      <c r="E183" s="178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178"/>
      <c r="B184" s="178"/>
      <c r="C184" s="178"/>
      <c r="D184" s="178"/>
      <c r="E184" s="178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178"/>
      <c r="B185" s="178"/>
      <c r="C185" s="178"/>
      <c r="D185" s="178"/>
      <c r="E185" s="178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178"/>
      <c r="B186" s="178"/>
      <c r="C186" s="178"/>
      <c r="D186" s="178"/>
      <c r="E186" s="178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178"/>
      <c r="B187" s="178"/>
      <c r="C187" s="178"/>
      <c r="D187" s="178"/>
      <c r="E187" s="178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178"/>
      <c r="B188" s="178"/>
      <c r="C188" s="178"/>
      <c r="D188" s="178"/>
      <c r="E188" s="178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178"/>
      <c r="B189" s="178"/>
      <c r="C189" s="178"/>
      <c r="D189" s="178"/>
      <c r="E189" s="178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178"/>
      <c r="B190" s="178"/>
      <c r="C190" s="178"/>
      <c r="D190" s="178"/>
      <c r="E190" s="178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178"/>
      <c r="B191" s="178"/>
      <c r="C191" s="178"/>
      <c r="D191" s="178"/>
      <c r="E191" s="178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178"/>
      <c r="B192" s="178"/>
      <c r="C192" s="178"/>
      <c r="D192" s="178"/>
      <c r="E192" s="178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178"/>
      <c r="B193" s="178"/>
      <c r="C193" s="178"/>
      <c r="D193" s="178"/>
      <c r="E193" s="178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178"/>
      <c r="B194" s="178"/>
      <c r="C194" s="178"/>
      <c r="D194" s="178"/>
      <c r="E194" s="178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178"/>
      <c r="B195" s="178"/>
      <c r="C195" s="178"/>
      <c r="D195" s="178"/>
      <c r="E195" s="178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178"/>
      <c r="B196" s="178"/>
      <c r="C196" s="178"/>
      <c r="D196" s="178"/>
      <c r="E196" s="178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178"/>
      <c r="B197" s="178"/>
      <c r="C197" s="178"/>
      <c r="D197" s="178"/>
      <c r="E197" s="178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178"/>
      <c r="B198" s="178"/>
      <c r="C198" s="178"/>
      <c r="D198" s="178"/>
      <c r="E198" s="178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178"/>
      <c r="B199" s="178"/>
      <c r="C199" s="178"/>
      <c r="D199" s="178"/>
      <c r="E199" s="178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178"/>
      <c r="B200" s="178"/>
      <c r="C200" s="178"/>
      <c r="D200" s="178"/>
      <c r="E200" s="178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178"/>
      <c r="B201" s="178"/>
      <c r="C201" s="178"/>
      <c r="D201" s="178"/>
      <c r="E201" s="178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178"/>
      <c r="B202" s="178"/>
      <c r="C202" s="178"/>
      <c r="D202" s="178"/>
      <c r="E202" s="178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178"/>
      <c r="B203" s="178"/>
      <c r="C203" s="178"/>
      <c r="D203" s="178"/>
      <c r="E203" s="178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178"/>
      <c r="B204" s="178"/>
      <c r="C204" s="178"/>
      <c r="D204" s="178"/>
      <c r="E204" s="178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178"/>
      <c r="B205" s="178"/>
      <c r="C205" s="178"/>
      <c r="D205" s="178"/>
      <c r="E205" s="178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178"/>
      <c r="B206" s="178"/>
      <c r="C206" s="178"/>
      <c r="D206" s="178"/>
      <c r="E206" s="178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178"/>
      <c r="B207" s="178"/>
      <c r="C207" s="178"/>
      <c r="D207" s="178"/>
      <c r="E207" s="178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178"/>
      <c r="B208" s="178"/>
      <c r="C208" s="178"/>
      <c r="D208" s="178"/>
      <c r="E208" s="178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178"/>
      <c r="B209" s="178"/>
      <c r="C209" s="178"/>
      <c r="D209" s="178"/>
      <c r="E209" s="178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178"/>
      <c r="B210" s="178"/>
      <c r="C210" s="178"/>
      <c r="D210" s="178"/>
      <c r="E210" s="178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178"/>
      <c r="B211" s="178"/>
      <c r="C211" s="178"/>
      <c r="D211" s="178"/>
      <c r="E211" s="178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178"/>
      <c r="B212" s="178"/>
      <c r="C212" s="178"/>
      <c r="D212" s="178"/>
      <c r="E212" s="178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178"/>
      <c r="B213" s="178"/>
      <c r="C213" s="178"/>
      <c r="D213" s="178"/>
      <c r="E213" s="178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178"/>
      <c r="B214" s="178"/>
      <c r="C214" s="178"/>
      <c r="D214" s="178"/>
      <c r="E214" s="178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178"/>
      <c r="B215" s="178"/>
      <c r="C215" s="178"/>
      <c r="D215" s="178"/>
      <c r="E215" s="178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178"/>
      <c r="B216" s="178"/>
      <c r="C216" s="178"/>
      <c r="D216" s="178"/>
      <c r="E216" s="178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178"/>
      <c r="B217" s="178"/>
      <c r="C217" s="178"/>
      <c r="D217" s="178"/>
      <c r="E217" s="178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178"/>
      <c r="B218" s="178"/>
      <c r="C218" s="178"/>
      <c r="D218" s="178"/>
      <c r="E218" s="178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178"/>
      <c r="B219" s="178"/>
      <c r="C219" s="178"/>
      <c r="D219" s="178"/>
      <c r="E219" s="178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178"/>
      <c r="B220" s="178"/>
      <c r="C220" s="178"/>
      <c r="D220" s="178"/>
      <c r="E220" s="178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178"/>
      <c r="B221" s="178"/>
      <c r="C221" s="178"/>
      <c r="D221" s="178"/>
      <c r="E221" s="178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178"/>
      <c r="B222" s="178"/>
      <c r="C222" s="178"/>
      <c r="D222" s="178"/>
      <c r="E222" s="178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178"/>
      <c r="B223" s="178"/>
      <c r="C223" s="178"/>
      <c r="D223" s="178"/>
      <c r="E223" s="178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178"/>
      <c r="B224" s="178"/>
      <c r="C224" s="178"/>
      <c r="D224" s="178"/>
      <c r="E224" s="178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178"/>
      <c r="B225" s="178"/>
      <c r="C225" s="178"/>
      <c r="D225" s="178"/>
      <c r="E225" s="178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178"/>
      <c r="B226" s="178"/>
      <c r="C226" s="178"/>
      <c r="D226" s="178"/>
      <c r="E226" s="178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178"/>
      <c r="B227" s="178"/>
      <c r="C227" s="178"/>
      <c r="D227" s="178"/>
      <c r="E227" s="178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178"/>
      <c r="B228" s="178"/>
      <c r="C228" s="178"/>
      <c r="D228" s="178"/>
      <c r="E228" s="178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178"/>
      <c r="B229" s="178"/>
      <c r="C229" s="178"/>
      <c r="D229" s="178"/>
      <c r="E229" s="178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178"/>
      <c r="B230" s="178"/>
      <c r="C230" s="178"/>
      <c r="D230" s="178"/>
      <c r="E230" s="178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178"/>
      <c r="B231" s="178"/>
      <c r="C231" s="178"/>
      <c r="D231" s="178"/>
      <c r="E231" s="178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178"/>
      <c r="B232" s="178"/>
      <c r="C232" s="178"/>
      <c r="D232" s="178"/>
      <c r="E232" s="178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178"/>
      <c r="B233" s="178"/>
      <c r="C233" s="178"/>
      <c r="D233" s="178"/>
      <c r="E233" s="178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178"/>
      <c r="B234" s="178"/>
      <c r="C234" s="178"/>
      <c r="D234" s="178"/>
      <c r="E234" s="178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178"/>
      <c r="B235" s="178"/>
      <c r="C235" s="178"/>
      <c r="D235" s="178"/>
      <c r="E235" s="178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178"/>
      <c r="B236" s="178"/>
      <c r="C236" s="178"/>
      <c r="D236" s="178"/>
      <c r="E236" s="178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178"/>
      <c r="B237" s="178"/>
      <c r="C237" s="178"/>
      <c r="D237" s="178"/>
      <c r="E237" s="178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178"/>
      <c r="B238" s="178"/>
      <c r="C238" s="178"/>
      <c r="D238" s="178"/>
      <c r="E238" s="178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178"/>
      <c r="B239" s="178"/>
      <c r="C239" s="178"/>
      <c r="D239" s="178"/>
      <c r="E239" s="178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178"/>
      <c r="B240" s="178"/>
      <c r="C240" s="178"/>
      <c r="D240" s="178"/>
      <c r="E240" s="178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178"/>
      <c r="B241" s="178"/>
      <c r="C241" s="178"/>
      <c r="D241" s="178"/>
      <c r="E241" s="178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178"/>
      <c r="B242" s="178"/>
      <c r="C242" s="178"/>
      <c r="D242" s="178"/>
      <c r="E242" s="178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178"/>
      <c r="B243" s="178"/>
      <c r="C243" s="178"/>
      <c r="D243" s="178"/>
      <c r="E243" s="178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178"/>
      <c r="B244" s="178"/>
      <c r="C244" s="178"/>
      <c r="D244" s="178"/>
      <c r="E244" s="178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178"/>
      <c r="B245" s="178"/>
      <c r="C245" s="178"/>
      <c r="D245" s="178"/>
      <c r="E245" s="178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178"/>
      <c r="B246" s="178"/>
      <c r="C246" s="178"/>
      <c r="D246" s="178"/>
      <c r="E246" s="178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178"/>
      <c r="B247" s="178"/>
      <c r="C247" s="178"/>
      <c r="D247" s="178"/>
      <c r="E247" s="178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178"/>
      <c r="B248" s="178"/>
      <c r="C248" s="178"/>
      <c r="D248" s="178"/>
      <c r="E248" s="178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178"/>
      <c r="B249" s="178"/>
      <c r="C249" s="178"/>
      <c r="D249" s="178"/>
      <c r="E249" s="178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178"/>
      <c r="B250" s="178"/>
      <c r="C250" s="178"/>
      <c r="D250" s="178"/>
      <c r="E250" s="178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178"/>
      <c r="B251" s="178"/>
      <c r="C251" s="178"/>
      <c r="D251" s="178"/>
      <c r="E251" s="178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178"/>
      <c r="B252" s="178"/>
      <c r="C252" s="178"/>
      <c r="D252" s="178"/>
      <c r="E252" s="178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178"/>
      <c r="B253" s="178"/>
      <c r="C253" s="178"/>
      <c r="D253" s="178"/>
      <c r="E253" s="178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178"/>
      <c r="B254" s="178"/>
      <c r="C254" s="178"/>
      <c r="D254" s="178"/>
      <c r="E254" s="178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178"/>
      <c r="B255" s="178"/>
      <c r="C255" s="178"/>
      <c r="D255" s="178"/>
      <c r="E255" s="178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178"/>
      <c r="B256" s="178"/>
      <c r="C256" s="178"/>
      <c r="D256" s="178"/>
      <c r="E256" s="178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178"/>
      <c r="B257" s="178"/>
      <c r="C257" s="178"/>
      <c r="D257" s="178"/>
      <c r="E257" s="178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178"/>
      <c r="B258" s="178"/>
      <c r="C258" s="178"/>
      <c r="D258" s="178"/>
      <c r="E258" s="178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178"/>
      <c r="B259" s="178"/>
      <c r="C259" s="178"/>
      <c r="D259" s="178"/>
      <c r="E259" s="178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178"/>
      <c r="B260" s="178"/>
      <c r="C260" s="178"/>
      <c r="D260" s="178"/>
      <c r="E260" s="178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178"/>
      <c r="B261" s="178"/>
      <c r="C261" s="178"/>
      <c r="D261" s="178"/>
      <c r="E261" s="178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178"/>
      <c r="B262" s="178"/>
      <c r="C262" s="178"/>
      <c r="D262" s="178"/>
      <c r="E262" s="178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178"/>
      <c r="B263" s="178"/>
      <c r="C263" s="178"/>
      <c r="D263" s="178"/>
      <c r="E263" s="178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178"/>
      <c r="B264" s="178"/>
      <c r="C264" s="178"/>
      <c r="D264" s="178"/>
      <c r="E264" s="178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178"/>
      <c r="B265" s="178"/>
      <c r="C265" s="178"/>
      <c r="D265" s="178"/>
      <c r="E265" s="178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178"/>
      <c r="B266" s="178"/>
      <c r="C266" s="178"/>
      <c r="D266" s="178"/>
      <c r="E266" s="178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178"/>
      <c r="B267" s="178"/>
      <c r="C267" s="178"/>
      <c r="D267" s="178"/>
      <c r="E267" s="178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178"/>
      <c r="B268" s="178"/>
      <c r="C268" s="178"/>
      <c r="D268" s="178"/>
      <c r="E268" s="178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178"/>
      <c r="B269" s="178"/>
      <c r="C269" s="178"/>
      <c r="D269" s="178"/>
      <c r="E269" s="178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178"/>
      <c r="B270" s="178"/>
      <c r="C270" s="178"/>
      <c r="D270" s="178"/>
      <c r="E270" s="178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178"/>
      <c r="B271" s="178"/>
      <c r="C271" s="178"/>
      <c r="D271" s="178"/>
      <c r="E271" s="178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178"/>
      <c r="B272" s="178"/>
      <c r="C272" s="178"/>
      <c r="D272" s="178"/>
      <c r="E272" s="178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178"/>
      <c r="B273" s="178"/>
      <c r="C273" s="178"/>
      <c r="D273" s="178"/>
      <c r="E273" s="178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178"/>
      <c r="B274" s="178"/>
      <c r="C274" s="178"/>
      <c r="D274" s="178"/>
      <c r="E274" s="178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178"/>
      <c r="B275" s="178"/>
      <c r="C275" s="178"/>
      <c r="D275" s="178"/>
      <c r="E275" s="178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178"/>
      <c r="B276" s="178"/>
      <c r="C276" s="178"/>
      <c r="D276" s="178"/>
      <c r="E276" s="178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178"/>
      <c r="B277" s="178"/>
      <c r="C277" s="178"/>
      <c r="D277" s="178"/>
      <c r="E277" s="178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178"/>
      <c r="B278" s="178"/>
      <c r="C278" s="178"/>
      <c r="D278" s="178"/>
      <c r="E278" s="178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178"/>
      <c r="B279" s="178"/>
      <c r="C279" s="178"/>
      <c r="D279" s="178"/>
      <c r="E279" s="178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178"/>
      <c r="B280" s="178"/>
      <c r="C280" s="178"/>
      <c r="D280" s="178"/>
      <c r="E280" s="178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178"/>
      <c r="B281" s="178"/>
      <c r="C281" s="178"/>
      <c r="D281" s="178"/>
      <c r="E281" s="178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178"/>
      <c r="B282" s="178"/>
      <c r="C282" s="178"/>
      <c r="D282" s="178"/>
      <c r="E282" s="178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178"/>
      <c r="B283" s="178"/>
      <c r="C283" s="178"/>
      <c r="D283" s="178"/>
      <c r="E283" s="178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178"/>
      <c r="B284" s="178"/>
      <c r="C284" s="178"/>
      <c r="D284" s="178"/>
      <c r="E284" s="178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178"/>
      <c r="B285" s="178"/>
      <c r="C285" s="178"/>
      <c r="D285" s="178"/>
      <c r="E285" s="178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178"/>
      <c r="B286" s="178"/>
      <c r="C286" s="178"/>
      <c r="D286" s="178"/>
      <c r="E286" s="178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178"/>
      <c r="B287" s="178"/>
      <c r="C287" s="178"/>
      <c r="D287" s="178"/>
      <c r="E287" s="178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178"/>
      <c r="B288" s="178"/>
      <c r="C288" s="178"/>
      <c r="D288" s="178"/>
      <c r="E288" s="178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178"/>
      <c r="B289" s="178"/>
      <c r="C289" s="178"/>
      <c r="D289" s="178"/>
      <c r="E289" s="178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178"/>
      <c r="B290" s="178"/>
      <c r="C290" s="178"/>
      <c r="D290" s="178"/>
      <c r="E290" s="178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178"/>
      <c r="B291" s="178"/>
      <c r="C291" s="178"/>
      <c r="D291" s="178"/>
      <c r="E291" s="178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178"/>
      <c r="B292" s="178"/>
      <c r="C292" s="178"/>
      <c r="D292" s="178"/>
      <c r="E292" s="178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178"/>
      <c r="B293" s="178"/>
      <c r="C293" s="178"/>
      <c r="D293" s="178"/>
      <c r="E293" s="178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178"/>
      <c r="B294" s="178"/>
      <c r="C294" s="178"/>
      <c r="D294" s="178"/>
      <c r="E294" s="178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178"/>
      <c r="B295" s="178"/>
      <c r="C295" s="178"/>
      <c r="D295" s="178"/>
      <c r="E295" s="178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178"/>
      <c r="B296" s="178"/>
      <c r="C296" s="178"/>
      <c r="D296" s="178"/>
      <c r="E296" s="178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178"/>
      <c r="B297" s="178"/>
      <c r="C297" s="178"/>
      <c r="D297" s="178"/>
      <c r="E297" s="178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178"/>
      <c r="B298" s="178"/>
      <c r="C298" s="178"/>
      <c r="D298" s="178"/>
      <c r="E298" s="178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178"/>
      <c r="B299" s="178"/>
      <c r="C299" s="178"/>
      <c r="D299" s="178"/>
      <c r="E299" s="178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178"/>
      <c r="B300" s="178"/>
      <c r="C300" s="178"/>
      <c r="D300" s="178"/>
      <c r="E300" s="178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178"/>
      <c r="B301" s="178"/>
      <c r="C301" s="178"/>
      <c r="D301" s="178"/>
      <c r="E301" s="178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178"/>
      <c r="B302" s="178"/>
      <c r="C302" s="178"/>
      <c r="D302" s="178"/>
      <c r="E302" s="178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178"/>
      <c r="B303" s="178"/>
      <c r="C303" s="178"/>
      <c r="D303" s="178"/>
      <c r="E303" s="178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178"/>
      <c r="B304" s="178"/>
      <c r="C304" s="178"/>
      <c r="D304" s="178"/>
      <c r="E304" s="178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178"/>
      <c r="B305" s="178"/>
      <c r="C305" s="178"/>
      <c r="D305" s="178"/>
      <c r="E305" s="178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178"/>
      <c r="B306" s="178"/>
      <c r="C306" s="178"/>
      <c r="D306" s="178"/>
      <c r="E306" s="178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178"/>
      <c r="B307" s="178"/>
      <c r="C307" s="178"/>
      <c r="D307" s="178"/>
      <c r="E307" s="178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178"/>
      <c r="B308" s="178"/>
      <c r="C308" s="178"/>
      <c r="D308" s="178"/>
      <c r="E308" s="178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178"/>
      <c r="B309" s="178"/>
      <c r="C309" s="178"/>
      <c r="D309" s="178"/>
      <c r="E309" s="178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178"/>
      <c r="B310" s="178"/>
      <c r="C310" s="178"/>
      <c r="D310" s="178"/>
      <c r="E310" s="178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178"/>
      <c r="B311" s="178"/>
      <c r="C311" s="178"/>
      <c r="D311" s="178"/>
      <c r="E311" s="178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178"/>
      <c r="B312" s="178"/>
      <c r="C312" s="178"/>
      <c r="D312" s="178"/>
      <c r="E312" s="178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178"/>
      <c r="B313" s="178"/>
      <c r="C313" s="178"/>
      <c r="D313" s="178"/>
      <c r="E313" s="178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178"/>
      <c r="B314" s="178"/>
      <c r="C314" s="178"/>
      <c r="D314" s="178"/>
      <c r="E314" s="178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178"/>
      <c r="B315" s="178"/>
      <c r="C315" s="178"/>
      <c r="D315" s="178"/>
      <c r="E315" s="178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178"/>
      <c r="B316" s="178"/>
      <c r="C316" s="178"/>
      <c r="D316" s="178"/>
      <c r="E316" s="178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178"/>
      <c r="B317" s="178"/>
      <c r="C317" s="178"/>
      <c r="D317" s="178"/>
      <c r="E317" s="178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178"/>
      <c r="B318" s="178"/>
      <c r="C318" s="178"/>
      <c r="D318" s="178"/>
      <c r="E318" s="178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178"/>
      <c r="B319" s="178"/>
      <c r="C319" s="178"/>
      <c r="D319" s="178"/>
      <c r="E319" s="178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178"/>
      <c r="B320" s="178"/>
      <c r="C320" s="178"/>
      <c r="D320" s="178"/>
      <c r="E320" s="178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178"/>
      <c r="B321" s="178"/>
      <c r="C321" s="178"/>
      <c r="D321" s="178"/>
      <c r="E321" s="178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178"/>
      <c r="B322" s="178"/>
      <c r="C322" s="178"/>
      <c r="D322" s="178"/>
      <c r="E322" s="178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178"/>
      <c r="B323" s="178"/>
      <c r="C323" s="178"/>
      <c r="D323" s="178"/>
      <c r="E323" s="178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178"/>
      <c r="B324" s="178"/>
      <c r="C324" s="178"/>
      <c r="D324" s="178"/>
      <c r="E324" s="178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178"/>
      <c r="B325" s="178"/>
      <c r="C325" s="178"/>
      <c r="D325" s="178"/>
      <c r="E325" s="178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178"/>
      <c r="B326" s="178"/>
      <c r="C326" s="178"/>
      <c r="D326" s="178"/>
      <c r="E326" s="178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178"/>
      <c r="B327" s="178"/>
      <c r="C327" s="178"/>
      <c r="D327" s="178"/>
      <c r="E327" s="178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178"/>
      <c r="B328" s="178"/>
      <c r="C328" s="178"/>
      <c r="D328" s="178"/>
      <c r="E328" s="178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178"/>
      <c r="B329" s="178"/>
      <c r="C329" s="178"/>
      <c r="D329" s="178"/>
      <c r="E329" s="178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178"/>
      <c r="B330" s="178"/>
      <c r="C330" s="178"/>
      <c r="D330" s="178"/>
      <c r="E330" s="178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178"/>
      <c r="B331" s="178"/>
      <c r="C331" s="178"/>
      <c r="D331" s="178"/>
      <c r="E331" s="178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178"/>
      <c r="B332" s="178"/>
      <c r="C332" s="178"/>
      <c r="D332" s="178"/>
      <c r="E332" s="178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178"/>
      <c r="B333" s="178"/>
      <c r="C333" s="178"/>
      <c r="D333" s="178"/>
      <c r="E333" s="178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178"/>
      <c r="B334" s="178"/>
      <c r="C334" s="178"/>
      <c r="D334" s="178"/>
      <c r="E334" s="178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178"/>
      <c r="B335" s="178"/>
      <c r="C335" s="178"/>
      <c r="D335" s="178"/>
      <c r="E335" s="178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178"/>
      <c r="B336" s="178"/>
      <c r="C336" s="178"/>
      <c r="D336" s="178"/>
      <c r="E336" s="178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178"/>
      <c r="B337" s="178"/>
      <c r="C337" s="178"/>
      <c r="D337" s="178"/>
      <c r="E337" s="178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178"/>
      <c r="B338" s="178"/>
      <c r="C338" s="178"/>
      <c r="D338" s="178"/>
      <c r="E338" s="178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178"/>
      <c r="B339" s="178"/>
      <c r="C339" s="178"/>
      <c r="D339" s="178"/>
      <c r="E339" s="178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178"/>
      <c r="B340" s="178"/>
      <c r="C340" s="178"/>
      <c r="D340" s="178"/>
      <c r="E340" s="178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178"/>
      <c r="B341" s="178"/>
      <c r="C341" s="178"/>
      <c r="D341" s="178"/>
      <c r="E341" s="178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178"/>
      <c r="B342" s="178"/>
      <c r="C342" s="178"/>
      <c r="D342" s="178"/>
      <c r="E342" s="178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178"/>
      <c r="B343" s="178"/>
      <c r="C343" s="178"/>
      <c r="D343" s="178"/>
      <c r="E343" s="178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178"/>
      <c r="B344" s="178"/>
      <c r="C344" s="178"/>
      <c r="D344" s="178"/>
      <c r="E344" s="178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178"/>
      <c r="B345" s="178"/>
      <c r="C345" s="178"/>
      <c r="D345" s="178"/>
      <c r="E345" s="178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178"/>
      <c r="B346" s="178"/>
      <c r="C346" s="178"/>
      <c r="D346" s="178"/>
      <c r="E346" s="178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178"/>
      <c r="B347" s="178"/>
      <c r="C347" s="178"/>
      <c r="D347" s="178"/>
      <c r="E347" s="178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178"/>
      <c r="B348" s="178"/>
      <c r="C348" s="178"/>
      <c r="D348" s="178"/>
      <c r="E348" s="178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178"/>
      <c r="B349" s="178"/>
      <c r="C349" s="178"/>
      <c r="D349" s="178"/>
      <c r="E349" s="178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178"/>
      <c r="B350" s="178"/>
      <c r="C350" s="178"/>
      <c r="D350" s="178"/>
      <c r="E350" s="178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178"/>
      <c r="B351" s="178"/>
      <c r="C351" s="178"/>
      <c r="D351" s="178"/>
      <c r="E351" s="178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178"/>
      <c r="B352" s="178"/>
      <c r="C352" s="178"/>
      <c r="D352" s="178"/>
      <c r="E352" s="178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178"/>
      <c r="B353" s="178"/>
      <c r="C353" s="178"/>
      <c r="D353" s="178"/>
      <c r="E353" s="178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178"/>
      <c r="B354" s="178"/>
      <c r="C354" s="178"/>
      <c r="D354" s="178"/>
      <c r="E354" s="178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178"/>
      <c r="B355" s="178"/>
      <c r="C355" s="178"/>
      <c r="D355" s="178"/>
      <c r="E355" s="178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178"/>
      <c r="B356" s="178"/>
      <c r="C356" s="178"/>
      <c r="D356" s="178"/>
      <c r="E356" s="178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178"/>
      <c r="B357" s="178"/>
      <c r="C357" s="178"/>
      <c r="D357" s="178"/>
      <c r="E357" s="178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178"/>
      <c r="B358" s="178"/>
      <c r="C358" s="178"/>
      <c r="D358" s="178"/>
      <c r="E358" s="178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178"/>
      <c r="B359" s="178"/>
      <c r="C359" s="178"/>
      <c r="D359" s="178"/>
      <c r="E359" s="178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178"/>
      <c r="B360" s="178"/>
      <c r="C360" s="178"/>
      <c r="D360" s="178"/>
      <c r="E360" s="178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178"/>
      <c r="B361" s="178"/>
      <c r="C361" s="178"/>
      <c r="D361" s="178"/>
      <c r="E361" s="178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178"/>
      <c r="B362" s="178"/>
      <c r="C362" s="178"/>
      <c r="D362" s="178"/>
      <c r="E362" s="178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178"/>
      <c r="B363" s="178"/>
      <c r="C363" s="178"/>
      <c r="D363" s="178"/>
      <c r="E363" s="178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178"/>
      <c r="B364" s="178"/>
      <c r="C364" s="178"/>
      <c r="D364" s="178"/>
      <c r="E364" s="178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178"/>
      <c r="B365" s="178"/>
      <c r="C365" s="178"/>
      <c r="D365" s="178"/>
      <c r="E365" s="178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178"/>
      <c r="B366" s="178"/>
      <c r="C366" s="178"/>
      <c r="D366" s="178"/>
      <c r="E366" s="178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178"/>
      <c r="B367" s="178"/>
      <c r="C367" s="178"/>
      <c r="D367" s="178"/>
      <c r="E367" s="178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178"/>
      <c r="B368" s="178"/>
      <c r="C368" s="178"/>
      <c r="D368" s="178"/>
      <c r="E368" s="178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178"/>
      <c r="B369" s="178"/>
      <c r="C369" s="178"/>
      <c r="D369" s="178"/>
      <c r="E369" s="178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178"/>
      <c r="B370" s="178"/>
      <c r="C370" s="178"/>
      <c r="D370" s="178"/>
      <c r="E370" s="178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178"/>
      <c r="B371" s="178"/>
      <c r="C371" s="178"/>
      <c r="D371" s="178"/>
      <c r="E371" s="178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178"/>
      <c r="B372" s="178"/>
      <c r="C372" s="178"/>
      <c r="D372" s="178"/>
      <c r="E372" s="178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178"/>
      <c r="B373" s="178"/>
      <c r="C373" s="178"/>
      <c r="D373" s="178"/>
      <c r="E373" s="178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178"/>
      <c r="B374" s="178"/>
      <c r="C374" s="178"/>
      <c r="D374" s="178"/>
      <c r="E374" s="178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178"/>
      <c r="B375" s="178"/>
      <c r="C375" s="178"/>
      <c r="D375" s="178"/>
      <c r="E375" s="178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178"/>
      <c r="B376" s="178"/>
      <c r="C376" s="178"/>
      <c r="D376" s="178"/>
      <c r="E376" s="178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178"/>
      <c r="B377" s="178"/>
      <c r="C377" s="178"/>
      <c r="D377" s="178"/>
      <c r="E377" s="178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178"/>
      <c r="B378" s="178"/>
      <c r="C378" s="178"/>
      <c r="D378" s="178"/>
      <c r="E378" s="178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178"/>
      <c r="B379" s="178"/>
      <c r="C379" s="178"/>
      <c r="D379" s="178"/>
      <c r="E379" s="178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178"/>
      <c r="B380" s="178"/>
      <c r="C380" s="178"/>
      <c r="D380" s="178"/>
      <c r="E380" s="178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178"/>
      <c r="B381" s="178"/>
      <c r="C381" s="178"/>
      <c r="D381" s="178"/>
      <c r="E381" s="178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178"/>
      <c r="B382" s="178"/>
      <c r="C382" s="178"/>
      <c r="D382" s="178"/>
      <c r="E382" s="178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178"/>
      <c r="B383" s="178"/>
      <c r="C383" s="178"/>
      <c r="D383" s="178"/>
      <c r="E383" s="178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178"/>
      <c r="B384" s="178"/>
      <c r="C384" s="178"/>
      <c r="D384" s="178"/>
      <c r="E384" s="178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178"/>
      <c r="B385" s="178"/>
      <c r="C385" s="178"/>
      <c r="D385" s="178"/>
      <c r="E385" s="178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178"/>
      <c r="B386" s="178"/>
      <c r="C386" s="178"/>
      <c r="D386" s="178"/>
      <c r="E386" s="178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178"/>
      <c r="B387" s="178"/>
      <c r="C387" s="178"/>
      <c r="D387" s="178"/>
      <c r="E387" s="178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178"/>
      <c r="B388" s="178"/>
      <c r="C388" s="178"/>
      <c r="D388" s="178"/>
      <c r="E388" s="178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178"/>
      <c r="B389" s="178"/>
      <c r="C389" s="178"/>
      <c r="D389" s="178"/>
      <c r="E389" s="178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178"/>
      <c r="B390" s="178"/>
      <c r="C390" s="178"/>
      <c r="D390" s="178"/>
      <c r="E390" s="178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178"/>
      <c r="B391" s="178"/>
      <c r="C391" s="178"/>
      <c r="D391" s="178"/>
      <c r="E391" s="178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178"/>
      <c r="B392" s="178"/>
      <c r="C392" s="178"/>
      <c r="D392" s="178"/>
      <c r="E392" s="178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178"/>
      <c r="B393" s="178"/>
      <c r="C393" s="178"/>
      <c r="D393" s="178"/>
      <c r="E393" s="178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178"/>
      <c r="B394" s="178"/>
      <c r="C394" s="178"/>
      <c r="D394" s="178"/>
      <c r="E394" s="178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178"/>
      <c r="B395" s="178"/>
      <c r="C395" s="178"/>
      <c r="D395" s="178"/>
      <c r="E395" s="178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178"/>
      <c r="B396" s="178"/>
      <c r="C396" s="178"/>
      <c r="D396" s="178"/>
      <c r="E396" s="178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178"/>
      <c r="B397" s="178"/>
      <c r="C397" s="178"/>
      <c r="D397" s="178"/>
      <c r="E397" s="178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178"/>
      <c r="B398" s="178"/>
      <c r="C398" s="178"/>
      <c r="D398" s="178"/>
      <c r="E398" s="178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178"/>
      <c r="B399" s="178"/>
      <c r="C399" s="178"/>
      <c r="D399" s="178"/>
      <c r="E399" s="178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178"/>
      <c r="B400" s="178"/>
      <c r="C400" s="178"/>
      <c r="D400" s="178"/>
      <c r="E400" s="178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178"/>
      <c r="B401" s="178"/>
      <c r="C401" s="178"/>
      <c r="D401" s="178"/>
      <c r="E401" s="178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178"/>
      <c r="B402" s="178"/>
      <c r="C402" s="178"/>
      <c r="D402" s="178"/>
      <c r="E402" s="178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178"/>
      <c r="B403" s="178"/>
      <c r="C403" s="178"/>
      <c r="D403" s="178"/>
      <c r="E403" s="178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178"/>
      <c r="B404" s="178"/>
      <c r="C404" s="178"/>
      <c r="D404" s="178"/>
      <c r="E404" s="178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178"/>
      <c r="B405" s="178"/>
      <c r="C405" s="178"/>
      <c r="D405" s="178"/>
      <c r="E405" s="178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178"/>
      <c r="B406" s="178"/>
      <c r="C406" s="178"/>
      <c r="D406" s="178"/>
      <c r="E406" s="178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178"/>
      <c r="B407" s="178"/>
      <c r="C407" s="178"/>
      <c r="D407" s="178"/>
      <c r="E407" s="178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178"/>
      <c r="B408" s="178"/>
      <c r="C408" s="178"/>
      <c r="D408" s="178"/>
      <c r="E408" s="178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178"/>
      <c r="B409" s="178"/>
      <c r="C409" s="178"/>
      <c r="D409" s="178"/>
      <c r="E409" s="178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178"/>
      <c r="B410" s="178"/>
      <c r="C410" s="178"/>
      <c r="D410" s="178"/>
      <c r="E410" s="178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178"/>
      <c r="B411" s="178"/>
      <c r="C411" s="178"/>
      <c r="D411" s="178"/>
      <c r="E411" s="178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178"/>
      <c r="B412" s="178"/>
      <c r="C412" s="178"/>
      <c r="D412" s="178"/>
      <c r="E412" s="178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178"/>
      <c r="B413" s="178"/>
      <c r="C413" s="178"/>
      <c r="D413" s="178"/>
      <c r="E413" s="178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178"/>
      <c r="B414" s="178"/>
      <c r="C414" s="178"/>
      <c r="D414" s="178"/>
      <c r="E414" s="178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178"/>
      <c r="B415" s="178"/>
      <c r="C415" s="178"/>
      <c r="D415" s="178"/>
      <c r="E415" s="178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178"/>
      <c r="B416" s="178"/>
      <c r="C416" s="178"/>
      <c r="D416" s="178"/>
      <c r="E416" s="178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178"/>
      <c r="B417" s="178"/>
      <c r="C417" s="178"/>
      <c r="D417" s="178"/>
      <c r="E417" s="178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178"/>
      <c r="B418" s="178"/>
      <c r="C418" s="178"/>
      <c r="D418" s="178"/>
      <c r="E418" s="178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178"/>
      <c r="B419" s="178"/>
      <c r="C419" s="178"/>
      <c r="D419" s="178"/>
      <c r="E419" s="178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178"/>
      <c r="B420" s="178"/>
      <c r="C420" s="178"/>
      <c r="D420" s="178"/>
      <c r="E420" s="178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178"/>
      <c r="B421" s="178"/>
      <c r="C421" s="178"/>
      <c r="D421" s="178"/>
      <c r="E421" s="178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178"/>
      <c r="B422" s="178"/>
      <c r="C422" s="178"/>
      <c r="D422" s="178"/>
      <c r="E422" s="178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178"/>
      <c r="B423" s="178"/>
      <c r="C423" s="178"/>
      <c r="D423" s="178"/>
      <c r="E423" s="178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178"/>
      <c r="B424" s="178"/>
      <c r="C424" s="178"/>
      <c r="D424" s="178"/>
      <c r="E424" s="178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178"/>
      <c r="B425" s="178"/>
      <c r="C425" s="178"/>
      <c r="D425" s="178"/>
      <c r="E425" s="178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178"/>
      <c r="B426" s="178"/>
      <c r="C426" s="178"/>
      <c r="D426" s="178"/>
      <c r="E426" s="178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178"/>
      <c r="B427" s="178"/>
      <c r="C427" s="178"/>
      <c r="D427" s="178"/>
      <c r="E427" s="178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178"/>
      <c r="B428" s="178"/>
      <c r="C428" s="178"/>
      <c r="D428" s="178"/>
      <c r="E428" s="178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178"/>
      <c r="B429" s="178"/>
      <c r="C429" s="178"/>
      <c r="D429" s="178"/>
      <c r="E429" s="178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178"/>
      <c r="B430" s="178"/>
      <c r="C430" s="178"/>
      <c r="D430" s="178"/>
      <c r="E430" s="178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178"/>
      <c r="B431" s="178"/>
      <c r="C431" s="178"/>
      <c r="D431" s="178"/>
      <c r="E431" s="178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178"/>
      <c r="B432" s="178"/>
      <c r="C432" s="178"/>
      <c r="D432" s="178"/>
      <c r="E432" s="178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178"/>
      <c r="B433" s="178"/>
      <c r="C433" s="178"/>
      <c r="D433" s="178"/>
      <c r="E433" s="178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178"/>
      <c r="B434" s="178"/>
      <c r="C434" s="178"/>
      <c r="D434" s="178"/>
      <c r="E434" s="178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178"/>
      <c r="B435" s="178"/>
      <c r="C435" s="178"/>
      <c r="D435" s="178"/>
      <c r="E435" s="178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178"/>
      <c r="B436" s="178"/>
      <c r="C436" s="178"/>
      <c r="D436" s="178"/>
      <c r="E436" s="178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178"/>
      <c r="B437" s="178"/>
      <c r="C437" s="178"/>
      <c r="D437" s="178"/>
      <c r="E437" s="178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178"/>
      <c r="B438" s="178"/>
      <c r="C438" s="178"/>
      <c r="D438" s="178"/>
      <c r="E438" s="178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178"/>
      <c r="B439" s="178"/>
      <c r="C439" s="178"/>
      <c r="D439" s="178"/>
      <c r="E439" s="178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178"/>
      <c r="B440" s="178"/>
      <c r="C440" s="178"/>
      <c r="D440" s="178"/>
      <c r="E440" s="178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178"/>
      <c r="B441" s="178"/>
      <c r="C441" s="178"/>
      <c r="D441" s="178"/>
      <c r="E441" s="178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178"/>
      <c r="B442" s="178"/>
      <c r="C442" s="178"/>
      <c r="D442" s="178"/>
      <c r="E442" s="178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178"/>
      <c r="B443" s="178"/>
      <c r="C443" s="178"/>
      <c r="D443" s="178"/>
      <c r="E443" s="178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178"/>
      <c r="B444" s="178"/>
      <c r="C444" s="178"/>
      <c r="D444" s="178"/>
      <c r="E444" s="178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178"/>
      <c r="B445" s="178"/>
      <c r="C445" s="178"/>
      <c r="D445" s="178"/>
      <c r="E445" s="178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178"/>
      <c r="B446" s="178"/>
      <c r="C446" s="178"/>
      <c r="D446" s="178"/>
      <c r="E446" s="178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178"/>
      <c r="B447" s="178"/>
      <c r="C447" s="178"/>
      <c r="D447" s="178"/>
      <c r="E447" s="178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178"/>
      <c r="B448" s="178"/>
      <c r="C448" s="178"/>
      <c r="D448" s="178"/>
      <c r="E448" s="178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178"/>
      <c r="B449" s="178"/>
      <c r="C449" s="178"/>
      <c r="D449" s="178"/>
      <c r="E449" s="178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178"/>
      <c r="B450" s="178"/>
      <c r="C450" s="178"/>
      <c r="D450" s="178"/>
      <c r="E450" s="178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178"/>
      <c r="B451" s="178"/>
      <c r="C451" s="178"/>
      <c r="D451" s="178"/>
      <c r="E451" s="178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178"/>
      <c r="B452" s="178"/>
      <c r="C452" s="178"/>
      <c r="D452" s="178"/>
      <c r="E452" s="178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178"/>
      <c r="B453" s="178"/>
      <c r="C453" s="178"/>
      <c r="D453" s="178"/>
      <c r="E453" s="178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178"/>
      <c r="B454" s="178"/>
      <c r="C454" s="178"/>
      <c r="D454" s="178"/>
      <c r="E454" s="178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178"/>
      <c r="B455" s="178"/>
      <c r="C455" s="178"/>
      <c r="D455" s="178"/>
      <c r="E455" s="178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178"/>
      <c r="B456" s="178"/>
      <c r="C456" s="178"/>
      <c r="D456" s="178"/>
      <c r="E456" s="178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178"/>
      <c r="B457" s="178"/>
      <c r="C457" s="178"/>
      <c r="D457" s="178"/>
      <c r="E457" s="178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178"/>
      <c r="B458" s="178"/>
      <c r="C458" s="178"/>
      <c r="D458" s="178"/>
      <c r="E458" s="178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178"/>
      <c r="B459" s="178"/>
      <c r="C459" s="178"/>
      <c r="D459" s="178"/>
      <c r="E459" s="178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178"/>
      <c r="B460" s="178"/>
      <c r="C460" s="178"/>
      <c r="D460" s="178"/>
      <c r="E460" s="178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178"/>
      <c r="B461" s="178"/>
      <c r="C461" s="178"/>
      <c r="D461" s="178"/>
      <c r="E461" s="178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178"/>
      <c r="B462" s="178"/>
      <c r="C462" s="178"/>
      <c r="D462" s="178"/>
      <c r="E462" s="178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178"/>
      <c r="B463" s="178"/>
      <c r="C463" s="178"/>
      <c r="D463" s="178"/>
      <c r="E463" s="178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178"/>
      <c r="B464" s="178"/>
      <c r="C464" s="178"/>
      <c r="D464" s="178"/>
      <c r="E464" s="178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178"/>
      <c r="B465" s="178"/>
      <c r="C465" s="178"/>
      <c r="D465" s="178"/>
      <c r="E465" s="178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178"/>
      <c r="B466" s="178"/>
      <c r="C466" s="178"/>
      <c r="D466" s="178"/>
      <c r="E466" s="178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178"/>
      <c r="B467" s="178"/>
      <c r="C467" s="178"/>
      <c r="D467" s="178"/>
      <c r="E467" s="178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178"/>
      <c r="B468" s="178"/>
      <c r="C468" s="178"/>
      <c r="D468" s="178"/>
      <c r="E468" s="178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178"/>
      <c r="B469" s="178"/>
      <c r="C469" s="178"/>
      <c r="D469" s="178"/>
      <c r="E469" s="178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178"/>
      <c r="B470" s="178"/>
      <c r="C470" s="178"/>
      <c r="D470" s="178"/>
      <c r="E470" s="178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178"/>
      <c r="B471" s="178"/>
      <c r="C471" s="178"/>
      <c r="D471" s="178"/>
      <c r="E471" s="178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178"/>
      <c r="B472" s="178"/>
      <c r="C472" s="178"/>
      <c r="D472" s="178"/>
      <c r="E472" s="178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178"/>
      <c r="B473" s="178"/>
      <c r="C473" s="178"/>
      <c r="D473" s="178"/>
      <c r="E473" s="178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178"/>
      <c r="B474" s="178"/>
      <c r="C474" s="178"/>
      <c r="D474" s="178"/>
      <c r="E474" s="178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178"/>
      <c r="B475" s="178"/>
      <c r="C475" s="178"/>
      <c r="D475" s="178"/>
      <c r="E475" s="178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178"/>
      <c r="B476" s="178"/>
      <c r="C476" s="178"/>
      <c r="D476" s="178"/>
      <c r="E476" s="178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178"/>
      <c r="B477" s="178"/>
      <c r="C477" s="178"/>
      <c r="D477" s="178"/>
      <c r="E477" s="178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178"/>
      <c r="B478" s="178"/>
      <c r="C478" s="178"/>
      <c r="D478" s="178"/>
      <c r="E478" s="178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178"/>
      <c r="B479" s="178"/>
      <c r="C479" s="178"/>
      <c r="D479" s="178"/>
      <c r="E479" s="178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178"/>
      <c r="B480" s="178"/>
      <c r="C480" s="178"/>
      <c r="D480" s="178"/>
      <c r="E480" s="178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178"/>
      <c r="B481" s="178"/>
      <c r="C481" s="178"/>
      <c r="D481" s="178"/>
      <c r="E481" s="178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178"/>
      <c r="B482" s="178"/>
      <c r="C482" s="178"/>
      <c r="D482" s="178"/>
      <c r="E482" s="178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178"/>
      <c r="B483" s="178"/>
      <c r="C483" s="178"/>
      <c r="D483" s="178"/>
      <c r="E483" s="178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178"/>
      <c r="B484" s="178"/>
      <c r="C484" s="178"/>
      <c r="D484" s="178"/>
      <c r="E484" s="178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178"/>
      <c r="B485" s="178"/>
      <c r="C485" s="178"/>
      <c r="D485" s="178"/>
      <c r="E485" s="178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178"/>
      <c r="B486" s="178"/>
      <c r="C486" s="178"/>
      <c r="D486" s="178"/>
      <c r="E486" s="178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178"/>
      <c r="B487" s="178"/>
      <c r="C487" s="178"/>
      <c r="D487" s="178"/>
      <c r="E487" s="178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178"/>
      <c r="B488" s="178"/>
      <c r="C488" s="178"/>
      <c r="D488" s="178"/>
      <c r="E488" s="178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178"/>
      <c r="B489" s="178"/>
      <c r="C489" s="178"/>
      <c r="D489" s="178"/>
      <c r="E489" s="178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178"/>
      <c r="B490" s="178"/>
      <c r="C490" s="178"/>
      <c r="D490" s="178"/>
      <c r="E490" s="178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178"/>
      <c r="B491" s="178"/>
      <c r="C491" s="178"/>
      <c r="D491" s="178"/>
      <c r="E491" s="178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178"/>
      <c r="B492" s="178"/>
      <c r="C492" s="178"/>
      <c r="D492" s="178"/>
      <c r="E492" s="178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178"/>
      <c r="B493" s="178"/>
      <c r="C493" s="178"/>
      <c r="D493" s="178"/>
      <c r="E493" s="178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178"/>
      <c r="B494" s="178"/>
      <c r="C494" s="178"/>
      <c r="D494" s="178"/>
      <c r="E494" s="178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178"/>
      <c r="B495" s="178"/>
      <c r="C495" s="178"/>
      <c r="D495" s="178"/>
      <c r="E495" s="178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178"/>
      <c r="B496" s="178"/>
      <c r="C496" s="178"/>
      <c r="D496" s="178"/>
      <c r="E496" s="178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178"/>
      <c r="B497" s="178"/>
      <c r="C497" s="178"/>
      <c r="D497" s="178"/>
      <c r="E497" s="178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178"/>
      <c r="B498" s="178"/>
      <c r="C498" s="178"/>
      <c r="D498" s="178"/>
      <c r="E498" s="178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178"/>
      <c r="B499" s="178"/>
      <c r="C499" s="178"/>
      <c r="D499" s="178"/>
      <c r="E499" s="178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178"/>
      <c r="B500" s="178"/>
      <c r="C500" s="178"/>
      <c r="D500" s="178"/>
      <c r="E500" s="178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178"/>
      <c r="B501" s="178"/>
      <c r="C501" s="178"/>
      <c r="D501" s="178"/>
      <c r="E501" s="178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178"/>
      <c r="B502" s="178"/>
      <c r="C502" s="178"/>
      <c r="D502" s="178"/>
      <c r="E502" s="178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178"/>
      <c r="B503" s="178"/>
      <c r="C503" s="178"/>
      <c r="D503" s="178"/>
      <c r="E503" s="178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178"/>
      <c r="B504" s="178"/>
      <c r="C504" s="178"/>
      <c r="D504" s="178"/>
      <c r="E504" s="178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178"/>
      <c r="B505" s="178"/>
      <c r="C505" s="178"/>
      <c r="D505" s="178"/>
      <c r="E505" s="178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178"/>
      <c r="B506" s="178"/>
      <c r="C506" s="178"/>
      <c r="D506" s="178"/>
      <c r="E506" s="178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178"/>
      <c r="B507" s="178"/>
      <c r="C507" s="178"/>
      <c r="D507" s="178"/>
      <c r="E507" s="178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178"/>
      <c r="B508" s="178"/>
      <c r="C508" s="178"/>
      <c r="D508" s="178"/>
      <c r="E508" s="178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178"/>
      <c r="B509" s="178"/>
      <c r="C509" s="178"/>
      <c r="D509" s="178"/>
      <c r="E509" s="178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178"/>
      <c r="B510" s="178"/>
      <c r="C510" s="178"/>
      <c r="D510" s="178"/>
      <c r="E510" s="178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178"/>
      <c r="B511" s="178"/>
      <c r="C511" s="178"/>
      <c r="D511" s="178"/>
      <c r="E511" s="178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178"/>
      <c r="B512" s="178"/>
      <c r="C512" s="178"/>
      <c r="D512" s="178"/>
      <c r="E512" s="178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178"/>
      <c r="B513" s="178"/>
      <c r="C513" s="178"/>
      <c r="D513" s="178"/>
      <c r="E513" s="178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178"/>
      <c r="B514" s="178"/>
      <c r="C514" s="178"/>
      <c r="D514" s="178"/>
      <c r="E514" s="178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178"/>
      <c r="B515" s="178"/>
      <c r="C515" s="178"/>
      <c r="D515" s="178"/>
      <c r="E515" s="178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178"/>
      <c r="B516" s="178"/>
      <c r="C516" s="178"/>
      <c r="D516" s="178"/>
      <c r="E516" s="178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178"/>
      <c r="B517" s="178"/>
      <c r="C517" s="178"/>
      <c r="D517" s="178"/>
      <c r="E517" s="178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178"/>
      <c r="B518" s="178"/>
      <c r="C518" s="178"/>
      <c r="D518" s="178"/>
      <c r="E518" s="178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178"/>
      <c r="B519" s="178"/>
      <c r="C519" s="178"/>
      <c r="D519" s="178"/>
      <c r="E519" s="178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178"/>
      <c r="B520" s="178"/>
      <c r="C520" s="178"/>
      <c r="D520" s="178"/>
      <c r="E520" s="178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178"/>
      <c r="B521" s="178"/>
      <c r="C521" s="178"/>
      <c r="D521" s="178"/>
      <c r="E521" s="178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178"/>
      <c r="B522" s="178"/>
      <c r="C522" s="178"/>
      <c r="D522" s="178"/>
      <c r="E522" s="178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178"/>
      <c r="B523" s="178"/>
      <c r="C523" s="178"/>
      <c r="D523" s="178"/>
      <c r="E523" s="178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178"/>
      <c r="B524" s="178"/>
      <c r="C524" s="178"/>
      <c r="D524" s="178"/>
      <c r="E524" s="178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178"/>
      <c r="B525" s="178"/>
      <c r="C525" s="178"/>
      <c r="D525" s="178"/>
      <c r="E525" s="178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178"/>
      <c r="B526" s="178"/>
      <c r="C526" s="178"/>
      <c r="D526" s="178"/>
      <c r="E526" s="178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178"/>
      <c r="B527" s="178"/>
      <c r="C527" s="178"/>
      <c r="D527" s="178"/>
      <c r="E527" s="178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178"/>
      <c r="B528" s="178"/>
      <c r="C528" s="178"/>
      <c r="D528" s="178"/>
      <c r="E528" s="178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178"/>
      <c r="B529" s="178"/>
      <c r="C529" s="178"/>
      <c r="D529" s="178"/>
      <c r="E529" s="178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178"/>
      <c r="B530" s="178"/>
      <c r="C530" s="178"/>
      <c r="D530" s="178"/>
      <c r="E530" s="178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178"/>
      <c r="B531" s="178"/>
      <c r="C531" s="178"/>
      <c r="D531" s="178"/>
      <c r="E531" s="178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178"/>
      <c r="B532" s="178"/>
      <c r="C532" s="178"/>
      <c r="D532" s="178"/>
      <c r="E532" s="178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178"/>
      <c r="B533" s="178"/>
      <c r="C533" s="178"/>
      <c r="D533" s="178"/>
      <c r="E533" s="178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178"/>
      <c r="B534" s="178"/>
      <c r="C534" s="178"/>
      <c r="D534" s="178"/>
      <c r="E534" s="178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178"/>
      <c r="B535" s="178"/>
      <c r="C535" s="178"/>
      <c r="D535" s="178"/>
      <c r="E535" s="178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178"/>
      <c r="B536" s="178"/>
      <c r="C536" s="178"/>
      <c r="D536" s="178"/>
      <c r="E536" s="178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178"/>
      <c r="B537" s="178"/>
      <c r="C537" s="178"/>
      <c r="D537" s="178"/>
      <c r="E537" s="178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178"/>
      <c r="B538" s="178"/>
      <c r="C538" s="178"/>
      <c r="D538" s="178"/>
      <c r="E538" s="178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178"/>
      <c r="B539" s="178"/>
      <c r="C539" s="178"/>
      <c r="D539" s="178"/>
      <c r="E539" s="178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178"/>
      <c r="B540" s="178"/>
      <c r="C540" s="178"/>
      <c r="D540" s="178"/>
      <c r="E540" s="178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178"/>
      <c r="B541" s="178"/>
      <c r="C541" s="178"/>
      <c r="D541" s="178"/>
      <c r="E541" s="178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178"/>
      <c r="B542" s="178"/>
      <c r="C542" s="178"/>
      <c r="D542" s="178"/>
      <c r="E542" s="178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178"/>
      <c r="B543" s="178"/>
      <c r="C543" s="178"/>
      <c r="D543" s="178"/>
      <c r="E543" s="178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178"/>
      <c r="B544" s="178"/>
      <c r="C544" s="178"/>
      <c r="D544" s="178"/>
      <c r="E544" s="178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178"/>
      <c r="B545" s="178"/>
      <c r="C545" s="178"/>
      <c r="D545" s="178"/>
      <c r="E545" s="178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178"/>
      <c r="B546" s="178"/>
      <c r="C546" s="178"/>
      <c r="D546" s="178"/>
      <c r="E546" s="178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178"/>
      <c r="B547" s="178"/>
      <c r="C547" s="178"/>
      <c r="D547" s="178"/>
      <c r="E547" s="178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178"/>
      <c r="B548" s="178"/>
      <c r="C548" s="178"/>
      <c r="D548" s="178"/>
      <c r="E548" s="178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178"/>
      <c r="B549" s="178"/>
      <c r="C549" s="178"/>
      <c r="D549" s="178"/>
      <c r="E549" s="178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178"/>
      <c r="B550" s="178"/>
      <c r="C550" s="178"/>
      <c r="D550" s="178"/>
      <c r="E550" s="178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178"/>
      <c r="B551" s="178"/>
      <c r="C551" s="178"/>
      <c r="D551" s="178"/>
      <c r="E551" s="178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178"/>
      <c r="B552" s="178"/>
      <c r="C552" s="178"/>
      <c r="D552" s="178"/>
      <c r="E552" s="178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178"/>
      <c r="B553" s="178"/>
      <c r="C553" s="178"/>
      <c r="D553" s="178"/>
      <c r="E553" s="178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178"/>
      <c r="B554" s="178"/>
      <c r="C554" s="178"/>
      <c r="D554" s="178"/>
      <c r="E554" s="178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178"/>
      <c r="B555" s="178"/>
      <c r="C555" s="178"/>
      <c r="D555" s="178"/>
      <c r="E555" s="178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178"/>
      <c r="B556" s="178"/>
      <c r="C556" s="178"/>
      <c r="D556" s="178"/>
      <c r="E556" s="178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178"/>
      <c r="B557" s="178"/>
      <c r="C557" s="178"/>
      <c r="D557" s="178"/>
      <c r="E557" s="178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178"/>
      <c r="B558" s="178"/>
      <c r="C558" s="178"/>
      <c r="D558" s="178"/>
      <c r="E558" s="178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178"/>
      <c r="B559" s="178"/>
      <c r="C559" s="178"/>
      <c r="D559" s="178"/>
      <c r="E559" s="178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178"/>
      <c r="B560" s="178"/>
      <c r="C560" s="178"/>
      <c r="D560" s="178"/>
      <c r="E560" s="178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178"/>
      <c r="B561" s="178"/>
      <c r="C561" s="178"/>
      <c r="D561" s="178"/>
      <c r="E561" s="178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178"/>
      <c r="B562" s="178"/>
      <c r="C562" s="178"/>
      <c r="D562" s="178"/>
      <c r="E562" s="178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178"/>
      <c r="B563" s="178"/>
      <c r="C563" s="178"/>
      <c r="D563" s="178"/>
      <c r="E563" s="178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178"/>
      <c r="B564" s="178"/>
      <c r="C564" s="178"/>
      <c r="D564" s="178"/>
      <c r="E564" s="178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178"/>
      <c r="B565" s="178"/>
      <c r="C565" s="178"/>
      <c r="D565" s="178"/>
      <c r="E565" s="178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178"/>
      <c r="B566" s="178"/>
      <c r="C566" s="178"/>
      <c r="D566" s="178"/>
      <c r="E566" s="178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178"/>
      <c r="B567" s="178"/>
      <c r="C567" s="178"/>
      <c r="D567" s="178"/>
      <c r="E567" s="178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178"/>
      <c r="B568" s="178"/>
      <c r="C568" s="178"/>
      <c r="D568" s="178"/>
      <c r="E568" s="178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178"/>
      <c r="B569" s="178"/>
      <c r="C569" s="178"/>
      <c r="D569" s="178"/>
      <c r="E569" s="178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178"/>
      <c r="B570" s="178"/>
      <c r="C570" s="178"/>
      <c r="D570" s="178"/>
      <c r="E570" s="178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178"/>
      <c r="B571" s="178"/>
      <c r="C571" s="178"/>
      <c r="D571" s="178"/>
      <c r="E571" s="178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178"/>
      <c r="B572" s="178"/>
      <c r="C572" s="178"/>
      <c r="D572" s="178"/>
      <c r="E572" s="178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178"/>
      <c r="B573" s="178"/>
      <c r="C573" s="178"/>
      <c r="D573" s="178"/>
      <c r="E573" s="178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178"/>
      <c r="B574" s="178"/>
      <c r="C574" s="178"/>
      <c r="D574" s="178"/>
      <c r="E574" s="178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178"/>
      <c r="B575" s="178"/>
      <c r="C575" s="178"/>
      <c r="D575" s="178"/>
      <c r="E575" s="178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178"/>
      <c r="B576" s="178"/>
      <c r="C576" s="178"/>
      <c r="D576" s="178"/>
      <c r="E576" s="178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178"/>
      <c r="B577" s="178"/>
      <c r="C577" s="178"/>
      <c r="D577" s="178"/>
      <c r="E577" s="178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178"/>
      <c r="B578" s="178"/>
      <c r="C578" s="178"/>
      <c r="D578" s="178"/>
      <c r="E578" s="178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178"/>
      <c r="B579" s="178"/>
      <c r="C579" s="178"/>
      <c r="D579" s="178"/>
      <c r="E579" s="178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178"/>
      <c r="B580" s="178"/>
      <c r="C580" s="178"/>
      <c r="D580" s="178"/>
      <c r="E580" s="178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178"/>
      <c r="B581" s="178"/>
      <c r="C581" s="178"/>
      <c r="D581" s="178"/>
      <c r="E581" s="178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178"/>
      <c r="B582" s="178"/>
      <c r="C582" s="178"/>
      <c r="D582" s="178"/>
      <c r="E582" s="178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178"/>
      <c r="B583" s="178"/>
      <c r="C583" s="178"/>
      <c r="D583" s="178"/>
      <c r="E583" s="178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178"/>
      <c r="B584" s="178"/>
      <c r="C584" s="178"/>
      <c r="D584" s="178"/>
      <c r="E584" s="178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178"/>
      <c r="B585" s="178"/>
      <c r="C585" s="178"/>
      <c r="D585" s="178"/>
      <c r="E585" s="178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178"/>
      <c r="B586" s="178"/>
      <c r="C586" s="178"/>
      <c r="D586" s="178"/>
      <c r="E586" s="178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178"/>
      <c r="B587" s="178"/>
      <c r="C587" s="178"/>
      <c r="D587" s="178"/>
      <c r="E587" s="178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178"/>
      <c r="B588" s="178"/>
      <c r="C588" s="178"/>
      <c r="D588" s="178"/>
      <c r="E588" s="178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178"/>
      <c r="B589" s="178"/>
      <c r="C589" s="178"/>
      <c r="D589" s="178"/>
      <c r="E589" s="178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178"/>
      <c r="B590" s="178"/>
      <c r="C590" s="178"/>
      <c r="D590" s="178"/>
      <c r="E590" s="178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178"/>
      <c r="B591" s="178"/>
      <c r="C591" s="178"/>
      <c r="D591" s="178"/>
      <c r="E591" s="178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178"/>
      <c r="B592" s="178"/>
      <c r="C592" s="178"/>
      <c r="D592" s="178"/>
      <c r="E592" s="178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178"/>
      <c r="B593" s="178"/>
      <c r="C593" s="178"/>
      <c r="D593" s="178"/>
      <c r="E593" s="178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178"/>
      <c r="B594" s="178"/>
      <c r="C594" s="178"/>
      <c r="D594" s="178"/>
      <c r="E594" s="178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178"/>
      <c r="B595" s="178"/>
      <c r="C595" s="178"/>
      <c r="D595" s="178"/>
      <c r="E595" s="178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178"/>
      <c r="B596" s="178"/>
      <c r="C596" s="178"/>
      <c r="D596" s="178"/>
      <c r="E596" s="178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178"/>
      <c r="B597" s="178"/>
      <c r="C597" s="178"/>
      <c r="D597" s="178"/>
      <c r="E597" s="178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178"/>
      <c r="B598" s="178"/>
      <c r="C598" s="178"/>
      <c r="D598" s="178"/>
      <c r="E598" s="178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178"/>
      <c r="B599" s="178"/>
      <c r="C599" s="178"/>
      <c r="D599" s="178"/>
      <c r="E599" s="178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178"/>
      <c r="B600" s="178"/>
      <c r="C600" s="178"/>
      <c r="D600" s="178"/>
      <c r="E600" s="178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178"/>
      <c r="B601" s="178"/>
      <c r="C601" s="178"/>
      <c r="D601" s="178"/>
      <c r="E601" s="178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178"/>
      <c r="B602" s="178"/>
      <c r="C602" s="178"/>
      <c r="D602" s="178"/>
      <c r="E602" s="178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178"/>
      <c r="B603" s="178"/>
      <c r="C603" s="178"/>
      <c r="D603" s="178"/>
      <c r="E603" s="178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178"/>
      <c r="B604" s="178"/>
      <c r="C604" s="178"/>
      <c r="D604" s="178"/>
      <c r="E604" s="178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178"/>
      <c r="B605" s="178"/>
      <c r="C605" s="178"/>
      <c r="D605" s="178"/>
      <c r="E605" s="178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178"/>
      <c r="B606" s="178"/>
      <c r="C606" s="178"/>
      <c r="D606" s="178"/>
      <c r="E606" s="178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178"/>
      <c r="B607" s="178"/>
      <c r="C607" s="178"/>
      <c r="D607" s="178"/>
      <c r="E607" s="178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178"/>
      <c r="B608" s="178"/>
      <c r="C608" s="178"/>
      <c r="D608" s="178"/>
      <c r="E608" s="178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178"/>
      <c r="B609" s="178"/>
      <c r="C609" s="178"/>
      <c r="D609" s="178"/>
      <c r="E609" s="178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178"/>
      <c r="B610" s="178"/>
      <c r="C610" s="178"/>
      <c r="D610" s="178"/>
      <c r="E610" s="178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178"/>
      <c r="B611" s="178"/>
      <c r="C611" s="178"/>
      <c r="D611" s="178"/>
      <c r="E611" s="178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178"/>
      <c r="B612" s="178"/>
      <c r="C612" s="178"/>
      <c r="D612" s="178"/>
      <c r="E612" s="178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178"/>
      <c r="B613" s="178"/>
      <c r="C613" s="178"/>
      <c r="D613" s="178"/>
      <c r="E613" s="178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178"/>
      <c r="B614" s="178"/>
      <c r="C614" s="178"/>
      <c r="D614" s="178"/>
      <c r="E614" s="178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178"/>
      <c r="B615" s="178"/>
      <c r="C615" s="178"/>
      <c r="D615" s="178"/>
      <c r="E615" s="178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178"/>
      <c r="B616" s="178"/>
      <c r="C616" s="178"/>
      <c r="D616" s="178"/>
      <c r="E616" s="178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178"/>
      <c r="B617" s="178"/>
      <c r="C617" s="178"/>
      <c r="D617" s="178"/>
      <c r="E617" s="178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178"/>
      <c r="B618" s="178"/>
      <c r="C618" s="178"/>
      <c r="D618" s="178"/>
      <c r="E618" s="178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178"/>
      <c r="B619" s="178"/>
      <c r="C619" s="178"/>
      <c r="D619" s="178"/>
      <c r="E619" s="178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178"/>
      <c r="B620" s="178"/>
      <c r="C620" s="178"/>
      <c r="D620" s="178"/>
      <c r="E620" s="178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178"/>
      <c r="B621" s="178"/>
      <c r="C621" s="178"/>
      <c r="D621" s="178"/>
      <c r="E621" s="178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178"/>
      <c r="B622" s="178"/>
      <c r="C622" s="178"/>
      <c r="D622" s="178"/>
      <c r="E622" s="178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178"/>
      <c r="B623" s="178"/>
      <c r="C623" s="178"/>
      <c r="D623" s="178"/>
      <c r="E623" s="178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178"/>
      <c r="B624" s="178"/>
      <c r="C624" s="178"/>
      <c r="D624" s="178"/>
      <c r="E624" s="178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178"/>
      <c r="B625" s="178"/>
      <c r="C625" s="178"/>
      <c r="D625" s="178"/>
      <c r="E625" s="178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178"/>
      <c r="B626" s="178"/>
      <c r="C626" s="178"/>
      <c r="D626" s="178"/>
      <c r="E626" s="178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178"/>
      <c r="B627" s="178"/>
      <c r="C627" s="178"/>
      <c r="D627" s="178"/>
      <c r="E627" s="178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178"/>
      <c r="B628" s="178"/>
      <c r="C628" s="178"/>
      <c r="D628" s="178"/>
      <c r="E628" s="178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178"/>
      <c r="B629" s="178"/>
      <c r="C629" s="178"/>
      <c r="D629" s="178"/>
      <c r="E629" s="178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178"/>
      <c r="B630" s="178"/>
      <c r="C630" s="178"/>
      <c r="D630" s="178"/>
      <c r="E630" s="178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178"/>
      <c r="B631" s="178"/>
      <c r="C631" s="178"/>
      <c r="D631" s="178"/>
      <c r="E631" s="178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178"/>
      <c r="B632" s="178"/>
      <c r="C632" s="178"/>
      <c r="D632" s="178"/>
      <c r="E632" s="178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178"/>
      <c r="B633" s="178"/>
      <c r="C633" s="178"/>
      <c r="D633" s="178"/>
      <c r="E633" s="178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178"/>
      <c r="B634" s="178"/>
      <c r="C634" s="178"/>
      <c r="D634" s="178"/>
      <c r="E634" s="178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178"/>
      <c r="B635" s="178"/>
      <c r="C635" s="178"/>
      <c r="D635" s="178"/>
      <c r="E635" s="178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178"/>
      <c r="B636" s="178"/>
      <c r="C636" s="178"/>
      <c r="D636" s="178"/>
      <c r="E636" s="178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178"/>
      <c r="B637" s="178"/>
      <c r="C637" s="178"/>
      <c r="D637" s="178"/>
      <c r="E637" s="178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178"/>
      <c r="B638" s="178"/>
      <c r="C638" s="178"/>
      <c r="D638" s="178"/>
      <c r="E638" s="178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178"/>
      <c r="B639" s="178"/>
      <c r="C639" s="178"/>
      <c r="D639" s="178"/>
      <c r="E639" s="178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178"/>
      <c r="B640" s="178"/>
      <c r="C640" s="178"/>
      <c r="D640" s="178"/>
      <c r="E640" s="178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178"/>
      <c r="B641" s="178"/>
      <c r="C641" s="178"/>
      <c r="D641" s="178"/>
      <c r="E641" s="178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178"/>
      <c r="B642" s="178"/>
      <c r="C642" s="178"/>
      <c r="D642" s="178"/>
      <c r="E642" s="178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178"/>
      <c r="B643" s="178"/>
      <c r="C643" s="178"/>
      <c r="D643" s="178"/>
      <c r="E643" s="178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178"/>
      <c r="B644" s="178"/>
      <c r="C644" s="178"/>
      <c r="D644" s="178"/>
      <c r="E644" s="178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178"/>
      <c r="B645" s="178"/>
      <c r="C645" s="178"/>
      <c r="D645" s="178"/>
      <c r="E645" s="178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178"/>
      <c r="B646" s="178"/>
      <c r="C646" s="178"/>
      <c r="D646" s="178"/>
      <c r="E646" s="178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178"/>
      <c r="B647" s="178"/>
      <c r="C647" s="178"/>
      <c r="D647" s="178"/>
      <c r="E647" s="178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178"/>
      <c r="B648" s="178"/>
      <c r="C648" s="178"/>
      <c r="D648" s="178"/>
      <c r="E648" s="178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178"/>
      <c r="B649" s="178"/>
      <c r="C649" s="178"/>
      <c r="D649" s="178"/>
      <c r="E649" s="178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178"/>
      <c r="B650" s="178"/>
      <c r="C650" s="178"/>
      <c r="D650" s="178"/>
      <c r="E650" s="178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178"/>
      <c r="B651" s="178"/>
      <c r="C651" s="178"/>
      <c r="D651" s="178"/>
      <c r="E651" s="178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178"/>
      <c r="B652" s="178"/>
      <c r="C652" s="178"/>
      <c r="D652" s="178"/>
      <c r="E652" s="178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178"/>
      <c r="B653" s="178"/>
      <c r="C653" s="178"/>
      <c r="D653" s="178"/>
      <c r="E653" s="178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178"/>
      <c r="B654" s="178"/>
      <c r="C654" s="178"/>
      <c r="D654" s="178"/>
      <c r="E654" s="178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178"/>
      <c r="B655" s="178"/>
      <c r="C655" s="178"/>
      <c r="D655" s="178"/>
      <c r="E655" s="178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178"/>
      <c r="B656" s="178"/>
      <c r="C656" s="178"/>
      <c r="D656" s="178"/>
      <c r="E656" s="178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178"/>
      <c r="B657" s="178"/>
      <c r="C657" s="178"/>
      <c r="D657" s="178"/>
      <c r="E657" s="178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178"/>
      <c r="B658" s="178"/>
      <c r="C658" s="178"/>
      <c r="D658" s="178"/>
      <c r="E658" s="178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178"/>
      <c r="B659" s="178"/>
      <c r="C659" s="178"/>
      <c r="D659" s="178"/>
      <c r="E659" s="178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178"/>
      <c r="B660" s="178"/>
      <c r="C660" s="178"/>
      <c r="D660" s="178"/>
      <c r="E660" s="178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178"/>
      <c r="B661" s="178"/>
      <c r="C661" s="178"/>
      <c r="D661" s="178"/>
      <c r="E661" s="178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178"/>
      <c r="B662" s="178"/>
      <c r="C662" s="178"/>
      <c r="D662" s="178"/>
      <c r="E662" s="178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178"/>
      <c r="B663" s="178"/>
      <c r="C663" s="178"/>
      <c r="D663" s="178"/>
      <c r="E663" s="178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178"/>
      <c r="B664" s="178"/>
      <c r="C664" s="178"/>
      <c r="D664" s="178"/>
      <c r="E664" s="178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178"/>
      <c r="B665" s="178"/>
      <c r="C665" s="178"/>
      <c r="D665" s="178"/>
      <c r="E665" s="178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178"/>
      <c r="B666" s="178"/>
      <c r="C666" s="178"/>
      <c r="D666" s="178"/>
      <c r="E666" s="178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178"/>
      <c r="B667" s="178"/>
      <c r="C667" s="178"/>
      <c r="D667" s="178"/>
      <c r="E667" s="178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178"/>
      <c r="B668" s="178"/>
      <c r="C668" s="178"/>
      <c r="D668" s="178"/>
      <c r="E668" s="178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178"/>
      <c r="B669" s="178"/>
      <c r="C669" s="178"/>
      <c r="D669" s="178"/>
      <c r="E669" s="178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178"/>
      <c r="B670" s="178"/>
      <c r="C670" s="178"/>
      <c r="D670" s="178"/>
      <c r="E670" s="178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178"/>
      <c r="B671" s="178"/>
      <c r="C671" s="178"/>
      <c r="D671" s="178"/>
      <c r="E671" s="178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178"/>
      <c r="B672" s="178"/>
      <c r="C672" s="178"/>
      <c r="D672" s="178"/>
      <c r="E672" s="178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178"/>
      <c r="B673" s="178"/>
      <c r="C673" s="178"/>
      <c r="D673" s="178"/>
      <c r="E673" s="178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178"/>
      <c r="B674" s="178"/>
      <c r="C674" s="178"/>
      <c r="D674" s="178"/>
      <c r="E674" s="178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178"/>
      <c r="B675" s="178"/>
      <c r="C675" s="178"/>
      <c r="D675" s="178"/>
      <c r="E675" s="178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178"/>
      <c r="B676" s="178"/>
      <c r="C676" s="178"/>
      <c r="D676" s="178"/>
      <c r="E676" s="178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178"/>
      <c r="B677" s="178"/>
      <c r="C677" s="178"/>
      <c r="D677" s="178"/>
      <c r="E677" s="178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178"/>
      <c r="B678" s="178"/>
      <c r="C678" s="178"/>
      <c r="D678" s="178"/>
      <c r="E678" s="178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178"/>
      <c r="B679" s="178"/>
      <c r="C679" s="178"/>
      <c r="D679" s="178"/>
      <c r="E679" s="178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178"/>
      <c r="B680" s="178"/>
      <c r="C680" s="178"/>
      <c r="D680" s="178"/>
      <c r="E680" s="178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178"/>
      <c r="B681" s="178"/>
      <c r="C681" s="178"/>
      <c r="D681" s="178"/>
      <c r="E681" s="178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178"/>
      <c r="B682" s="178"/>
      <c r="C682" s="178"/>
      <c r="D682" s="178"/>
      <c r="E682" s="178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178"/>
      <c r="B683" s="178"/>
      <c r="C683" s="178"/>
      <c r="D683" s="178"/>
      <c r="E683" s="178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178"/>
      <c r="B684" s="178"/>
      <c r="C684" s="178"/>
      <c r="D684" s="178"/>
      <c r="E684" s="178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178"/>
      <c r="B685" s="178"/>
      <c r="C685" s="178"/>
      <c r="D685" s="178"/>
      <c r="E685" s="178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178"/>
      <c r="B686" s="178"/>
      <c r="C686" s="178"/>
      <c r="D686" s="178"/>
      <c r="E686" s="178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178"/>
      <c r="B687" s="178"/>
      <c r="C687" s="178"/>
      <c r="D687" s="178"/>
      <c r="E687" s="178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178"/>
      <c r="B688" s="178"/>
      <c r="C688" s="178"/>
      <c r="D688" s="178"/>
      <c r="E688" s="178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178"/>
      <c r="B689" s="178"/>
      <c r="C689" s="178"/>
      <c r="D689" s="178"/>
      <c r="E689" s="178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178"/>
      <c r="B690" s="178"/>
      <c r="C690" s="178"/>
      <c r="D690" s="178"/>
      <c r="E690" s="178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178"/>
      <c r="B691" s="178"/>
      <c r="C691" s="178"/>
      <c r="D691" s="178"/>
      <c r="E691" s="178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178"/>
      <c r="B692" s="178"/>
      <c r="C692" s="178"/>
      <c r="D692" s="178"/>
      <c r="E692" s="178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178"/>
      <c r="B693" s="178"/>
      <c r="C693" s="178"/>
      <c r="D693" s="178"/>
      <c r="E693" s="178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178"/>
      <c r="B694" s="178"/>
      <c r="C694" s="178"/>
      <c r="D694" s="178"/>
      <c r="E694" s="178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178"/>
      <c r="B695" s="178"/>
      <c r="C695" s="178"/>
      <c r="D695" s="178"/>
      <c r="E695" s="178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178"/>
      <c r="B696" s="178"/>
      <c r="C696" s="178"/>
      <c r="D696" s="178"/>
      <c r="E696" s="178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178"/>
      <c r="B697" s="178"/>
      <c r="C697" s="178"/>
      <c r="D697" s="178"/>
      <c r="E697" s="178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178"/>
      <c r="B698" s="178"/>
      <c r="C698" s="178"/>
      <c r="D698" s="178"/>
      <c r="E698" s="178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178"/>
      <c r="B699" s="178"/>
      <c r="C699" s="178"/>
      <c r="D699" s="178"/>
      <c r="E699" s="178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178"/>
      <c r="B700" s="178"/>
      <c r="C700" s="178"/>
      <c r="D700" s="178"/>
      <c r="E700" s="178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178"/>
      <c r="B701" s="178"/>
      <c r="C701" s="178"/>
      <c r="D701" s="178"/>
      <c r="E701" s="178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178"/>
      <c r="B702" s="178"/>
      <c r="C702" s="178"/>
      <c r="D702" s="178"/>
      <c r="E702" s="178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178"/>
      <c r="B703" s="178"/>
      <c r="C703" s="178"/>
      <c r="D703" s="178"/>
      <c r="E703" s="178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178"/>
      <c r="B704" s="178"/>
      <c r="C704" s="178"/>
      <c r="D704" s="178"/>
      <c r="E704" s="178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178"/>
      <c r="B705" s="178"/>
      <c r="C705" s="178"/>
      <c r="D705" s="178"/>
      <c r="E705" s="178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178"/>
      <c r="B706" s="178"/>
      <c r="C706" s="178"/>
      <c r="D706" s="178"/>
      <c r="E706" s="178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178"/>
      <c r="B707" s="178"/>
      <c r="C707" s="178"/>
      <c r="D707" s="178"/>
      <c r="E707" s="178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178"/>
      <c r="B708" s="178"/>
      <c r="C708" s="178"/>
      <c r="D708" s="178"/>
      <c r="E708" s="178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178"/>
      <c r="B709" s="178"/>
      <c r="C709" s="178"/>
      <c r="D709" s="178"/>
      <c r="E709" s="178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178"/>
      <c r="B710" s="178"/>
      <c r="C710" s="178"/>
      <c r="D710" s="178"/>
      <c r="E710" s="178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178"/>
      <c r="B711" s="178"/>
      <c r="C711" s="178"/>
      <c r="D711" s="178"/>
      <c r="E711" s="178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178"/>
      <c r="B712" s="178"/>
      <c r="C712" s="178"/>
      <c r="D712" s="178"/>
      <c r="E712" s="178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178"/>
      <c r="B713" s="178"/>
      <c r="C713" s="178"/>
      <c r="D713" s="178"/>
      <c r="E713" s="178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178"/>
      <c r="B714" s="178"/>
      <c r="C714" s="178"/>
      <c r="D714" s="178"/>
      <c r="E714" s="178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178"/>
      <c r="B715" s="178"/>
      <c r="C715" s="178"/>
      <c r="D715" s="178"/>
      <c r="E715" s="178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178"/>
      <c r="B716" s="178"/>
      <c r="C716" s="178"/>
      <c r="D716" s="178"/>
      <c r="E716" s="178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178"/>
      <c r="B717" s="178"/>
      <c r="C717" s="178"/>
      <c r="D717" s="178"/>
      <c r="E717" s="178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178"/>
      <c r="B718" s="178"/>
      <c r="C718" s="178"/>
      <c r="D718" s="178"/>
      <c r="E718" s="178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178"/>
      <c r="B719" s="178"/>
      <c r="C719" s="178"/>
      <c r="D719" s="178"/>
      <c r="E719" s="178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178"/>
      <c r="B720" s="178"/>
      <c r="C720" s="178"/>
      <c r="D720" s="178"/>
      <c r="E720" s="178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178"/>
      <c r="B721" s="178"/>
      <c r="C721" s="178"/>
      <c r="D721" s="178"/>
      <c r="E721" s="178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178"/>
      <c r="B722" s="178"/>
      <c r="C722" s="178"/>
      <c r="D722" s="178"/>
      <c r="E722" s="178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178"/>
      <c r="B723" s="178"/>
      <c r="C723" s="178"/>
      <c r="D723" s="178"/>
      <c r="E723" s="178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178"/>
      <c r="B724" s="178"/>
      <c r="C724" s="178"/>
      <c r="D724" s="178"/>
      <c r="E724" s="178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178"/>
      <c r="B725" s="178"/>
      <c r="C725" s="178"/>
      <c r="D725" s="178"/>
      <c r="E725" s="178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178"/>
      <c r="B726" s="178"/>
      <c r="C726" s="178"/>
      <c r="D726" s="178"/>
      <c r="E726" s="178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178"/>
      <c r="B727" s="178"/>
      <c r="C727" s="178"/>
      <c r="D727" s="178"/>
      <c r="E727" s="178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178"/>
      <c r="B728" s="178"/>
      <c r="C728" s="178"/>
      <c r="D728" s="178"/>
      <c r="E728" s="178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178"/>
      <c r="B729" s="178"/>
      <c r="C729" s="178"/>
      <c r="D729" s="178"/>
      <c r="E729" s="178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178"/>
      <c r="B730" s="178"/>
      <c r="C730" s="178"/>
      <c r="D730" s="178"/>
      <c r="E730" s="178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178"/>
      <c r="B731" s="178"/>
      <c r="C731" s="178"/>
      <c r="D731" s="178"/>
      <c r="E731" s="178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178"/>
      <c r="B732" s="178"/>
      <c r="C732" s="178"/>
      <c r="D732" s="178"/>
      <c r="E732" s="178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178"/>
      <c r="B733" s="178"/>
      <c r="C733" s="178"/>
      <c r="D733" s="178"/>
      <c r="E733" s="178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178"/>
      <c r="B734" s="178"/>
      <c r="C734" s="178"/>
      <c r="D734" s="178"/>
      <c r="E734" s="178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178"/>
      <c r="B735" s="178"/>
      <c r="C735" s="178"/>
      <c r="D735" s="178"/>
      <c r="E735" s="178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178"/>
      <c r="B736" s="178"/>
      <c r="C736" s="178"/>
      <c r="D736" s="178"/>
      <c r="E736" s="178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178"/>
      <c r="B737" s="178"/>
      <c r="C737" s="178"/>
      <c r="D737" s="178"/>
      <c r="E737" s="178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178"/>
      <c r="B738" s="178"/>
      <c r="C738" s="178"/>
      <c r="D738" s="178"/>
      <c r="E738" s="178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178"/>
      <c r="B739" s="178"/>
      <c r="C739" s="178"/>
      <c r="D739" s="178"/>
      <c r="E739" s="178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178"/>
      <c r="B740" s="178"/>
      <c r="C740" s="178"/>
      <c r="D740" s="178"/>
      <c r="E740" s="178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178"/>
      <c r="B741" s="178"/>
      <c r="C741" s="178"/>
      <c r="D741" s="178"/>
      <c r="E741" s="178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178"/>
      <c r="B742" s="178"/>
      <c r="C742" s="178"/>
      <c r="D742" s="178"/>
      <c r="E742" s="178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178"/>
      <c r="B743" s="178"/>
      <c r="C743" s="178"/>
      <c r="D743" s="178"/>
      <c r="E743" s="178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178"/>
      <c r="B744" s="178"/>
      <c r="C744" s="178"/>
      <c r="D744" s="178"/>
      <c r="E744" s="178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178"/>
      <c r="B745" s="178"/>
      <c r="C745" s="178"/>
      <c r="D745" s="178"/>
      <c r="E745" s="178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178"/>
      <c r="B746" s="178"/>
      <c r="C746" s="178"/>
      <c r="D746" s="178"/>
      <c r="E746" s="178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178"/>
      <c r="B747" s="178"/>
      <c r="C747" s="178"/>
      <c r="D747" s="178"/>
      <c r="E747" s="178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178"/>
      <c r="B748" s="178"/>
      <c r="C748" s="178"/>
      <c r="D748" s="178"/>
      <c r="E748" s="178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178"/>
      <c r="B749" s="178"/>
      <c r="C749" s="178"/>
      <c r="D749" s="178"/>
      <c r="E749" s="178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178"/>
      <c r="B750" s="178"/>
      <c r="C750" s="178"/>
      <c r="D750" s="178"/>
      <c r="E750" s="178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178"/>
      <c r="B751" s="178"/>
      <c r="C751" s="178"/>
      <c r="D751" s="178"/>
      <c r="E751" s="178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178"/>
      <c r="B752" s="178"/>
      <c r="C752" s="178"/>
      <c r="D752" s="178"/>
      <c r="E752" s="178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178"/>
      <c r="B753" s="178"/>
      <c r="C753" s="178"/>
      <c r="D753" s="178"/>
      <c r="E753" s="178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178"/>
      <c r="B754" s="178"/>
      <c r="C754" s="178"/>
      <c r="D754" s="178"/>
      <c r="E754" s="178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178"/>
      <c r="B755" s="178"/>
      <c r="C755" s="178"/>
      <c r="D755" s="178"/>
      <c r="E755" s="178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178"/>
      <c r="B756" s="178"/>
      <c r="C756" s="178"/>
      <c r="D756" s="178"/>
      <c r="E756" s="178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178"/>
      <c r="B757" s="178"/>
      <c r="C757" s="178"/>
      <c r="D757" s="178"/>
      <c r="E757" s="178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178"/>
      <c r="B758" s="178"/>
      <c r="C758" s="178"/>
      <c r="D758" s="178"/>
      <c r="E758" s="178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178"/>
      <c r="B759" s="178"/>
      <c r="C759" s="178"/>
      <c r="D759" s="178"/>
      <c r="E759" s="178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178"/>
      <c r="B760" s="178"/>
      <c r="C760" s="178"/>
      <c r="D760" s="178"/>
      <c r="E760" s="178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178"/>
      <c r="B761" s="178"/>
      <c r="C761" s="178"/>
      <c r="D761" s="178"/>
      <c r="E761" s="178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178"/>
      <c r="B762" s="178"/>
      <c r="C762" s="178"/>
      <c r="D762" s="178"/>
      <c r="E762" s="178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178"/>
      <c r="B763" s="178"/>
      <c r="C763" s="178"/>
      <c r="D763" s="178"/>
      <c r="E763" s="178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178"/>
      <c r="B764" s="178"/>
      <c r="C764" s="178"/>
      <c r="D764" s="178"/>
      <c r="E764" s="178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178"/>
      <c r="B765" s="178"/>
      <c r="C765" s="178"/>
      <c r="D765" s="178"/>
      <c r="E765" s="178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178"/>
      <c r="B766" s="178"/>
      <c r="C766" s="178"/>
      <c r="D766" s="178"/>
      <c r="E766" s="178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178"/>
      <c r="B767" s="178"/>
      <c r="C767" s="178"/>
      <c r="D767" s="178"/>
      <c r="E767" s="178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178"/>
      <c r="B768" s="178"/>
      <c r="C768" s="178"/>
      <c r="D768" s="178"/>
      <c r="E768" s="178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178"/>
      <c r="B769" s="178"/>
      <c r="C769" s="178"/>
      <c r="D769" s="178"/>
      <c r="E769" s="178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178"/>
      <c r="B770" s="178"/>
      <c r="C770" s="178"/>
      <c r="D770" s="178"/>
      <c r="E770" s="178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178"/>
      <c r="B771" s="178"/>
      <c r="C771" s="178"/>
      <c r="D771" s="178"/>
      <c r="E771" s="178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178"/>
      <c r="B772" s="178"/>
      <c r="C772" s="178"/>
      <c r="D772" s="178"/>
      <c r="E772" s="178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178"/>
      <c r="B773" s="178"/>
      <c r="C773" s="178"/>
      <c r="D773" s="178"/>
      <c r="E773" s="178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178"/>
      <c r="B774" s="178"/>
      <c r="C774" s="178"/>
      <c r="D774" s="178"/>
      <c r="E774" s="178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178"/>
      <c r="B775" s="178"/>
      <c r="C775" s="178"/>
      <c r="D775" s="178"/>
      <c r="E775" s="178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178"/>
      <c r="B776" s="178"/>
      <c r="C776" s="178"/>
      <c r="D776" s="178"/>
      <c r="E776" s="178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178"/>
      <c r="B777" s="178"/>
      <c r="C777" s="178"/>
      <c r="D777" s="178"/>
      <c r="E777" s="178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178"/>
      <c r="B778" s="178"/>
      <c r="C778" s="178"/>
      <c r="D778" s="178"/>
      <c r="E778" s="178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178"/>
      <c r="B779" s="178"/>
      <c r="C779" s="178"/>
      <c r="D779" s="178"/>
      <c r="E779" s="178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178"/>
      <c r="B780" s="178"/>
      <c r="C780" s="178"/>
      <c r="D780" s="178"/>
      <c r="E780" s="178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178"/>
      <c r="B781" s="178"/>
      <c r="C781" s="178"/>
      <c r="D781" s="178"/>
      <c r="E781" s="178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178"/>
      <c r="B782" s="178"/>
      <c r="C782" s="178"/>
      <c r="D782" s="178"/>
      <c r="E782" s="178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178"/>
      <c r="B783" s="178"/>
      <c r="C783" s="178"/>
      <c r="D783" s="178"/>
      <c r="E783" s="178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178"/>
      <c r="B784" s="178"/>
      <c r="C784" s="178"/>
      <c r="D784" s="178"/>
      <c r="E784" s="178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178"/>
      <c r="B785" s="178"/>
      <c r="C785" s="178"/>
      <c r="D785" s="178"/>
      <c r="E785" s="178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178"/>
      <c r="B786" s="178"/>
      <c r="C786" s="178"/>
      <c r="D786" s="178"/>
      <c r="E786" s="178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178"/>
      <c r="B787" s="178"/>
      <c r="C787" s="178"/>
      <c r="D787" s="178"/>
      <c r="E787" s="178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178"/>
      <c r="B788" s="178"/>
      <c r="C788" s="178"/>
      <c r="D788" s="178"/>
      <c r="E788" s="178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178"/>
      <c r="B789" s="178"/>
      <c r="C789" s="178"/>
      <c r="D789" s="178"/>
      <c r="E789" s="178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178"/>
      <c r="B790" s="178"/>
      <c r="C790" s="178"/>
      <c r="D790" s="178"/>
      <c r="E790" s="178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178"/>
      <c r="B791" s="178"/>
      <c r="C791" s="178"/>
      <c r="D791" s="178"/>
      <c r="E791" s="178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178"/>
      <c r="B792" s="178"/>
      <c r="C792" s="178"/>
      <c r="D792" s="178"/>
      <c r="E792" s="178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178"/>
      <c r="B793" s="178"/>
      <c r="C793" s="178"/>
      <c r="D793" s="178"/>
      <c r="E793" s="178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178"/>
      <c r="B794" s="178"/>
      <c r="C794" s="178"/>
      <c r="D794" s="178"/>
      <c r="E794" s="178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178"/>
      <c r="B795" s="178"/>
      <c r="C795" s="178"/>
      <c r="D795" s="178"/>
      <c r="E795" s="178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178"/>
      <c r="B796" s="178"/>
      <c r="C796" s="178"/>
      <c r="D796" s="178"/>
      <c r="E796" s="178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178"/>
      <c r="B797" s="178"/>
      <c r="C797" s="178"/>
      <c r="D797" s="178"/>
      <c r="E797" s="178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178"/>
      <c r="B798" s="178"/>
      <c r="C798" s="178"/>
      <c r="D798" s="178"/>
      <c r="E798" s="178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178"/>
      <c r="B799" s="178"/>
      <c r="C799" s="178"/>
      <c r="D799" s="178"/>
      <c r="E799" s="178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178"/>
      <c r="B800" s="178"/>
      <c r="C800" s="178"/>
      <c r="D800" s="178"/>
      <c r="E800" s="178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178"/>
      <c r="B801" s="178"/>
      <c r="C801" s="178"/>
      <c r="D801" s="178"/>
      <c r="E801" s="178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178"/>
      <c r="B802" s="178"/>
      <c r="C802" s="178"/>
      <c r="D802" s="178"/>
      <c r="E802" s="178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178"/>
      <c r="B803" s="178"/>
      <c r="C803" s="178"/>
      <c r="D803" s="178"/>
      <c r="E803" s="178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178"/>
      <c r="B804" s="178"/>
      <c r="C804" s="178"/>
      <c r="D804" s="178"/>
      <c r="E804" s="178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178"/>
      <c r="B805" s="178"/>
      <c r="C805" s="178"/>
      <c r="D805" s="178"/>
      <c r="E805" s="178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178"/>
      <c r="B806" s="178"/>
      <c r="C806" s="178"/>
      <c r="D806" s="178"/>
      <c r="E806" s="178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178"/>
      <c r="B807" s="178"/>
      <c r="C807" s="178"/>
      <c r="D807" s="178"/>
      <c r="E807" s="178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178"/>
      <c r="B808" s="178"/>
      <c r="C808" s="178"/>
      <c r="D808" s="178"/>
      <c r="E808" s="178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178"/>
      <c r="B809" s="178"/>
      <c r="C809" s="178"/>
      <c r="D809" s="178"/>
      <c r="E809" s="178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178"/>
      <c r="B810" s="178"/>
      <c r="C810" s="178"/>
      <c r="D810" s="178"/>
      <c r="E810" s="178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178"/>
      <c r="B811" s="178"/>
      <c r="C811" s="178"/>
      <c r="D811" s="178"/>
      <c r="E811" s="178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178"/>
      <c r="B812" s="178"/>
      <c r="C812" s="178"/>
      <c r="D812" s="178"/>
      <c r="E812" s="178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178"/>
      <c r="B813" s="178"/>
      <c r="C813" s="178"/>
      <c r="D813" s="178"/>
      <c r="E813" s="178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178"/>
      <c r="B814" s="178"/>
      <c r="C814" s="178"/>
      <c r="D814" s="178"/>
      <c r="E814" s="178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178"/>
      <c r="B815" s="178"/>
      <c r="C815" s="178"/>
      <c r="D815" s="178"/>
      <c r="E815" s="178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178"/>
      <c r="B816" s="178"/>
      <c r="C816" s="178"/>
      <c r="D816" s="178"/>
      <c r="E816" s="178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178"/>
      <c r="B817" s="178"/>
      <c r="C817" s="178"/>
      <c r="D817" s="178"/>
      <c r="E817" s="178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178"/>
      <c r="B818" s="178"/>
      <c r="C818" s="178"/>
      <c r="D818" s="178"/>
      <c r="E818" s="178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178"/>
      <c r="B819" s="178"/>
      <c r="C819" s="178"/>
      <c r="D819" s="178"/>
      <c r="E819" s="178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178"/>
      <c r="B820" s="178"/>
      <c r="C820" s="178"/>
      <c r="D820" s="178"/>
      <c r="E820" s="178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178"/>
      <c r="B821" s="178"/>
      <c r="C821" s="178"/>
      <c r="D821" s="178"/>
      <c r="E821" s="178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178"/>
      <c r="B822" s="178"/>
      <c r="C822" s="178"/>
      <c r="D822" s="178"/>
      <c r="E822" s="178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178"/>
      <c r="B823" s="178"/>
      <c r="C823" s="178"/>
      <c r="D823" s="178"/>
      <c r="E823" s="178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178"/>
      <c r="B824" s="178"/>
      <c r="C824" s="178"/>
      <c r="D824" s="178"/>
      <c r="E824" s="178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178"/>
      <c r="B825" s="178"/>
      <c r="C825" s="178"/>
      <c r="D825" s="178"/>
      <c r="E825" s="178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178"/>
      <c r="B826" s="178"/>
      <c r="C826" s="178"/>
      <c r="D826" s="178"/>
      <c r="E826" s="178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178"/>
      <c r="B827" s="178"/>
      <c r="C827" s="178"/>
      <c r="D827" s="178"/>
      <c r="E827" s="178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178"/>
      <c r="B828" s="178"/>
      <c r="C828" s="178"/>
      <c r="D828" s="178"/>
      <c r="E828" s="178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178"/>
      <c r="B829" s="178"/>
      <c r="C829" s="178"/>
      <c r="D829" s="178"/>
      <c r="E829" s="178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178"/>
      <c r="B830" s="178"/>
      <c r="C830" s="178"/>
      <c r="D830" s="178"/>
      <c r="E830" s="178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178"/>
      <c r="B831" s="178"/>
      <c r="C831" s="178"/>
      <c r="D831" s="178"/>
      <c r="E831" s="178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178"/>
      <c r="B832" s="178"/>
      <c r="C832" s="178"/>
      <c r="D832" s="178"/>
      <c r="E832" s="178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178"/>
      <c r="B833" s="178"/>
      <c r="C833" s="178"/>
      <c r="D833" s="178"/>
      <c r="E833" s="178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178"/>
      <c r="B834" s="178"/>
      <c r="C834" s="178"/>
      <c r="D834" s="178"/>
      <c r="E834" s="178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178"/>
      <c r="B835" s="178"/>
      <c r="C835" s="178"/>
      <c r="D835" s="178"/>
      <c r="E835" s="178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178"/>
      <c r="B836" s="178"/>
      <c r="C836" s="178"/>
      <c r="D836" s="178"/>
      <c r="E836" s="178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178"/>
      <c r="B837" s="178"/>
      <c r="C837" s="178"/>
      <c r="D837" s="178"/>
      <c r="E837" s="178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178"/>
      <c r="B838" s="178"/>
      <c r="C838" s="178"/>
      <c r="D838" s="178"/>
      <c r="E838" s="178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178"/>
      <c r="B839" s="178"/>
      <c r="C839" s="178"/>
      <c r="D839" s="178"/>
      <c r="E839" s="178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178"/>
      <c r="B840" s="178"/>
      <c r="C840" s="178"/>
      <c r="D840" s="178"/>
      <c r="E840" s="178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178"/>
      <c r="B841" s="178"/>
      <c r="C841" s="178"/>
      <c r="D841" s="178"/>
      <c r="E841" s="178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178"/>
      <c r="B842" s="178"/>
      <c r="C842" s="178"/>
      <c r="D842" s="178"/>
      <c r="E842" s="178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178"/>
      <c r="B843" s="178"/>
      <c r="C843" s="178"/>
      <c r="D843" s="178"/>
      <c r="E843" s="178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178"/>
      <c r="B844" s="178"/>
      <c r="C844" s="178"/>
      <c r="D844" s="178"/>
      <c r="E844" s="178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178"/>
      <c r="B845" s="178"/>
      <c r="C845" s="178"/>
      <c r="D845" s="178"/>
      <c r="E845" s="178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178"/>
      <c r="B846" s="178"/>
      <c r="C846" s="178"/>
      <c r="D846" s="178"/>
      <c r="E846" s="178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178"/>
      <c r="B847" s="178"/>
      <c r="C847" s="178"/>
      <c r="D847" s="178"/>
      <c r="E847" s="178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178"/>
      <c r="B848" s="178"/>
      <c r="C848" s="178"/>
      <c r="D848" s="178"/>
      <c r="E848" s="178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178"/>
      <c r="B849" s="178"/>
      <c r="C849" s="178"/>
      <c r="D849" s="178"/>
      <c r="E849" s="178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178"/>
      <c r="B850" s="178"/>
      <c r="C850" s="178"/>
      <c r="D850" s="178"/>
      <c r="E850" s="178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178"/>
      <c r="B851" s="178"/>
      <c r="C851" s="178"/>
      <c r="D851" s="178"/>
      <c r="E851" s="178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178"/>
      <c r="B852" s="178"/>
      <c r="C852" s="178"/>
      <c r="D852" s="178"/>
      <c r="E852" s="178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178"/>
      <c r="B853" s="178"/>
      <c r="C853" s="178"/>
      <c r="D853" s="178"/>
      <c r="E853" s="178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178"/>
      <c r="B854" s="178"/>
      <c r="C854" s="178"/>
      <c r="D854" s="178"/>
      <c r="E854" s="178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178"/>
      <c r="B855" s="178"/>
      <c r="C855" s="178"/>
      <c r="D855" s="178"/>
      <c r="E855" s="178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178"/>
      <c r="B856" s="178"/>
      <c r="C856" s="178"/>
      <c r="D856" s="178"/>
      <c r="E856" s="178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178"/>
      <c r="B857" s="178"/>
      <c r="C857" s="178"/>
      <c r="D857" s="178"/>
      <c r="E857" s="178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178"/>
      <c r="B858" s="178"/>
      <c r="C858" s="178"/>
      <c r="D858" s="178"/>
      <c r="E858" s="178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178"/>
      <c r="B859" s="178"/>
      <c r="C859" s="178"/>
      <c r="D859" s="178"/>
      <c r="E859" s="178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178"/>
      <c r="B860" s="178"/>
      <c r="C860" s="178"/>
      <c r="D860" s="178"/>
      <c r="E860" s="178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178"/>
      <c r="B861" s="178"/>
      <c r="C861" s="178"/>
      <c r="D861" s="178"/>
      <c r="E861" s="178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178"/>
      <c r="B862" s="178"/>
      <c r="C862" s="178"/>
      <c r="D862" s="178"/>
      <c r="E862" s="178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178"/>
      <c r="B863" s="178"/>
      <c r="C863" s="178"/>
      <c r="D863" s="178"/>
      <c r="E863" s="178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178"/>
      <c r="B864" s="178"/>
      <c r="C864" s="178"/>
      <c r="D864" s="178"/>
      <c r="E864" s="178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178"/>
      <c r="B865" s="178"/>
      <c r="C865" s="178"/>
      <c r="D865" s="178"/>
      <c r="E865" s="178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178"/>
      <c r="B866" s="178"/>
      <c r="C866" s="178"/>
      <c r="D866" s="178"/>
      <c r="E866" s="178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178"/>
      <c r="B867" s="178"/>
      <c r="C867" s="178"/>
      <c r="D867" s="178"/>
      <c r="E867" s="178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178"/>
      <c r="B868" s="178"/>
      <c r="C868" s="178"/>
      <c r="D868" s="178"/>
      <c r="E868" s="178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178"/>
      <c r="B869" s="178"/>
      <c r="C869" s="178"/>
      <c r="D869" s="178"/>
      <c r="E869" s="178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178"/>
      <c r="B870" s="178"/>
      <c r="C870" s="178"/>
      <c r="D870" s="178"/>
      <c r="E870" s="178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178"/>
      <c r="B871" s="178"/>
      <c r="C871" s="178"/>
      <c r="D871" s="178"/>
      <c r="E871" s="178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178"/>
      <c r="B872" s="178"/>
      <c r="C872" s="178"/>
      <c r="D872" s="178"/>
      <c r="E872" s="178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178"/>
      <c r="B873" s="178"/>
      <c r="C873" s="178"/>
      <c r="D873" s="178"/>
      <c r="E873" s="178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178"/>
      <c r="B874" s="178"/>
      <c r="C874" s="178"/>
      <c r="D874" s="178"/>
      <c r="E874" s="178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178"/>
      <c r="B875" s="178"/>
      <c r="C875" s="178"/>
      <c r="D875" s="178"/>
      <c r="E875" s="178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178"/>
      <c r="B876" s="178"/>
      <c r="C876" s="178"/>
      <c r="D876" s="178"/>
      <c r="E876" s="178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178"/>
      <c r="B877" s="178"/>
      <c r="C877" s="178"/>
      <c r="D877" s="178"/>
      <c r="E877" s="178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178"/>
      <c r="B878" s="178"/>
      <c r="C878" s="178"/>
      <c r="D878" s="178"/>
      <c r="E878" s="178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178"/>
      <c r="B879" s="178"/>
      <c r="C879" s="178"/>
      <c r="D879" s="178"/>
      <c r="E879" s="178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178"/>
      <c r="B880" s="178"/>
      <c r="C880" s="178"/>
      <c r="D880" s="178"/>
      <c r="E880" s="178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178"/>
      <c r="B881" s="178"/>
      <c r="C881" s="178"/>
      <c r="D881" s="178"/>
      <c r="E881" s="178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178"/>
      <c r="B882" s="178"/>
      <c r="C882" s="178"/>
      <c r="D882" s="178"/>
      <c r="E882" s="178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178"/>
      <c r="B883" s="178"/>
      <c r="C883" s="178"/>
      <c r="D883" s="178"/>
      <c r="E883" s="178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178"/>
      <c r="B884" s="178"/>
      <c r="C884" s="178"/>
      <c r="D884" s="178"/>
      <c r="E884" s="178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178"/>
      <c r="B885" s="178"/>
      <c r="C885" s="178"/>
      <c r="D885" s="178"/>
      <c r="E885" s="178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178"/>
      <c r="B886" s="178"/>
      <c r="C886" s="178"/>
      <c r="D886" s="178"/>
      <c r="E886" s="178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178"/>
      <c r="B887" s="178"/>
      <c r="C887" s="178"/>
      <c r="D887" s="178"/>
      <c r="E887" s="178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178"/>
      <c r="B888" s="178"/>
      <c r="C888" s="178"/>
      <c r="D888" s="178"/>
      <c r="E888" s="178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178"/>
      <c r="B889" s="178"/>
      <c r="C889" s="178"/>
      <c r="D889" s="178"/>
      <c r="E889" s="178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178"/>
      <c r="B890" s="178"/>
      <c r="C890" s="178"/>
      <c r="D890" s="178"/>
      <c r="E890" s="178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178"/>
      <c r="B891" s="178"/>
      <c r="C891" s="178"/>
      <c r="D891" s="178"/>
      <c r="E891" s="178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178"/>
      <c r="B892" s="178"/>
      <c r="C892" s="178"/>
      <c r="D892" s="178"/>
      <c r="E892" s="178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178"/>
      <c r="B893" s="178"/>
      <c r="C893" s="178"/>
      <c r="D893" s="178"/>
      <c r="E893" s="178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178"/>
      <c r="B894" s="178"/>
      <c r="C894" s="178"/>
      <c r="D894" s="178"/>
      <c r="E894" s="178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178"/>
      <c r="B895" s="178"/>
      <c r="C895" s="178"/>
      <c r="D895" s="178"/>
      <c r="E895" s="178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178"/>
      <c r="B896" s="178"/>
      <c r="C896" s="178"/>
      <c r="D896" s="178"/>
      <c r="E896" s="178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178"/>
      <c r="B897" s="178"/>
      <c r="C897" s="178"/>
      <c r="D897" s="178"/>
      <c r="E897" s="178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178"/>
      <c r="B898" s="178"/>
      <c r="C898" s="178"/>
      <c r="D898" s="178"/>
      <c r="E898" s="178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178"/>
      <c r="B899" s="178"/>
      <c r="C899" s="178"/>
      <c r="D899" s="178"/>
      <c r="E899" s="178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178"/>
      <c r="B900" s="178"/>
      <c r="C900" s="178"/>
      <c r="D900" s="178"/>
      <c r="E900" s="178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178"/>
      <c r="B901" s="178"/>
      <c r="C901" s="178"/>
      <c r="D901" s="178"/>
      <c r="E901" s="178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178"/>
      <c r="B902" s="178"/>
      <c r="C902" s="178"/>
      <c r="D902" s="178"/>
      <c r="E902" s="178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178"/>
      <c r="B903" s="178"/>
      <c r="C903" s="178"/>
      <c r="D903" s="178"/>
      <c r="E903" s="178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178"/>
      <c r="B904" s="178"/>
      <c r="C904" s="178"/>
      <c r="D904" s="178"/>
      <c r="E904" s="178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178"/>
      <c r="B905" s="178"/>
      <c r="C905" s="178"/>
      <c r="D905" s="178"/>
      <c r="E905" s="178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178"/>
      <c r="B906" s="178"/>
      <c r="C906" s="178"/>
      <c r="D906" s="178"/>
      <c r="E906" s="178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178"/>
      <c r="B907" s="178"/>
      <c r="C907" s="178"/>
      <c r="D907" s="178"/>
      <c r="E907" s="178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178"/>
      <c r="B908" s="178"/>
      <c r="C908" s="178"/>
      <c r="D908" s="178"/>
      <c r="E908" s="178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178"/>
      <c r="B909" s="178"/>
      <c r="C909" s="178"/>
      <c r="D909" s="178"/>
      <c r="E909" s="178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178"/>
      <c r="B910" s="178"/>
      <c r="C910" s="178"/>
      <c r="D910" s="178"/>
      <c r="E910" s="178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178"/>
      <c r="B911" s="178"/>
      <c r="C911" s="178"/>
      <c r="D911" s="178"/>
      <c r="E911" s="178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178"/>
      <c r="B912" s="178"/>
      <c r="C912" s="178"/>
      <c r="D912" s="178"/>
      <c r="E912" s="178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178"/>
      <c r="B913" s="178"/>
      <c r="C913" s="178"/>
      <c r="D913" s="178"/>
      <c r="E913" s="178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178"/>
      <c r="B914" s="178"/>
      <c r="C914" s="178"/>
      <c r="D914" s="178"/>
      <c r="E914" s="178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178"/>
      <c r="B915" s="178"/>
      <c r="C915" s="178"/>
      <c r="D915" s="178"/>
      <c r="E915" s="178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178"/>
      <c r="B916" s="178"/>
      <c r="C916" s="178"/>
      <c r="D916" s="178"/>
      <c r="E916" s="178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178"/>
      <c r="B917" s="178"/>
      <c r="C917" s="178"/>
      <c r="D917" s="178"/>
      <c r="E917" s="178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178"/>
      <c r="B918" s="178"/>
      <c r="C918" s="178"/>
      <c r="D918" s="178"/>
      <c r="E918" s="178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178"/>
      <c r="B919" s="178"/>
      <c r="C919" s="178"/>
      <c r="D919" s="178"/>
      <c r="E919" s="178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178"/>
      <c r="B920" s="178"/>
      <c r="C920" s="178"/>
      <c r="D920" s="178"/>
      <c r="E920" s="178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178"/>
      <c r="B921" s="178"/>
      <c r="C921" s="178"/>
      <c r="D921" s="178"/>
      <c r="E921" s="178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178"/>
      <c r="B922" s="178"/>
      <c r="C922" s="178"/>
      <c r="D922" s="178"/>
      <c r="E922" s="178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178"/>
      <c r="B923" s="178"/>
      <c r="C923" s="178"/>
      <c r="D923" s="178"/>
      <c r="E923" s="178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178"/>
      <c r="B924" s="178"/>
      <c r="C924" s="178"/>
      <c r="D924" s="178"/>
      <c r="E924" s="178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178"/>
      <c r="B925" s="178"/>
      <c r="C925" s="178"/>
      <c r="D925" s="178"/>
      <c r="E925" s="178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178"/>
      <c r="B926" s="178"/>
      <c r="C926" s="178"/>
      <c r="D926" s="178"/>
      <c r="E926" s="178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178"/>
      <c r="B927" s="178"/>
      <c r="C927" s="178"/>
      <c r="D927" s="178"/>
      <c r="E927" s="178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178"/>
      <c r="B928" s="178"/>
      <c r="C928" s="178"/>
      <c r="D928" s="178"/>
      <c r="E928" s="178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178"/>
      <c r="B929" s="178"/>
      <c r="C929" s="178"/>
      <c r="D929" s="178"/>
      <c r="E929" s="178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178"/>
      <c r="B930" s="178"/>
      <c r="C930" s="178"/>
      <c r="D930" s="178"/>
      <c r="E930" s="178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178"/>
      <c r="B931" s="178"/>
      <c r="C931" s="178"/>
      <c r="D931" s="178"/>
      <c r="E931" s="178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178"/>
      <c r="B932" s="178"/>
      <c r="C932" s="178"/>
      <c r="D932" s="178"/>
      <c r="E932" s="178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178"/>
      <c r="B933" s="178"/>
      <c r="C933" s="178"/>
      <c r="D933" s="178"/>
      <c r="E933" s="178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178"/>
      <c r="B934" s="178"/>
      <c r="C934" s="178"/>
      <c r="D934" s="178"/>
      <c r="E934" s="178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178"/>
      <c r="B935" s="178"/>
      <c r="C935" s="178"/>
      <c r="D935" s="178"/>
      <c r="E935" s="178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178"/>
      <c r="B936" s="178"/>
      <c r="C936" s="178"/>
      <c r="D936" s="178"/>
      <c r="E936" s="178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178"/>
      <c r="B937" s="178"/>
      <c r="C937" s="178"/>
      <c r="D937" s="178"/>
      <c r="E937" s="178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178"/>
      <c r="B938" s="178"/>
      <c r="C938" s="178"/>
      <c r="D938" s="178"/>
      <c r="E938" s="178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178"/>
      <c r="B939" s="178"/>
      <c r="C939" s="178"/>
      <c r="D939" s="178"/>
      <c r="E939" s="178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178"/>
      <c r="B940" s="178"/>
      <c r="C940" s="178"/>
      <c r="D940" s="178"/>
      <c r="E940" s="178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178"/>
      <c r="B941" s="178"/>
      <c r="C941" s="178"/>
      <c r="D941" s="178"/>
      <c r="E941" s="178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178"/>
      <c r="B942" s="178"/>
      <c r="C942" s="178"/>
      <c r="D942" s="178"/>
      <c r="E942" s="178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178"/>
      <c r="B943" s="178"/>
      <c r="C943" s="178"/>
      <c r="D943" s="178"/>
      <c r="E943" s="178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178"/>
      <c r="B944" s="178"/>
      <c r="C944" s="178"/>
      <c r="D944" s="178"/>
      <c r="E944" s="178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178"/>
      <c r="B945" s="178"/>
      <c r="C945" s="178"/>
      <c r="D945" s="178"/>
      <c r="E945" s="178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178"/>
      <c r="B946" s="178"/>
      <c r="C946" s="178"/>
      <c r="D946" s="178"/>
      <c r="E946" s="178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178"/>
      <c r="B947" s="178"/>
      <c r="C947" s="178"/>
      <c r="D947" s="178"/>
      <c r="E947" s="178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178"/>
      <c r="B948" s="178"/>
      <c r="C948" s="178"/>
      <c r="D948" s="178"/>
      <c r="E948" s="178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178"/>
      <c r="B949" s="178"/>
      <c r="C949" s="178"/>
      <c r="D949" s="178"/>
      <c r="E949" s="178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178"/>
      <c r="B950" s="178"/>
      <c r="C950" s="178"/>
      <c r="D950" s="178"/>
      <c r="E950" s="178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178"/>
      <c r="B951" s="178"/>
      <c r="C951" s="178"/>
      <c r="D951" s="178"/>
      <c r="E951" s="178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178"/>
      <c r="B952" s="178"/>
      <c r="C952" s="178"/>
      <c r="D952" s="178"/>
      <c r="E952" s="178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178"/>
      <c r="B953" s="178"/>
      <c r="C953" s="178"/>
      <c r="D953" s="178"/>
      <c r="E953" s="178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178"/>
      <c r="B954" s="178"/>
      <c r="C954" s="178"/>
      <c r="D954" s="178"/>
      <c r="E954" s="178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178"/>
      <c r="B955" s="178"/>
      <c r="C955" s="178"/>
      <c r="D955" s="178"/>
      <c r="E955" s="178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178"/>
      <c r="B956" s="178"/>
      <c r="C956" s="178"/>
      <c r="D956" s="178"/>
      <c r="E956" s="178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178"/>
      <c r="B957" s="178"/>
      <c r="C957" s="178"/>
      <c r="D957" s="178"/>
      <c r="E957" s="178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178"/>
      <c r="B958" s="178"/>
      <c r="C958" s="178"/>
      <c r="D958" s="178"/>
      <c r="E958" s="178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178"/>
      <c r="B959" s="178"/>
      <c r="C959" s="178"/>
      <c r="D959" s="178"/>
      <c r="E959" s="178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178"/>
      <c r="B960" s="178"/>
      <c r="C960" s="178"/>
      <c r="D960" s="178"/>
      <c r="E960" s="178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178"/>
      <c r="B961" s="178"/>
      <c r="C961" s="178"/>
      <c r="D961" s="178"/>
      <c r="E961" s="178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178"/>
      <c r="B962" s="178"/>
      <c r="C962" s="178"/>
      <c r="D962" s="178"/>
      <c r="E962" s="178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178"/>
      <c r="B963" s="178"/>
      <c r="C963" s="178"/>
      <c r="D963" s="178"/>
      <c r="E963" s="178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178"/>
      <c r="B964" s="178"/>
      <c r="C964" s="178"/>
      <c r="D964" s="178"/>
      <c r="E964" s="178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178"/>
      <c r="B965" s="178"/>
      <c r="C965" s="178"/>
      <c r="D965" s="178"/>
      <c r="E965" s="178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178"/>
      <c r="B966" s="178"/>
      <c r="C966" s="178"/>
      <c r="D966" s="178"/>
      <c r="E966" s="178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178"/>
      <c r="B967" s="178"/>
      <c r="C967" s="178"/>
      <c r="D967" s="178"/>
      <c r="E967" s="178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178"/>
      <c r="B968" s="178"/>
      <c r="C968" s="178"/>
      <c r="D968" s="178"/>
      <c r="E968" s="178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178"/>
      <c r="B969" s="178"/>
      <c r="C969" s="178"/>
      <c r="D969" s="178"/>
      <c r="E969" s="178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178"/>
      <c r="B970" s="178"/>
      <c r="C970" s="178"/>
      <c r="D970" s="178"/>
      <c r="E970" s="178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178"/>
      <c r="B971" s="178"/>
      <c r="C971" s="178"/>
      <c r="D971" s="178"/>
      <c r="E971" s="178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178"/>
      <c r="B972" s="178"/>
      <c r="C972" s="178"/>
      <c r="D972" s="178"/>
      <c r="E972" s="178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178"/>
      <c r="B973" s="178"/>
      <c r="C973" s="178"/>
      <c r="D973" s="178"/>
      <c r="E973" s="178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178"/>
      <c r="B974" s="178"/>
      <c r="C974" s="178"/>
      <c r="D974" s="178"/>
      <c r="E974" s="178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178"/>
      <c r="B975" s="178"/>
      <c r="C975" s="178"/>
      <c r="D975" s="178"/>
      <c r="E975" s="178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178"/>
      <c r="B976" s="178"/>
      <c r="C976" s="178"/>
      <c r="D976" s="178"/>
      <c r="E976" s="178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178"/>
      <c r="B977" s="178"/>
      <c r="C977" s="178"/>
      <c r="D977" s="178"/>
      <c r="E977" s="178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178"/>
      <c r="B978" s="178"/>
      <c r="C978" s="178"/>
      <c r="D978" s="178"/>
      <c r="E978" s="178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178"/>
      <c r="B979" s="178"/>
      <c r="C979" s="178"/>
      <c r="D979" s="178"/>
      <c r="E979" s="178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178"/>
      <c r="B980" s="178"/>
      <c r="C980" s="178"/>
      <c r="D980" s="178"/>
      <c r="E980" s="178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178"/>
      <c r="B981" s="178"/>
      <c r="C981" s="178"/>
      <c r="D981" s="178"/>
      <c r="E981" s="178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178"/>
      <c r="B982" s="178"/>
      <c r="C982" s="178"/>
      <c r="D982" s="178"/>
      <c r="E982" s="178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178"/>
      <c r="B983" s="178"/>
      <c r="C983" s="178"/>
      <c r="D983" s="178"/>
      <c r="E983" s="178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178"/>
      <c r="B984" s="178"/>
      <c r="C984" s="178"/>
      <c r="D984" s="178"/>
      <c r="E984" s="178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178"/>
      <c r="B985" s="178"/>
      <c r="C985" s="178"/>
      <c r="D985" s="178"/>
      <c r="E985" s="178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178"/>
      <c r="B986" s="178"/>
      <c r="C986" s="178"/>
      <c r="D986" s="178"/>
      <c r="E986" s="178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178"/>
      <c r="B987" s="178"/>
      <c r="C987" s="178"/>
      <c r="D987" s="178"/>
      <c r="E987" s="178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178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178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178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42.63"/>
    <col customWidth="1" min="3" max="3" width="16.0"/>
    <col customWidth="1" min="4" max="4" width="24.25"/>
    <col customWidth="1" min="5" max="5" width="10.38"/>
    <col customWidth="1" min="7" max="7" width="76.8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178"/>
      <c r="G1" s="80" t="s">
        <v>5</v>
      </c>
      <c r="H1" s="81">
        <f>H4</f>
        <v>37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169" t="s">
        <v>1460</v>
      </c>
      <c r="B2" s="73" t="str">
        <f t="array" ref="B2">IFERROR(XLOOKUP(A2, BASE!E:E, BASE!B:B), "")
</f>
        <v>LM Hub_SP_Registro</v>
      </c>
      <c r="C2" s="73" t="str">
        <f t="array" ref="C2">IFERROR(XLOOKUP(A2, BASE!E:E, BASE!C:C), "")
</f>
        <v>HUB-LSP-40</v>
      </c>
      <c r="D2" s="73">
        <f t="array" ref="D2">IFERROR(XLOOKUP(A2, BASE!E:E, BASE!D:D), "")
</f>
        <v>32</v>
      </c>
      <c r="E2" s="168">
        <f t="array" ref="E2">IFERROR(XLOOKUP(A2, BASE!E:E, BASE!H:H), "")
</f>
        <v>46058.25</v>
      </c>
      <c r="F2" s="178"/>
      <c r="G2" s="82" t="s">
        <v>9</v>
      </c>
      <c r="H2" s="82">
        <f>COUNTIF(C:C,"*LSP*")
</f>
        <v>26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169" t="s">
        <v>1461</v>
      </c>
      <c r="B3" s="73" t="str">
        <f t="array" ref="B3">IFERROR(XLOOKUP(A3, BASE!E:E, BASE!B:B), "")
</f>
        <v>LM Hub_SP_Guaratinguetá</v>
      </c>
      <c r="C3" s="73" t="str">
        <f t="array" ref="C3">IFERROR(XLOOKUP(A3, BASE!E:E, BASE!C:C), "")
</f>
        <v>HUB-LSP-33</v>
      </c>
      <c r="D3" s="73">
        <f t="array" ref="D3">IFERROR(XLOOKUP(A3, BASE!E:E, BASE!D:D), "")
</f>
        <v>15</v>
      </c>
      <c r="E3" s="168">
        <f t="array" ref="E3">IFERROR(XLOOKUP(A3, BASE!E:E, BASE!H:H), "")
</f>
        <v>46058.25</v>
      </c>
      <c r="F3" s="178"/>
      <c r="G3" s="82" t="s">
        <v>13</v>
      </c>
      <c r="H3" s="82">
        <f>COUNTIF(C:C,"*SOC*")
</f>
        <v>12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169" t="s">
        <v>1462</v>
      </c>
      <c r="B4" s="73" t="str">
        <f t="array" ref="B4">IFERROR(XLOOKUP(A4, BASE!E:E, BASE!B:B), "")
</f>
        <v>LM Hub_SP_Taubaté</v>
      </c>
      <c r="C4" s="73" t="str">
        <f t="array" ref="C4">IFERROR(XLOOKUP(A4, BASE!E:E, BASE!C:C), "")
</f>
        <v>HUB-LSP-08</v>
      </c>
      <c r="D4" s="73">
        <f t="array" ref="D4">IFERROR(XLOOKUP(A4, BASE!E:E, BASE!D:D), "")
</f>
        <v>46</v>
      </c>
      <c r="E4" s="168">
        <f t="array" ref="E4">IFERROR(XLOOKUP(A4, BASE!E:E, BASE!H:H), "")
</f>
        <v>46058.27083</v>
      </c>
      <c r="F4" s="178"/>
      <c r="G4" s="82" t="s">
        <v>810</v>
      </c>
      <c r="H4" s="198">
        <f>COUNTIFS(D:D,"&gt;=5",D:D,"&lt;=117")</f>
        <v>37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69" t="s">
        <v>1463</v>
      </c>
      <c r="B5" s="73" t="str">
        <f t="array" ref="B5">IFERROR(XLOOKUP(A5, BASE!E:E, BASE!B:B), "")
</f>
        <v>LM Hub_SP_Sorocaba_Região Norte</v>
      </c>
      <c r="C5" s="73" t="str">
        <f t="array" ref="C5">IFERROR(XLOOKUP(A5, BASE!E:E, BASE!C:C), "")
</f>
        <v>HUB-LSP-10</v>
      </c>
      <c r="D5" s="73">
        <f t="array" ref="D5">IFERROR(XLOOKUP(A5, BASE!E:E, BASE!D:D), "")
</f>
        <v>27</v>
      </c>
      <c r="E5" s="168">
        <f t="array" ref="E5">IFERROR(XLOOKUP(A5, BASE!E:E, BASE!H:H), "")
</f>
        <v>46058.27083</v>
      </c>
      <c r="F5" s="178"/>
      <c r="G5" s="82" t="s">
        <v>20</v>
      </c>
      <c r="H5" s="82">
        <f>COUNTIF(D:D,"*NÃO DOCOU*")</f>
        <v>0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169" t="s">
        <v>1464</v>
      </c>
      <c r="B6" s="73" t="str">
        <f t="array" ref="B6">IFERROR(XLOOKUP(A6, BASE!E:E, BASE!B:B), "")
</f>
        <v>SoC_RJ_Duque de Caxias</v>
      </c>
      <c r="C6" s="73" t="str">
        <f t="array" ref="C6">IFERROR(XLOOKUP(A6, BASE!E:E, BASE!C:C), "")
</f>
        <v>SOC-RJ2</v>
      </c>
      <c r="D6" s="73">
        <f t="array" ref="D6">IFERROR(XLOOKUP(A6, BASE!E:E, BASE!D:D), "")
</f>
        <v>96</v>
      </c>
      <c r="E6" s="168">
        <f t="array" ref="E6">IFERROR(XLOOKUP(A6, BASE!E:E, BASE!H:H), "")
</f>
        <v>46058.29167</v>
      </c>
      <c r="F6" s="178"/>
      <c r="G6" s="198" t="s">
        <v>25</v>
      </c>
      <c r="H6" s="199">
        <f>COUNTIF(D:D,"*NÃO CHEGOU*")
</f>
        <v>1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169" t="s">
        <v>1465</v>
      </c>
      <c r="B7" s="73" t="str">
        <f t="array" ref="B7">IFERROR(XLOOKUP(A7, BASE!E:E, BASE!B:B), "")
</f>
        <v>LM Hub_SP_Piracicaba</v>
      </c>
      <c r="C7" s="73" t="str">
        <f t="array" ref="C7">IFERROR(XLOOKUP(A7, BASE!E:E, BASE!C:C), "")
</f>
        <v>HUB-LSP-62</v>
      </c>
      <c r="D7" s="73">
        <f t="array" ref="D7">IFERROR(XLOOKUP(A7, BASE!E:E, BASE!D:D), "")
</f>
        <v>22</v>
      </c>
      <c r="E7" s="168">
        <f t="array" ref="E7">IFERROR(XLOOKUP(A7, BASE!E:E, BASE!H:H), "")
</f>
        <v>46058.29167</v>
      </c>
      <c r="F7" s="178"/>
      <c r="G7" s="82" t="s">
        <v>815</v>
      </c>
      <c r="H7" s="82">
        <f>COUNTIF(D:D,"*DRIVER DUPLICADO*")</f>
        <v>0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169" t="s">
        <v>1466</v>
      </c>
      <c r="B8" s="73" t="str">
        <f t="array" ref="B8">IFERROR(XLOOKUP(A8, BASE!E:E, BASE!B:B), "")
</f>
        <v>LM Hub_SP_Santos_PraiaGrande_02</v>
      </c>
      <c r="C8" s="73" t="str">
        <f t="array" ref="C8">IFERROR(XLOOKUP(A8, BASE!E:E, BASE!C:C), "")
</f>
        <v>HUB-LSP-63</v>
      </c>
      <c r="D8" s="73">
        <f t="array" ref="D8">IFERROR(XLOOKUP(A8, BASE!E:E, BASE!D:D), "")
</f>
        <v>16</v>
      </c>
      <c r="E8" s="168">
        <f t="array" ref="E8">IFERROR(XLOOKUP(A8, BASE!E:E, BASE!H:H), "")
</f>
        <v>46058.29167</v>
      </c>
      <c r="F8" s="178"/>
      <c r="G8" s="82" t="s">
        <v>1429</v>
      </c>
      <c r="H8" s="198">
        <v>9.0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169" t="s">
        <v>1467</v>
      </c>
      <c r="B9" s="73" t="str">
        <f t="array" ref="B9">IFERROR(XLOOKUP(A9, BASE!E:E, BASE!B:B), "")
</f>
        <v>LM Hub_SP_Barueri_01</v>
      </c>
      <c r="C9" s="73" t="str">
        <f t="array" ref="C9">IFERROR(XLOOKUP(A9, BASE!E:E, BASE!C:C), "")
</f>
        <v>HUB-LSP-81</v>
      </c>
      <c r="D9" s="73">
        <f t="array" ref="D9">IFERROR(XLOOKUP(A9, BASE!E:E, BASE!D:D), "")
</f>
        <v>23</v>
      </c>
      <c r="E9" s="168">
        <f t="array" ref="E9">IFERROR(XLOOKUP(A9, BASE!E:E, BASE!H:H), "")
</f>
        <v>46058.29167</v>
      </c>
      <c r="F9" s="178"/>
      <c r="G9" s="82" t="s">
        <v>1431</v>
      </c>
      <c r="H9" s="198">
        <v>27.0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169" t="s">
        <v>1468</v>
      </c>
      <c r="B10" s="73" t="str">
        <f t="array" ref="B10">IFERROR(XLOOKUP(A10, BASE!E:E, BASE!B:B), "")
</f>
        <v>LM Hub_SP_Jundiaí</v>
      </c>
      <c r="C10" s="73" t="str">
        <f t="array" ref="C10">IFERROR(XLOOKUP(A10, BASE!E:E, BASE!C:C), "")
</f>
        <v>HUB-LSP-100</v>
      </c>
      <c r="D10" s="73">
        <f t="array" ref="D10">IFERROR(XLOOKUP(A10, BASE!E:E, BASE!D:D), "")
</f>
        <v>20</v>
      </c>
      <c r="E10" s="168">
        <f t="array" ref="E10">IFERROR(XLOOKUP(A10, BASE!E:E, BASE!H:H), "")
</f>
        <v>46058.29167</v>
      </c>
      <c r="F10" s="178"/>
      <c r="G10" s="9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169" t="s">
        <v>1469</v>
      </c>
      <c r="B11" s="73" t="str">
        <f t="array" ref="B11">IFERROR(XLOOKUP(A11, BASE!E:E, BASE!B:B), "")
</f>
        <v>LM Hub_SP_Guarujá</v>
      </c>
      <c r="C11" s="73" t="str">
        <f t="array" ref="C11">IFERROR(XLOOKUP(A11, BASE!E:E, BASE!C:C), "")
</f>
        <v>HUB-LSP-06</v>
      </c>
      <c r="D11" s="73">
        <f t="array" ref="D11">IFERROR(XLOOKUP(A11, BASE!E:E, BASE!D:D), "")
</f>
        <v>35</v>
      </c>
      <c r="E11" s="168">
        <f t="array" ref="E11">IFERROR(XLOOKUP(A11, BASE!E:E, BASE!H:H), "")
</f>
        <v>46058.3125</v>
      </c>
      <c r="F11" s="178"/>
      <c r="G11" s="84" t="s">
        <v>1470</v>
      </c>
      <c r="H11" s="9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169" t="s">
        <v>1471</v>
      </c>
      <c r="B12" s="73" t="str">
        <f t="array" ref="B12">IFERROR(XLOOKUP(A12, BASE!E:E, BASE!B:B), "")
</f>
        <v>LM Hub_SP_Santos_Praia Grande</v>
      </c>
      <c r="C12" s="73" t="str">
        <f t="array" ref="C12">IFERROR(XLOOKUP(A12, BASE!E:E, BASE!C:C), "")
</f>
        <v>HUB-LSP-09</v>
      </c>
      <c r="D12" s="73">
        <f t="array" ref="D12">IFERROR(XLOOKUP(A12, BASE!E:E, BASE!D:D), "")
</f>
        <v>14</v>
      </c>
      <c r="E12" s="168">
        <f t="array" ref="E12">IFERROR(XLOOKUP(A12, BASE!E:E, BASE!H:H), "")
</f>
        <v>46058.3125</v>
      </c>
      <c r="F12" s="178"/>
      <c r="G12" s="187" t="s">
        <v>653</v>
      </c>
      <c r="H12" s="178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169" t="s">
        <v>1472</v>
      </c>
      <c r="B13" s="73" t="str">
        <f t="array" ref="B13">IFERROR(XLOOKUP(A13, BASE!E:E, BASE!B:B), "")
</f>
        <v>LM Hub_SP_São José dos Campos</v>
      </c>
      <c r="C13" s="73" t="str">
        <f t="array" ref="C13">IFERROR(XLOOKUP(A13, BASE!E:E, BASE!C:C), "")
</f>
        <v>HUB-LSP-04</v>
      </c>
      <c r="D13" s="73">
        <f t="array" ref="D13">IFERROR(XLOOKUP(A13, BASE!E:E, BASE!D:D), "")
</f>
        <v>18</v>
      </c>
      <c r="E13" s="168">
        <f t="array" ref="E13">IFERROR(XLOOKUP(A13, BASE!E:E, BASE!H:H), "")
</f>
        <v>46058.3125</v>
      </c>
      <c r="F13" s="178"/>
      <c r="G13" s="178"/>
      <c r="H13" s="178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169" t="s">
        <v>1473</v>
      </c>
      <c r="B14" s="73" t="str">
        <f t="array" ref="B14">IFERROR(XLOOKUP(A14, BASE!E:E, BASE!B:B), "")
</f>
        <v>LM Hub_SP_São Paulo_Mooca</v>
      </c>
      <c r="C14" s="73" t="str">
        <f t="array" ref="C14">IFERROR(XLOOKUP(A14, BASE!E:E, BASE!C:C), "")
</f>
        <v>HUB-LSP-13</v>
      </c>
      <c r="D14" s="73">
        <f t="array" ref="D14">IFERROR(XLOOKUP(A14, BASE!E:E, BASE!D:D), "")
</f>
        <v>34</v>
      </c>
      <c r="E14" s="168">
        <f t="array" ref="E14">IFERROR(XLOOKUP(A14, BASE!E:E, BASE!H:H), "")
</f>
        <v>46058.3125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169" t="s">
        <v>1474</v>
      </c>
      <c r="B15" s="73" t="str">
        <f t="array" ref="B15">IFERROR(XLOOKUP(A15, BASE!E:E, BASE!B:B), "")
</f>
        <v>LM Hub_SP_Várzea Paulista</v>
      </c>
      <c r="C15" s="73" t="str">
        <f t="array" ref="C15">IFERROR(XLOOKUP(A15, BASE!E:E, BASE!C:C), "")
</f>
        <v>HUB-LSP-20</v>
      </c>
      <c r="D15" s="73">
        <f t="array" ref="D15">IFERROR(XLOOKUP(A15, BASE!E:E, BASE!D:D), "")
</f>
        <v>21</v>
      </c>
      <c r="E15" s="168">
        <f t="array" ref="E15">IFERROR(XLOOKUP(A15, BASE!E:E, BASE!H:H), "")
</f>
        <v>46058.3125</v>
      </c>
      <c r="F15" s="178"/>
      <c r="G15" s="178"/>
      <c r="H15" s="178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169" t="s">
        <v>1475</v>
      </c>
      <c r="B16" s="73" t="str">
        <f t="array" ref="B16">IFERROR(XLOOKUP(A16, BASE!E:E, BASE!B:B), "")
</f>
        <v>LM Hub_SP_Itapevi</v>
      </c>
      <c r="C16" s="73" t="str">
        <f t="array" ref="C16">IFERROR(XLOOKUP(A16, BASE!E:E, BASE!C:C), "")
</f>
        <v>HUB-LSP-41</v>
      </c>
      <c r="D16" s="73">
        <f t="array" ref="D16">IFERROR(XLOOKUP(A16, BASE!E:E, BASE!D:D), "")
</f>
        <v>28</v>
      </c>
      <c r="E16" s="168">
        <f t="array" ref="E16">IFERROR(XLOOKUP(A16, BASE!E:E, BASE!H:H), "")
</f>
        <v>46058.3125</v>
      </c>
      <c r="F16" s="178"/>
      <c r="G16" s="178"/>
      <c r="H16" s="178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169" t="s">
        <v>1476</v>
      </c>
      <c r="B17" s="73" t="str">
        <f t="array" ref="B17">IFERROR(XLOOKUP(A17, BASE!E:E, BASE!B:B), "")
</f>
        <v>LM Hub_SP_Artur Alvim</v>
      </c>
      <c r="C17" s="73" t="str">
        <f t="array" ref="C17">IFERROR(XLOOKUP(A17, BASE!E:E, BASE!C:C), "")
</f>
        <v>HUB-LSP-07</v>
      </c>
      <c r="D17" s="73">
        <f t="array" ref="D17">IFERROR(XLOOKUP(A17, BASE!E:E, BASE!D:D), "")
</f>
        <v>19</v>
      </c>
      <c r="E17" s="168">
        <f t="array" ref="E17">IFERROR(XLOOKUP(A17, BASE!E:E, BASE!H:H), "")
</f>
        <v>46058.33333</v>
      </c>
      <c r="F17" s="178"/>
      <c r="G17" s="178"/>
      <c r="H17" s="178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29" t="s">
        <v>1477</v>
      </c>
      <c r="B18" s="73" t="str">
        <f t="array" ref="B18">IFERROR(XLOOKUP(A18, BASE!E:E, BASE!B:B), "")
</f>
        <v>LM Hub_SP_São Paulo_Lapa</v>
      </c>
      <c r="C18" s="73" t="str">
        <f t="array" ref="C18">IFERROR(XLOOKUP(A18, BASE!E:E, BASE!C:C), "")
</f>
        <v>HUB-LSP-15</v>
      </c>
      <c r="D18" s="73">
        <f t="array" ref="D18">IFERROR(XLOOKUP(A18, BASE!E:E, BASE!D:D), "")
</f>
        <v>48</v>
      </c>
      <c r="E18" s="168">
        <f t="array" ref="E18">IFERROR(XLOOKUP(A18, BASE!E:E, BASE!H:H), "")
</f>
        <v>46058.33333</v>
      </c>
      <c r="F18" s="178"/>
      <c r="G18" s="178"/>
      <c r="H18" s="178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94" t="s">
        <v>1478</v>
      </c>
      <c r="B19" s="73" t="str">
        <f t="array" ref="B19">IFERROR(XLOOKUP(A19, BASE!E:E, BASE!B:B), "")
</f>
        <v>LM Hub_SP_Guarulhos</v>
      </c>
      <c r="C19" s="73" t="str">
        <f t="array" ref="C19">IFERROR(XLOOKUP(A19, BASE!E:E, BASE!C:C), "")
</f>
        <v>HUB-LSP-77</v>
      </c>
      <c r="D19" s="73">
        <f t="array" ref="D19">IFERROR(XLOOKUP(A19, BASE!E:E, BASE!D:D), "")
</f>
        <v>41</v>
      </c>
      <c r="E19" s="168">
        <f t="array" ref="E19">IFERROR(XLOOKUP(A19, BASE!E:E, BASE!H:H), "")
</f>
        <v>46058.33333</v>
      </c>
      <c r="F19" s="178"/>
      <c r="G19" s="178"/>
      <c r="H19" s="178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169" t="s">
        <v>1479</v>
      </c>
      <c r="B20" s="73" t="str">
        <f t="array" ref="B20">IFERROR(XLOOKUP(A20, BASE!E:E, BASE!B:B), "")
</f>
        <v>LM Hub_SP_Itaqua_Zimba</v>
      </c>
      <c r="C20" s="73" t="str">
        <f t="array" ref="C20">IFERROR(XLOOKUP(A20, BASE!E:E, BASE!C:C), "")
</f>
        <v>HUB-LSP-74</v>
      </c>
      <c r="D20" s="73">
        <f t="array" ref="D20">IFERROR(XLOOKUP(A20, BASE!E:E, BASE!D:D), "")
</f>
        <v>9</v>
      </c>
      <c r="E20" s="168">
        <f t="array" ref="E20">IFERROR(XLOOKUP(A20, BASE!E:E, BASE!H:H), "")
</f>
        <v>46058.33333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169" t="s">
        <v>1480</v>
      </c>
      <c r="B21" s="73" t="str">
        <f t="array" ref="B21">IFERROR(XLOOKUP(A21, BASE!E:E, BASE!B:B), "")
</f>
        <v>SoC_PR_Curitiba</v>
      </c>
      <c r="C21" s="73" t="str">
        <f t="array" ref="C21">IFERROR(XLOOKUP(A21, BASE!E:E, BASE!C:C), "")
</f>
        <v>SOC-PR1</v>
      </c>
      <c r="D21" s="73" t="s">
        <v>25</v>
      </c>
      <c r="E21" s="168">
        <f t="array" ref="E21">IFERROR(XLOOKUP(A21, BASE!E:E, BASE!H:H), "")
</f>
        <v>46058.33333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169" t="s">
        <v>1481</v>
      </c>
      <c r="B22" s="73" t="str">
        <f t="array" ref="B22">IFERROR(XLOOKUP(A22, BASE!E:E, BASE!B:B), "")
</f>
        <v>LM Hub_SP_Embu das Artes</v>
      </c>
      <c r="C22" s="73" t="str">
        <f t="array" ref="C22">IFERROR(XLOOKUP(A22, BASE!E:E, BASE!C:C), "")
</f>
        <v>HUB-LSP-36</v>
      </c>
      <c r="D22" s="73">
        <f t="array" ref="D22">IFERROR(XLOOKUP(A22, BASE!E:E, BASE!D:D), "")
</f>
        <v>29</v>
      </c>
      <c r="E22" s="168">
        <f t="array" ref="E22">IFERROR(XLOOKUP(A22, BASE!E:E, BASE!H:H), "")
</f>
        <v>46058.33333</v>
      </c>
      <c r="F22" s="178"/>
      <c r="G22" s="178"/>
      <c r="H22" s="178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169" t="s">
        <v>1482</v>
      </c>
      <c r="B23" s="73" t="str">
        <f t="array" ref="B23">IFERROR(XLOOKUP(A23, BASE!E:E, BASE!B:B), "")
</f>
        <v>LM Hub_SP_VilaGuilherme</v>
      </c>
      <c r="C23" s="73" t="str">
        <f t="array" ref="C23">IFERROR(XLOOKUP(A23, BASE!E:E, BASE!C:C), "")
</f>
        <v>HUB-LSP-68</v>
      </c>
      <c r="D23" s="73">
        <f t="array" ref="D23">IFERROR(XLOOKUP(A23, BASE!E:E, BASE!D:D), "")
</f>
        <v>33</v>
      </c>
      <c r="E23" s="168">
        <f t="array" ref="E23">IFERROR(XLOOKUP(A23, BASE!E:E, BASE!H:H), "")
</f>
        <v>46058.33333</v>
      </c>
      <c r="F23" s="178"/>
      <c r="G23" s="178"/>
      <c r="H23" s="178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169" t="s">
        <v>1483</v>
      </c>
      <c r="B24" s="73" t="str">
        <f t="array" ref="B24">IFERROR(XLOOKUP(A24, BASE!E:E, BASE!B:B), "")
</f>
        <v>LM Hub_SP_São Bernardo do Campo</v>
      </c>
      <c r="C24" s="73" t="str">
        <f t="array" ref="C24">IFERROR(XLOOKUP(A24, BASE!E:E, BASE!C:C), "")
</f>
        <v>HUB-LSP-79</v>
      </c>
      <c r="D24" s="73">
        <f t="array" ref="D24">IFERROR(XLOOKUP(A24, BASE!E:E, BASE!D:D), "")
</f>
        <v>25</v>
      </c>
      <c r="E24" s="168">
        <f t="array" ref="E24">IFERROR(XLOOKUP(A24, BASE!E:E, BASE!H:H), "")
</f>
        <v>46058.35417</v>
      </c>
      <c r="F24" s="178"/>
      <c r="G24" s="178"/>
      <c r="H24" s="178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169" t="s">
        <v>1484</v>
      </c>
      <c r="B25" s="73" t="str">
        <f t="array" ref="B25">IFERROR(XLOOKUP(A25, BASE!E:E, BASE!B:B), "")
</f>
        <v>LM Hub_SP_Parque Novo Mundo</v>
      </c>
      <c r="C25" s="73" t="str">
        <f t="array" ref="C25">IFERROR(XLOOKUP(A25, BASE!E:E, BASE!C:C), "")
</f>
        <v>HUB-LSP-89</v>
      </c>
      <c r="D25" s="73">
        <f t="array" ref="D25">IFERROR(XLOOKUP(A25, BASE!E:E, BASE!D:D), "")
</f>
        <v>26</v>
      </c>
      <c r="E25" s="168">
        <f t="array" ref="E25">IFERROR(XLOOKUP(A25, BASE!E:E, BASE!H:H), "")
</f>
        <v>46058.35417</v>
      </c>
      <c r="F25" s="178"/>
      <c r="G25" s="178"/>
      <c r="H25" s="178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169" t="s">
        <v>1485</v>
      </c>
      <c r="B26" s="73" t="str">
        <f t="array" ref="B26">IFERROR(XLOOKUP(A26, BASE!E:E, BASE!B:B), "")
</f>
        <v>LM Hub_SP_Embu das Artes_02</v>
      </c>
      <c r="C26" s="73" t="str">
        <f t="array" ref="C26">IFERROR(XLOOKUP(A26, BASE!E:E, BASE!C:C), "")
</f>
        <v>HUB-LSP-96</v>
      </c>
      <c r="D26" s="73">
        <f t="array" ref="D26">IFERROR(XLOOKUP(A26, BASE!E:E, BASE!D:D), "")
</f>
        <v>17</v>
      </c>
      <c r="E26" s="168">
        <f t="array" ref="E26">IFERROR(XLOOKUP(A26, BASE!E:E, BASE!H:H), "")
</f>
        <v>46058.375</v>
      </c>
      <c r="F26" s="178"/>
      <c r="G26" s="178"/>
      <c r="H26" s="178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169" t="s">
        <v>1486</v>
      </c>
      <c r="B27" s="73" t="str">
        <f t="array" ref="B27">IFERROR(XLOOKUP(A27, BASE!E:E, BASE!B:B), "")
</f>
        <v>LM Hub_SP_Suzano_Baruel</v>
      </c>
      <c r="C27" s="73" t="str">
        <f t="array" ref="C27">IFERROR(XLOOKUP(A27, BASE!E:E, BASE!C:C), "")
</f>
        <v>HUB-LSP-97</v>
      </c>
      <c r="D27" s="73">
        <f t="array" ref="D27">IFERROR(XLOOKUP(A27, BASE!E:E, BASE!D:D), "")
</f>
        <v>13</v>
      </c>
      <c r="E27" s="168">
        <f t="array" ref="E27">IFERROR(XLOOKUP(A27, BASE!E:E, BASE!H:H), "")
</f>
        <v>46058.375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169" t="s">
        <v>1487</v>
      </c>
      <c r="B28" s="73" t="str">
        <f t="array" ref="B28">IFERROR(XLOOKUP(A28, BASE!E:E, BASE!B:B), "")
</f>
        <v>LM Hub_SP_São Paulo_Carandiru</v>
      </c>
      <c r="C28" s="73" t="str">
        <f t="array" ref="C28">IFERROR(XLOOKUP(A28, BASE!E:E, BASE!C:C), "")
</f>
        <v>HUB-LSP-18</v>
      </c>
      <c r="D28" s="73">
        <f t="array" ref="D28">IFERROR(XLOOKUP(A28, BASE!E:E, BASE!D:D), "")
</f>
        <v>12</v>
      </c>
      <c r="E28" s="168">
        <f t="array" ref="E28">IFERROR(XLOOKUP(A28, BASE!E:E, BASE!H:H), "")
</f>
        <v>46058.375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230" t="s">
        <v>1488</v>
      </c>
      <c r="B29" s="73" t="str">
        <f t="array" ref="B29">IFERROR(XLOOKUP(A29, BASE!E:E, BASE!B:B), "")
</f>
        <v>LM Hub_SP_Mauá</v>
      </c>
      <c r="C29" s="73" t="str">
        <f t="array" ref="C29">IFERROR(XLOOKUP(A29, BASE!E:E, BASE!C:C), "")
</f>
        <v>HUB-LSP-64</v>
      </c>
      <c r="D29" s="73">
        <f t="array" ref="D29">IFERROR(XLOOKUP(A29, BASE!E:E, BASE!D:D), "")
</f>
        <v>37</v>
      </c>
      <c r="E29" s="168">
        <f t="array" ref="E29">IFERROR(XLOOKUP(A29, BASE!E:E, BASE!H:H), "")
</f>
        <v>46058.39583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169" t="s">
        <v>1489</v>
      </c>
      <c r="B30" s="73" t="str">
        <f t="array" ref="B30">IFERROR(XLOOKUP(A30, BASE!E:E, BASE!B:B), "")
</f>
        <v>SoC_MG_Betim</v>
      </c>
      <c r="C30" s="73" t="str">
        <f t="array" ref="C30">IFERROR(XLOOKUP(A30, BASE!E:E, BASE!C:C), "")
</f>
        <v>SOC-MG2</v>
      </c>
      <c r="D30" s="73">
        <f t="array" ref="D30">IFERROR(XLOOKUP(A30, BASE!E:E, BASE!D:D), "")
</f>
        <v>91</v>
      </c>
      <c r="E30" s="168">
        <f t="array" ref="E30">IFERROR(XLOOKUP(A30, BASE!E:E, BASE!H:H), "")
</f>
        <v>46058.45833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169" t="s">
        <v>1490</v>
      </c>
      <c r="B31" s="73" t="str">
        <f t="array" ref="B31">IFERROR(XLOOKUP(A31, BASE!E:E, BASE!B:B), "")
</f>
        <v>SoC_MG_Betim</v>
      </c>
      <c r="C31" s="73" t="str">
        <f t="array" ref="C31">IFERROR(XLOOKUP(A31, BASE!E:E, BASE!C:C), "")
</f>
        <v>SOC-MG2</v>
      </c>
      <c r="D31" s="73">
        <f t="array" ref="D31">IFERROR(XLOOKUP(A31, BASE!E:E, BASE!D:D), "")
</f>
        <v>90</v>
      </c>
      <c r="E31" s="168">
        <f t="array" ref="E31">IFERROR(XLOOKUP(A31, BASE!E:E, BASE!H:H), "")
</f>
        <v>46058.45833</v>
      </c>
      <c r="F31" s="178"/>
      <c r="G31" s="178"/>
      <c r="H31" s="178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94" t="s">
        <v>1491</v>
      </c>
      <c r="B32" s="73" t="str">
        <f t="array" ref="B32">IFERROR(XLOOKUP(A32, BASE!E:E, BASE!B:B), "")
</f>
        <v>SoC_RJ_Duque de Caxias</v>
      </c>
      <c r="C32" s="73" t="str">
        <f t="array" ref="C32">IFERROR(XLOOKUP(A32, BASE!E:E, BASE!C:C), "")
</f>
        <v>SOC-RJ2</v>
      </c>
      <c r="D32" s="73">
        <f t="array" ref="D32">IFERROR(XLOOKUP(A32, BASE!E:E, BASE!D:D), "")
</f>
        <v>8</v>
      </c>
      <c r="E32" s="168">
        <f t="array" ref="E32">IFERROR(XLOOKUP(A32, BASE!E:E, BASE!H:H), "")
</f>
        <v>46058.45833</v>
      </c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94" t="s">
        <v>1492</v>
      </c>
      <c r="B33" s="73" t="str">
        <f t="array" ref="B33">IFERROR(XLOOKUP(A33, BASE!E:E, BASE!B:B), "")
</f>
        <v>SoC_PE_Jaboatão dos Guararapes</v>
      </c>
      <c r="C33" s="73" t="str">
        <f t="array" ref="C33">IFERROR(XLOOKUP(A33, BASE!E:E, BASE!C:C), "")
</f>
        <v>SOC-PE2</v>
      </c>
      <c r="D33" s="73">
        <f t="array" ref="D33">IFERROR(XLOOKUP(A33, BASE!E:E, BASE!D:D), "")
</f>
        <v>98</v>
      </c>
      <c r="E33" s="168">
        <f t="array" ref="E33">IFERROR(XLOOKUP(A33, BASE!E:E, BASE!H:H), "")
</f>
        <v>46058.45833</v>
      </c>
      <c r="F33" s="178"/>
      <c r="G33" s="178"/>
      <c r="H33" s="178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94" t="s">
        <v>1493</v>
      </c>
      <c r="B34" s="73" t="str">
        <f t="array" ref="B34">IFERROR(XLOOKUP(A34, BASE!E:E, BASE!B:B), "")
</f>
        <v>SoC_BA_Simoes Filho</v>
      </c>
      <c r="C34" s="73" t="str">
        <f t="array" ref="C34">IFERROR(XLOOKUP(A34, BASE!E:E, BASE!C:C), "")
</f>
        <v>SOC-BA2</v>
      </c>
      <c r="D34" s="73">
        <f t="array" ref="D34">IFERROR(XLOOKUP(A34, BASE!E:E, BASE!D:D), "")
</f>
        <v>88</v>
      </c>
      <c r="E34" s="168">
        <f t="array" ref="E34">IFERROR(XLOOKUP(A34, BASE!E:E, BASE!H:H), "")
</f>
        <v>46058.45833</v>
      </c>
      <c r="F34" s="178"/>
      <c r="G34" s="178"/>
      <c r="H34" s="178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169" t="s">
        <v>1494</v>
      </c>
      <c r="B35" s="73" t="str">
        <f t="array" ref="B35">IFERROR(XLOOKUP(A35, BASE!E:E, BASE!B:B), "")
</f>
        <v>SoC_RJ_Duque de Caxias</v>
      </c>
      <c r="C35" s="73" t="str">
        <f t="array" ref="C35">IFERROR(XLOOKUP(A35, BASE!E:E, BASE!C:C), "")
</f>
        <v>SOC-RJ2</v>
      </c>
      <c r="D35" s="73">
        <f t="array" ref="D35">IFERROR(XLOOKUP(A35, BASE!E:E, BASE!D:D), "")
</f>
        <v>97</v>
      </c>
      <c r="E35" s="168">
        <f t="array" ref="E35">IFERROR(XLOOKUP(A35, BASE!E:E, BASE!H:H), "")
</f>
        <v>46058.45833</v>
      </c>
      <c r="F35" s="178"/>
      <c r="G35" s="178"/>
      <c r="H35" s="178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169" t="s">
        <v>1495</v>
      </c>
      <c r="B36" s="73" t="str">
        <f t="array" ref="B36">IFERROR(XLOOKUP(A36, BASE!E:E, BASE!B:B), "")
</f>
        <v>SoC_SP_Cravinhos</v>
      </c>
      <c r="C36" s="73" t="str">
        <f t="array" ref="C36">IFERROR(XLOOKUP(A36, BASE!E:E, BASE!C:C), "")
</f>
        <v>SOC-SP5</v>
      </c>
      <c r="D36" s="73">
        <f t="array" ref="D36">IFERROR(XLOOKUP(A36, BASE!E:E, BASE!D:D), "")
</f>
        <v>95</v>
      </c>
      <c r="E36" s="168">
        <f t="array" ref="E36">IFERROR(XLOOKUP(A36, BASE!E:E, BASE!H:H), "")
</f>
        <v>46058.45833</v>
      </c>
      <c r="F36" s="178"/>
      <c r="G36" s="178"/>
      <c r="H36" s="178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94" t="s">
        <v>1496</v>
      </c>
      <c r="B37" s="73" t="str">
        <f t="array" ref="B37">IFERROR(XLOOKUP(A37, BASE!E:E, BASE!B:B), "")
</f>
        <v>SoC_SC_Itajaí</v>
      </c>
      <c r="C37" s="73" t="str">
        <f t="array" ref="C37">IFERROR(XLOOKUP(A37, BASE!E:E, BASE!C:C), "")
</f>
        <v>SOC-SC1</v>
      </c>
      <c r="D37" s="73">
        <f t="array" ref="D37">IFERROR(XLOOKUP(A37, BASE!E:E, BASE!D:D), "")
</f>
        <v>100</v>
      </c>
      <c r="E37" s="168">
        <f t="array" ref="E37">IFERROR(XLOOKUP(A37, BASE!E:E, BASE!H:H), "")
</f>
        <v>46058.45833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94" t="s">
        <v>1497</v>
      </c>
      <c r="B38" s="73" t="str">
        <f t="array" ref="B38">IFERROR(XLOOKUP(A38, BASE!E:E, BASE!B:B), "")
</f>
        <v>SoC_PE_Jaboatão dos Guararapes</v>
      </c>
      <c r="C38" s="73" t="str">
        <f t="array" ref="C38">IFERROR(XLOOKUP(A38, BASE!E:E, BASE!C:C), "")
</f>
        <v>SOC-PE2</v>
      </c>
      <c r="D38" s="73">
        <f t="array" ref="D38">IFERROR(XLOOKUP(A38, BASE!E:E, BASE!D:D), "")
</f>
        <v>117</v>
      </c>
      <c r="E38" s="168">
        <f t="array" ref="E38">IFERROR(XLOOKUP(A38, BASE!E:E, BASE!H:H), "")
</f>
        <v>46058.45833</v>
      </c>
      <c r="F38" s="178"/>
      <c r="G38" s="178"/>
      <c r="H38" s="178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94" t="s">
        <v>1498</v>
      </c>
      <c r="B39" s="73" t="str">
        <f t="array" ref="B39">IFERROR(XLOOKUP(A39, BASE!E:E, BASE!B:B), "")
</f>
        <v>SoC_GO_Goiânia_02</v>
      </c>
      <c r="C39" s="73" t="str">
        <f t="array" ref="C39">IFERROR(XLOOKUP(A39, BASE!E:E, BASE!C:C), "")
</f>
        <v>SOC-GO2</v>
      </c>
      <c r="D39" s="73">
        <f t="array" ref="D39">IFERROR(XLOOKUP(A39, BASE!E:E, BASE!D:D), "")
</f>
        <v>87</v>
      </c>
      <c r="E39" s="168">
        <f t="array" ref="E39">IFERROR(XLOOKUP(A39, BASE!E:E, BASE!H:H), "")
</f>
        <v>46058.66667</v>
      </c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94"/>
      <c r="B40" s="73" t="str">
        <f t="array" ref="B40">IFERROR(XLOOKUP(A40, BASE!E:E, BASE!B:B), "")
</f>
        <v/>
      </c>
      <c r="C40" s="73" t="str">
        <f t="array" ref="C40">IFERROR(XLOOKUP(A40, BASE!E:E, BASE!C:C), "")
</f>
        <v/>
      </c>
      <c r="D40" s="73" t="str">
        <f t="array" ref="D40">IFERROR(XLOOKUP(A40, BASE!E:E, BASE!D:D), "")
</f>
        <v/>
      </c>
      <c r="E40" s="168" t="str">
        <f t="array" ref="E40">IFERROR(XLOOKUP(A40, BASE!E:E, BASE!H:H), "")
</f>
        <v/>
      </c>
      <c r="F40" s="178"/>
      <c r="G40" s="178"/>
      <c r="H40" s="178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94"/>
      <c r="B41" s="73" t="str">
        <f t="array" ref="B41">IFERROR(XLOOKUP(A41, BASE!E:E, BASE!B:B), "")
</f>
        <v/>
      </c>
      <c r="C41" s="73" t="str">
        <f t="array" ref="C41">IFERROR(XLOOKUP(A41, BASE!E:E, BASE!C:C), "")
</f>
        <v/>
      </c>
      <c r="D41" s="73" t="str">
        <f t="array" ref="D41">IFERROR(XLOOKUP(A41, BASE!E:E, BASE!D:D), "")
</f>
        <v/>
      </c>
      <c r="E41" s="168" t="str">
        <f t="array" ref="E41">IFERROR(XLOOKUP(A41, BASE!E:E, BASE!H:H), "")
</f>
        <v/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94"/>
      <c r="B42" s="73" t="str">
        <f t="array" ref="B42">IFERROR(XLOOKUP(A42, BASE!E:E, BASE!B:B), "")
</f>
        <v/>
      </c>
      <c r="C42" s="73" t="str">
        <f t="array" ref="C42">IFERROR(XLOOKUP(A42, BASE!E:E, BASE!C:C), "")
</f>
        <v/>
      </c>
      <c r="D42" s="73" t="str">
        <f t="array" ref="D42">IFERROR(XLOOKUP(A42, BASE!E:E, BASE!D:D), "")
</f>
        <v/>
      </c>
      <c r="E42" s="168" t="str">
        <f t="array" ref="E42">IFERROR(XLOOKUP(A42, BASE!E:E, BASE!H:H), "")
</f>
        <v/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24"/>
      <c r="B43" s="73" t="str">
        <f t="array" ref="B43">IFERROR(XLOOKUP(A43, BASE!E:E, BASE!B:B), "")
</f>
        <v/>
      </c>
      <c r="C43" s="73" t="str">
        <f t="array" ref="C43">IFERROR(XLOOKUP(A43, BASE!E:E, BASE!C:C), "")
</f>
        <v/>
      </c>
      <c r="D43" s="73" t="str">
        <f t="array" ref="D43">IFERROR(XLOOKUP(A43, BASE!E:E, BASE!D:D), "")
</f>
        <v/>
      </c>
      <c r="E43" s="168" t="str">
        <f t="array" ref="E43">IFERROR(XLOOKUP(A43, BASE!E:E, BASE!H:H), "")
</f>
        <v/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24"/>
      <c r="B44" s="73" t="str">
        <f t="array" ref="B44">IFERROR(XLOOKUP(A44, BASE!E:E, BASE!B:B), "")
</f>
        <v/>
      </c>
      <c r="C44" s="73" t="str">
        <f t="array" ref="C44">IFERROR(XLOOKUP(A44, BASE!E:E, BASE!C:C), "")
</f>
        <v/>
      </c>
      <c r="D44" s="73" t="str">
        <f t="array" ref="D44">IFERROR(XLOOKUP(A44, BASE!E:E, BASE!D:D), "")
</f>
        <v/>
      </c>
      <c r="E44" s="168" t="str">
        <f t="array" ref="E44">IFERROR(XLOOKUP(A44, BASE!E:E, BASE!H:H), "")
</f>
        <v/>
      </c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24"/>
      <c r="B45" s="73" t="str">
        <f t="array" ref="B45">IFERROR(XLOOKUP(A45, BASE!E:E, BASE!B:B), "")
</f>
        <v/>
      </c>
      <c r="C45" s="73" t="str">
        <f t="array" ref="C45">IFERROR(XLOOKUP(A45, BASE!E:E, BASE!C:C), "")
</f>
        <v/>
      </c>
      <c r="D45" s="73" t="str">
        <f t="array" ref="D45">IFERROR(XLOOKUP(A45, BASE!E:E, BASE!D:D), "")
</f>
        <v/>
      </c>
      <c r="E45" s="168" t="str">
        <f t="array" ref="E45">IFERROR(XLOOKUP(A45, BASE!E:E, BASE!H:H), "")
</f>
        <v/>
      </c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24"/>
      <c r="B46" s="73" t="str">
        <f t="array" ref="B46">IFERROR(XLOOKUP(A46, BASE!E:E, BASE!B:B), "")
</f>
        <v/>
      </c>
      <c r="C46" s="73" t="str">
        <f t="array" ref="C46">IFERROR(XLOOKUP(A46, BASE!E:E, BASE!C:C), "")
</f>
        <v/>
      </c>
      <c r="D46" s="73" t="str">
        <f t="array" ref="D46">IFERROR(XLOOKUP(A46, BASE!E:E, BASE!D:D), "")
</f>
        <v/>
      </c>
      <c r="E46" s="168" t="str">
        <f t="array" ref="E46">IFERROR(XLOOKUP(A46, BASE!E:E, BASE!H:H), "")
</f>
        <v/>
      </c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24"/>
      <c r="B47" s="73" t="str">
        <f t="array" ref="B47">IFERROR(XLOOKUP(A47, BASE!E:E, BASE!B:B), "")
</f>
        <v/>
      </c>
      <c r="C47" s="73" t="str">
        <f t="array" ref="C47">IFERROR(XLOOKUP(A47, BASE!E:E, BASE!C:C), "")
</f>
        <v/>
      </c>
      <c r="D47" s="73" t="str">
        <f t="array" ref="D47">IFERROR(XLOOKUP(A47, BASE!E:E, BASE!D:D), "")
</f>
        <v/>
      </c>
      <c r="E47" s="168" t="str">
        <f t="array" ref="E47">IFERROR(XLOOKUP(A47, BASE!E:E, BASE!H:H), "")
</f>
        <v/>
      </c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224"/>
      <c r="B48" s="73" t="str">
        <f t="array" ref="B48">IFERROR(XLOOKUP(A48, BASE!E:E, BASE!B:B), "")
</f>
        <v/>
      </c>
      <c r="C48" s="73" t="str">
        <f t="array" ref="C48">IFERROR(XLOOKUP(A48, BASE!E:E, BASE!C:C), "")
</f>
        <v/>
      </c>
      <c r="D48" s="73" t="str">
        <f t="array" ref="D48">IFERROR(XLOOKUP(A48, BASE!E:E, BASE!D:D), "")
</f>
        <v/>
      </c>
      <c r="E48" s="168" t="str">
        <f t="array" ref="E48">IFERROR(XLOOKUP(A48, BASE!E:E, BASE!H:H), "")
</f>
        <v/>
      </c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224"/>
      <c r="B49" s="73" t="str">
        <f t="array" ref="B49">IFERROR(XLOOKUP(A49, BASE!E:E, BASE!B:B), "")
</f>
        <v/>
      </c>
      <c r="C49" s="73" t="str">
        <f t="array" ref="C49">IFERROR(XLOOKUP(A49, BASE!E:E, BASE!C:C), "")
</f>
        <v/>
      </c>
      <c r="D49" s="73" t="str">
        <f t="array" ref="D49">IFERROR(XLOOKUP(A49, BASE!E:E, BASE!D:D), "")
</f>
        <v/>
      </c>
      <c r="E49" s="168" t="str">
        <f t="array" ref="E49">IFERROR(XLOOKUP(A49, BASE!E:E, BASE!H:H), "")
</f>
        <v/>
      </c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178"/>
      <c r="B50" s="178"/>
      <c r="C50" s="178"/>
      <c r="D50" s="178"/>
      <c r="E50" s="178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178"/>
      <c r="B51" s="178"/>
      <c r="C51" s="178"/>
      <c r="D51" s="178"/>
      <c r="E51" s="178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178"/>
      <c r="B52" s="178"/>
      <c r="C52" s="178"/>
      <c r="D52" s="178"/>
      <c r="E52" s="178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178"/>
      <c r="B53" s="178"/>
      <c r="C53" s="178"/>
      <c r="D53" s="178"/>
      <c r="E53" s="178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178"/>
      <c r="B54" s="178"/>
      <c r="C54" s="178"/>
      <c r="D54" s="178"/>
      <c r="E54" s="178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178"/>
      <c r="B55" s="178"/>
      <c r="C55" s="178"/>
      <c r="D55" s="178"/>
      <c r="E55" s="178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178"/>
      <c r="B56" s="178"/>
      <c r="C56" s="178"/>
      <c r="D56" s="178"/>
      <c r="E56" s="178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178"/>
      <c r="B57" s="178"/>
      <c r="C57" s="178"/>
      <c r="D57" s="178"/>
      <c r="E57" s="178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178"/>
      <c r="B58" s="178"/>
      <c r="C58" s="178"/>
      <c r="D58" s="178"/>
      <c r="E58" s="178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178"/>
      <c r="B59" s="178"/>
      <c r="C59" s="178"/>
      <c r="D59" s="178"/>
      <c r="E59" s="178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178"/>
      <c r="B60" s="178"/>
      <c r="C60" s="178"/>
      <c r="D60" s="178"/>
      <c r="E60" s="178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178"/>
      <c r="B61" s="178"/>
      <c r="C61" s="178"/>
      <c r="D61" s="178"/>
      <c r="E61" s="178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178"/>
      <c r="B62" s="178"/>
      <c r="C62" s="178"/>
      <c r="D62" s="178"/>
      <c r="E62" s="178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178"/>
      <c r="B63" s="178"/>
      <c r="C63" s="178"/>
      <c r="D63" s="178"/>
      <c r="E63" s="178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178"/>
      <c r="B64" s="178"/>
      <c r="C64" s="178"/>
      <c r="D64" s="178"/>
      <c r="E64" s="178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178"/>
      <c r="B65" s="178"/>
      <c r="C65" s="178"/>
      <c r="D65" s="178"/>
      <c r="E65" s="178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178"/>
      <c r="B66" s="178"/>
      <c r="C66" s="178"/>
      <c r="D66" s="178"/>
      <c r="E66" s="178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178"/>
      <c r="B67" s="178"/>
      <c r="C67" s="178"/>
      <c r="D67" s="178"/>
      <c r="E67" s="178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178"/>
      <c r="B68" s="178"/>
      <c r="C68" s="178"/>
      <c r="D68" s="178"/>
      <c r="E68" s="178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178"/>
      <c r="B69" s="178"/>
      <c r="C69" s="178"/>
      <c r="D69" s="178"/>
      <c r="E69" s="178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178"/>
      <c r="B70" s="178"/>
      <c r="C70" s="178"/>
      <c r="D70" s="178"/>
      <c r="E70" s="178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178"/>
      <c r="B71" s="178"/>
      <c r="C71" s="178"/>
      <c r="D71" s="178"/>
      <c r="E71" s="178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178"/>
      <c r="B72" s="178"/>
      <c r="C72" s="178"/>
      <c r="D72" s="178"/>
      <c r="E72" s="178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178"/>
      <c r="B73" s="178"/>
      <c r="C73" s="178"/>
      <c r="D73" s="178"/>
      <c r="E73" s="178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178"/>
      <c r="B74" s="178"/>
      <c r="C74" s="178"/>
      <c r="D74" s="178"/>
      <c r="E74" s="178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178"/>
      <c r="B75" s="178"/>
      <c r="C75" s="178"/>
      <c r="D75" s="178"/>
      <c r="E75" s="178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178"/>
      <c r="B76" s="178"/>
      <c r="C76" s="178"/>
      <c r="D76" s="178"/>
      <c r="E76" s="178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178"/>
      <c r="B77" s="178"/>
      <c r="C77" s="178"/>
      <c r="D77" s="178"/>
      <c r="E77" s="178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178"/>
      <c r="B78" s="178"/>
      <c r="C78" s="178"/>
      <c r="D78" s="178"/>
      <c r="E78" s="178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178"/>
      <c r="B79" s="178"/>
      <c r="C79" s="178"/>
      <c r="D79" s="178"/>
      <c r="E79" s="178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178"/>
      <c r="B80" s="178"/>
      <c r="C80" s="178"/>
      <c r="D80" s="178"/>
      <c r="E80" s="178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178"/>
      <c r="B81" s="178"/>
      <c r="C81" s="178"/>
      <c r="D81" s="178"/>
      <c r="E81" s="178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178"/>
      <c r="B82" s="178"/>
      <c r="C82" s="178"/>
      <c r="D82" s="178"/>
      <c r="E82" s="178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178"/>
      <c r="B83" s="178"/>
      <c r="C83" s="178"/>
      <c r="D83" s="178"/>
      <c r="E83" s="178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178"/>
      <c r="B84" s="178"/>
      <c r="C84" s="178"/>
      <c r="D84" s="178"/>
      <c r="E84" s="178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178"/>
      <c r="B85" s="178"/>
      <c r="C85" s="178"/>
      <c r="D85" s="178"/>
      <c r="E85" s="178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178"/>
      <c r="B86" s="178"/>
      <c r="C86" s="178"/>
      <c r="D86" s="178"/>
      <c r="E86" s="178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178"/>
      <c r="B87" s="178"/>
      <c r="C87" s="178"/>
      <c r="D87" s="178"/>
      <c r="E87" s="178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178"/>
      <c r="B88" s="178"/>
      <c r="C88" s="178"/>
      <c r="D88" s="178"/>
      <c r="E88" s="178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178"/>
      <c r="B89" s="178"/>
      <c r="C89" s="178"/>
      <c r="D89" s="178"/>
      <c r="E89" s="178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178"/>
      <c r="B90" s="178"/>
      <c r="C90" s="178"/>
      <c r="D90" s="178"/>
      <c r="E90" s="178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178"/>
      <c r="B91" s="178"/>
      <c r="C91" s="178"/>
      <c r="D91" s="178"/>
      <c r="E91" s="178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178"/>
      <c r="B92" s="178"/>
      <c r="C92" s="178"/>
      <c r="D92" s="178"/>
      <c r="E92" s="178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178"/>
      <c r="B93" s="178"/>
      <c r="C93" s="178"/>
      <c r="D93" s="178"/>
      <c r="E93" s="178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178"/>
      <c r="B94" s="178"/>
      <c r="C94" s="178"/>
      <c r="D94" s="178"/>
      <c r="E94" s="178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178"/>
      <c r="B95" s="178"/>
      <c r="C95" s="178"/>
      <c r="D95" s="178"/>
      <c r="E95" s="178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178"/>
      <c r="B96" s="178"/>
      <c r="C96" s="178"/>
      <c r="D96" s="178"/>
      <c r="E96" s="178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178"/>
      <c r="B97" s="178"/>
      <c r="C97" s="178"/>
      <c r="D97" s="178"/>
      <c r="E97" s="178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178"/>
      <c r="B98" s="178"/>
      <c r="C98" s="178"/>
      <c r="D98" s="178"/>
      <c r="E98" s="178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178"/>
      <c r="B99" s="178"/>
      <c r="C99" s="178"/>
      <c r="D99" s="178"/>
      <c r="E99" s="178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178"/>
      <c r="B100" s="178"/>
      <c r="C100" s="178"/>
      <c r="D100" s="178"/>
      <c r="E100" s="178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178"/>
      <c r="B101" s="178"/>
      <c r="C101" s="178"/>
      <c r="D101" s="178"/>
      <c r="E101" s="178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178"/>
      <c r="B102" s="178"/>
      <c r="C102" s="178"/>
      <c r="D102" s="178"/>
      <c r="E102" s="178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178"/>
      <c r="B103" s="178"/>
      <c r="C103" s="178"/>
      <c r="D103" s="178"/>
      <c r="E103" s="178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178"/>
      <c r="B104" s="178"/>
      <c r="C104" s="178"/>
      <c r="D104" s="178"/>
      <c r="E104" s="178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178"/>
      <c r="B105" s="178"/>
      <c r="C105" s="178"/>
      <c r="D105" s="178"/>
      <c r="E105" s="178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178"/>
      <c r="B106" s="178"/>
      <c r="C106" s="178"/>
      <c r="D106" s="178"/>
      <c r="E106" s="178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178"/>
      <c r="B107" s="178"/>
      <c r="C107" s="178"/>
      <c r="D107" s="178"/>
      <c r="E107" s="178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178"/>
      <c r="B108" s="178"/>
      <c r="C108" s="178"/>
      <c r="D108" s="178"/>
      <c r="E108" s="178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178"/>
      <c r="B109" s="178"/>
      <c r="C109" s="178"/>
      <c r="D109" s="178"/>
      <c r="E109" s="178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178"/>
      <c r="B110" s="178"/>
      <c r="C110" s="178"/>
      <c r="D110" s="178"/>
      <c r="E110" s="178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178"/>
      <c r="B111" s="178"/>
      <c r="C111" s="178"/>
      <c r="D111" s="178"/>
      <c r="E111" s="178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178"/>
      <c r="B112" s="178"/>
      <c r="C112" s="178"/>
      <c r="D112" s="178"/>
      <c r="E112" s="178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178"/>
      <c r="B113" s="178"/>
      <c r="C113" s="178"/>
      <c r="D113" s="178"/>
      <c r="E113" s="178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178"/>
      <c r="B114" s="178"/>
      <c r="C114" s="178"/>
      <c r="D114" s="178"/>
      <c r="E114" s="178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178"/>
      <c r="B115" s="178"/>
      <c r="C115" s="178"/>
      <c r="D115" s="178"/>
      <c r="E115" s="178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178"/>
      <c r="B116" s="178"/>
      <c r="C116" s="178"/>
      <c r="D116" s="178"/>
      <c r="E116" s="178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178"/>
      <c r="B117" s="178"/>
      <c r="C117" s="178"/>
      <c r="D117" s="178"/>
      <c r="E117" s="178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178"/>
      <c r="B118" s="178"/>
      <c r="C118" s="178"/>
      <c r="D118" s="178"/>
      <c r="E118" s="178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178"/>
      <c r="B119" s="178"/>
      <c r="C119" s="178"/>
      <c r="D119" s="178"/>
      <c r="E119" s="178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178"/>
      <c r="B120" s="178"/>
      <c r="C120" s="178"/>
      <c r="D120" s="178"/>
      <c r="E120" s="178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178"/>
      <c r="B121" s="178"/>
      <c r="C121" s="178"/>
      <c r="D121" s="178"/>
      <c r="E121" s="178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178"/>
      <c r="B122" s="178"/>
      <c r="C122" s="178"/>
      <c r="D122" s="178"/>
      <c r="E122" s="178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178"/>
      <c r="B123" s="178"/>
      <c r="C123" s="178"/>
      <c r="D123" s="178"/>
      <c r="E123" s="178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178"/>
      <c r="B124" s="178"/>
      <c r="C124" s="178"/>
      <c r="D124" s="178"/>
      <c r="E124" s="178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178"/>
      <c r="B125" s="178"/>
      <c r="C125" s="178"/>
      <c r="D125" s="178"/>
      <c r="E125" s="178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178"/>
      <c r="B126" s="178"/>
      <c r="C126" s="178"/>
      <c r="D126" s="178"/>
      <c r="E126" s="178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178"/>
      <c r="B127" s="178"/>
      <c r="C127" s="178"/>
      <c r="D127" s="178"/>
      <c r="E127" s="178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178"/>
      <c r="B128" s="178"/>
      <c r="C128" s="178"/>
      <c r="D128" s="178"/>
      <c r="E128" s="178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178"/>
      <c r="B129" s="178"/>
      <c r="C129" s="178"/>
      <c r="D129" s="178"/>
      <c r="E129" s="178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178"/>
      <c r="B130" s="178"/>
      <c r="C130" s="178"/>
      <c r="D130" s="178"/>
      <c r="E130" s="178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178"/>
      <c r="B131" s="178"/>
      <c r="C131" s="178"/>
      <c r="D131" s="178"/>
      <c r="E131" s="178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178"/>
      <c r="B132" s="178"/>
      <c r="C132" s="178"/>
      <c r="D132" s="178"/>
      <c r="E132" s="178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178"/>
      <c r="B133" s="178"/>
      <c r="C133" s="178"/>
      <c r="D133" s="178"/>
      <c r="E133" s="178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178"/>
      <c r="B134" s="178"/>
      <c r="C134" s="178"/>
      <c r="D134" s="178"/>
      <c r="E134" s="178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178"/>
      <c r="B135" s="178"/>
      <c r="C135" s="178"/>
      <c r="D135" s="178"/>
      <c r="E135" s="178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178"/>
      <c r="B136" s="178"/>
      <c r="C136" s="178"/>
      <c r="D136" s="178"/>
      <c r="E136" s="178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178"/>
      <c r="B137" s="178"/>
      <c r="C137" s="178"/>
      <c r="D137" s="178"/>
      <c r="E137" s="178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178"/>
      <c r="B138" s="178"/>
      <c r="C138" s="178"/>
      <c r="D138" s="178"/>
      <c r="E138" s="178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178"/>
      <c r="B139" s="178"/>
      <c r="C139" s="178"/>
      <c r="D139" s="178"/>
      <c r="E139" s="178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178"/>
      <c r="B140" s="178"/>
      <c r="C140" s="178"/>
      <c r="D140" s="178"/>
      <c r="E140" s="178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178"/>
      <c r="B141" s="178"/>
      <c r="C141" s="178"/>
      <c r="D141" s="178"/>
      <c r="E141" s="178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178"/>
      <c r="B142" s="178"/>
      <c r="C142" s="178"/>
      <c r="D142" s="178"/>
      <c r="E142" s="178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178"/>
      <c r="B143" s="178"/>
      <c r="C143" s="178"/>
      <c r="D143" s="178"/>
      <c r="E143" s="178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178"/>
      <c r="B144" s="178"/>
      <c r="C144" s="178"/>
      <c r="D144" s="178"/>
      <c r="E144" s="178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178"/>
      <c r="B145" s="178"/>
      <c r="C145" s="178"/>
      <c r="D145" s="178"/>
      <c r="E145" s="178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178"/>
      <c r="B146" s="178"/>
      <c r="C146" s="178"/>
      <c r="D146" s="178"/>
      <c r="E146" s="178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178"/>
      <c r="B147" s="178"/>
      <c r="C147" s="178"/>
      <c r="D147" s="178"/>
      <c r="E147" s="178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178"/>
      <c r="B148" s="178"/>
      <c r="C148" s="178"/>
      <c r="D148" s="178"/>
      <c r="E148" s="178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178"/>
      <c r="B149" s="178"/>
      <c r="C149" s="178"/>
      <c r="D149" s="178"/>
      <c r="E149" s="178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178"/>
      <c r="B150" s="178"/>
      <c r="C150" s="178"/>
      <c r="D150" s="178"/>
      <c r="E150" s="178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178"/>
      <c r="B151" s="178"/>
      <c r="C151" s="178"/>
      <c r="D151" s="178"/>
      <c r="E151" s="178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178"/>
      <c r="B152" s="178"/>
      <c r="C152" s="178"/>
      <c r="D152" s="178"/>
      <c r="E152" s="178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178"/>
      <c r="B153" s="178"/>
      <c r="C153" s="178"/>
      <c r="D153" s="178"/>
      <c r="E153" s="178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178"/>
      <c r="B154" s="178"/>
      <c r="C154" s="178"/>
      <c r="D154" s="178"/>
      <c r="E154" s="178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178"/>
      <c r="B155" s="178"/>
      <c r="C155" s="178"/>
      <c r="D155" s="178"/>
      <c r="E155" s="178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178"/>
      <c r="B156" s="178"/>
      <c r="C156" s="178"/>
      <c r="D156" s="178"/>
      <c r="E156" s="178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178"/>
      <c r="B157" s="178"/>
      <c r="C157" s="178"/>
      <c r="D157" s="178"/>
      <c r="E157" s="178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178"/>
      <c r="B158" s="178"/>
      <c r="C158" s="178"/>
      <c r="D158" s="178"/>
      <c r="E158" s="178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178"/>
      <c r="B159" s="178"/>
      <c r="C159" s="178"/>
      <c r="D159" s="178"/>
      <c r="E159" s="178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178"/>
      <c r="B160" s="178"/>
      <c r="C160" s="178"/>
      <c r="D160" s="178"/>
      <c r="E160" s="178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178"/>
      <c r="B161" s="178"/>
      <c r="C161" s="178"/>
      <c r="D161" s="178"/>
      <c r="E161" s="178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178"/>
      <c r="B162" s="178"/>
      <c r="C162" s="178"/>
      <c r="D162" s="178"/>
      <c r="E162" s="178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178"/>
      <c r="B163" s="178"/>
      <c r="C163" s="178"/>
      <c r="D163" s="178"/>
      <c r="E163" s="178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178"/>
      <c r="B164" s="178"/>
      <c r="C164" s="178"/>
      <c r="D164" s="178"/>
      <c r="E164" s="178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178"/>
      <c r="B165" s="178"/>
      <c r="C165" s="178"/>
      <c r="D165" s="178"/>
      <c r="E165" s="178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178"/>
      <c r="B166" s="178"/>
      <c r="C166" s="178"/>
      <c r="D166" s="178"/>
      <c r="E166" s="178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178"/>
      <c r="B167" s="178"/>
      <c r="C167" s="178"/>
      <c r="D167" s="178"/>
      <c r="E167" s="178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178"/>
      <c r="B168" s="178"/>
      <c r="C168" s="178"/>
      <c r="D168" s="178"/>
      <c r="E168" s="178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178"/>
      <c r="B169" s="178"/>
      <c r="C169" s="178"/>
      <c r="D169" s="178"/>
      <c r="E169" s="178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178"/>
      <c r="B170" s="178"/>
      <c r="C170" s="178"/>
      <c r="D170" s="178"/>
      <c r="E170" s="178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178"/>
      <c r="B171" s="178"/>
      <c r="C171" s="178"/>
      <c r="D171" s="178"/>
      <c r="E171" s="178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178"/>
      <c r="B172" s="178"/>
      <c r="C172" s="178"/>
      <c r="D172" s="178"/>
      <c r="E172" s="178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178"/>
      <c r="B173" s="178"/>
      <c r="C173" s="178"/>
      <c r="D173" s="178"/>
      <c r="E173" s="178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178"/>
      <c r="B174" s="178"/>
      <c r="C174" s="178"/>
      <c r="D174" s="178"/>
      <c r="E174" s="178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178"/>
      <c r="B175" s="178"/>
      <c r="C175" s="178"/>
      <c r="D175" s="178"/>
      <c r="E175" s="178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178"/>
      <c r="B176" s="178"/>
      <c r="C176" s="178"/>
      <c r="D176" s="178"/>
      <c r="E176" s="178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178"/>
      <c r="B177" s="178"/>
      <c r="C177" s="178"/>
      <c r="D177" s="178"/>
      <c r="E177" s="178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178"/>
      <c r="B178" s="178"/>
      <c r="C178" s="178"/>
      <c r="D178" s="178"/>
      <c r="E178" s="178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178"/>
      <c r="B179" s="178"/>
      <c r="C179" s="178"/>
      <c r="D179" s="178"/>
      <c r="E179" s="178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178"/>
      <c r="B180" s="178"/>
      <c r="C180" s="178"/>
      <c r="D180" s="178"/>
      <c r="E180" s="178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178"/>
      <c r="B181" s="178"/>
      <c r="C181" s="178"/>
      <c r="D181" s="178"/>
      <c r="E181" s="178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178"/>
      <c r="B182" s="178"/>
      <c r="C182" s="178"/>
      <c r="D182" s="178"/>
      <c r="E182" s="178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178"/>
      <c r="B183" s="178"/>
      <c r="C183" s="178"/>
      <c r="D183" s="178"/>
      <c r="E183" s="178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178"/>
      <c r="B184" s="178"/>
      <c r="C184" s="178"/>
      <c r="D184" s="178"/>
      <c r="E184" s="178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178"/>
      <c r="B185" s="178"/>
      <c r="C185" s="178"/>
      <c r="D185" s="178"/>
      <c r="E185" s="178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178"/>
      <c r="B186" s="178"/>
      <c r="C186" s="178"/>
      <c r="D186" s="178"/>
      <c r="E186" s="178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178"/>
      <c r="B187" s="178"/>
      <c r="C187" s="178"/>
      <c r="D187" s="178"/>
      <c r="E187" s="178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178"/>
      <c r="B188" s="178"/>
      <c r="C188" s="178"/>
      <c r="D188" s="178"/>
      <c r="E188" s="178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178"/>
      <c r="B189" s="178"/>
      <c r="C189" s="178"/>
      <c r="D189" s="178"/>
      <c r="E189" s="178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178"/>
      <c r="B190" s="178"/>
      <c r="C190" s="178"/>
      <c r="D190" s="178"/>
      <c r="E190" s="178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178"/>
      <c r="B191" s="178"/>
      <c r="C191" s="178"/>
      <c r="D191" s="178"/>
      <c r="E191" s="178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178"/>
      <c r="B192" s="178"/>
      <c r="C192" s="178"/>
      <c r="D192" s="178"/>
      <c r="E192" s="178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178"/>
      <c r="B193" s="178"/>
      <c r="C193" s="178"/>
      <c r="D193" s="178"/>
      <c r="E193" s="178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178"/>
      <c r="B194" s="178"/>
      <c r="C194" s="178"/>
      <c r="D194" s="178"/>
      <c r="E194" s="178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178"/>
      <c r="B195" s="178"/>
      <c r="C195" s="178"/>
      <c r="D195" s="178"/>
      <c r="E195" s="178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178"/>
      <c r="B196" s="178"/>
      <c r="C196" s="178"/>
      <c r="D196" s="178"/>
      <c r="E196" s="178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178"/>
      <c r="B197" s="178"/>
      <c r="C197" s="178"/>
      <c r="D197" s="178"/>
      <c r="E197" s="178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178"/>
      <c r="B198" s="178"/>
      <c r="C198" s="178"/>
      <c r="D198" s="178"/>
      <c r="E198" s="178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178"/>
      <c r="B199" s="178"/>
      <c r="C199" s="178"/>
      <c r="D199" s="178"/>
      <c r="E199" s="178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178"/>
      <c r="B200" s="178"/>
      <c r="C200" s="178"/>
      <c r="D200" s="178"/>
      <c r="E200" s="178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178"/>
      <c r="B201" s="178"/>
      <c r="C201" s="178"/>
      <c r="D201" s="178"/>
      <c r="E201" s="178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178"/>
      <c r="B202" s="178"/>
      <c r="C202" s="178"/>
      <c r="D202" s="178"/>
      <c r="E202" s="178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178"/>
      <c r="B203" s="178"/>
      <c r="C203" s="178"/>
      <c r="D203" s="178"/>
      <c r="E203" s="178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178"/>
      <c r="B204" s="178"/>
      <c r="C204" s="178"/>
      <c r="D204" s="178"/>
      <c r="E204" s="178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178"/>
      <c r="B205" s="178"/>
      <c r="C205" s="178"/>
      <c r="D205" s="178"/>
      <c r="E205" s="178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178"/>
      <c r="B206" s="178"/>
      <c r="C206" s="178"/>
      <c r="D206" s="178"/>
      <c r="E206" s="178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178"/>
      <c r="B207" s="178"/>
      <c r="C207" s="178"/>
      <c r="D207" s="178"/>
      <c r="E207" s="178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178"/>
      <c r="B208" s="178"/>
      <c r="C208" s="178"/>
      <c r="D208" s="178"/>
      <c r="E208" s="178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178"/>
      <c r="B209" s="178"/>
      <c r="C209" s="178"/>
      <c r="D209" s="178"/>
      <c r="E209" s="178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178"/>
      <c r="B210" s="178"/>
      <c r="C210" s="178"/>
      <c r="D210" s="178"/>
      <c r="E210" s="178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178"/>
      <c r="B211" s="178"/>
      <c r="C211" s="178"/>
      <c r="D211" s="178"/>
      <c r="E211" s="178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178"/>
      <c r="B212" s="178"/>
      <c r="C212" s="178"/>
      <c r="D212" s="178"/>
      <c r="E212" s="178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178"/>
      <c r="B213" s="178"/>
      <c r="C213" s="178"/>
      <c r="D213" s="178"/>
      <c r="E213" s="178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178"/>
      <c r="B214" s="178"/>
      <c r="C214" s="178"/>
      <c r="D214" s="178"/>
      <c r="E214" s="178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178"/>
      <c r="B215" s="178"/>
      <c r="C215" s="178"/>
      <c r="D215" s="178"/>
      <c r="E215" s="178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178"/>
      <c r="B216" s="178"/>
      <c r="C216" s="178"/>
      <c r="D216" s="178"/>
      <c r="E216" s="178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178"/>
      <c r="B217" s="178"/>
      <c r="C217" s="178"/>
      <c r="D217" s="178"/>
      <c r="E217" s="178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178"/>
      <c r="B218" s="178"/>
      <c r="C218" s="178"/>
      <c r="D218" s="178"/>
      <c r="E218" s="178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178"/>
      <c r="B219" s="178"/>
      <c r="C219" s="178"/>
      <c r="D219" s="178"/>
      <c r="E219" s="178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178"/>
      <c r="B220" s="178"/>
      <c r="C220" s="178"/>
      <c r="D220" s="178"/>
      <c r="E220" s="178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178"/>
      <c r="B221" s="178"/>
      <c r="C221" s="178"/>
      <c r="D221" s="178"/>
      <c r="E221" s="178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178"/>
      <c r="B222" s="178"/>
      <c r="C222" s="178"/>
      <c r="D222" s="178"/>
      <c r="E222" s="178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178"/>
      <c r="B223" s="178"/>
      <c r="C223" s="178"/>
      <c r="D223" s="178"/>
      <c r="E223" s="178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178"/>
      <c r="B224" s="178"/>
      <c r="C224" s="178"/>
      <c r="D224" s="178"/>
      <c r="E224" s="178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178"/>
      <c r="B225" s="178"/>
      <c r="C225" s="178"/>
      <c r="D225" s="178"/>
      <c r="E225" s="178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178"/>
      <c r="B226" s="178"/>
      <c r="C226" s="178"/>
      <c r="D226" s="178"/>
      <c r="E226" s="178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178"/>
      <c r="B227" s="178"/>
      <c r="C227" s="178"/>
      <c r="D227" s="178"/>
      <c r="E227" s="178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178"/>
      <c r="B228" s="178"/>
      <c r="C228" s="178"/>
      <c r="D228" s="178"/>
      <c r="E228" s="178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178"/>
      <c r="B229" s="178"/>
      <c r="C229" s="178"/>
      <c r="D229" s="178"/>
      <c r="E229" s="178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178"/>
      <c r="B230" s="178"/>
      <c r="C230" s="178"/>
      <c r="D230" s="178"/>
      <c r="E230" s="178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178"/>
      <c r="B231" s="178"/>
      <c r="C231" s="178"/>
      <c r="D231" s="178"/>
      <c r="E231" s="178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178"/>
      <c r="B232" s="178"/>
      <c r="C232" s="178"/>
      <c r="D232" s="178"/>
      <c r="E232" s="178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178"/>
      <c r="B233" s="178"/>
      <c r="C233" s="178"/>
      <c r="D233" s="178"/>
      <c r="E233" s="178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178"/>
      <c r="B234" s="178"/>
      <c r="C234" s="178"/>
      <c r="D234" s="178"/>
      <c r="E234" s="178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178"/>
      <c r="B235" s="178"/>
      <c r="C235" s="178"/>
      <c r="D235" s="178"/>
      <c r="E235" s="178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178"/>
      <c r="B236" s="178"/>
      <c r="C236" s="178"/>
      <c r="D236" s="178"/>
      <c r="E236" s="178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178"/>
      <c r="B237" s="178"/>
      <c r="C237" s="178"/>
      <c r="D237" s="178"/>
      <c r="E237" s="178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178"/>
      <c r="B238" s="178"/>
      <c r="C238" s="178"/>
      <c r="D238" s="178"/>
      <c r="E238" s="178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178"/>
      <c r="B239" s="178"/>
      <c r="C239" s="178"/>
      <c r="D239" s="178"/>
      <c r="E239" s="178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178"/>
      <c r="B240" s="178"/>
      <c r="C240" s="178"/>
      <c r="D240" s="178"/>
      <c r="E240" s="178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178"/>
      <c r="B241" s="178"/>
      <c r="C241" s="178"/>
      <c r="D241" s="178"/>
      <c r="E241" s="178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178"/>
      <c r="B242" s="178"/>
      <c r="C242" s="178"/>
      <c r="D242" s="178"/>
      <c r="E242" s="178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178"/>
      <c r="B243" s="178"/>
      <c r="C243" s="178"/>
      <c r="D243" s="178"/>
      <c r="E243" s="178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178"/>
      <c r="B244" s="178"/>
      <c r="C244" s="178"/>
      <c r="D244" s="178"/>
      <c r="E244" s="178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178"/>
      <c r="B245" s="178"/>
      <c r="C245" s="178"/>
      <c r="D245" s="178"/>
      <c r="E245" s="178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178"/>
      <c r="B246" s="178"/>
      <c r="C246" s="178"/>
      <c r="D246" s="178"/>
      <c r="E246" s="178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178"/>
      <c r="B247" s="178"/>
      <c r="C247" s="178"/>
      <c r="D247" s="178"/>
      <c r="E247" s="178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178"/>
      <c r="B248" s="178"/>
      <c r="C248" s="178"/>
      <c r="D248" s="178"/>
      <c r="E248" s="178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178"/>
      <c r="B249" s="178"/>
      <c r="C249" s="178"/>
      <c r="D249" s="178"/>
      <c r="E249" s="178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178"/>
      <c r="B250" s="178"/>
      <c r="C250" s="178"/>
      <c r="D250" s="178"/>
      <c r="E250" s="178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178"/>
      <c r="B251" s="178"/>
      <c r="C251" s="178"/>
      <c r="D251" s="178"/>
      <c r="E251" s="178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178"/>
      <c r="B252" s="178"/>
      <c r="C252" s="178"/>
      <c r="D252" s="178"/>
      <c r="E252" s="178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178"/>
      <c r="B253" s="178"/>
      <c r="C253" s="178"/>
      <c r="D253" s="178"/>
      <c r="E253" s="178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178"/>
      <c r="B254" s="178"/>
      <c r="C254" s="178"/>
      <c r="D254" s="178"/>
      <c r="E254" s="178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178"/>
      <c r="B255" s="178"/>
      <c r="C255" s="178"/>
      <c r="D255" s="178"/>
      <c r="E255" s="178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178"/>
      <c r="B256" s="178"/>
      <c r="C256" s="178"/>
      <c r="D256" s="178"/>
      <c r="E256" s="178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178"/>
      <c r="B257" s="178"/>
      <c r="C257" s="178"/>
      <c r="D257" s="178"/>
      <c r="E257" s="178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178"/>
      <c r="B258" s="178"/>
      <c r="C258" s="178"/>
      <c r="D258" s="178"/>
      <c r="E258" s="178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178"/>
      <c r="B259" s="178"/>
      <c r="C259" s="178"/>
      <c r="D259" s="178"/>
      <c r="E259" s="178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178"/>
      <c r="B260" s="178"/>
      <c r="C260" s="178"/>
      <c r="D260" s="178"/>
      <c r="E260" s="178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178"/>
      <c r="B261" s="178"/>
      <c r="C261" s="178"/>
      <c r="D261" s="178"/>
      <c r="E261" s="178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178"/>
      <c r="B262" s="178"/>
      <c r="C262" s="178"/>
      <c r="D262" s="178"/>
      <c r="E262" s="178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178"/>
      <c r="B263" s="178"/>
      <c r="C263" s="178"/>
      <c r="D263" s="178"/>
      <c r="E263" s="178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178"/>
      <c r="B264" s="178"/>
      <c r="C264" s="178"/>
      <c r="D264" s="178"/>
      <c r="E264" s="178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178"/>
      <c r="B265" s="178"/>
      <c r="C265" s="178"/>
      <c r="D265" s="178"/>
      <c r="E265" s="178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178"/>
      <c r="B266" s="178"/>
      <c r="C266" s="178"/>
      <c r="D266" s="178"/>
      <c r="E266" s="178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178"/>
      <c r="B267" s="178"/>
      <c r="C267" s="178"/>
      <c r="D267" s="178"/>
      <c r="E267" s="178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178"/>
      <c r="B268" s="178"/>
      <c r="C268" s="178"/>
      <c r="D268" s="178"/>
      <c r="E268" s="178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178"/>
      <c r="B269" s="178"/>
      <c r="C269" s="178"/>
      <c r="D269" s="178"/>
      <c r="E269" s="178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178"/>
      <c r="B270" s="178"/>
      <c r="C270" s="178"/>
      <c r="D270" s="178"/>
      <c r="E270" s="178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178"/>
      <c r="B271" s="178"/>
      <c r="C271" s="178"/>
      <c r="D271" s="178"/>
      <c r="E271" s="178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178"/>
      <c r="B272" s="178"/>
      <c r="C272" s="178"/>
      <c r="D272" s="178"/>
      <c r="E272" s="178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178"/>
      <c r="B273" s="178"/>
      <c r="C273" s="178"/>
      <c r="D273" s="178"/>
      <c r="E273" s="178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178"/>
      <c r="B274" s="178"/>
      <c r="C274" s="178"/>
      <c r="D274" s="178"/>
      <c r="E274" s="178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178"/>
      <c r="B275" s="178"/>
      <c r="C275" s="178"/>
      <c r="D275" s="178"/>
      <c r="E275" s="178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178"/>
      <c r="B276" s="178"/>
      <c r="C276" s="178"/>
      <c r="D276" s="178"/>
      <c r="E276" s="178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178"/>
      <c r="B277" s="178"/>
      <c r="C277" s="178"/>
      <c r="D277" s="178"/>
      <c r="E277" s="178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178"/>
      <c r="B278" s="178"/>
      <c r="C278" s="178"/>
      <c r="D278" s="178"/>
      <c r="E278" s="178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178"/>
      <c r="B279" s="178"/>
      <c r="C279" s="178"/>
      <c r="D279" s="178"/>
      <c r="E279" s="178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178"/>
      <c r="B280" s="178"/>
      <c r="C280" s="178"/>
      <c r="D280" s="178"/>
      <c r="E280" s="178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178"/>
      <c r="B281" s="178"/>
      <c r="C281" s="178"/>
      <c r="D281" s="178"/>
      <c r="E281" s="178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178"/>
      <c r="B282" s="178"/>
      <c r="C282" s="178"/>
      <c r="D282" s="178"/>
      <c r="E282" s="178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178"/>
      <c r="B283" s="178"/>
      <c r="C283" s="178"/>
      <c r="D283" s="178"/>
      <c r="E283" s="178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178"/>
      <c r="B284" s="178"/>
      <c r="C284" s="178"/>
      <c r="D284" s="178"/>
      <c r="E284" s="178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178"/>
      <c r="B285" s="178"/>
      <c r="C285" s="178"/>
      <c r="D285" s="178"/>
      <c r="E285" s="178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178"/>
      <c r="B286" s="178"/>
      <c r="C286" s="178"/>
      <c r="D286" s="178"/>
      <c r="E286" s="178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178"/>
      <c r="B287" s="178"/>
      <c r="C287" s="178"/>
      <c r="D287" s="178"/>
      <c r="E287" s="178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178"/>
      <c r="B288" s="178"/>
      <c r="C288" s="178"/>
      <c r="D288" s="178"/>
      <c r="E288" s="178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178"/>
      <c r="B289" s="178"/>
      <c r="C289" s="178"/>
      <c r="D289" s="178"/>
      <c r="E289" s="178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178"/>
      <c r="B290" s="178"/>
      <c r="C290" s="178"/>
      <c r="D290" s="178"/>
      <c r="E290" s="178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178"/>
      <c r="B291" s="178"/>
      <c r="C291" s="178"/>
      <c r="D291" s="178"/>
      <c r="E291" s="178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178"/>
      <c r="B292" s="178"/>
      <c r="C292" s="178"/>
      <c r="D292" s="178"/>
      <c r="E292" s="178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178"/>
      <c r="B293" s="178"/>
      <c r="C293" s="178"/>
      <c r="D293" s="178"/>
      <c r="E293" s="178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178"/>
      <c r="B294" s="178"/>
      <c r="C294" s="178"/>
      <c r="D294" s="178"/>
      <c r="E294" s="178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178"/>
      <c r="B295" s="178"/>
      <c r="C295" s="178"/>
      <c r="D295" s="178"/>
      <c r="E295" s="178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178"/>
      <c r="B296" s="178"/>
      <c r="C296" s="178"/>
      <c r="D296" s="178"/>
      <c r="E296" s="178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178"/>
      <c r="B297" s="178"/>
      <c r="C297" s="178"/>
      <c r="D297" s="178"/>
      <c r="E297" s="178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178"/>
      <c r="B298" s="178"/>
      <c r="C298" s="178"/>
      <c r="D298" s="178"/>
      <c r="E298" s="178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178"/>
      <c r="B299" s="178"/>
      <c r="C299" s="178"/>
      <c r="D299" s="178"/>
      <c r="E299" s="178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178"/>
      <c r="B300" s="178"/>
      <c r="C300" s="178"/>
      <c r="D300" s="178"/>
      <c r="E300" s="178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178"/>
      <c r="B301" s="178"/>
      <c r="C301" s="178"/>
      <c r="D301" s="178"/>
      <c r="E301" s="178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178"/>
      <c r="B302" s="178"/>
      <c r="C302" s="178"/>
      <c r="D302" s="178"/>
      <c r="E302" s="178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178"/>
      <c r="B303" s="178"/>
      <c r="C303" s="178"/>
      <c r="D303" s="178"/>
      <c r="E303" s="178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178"/>
      <c r="B304" s="178"/>
      <c r="C304" s="178"/>
      <c r="D304" s="178"/>
      <c r="E304" s="178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178"/>
      <c r="B305" s="178"/>
      <c r="C305" s="178"/>
      <c r="D305" s="178"/>
      <c r="E305" s="178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178"/>
      <c r="B306" s="178"/>
      <c r="C306" s="178"/>
      <c r="D306" s="178"/>
      <c r="E306" s="178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178"/>
      <c r="B307" s="178"/>
      <c r="C307" s="178"/>
      <c r="D307" s="178"/>
      <c r="E307" s="178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178"/>
      <c r="B308" s="178"/>
      <c r="C308" s="178"/>
      <c r="D308" s="178"/>
      <c r="E308" s="178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178"/>
      <c r="B309" s="178"/>
      <c r="C309" s="178"/>
      <c r="D309" s="178"/>
      <c r="E309" s="178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178"/>
      <c r="B310" s="178"/>
      <c r="C310" s="178"/>
      <c r="D310" s="178"/>
      <c r="E310" s="178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178"/>
      <c r="B311" s="178"/>
      <c r="C311" s="178"/>
      <c r="D311" s="178"/>
      <c r="E311" s="178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178"/>
      <c r="B312" s="178"/>
      <c r="C312" s="178"/>
      <c r="D312" s="178"/>
      <c r="E312" s="178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178"/>
      <c r="B313" s="178"/>
      <c r="C313" s="178"/>
      <c r="D313" s="178"/>
      <c r="E313" s="178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178"/>
      <c r="B314" s="178"/>
      <c r="C314" s="178"/>
      <c r="D314" s="178"/>
      <c r="E314" s="178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178"/>
      <c r="B315" s="178"/>
      <c r="C315" s="178"/>
      <c r="D315" s="178"/>
      <c r="E315" s="178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178"/>
      <c r="B316" s="178"/>
      <c r="C316" s="178"/>
      <c r="D316" s="178"/>
      <c r="E316" s="178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178"/>
      <c r="B317" s="178"/>
      <c r="C317" s="178"/>
      <c r="D317" s="178"/>
      <c r="E317" s="178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178"/>
      <c r="B318" s="178"/>
      <c r="C318" s="178"/>
      <c r="D318" s="178"/>
      <c r="E318" s="178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178"/>
      <c r="B319" s="178"/>
      <c r="C319" s="178"/>
      <c r="D319" s="178"/>
      <c r="E319" s="178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178"/>
      <c r="B320" s="178"/>
      <c r="C320" s="178"/>
      <c r="D320" s="178"/>
      <c r="E320" s="178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178"/>
      <c r="B321" s="178"/>
      <c r="C321" s="178"/>
      <c r="D321" s="178"/>
      <c r="E321" s="178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178"/>
      <c r="B322" s="178"/>
      <c r="C322" s="178"/>
      <c r="D322" s="178"/>
      <c r="E322" s="178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178"/>
      <c r="B323" s="178"/>
      <c r="C323" s="178"/>
      <c r="D323" s="178"/>
      <c r="E323" s="178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178"/>
      <c r="B324" s="178"/>
      <c r="C324" s="178"/>
      <c r="D324" s="178"/>
      <c r="E324" s="178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178"/>
      <c r="B325" s="178"/>
      <c r="C325" s="178"/>
      <c r="D325" s="178"/>
      <c r="E325" s="178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178"/>
      <c r="B326" s="178"/>
      <c r="C326" s="178"/>
      <c r="D326" s="178"/>
      <c r="E326" s="178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178"/>
      <c r="B327" s="178"/>
      <c r="C327" s="178"/>
      <c r="D327" s="178"/>
      <c r="E327" s="178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178"/>
      <c r="B328" s="178"/>
      <c r="C328" s="178"/>
      <c r="D328" s="178"/>
      <c r="E328" s="178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178"/>
      <c r="B329" s="178"/>
      <c r="C329" s="178"/>
      <c r="D329" s="178"/>
      <c r="E329" s="178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178"/>
      <c r="B330" s="178"/>
      <c r="C330" s="178"/>
      <c r="D330" s="178"/>
      <c r="E330" s="178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178"/>
      <c r="B331" s="178"/>
      <c r="C331" s="178"/>
      <c r="D331" s="178"/>
      <c r="E331" s="178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178"/>
      <c r="B332" s="178"/>
      <c r="C332" s="178"/>
      <c r="D332" s="178"/>
      <c r="E332" s="178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178"/>
      <c r="B333" s="178"/>
      <c r="C333" s="178"/>
      <c r="D333" s="178"/>
      <c r="E333" s="178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178"/>
      <c r="B334" s="178"/>
      <c r="C334" s="178"/>
      <c r="D334" s="178"/>
      <c r="E334" s="178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178"/>
      <c r="B335" s="178"/>
      <c r="C335" s="178"/>
      <c r="D335" s="178"/>
      <c r="E335" s="178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178"/>
      <c r="B336" s="178"/>
      <c r="C336" s="178"/>
      <c r="D336" s="178"/>
      <c r="E336" s="178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178"/>
      <c r="B337" s="178"/>
      <c r="C337" s="178"/>
      <c r="D337" s="178"/>
      <c r="E337" s="178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178"/>
      <c r="B338" s="178"/>
      <c r="C338" s="178"/>
      <c r="D338" s="178"/>
      <c r="E338" s="178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178"/>
      <c r="B339" s="178"/>
      <c r="C339" s="178"/>
      <c r="D339" s="178"/>
      <c r="E339" s="178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178"/>
      <c r="B340" s="178"/>
      <c r="C340" s="178"/>
      <c r="D340" s="178"/>
      <c r="E340" s="178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178"/>
      <c r="B341" s="178"/>
      <c r="C341" s="178"/>
      <c r="D341" s="178"/>
      <c r="E341" s="178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178"/>
      <c r="B342" s="178"/>
      <c r="C342" s="178"/>
      <c r="D342" s="178"/>
      <c r="E342" s="178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178"/>
      <c r="B343" s="178"/>
      <c r="C343" s="178"/>
      <c r="D343" s="178"/>
      <c r="E343" s="178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178"/>
      <c r="B344" s="178"/>
      <c r="C344" s="178"/>
      <c r="D344" s="178"/>
      <c r="E344" s="178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178"/>
      <c r="B345" s="178"/>
      <c r="C345" s="178"/>
      <c r="D345" s="178"/>
      <c r="E345" s="178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178"/>
      <c r="B346" s="178"/>
      <c r="C346" s="178"/>
      <c r="D346" s="178"/>
      <c r="E346" s="178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178"/>
      <c r="B347" s="178"/>
      <c r="C347" s="178"/>
      <c r="D347" s="178"/>
      <c r="E347" s="178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178"/>
      <c r="B348" s="178"/>
      <c r="C348" s="178"/>
      <c r="D348" s="178"/>
      <c r="E348" s="178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178"/>
      <c r="B349" s="178"/>
      <c r="C349" s="178"/>
      <c r="D349" s="178"/>
      <c r="E349" s="178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178"/>
      <c r="B350" s="178"/>
      <c r="C350" s="178"/>
      <c r="D350" s="178"/>
      <c r="E350" s="178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178"/>
      <c r="B351" s="178"/>
      <c r="C351" s="178"/>
      <c r="D351" s="178"/>
      <c r="E351" s="178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178"/>
      <c r="B352" s="178"/>
      <c r="C352" s="178"/>
      <c r="D352" s="178"/>
      <c r="E352" s="178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178"/>
      <c r="B353" s="178"/>
      <c r="C353" s="178"/>
      <c r="D353" s="178"/>
      <c r="E353" s="178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178"/>
      <c r="B354" s="178"/>
      <c r="C354" s="178"/>
      <c r="D354" s="178"/>
      <c r="E354" s="178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178"/>
      <c r="B355" s="178"/>
      <c r="C355" s="178"/>
      <c r="D355" s="178"/>
      <c r="E355" s="178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178"/>
      <c r="B356" s="178"/>
      <c r="C356" s="178"/>
      <c r="D356" s="178"/>
      <c r="E356" s="178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178"/>
      <c r="B357" s="178"/>
      <c r="C357" s="178"/>
      <c r="D357" s="178"/>
      <c r="E357" s="178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178"/>
      <c r="B358" s="178"/>
      <c r="C358" s="178"/>
      <c r="D358" s="178"/>
      <c r="E358" s="178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178"/>
      <c r="B359" s="178"/>
      <c r="C359" s="178"/>
      <c r="D359" s="178"/>
      <c r="E359" s="178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178"/>
      <c r="B360" s="178"/>
      <c r="C360" s="178"/>
      <c r="D360" s="178"/>
      <c r="E360" s="178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178"/>
      <c r="B361" s="178"/>
      <c r="C361" s="178"/>
      <c r="D361" s="178"/>
      <c r="E361" s="178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178"/>
      <c r="B362" s="178"/>
      <c r="C362" s="178"/>
      <c r="D362" s="178"/>
      <c r="E362" s="178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178"/>
      <c r="B363" s="178"/>
      <c r="C363" s="178"/>
      <c r="D363" s="178"/>
      <c r="E363" s="178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178"/>
      <c r="B364" s="178"/>
      <c r="C364" s="178"/>
      <c r="D364" s="178"/>
      <c r="E364" s="178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178"/>
      <c r="B365" s="178"/>
      <c r="C365" s="178"/>
      <c r="D365" s="178"/>
      <c r="E365" s="178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178"/>
      <c r="B366" s="178"/>
      <c r="C366" s="178"/>
      <c r="D366" s="178"/>
      <c r="E366" s="178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178"/>
      <c r="B367" s="178"/>
      <c r="C367" s="178"/>
      <c r="D367" s="178"/>
      <c r="E367" s="178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178"/>
      <c r="B368" s="178"/>
      <c r="C368" s="178"/>
      <c r="D368" s="178"/>
      <c r="E368" s="178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178"/>
      <c r="B369" s="178"/>
      <c r="C369" s="178"/>
      <c r="D369" s="178"/>
      <c r="E369" s="178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178"/>
      <c r="B370" s="178"/>
      <c r="C370" s="178"/>
      <c r="D370" s="178"/>
      <c r="E370" s="178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178"/>
      <c r="B371" s="178"/>
      <c r="C371" s="178"/>
      <c r="D371" s="178"/>
      <c r="E371" s="178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178"/>
      <c r="B372" s="178"/>
      <c r="C372" s="178"/>
      <c r="D372" s="178"/>
      <c r="E372" s="178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178"/>
      <c r="B373" s="178"/>
      <c r="C373" s="178"/>
      <c r="D373" s="178"/>
      <c r="E373" s="178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178"/>
      <c r="B374" s="178"/>
      <c r="C374" s="178"/>
      <c r="D374" s="178"/>
      <c r="E374" s="178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178"/>
      <c r="B375" s="178"/>
      <c r="C375" s="178"/>
      <c r="D375" s="178"/>
      <c r="E375" s="178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178"/>
      <c r="B376" s="178"/>
      <c r="C376" s="178"/>
      <c r="D376" s="178"/>
      <c r="E376" s="178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178"/>
      <c r="B377" s="178"/>
      <c r="C377" s="178"/>
      <c r="D377" s="178"/>
      <c r="E377" s="178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178"/>
      <c r="B378" s="178"/>
      <c r="C378" s="178"/>
      <c r="D378" s="178"/>
      <c r="E378" s="178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178"/>
      <c r="B379" s="178"/>
      <c r="C379" s="178"/>
      <c r="D379" s="178"/>
      <c r="E379" s="178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178"/>
      <c r="B380" s="178"/>
      <c r="C380" s="178"/>
      <c r="D380" s="178"/>
      <c r="E380" s="178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178"/>
      <c r="B381" s="178"/>
      <c r="C381" s="178"/>
      <c r="D381" s="178"/>
      <c r="E381" s="178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178"/>
      <c r="B382" s="178"/>
      <c r="C382" s="178"/>
      <c r="D382" s="178"/>
      <c r="E382" s="178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178"/>
      <c r="B383" s="178"/>
      <c r="C383" s="178"/>
      <c r="D383" s="178"/>
      <c r="E383" s="178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178"/>
      <c r="B384" s="178"/>
      <c r="C384" s="178"/>
      <c r="D384" s="178"/>
      <c r="E384" s="178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178"/>
      <c r="B385" s="178"/>
      <c r="C385" s="178"/>
      <c r="D385" s="178"/>
      <c r="E385" s="178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178"/>
      <c r="B386" s="178"/>
      <c r="C386" s="178"/>
      <c r="D386" s="178"/>
      <c r="E386" s="178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178"/>
      <c r="B387" s="178"/>
      <c r="C387" s="178"/>
      <c r="D387" s="178"/>
      <c r="E387" s="178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178"/>
      <c r="B388" s="178"/>
      <c r="C388" s="178"/>
      <c r="D388" s="178"/>
      <c r="E388" s="178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178"/>
      <c r="B389" s="178"/>
      <c r="C389" s="178"/>
      <c r="D389" s="178"/>
      <c r="E389" s="178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178"/>
      <c r="B390" s="178"/>
      <c r="C390" s="178"/>
      <c r="D390" s="178"/>
      <c r="E390" s="178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178"/>
      <c r="B391" s="178"/>
      <c r="C391" s="178"/>
      <c r="D391" s="178"/>
      <c r="E391" s="178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178"/>
      <c r="B392" s="178"/>
      <c r="C392" s="178"/>
      <c r="D392" s="178"/>
      <c r="E392" s="178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178"/>
      <c r="B393" s="178"/>
      <c r="C393" s="178"/>
      <c r="D393" s="178"/>
      <c r="E393" s="178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178"/>
      <c r="B394" s="178"/>
      <c r="C394" s="178"/>
      <c r="D394" s="178"/>
      <c r="E394" s="178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178"/>
      <c r="B395" s="178"/>
      <c r="C395" s="178"/>
      <c r="D395" s="178"/>
      <c r="E395" s="178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178"/>
      <c r="B396" s="178"/>
      <c r="C396" s="178"/>
      <c r="D396" s="178"/>
      <c r="E396" s="178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178"/>
      <c r="B397" s="178"/>
      <c r="C397" s="178"/>
      <c r="D397" s="178"/>
      <c r="E397" s="178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178"/>
      <c r="B398" s="178"/>
      <c r="C398" s="178"/>
      <c r="D398" s="178"/>
      <c r="E398" s="178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178"/>
      <c r="B399" s="178"/>
      <c r="C399" s="178"/>
      <c r="D399" s="178"/>
      <c r="E399" s="178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178"/>
      <c r="B400" s="178"/>
      <c r="C400" s="178"/>
      <c r="D400" s="178"/>
      <c r="E400" s="178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178"/>
      <c r="B401" s="178"/>
      <c r="C401" s="178"/>
      <c r="D401" s="178"/>
      <c r="E401" s="178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178"/>
      <c r="B402" s="178"/>
      <c r="C402" s="178"/>
      <c r="D402" s="178"/>
      <c r="E402" s="178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178"/>
      <c r="B403" s="178"/>
      <c r="C403" s="178"/>
      <c r="D403" s="178"/>
      <c r="E403" s="178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178"/>
      <c r="B404" s="178"/>
      <c r="C404" s="178"/>
      <c r="D404" s="178"/>
      <c r="E404" s="178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178"/>
      <c r="B405" s="178"/>
      <c r="C405" s="178"/>
      <c r="D405" s="178"/>
      <c r="E405" s="178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178"/>
      <c r="B406" s="178"/>
      <c r="C406" s="178"/>
      <c r="D406" s="178"/>
      <c r="E406" s="178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178"/>
      <c r="B407" s="178"/>
      <c r="C407" s="178"/>
      <c r="D407" s="178"/>
      <c r="E407" s="178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178"/>
      <c r="B408" s="178"/>
      <c r="C408" s="178"/>
      <c r="D408" s="178"/>
      <c r="E408" s="178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178"/>
      <c r="B409" s="178"/>
      <c r="C409" s="178"/>
      <c r="D409" s="178"/>
      <c r="E409" s="178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178"/>
      <c r="B410" s="178"/>
      <c r="C410" s="178"/>
      <c r="D410" s="178"/>
      <c r="E410" s="178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178"/>
      <c r="B411" s="178"/>
      <c r="C411" s="178"/>
      <c r="D411" s="178"/>
      <c r="E411" s="178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178"/>
      <c r="B412" s="178"/>
      <c r="C412" s="178"/>
      <c r="D412" s="178"/>
      <c r="E412" s="178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178"/>
      <c r="B413" s="178"/>
      <c r="C413" s="178"/>
      <c r="D413" s="178"/>
      <c r="E413" s="178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178"/>
      <c r="B414" s="178"/>
      <c r="C414" s="178"/>
      <c r="D414" s="178"/>
      <c r="E414" s="178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178"/>
      <c r="B415" s="178"/>
      <c r="C415" s="178"/>
      <c r="D415" s="178"/>
      <c r="E415" s="178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178"/>
      <c r="B416" s="178"/>
      <c r="C416" s="178"/>
      <c r="D416" s="178"/>
      <c r="E416" s="178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178"/>
      <c r="B417" s="178"/>
      <c r="C417" s="178"/>
      <c r="D417" s="178"/>
      <c r="E417" s="178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178"/>
      <c r="B418" s="178"/>
      <c r="C418" s="178"/>
      <c r="D418" s="178"/>
      <c r="E418" s="178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178"/>
      <c r="B419" s="178"/>
      <c r="C419" s="178"/>
      <c r="D419" s="178"/>
      <c r="E419" s="178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178"/>
      <c r="B420" s="178"/>
      <c r="C420" s="178"/>
      <c r="D420" s="178"/>
      <c r="E420" s="178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178"/>
      <c r="B421" s="178"/>
      <c r="C421" s="178"/>
      <c r="D421" s="178"/>
      <c r="E421" s="178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178"/>
      <c r="B422" s="178"/>
      <c r="C422" s="178"/>
      <c r="D422" s="178"/>
      <c r="E422" s="178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178"/>
      <c r="B423" s="178"/>
      <c r="C423" s="178"/>
      <c r="D423" s="178"/>
      <c r="E423" s="178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178"/>
      <c r="B424" s="178"/>
      <c r="C424" s="178"/>
      <c r="D424" s="178"/>
      <c r="E424" s="178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178"/>
      <c r="B425" s="178"/>
      <c r="C425" s="178"/>
      <c r="D425" s="178"/>
      <c r="E425" s="178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178"/>
      <c r="B426" s="178"/>
      <c r="C426" s="178"/>
      <c r="D426" s="178"/>
      <c r="E426" s="178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178"/>
      <c r="B427" s="178"/>
      <c r="C427" s="178"/>
      <c r="D427" s="178"/>
      <c r="E427" s="178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178"/>
      <c r="B428" s="178"/>
      <c r="C428" s="178"/>
      <c r="D428" s="178"/>
      <c r="E428" s="178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178"/>
      <c r="B429" s="178"/>
      <c r="C429" s="178"/>
      <c r="D429" s="178"/>
      <c r="E429" s="178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178"/>
      <c r="B430" s="178"/>
      <c r="C430" s="178"/>
      <c r="D430" s="178"/>
      <c r="E430" s="178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178"/>
      <c r="B431" s="178"/>
      <c r="C431" s="178"/>
      <c r="D431" s="178"/>
      <c r="E431" s="178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178"/>
      <c r="B432" s="178"/>
      <c r="C432" s="178"/>
      <c r="D432" s="178"/>
      <c r="E432" s="178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178"/>
      <c r="B433" s="178"/>
      <c r="C433" s="178"/>
      <c r="D433" s="178"/>
      <c r="E433" s="178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178"/>
      <c r="B434" s="178"/>
      <c r="C434" s="178"/>
      <c r="D434" s="178"/>
      <c r="E434" s="178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178"/>
      <c r="B435" s="178"/>
      <c r="C435" s="178"/>
      <c r="D435" s="178"/>
      <c r="E435" s="178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178"/>
      <c r="B436" s="178"/>
      <c r="C436" s="178"/>
      <c r="D436" s="178"/>
      <c r="E436" s="178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178"/>
      <c r="B437" s="178"/>
      <c r="C437" s="178"/>
      <c r="D437" s="178"/>
      <c r="E437" s="178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178"/>
      <c r="B438" s="178"/>
      <c r="C438" s="178"/>
      <c r="D438" s="178"/>
      <c r="E438" s="178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178"/>
      <c r="B439" s="178"/>
      <c r="C439" s="178"/>
      <c r="D439" s="178"/>
      <c r="E439" s="178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178"/>
      <c r="B440" s="178"/>
      <c r="C440" s="178"/>
      <c r="D440" s="178"/>
      <c r="E440" s="178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178"/>
      <c r="B441" s="178"/>
      <c r="C441" s="178"/>
      <c r="D441" s="178"/>
      <c r="E441" s="178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178"/>
      <c r="B442" s="178"/>
      <c r="C442" s="178"/>
      <c r="D442" s="178"/>
      <c r="E442" s="178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178"/>
      <c r="B443" s="178"/>
      <c r="C443" s="178"/>
      <c r="D443" s="178"/>
      <c r="E443" s="178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178"/>
      <c r="B444" s="178"/>
      <c r="C444" s="178"/>
      <c r="D444" s="178"/>
      <c r="E444" s="178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178"/>
      <c r="B445" s="178"/>
      <c r="C445" s="178"/>
      <c r="D445" s="178"/>
      <c r="E445" s="178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178"/>
      <c r="B446" s="178"/>
      <c r="C446" s="178"/>
      <c r="D446" s="178"/>
      <c r="E446" s="178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178"/>
      <c r="B447" s="178"/>
      <c r="C447" s="178"/>
      <c r="D447" s="178"/>
      <c r="E447" s="178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178"/>
      <c r="B448" s="178"/>
      <c r="C448" s="178"/>
      <c r="D448" s="178"/>
      <c r="E448" s="178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178"/>
      <c r="B449" s="178"/>
      <c r="C449" s="178"/>
      <c r="D449" s="178"/>
      <c r="E449" s="178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178"/>
      <c r="B450" s="178"/>
      <c r="C450" s="178"/>
      <c r="D450" s="178"/>
      <c r="E450" s="178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178"/>
      <c r="B451" s="178"/>
      <c r="C451" s="178"/>
      <c r="D451" s="178"/>
      <c r="E451" s="178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178"/>
      <c r="B452" s="178"/>
      <c r="C452" s="178"/>
      <c r="D452" s="178"/>
      <c r="E452" s="178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178"/>
      <c r="B453" s="178"/>
      <c r="C453" s="178"/>
      <c r="D453" s="178"/>
      <c r="E453" s="178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178"/>
      <c r="B454" s="178"/>
      <c r="C454" s="178"/>
      <c r="D454" s="178"/>
      <c r="E454" s="178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178"/>
      <c r="B455" s="178"/>
      <c r="C455" s="178"/>
      <c r="D455" s="178"/>
      <c r="E455" s="178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178"/>
      <c r="B456" s="178"/>
      <c r="C456" s="178"/>
      <c r="D456" s="178"/>
      <c r="E456" s="178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178"/>
      <c r="B457" s="178"/>
      <c r="C457" s="178"/>
      <c r="D457" s="178"/>
      <c r="E457" s="178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178"/>
      <c r="B458" s="178"/>
      <c r="C458" s="178"/>
      <c r="D458" s="178"/>
      <c r="E458" s="178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178"/>
      <c r="B459" s="178"/>
      <c r="C459" s="178"/>
      <c r="D459" s="178"/>
      <c r="E459" s="178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178"/>
      <c r="B460" s="178"/>
      <c r="C460" s="178"/>
      <c r="D460" s="178"/>
      <c r="E460" s="178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178"/>
      <c r="B461" s="178"/>
      <c r="C461" s="178"/>
      <c r="D461" s="178"/>
      <c r="E461" s="178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178"/>
      <c r="B462" s="178"/>
      <c r="C462" s="178"/>
      <c r="D462" s="178"/>
      <c r="E462" s="178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178"/>
      <c r="B463" s="178"/>
      <c r="C463" s="178"/>
      <c r="D463" s="178"/>
      <c r="E463" s="178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178"/>
      <c r="B464" s="178"/>
      <c r="C464" s="178"/>
      <c r="D464" s="178"/>
      <c r="E464" s="178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178"/>
      <c r="B465" s="178"/>
      <c r="C465" s="178"/>
      <c r="D465" s="178"/>
      <c r="E465" s="178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178"/>
      <c r="B466" s="178"/>
      <c r="C466" s="178"/>
      <c r="D466" s="178"/>
      <c r="E466" s="178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178"/>
      <c r="B467" s="178"/>
      <c r="C467" s="178"/>
      <c r="D467" s="178"/>
      <c r="E467" s="178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178"/>
      <c r="B468" s="178"/>
      <c r="C468" s="178"/>
      <c r="D468" s="178"/>
      <c r="E468" s="178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178"/>
      <c r="B469" s="178"/>
      <c r="C469" s="178"/>
      <c r="D469" s="178"/>
      <c r="E469" s="178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178"/>
      <c r="B470" s="178"/>
      <c r="C470" s="178"/>
      <c r="D470" s="178"/>
      <c r="E470" s="178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178"/>
      <c r="B471" s="178"/>
      <c r="C471" s="178"/>
      <c r="D471" s="178"/>
      <c r="E471" s="178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178"/>
      <c r="B472" s="178"/>
      <c r="C472" s="178"/>
      <c r="D472" s="178"/>
      <c r="E472" s="178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178"/>
      <c r="B473" s="178"/>
      <c r="C473" s="178"/>
      <c r="D473" s="178"/>
      <c r="E473" s="178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178"/>
      <c r="B474" s="178"/>
      <c r="C474" s="178"/>
      <c r="D474" s="178"/>
      <c r="E474" s="178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178"/>
      <c r="B475" s="178"/>
      <c r="C475" s="178"/>
      <c r="D475" s="178"/>
      <c r="E475" s="178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178"/>
      <c r="B476" s="178"/>
      <c r="C476" s="178"/>
      <c r="D476" s="178"/>
      <c r="E476" s="178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178"/>
      <c r="B477" s="178"/>
      <c r="C477" s="178"/>
      <c r="D477" s="178"/>
      <c r="E477" s="178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178"/>
      <c r="B478" s="178"/>
      <c r="C478" s="178"/>
      <c r="D478" s="178"/>
      <c r="E478" s="178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178"/>
      <c r="B479" s="178"/>
      <c r="C479" s="178"/>
      <c r="D479" s="178"/>
      <c r="E479" s="178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178"/>
      <c r="B480" s="178"/>
      <c r="C480" s="178"/>
      <c r="D480" s="178"/>
      <c r="E480" s="178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178"/>
      <c r="B481" s="178"/>
      <c r="C481" s="178"/>
      <c r="D481" s="178"/>
      <c r="E481" s="178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178"/>
      <c r="B482" s="178"/>
      <c r="C482" s="178"/>
      <c r="D482" s="178"/>
      <c r="E482" s="178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178"/>
      <c r="B483" s="178"/>
      <c r="C483" s="178"/>
      <c r="D483" s="178"/>
      <c r="E483" s="178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178"/>
      <c r="B484" s="178"/>
      <c r="C484" s="178"/>
      <c r="D484" s="178"/>
      <c r="E484" s="178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178"/>
      <c r="B485" s="178"/>
      <c r="C485" s="178"/>
      <c r="D485" s="178"/>
      <c r="E485" s="178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178"/>
      <c r="B486" s="178"/>
      <c r="C486" s="178"/>
      <c r="D486" s="178"/>
      <c r="E486" s="178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178"/>
      <c r="B487" s="178"/>
      <c r="C487" s="178"/>
      <c r="D487" s="178"/>
      <c r="E487" s="178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178"/>
      <c r="B488" s="178"/>
      <c r="C488" s="178"/>
      <c r="D488" s="178"/>
      <c r="E488" s="178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178"/>
      <c r="B489" s="178"/>
      <c r="C489" s="178"/>
      <c r="D489" s="178"/>
      <c r="E489" s="178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178"/>
      <c r="B490" s="178"/>
      <c r="C490" s="178"/>
      <c r="D490" s="178"/>
      <c r="E490" s="178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178"/>
      <c r="B491" s="178"/>
      <c r="C491" s="178"/>
      <c r="D491" s="178"/>
      <c r="E491" s="178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178"/>
      <c r="B492" s="178"/>
      <c r="C492" s="178"/>
      <c r="D492" s="178"/>
      <c r="E492" s="178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178"/>
      <c r="B493" s="178"/>
      <c r="C493" s="178"/>
      <c r="D493" s="178"/>
      <c r="E493" s="178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178"/>
      <c r="B494" s="178"/>
      <c r="C494" s="178"/>
      <c r="D494" s="178"/>
      <c r="E494" s="178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178"/>
      <c r="B495" s="178"/>
      <c r="C495" s="178"/>
      <c r="D495" s="178"/>
      <c r="E495" s="178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178"/>
      <c r="B496" s="178"/>
      <c r="C496" s="178"/>
      <c r="D496" s="178"/>
      <c r="E496" s="178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178"/>
      <c r="B497" s="178"/>
      <c r="C497" s="178"/>
      <c r="D497" s="178"/>
      <c r="E497" s="178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178"/>
      <c r="B498" s="178"/>
      <c r="C498" s="178"/>
      <c r="D498" s="178"/>
      <c r="E498" s="178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178"/>
      <c r="B499" s="178"/>
      <c r="C499" s="178"/>
      <c r="D499" s="178"/>
      <c r="E499" s="178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178"/>
      <c r="B500" s="178"/>
      <c r="C500" s="178"/>
      <c r="D500" s="178"/>
      <c r="E500" s="178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178"/>
      <c r="B501" s="178"/>
      <c r="C501" s="178"/>
      <c r="D501" s="178"/>
      <c r="E501" s="178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178"/>
      <c r="B502" s="178"/>
      <c r="C502" s="178"/>
      <c r="D502" s="178"/>
      <c r="E502" s="178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178"/>
      <c r="B503" s="178"/>
      <c r="C503" s="178"/>
      <c r="D503" s="178"/>
      <c r="E503" s="178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178"/>
      <c r="B504" s="178"/>
      <c r="C504" s="178"/>
      <c r="D504" s="178"/>
      <c r="E504" s="178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178"/>
      <c r="B505" s="178"/>
      <c r="C505" s="178"/>
      <c r="D505" s="178"/>
      <c r="E505" s="178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178"/>
      <c r="B506" s="178"/>
      <c r="C506" s="178"/>
      <c r="D506" s="178"/>
      <c r="E506" s="178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178"/>
      <c r="B507" s="178"/>
      <c r="C507" s="178"/>
      <c r="D507" s="178"/>
      <c r="E507" s="178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178"/>
      <c r="B508" s="178"/>
      <c r="C508" s="178"/>
      <c r="D508" s="178"/>
      <c r="E508" s="178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178"/>
      <c r="B509" s="178"/>
      <c r="C509" s="178"/>
      <c r="D509" s="178"/>
      <c r="E509" s="178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178"/>
      <c r="B510" s="178"/>
      <c r="C510" s="178"/>
      <c r="D510" s="178"/>
      <c r="E510" s="178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178"/>
      <c r="B511" s="178"/>
      <c r="C511" s="178"/>
      <c r="D511" s="178"/>
      <c r="E511" s="178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178"/>
      <c r="B512" s="178"/>
      <c r="C512" s="178"/>
      <c r="D512" s="178"/>
      <c r="E512" s="178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178"/>
      <c r="B513" s="178"/>
      <c r="C513" s="178"/>
      <c r="D513" s="178"/>
      <c r="E513" s="178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178"/>
      <c r="B514" s="178"/>
      <c r="C514" s="178"/>
      <c r="D514" s="178"/>
      <c r="E514" s="178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178"/>
      <c r="B515" s="178"/>
      <c r="C515" s="178"/>
      <c r="D515" s="178"/>
      <c r="E515" s="178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178"/>
      <c r="B516" s="178"/>
      <c r="C516" s="178"/>
      <c r="D516" s="178"/>
      <c r="E516" s="178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178"/>
      <c r="B517" s="178"/>
      <c r="C517" s="178"/>
      <c r="D517" s="178"/>
      <c r="E517" s="178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178"/>
      <c r="B518" s="178"/>
      <c r="C518" s="178"/>
      <c r="D518" s="178"/>
      <c r="E518" s="178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178"/>
      <c r="B519" s="178"/>
      <c r="C519" s="178"/>
      <c r="D519" s="178"/>
      <c r="E519" s="178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178"/>
      <c r="B520" s="178"/>
      <c r="C520" s="178"/>
      <c r="D520" s="178"/>
      <c r="E520" s="178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178"/>
      <c r="B521" s="178"/>
      <c r="C521" s="178"/>
      <c r="D521" s="178"/>
      <c r="E521" s="178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178"/>
      <c r="B522" s="178"/>
      <c r="C522" s="178"/>
      <c r="D522" s="178"/>
      <c r="E522" s="178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178"/>
      <c r="B523" s="178"/>
      <c r="C523" s="178"/>
      <c r="D523" s="178"/>
      <c r="E523" s="178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178"/>
      <c r="B524" s="178"/>
      <c r="C524" s="178"/>
      <c r="D524" s="178"/>
      <c r="E524" s="178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178"/>
      <c r="B525" s="178"/>
      <c r="C525" s="178"/>
      <c r="D525" s="178"/>
      <c r="E525" s="178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178"/>
      <c r="B526" s="178"/>
      <c r="C526" s="178"/>
      <c r="D526" s="178"/>
      <c r="E526" s="178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178"/>
      <c r="B527" s="178"/>
      <c r="C527" s="178"/>
      <c r="D527" s="178"/>
      <c r="E527" s="178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178"/>
      <c r="B528" s="178"/>
      <c r="C528" s="178"/>
      <c r="D528" s="178"/>
      <c r="E528" s="178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178"/>
      <c r="B529" s="178"/>
      <c r="C529" s="178"/>
      <c r="D529" s="178"/>
      <c r="E529" s="178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178"/>
      <c r="B530" s="178"/>
      <c r="C530" s="178"/>
      <c r="D530" s="178"/>
      <c r="E530" s="178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178"/>
      <c r="B531" s="178"/>
      <c r="C531" s="178"/>
      <c r="D531" s="178"/>
      <c r="E531" s="178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178"/>
      <c r="B532" s="178"/>
      <c r="C532" s="178"/>
      <c r="D532" s="178"/>
      <c r="E532" s="178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178"/>
      <c r="B533" s="178"/>
      <c r="C533" s="178"/>
      <c r="D533" s="178"/>
      <c r="E533" s="178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178"/>
      <c r="B534" s="178"/>
      <c r="C534" s="178"/>
      <c r="D534" s="178"/>
      <c r="E534" s="178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178"/>
      <c r="B535" s="178"/>
      <c r="C535" s="178"/>
      <c r="D535" s="178"/>
      <c r="E535" s="178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178"/>
      <c r="B536" s="178"/>
      <c r="C536" s="178"/>
      <c r="D536" s="178"/>
      <c r="E536" s="178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178"/>
      <c r="B537" s="178"/>
      <c r="C537" s="178"/>
      <c r="D537" s="178"/>
      <c r="E537" s="178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178"/>
      <c r="B538" s="178"/>
      <c r="C538" s="178"/>
      <c r="D538" s="178"/>
      <c r="E538" s="178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178"/>
      <c r="B539" s="178"/>
      <c r="C539" s="178"/>
      <c r="D539" s="178"/>
      <c r="E539" s="178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178"/>
      <c r="B540" s="178"/>
      <c r="C540" s="178"/>
      <c r="D540" s="178"/>
      <c r="E540" s="178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178"/>
      <c r="B541" s="178"/>
      <c r="C541" s="178"/>
      <c r="D541" s="178"/>
      <c r="E541" s="178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178"/>
      <c r="B542" s="178"/>
      <c r="C542" s="178"/>
      <c r="D542" s="178"/>
      <c r="E542" s="178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178"/>
      <c r="B543" s="178"/>
      <c r="C543" s="178"/>
      <c r="D543" s="178"/>
      <c r="E543" s="178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178"/>
      <c r="B544" s="178"/>
      <c r="C544" s="178"/>
      <c r="D544" s="178"/>
      <c r="E544" s="178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178"/>
      <c r="B545" s="178"/>
      <c r="C545" s="178"/>
      <c r="D545" s="178"/>
      <c r="E545" s="178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178"/>
      <c r="B546" s="178"/>
      <c r="C546" s="178"/>
      <c r="D546" s="178"/>
      <c r="E546" s="178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178"/>
      <c r="B547" s="178"/>
      <c r="C547" s="178"/>
      <c r="D547" s="178"/>
      <c r="E547" s="178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178"/>
      <c r="B548" s="178"/>
      <c r="C548" s="178"/>
      <c r="D548" s="178"/>
      <c r="E548" s="178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178"/>
      <c r="B549" s="178"/>
      <c r="C549" s="178"/>
      <c r="D549" s="178"/>
      <c r="E549" s="178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178"/>
      <c r="B550" s="178"/>
      <c r="C550" s="178"/>
      <c r="D550" s="178"/>
      <c r="E550" s="178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178"/>
      <c r="B551" s="178"/>
      <c r="C551" s="178"/>
      <c r="D551" s="178"/>
      <c r="E551" s="178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178"/>
      <c r="B552" s="178"/>
      <c r="C552" s="178"/>
      <c r="D552" s="178"/>
      <c r="E552" s="178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178"/>
      <c r="B553" s="178"/>
      <c r="C553" s="178"/>
      <c r="D553" s="178"/>
      <c r="E553" s="178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178"/>
      <c r="B554" s="178"/>
      <c r="C554" s="178"/>
      <c r="D554" s="178"/>
      <c r="E554" s="178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178"/>
      <c r="B555" s="178"/>
      <c r="C555" s="178"/>
      <c r="D555" s="178"/>
      <c r="E555" s="178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178"/>
      <c r="B556" s="178"/>
      <c r="C556" s="178"/>
      <c r="D556" s="178"/>
      <c r="E556" s="178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178"/>
      <c r="B557" s="178"/>
      <c r="C557" s="178"/>
      <c r="D557" s="178"/>
      <c r="E557" s="178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178"/>
      <c r="B558" s="178"/>
      <c r="C558" s="178"/>
      <c r="D558" s="178"/>
      <c r="E558" s="178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178"/>
      <c r="B559" s="178"/>
      <c r="C559" s="178"/>
      <c r="D559" s="178"/>
      <c r="E559" s="178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178"/>
      <c r="B560" s="178"/>
      <c r="C560" s="178"/>
      <c r="D560" s="178"/>
      <c r="E560" s="178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178"/>
      <c r="B561" s="178"/>
      <c r="C561" s="178"/>
      <c r="D561" s="178"/>
      <c r="E561" s="178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178"/>
      <c r="B562" s="178"/>
      <c r="C562" s="178"/>
      <c r="D562" s="178"/>
      <c r="E562" s="178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178"/>
      <c r="B563" s="178"/>
      <c r="C563" s="178"/>
      <c r="D563" s="178"/>
      <c r="E563" s="178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178"/>
      <c r="B564" s="178"/>
      <c r="C564" s="178"/>
      <c r="D564" s="178"/>
      <c r="E564" s="178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178"/>
      <c r="B565" s="178"/>
      <c r="C565" s="178"/>
      <c r="D565" s="178"/>
      <c r="E565" s="178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178"/>
      <c r="B566" s="178"/>
      <c r="C566" s="178"/>
      <c r="D566" s="178"/>
      <c r="E566" s="178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178"/>
      <c r="B567" s="178"/>
      <c r="C567" s="178"/>
      <c r="D567" s="178"/>
      <c r="E567" s="178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178"/>
      <c r="B568" s="178"/>
      <c r="C568" s="178"/>
      <c r="D568" s="178"/>
      <c r="E568" s="178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178"/>
      <c r="B569" s="178"/>
      <c r="C569" s="178"/>
      <c r="D569" s="178"/>
      <c r="E569" s="178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178"/>
      <c r="B570" s="178"/>
      <c r="C570" s="178"/>
      <c r="D570" s="178"/>
      <c r="E570" s="178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178"/>
      <c r="B571" s="178"/>
      <c r="C571" s="178"/>
      <c r="D571" s="178"/>
      <c r="E571" s="178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178"/>
      <c r="B572" s="178"/>
      <c r="C572" s="178"/>
      <c r="D572" s="178"/>
      <c r="E572" s="178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178"/>
      <c r="B573" s="178"/>
      <c r="C573" s="178"/>
      <c r="D573" s="178"/>
      <c r="E573" s="178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178"/>
      <c r="B574" s="178"/>
      <c r="C574" s="178"/>
      <c r="D574" s="178"/>
      <c r="E574" s="178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178"/>
      <c r="B575" s="178"/>
      <c r="C575" s="178"/>
      <c r="D575" s="178"/>
      <c r="E575" s="178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178"/>
      <c r="B576" s="178"/>
      <c r="C576" s="178"/>
      <c r="D576" s="178"/>
      <c r="E576" s="178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178"/>
      <c r="B577" s="178"/>
      <c r="C577" s="178"/>
      <c r="D577" s="178"/>
      <c r="E577" s="178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178"/>
      <c r="B578" s="178"/>
      <c r="C578" s="178"/>
      <c r="D578" s="178"/>
      <c r="E578" s="178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178"/>
      <c r="B579" s="178"/>
      <c r="C579" s="178"/>
      <c r="D579" s="178"/>
      <c r="E579" s="178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178"/>
      <c r="B580" s="178"/>
      <c r="C580" s="178"/>
      <c r="D580" s="178"/>
      <c r="E580" s="178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178"/>
      <c r="B581" s="178"/>
      <c r="C581" s="178"/>
      <c r="D581" s="178"/>
      <c r="E581" s="178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178"/>
      <c r="B582" s="178"/>
      <c r="C582" s="178"/>
      <c r="D582" s="178"/>
      <c r="E582" s="178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178"/>
      <c r="B583" s="178"/>
      <c r="C583" s="178"/>
      <c r="D583" s="178"/>
      <c r="E583" s="178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178"/>
      <c r="B584" s="178"/>
      <c r="C584" s="178"/>
      <c r="D584" s="178"/>
      <c r="E584" s="178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178"/>
      <c r="B585" s="178"/>
      <c r="C585" s="178"/>
      <c r="D585" s="178"/>
      <c r="E585" s="178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178"/>
      <c r="B586" s="178"/>
      <c r="C586" s="178"/>
      <c r="D586" s="178"/>
      <c r="E586" s="178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178"/>
      <c r="B587" s="178"/>
      <c r="C587" s="178"/>
      <c r="D587" s="178"/>
      <c r="E587" s="178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178"/>
      <c r="B588" s="178"/>
      <c r="C588" s="178"/>
      <c r="D588" s="178"/>
      <c r="E588" s="178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178"/>
      <c r="B589" s="178"/>
      <c r="C589" s="178"/>
      <c r="D589" s="178"/>
      <c r="E589" s="178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178"/>
      <c r="B590" s="178"/>
      <c r="C590" s="178"/>
      <c r="D590" s="178"/>
      <c r="E590" s="178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178"/>
      <c r="B591" s="178"/>
      <c r="C591" s="178"/>
      <c r="D591" s="178"/>
      <c r="E591" s="178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178"/>
      <c r="B592" s="178"/>
      <c r="C592" s="178"/>
      <c r="D592" s="178"/>
      <c r="E592" s="178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178"/>
      <c r="B593" s="178"/>
      <c r="C593" s="178"/>
      <c r="D593" s="178"/>
      <c r="E593" s="178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178"/>
      <c r="B594" s="178"/>
      <c r="C594" s="178"/>
      <c r="D594" s="178"/>
      <c r="E594" s="178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178"/>
      <c r="B595" s="178"/>
      <c r="C595" s="178"/>
      <c r="D595" s="178"/>
      <c r="E595" s="178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178"/>
      <c r="B596" s="178"/>
      <c r="C596" s="178"/>
      <c r="D596" s="178"/>
      <c r="E596" s="178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178"/>
      <c r="B597" s="178"/>
      <c r="C597" s="178"/>
      <c r="D597" s="178"/>
      <c r="E597" s="178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178"/>
      <c r="B598" s="178"/>
      <c r="C598" s="178"/>
      <c r="D598" s="178"/>
      <c r="E598" s="178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178"/>
      <c r="B599" s="178"/>
      <c r="C599" s="178"/>
      <c r="D599" s="178"/>
      <c r="E599" s="178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178"/>
      <c r="B600" s="178"/>
      <c r="C600" s="178"/>
      <c r="D600" s="178"/>
      <c r="E600" s="178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178"/>
      <c r="B601" s="178"/>
      <c r="C601" s="178"/>
      <c r="D601" s="178"/>
      <c r="E601" s="178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178"/>
      <c r="B602" s="178"/>
      <c r="C602" s="178"/>
      <c r="D602" s="178"/>
      <c r="E602" s="178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178"/>
      <c r="B603" s="178"/>
      <c r="C603" s="178"/>
      <c r="D603" s="178"/>
      <c r="E603" s="178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178"/>
      <c r="B604" s="178"/>
      <c r="C604" s="178"/>
      <c r="D604" s="178"/>
      <c r="E604" s="178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178"/>
      <c r="B605" s="178"/>
      <c r="C605" s="178"/>
      <c r="D605" s="178"/>
      <c r="E605" s="178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178"/>
      <c r="B606" s="178"/>
      <c r="C606" s="178"/>
      <c r="D606" s="178"/>
      <c r="E606" s="178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178"/>
      <c r="B607" s="178"/>
      <c r="C607" s="178"/>
      <c r="D607" s="178"/>
      <c r="E607" s="178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178"/>
      <c r="B608" s="178"/>
      <c r="C608" s="178"/>
      <c r="D608" s="178"/>
      <c r="E608" s="178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178"/>
      <c r="B609" s="178"/>
      <c r="C609" s="178"/>
      <c r="D609" s="178"/>
      <c r="E609" s="178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178"/>
      <c r="B610" s="178"/>
      <c r="C610" s="178"/>
      <c r="D610" s="178"/>
      <c r="E610" s="178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178"/>
      <c r="B611" s="178"/>
      <c r="C611" s="178"/>
      <c r="D611" s="178"/>
      <c r="E611" s="178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178"/>
      <c r="B612" s="178"/>
      <c r="C612" s="178"/>
      <c r="D612" s="178"/>
      <c r="E612" s="178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178"/>
      <c r="B613" s="178"/>
      <c r="C613" s="178"/>
      <c r="D613" s="178"/>
      <c r="E613" s="178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178"/>
      <c r="B614" s="178"/>
      <c r="C614" s="178"/>
      <c r="D614" s="178"/>
      <c r="E614" s="178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178"/>
      <c r="B615" s="178"/>
      <c r="C615" s="178"/>
      <c r="D615" s="178"/>
      <c r="E615" s="178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178"/>
      <c r="B616" s="178"/>
      <c r="C616" s="178"/>
      <c r="D616" s="178"/>
      <c r="E616" s="178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178"/>
      <c r="B617" s="178"/>
      <c r="C617" s="178"/>
      <c r="D617" s="178"/>
      <c r="E617" s="178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178"/>
      <c r="B618" s="178"/>
      <c r="C618" s="178"/>
      <c r="D618" s="178"/>
      <c r="E618" s="178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178"/>
      <c r="B619" s="178"/>
      <c r="C619" s="178"/>
      <c r="D619" s="178"/>
      <c r="E619" s="178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178"/>
      <c r="B620" s="178"/>
      <c r="C620" s="178"/>
      <c r="D620" s="178"/>
      <c r="E620" s="178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178"/>
      <c r="B621" s="178"/>
      <c r="C621" s="178"/>
      <c r="D621" s="178"/>
      <c r="E621" s="178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178"/>
      <c r="B622" s="178"/>
      <c r="C622" s="178"/>
      <c r="D622" s="178"/>
      <c r="E622" s="178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178"/>
      <c r="B623" s="178"/>
      <c r="C623" s="178"/>
      <c r="D623" s="178"/>
      <c r="E623" s="178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178"/>
      <c r="B624" s="178"/>
      <c r="C624" s="178"/>
      <c r="D624" s="178"/>
      <c r="E624" s="178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178"/>
      <c r="B625" s="178"/>
      <c r="C625" s="178"/>
      <c r="D625" s="178"/>
      <c r="E625" s="178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178"/>
      <c r="B626" s="178"/>
      <c r="C626" s="178"/>
      <c r="D626" s="178"/>
      <c r="E626" s="178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178"/>
      <c r="B627" s="178"/>
      <c r="C627" s="178"/>
      <c r="D627" s="178"/>
      <c r="E627" s="178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178"/>
      <c r="B628" s="178"/>
      <c r="C628" s="178"/>
      <c r="D628" s="178"/>
      <c r="E628" s="178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178"/>
      <c r="B629" s="178"/>
      <c r="C629" s="178"/>
      <c r="D629" s="178"/>
      <c r="E629" s="178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178"/>
      <c r="B630" s="178"/>
      <c r="C630" s="178"/>
      <c r="D630" s="178"/>
      <c r="E630" s="178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178"/>
      <c r="B631" s="178"/>
      <c r="C631" s="178"/>
      <c r="D631" s="178"/>
      <c r="E631" s="178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178"/>
      <c r="B632" s="178"/>
      <c r="C632" s="178"/>
      <c r="D632" s="178"/>
      <c r="E632" s="178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178"/>
      <c r="B633" s="178"/>
      <c r="C633" s="178"/>
      <c r="D633" s="178"/>
      <c r="E633" s="178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178"/>
      <c r="B634" s="178"/>
      <c r="C634" s="178"/>
      <c r="D634" s="178"/>
      <c r="E634" s="178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178"/>
      <c r="B635" s="178"/>
      <c r="C635" s="178"/>
      <c r="D635" s="178"/>
      <c r="E635" s="178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178"/>
      <c r="B636" s="178"/>
      <c r="C636" s="178"/>
      <c r="D636" s="178"/>
      <c r="E636" s="178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178"/>
      <c r="B637" s="178"/>
      <c r="C637" s="178"/>
      <c r="D637" s="178"/>
      <c r="E637" s="178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178"/>
      <c r="B638" s="178"/>
      <c r="C638" s="178"/>
      <c r="D638" s="178"/>
      <c r="E638" s="178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178"/>
      <c r="B639" s="178"/>
      <c r="C639" s="178"/>
      <c r="D639" s="178"/>
      <c r="E639" s="178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178"/>
      <c r="B640" s="178"/>
      <c r="C640" s="178"/>
      <c r="D640" s="178"/>
      <c r="E640" s="178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178"/>
      <c r="B641" s="178"/>
      <c r="C641" s="178"/>
      <c r="D641" s="178"/>
      <c r="E641" s="178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178"/>
      <c r="B642" s="178"/>
      <c r="C642" s="178"/>
      <c r="D642" s="178"/>
      <c r="E642" s="178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178"/>
      <c r="B643" s="178"/>
      <c r="C643" s="178"/>
      <c r="D643" s="178"/>
      <c r="E643" s="178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178"/>
      <c r="B644" s="178"/>
      <c r="C644" s="178"/>
      <c r="D644" s="178"/>
      <c r="E644" s="178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178"/>
      <c r="B645" s="178"/>
      <c r="C645" s="178"/>
      <c r="D645" s="178"/>
      <c r="E645" s="178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178"/>
      <c r="B646" s="178"/>
      <c r="C646" s="178"/>
      <c r="D646" s="178"/>
      <c r="E646" s="178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178"/>
      <c r="B647" s="178"/>
      <c r="C647" s="178"/>
      <c r="D647" s="178"/>
      <c r="E647" s="178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178"/>
      <c r="B648" s="178"/>
      <c r="C648" s="178"/>
      <c r="D648" s="178"/>
      <c r="E648" s="178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178"/>
      <c r="B649" s="178"/>
      <c r="C649" s="178"/>
      <c r="D649" s="178"/>
      <c r="E649" s="178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178"/>
      <c r="B650" s="178"/>
      <c r="C650" s="178"/>
      <c r="D650" s="178"/>
      <c r="E650" s="178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178"/>
      <c r="B651" s="178"/>
      <c r="C651" s="178"/>
      <c r="D651" s="178"/>
      <c r="E651" s="178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178"/>
      <c r="B652" s="178"/>
      <c r="C652" s="178"/>
      <c r="D652" s="178"/>
      <c r="E652" s="178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178"/>
      <c r="B653" s="178"/>
      <c r="C653" s="178"/>
      <c r="D653" s="178"/>
      <c r="E653" s="178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178"/>
      <c r="B654" s="178"/>
      <c r="C654" s="178"/>
      <c r="D654" s="178"/>
      <c r="E654" s="178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178"/>
      <c r="B655" s="178"/>
      <c r="C655" s="178"/>
      <c r="D655" s="178"/>
      <c r="E655" s="178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178"/>
      <c r="B656" s="178"/>
      <c r="C656" s="178"/>
      <c r="D656" s="178"/>
      <c r="E656" s="178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178"/>
      <c r="B657" s="178"/>
      <c r="C657" s="178"/>
      <c r="D657" s="178"/>
      <c r="E657" s="178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178"/>
      <c r="B658" s="178"/>
      <c r="C658" s="178"/>
      <c r="D658" s="178"/>
      <c r="E658" s="178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178"/>
      <c r="B659" s="178"/>
      <c r="C659" s="178"/>
      <c r="D659" s="178"/>
      <c r="E659" s="178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178"/>
      <c r="B660" s="178"/>
      <c r="C660" s="178"/>
      <c r="D660" s="178"/>
      <c r="E660" s="178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178"/>
      <c r="B661" s="178"/>
      <c r="C661" s="178"/>
      <c r="D661" s="178"/>
      <c r="E661" s="178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178"/>
      <c r="B662" s="178"/>
      <c r="C662" s="178"/>
      <c r="D662" s="178"/>
      <c r="E662" s="178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178"/>
      <c r="B663" s="178"/>
      <c r="C663" s="178"/>
      <c r="D663" s="178"/>
      <c r="E663" s="178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178"/>
      <c r="B664" s="178"/>
      <c r="C664" s="178"/>
      <c r="D664" s="178"/>
      <c r="E664" s="178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178"/>
      <c r="B665" s="178"/>
      <c r="C665" s="178"/>
      <c r="D665" s="178"/>
      <c r="E665" s="178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178"/>
      <c r="B666" s="178"/>
      <c r="C666" s="178"/>
      <c r="D666" s="178"/>
      <c r="E666" s="178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178"/>
      <c r="B667" s="178"/>
      <c r="C667" s="178"/>
      <c r="D667" s="178"/>
      <c r="E667" s="178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178"/>
      <c r="B668" s="178"/>
      <c r="C668" s="178"/>
      <c r="D668" s="178"/>
      <c r="E668" s="178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178"/>
      <c r="B669" s="178"/>
      <c r="C669" s="178"/>
      <c r="D669" s="178"/>
      <c r="E669" s="178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178"/>
      <c r="B670" s="178"/>
      <c r="C670" s="178"/>
      <c r="D670" s="178"/>
      <c r="E670" s="178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178"/>
      <c r="B671" s="178"/>
      <c r="C671" s="178"/>
      <c r="D671" s="178"/>
      <c r="E671" s="178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178"/>
      <c r="B672" s="178"/>
      <c r="C672" s="178"/>
      <c r="D672" s="178"/>
      <c r="E672" s="178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178"/>
      <c r="B673" s="178"/>
      <c r="C673" s="178"/>
      <c r="D673" s="178"/>
      <c r="E673" s="178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178"/>
      <c r="B674" s="178"/>
      <c r="C674" s="178"/>
      <c r="D674" s="178"/>
      <c r="E674" s="178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178"/>
      <c r="B675" s="178"/>
      <c r="C675" s="178"/>
      <c r="D675" s="178"/>
      <c r="E675" s="178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178"/>
      <c r="B676" s="178"/>
      <c r="C676" s="178"/>
      <c r="D676" s="178"/>
      <c r="E676" s="178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178"/>
      <c r="B677" s="178"/>
      <c r="C677" s="178"/>
      <c r="D677" s="178"/>
      <c r="E677" s="178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178"/>
      <c r="B678" s="178"/>
      <c r="C678" s="178"/>
      <c r="D678" s="178"/>
      <c r="E678" s="178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178"/>
      <c r="B679" s="178"/>
      <c r="C679" s="178"/>
      <c r="D679" s="178"/>
      <c r="E679" s="178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178"/>
      <c r="B680" s="178"/>
      <c r="C680" s="178"/>
      <c r="D680" s="178"/>
      <c r="E680" s="178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178"/>
      <c r="B681" s="178"/>
      <c r="C681" s="178"/>
      <c r="D681" s="178"/>
      <c r="E681" s="178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178"/>
      <c r="B682" s="178"/>
      <c r="C682" s="178"/>
      <c r="D682" s="178"/>
      <c r="E682" s="178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178"/>
      <c r="B683" s="178"/>
      <c r="C683" s="178"/>
      <c r="D683" s="178"/>
      <c r="E683" s="178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178"/>
      <c r="B684" s="178"/>
      <c r="C684" s="178"/>
      <c r="D684" s="178"/>
      <c r="E684" s="178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178"/>
      <c r="B685" s="178"/>
      <c r="C685" s="178"/>
      <c r="D685" s="178"/>
      <c r="E685" s="178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178"/>
      <c r="B686" s="178"/>
      <c r="C686" s="178"/>
      <c r="D686" s="178"/>
      <c r="E686" s="178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178"/>
      <c r="B687" s="178"/>
      <c r="C687" s="178"/>
      <c r="D687" s="178"/>
      <c r="E687" s="178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178"/>
      <c r="B688" s="178"/>
      <c r="C688" s="178"/>
      <c r="D688" s="178"/>
      <c r="E688" s="178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178"/>
      <c r="B689" s="178"/>
      <c r="C689" s="178"/>
      <c r="D689" s="178"/>
      <c r="E689" s="178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178"/>
      <c r="B690" s="178"/>
      <c r="C690" s="178"/>
      <c r="D690" s="178"/>
      <c r="E690" s="178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178"/>
      <c r="B691" s="178"/>
      <c r="C691" s="178"/>
      <c r="D691" s="178"/>
      <c r="E691" s="178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178"/>
      <c r="B692" s="178"/>
      <c r="C692" s="178"/>
      <c r="D692" s="178"/>
      <c r="E692" s="178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178"/>
      <c r="B693" s="178"/>
      <c r="C693" s="178"/>
      <c r="D693" s="178"/>
      <c r="E693" s="178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178"/>
      <c r="B694" s="178"/>
      <c r="C694" s="178"/>
      <c r="D694" s="178"/>
      <c r="E694" s="178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178"/>
      <c r="B695" s="178"/>
      <c r="C695" s="178"/>
      <c r="D695" s="178"/>
      <c r="E695" s="178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178"/>
      <c r="B696" s="178"/>
      <c r="C696" s="178"/>
      <c r="D696" s="178"/>
      <c r="E696" s="178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178"/>
      <c r="B697" s="178"/>
      <c r="C697" s="178"/>
      <c r="D697" s="178"/>
      <c r="E697" s="178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178"/>
      <c r="B698" s="178"/>
      <c r="C698" s="178"/>
      <c r="D698" s="178"/>
      <c r="E698" s="178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178"/>
      <c r="B699" s="178"/>
      <c r="C699" s="178"/>
      <c r="D699" s="178"/>
      <c r="E699" s="178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178"/>
      <c r="B700" s="178"/>
      <c r="C700" s="178"/>
      <c r="D700" s="178"/>
      <c r="E700" s="178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178"/>
      <c r="B701" s="178"/>
      <c r="C701" s="178"/>
      <c r="D701" s="178"/>
      <c r="E701" s="178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178"/>
      <c r="B702" s="178"/>
      <c r="C702" s="178"/>
      <c r="D702" s="178"/>
      <c r="E702" s="178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178"/>
      <c r="B703" s="178"/>
      <c r="C703" s="178"/>
      <c r="D703" s="178"/>
      <c r="E703" s="178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178"/>
      <c r="B704" s="178"/>
      <c r="C704" s="178"/>
      <c r="D704" s="178"/>
      <c r="E704" s="178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178"/>
      <c r="B705" s="178"/>
      <c r="C705" s="178"/>
      <c r="D705" s="178"/>
      <c r="E705" s="178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178"/>
      <c r="B706" s="178"/>
      <c r="C706" s="178"/>
      <c r="D706" s="178"/>
      <c r="E706" s="178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178"/>
      <c r="B707" s="178"/>
      <c r="C707" s="178"/>
      <c r="D707" s="178"/>
      <c r="E707" s="178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178"/>
      <c r="B708" s="178"/>
      <c r="C708" s="178"/>
      <c r="D708" s="178"/>
      <c r="E708" s="178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178"/>
      <c r="B709" s="178"/>
      <c r="C709" s="178"/>
      <c r="D709" s="178"/>
      <c r="E709" s="178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178"/>
      <c r="B710" s="178"/>
      <c r="C710" s="178"/>
      <c r="D710" s="178"/>
      <c r="E710" s="178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178"/>
      <c r="B711" s="178"/>
      <c r="C711" s="178"/>
      <c r="D711" s="178"/>
      <c r="E711" s="178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178"/>
      <c r="B712" s="178"/>
      <c r="C712" s="178"/>
      <c r="D712" s="178"/>
      <c r="E712" s="178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178"/>
      <c r="B713" s="178"/>
      <c r="C713" s="178"/>
      <c r="D713" s="178"/>
      <c r="E713" s="178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178"/>
      <c r="B714" s="178"/>
      <c r="C714" s="178"/>
      <c r="D714" s="178"/>
      <c r="E714" s="178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178"/>
      <c r="B715" s="178"/>
      <c r="C715" s="178"/>
      <c r="D715" s="178"/>
      <c r="E715" s="178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178"/>
      <c r="B716" s="178"/>
      <c r="C716" s="178"/>
      <c r="D716" s="178"/>
      <c r="E716" s="178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178"/>
      <c r="B717" s="178"/>
      <c r="C717" s="178"/>
      <c r="D717" s="178"/>
      <c r="E717" s="178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178"/>
      <c r="B718" s="178"/>
      <c r="C718" s="178"/>
      <c r="D718" s="178"/>
      <c r="E718" s="178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178"/>
      <c r="B719" s="178"/>
      <c r="C719" s="178"/>
      <c r="D719" s="178"/>
      <c r="E719" s="178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178"/>
      <c r="B720" s="178"/>
      <c r="C720" s="178"/>
      <c r="D720" s="178"/>
      <c r="E720" s="178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178"/>
      <c r="B721" s="178"/>
      <c r="C721" s="178"/>
      <c r="D721" s="178"/>
      <c r="E721" s="178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178"/>
      <c r="B722" s="178"/>
      <c r="C722" s="178"/>
      <c r="D722" s="178"/>
      <c r="E722" s="178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178"/>
      <c r="B723" s="178"/>
      <c r="C723" s="178"/>
      <c r="D723" s="178"/>
      <c r="E723" s="178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178"/>
      <c r="B724" s="178"/>
      <c r="C724" s="178"/>
      <c r="D724" s="178"/>
      <c r="E724" s="178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178"/>
      <c r="B725" s="178"/>
      <c r="C725" s="178"/>
      <c r="D725" s="178"/>
      <c r="E725" s="178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178"/>
      <c r="B726" s="178"/>
      <c r="C726" s="178"/>
      <c r="D726" s="178"/>
      <c r="E726" s="178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178"/>
      <c r="B727" s="178"/>
      <c r="C727" s="178"/>
      <c r="D727" s="178"/>
      <c r="E727" s="178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178"/>
      <c r="B728" s="178"/>
      <c r="C728" s="178"/>
      <c r="D728" s="178"/>
      <c r="E728" s="178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178"/>
      <c r="B729" s="178"/>
      <c r="C729" s="178"/>
      <c r="D729" s="178"/>
      <c r="E729" s="178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178"/>
      <c r="B730" s="178"/>
      <c r="C730" s="178"/>
      <c r="D730" s="178"/>
      <c r="E730" s="178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178"/>
      <c r="B731" s="178"/>
      <c r="C731" s="178"/>
      <c r="D731" s="178"/>
      <c r="E731" s="178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178"/>
      <c r="B732" s="178"/>
      <c r="C732" s="178"/>
      <c r="D732" s="178"/>
      <c r="E732" s="178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178"/>
      <c r="B733" s="178"/>
      <c r="C733" s="178"/>
      <c r="D733" s="178"/>
      <c r="E733" s="178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178"/>
      <c r="B734" s="178"/>
      <c r="C734" s="178"/>
      <c r="D734" s="178"/>
      <c r="E734" s="178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178"/>
      <c r="B735" s="178"/>
      <c r="C735" s="178"/>
      <c r="D735" s="178"/>
      <c r="E735" s="178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178"/>
      <c r="B736" s="178"/>
      <c r="C736" s="178"/>
      <c r="D736" s="178"/>
      <c r="E736" s="178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178"/>
      <c r="B737" s="178"/>
      <c r="C737" s="178"/>
      <c r="D737" s="178"/>
      <c r="E737" s="178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178"/>
      <c r="B738" s="178"/>
      <c r="C738" s="178"/>
      <c r="D738" s="178"/>
      <c r="E738" s="178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178"/>
      <c r="B739" s="178"/>
      <c r="C739" s="178"/>
      <c r="D739" s="178"/>
      <c r="E739" s="178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178"/>
      <c r="B740" s="178"/>
      <c r="C740" s="178"/>
      <c r="D740" s="178"/>
      <c r="E740" s="178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178"/>
      <c r="B741" s="178"/>
      <c r="C741" s="178"/>
      <c r="D741" s="178"/>
      <c r="E741" s="178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178"/>
      <c r="B742" s="178"/>
      <c r="C742" s="178"/>
      <c r="D742" s="178"/>
      <c r="E742" s="178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178"/>
      <c r="B743" s="178"/>
      <c r="C743" s="178"/>
      <c r="D743" s="178"/>
      <c r="E743" s="178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178"/>
      <c r="B744" s="178"/>
      <c r="C744" s="178"/>
      <c r="D744" s="178"/>
      <c r="E744" s="178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178"/>
      <c r="B745" s="178"/>
      <c r="C745" s="178"/>
      <c r="D745" s="178"/>
      <c r="E745" s="178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178"/>
      <c r="B746" s="178"/>
      <c r="C746" s="178"/>
      <c r="D746" s="178"/>
      <c r="E746" s="178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178"/>
      <c r="B747" s="178"/>
      <c r="C747" s="178"/>
      <c r="D747" s="178"/>
      <c r="E747" s="178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178"/>
      <c r="B748" s="178"/>
      <c r="C748" s="178"/>
      <c r="D748" s="178"/>
      <c r="E748" s="178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178"/>
      <c r="B749" s="178"/>
      <c r="C749" s="178"/>
      <c r="D749" s="178"/>
      <c r="E749" s="178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178"/>
      <c r="B750" s="178"/>
      <c r="C750" s="178"/>
      <c r="D750" s="178"/>
      <c r="E750" s="178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178"/>
      <c r="B751" s="178"/>
      <c r="C751" s="178"/>
      <c r="D751" s="178"/>
      <c r="E751" s="178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178"/>
      <c r="B752" s="178"/>
      <c r="C752" s="178"/>
      <c r="D752" s="178"/>
      <c r="E752" s="178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178"/>
      <c r="B753" s="178"/>
      <c r="C753" s="178"/>
      <c r="D753" s="178"/>
      <c r="E753" s="178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178"/>
      <c r="B754" s="178"/>
      <c r="C754" s="178"/>
      <c r="D754" s="178"/>
      <c r="E754" s="178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178"/>
      <c r="B755" s="178"/>
      <c r="C755" s="178"/>
      <c r="D755" s="178"/>
      <c r="E755" s="178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178"/>
      <c r="B756" s="178"/>
      <c r="C756" s="178"/>
      <c r="D756" s="178"/>
      <c r="E756" s="178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178"/>
      <c r="B757" s="178"/>
      <c r="C757" s="178"/>
      <c r="D757" s="178"/>
      <c r="E757" s="178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178"/>
      <c r="B758" s="178"/>
      <c r="C758" s="178"/>
      <c r="D758" s="178"/>
      <c r="E758" s="178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178"/>
      <c r="B759" s="178"/>
      <c r="C759" s="178"/>
      <c r="D759" s="178"/>
      <c r="E759" s="178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178"/>
      <c r="B760" s="178"/>
      <c r="C760" s="178"/>
      <c r="D760" s="178"/>
      <c r="E760" s="178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178"/>
      <c r="B761" s="178"/>
      <c r="C761" s="178"/>
      <c r="D761" s="178"/>
      <c r="E761" s="178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178"/>
      <c r="B762" s="178"/>
      <c r="C762" s="178"/>
      <c r="D762" s="178"/>
      <c r="E762" s="178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178"/>
      <c r="B763" s="178"/>
      <c r="C763" s="178"/>
      <c r="D763" s="178"/>
      <c r="E763" s="178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178"/>
      <c r="B764" s="178"/>
      <c r="C764" s="178"/>
      <c r="D764" s="178"/>
      <c r="E764" s="178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178"/>
      <c r="B765" s="178"/>
      <c r="C765" s="178"/>
      <c r="D765" s="178"/>
      <c r="E765" s="178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178"/>
      <c r="B766" s="178"/>
      <c r="C766" s="178"/>
      <c r="D766" s="178"/>
      <c r="E766" s="178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178"/>
      <c r="B767" s="178"/>
      <c r="C767" s="178"/>
      <c r="D767" s="178"/>
      <c r="E767" s="178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178"/>
      <c r="B768" s="178"/>
      <c r="C768" s="178"/>
      <c r="D768" s="178"/>
      <c r="E768" s="178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178"/>
      <c r="B769" s="178"/>
      <c r="C769" s="178"/>
      <c r="D769" s="178"/>
      <c r="E769" s="178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178"/>
      <c r="B770" s="178"/>
      <c r="C770" s="178"/>
      <c r="D770" s="178"/>
      <c r="E770" s="178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178"/>
      <c r="B771" s="178"/>
      <c r="C771" s="178"/>
      <c r="D771" s="178"/>
      <c r="E771" s="178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178"/>
      <c r="B772" s="178"/>
      <c r="C772" s="178"/>
      <c r="D772" s="178"/>
      <c r="E772" s="178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178"/>
      <c r="B773" s="178"/>
      <c r="C773" s="178"/>
      <c r="D773" s="178"/>
      <c r="E773" s="178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178"/>
      <c r="B774" s="178"/>
      <c r="C774" s="178"/>
      <c r="D774" s="178"/>
      <c r="E774" s="178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178"/>
      <c r="B775" s="178"/>
      <c r="C775" s="178"/>
      <c r="D775" s="178"/>
      <c r="E775" s="178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178"/>
      <c r="B776" s="178"/>
      <c r="C776" s="178"/>
      <c r="D776" s="178"/>
      <c r="E776" s="178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178"/>
      <c r="B777" s="178"/>
      <c r="C777" s="178"/>
      <c r="D777" s="178"/>
      <c r="E777" s="178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178"/>
      <c r="B778" s="178"/>
      <c r="C778" s="178"/>
      <c r="D778" s="178"/>
      <c r="E778" s="178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178"/>
      <c r="B779" s="178"/>
      <c r="C779" s="178"/>
      <c r="D779" s="178"/>
      <c r="E779" s="178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178"/>
      <c r="B780" s="178"/>
      <c r="C780" s="178"/>
      <c r="D780" s="178"/>
      <c r="E780" s="178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178"/>
      <c r="B781" s="178"/>
      <c r="C781" s="178"/>
      <c r="D781" s="178"/>
      <c r="E781" s="178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178"/>
      <c r="B782" s="178"/>
      <c r="C782" s="178"/>
      <c r="D782" s="178"/>
      <c r="E782" s="178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178"/>
      <c r="B783" s="178"/>
      <c r="C783" s="178"/>
      <c r="D783" s="178"/>
      <c r="E783" s="178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178"/>
      <c r="B784" s="178"/>
      <c r="C784" s="178"/>
      <c r="D784" s="178"/>
      <c r="E784" s="178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178"/>
      <c r="B785" s="178"/>
      <c r="C785" s="178"/>
      <c r="D785" s="178"/>
      <c r="E785" s="178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178"/>
      <c r="B786" s="178"/>
      <c r="C786" s="178"/>
      <c r="D786" s="178"/>
      <c r="E786" s="178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178"/>
      <c r="B787" s="178"/>
      <c r="C787" s="178"/>
      <c r="D787" s="178"/>
      <c r="E787" s="178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178"/>
      <c r="B788" s="178"/>
      <c r="C788" s="178"/>
      <c r="D788" s="178"/>
      <c r="E788" s="178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178"/>
      <c r="B789" s="178"/>
      <c r="C789" s="178"/>
      <c r="D789" s="178"/>
      <c r="E789" s="178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178"/>
      <c r="B790" s="178"/>
      <c r="C790" s="178"/>
      <c r="D790" s="178"/>
      <c r="E790" s="178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178"/>
      <c r="B791" s="178"/>
      <c r="C791" s="178"/>
      <c r="D791" s="178"/>
      <c r="E791" s="178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178"/>
      <c r="B792" s="178"/>
      <c r="C792" s="178"/>
      <c r="D792" s="178"/>
      <c r="E792" s="178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178"/>
      <c r="B793" s="178"/>
      <c r="C793" s="178"/>
      <c r="D793" s="178"/>
      <c r="E793" s="178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178"/>
      <c r="B794" s="178"/>
      <c r="C794" s="178"/>
      <c r="D794" s="178"/>
      <c r="E794" s="178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178"/>
      <c r="B795" s="178"/>
      <c r="C795" s="178"/>
      <c r="D795" s="178"/>
      <c r="E795" s="178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178"/>
      <c r="B796" s="178"/>
      <c r="C796" s="178"/>
      <c r="D796" s="178"/>
      <c r="E796" s="178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178"/>
      <c r="B797" s="178"/>
      <c r="C797" s="178"/>
      <c r="D797" s="178"/>
      <c r="E797" s="178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178"/>
      <c r="B798" s="178"/>
      <c r="C798" s="178"/>
      <c r="D798" s="178"/>
      <c r="E798" s="178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178"/>
      <c r="B799" s="178"/>
      <c r="C799" s="178"/>
      <c r="D799" s="178"/>
      <c r="E799" s="178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178"/>
      <c r="B800" s="178"/>
      <c r="C800" s="178"/>
      <c r="D800" s="178"/>
      <c r="E800" s="178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178"/>
      <c r="B801" s="178"/>
      <c r="C801" s="178"/>
      <c r="D801" s="178"/>
      <c r="E801" s="178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178"/>
      <c r="B802" s="178"/>
      <c r="C802" s="178"/>
      <c r="D802" s="178"/>
      <c r="E802" s="178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178"/>
      <c r="B803" s="178"/>
      <c r="C803" s="178"/>
      <c r="D803" s="178"/>
      <c r="E803" s="178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178"/>
      <c r="B804" s="178"/>
      <c r="C804" s="178"/>
      <c r="D804" s="178"/>
      <c r="E804" s="178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178"/>
      <c r="B805" s="178"/>
      <c r="C805" s="178"/>
      <c r="D805" s="178"/>
      <c r="E805" s="178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178"/>
      <c r="B806" s="178"/>
      <c r="C806" s="178"/>
      <c r="D806" s="178"/>
      <c r="E806" s="178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178"/>
      <c r="B807" s="178"/>
      <c r="C807" s="178"/>
      <c r="D807" s="178"/>
      <c r="E807" s="178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178"/>
      <c r="B808" s="178"/>
      <c r="C808" s="178"/>
      <c r="D808" s="178"/>
      <c r="E808" s="178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178"/>
      <c r="B809" s="178"/>
      <c r="C809" s="178"/>
      <c r="D809" s="178"/>
      <c r="E809" s="178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178"/>
      <c r="B810" s="178"/>
      <c r="C810" s="178"/>
      <c r="D810" s="178"/>
      <c r="E810" s="178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178"/>
      <c r="B811" s="178"/>
      <c r="C811" s="178"/>
      <c r="D811" s="178"/>
      <c r="E811" s="178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178"/>
      <c r="B812" s="178"/>
      <c r="C812" s="178"/>
      <c r="D812" s="178"/>
      <c r="E812" s="178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178"/>
      <c r="B813" s="178"/>
      <c r="C813" s="178"/>
      <c r="D813" s="178"/>
      <c r="E813" s="178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178"/>
      <c r="B814" s="178"/>
      <c r="C814" s="178"/>
      <c r="D814" s="178"/>
      <c r="E814" s="178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178"/>
      <c r="B815" s="178"/>
      <c r="C815" s="178"/>
      <c r="D815" s="178"/>
      <c r="E815" s="178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178"/>
      <c r="B816" s="178"/>
      <c r="C816" s="178"/>
      <c r="D816" s="178"/>
      <c r="E816" s="178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178"/>
      <c r="B817" s="178"/>
      <c r="C817" s="178"/>
      <c r="D817" s="178"/>
      <c r="E817" s="178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178"/>
      <c r="B818" s="178"/>
      <c r="C818" s="178"/>
      <c r="D818" s="178"/>
      <c r="E818" s="178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178"/>
      <c r="B819" s="178"/>
      <c r="C819" s="178"/>
      <c r="D819" s="178"/>
      <c r="E819" s="178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178"/>
      <c r="B820" s="178"/>
      <c r="C820" s="178"/>
      <c r="D820" s="178"/>
      <c r="E820" s="178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178"/>
      <c r="B821" s="178"/>
      <c r="C821" s="178"/>
      <c r="D821" s="178"/>
      <c r="E821" s="178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178"/>
      <c r="B822" s="178"/>
      <c r="C822" s="178"/>
      <c r="D822" s="178"/>
      <c r="E822" s="178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178"/>
      <c r="B823" s="178"/>
      <c r="C823" s="178"/>
      <c r="D823" s="178"/>
      <c r="E823" s="178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178"/>
      <c r="B824" s="178"/>
      <c r="C824" s="178"/>
      <c r="D824" s="178"/>
      <c r="E824" s="178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178"/>
      <c r="B825" s="178"/>
      <c r="C825" s="178"/>
      <c r="D825" s="178"/>
      <c r="E825" s="178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178"/>
      <c r="B826" s="178"/>
      <c r="C826" s="178"/>
      <c r="D826" s="178"/>
      <c r="E826" s="178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178"/>
      <c r="B827" s="178"/>
      <c r="C827" s="178"/>
      <c r="D827" s="178"/>
      <c r="E827" s="178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178"/>
      <c r="B828" s="178"/>
      <c r="C828" s="178"/>
      <c r="D828" s="178"/>
      <c r="E828" s="178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178"/>
      <c r="B829" s="178"/>
      <c r="C829" s="178"/>
      <c r="D829" s="178"/>
      <c r="E829" s="178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178"/>
      <c r="B830" s="178"/>
      <c r="C830" s="178"/>
      <c r="D830" s="178"/>
      <c r="E830" s="178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178"/>
      <c r="B831" s="178"/>
      <c r="C831" s="178"/>
      <c r="D831" s="178"/>
      <c r="E831" s="178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178"/>
      <c r="B832" s="178"/>
      <c r="C832" s="178"/>
      <c r="D832" s="178"/>
      <c r="E832" s="178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178"/>
      <c r="B833" s="178"/>
      <c r="C833" s="178"/>
      <c r="D833" s="178"/>
      <c r="E833" s="178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178"/>
      <c r="B834" s="178"/>
      <c r="C834" s="178"/>
      <c r="D834" s="178"/>
      <c r="E834" s="178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178"/>
      <c r="B835" s="178"/>
      <c r="C835" s="178"/>
      <c r="D835" s="178"/>
      <c r="E835" s="178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178"/>
      <c r="B836" s="178"/>
      <c r="C836" s="178"/>
      <c r="D836" s="178"/>
      <c r="E836" s="178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178"/>
      <c r="B837" s="178"/>
      <c r="C837" s="178"/>
      <c r="D837" s="178"/>
      <c r="E837" s="178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178"/>
      <c r="B838" s="178"/>
      <c r="C838" s="178"/>
      <c r="D838" s="178"/>
      <c r="E838" s="178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178"/>
      <c r="B839" s="178"/>
      <c r="C839" s="178"/>
      <c r="D839" s="178"/>
      <c r="E839" s="178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178"/>
      <c r="B840" s="178"/>
      <c r="C840" s="178"/>
      <c r="D840" s="178"/>
      <c r="E840" s="178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178"/>
      <c r="B841" s="178"/>
      <c r="C841" s="178"/>
      <c r="D841" s="178"/>
      <c r="E841" s="178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178"/>
      <c r="B842" s="178"/>
      <c r="C842" s="178"/>
      <c r="D842" s="178"/>
      <c r="E842" s="178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178"/>
      <c r="B843" s="178"/>
      <c r="C843" s="178"/>
      <c r="D843" s="178"/>
      <c r="E843" s="178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178"/>
      <c r="B844" s="178"/>
      <c r="C844" s="178"/>
      <c r="D844" s="178"/>
      <c r="E844" s="178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178"/>
      <c r="B845" s="178"/>
      <c r="C845" s="178"/>
      <c r="D845" s="178"/>
      <c r="E845" s="178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178"/>
      <c r="B846" s="178"/>
      <c r="C846" s="178"/>
      <c r="D846" s="178"/>
      <c r="E846" s="178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178"/>
      <c r="B847" s="178"/>
      <c r="C847" s="178"/>
      <c r="D847" s="178"/>
      <c r="E847" s="178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178"/>
      <c r="B848" s="178"/>
      <c r="C848" s="178"/>
      <c r="D848" s="178"/>
      <c r="E848" s="178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178"/>
      <c r="B849" s="178"/>
      <c r="C849" s="178"/>
      <c r="D849" s="178"/>
      <c r="E849" s="178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178"/>
      <c r="B850" s="178"/>
      <c r="C850" s="178"/>
      <c r="D850" s="178"/>
      <c r="E850" s="178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178"/>
      <c r="B851" s="178"/>
      <c r="C851" s="178"/>
      <c r="D851" s="178"/>
      <c r="E851" s="178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178"/>
      <c r="B852" s="178"/>
      <c r="C852" s="178"/>
      <c r="D852" s="178"/>
      <c r="E852" s="178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178"/>
      <c r="B853" s="178"/>
      <c r="C853" s="178"/>
      <c r="D853" s="178"/>
      <c r="E853" s="178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178"/>
      <c r="B854" s="178"/>
      <c r="C854" s="178"/>
      <c r="D854" s="178"/>
      <c r="E854" s="178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178"/>
      <c r="B855" s="178"/>
      <c r="C855" s="178"/>
      <c r="D855" s="178"/>
      <c r="E855" s="178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178"/>
      <c r="B856" s="178"/>
      <c r="C856" s="178"/>
      <c r="D856" s="178"/>
      <c r="E856" s="178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178"/>
      <c r="B857" s="178"/>
      <c r="C857" s="178"/>
      <c r="D857" s="178"/>
      <c r="E857" s="178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178"/>
      <c r="B858" s="178"/>
      <c r="C858" s="178"/>
      <c r="D858" s="178"/>
      <c r="E858" s="178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178"/>
      <c r="B859" s="178"/>
      <c r="C859" s="178"/>
      <c r="D859" s="178"/>
      <c r="E859" s="178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178"/>
      <c r="B860" s="178"/>
      <c r="C860" s="178"/>
      <c r="D860" s="178"/>
      <c r="E860" s="178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178"/>
      <c r="B861" s="178"/>
      <c r="C861" s="178"/>
      <c r="D861" s="178"/>
      <c r="E861" s="178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178"/>
      <c r="B862" s="178"/>
      <c r="C862" s="178"/>
      <c r="D862" s="178"/>
      <c r="E862" s="178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178"/>
      <c r="B863" s="178"/>
      <c r="C863" s="178"/>
      <c r="D863" s="178"/>
      <c r="E863" s="178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178"/>
      <c r="B864" s="178"/>
      <c r="C864" s="178"/>
      <c r="D864" s="178"/>
      <c r="E864" s="178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178"/>
      <c r="B865" s="178"/>
      <c r="C865" s="178"/>
      <c r="D865" s="178"/>
      <c r="E865" s="178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178"/>
      <c r="B866" s="178"/>
      <c r="C866" s="178"/>
      <c r="D866" s="178"/>
      <c r="E866" s="178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178"/>
      <c r="B867" s="178"/>
      <c r="C867" s="178"/>
      <c r="D867" s="178"/>
      <c r="E867" s="178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178"/>
      <c r="B868" s="178"/>
      <c r="C868" s="178"/>
      <c r="D868" s="178"/>
      <c r="E868" s="178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178"/>
      <c r="B869" s="178"/>
      <c r="C869" s="178"/>
      <c r="D869" s="178"/>
      <c r="E869" s="178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178"/>
      <c r="B870" s="178"/>
      <c r="C870" s="178"/>
      <c r="D870" s="178"/>
      <c r="E870" s="178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178"/>
      <c r="B871" s="178"/>
      <c r="C871" s="178"/>
      <c r="D871" s="178"/>
      <c r="E871" s="178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178"/>
      <c r="B872" s="178"/>
      <c r="C872" s="178"/>
      <c r="D872" s="178"/>
      <c r="E872" s="178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178"/>
      <c r="B873" s="178"/>
      <c r="C873" s="178"/>
      <c r="D873" s="178"/>
      <c r="E873" s="178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178"/>
      <c r="B874" s="178"/>
      <c r="C874" s="178"/>
      <c r="D874" s="178"/>
      <c r="E874" s="178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178"/>
      <c r="B875" s="178"/>
      <c r="C875" s="178"/>
      <c r="D875" s="178"/>
      <c r="E875" s="178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178"/>
      <c r="B876" s="178"/>
      <c r="C876" s="178"/>
      <c r="D876" s="178"/>
      <c r="E876" s="178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178"/>
      <c r="B877" s="178"/>
      <c r="C877" s="178"/>
      <c r="D877" s="178"/>
      <c r="E877" s="178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178"/>
      <c r="B878" s="178"/>
      <c r="C878" s="178"/>
      <c r="D878" s="178"/>
      <c r="E878" s="178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178"/>
      <c r="B879" s="178"/>
      <c r="C879" s="178"/>
      <c r="D879" s="178"/>
      <c r="E879" s="178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178"/>
      <c r="B880" s="178"/>
      <c r="C880" s="178"/>
      <c r="D880" s="178"/>
      <c r="E880" s="178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178"/>
      <c r="B881" s="178"/>
      <c r="C881" s="178"/>
      <c r="D881" s="178"/>
      <c r="E881" s="178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178"/>
      <c r="B882" s="178"/>
      <c r="C882" s="178"/>
      <c r="D882" s="178"/>
      <c r="E882" s="178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178"/>
      <c r="B883" s="178"/>
      <c r="C883" s="178"/>
      <c r="D883" s="178"/>
      <c r="E883" s="178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178"/>
      <c r="B884" s="178"/>
      <c r="C884" s="178"/>
      <c r="D884" s="178"/>
      <c r="E884" s="178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178"/>
      <c r="B885" s="178"/>
      <c r="C885" s="178"/>
      <c r="D885" s="178"/>
      <c r="E885" s="178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178"/>
      <c r="B886" s="178"/>
      <c r="C886" s="178"/>
      <c r="D886" s="178"/>
      <c r="E886" s="178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178"/>
      <c r="B887" s="178"/>
      <c r="C887" s="178"/>
      <c r="D887" s="178"/>
      <c r="E887" s="178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178"/>
      <c r="B888" s="178"/>
      <c r="C888" s="178"/>
      <c r="D888" s="178"/>
      <c r="E888" s="178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178"/>
      <c r="B889" s="178"/>
      <c r="C889" s="178"/>
      <c r="D889" s="178"/>
      <c r="E889" s="178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178"/>
      <c r="B890" s="178"/>
      <c r="C890" s="178"/>
      <c r="D890" s="178"/>
      <c r="E890" s="178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178"/>
      <c r="B891" s="178"/>
      <c r="C891" s="178"/>
      <c r="D891" s="178"/>
      <c r="E891" s="178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178"/>
      <c r="B892" s="178"/>
      <c r="C892" s="178"/>
      <c r="D892" s="178"/>
      <c r="E892" s="178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178"/>
      <c r="B893" s="178"/>
      <c r="C893" s="178"/>
      <c r="D893" s="178"/>
      <c r="E893" s="178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178"/>
      <c r="B894" s="178"/>
      <c r="C894" s="178"/>
      <c r="D894" s="178"/>
      <c r="E894" s="178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178"/>
      <c r="B895" s="178"/>
      <c r="C895" s="178"/>
      <c r="D895" s="178"/>
      <c r="E895" s="178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178"/>
      <c r="B896" s="178"/>
      <c r="C896" s="178"/>
      <c r="D896" s="178"/>
      <c r="E896" s="178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178"/>
      <c r="B897" s="178"/>
      <c r="C897" s="178"/>
      <c r="D897" s="178"/>
      <c r="E897" s="178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178"/>
      <c r="B898" s="178"/>
      <c r="C898" s="178"/>
      <c r="D898" s="178"/>
      <c r="E898" s="178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178"/>
      <c r="B899" s="178"/>
      <c r="C899" s="178"/>
      <c r="D899" s="178"/>
      <c r="E899" s="178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178"/>
      <c r="B900" s="178"/>
      <c r="C900" s="178"/>
      <c r="D900" s="178"/>
      <c r="E900" s="178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178"/>
      <c r="B901" s="178"/>
      <c r="C901" s="178"/>
      <c r="D901" s="178"/>
      <c r="E901" s="178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178"/>
      <c r="B902" s="178"/>
      <c r="C902" s="178"/>
      <c r="D902" s="178"/>
      <c r="E902" s="178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178"/>
      <c r="B903" s="178"/>
      <c r="C903" s="178"/>
      <c r="D903" s="178"/>
      <c r="E903" s="178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178"/>
      <c r="B904" s="178"/>
      <c r="C904" s="178"/>
      <c r="D904" s="178"/>
      <c r="E904" s="178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178"/>
      <c r="B905" s="178"/>
      <c r="C905" s="178"/>
      <c r="D905" s="178"/>
      <c r="E905" s="178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178"/>
      <c r="B906" s="178"/>
      <c r="C906" s="178"/>
      <c r="D906" s="178"/>
      <c r="E906" s="178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178"/>
      <c r="B907" s="178"/>
      <c r="C907" s="178"/>
      <c r="D907" s="178"/>
      <c r="E907" s="178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178"/>
      <c r="B908" s="178"/>
      <c r="C908" s="178"/>
      <c r="D908" s="178"/>
      <c r="E908" s="178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178"/>
      <c r="B909" s="178"/>
      <c r="C909" s="178"/>
      <c r="D909" s="178"/>
      <c r="E909" s="178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178"/>
      <c r="B910" s="178"/>
      <c r="C910" s="178"/>
      <c r="D910" s="178"/>
      <c r="E910" s="178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178"/>
      <c r="B911" s="178"/>
      <c r="C911" s="178"/>
      <c r="D911" s="178"/>
      <c r="E911" s="178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178"/>
      <c r="B912" s="178"/>
      <c r="C912" s="178"/>
      <c r="D912" s="178"/>
      <c r="E912" s="178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178"/>
      <c r="B913" s="178"/>
      <c r="C913" s="178"/>
      <c r="D913" s="178"/>
      <c r="E913" s="178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178"/>
      <c r="B914" s="178"/>
      <c r="C914" s="178"/>
      <c r="D914" s="178"/>
      <c r="E914" s="178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178"/>
      <c r="B915" s="178"/>
      <c r="C915" s="178"/>
      <c r="D915" s="178"/>
      <c r="E915" s="178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178"/>
      <c r="B916" s="178"/>
      <c r="C916" s="178"/>
      <c r="D916" s="178"/>
      <c r="E916" s="178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178"/>
      <c r="B917" s="178"/>
      <c r="C917" s="178"/>
      <c r="D917" s="178"/>
      <c r="E917" s="178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178"/>
      <c r="B918" s="178"/>
      <c r="C918" s="178"/>
      <c r="D918" s="178"/>
      <c r="E918" s="178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178"/>
      <c r="B919" s="178"/>
      <c r="C919" s="178"/>
      <c r="D919" s="178"/>
      <c r="E919" s="178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178"/>
      <c r="B920" s="178"/>
      <c r="C920" s="178"/>
      <c r="D920" s="178"/>
      <c r="E920" s="178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178"/>
      <c r="B921" s="178"/>
      <c r="C921" s="178"/>
      <c r="D921" s="178"/>
      <c r="E921" s="178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178"/>
      <c r="B922" s="178"/>
      <c r="C922" s="178"/>
      <c r="D922" s="178"/>
      <c r="E922" s="178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178"/>
      <c r="B923" s="178"/>
      <c r="C923" s="178"/>
      <c r="D923" s="178"/>
      <c r="E923" s="178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178"/>
      <c r="B924" s="178"/>
      <c r="C924" s="178"/>
      <c r="D924" s="178"/>
      <c r="E924" s="178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178"/>
      <c r="B925" s="178"/>
      <c r="C925" s="178"/>
      <c r="D925" s="178"/>
      <c r="E925" s="178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178"/>
      <c r="B926" s="178"/>
      <c r="C926" s="178"/>
      <c r="D926" s="178"/>
      <c r="E926" s="178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178"/>
      <c r="B927" s="178"/>
      <c r="C927" s="178"/>
      <c r="D927" s="178"/>
      <c r="E927" s="178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178"/>
      <c r="B928" s="178"/>
      <c r="C928" s="178"/>
      <c r="D928" s="178"/>
      <c r="E928" s="178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178"/>
      <c r="B929" s="178"/>
      <c r="C929" s="178"/>
      <c r="D929" s="178"/>
      <c r="E929" s="178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178"/>
      <c r="B930" s="178"/>
      <c r="C930" s="178"/>
      <c r="D930" s="178"/>
      <c r="E930" s="178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178"/>
      <c r="B931" s="178"/>
      <c r="C931" s="178"/>
      <c r="D931" s="178"/>
      <c r="E931" s="178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178"/>
      <c r="B932" s="178"/>
      <c r="C932" s="178"/>
      <c r="D932" s="178"/>
      <c r="E932" s="178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178"/>
      <c r="B933" s="178"/>
      <c r="C933" s="178"/>
      <c r="D933" s="178"/>
      <c r="E933" s="178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178"/>
      <c r="B934" s="178"/>
      <c r="C934" s="178"/>
      <c r="D934" s="178"/>
      <c r="E934" s="178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178"/>
      <c r="B935" s="178"/>
      <c r="C935" s="178"/>
      <c r="D935" s="178"/>
      <c r="E935" s="178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178"/>
      <c r="B936" s="178"/>
      <c r="C936" s="178"/>
      <c r="D936" s="178"/>
      <c r="E936" s="178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178"/>
      <c r="B937" s="178"/>
      <c r="C937" s="178"/>
      <c r="D937" s="178"/>
      <c r="E937" s="178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178"/>
      <c r="B938" s="178"/>
      <c r="C938" s="178"/>
      <c r="D938" s="178"/>
      <c r="E938" s="178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178"/>
      <c r="B939" s="178"/>
      <c r="C939" s="178"/>
      <c r="D939" s="178"/>
      <c r="E939" s="178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178"/>
      <c r="B940" s="178"/>
      <c r="C940" s="178"/>
      <c r="D940" s="178"/>
      <c r="E940" s="178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178"/>
      <c r="B941" s="178"/>
      <c r="C941" s="178"/>
      <c r="D941" s="178"/>
      <c r="E941" s="178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178"/>
      <c r="B942" s="178"/>
      <c r="C942" s="178"/>
      <c r="D942" s="178"/>
      <c r="E942" s="178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178"/>
      <c r="B943" s="178"/>
      <c r="C943" s="178"/>
      <c r="D943" s="178"/>
      <c r="E943" s="178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178"/>
      <c r="B944" s="178"/>
      <c r="C944" s="178"/>
      <c r="D944" s="178"/>
      <c r="E944" s="178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178"/>
      <c r="B945" s="178"/>
      <c r="C945" s="178"/>
      <c r="D945" s="178"/>
      <c r="E945" s="178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178"/>
      <c r="B946" s="178"/>
      <c r="C946" s="178"/>
      <c r="D946" s="178"/>
      <c r="E946" s="178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178"/>
      <c r="B947" s="178"/>
      <c r="C947" s="178"/>
      <c r="D947" s="178"/>
      <c r="E947" s="178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178"/>
      <c r="B948" s="178"/>
      <c r="C948" s="178"/>
      <c r="D948" s="178"/>
      <c r="E948" s="178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178"/>
      <c r="B949" s="178"/>
      <c r="C949" s="178"/>
      <c r="D949" s="178"/>
      <c r="E949" s="178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178"/>
      <c r="B950" s="178"/>
      <c r="C950" s="178"/>
      <c r="D950" s="178"/>
      <c r="E950" s="178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178"/>
      <c r="B951" s="178"/>
      <c r="C951" s="178"/>
      <c r="D951" s="178"/>
      <c r="E951" s="178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178"/>
      <c r="B952" s="178"/>
      <c r="C952" s="178"/>
      <c r="D952" s="178"/>
      <c r="E952" s="178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178"/>
      <c r="B953" s="178"/>
      <c r="C953" s="178"/>
      <c r="D953" s="178"/>
      <c r="E953" s="178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178"/>
      <c r="B954" s="178"/>
      <c r="C954" s="178"/>
      <c r="D954" s="178"/>
      <c r="E954" s="178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178"/>
      <c r="B955" s="178"/>
      <c r="C955" s="178"/>
      <c r="D955" s="178"/>
      <c r="E955" s="178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178"/>
      <c r="B956" s="178"/>
      <c r="C956" s="178"/>
      <c r="D956" s="178"/>
      <c r="E956" s="178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178"/>
      <c r="B957" s="178"/>
      <c r="C957" s="178"/>
      <c r="D957" s="178"/>
      <c r="E957" s="178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178"/>
      <c r="B958" s="178"/>
      <c r="C958" s="178"/>
      <c r="D958" s="178"/>
      <c r="E958" s="178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178"/>
      <c r="B959" s="178"/>
      <c r="C959" s="178"/>
      <c r="D959" s="178"/>
      <c r="E959" s="178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178"/>
      <c r="B960" s="178"/>
      <c r="C960" s="178"/>
      <c r="D960" s="178"/>
      <c r="E960" s="178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178"/>
      <c r="B961" s="178"/>
      <c r="C961" s="178"/>
      <c r="D961" s="178"/>
      <c r="E961" s="178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178"/>
      <c r="B962" s="178"/>
      <c r="C962" s="178"/>
      <c r="D962" s="178"/>
      <c r="E962" s="178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178"/>
      <c r="B963" s="178"/>
      <c r="C963" s="178"/>
      <c r="D963" s="178"/>
      <c r="E963" s="178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178"/>
      <c r="B964" s="178"/>
      <c r="C964" s="178"/>
      <c r="D964" s="178"/>
      <c r="E964" s="178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178"/>
      <c r="B965" s="178"/>
      <c r="C965" s="178"/>
      <c r="D965" s="178"/>
      <c r="E965" s="178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178"/>
      <c r="B966" s="178"/>
      <c r="C966" s="178"/>
      <c r="D966" s="178"/>
      <c r="E966" s="178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178"/>
      <c r="B967" s="178"/>
      <c r="C967" s="178"/>
      <c r="D967" s="178"/>
      <c r="E967" s="178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178"/>
      <c r="B968" s="178"/>
      <c r="C968" s="178"/>
      <c r="D968" s="178"/>
      <c r="E968" s="178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178"/>
      <c r="B969" s="178"/>
      <c r="C969" s="178"/>
      <c r="D969" s="178"/>
      <c r="E969" s="178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178"/>
      <c r="B970" s="178"/>
      <c r="C970" s="178"/>
      <c r="D970" s="178"/>
      <c r="E970" s="178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178"/>
      <c r="B971" s="178"/>
      <c r="C971" s="178"/>
      <c r="D971" s="178"/>
      <c r="E971" s="178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178"/>
      <c r="B972" s="178"/>
      <c r="C972" s="178"/>
      <c r="D972" s="178"/>
      <c r="E972" s="178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178"/>
      <c r="B973" s="178"/>
      <c r="C973" s="178"/>
      <c r="D973" s="178"/>
      <c r="E973" s="178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178"/>
      <c r="B974" s="178"/>
      <c r="C974" s="178"/>
      <c r="D974" s="178"/>
      <c r="E974" s="178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178"/>
      <c r="B975" s="178"/>
      <c r="C975" s="178"/>
      <c r="D975" s="178"/>
      <c r="E975" s="178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178"/>
      <c r="B976" s="178"/>
      <c r="C976" s="178"/>
      <c r="D976" s="178"/>
      <c r="E976" s="178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178"/>
      <c r="B977" s="178"/>
      <c r="C977" s="178"/>
      <c r="D977" s="178"/>
      <c r="E977" s="178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178"/>
      <c r="B978" s="178"/>
      <c r="C978" s="178"/>
      <c r="D978" s="178"/>
      <c r="E978" s="178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178"/>
      <c r="B979" s="178"/>
      <c r="C979" s="178"/>
      <c r="D979" s="178"/>
      <c r="E979" s="178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178"/>
      <c r="B980" s="178"/>
      <c r="C980" s="178"/>
      <c r="D980" s="178"/>
      <c r="E980" s="178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178"/>
      <c r="B981" s="178"/>
      <c r="C981" s="178"/>
      <c r="D981" s="178"/>
      <c r="E981" s="178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178"/>
      <c r="B982" s="178"/>
      <c r="C982" s="178"/>
      <c r="D982" s="178"/>
      <c r="E982" s="178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178"/>
      <c r="B983" s="178"/>
      <c r="C983" s="178"/>
      <c r="D983" s="178"/>
      <c r="E983" s="178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178"/>
      <c r="B984" s="178"/>
      <c r="C984" s="178"/>
      <c r="D984" s="178"/>
      <c r="E984" s="178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178"/>
      <c r="B985" s="178"/>
      <c r="C985" s="178"/>
      <c r="D985" s="178"/>
      <c r="E985" s="178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178"/>
      <c r="B986" s="178"/>
      <c r="C986" s="178"/>
      <c r="D986" s="178"/>
      <c r="E986" s="178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178"/>
      <c r="B987" s="178"/>
      <c r="C987" s="178"/>
      <c r="D987" s="178"/>
      <c r="E987" s="178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178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178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178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42.63"/>
    <col customWidth="1" min="3" max="3" width="16.0"/>
    <col customWidth="1" min="4" max="4" width="24.25"/>
    <col customWidth="1" min="5" max="5" width="10.38"/>
    <col customWidth="1" min="7" max="7" width="76.8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178"/>
      <c r="G1" s="80" t="s">
        <v>5</v>
      </c>
      <c r="H1" s="81">
        <f>H4</f>
        <v>35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169" t="s">
        <v>1499</v>
      </c>
      <c r="B2" s="73" t="str">
        <f t="array" ref="B2">IFERROR(XLOOKUP(A2, BASE!E:E, BASE!B:B), "")
</f>
        <v>LM Hub_SP_Guaratinguetá</v>
      </c>
      <c r="C2" s="73" t="str">
        <f t="array" ref="C2">IFERROR(XLOOKUP(A2, BASE!E:E, BASE!C:C), "")
</f>
        <v>HUB-LSP-33</v>
      </c>
      <c r="D2" s="73">
        <f t="array" ref="D2">IFERROR(XLOOKUP(A2, BASE!E:E, BASE!D:D), "")
</f>
        <v>18</v>
      </c>
      <c r="E2" s="168">
        <f t="array" ref="E2">IFERROR(XLOOKUP(A2, BASE!E:E, BASE!H:H), "")
</f>
        <v>46059.25</v>
      </c>
      <c r="F2" s="178"/>
      <c r="G2" s="82" t="s">
        <v>9</v>
      </c>
      <c r="H2" s="82">
        <f>COUNTIF(C:C,"*LSP*")
</f>
        <v>24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169" t="s">
        <v>1500</v>
      </c>
      <c r="B3" s="73" t="str">
        <f t="array" ref="B3">IFERROR(XLOOKUP(A3, BASE!E:E, BASE!B:B), "")
</f>
        <v>SoC_SP_Guarulhos</v>
      </c>
      <c r="C3" s="73" t="str">
        <f t="array" ref="C3">IFERROR(XLOOKUP(A3, BASE!E:E, BASE!C:C), "")
</f>
        <v>SOC-SP6</v>
      </c>
      <c r="D3" s="73">
        <f t="array" ref="D3">IFERROR(XLOOKUP(A3, BASE!E:E, BASE!D:D), "")
</f>
        <v>39</v>
      </c>
      <c r="E3" s="168">
        <f t="array" ref="E3">IFERROR(XLOOKUP(A3, BASE!E:E, BASE!H:H), "")
</f>
        <v>46059.25</v>
      </c>
      <c r="F3" s="178"/>
      <c r="G3" s="82" t="s">
        <v>13</v>
      </c>
      <c r="H3" s="82">
        <f>COUNTIF(C:C,"*SOC*")
</f>
        <v>13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146" t="s">
        <v>1501</v>
      </c>
      <c r="B4" s="73" t="str">
        <f t="array" ref="B4">IFERROR(XLOOKUP(A4, BASE!E:E, BASE!B:B), "")
</f>
        <v>LM Hub_SP_Registro</v>
      </c>
      <c r="C4" s="73" t="str">
        <f t="array" ref="C4">IFERROR(XLOOKUP(A4, BASE!E:E, BASE!C:C), "")
</f>
        <v>HUB-LSP-40</v>
      </c>
      <c r="D4" s="73">
        <f t="array" ref="D4">IFERROR(XLOOKUP(A4, BASE!E:E, BASE!D:D), "")
</f>
        <v>28</v>
      </c>
      <c r="E4" s="168">
        <f t="array" ref="E4">IFERROR(XLOOKUP(A4, BASE!E:E, BASE!H:H), "")
</f>
        <v>46059.27083</v>
      </c>
      <c r="F4" s="178"/>
      <c r="G4" s="82" t="s">
        <v>810</v>
      </c>
      <c r="H4" s="198">
        <f>COUNTIFS(D:D,"&gt;=5",D:D,"&lt;=117")</f>
        <v>35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69" t="s">
        <v>1502</v>
      </c>
      <c r="B5" s="73" t="str">
        <f t="array" ref="B5">IFERROR(XLOOKUP(A5, BASE!E:E, BASE!B:B), "")
</f>
        <v>LM Hub_SP_Sorocaba_Região Norte</v>
      </c>
      <c r="C5" s="73" t="str">
        <f t="array" ref="C5">IFERROR(XLOOKUP(A5, BASE!E:E, BASE!C:C), "")
</f>
        <v>HUB-LSP-10</v>
      </c>
      <c r="D5" s="73">
        <f t="array" ref="D5">IFERROR(XLOOKUP(A5, BASE!E:E, BASE!D:D), "")
</f>
        <v>34</v>
      </c>
      <c r="E5" s="168">
        <f t="array" ref="E5">IFERROR(XLOOKUP(A5, BASE!E:E, BASE!H:H), "")
</f>
        <v>46059.27083</v>
      </c>
      <c r="F5" s="178"/>
      <c r="G5" s="82" t="s">
        <v>20</v>
      </c>
      <c r="H5" s="82">
        <f>COUNTIF(D:D,"*NÃO DOCOU*")</f>
        <v>0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169" t="s">
        <v>1503</v>
      </c>
      <c r="B6" s="73" t="str">
        <f t="array" ref="B6">IFERROR(XLOOKUP(A6, BASE!E:E, BASE!B:B), "")
</f>
        <v>LM Hub_SP_Taubaté</v>
      </c>
      <c r="C6" s="73" t="str">
        <f t="array" ref="C6">IFERROR(XLOOKUP(A6, BASE!E:E, BASE!C:C), "")
</f>
        <v>HUB-LSP-08</v>
      </c>
      <c r="D6" s="73">
        <f t="array" ref="D6">IFERROR(XLOOKUP(A6, BASE!E:E, BASE!D:D), "")
</f>
        <v>29</v>
      </c>
      <c r="E6" s="168">
        <f t="array" ref="E6">IFERROR(XLOOKUP(A6, BASE!E:E, BASE!H:H), "")
</f>
        <v>46059.27083</v>
      </c>
      <c r="F6" s="178"/>
      <c r="G6" s="198" t="s">
        <v>25</v>
      </c>
      <c r="H6" s="199">
        <f>COUNTIF(D:D,"*NÃO CHEGOU*")
</f>
        <v>1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146" t="s">
        <v>1504</v>
      </c>
      <c r="B7" s="73" t="str">
        <f t="array" ref="B7">IFERROR(XLOOKUP(A7, BASE!E:E, BASE!B:B), "")
</f>
        <v>LM Hub_SP_Atibaia_Ponte_Alta</v>
      </c>
      <c r="C7" s="73" t="str">
        <f t="array" ref="C7">IFERROR(XLOOKUP(A7, BASE!E:E, BASE!C:C), "")
</f>
        <v>HUB-LSP-87</v>
      </c>
      <c r="D7" s="73">
        <f t="array" ref="D7">IFERROR(XLOOKUP(A7, BASE!E:E, BASE!D:D), "")
</f>
        <v>26</v>
      </c>
      <c r="E7" s="168">
        <f t="array" ref="E7">IFERROR(XLOOKUP(A7, BASE!E:E, BASE!H:H), "")
</f>
        <v>46059.27083</v>
      </c>
      <c r="F7" s="178"/>
      <c r="G7" s="82" t="s">
        <v>815</v>
      </c>
      <c r="H7" s="82">
        <f>COUNTIF(D:D,"*DRIVER DUPLICADO*")</f>
        <v>0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146" t="s">
        <v>1505</v>
      </c>
      <c r="B8" s="73" t="str">
        <f t="array" ref="B8">IFERROR(XLOOKUP(A8, BASE!E:E, BASE!B:B), "")
</f>
        <v>LM Hub_SP_Piracicaba</v>
      </c>
      <c r="C8" s="73" t="str">
        <f t="array" ref="C8">IFERROR(XLOOKUP(A8, BASE!E:E, BASE!C:C), "")
</f>
        <v>HUB-LSP-62</v>
      </c>
      <c r="D8" s="73">
        <f t="array" ref="D8">IFERROR(XLOOKUP(A8, BASE!E:E, BASE!D:D), "")
</f>
        <v>23</v>
      </c>
      <c r="E8" s="168">
        <f t="array" ref="E8">IFERROR(XLOOKUP(A8, BASE!E:E, BASE!H:H), "")
</f>
        <v>46059.30833</v>
      </c>
      <c r="F8" s="178"/>
      <c r="G8" s="82" t="s">
        <v>1429</v>
      </c>
      <c r="H8" s="198">
        <v>10.0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169" t="s">
        <v>1506</v>
      </c>
      <c r="B9" s="73" t="str">
        <f t="array" ref="B9">IFERROR(XLOOKUP(A9, BASE!E:E, BASE!B:B), "")
</f>
        <v>SoC_SC_Itajaí</v>
      </c>
      <c r="C9" s="73" t="str">
        <f t="array" ref="C9">IFERROR(XLOOKUP(A9, BASE!E:E, BASE!C:C), "")
</f>
        <v>SOC-SC1</v>
      </c>
      <c r="D9" s="73">
        <f t="array" ref="D9">IFERROR(XLOOKUP(A9, BASE!E:E, BASE!D:D), "")
</f>
        <v>101</v>
      </c>
      <c r="E9" s="168">
        <f t="array" ref="E9">IFERROR(XLOOKUP(A9, BASE!E:E, BASE!H:H), "")
</f>
        <v>46059.29167</v>
      </c>
      <c r="F9" s="178"/>
      <c r="G9" s="82" t="s">
        <v>1431</v>
      </c>
      <c r="H9" s="198">
        <v>25.0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169" t="s">
        <v>1507</v>
      </c>
      <c r="B10" s="73" t="str">
        <f t="array" ref="B10">IFERROR(XLOOKUP(A10, BASE!E:E, BASE!B:B), "")
</f>
        <v>SoC_SP_Cravinhos</v>
      </c>
      <c r="C10" s="73" t="str">
        <f t="array" ref="C10">IFERROR(XLOOKUP(A10, BASE!E:E, BASE!C:C), "")
</f>
        <v>SOC-SP5</v>
      </c>
      <c r="D10" s="73">
        <f t="array" ref="D10">IFERROR(XLOOKUP(A10, BASE!E:E, BASE!D:D), "")
</f>
        <v>94</v>
      </c>
      <c r="E10" s="168">
        <f t="array" ref="E10">IFERROR(XLOOKUP(A10, BASE!E:E, BASE!H:H), "")
</f>
        <v>46059.29167</v>
      </c>
      <c r="F10" s="178"/>
      <c r="G10" s="9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169" t="s">
        <v>1508</v>
      </c>
      <c r="B11" s="73" t="str">
        <f t="array" ref="B11">IFERROR(XLOOKUP(A11, BASE!E:E, BASE!B:B), "")
</f>
        <v>SoC_RJ_Duque de Caxias</v>
      </c>
      <c r="C11" s="73" t="str">
        <f t="array" ref="C11">IFERROR(XLOOKUP(A11, BASE!E:E, BASE!C:C), "")
</f>
        <v>SOC-RJ2</v>
      </c>
      <c r="D11" s="73">
        <f t="array" ref="D11">IFERROR(XLOOKUP(A11, BASE!E:E, BASE!D:D), "")
</f>
        <v>96</v>
      </c>
      <c r="E11" s="168">
        <f t="array" ref="E11">IFERROR(XLOOKUP(A11, BASE!E:E, BASE!H:H), "")
</f>
        <v>46059.29167</v>
      </c>
      <c r="F11" s="9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169" t="s">
        <v>1509</v>
      </c>
      <c r="B12" s="73" t="str">
        <f t="array" ref="B12">IFERROR(XLOOKUP(A12, BASE!E:E, BASE!B:B), "")
</f>
        <v>SoC_RJ_Duque de Caxias</v>
      </c>
      <c r="C12" s="73" t="str">
        <f t="array" ref="C12">IFERROR(XLOOKUP(A12, BASE!E:E, BASE!C:C), "")
</f>
        <v>SOC-RJ2</v>
      </c>
      <c r="D12" s="73" t="str">
        <f t="array" ref="D12">IFERROR(XLOOKUP(A12, BASE!E:E, BASE!D:D), "")
</f>
        <v>97/27</v>
      </c>
      <c r="E12" s="168">
        <f t="array" ref="E12">IFERROR(XLOOKUP(A12, BASE!E:E, BASE!H:H), "")
</f>
        <v>46059.29167</v>
      </c>
      <c r="F12" s="178"/>
      <c r="G12" s="84" t="s">
        <v>1510</v>
      </c>
      <c r="H12" s="9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169" t="s">
        <v>1511</v>
      </c>
      <c r="B13" s="73" t="str">
        <f t="array" ref="B13">IFERROR(XLOOKUP(A13, BASE!E:E, BASE!B:B), "")
</f>
        <v>LM Hub_SP_Barueri_01</v>
      </c>
      <c r="C13" s="73" t="str">
        <f t="array" ref="C13">IFERROR(XLOOKUP(A13, BASE!E:E, BASE!C:C), "")
</f>
        <v>HUB-LSP-81</v>
      </c>
      <c r="D13" s="73">
        <f t="array" ref="D13">IFERROR(XLOOKUP(A13, BASE!E:E, BASE!D:D), "")
</f>
        <v>17</v>
      </c>
      <c r="E13" s="168">
        <f t="array" ref="E13">IFERROR(XLOOKUP(A13, BASE!E:E, BASE!H:H), "")
</f>
        <v>46059.29167</v>
      </c>
      <c r="F13" s="178"/>
      <c r="G13" s="187" t="s">
        <v>653</v>
      </c>
      <c r="H13" s="178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169" t="s">
        <v>1512</v>
      </c>
      <c r="B14" s="73" t="str">
        <f t="array" ref="B14">IFERROR(XLOOKUP(A14, BASE!E:E, BASE!B:B), "")
</f>
        <v>SoC_PE_Jaboatão dos Guararapes</v>
      </c>
      <c r="C14" s="73" t="str">
        <f t="array" ref="C14">IFERROR(XLOOKUP(A14, BASE!E:E, BASE!C:C), "")
</f>
        <v>SOC-PE2</v>
      </c>
      <c r="D14" s="73">
        <f t="array" ref="D14">IFERROR(XLOOKUP(A14, BASE!E:E, BASE!D:D), "")
</f>
        <v>98</v>
      </c>
      <c r="E14" s="168">
        <f t="array" ref="E14">IFERROR(XLOOKUP(A14, BASE!E:E, BASE!H:H), "")
</f>
        <v>46059.29167</v>
      </c>
      <c r="F14" s="178"/>
      <c r="G14" s="178"/>
      <c r="H14" s="178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169" t="s">
        <v>1513</v>
      </c>
      <c r="B15" s="73" t="str">
        <f t="array" ref="B15">IFERROR(XLOOKUP(A15, BASE!E:E, BASE!B:B), "")
</f>
        <v>LM Hub_SP_Piracicaba</v>
      </c>
      <c r="C15" s="73" t="str">
        <f t="array" ref="C15">IFERROR(XLOOKUP(A15, BASE!E:E, BASE!C:C), "")
</f>
        <v>HUB-LSP-62</v>
      </c>
      <c r="D15" s="73">
        <f t="array" ref="D15">IFERROR(XLOOKUP(A15, BASE!E:E, BASE!D:D), "")
</f>
        <v>23</v>
      </c>
      <c r="E15" s="168">
        <f t="array" ref="E15">IFERROR(XLOOKUP(A15, BASE!E:E, BASE!H:H), "")
</f>
        <v>46059.29167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169" t="s">
        <v>1514</v>
      </c>
      <c r="B16" s="73" t="str">
        <f t="array" ref="B16">IFERROR(XLOOKUP(A16, BASE!E:E, BASE!B:B), "")
</f>
        <v>LM Hub_SP_Santos_PraiaGrande_02</v>
      </c>
      <c r="C16" s="73" t="str">
        <f t="array" ref="C16">IFERROR(XLOOKUP(A16, BASE!E:E, BASE!C:C), "")
</f>
        <v>HUB-LSP-63</v>
      </c>
      <c r="D16" s="73">
        <f t="array" ref="D16">IFERROR(XLOOKUP(A16, BASE!E:E, BASE!D:D), "")
</f>
        <v>19</v>
      </c>
      <c r="E16" s="168">
        <f t="array" ref="E16">IFERROR(XLOOKUP(A16, BASE!E:E, BASE!H:H), "")
</f>
        <v>46059.29167</v>
      </c>
      <c r="F16" s="178"/>
      <c r="G16" s="178"/>
      <c r="H16" s="178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102" t="s">
        <v>1515</v>
      </c>
      <c r="B17" s="73" t="str">
        <f t="array" ref="B17">IFERROR(XLOOKUP(A17, BASE!E:E, BASE!B:B), "")
</f>
        <v>LM Hub_SP_Jundiaí</v>
      </c>
      <c r="C17" s="73" t="str">
        <f t="array" ref="C17">IFERROR(XLOOKUP(A17, BASE!E:E, BASE!C:C), "")
</f>
        <v>HUB-LSP-100</v>
      </c>
      <c r="D17" s="73">
        <f t="array" ref="D17">IFERROR(XLOOKUP(A17, BASE!E:E, BASE!D:D), "")
</f>
        <v>16</v>
      </c>
      <c r="E17" s="168">
        <f t="array" ref="E17">IFERROR(XLOOKUP(A17, BASE!E:E, BASE!H:H), "")
</f>
        <v>46059.29167</v>
      </c>
      <c r="F17" s="178"/>
      <c r="G17" s="178"/>
      <c r="H17" s="178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169" t="s">
        <v>1516</v>
      </c>
      <c r="B18" s="73" t="str">
        <f t="array" ref="B18">IFERROR(XLOOKUP(A18, BASE!E:E, BASE!B:B), "")
</f>
        <v>LM Hub_SP_Guarujá</v>
      </c>
      <c r="C18" s="73" t="str">
        <f t="array" ref="C18">IFERROR(XLOOKUP(A18, BASE!E:E, BASE!C:C), "")
</f>
        <v>HUB-LSP-06</v>
      </c>
      <c r="D18" s="73">
        <f t="array" ref="D18">IFERROR(XLOOKUP(A18, BASE!E:E, BASE!D:D), "")
</f>
        <v>32</v>
      </c>
      <c r="E18" s="168">
        <f t="array" ref="E18">IFERROR(XLOOKUP(A18, BASE!E:E, BASE!H:H), "")
</f>
        <v>46059.3125</v>
      </c>
      <c r="F18" s="178"/>
      <c r="G18" s="178"/>
      <c r="H18" s="178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94" t="s">
        <v>1517</v>
      </c>
      <c r="B19" s="73" t="str">
        <f t="array" ref="B19">IFERROR(XLOOKUP(A19, BASE!E:E, BASE!B:B), "")
</f>
        <v>LM Hub_SP_Santos_Praia Grande</v>
      </c>
      <c r="C19" s="73" t="str">
        <f t="array" ref="C19">IFERROR(XLOOKUP(A19, BASE!E:E, BASE!C:C), "")
</f>
        <v>HUB-LSP-09</v>
      </c>
      <c r="D19" s="73" t="s">
        <v>25</v>
      </c>
      <c r="E19" s="168">
        <f t="array" ref="E19">IFERROR(XLOOKUP(A19, BASE!E:E, BASE!H:H), "")
</f>
        <v>46059.3125</v>
      </c>
      <c r="F19" s="178"/>
      <c r="G19" s="178"/>
      <c r="H19" s="178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169" t="s">
        <v>1518</v>
      </c>
      <c r="B20" s="73" t="str">
        <f t="array" ref="B20">IFERROR(XLOOKUP(A20, BASE!E:E, BASE!B:B), "")
</f>
        <v>LM Hub_SP_Várzea Paulista</v>
      </c>
      <c r="C20" s="73" t="str">
        <f t="array" ref="C20">IFERROR(XLOOKUP(A20, BASE!E:E, BASE!C:C), "")
</f>
        <v>HUB-LSP-20</v>
      </c>
      <c r="D20" s="73">
        <f t="array" ref="D20">IFERROR(XLOOKUP(A20, BASE!E:E, BASE!D:D), "")
</f>
        <v>21</v>
      </c>
      <c r="E20" s="168">
        <f t="array" ref="E20">IFERROR(XLOOKUP(A20, BASE!E:E, BASE!H:H), "")
</f>
        <v>46059.3125</v>
      </c>
      <c r="F20" s="178"/>
      <c r="G20" s="178"/>
      <c r="H20" s="178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169" t="s">
        <v>1519</v>
      </c>
      <c r="B21" s="73" t="str">
        <f t="array" ref="B21">IFERROR(XLOOKUP(A21, BASE!E:E, BASE!B:B), "")
</f>
        <v>LM Hub_SP_São Paulo_Mooca</v>
      </c>
      <c r="C21" s="73" t="str">
        <f t="array" ref="C21">IFERROR(XLOOKUP(A21, BASE!E:E, BASE!C:C), "")
</f>
        <v>HUB-LSP-13</v>
      </c>
      <c r="D21" s="73">
        <f t="array" ref="D21">IFERROR(XLOOKUP(A21, BASE!E:E, BASE!D:D), "")
</f>
        <v>45</v>
      </c>
      <c r="E21" s="168">
        <f t="array" ref="E21">IFERROR(XLOOKUP(A21, BASE!E:E, BASE!H:H), "")
</f>
        <v>46059.3125</v>
      </c>
      <c r="F21" s="178"/>
      <c r="G21" s="178"/>
      <c r="H21" s="178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102" t="s">
        <v>1520</v>
      </c>
      <c r="B22" s="73" t="str">
        <f t="array" ref="B22">IFERROR(XLOOKUP(A22, BASE!E:E, BASE!B:B), "")
</f>
        <v>LM Hub_SP_Itapevi</v>
      </c>
      <c r="C22" s="73" t="str">
        <f t="array" ref="C22">IFERROR(XLOOKUP(A22, BASE!E:E, BASE!C:C), "")
</f>
        <v>HUB-LSP-41</v>
      </c>
      <c r="D22" s="73">
        <f t="array" ref="D22">IFERROR(XLOOKUP(A22, BASE!E:E, BASE!D:D), "")
</f>
        <v>9</v>
      </c>
      <c r="E22" s="168">
        <f t="array" ref="E22">IFERROR(XLOOKUP(A22, BASE!E:E, BASE!H:H), "")
</f>
        <v>46059.3125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169" t="s">
        <v>1521</v>
      </c>
      <c r="B23" s="73" t="str">
        <f t="array" ref="B23">IFERROR(XLOOKUP(A23, BASE!E:E, BASE!B:B), "")
</f>
        <v>LM Hub_SP_Guarulhos</v>
      </c>
      <c r="C23" s="73" t="str">
        <f t="array" ref="C23">IFERROR(XLOOKUP(A23, BASE!E:E, BASE!C:C), "")
</f>
        <v>HUB-LSP-77</v>
      </c>
      <c r="D23" s="73">
        <f t="array" ref="D23">IFERROR(XLOOKUP(A23, BASE!E:E, BASE!D:D), "")
</f>
        <v>14</v>
      </c>
      <c r="E23" s="168">
        <f t="array" ref="E23">IFERROR(XLOOKUP(A23, BASE!E:E, BASE!H:H), "")
</f>
        <v>46059.33333</v>
      </c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169" t="s">
        <v>1522</v>
      </c>
      <c r="B24" s="73" t="str">
        <f t="array" ref="B24">IFERROR(XLOOKUP(A24, BASE!E:E, BASE!B:B), "")
</f>
        <v>LM Hub_SP_Jurubatuba</v>
      </c>
      <c r="C24" s="73" t="str">
        <f t="array" ref="C24">IFERROR(XLOOKUP(A24, BASE!E:E, BASE!C:C), "")
</f>
        <v>HUB-LSP-16</v>
      </c>
      <c r="D24" s="73">
        <f t="array" ref="D24">IFERROR(XLOOKUP(A24, BASE!E:E, BASE!D:D), "")
</f>
        <v>35</v>
      </c>
      <c r="E24" s="168">
        <f t="array" ref="E24">IFERROR(XLOOKUP(A24, BASE!E:E, BASE!H:H), "")
</f>
        <v>46059.33333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102" t="s">
        <v>1523</v>
      </c>
      <c r="B25" s="73" t="str">
        <f t="array" ref="B25">IFERROR(XLOOKUP(A25, BASE!E:E, BASE!B:B), "")
</f>
        <v>LM Hub_SP_Itaqua_Zimba</v>
      </c>
      <c r="C25" s="73" t="str">
        <f t="array" ref="C25">IFERROR(XLOOKUP(A25, BASE!E:E, BASE!C:C), "")
</f>
        <v>HUB-LSP-74</v>
      </c>
      <c r="D25" s="73">
        <f t="array" ref="D25">IFERROR(XLOOKUP(A25, BASE!E:E, BASE!D:D), "")
</f>
        <v>12</v>
      </c>
      <c r="E25" s="168">
        <f t="array" ref="E25">IFERROR(XLOOKUP(A25, BASE!E:E, BASE!H:H), "")
</f>
        <v>46059.33333</v>
      </c>
      <c r="F25" s="178"/>
      <c r="G25" s="178"/>
      <c r="H25" s="178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169" t="s">
        <v>1524</v>
      </c>
      <c r="B26" s="73" t="str">
        <f t="array" ref="B26">IFERROR(XLOOKUP(A26, BASE!E:E, BASE!B:B), "")
</f>
        <v>LM Hub_SP_São Paulo_Lapa</v>
      </c>
      <c r="C26" s="73" t="str">
        <f t="array" ref="C26">IFERROR(XLOOKUP(A26, BASE!E:E, BASE!C:C), "")
</f>
        <v>HUB-LSP-15</v>
      </c>
      <c r="D26" s="73">
        <f t="array" ref="D26">IFERROR(XLOOKUP(A26, BASE!E:E, BASE!D:D), "")
</f>
        <v>38</v>
      </c>
      <c r="E26" s="168">
        <f t="array" ref="E26">IFERROR(XLOOKUP(A26, BASE!E:E, BASE!H:H), "")
</f>
        <v>46059.33333</v>
      </c>
      <c r="F26" s="178"/>
      <c r="G26" s="178"/>
      <c r="H26" s="178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169" t="s">
        <v>1525</v>
      </c>
      <c r="B27" s="73" t="str">
        <f t="array" ref="B27">IFERROR(XLOOKUP(A27, BASE!E:E, BASE!B:B), "")
</f>
        <v>LM Hub_SP_Artur Alvim</v>
      </c>
      <c r="C27" s="73" t="str">
        <f t="array" ref="C27">IFERROR(XLOOKUP(A27, BASE!E:E, BASE!C:C), "")
</f>
        <v>HUB-LSP-07</v>
      </c>
      <c r="D27" s="73">
        <f t="array" ref="D27">IFERROR(XLOOKUP(A27, BASE!E:E, BASE!D:D), "")
</f>
        <v>13</v>
      </c>
      <c r="E27" s="168">
        <f t="array" ref="E27">IFERROR(XLOOKUP(A27, BASE!E:E, BASE!H:H), "")
</f>
        <v>46059.33333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146" t="s">
        <v>1526</v>
      </c>
      <c r="B28" s="73" t="str">
        <f t="array" ref="B28">IFERROR(XLOOKUP(A28, BASE!E:E, BASE!B:B), "")
</f>
        <v>LM Hub_SP_VilaGuilherme</v>
      </c>
      <c r="C28" s="73" t="str">
        <f t="array" ref="C28">IFERROR(XLOOKUP(A28, BASE!E:E, BASE!C:C), "")
</f>
        <v>HUB-LSP-68</v>
      </c>
      <c r="D28" s="73">
        <f t="array" ref="D28">IFERROR(XLOOKUP(A28, BASE!E:E, BASE!D:D), "")
</f>
        <v>33</v>
      </c>
      <c r="E28" s="168">
        <f t="array" ref="E28">IFERROR(XLOOKUP(A28, BASE!E:E, BASE!H:H), "")
</f>
        <v>46059.33333</v>
      </c>
      <c r="F28" s="178"/>
      <c r="G28" s="178"/>
      <c r="H28" s="178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146" t="s">
        <v>1527</v>
      </c>
      <c r="B29" s="73" t="str">
        <f t="array" ref="B29">IFERROR(XLOOKUP(A29, BASE!E:E, BASE!B:B), "")
</f>
        <v>LM Hub_SP_Embu das Artes</v>
      </c>
      <c r="C29" s="73" t="str">
        <f t="array" ref="C29">IFERROR(XLOOKUP(A29, BASE!E:E, BASE!C:C), "")
</f>
        <v>HUB-LSP-36</v>
      </c>
      <c r="D29" s="73">
        <f t="array" ref="D29">IFERROR(XLOOKUP(A29, BASE!E:E, BASE!D:D), "")
</f>
        <v>24</v>
      </c>
      <c r="E29" s="168">
        <f t="array" ref="E29">IFERROR(XLOOKUP(A29, BASE!E:E, BASE!H:H), "")
</f>
        <v>46059.33333</v>
      </c>
      <c r="F29" s="178"/>
      <c r="G29" s="178"/>
      <c r="H29" s="178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231" t="s">
        <v>1528</v>
      </c>
      <c r="B30" s="73" t="str">
        <f t="array" ref="B30">IFERROR(XLOOKUP(A30, BASE!E:E, BASE!B:B), "")
</f>
        <v>LM Hub_SP_São Bernardo do Campo</v>
      </c>
      <c r="C30" s="73" t="str">
        <f t="array" ref="C30">IFERROR(XLOOKUP(A30, BASE!E:E, BASE!C:C), "")
</f>
        <v>HUB-LSP-79</v>
      </c>
      <c r="D30" s="73">
        <f t="array" ref="D30">IFERROR(XLOOKUP(A30, BASE!E:E, BASE!D:D), "")
</f>
        <v>22</v>
      </c>
      <c r="E30" s="168">
        <f t="array" ref="E30">IFERROR(XLOOKUP(A30, BASE!E:E, BASE!H:H), "")
</f>
        <v>46059.35417</v>
      </c>
      <c r="F30" s="178"/>
      <c r="G30" s="178"/>
      <c r="H30" s="178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169" t="s">
        <v>1529</v>
      </c>
      <c r="B31" s="73" t="str">
        <f t="array" ref="B31">IFERROR(XLOOKUP(A31, BASE!E:E, BASE!B:B), "")
</f>
        <v>LM Hub_SP_Embu das Artes_02</v>
      </c>
      <c r="C31" s="73" t="str">
        <f t="array" ref="C31">IFERROR(XLOOKUP(A31, BASE!E:E, BASE!C:C), "")
</f>
        <v>HUB-LSP-96</v>
      </c>
      <c r="D31" s="73">
        <f t="array" ref="D31">IFERROR(XLOOKUP(A31, BASE!E:E, BASE!D:D), "")
</f>
        <v>25</v>
      </c>
      <c r="E31" s="168">
        <f t="array" ref="E31">IFERROR(XLOOKUP(A31, BASE!E:E, BASE!H:H), "")
</f>
        <v>46059.375</v>
      </c>
      <c r="F31" s="178"/>
      <c r="G31" s="178"/>
      <c r="H31" s="178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94" t="s">
        <v>1530</v>
      </c>
      <c r="B32" s="73" t="str">
        <f t="array" ref="B32">IFERROR(XLOOKUP(A32, BASE!E:E, BASE!B:B), "")
</f>
        <v>SoC_BA_Simoes Filho</v>
      </c>
      <c r="C32" s="73" t="str">
        <f t="array" ref="C32">IFERROR(XLOOKUP(A32, BASE!E:E, BASE!C:C), "")
</f>
        <v>SOC-BA2</v>
      </c>
      <c r="D32" s="73">
        <f t="array" ref="D32">IFERROR(XLOOKUP(A32, BASE!E:E, BASE!D:D), "")
</f>
        <v>89</v>
      </c>
      <c r="E32" s="168">
        <f t="array" ref="E32">IFERROR(XLOOKUP(A32, BASE!E:E, BASE!H:H), "")
</f>
        <v>46059.45833</v>
      </c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146" t="s">
        <v>1531</v>
      </c>
      <c r="B33" s="73" t="str">
        <f t="array" ref="B33">IFERROR(XLOOKUP(A33, BASE!E:E, BASE!B:B), "")
</f>
        <v>SoC_GO_Goiânia_02</v>
      </c>
      <c r="C33" s="73" t="str">
        <f t="array" ref="C33">IFERROR(XLOOKUP(A33, BASE!E:E, BASE!C:C), "")
</f>
        <v>SOC-GO2</v>
      </c>
      <c r="D33" s="73">
        <f t="array" ref="D33">IFERROR(XLOOKUP(A33, BASE!E:E, BASE!D:D), "")
</f>
        <v>87</v>
      </c>
      <c r="E33" s="168">
        <f t="array" ref="E33">IFERROR(XLOOKUP(A33, BASE!E:E, BASE!H:H), "")
</f>
        <v>46059.45833</v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95" t="s">
        <v>1532</v>
      </c>
      <c r="B34" s="73" t="str">
        <f t="array" ref="B34">IFERROR(XLOOKUP(A34, BASE!E:E, BASE!B:B), "")
</f>
        <v>SoC_MG_Betim</v>
      </c>
      <c r="C34" s="73" t="str">
        <f t="array" ref="C34">IFERROR(XLOOKUP(A34, BASE!E:E, BASE!C:C), "")
</f>
        <v>SOC-MG2</v>
      </c>
      <c r="D34" s="73">
        <f t="array" ref="D34">IFERROR(XLOOKUP(A34, BASE!E:E, BASE!D:D), "")
</f>
        <v>91</v>
      </c>
      <c r="E34" s="168">
        <f t="array" ref="E34">IFERROR(XLOOKUP(A34, BASE!E:E, BASE!H:H), "")
</f>
        <v>46059.45833</v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95" t="s">
        <v>1533</v>
      </c>
      <c r="B35" s="73" t="str">
        <f t="array" ref="B35">IFERROR(XLOOKUP(A35, BASE!E:E, BASE!B:B), "")
</f>
        <v>SoC_PR_Curitiba</v>
      </c>
      <c r="C35" s="73" t="str">
        <f t="array" ref="C35">IFERROR(XLOOKUP(A35, BASE!E:E, BASE!C:C), "")
</f>
        <v>SOC-PR1</v>
      </c>
      <c r="D35" s="73">
        <f t="array" ref="D35">IFERROR(XLOOKUP(A35, BASE!E:E, BASE!D:D), "")
</f>
        <v>40</v>
      </c>
      <c r="E35" s="168">
        <f t="array" ref="E35">IFERROR(XLOOKUP(A35, BASE!E:E, BASE!H:H), "")
</f>
        <v>46059.45833</v>
      </c>
      <c r="F35" s="178"/>
      <c r="G35" s="178"/>
      <c r="H35" s="178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95" t="s">
        <v>1534</v>
      </c>
      <c r="B36" s="73" t="str">
        <f t="array" ref="B36">IFERROR(XLOOKUP(A36, BASE!E:E, BASE!B:B), "")
</f>
        <v>SoC_RS_Gravataí_02</v>
      </c>
      <c r="C36" s="73" t="str">
        <f t="array" ref="C36">IFERROR(XLOOKUP(A36, BASE!E:E, BASE!C:C), "")
</f>
        <v>SOC-RS2</v>
      </c>
      <c r="D36" s="73">
        <f t="array" ref="D36">IFERROR(XLOOKUP(A36, BASE!E:E, BASE!D:D), "")
</f>
        <v>93</v>
      </c>
      <c r="E36" s="168">
        <f t="array" ref="E36">IFERROR(XLOOKUP(A36, BASE!E:E, BASE!H:H), "")
</f>
        <v>46059.45833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146" t="s">
        <v>1535</v>
      </c>
      <c r="B37" s="73" t="str">
        <f t="array" ref="B37">IFERROR(XLOOKUP(A37, BASE!E:E, BASE!B:B), "")
</f>
        <v>SoC_MG_Betim</v>
      </c>
      <c r="C37" s="73" t="str">
        <f t="array" ref="C37">IFERROR(XLOOKUP(A37, BASE!E:E, BASE!C:C), "")
</f>
        <v>SOC-MG2</v>
      </c>
      <c r="D37" s="73">
        <f t="array" ref="D37">IFERROR(XLOOKUP(A37, BASE!E:E, BASE!D:D), "")
</f>
        <v>90</v>
      </c>
      <c r="E37" s="168">
        <f t="array" ref="E37">IFERROR(XLOOKUP(A37, BASE!E:E, BASE!H:H), "")
</f>
        <v>46059.45833</v>
      </c>
      <c r="F37" s="178"/>
      <c r="G37" s="178"/>
      <c r="H37" s="178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146" t="s">
        <v>1536</v>
      </c>
      <c r="B38" s="73" t="str">
        <f t="array" ref="B38">IFERROR(XLOOKUP(A38, BASE!E:E, BASE!B:B), "")
</f>
        <v>SoC_GO_Goiânia_02</v>
      </c>
      <c r="C38" s="73" t="str">
        <f t="array" ref="C38">IFERROR(XLOOKUP(A38, BASE!E:E, BASE!C:C), "")
</f>
        <v>SOC-GO2</v>
      </c>
      <c r="D38" s="73">
        <f t="array" ref="D38">IFERROR(XLOOKUP(A38, BASE!E:E, BASE!D:D), "")
</f>
        <v>86</v>
      </c>
      <c r="E38" s="168">
        <f t="array" ref="E38">IFERROR(XLOOKUP(A38, BASE!E:E, BASE!H:H), "")
</f>
        <v>46059.66667</v>
      </c>
      <c r="F38" s="178"/>
      <c r="G38" s="178"/>
      <c r="H38" s="178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146"/>
      <c r="B39" s="73" t="str">
        <f t="array" ref="B39">IFERROR(XLOOKUP(A39, BASE!E:E, BASE!B:B), "")
</f>
        <v/>
      </c>
      <c r="C39" s="73" t="str">
        <f t="array" ref="C39">IFERROR(XLOOKUP(A39, BASE!E:E, BASE!C:C), "")
</f>
        <v/>
      </c>
      <c r="D39" s="73" t="str">
        <f t="array" ref="D39">IFERROR(XLOOKUP(A39, BASE!E:E, BASE!D:D), "")
</f>
        <v/>
      </c>
      <c r="E39" s="168" t="str">
        <f t="array" ref="E39">IFERROR(XLOOKUP(A39, BASE!E:E, BASE!H:H), "")
</f>
        <v/>
      </c>
      <c r="F39" s="178"/>
      <c r="G39" s="178"/>
      <c r="H39" s="178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146"/>
      <c r="B40" s="73" t="str">
        <f t="array" ref="B40">IFERROR(XLOOKUP(A40, BASE!E:E, BASE!B:B), "")
</f>
        <v/>
      </c>
      <c r="C40" s="73" t="str">
        <f t="array" ref="C40">IFERROR(XLOOKUP(A40, BASE!E:E, BASE!C:C), "")
</f>
        <v/>
      </c>
      <c r="D40" s="73" t="str">
        <f t="array" ref="D40">IFERROR(XLOOKUP(A40, BASE!E:E, BASE!D:D), "")
</f>
        <v/>
      </c>
      <c r="E40" s="168" t="str">
        <f t="array" ref="E40">IFERROR(XLOOKUP(A40, BASE!E:E, BASE!H:H), "")
</f>
        <v/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24"/>
      <c r="B41" s="73" t="str">
        <f t="array" ref="B41">IFERROR(XLOOKUP(A41, BASE!E:E, BASE!B:B), "")
</f>
        <v/>
      </c>
      <c r="C41" s="73" t="str">
        <f t="array" ref="C41">IFERROR(XLOOKUP(A41, BASE!E:E, BASE!C:C), "")
</f>
        <v/>
      </c>
      <c r="D41" s="73" t="str">
        <f t="array" ref="D41">IFERROR(XLOOKUP(A41, BASE!E:E, BASE!D:D), "")
</f>
        <v/>
      </c>
      <c r="E41" s="168" t="str">
        <f t="array" ref="E41">IFERROR(XLOOKUP(A41, BASE!E:E, BASE!H:H), "")
</f>
        <v/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24"/>
      <c r="B42" s="73" t="str">
        <f t="array" ref="B42">IFERROR(XLOOKUP(A42, BASE!E:E, BASE!B:B), "")
</f>
        <v/>
      </c>
      <c r="C42" s="73" t="str">
        <f t="array" ref="C42">IFERROR(XLOOKUP(A42, BASE!E:E, BASE!C:C), "")
</f>
        <v/>
      </c>
      <c r="D42" s="73" t="str">
        <f t="array" ref="D42">IFERROR(XLOOKUP(A42, BASE!E:E, BASE!D:D), "")
</f>
        <v/>
      </c>
      <c r="E42" s="168" t="str">
        <f t="array" ref="E42">IFERROR(XLOOKUP(A42, BASE!E:E, BASE!H:H), "")
</f>
        <v/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24"/>
      <c r="B43" s="73" t="str">
        <f t="array" ref="B43">IFERROR(XLOOKUP(A43, BASE!E:E, BASE!B:B), "")
</f>
        <v/>
      </c>
      <c r="C43" s="73" t="str">
        <f t="array" ref="C43">IFERROR(XLOOKUP(A43, BASE!E:E, BASE!C:C), "")
</f>
        <v/>
      </c>
      <c r="D43" s="73" t="str">
        <f t="array" ref="D43">IFERROR(XLOOKUP(A43, BASE!E:E, BASE!D:D), "")
</f>
        <v/>
      </c>
      <c r="E43" s="168" t="str">
        <f t="array" ref="E43">IFERROR(XLOOKUP(A43, BASE!E:E, BASE!H:H), "")
</f>
        <v/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24"/>
      <c r="B44" s="73" t="str">
        <f t="array" ref="B44">IFERROR(XLOOKUP(A44, BASE!E:E, BASE!B:B), "")
</f>
        <v/>
      </c>
      <c r="C44" s="73" t="str">
        <f t="array" ref="C44">IFERROR(XLOOKUP(A44, BASE!E:E, BASE!C:C), "")
</f>
        <v/>
      </c>
      <c r="D44" s="73" t="str">
        <f t="array" ref="D44">IFERROR(XLOOKUP(A44, BASE!E:E, BASE!D:D), "")
</f>
        <v/>
      </c>
      <c r="E44" s="168" t="str">
        <f t="array" ref="E44">IFERROR(XLOOKUP(A44, BASE!E:E, BASE!H:H), "")
</f>
        <v/>
      </c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24"/>
      <c r="B45" s="73" t="str">
        <f t="array" ref="B45">IFERROR(XLOOKUP(A45, BASE!E:E, BASE!B:B), "")
</f>
        <v/>
      </c>
      <c r="C45" s="73" t="str">
        <f t="array" ref="C45">IFERROR(XLOOKUP(A45, BASE!E:E, BASE!C:C), "")
</f>
        <v/>
      </c>
      <c r="D45" s="73" t="str">
        <f t="array" ref="D45">IFERROR(XLOOKUP(A45, BASE!E:E, BASE!D:D), "")
</f>
        <v/>
      </c>
      <c r="E45" s="168" t="str">
        <f t="array" ref="E45">IFERROR(XLOOKUP(A45, BASE!E:E, BASE!H:H), "")
</f>
        <v/>
      </c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24"/>
      <c r="B46" s="73" t="str">
        <f t="array" ref="B46">IFERROR(XLOOKUP(A46, BASE!E:E, BASE!B:B), "")
</f>
        <v/>
      </c>
      <c r="C46" s="73" t="str">
        <f t="array" ref="C46">IFERROR(XLOOKUP(A46, BASE!E:E, BASE!C:C), "")
</f>
        <v/>
      </c>
      <c r="D46" s="73" t="str">
        <f t="array" ref="D46">IFERROR(XLOOKUP(A46, BASE!E:E, BASE!D:D), "")
</f>
        <v/>
      </c>
      <c r="E46" s="168" t="str">
        <f t="array" ref="E46">IFERROR(XLOOKUP(A46, BASE!E:E, BASE!H:H), "")
</f>
        <v/>
      </c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24"/>
      <c r="B47" s="73" t="str">
        <f t="array" ref="B47">IFERROR(XLOOKUP(A47, BASE!E:E, BASE!B:B), "")
</f>
        <v/>
      </c>
      <c r="C47" s="73" t="str">
        <f t="array" ref="C47">IFERROR(XLOOKUP(A47, BASE!E:E, BASE!C:C), "")
</f>
        <v/>
      </c>
      <c r="D47" s="73" t="str">
        <f t="array" ref="D47">IFERROR(XLOOKUP(A47, BASE!E:E, BASE!D:D), "")
</f>
        <v/>
      </c>
      <c r="E47" s="168" t="str">
        <f t="array" ref="E47">IFERROR(XLOOKUP(A47, BASE!E:E, BASE!H:H), "")
</f>
        <v/>
      </c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178"/>
      <c r="B48" s="178"/>
      <c r="C48" s="178"/>
      <c r="D48" s="178"/>
      <c r="E48" s="178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178"/>
      <c r="B49" s="178"/>
      <c r="C49" s="178"/>
      <c r="D49" s="178"/>
      <c r="E49" s="178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178"/>
      <c r="B50" s="178"/>
      <c r="C50" s="178"/>
      <c r="D50" s="178"/>
      <c r="E50" s="178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178"/>
      <c r="B51" s="178"/>
      <c r="C51" s="178"/>
      <c r="D51" s="178"/>
      <c r="E51" s="178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178"/>
      <c r="B52" s="178"/>
      <c r="C52" s="178"/>
      <c r="D52" s="178"/>
      <c r="E52" s="178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178"/>
      <c r="B53" s="178"/>
      <c r="C53" s="178"/>
      <c r="D53" s="178"/>
      <c r="E53" s="178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178"/>
      <c r="B54" s="178"/>
      <c r="C54" s="178"/>
      <c r="D54" s="178"/>
      <c r="E54" s="178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178"/>
      <c r="B55" s="178"/>
      <c r="C55" s="178"/>
      <c r="D55" s="178"/>
      <c r="E55" s="178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178"/>
      <c r="B56" s="178"/>
      <c r="C56" s="178"/>
      <c r="D56" s="178"/>
      <c r="E56" s="178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178"/>
      <c r="B57" s="178"/>
      <c r="C57" s="178"/>
      <c r="D57" s="178"/>
      <c r="E57" s="178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178"/>
      <c r="B58" s="178"/>
      <c r="C58" s="178"/>
      <c r="D58" s="178"/>
      <c r="E58" s="178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178"/>
      <c r="B59" s="178"/>
      <c r="C59" s="178"/>
      <c r="D59" s="178"/>
      <c r="E59" s="178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178"/>
      <c r="B60" s="178"/>
      <c r="C60" s="178"/>
      <c r="D60" s="178"/>
      <c r="E60" s="178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178"/>
      <c r="B61" s="178"/>
      <c r="C61" s="178"/>
      <c r="D61" s="178"/>
      <c r="E61" s="178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178"/>
      <c r="B62" s="178"/>
      <c r="C62" s="178"/>
      <c r="D62" s="178"/>
      <c r="E62" s="178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178"/>
      <c r="B63" s="178"/>
      <c r="C63" s="178"/>
      <c r="D63" s="178"/>
      <c r="E63" s="178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178"/>
      <c r="B64" s="178"/>
      <c r="C64" s="178"/>
      <c r="D64" s="178"/>
      <c r="E64" s="178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178"/>
      <c r="B65" s="178"/>
      <c r="C65" s="178"/>
      <c r="D65" s="178"/>
      <c r="E65" s="178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178"/>
      <c r="B66" s="178"/>
      <c r="C66" s="178"/>
      <c r="D66" s="178"/>
      <c r="E66" s="178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178"/>
      <c r="B67" s="178"/>
      <c r="C67" s="178"/>
      <c r="D67" s="178"/>
      <c r="E67" s="178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178"/>
      <c r="B68" s="178"/>
      <c r="C68" s="178"/>
      <c r="D68" s="178"/>
      <c r="E68" s="178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178"/>
      <c r="B69" s="178"/>
      <c r="C69" s="178"/>
      <c r="D69" s="178"/>
      <c r="E69" s="178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178"/>
      <c r="B70" s="178"/>
      <c r="C70" s="178"/>
      <c r="D70" s="178"/>
      <c r="E70" s="178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178"/>
      <c r="B71" s="178"/>
      <c r="C71" s="178"/>
      <c r="D71" s="178"/>
      <c r="E71" s="178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178"/>
      <c r="B72" s="178"/>
      <c r="C72" s="178"/>
      <c r="D72" s="178"/>
      <c r="E72" s="178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178"/>
      <c r="B73" s="178"/>
      <c r="C73" s="178"/>
      <c r="D73" s="178"/>
      <c r="E73" s="178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178"/>
      <c r="B74" s="178"/>
      <c r="C74" s="178"/>
      <c r="D74" s="178"/>
      <c r="E74" s="178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178"/>
      <c r="B75" s="178"/>
      <c r="C75" s="178"/>
      <c r="D75" s="178"/>
      <c r="E75" s="178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178"/>
      <c r="B76" s="178"/>
      <c r="C76" s="178"/>
      <c r="D76" s="178"/>
      <c r="E76" s="178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178"/>
      <c r="B77" s="178"/>
      <c r="C77" s="178"/>
      <c r="D77" s="178"/>
      <c r="E77" s="178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178"/>
      <c r="B78" s="178"/>
      <c r="C78" s="178"/>
      <c r="D78" s="178"/>
      <c r="E78" s="178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178"/>
      <c r="B79" s="178"/>
      <c r="C79" s="178"/>
      <c r="D79" s="178"/>
      <c r="E79" s="178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178"/>
      <c r="B80" s="178"/>
      <c r="C80" s="178"/>
      <c r="D80" s="178"/>
      <c r="E80" s="178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178"/>
      <c r="B81" s="178"/>
      <c r="C81" s="178"/>
      <c r="D81" s="178"/>
      <c r="E81" s="178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178"/>
      <c r="B82" s="178"/>
      <c r="C82" s="178"/>
      <c r="D82" s="178"/>
      <c r="E82" s="178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178"/>
      <c r="B83" s="178"/>
      <c r="C83" s="178"/>
      <c r="D83" s="178"/>
      <c r="E83" s="178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178"/>
      <c r="B84" s="178"/>
      <c r="C84" s="178"/>
      <c r="D84" s="178"/>
      <c r="E84" s="178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178"/>
      <c r="B85" s="178"/>
      <c r="C85" s="178"/>
      <c r="D85" s="178"/>
      <c r="E85" s="178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178"/>
      <c r="B86" s="178"/>
      <c r="C86" s="178"/>
      <c r="D86" s="178"/>
      <c r="E86" s="178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178"/>
      <c r="B87" s="178"/>
      <c r="C87" s="178"/>
      <c r="D87" s="178"/>
      <c r="E87" s="178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178"/>
      <c r="B88" s="178"/>
      <c r="C88" s="178"/>
      <c r="D88" s="178"/>
      <c r="E88" s="178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178"/>
      <c r="B89" s="178"/>
      <c r="C89" s="178"/>
      <c r="D89" s="178"/>
      <c r="E89" s="178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178"/>
      <c r="B90" s="178"/>
      <c r="C90" s="178"/>
      <c r="D90" s="178"/>
      <c r="E90" s="178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178"/>
      <c r="B91" s="178"/>
      <c r="C91" s="178"/>
      <c r="D91" s="178"/>
      <c r="E91" s="178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178"/>
      <c r="B92" s="178"/>
      <c r="C92" s="178"/>
      <c r="D92" s="178"/>
      <c r="E92" s="178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178"/>
      <c r="B93" s="178"/>
      <c r="C93" s="178"/>
      <c r="D93" s="178"/>
      <c r="E93" s="178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178"/>
      <c r="B94" s="178"/>
      <c r="C94" s="178"/>
      <c r="D94" s="178"/>
      <c r="E94" s="178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178"/>
      <c r="B95" s="178"/>
      <c r="C95" s="178"/>
      <c r="D95" s="178"/>
      <c r="E95" s="178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178"/>
      <c r="B96" s="178"/>
      <c r="C96" s="178"/>
      <c r="D96" s="178"/>
      <c r="E96" s="178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178"/>
      <c r="B97" s="178"/>
      <c r="C97" s="178"/>
      <c r="D97" s="178"/>
      <c r="E97" s="178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178"/>
      <c r="B98" s="178"/>
      <c r="C98" s="178"/>
      <c r="D98" s="178"/>
      <c r="E98" s="178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178"/>
      <c r="B99" s="178"/>
      <c r="C99" s="178"/>
      <c r="D99" s="178"/>
      <c r="E99" s="178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178"/>
      <c r="B100" s="178"/>
      <c r="C100" s="178"/>
      <c r="D100" s="178"/>
      <c r="E100" s="178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178"/>
      <c r="B101" s="178"/>
      <c r="C101" s="178"/>
      <c r="D101" s="178"/>
      <c r="E101" s="178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178"/>
      <c r="B102" s="178"/>
      <c r="C102" s="178"/>
      <c r="D102" s="178"/>
      <c r="E102" s="178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178"/>
      <c r="B103" s="178"/>
      <c r="C103" s="178"/>
      <c r="D103" s="178"/>
      <c r="E103" s="178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178"/>
      <c r="B104" s="178"/>
      <c r="C104" s="178"/>
      <c r="D104" s="178"/>
      <c r="E104" s="178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178"/>
      <c r="B105" s="178"/>
      <c r="C105" s="178"/>
      <c r="D105" s="178"/>
      <c r="E105" s="178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178"/>
      <c r="B106" s="178"/>
      <c r="C106" s="178"/>
      <c r="D106" s="178"/>
      <c r="E106" s="178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178"/>
      <c r="B107" s="178"/>
      <c r="C107" s="178"/>
      <c r="D107" s="178"/>
      <c r="E107" s="178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178"/>
      <c r="B108" s="178"/>
      <c r="C108" s="178"/>
      <c r="D108" s="178"/>
      <c r="E108" s="178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178"/>
      <c r="B109" s="178"/>
      <c r="C109" s="178"/>
      <c r="D109" s="178"/>
      <c r="E109" s="178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178"/>
      <c r="B110" s="178"/>
      <c r="C110" s="178"/>
      <c r="D110" s="178"/>
      <c r="E110" s="178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178"/>
      <c r="B111" s="178"/>
      <c r="C111" s="178"/>
      <c r="D111" s="178"/>
      <c r="E111" s="178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178"/>
      <c r="B112" s="178"/>
      <c r="C112" s="178"/>
      <c r="D112" s="178"/>
      <c r="E112" s="178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178"/>
      <c r="B113" s="178"/>
      <c r="C113" s="178"/>
      <c r="D113" s="178"/>
      <c r="E113" s="178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178"/>
      <c r="B114" s="178"/>
      <c r="C114" s="178"/>
      <c r="D114" s="178"/>
      <c r="E114" s="178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178"/>
      <c r="B115" s="178"/>
      <c r="C115" s="178"/>
      <c r="D115" s="178"/>
      <c r="E115" s="178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178"/>
      <c r="B116" s="178"/>
      <c r="C116" s="178"/>
      <c r="D116" s="178"/>
      <c r="E116" s="178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178"/>
      <c r="B117" s="178"/>
      <c r="C117" s="178"/>
      <c r="D117" s="178"/>
      <c r="E117" s="178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178"/>
      <c r="B118" s="178"/>
      <c r="C118" s="178"/>
      <c r="D118" s="178"/>
      <c r="E118" s="178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178"/>
      <c r="B119" s="178"/>
      <c r="C119" s="178"/>
      <c r="D119" s="178"/>
      <c r="E119" s="178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178"/>
      <c r="B120" s="178"/>
      <c r="C120" s="178"/>
      <c r="D120" s="178"/>
      <c r="E120" s="178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178"/>
      <c r="B121" s="178"/>
      <c r="C121" s="178"/>
      <c r="D121" s="178"/>
      <c r="E121" s="178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178"/>
      <c r="B122" s="178"/>
      <c r="C122" s="178"/>
      <c r="D122" s="178"/>
      <c r="E122" s="178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178"/>
      <c r="B123" s="178"/>
      <c r="C123" s="178"/>
      <c r="D123" s="178"/>
      <c r="E123" s="178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178"/>
      <c r="B124" s="178"/>
      <c r="C124" s="178"/>
      <c r="D124" s="178"/>
      <c r="E124" s="178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178"/>
      <c r="B125" s="178"/>
      <c r="C125" s="178"/>
      <c r="D125" s="178"/>
      <c r="E125" s="178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178"/>
      <c r="B126" s="178"/>
      <c r="C126" s="178"/>
      <c r="D126" s="178"/>
      <c r="E126" s="178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178"/>
      <c r="B127" s="178"/>
      <c r="C127" s="178"/>
      <c r="D127" s="178"/>
      <c r="E127" s="178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178"/>
      <c r="B128" s="178"/>
      <c r="C128" s="178"/>
      <c r="D128" s="178"/>
      <c r="E128" s="178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178"/>
      <c r="B129" s="178"/>
      <c r="C129" s="178"/>
      <c r="D129" s="178"/>
      <c r="E129" s="178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178"/>
      <c r="B130" s="178"/>
      <c r="C130" s="178"/>
      <c r="D130" s="178"/>
      <c r="E130" s="178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178"/>
      <c r="B131" s="178"/>
      <c r="C131" s="178"/>
      <c r="D131" s="178"/>
      <c r="E131" s="178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178"/>
      <c r="B132" s="178"/>
      <c r="C132" s="178"/>
      <c r="D132" s="178"/>
      <c r="E132" s="178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178"/>
      <c r="B133" s="178"/>
      <c r="C133" s="178"/>
      <c r="D133" s="178"/>
      <c r="E133" s="178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178"/>
      <c r="B134" s="178"/>
      <c r="C134" s="178"/>
      <c r="D134" s="178"/>
      <c r="E134" s="178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178"/>
      <c r="B135" s="178"/>
      <c r="C135" s="178"/>
      <c r="D135" s="178"/>
      <c r="E135" s="178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178"/>
      <c r="B136" s="178"/>
      <c r="C136" s="178"/>
      <c r="D136" s="178"/>
      <c r="E136" s="178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178"/>
      <c r="B137" s="178"/>
      <c r="C137" s="178"/>
      <c r="D137" s="178"/>
      <c r="E137" s="178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178"/>
      <c r="B138" s="178"/>
      <c r="C138" s="178"/>
      <c r="D138" s="178"/>
      <c r="E138" s="178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178"/>
      <c r="B139" s="178"/>
      <c r="C139" s="178"/>
      <c r="D139" s="178"/>
      <c r="E139" s="178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178"/>
      <c r="B140" s="178"/>
      <c r="C140" s="178"/>
      <c r="D140" s="178"/>
      <c r="E140" s="178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178"/>
      <c r="B141" s="178"/>
      <c r="C141" s="178"/>
      <c r="D141" s="178"/>
      <c r="E141" s="178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178"/>
      <c r="B142" s="178"/>
      <c r="C142" s="178"/>
      <c r="D142" s="178"/>
      <c r="E142" s="178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178"/>
      <c r="B143" s="178"/>
      <c r="C143" s="178"/>
      <c r="D143" s="178"/>
      <c r="E143" s="178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178"/>
      <c r="B144" s="178"/>
      <c r="C144" s="178"/>
      <c r="D144" s="178"/>
      <c r="E144" s="178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178"/>
      <c r="B145" s="178"/>
      <c r="C145" s="178"/>
      <c r="D145" s="178"/>
      <c r="E145" s="178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178"/>
      <c r="B146" s="178"/>
      <c r="C146" s="178"/>
      <c r="D146" s="178"/>
      <c r="E146" s="178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178"/>
      <c r="B147" s="178"/>
      <c r="C147" s="178"/>
      <c r="D147" s="178"/>
      <c r="E147" s="178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178"/>
      <c r="B148" s="178"/>
      <c r="C148" s="178"/>
      <c r="D148" s="178"/>
      <c r="E148" s="178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178"/>
      <c r="B149" s="178"/>
      <c r="C149" s="178"/>
      <c r="D149" s="178"/>
      <c r="E149" s="178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178"/>
      <c r="B150" s="178"/>
      <c r="C150" s="178"/>
      <c r="D150" s="178"/>
      <c r="E150" s="178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178"/>
      <c r="B151" s="178"/>
      <c r="C151" s="178"/>
      <c r="D151" s="178"/>
      <c r="E151" s="178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178"/>
      <c r="B152" s="178"/>
      <c r="C152" s="178"/>
      <c r="D152" s="178"/>
      <c r="E152" s="178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178"/>
      <c r="B153" s="178"/>
      <c r="C153" s="178"/>
      <c r="D153" s="178"/>
      <c r="E153" s="178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178"/>
      <c r="B154" s="178"/>
      <c r="C154" s="178"/>
      <c r="D154" s="178"/>
      <c r="E154" s="178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178"/>
      <c r="B155" s="178"/>
      <c r="C155" s="178"/>
      <c r="D155" s="178"/>
      <c r="E155" s="178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178"/>
      <c r="B156" s="178"/>
      <c r="C156" s="178"/>
      <c r="D156" s="178"/>
      <c r="E156" s="178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178"/>
      <c r="B157" s="178"/>
      <c r="C157" s="178"/>
      <c r="D157" s="178"/>
      <c r="E157" s="178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178"/>
      <c r="B158" s="178"/>
      <c r="C158" s="178"/>
      <c r="D158" s="178"/>
      <c r="E158" s="178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178"/>
      <c r="B159" s="178"/>
      <c r="C159" s="178"/>
      <c r="D159" s="178"/>
      <c r="E159" s="178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178"/>
      <c r="B160" s="178"/>
      <c r="C160" s="178"/>
      <c r="D160" s="178"/>
      <c r="E160" s="178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178"/>
      <c r="B161" s="178"/>
      <c r="C161" s="178"/>
      <c r="D161" s="178"/>
      <c r="E161" s="178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178"/>
      <c r="B162" s="178"/>
      <c r="C162" s="178"/>
      <c r="D162" s="178"/>
      <c r="E162" s="178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178"/>
      <c r="B163" s="178"/>
      <c r="C163" s="178"/>
      <c r="D163" s="178"/>
      <c r="E163" s="178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178"/>
      <c r="B164" s="178"/>
      <c r="C164" s="178"/>
      <c r="D164" s="178"/>
      <c r="E164" s="178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178"/>
      <c r="B165" s="178"/>
      <c r="C165" s="178"/>
      <c r="D165" s="178"/>
      <c r="E165" s="178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178"/>
      <c r="B166" s="178"/>
      <c r="C166" s="178"/>
      <c r="D166" s="178"/>
      <c r="E166" s="178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178"/>
      <c r="B167" s="178"/>
      <c r="C167" s="178"/>
      <c r="D167" s="178"/>
      <c r="E167" s="178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178"/>
      <c r="B168" s="178"/>
      <c r="C168" s="178"/>
      <c r="D168" s="178"/>
      <c r="E168" s="178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178"/>
      <c r="B169" s="178"/>
      <c r="C169" s="178"/>
      <c r="D169" s="178"/>
      <c r="E169" s="178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178"/>
      <c r="B170" s="178"/>
      <c r="C170" s="178"/>
      <c r="D170" s="178"/>
      <c r="E170" s="178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178"/>
      <c r="B171" s="178"/>
      <c r="C171" s="178"/>
      <c r="D171" s="178"/>
      <c r="E171" s="178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178"/>
      <c r="B172" s="178"/>
      <c r="C172" s="178"/>
      <c r="D172" s="178"/>
      <c r="E172" s="178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178"/>
      <c r="B173" s="178"/>
      <c r="C173" s="178"/>
      <c r="D173" s="178"/>
      <c r="E173" s="178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178"/>
      <c r="B174" s="178"/>
      <c r="C174" s="178"/>
      <c r="D174" s="178"/>
      <c r="E174" s="178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178"/>
      <c r="B175" s="178"/>
      <c r="C175" s="178"/>
      <c r="D175" s="178"/>
      <c r="E175" s="178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178"/>
      <c r="B176" s="178"/>
      <c r="C176" s="178"/>
      <c r="D176" s="178"/>
      <c r="E176" s="178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178"/>
      <c r="B177" s="178"/>
      <c r="C177" s="178"/>
      <c r="D177" s="178"/>
      <c r="E177" s="178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178"/>
      <c r="B178" s="178"/>
      <c r="C178" s="178"/>
      <c r="D178" s="178"/>
      <c r="E178" s="178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178"/>
      <c r="B179" s="178"/>
      <c r="C179" s="178"/>
      <c r="D179" s="178"/>
      <c r="E179" s="178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178"/>
      <c r="B180" s="178"/>
      <c r="C180" s="178"/>
      <c r="D180" s="178"/>
      <c r="E180" s="178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178"/>
      <c r="B181" s="178"/>
      <c r="C181" s="178"/>
      <c r="D181" s="178"/>
      <c r="E181" s="178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178"/>
      <c r="B182" s="178"/>
      <c r="C182" s="178"/>
      <c r="D182" s="178"/>
      <c r="E182" s="178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178"/>
      <c r="B183" s="178"/>
      <c r="C183" s="178"/>
      <c r="D183" s="178"/>
      <c r="E183" s="178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178"/>
      <c r="B184" s="178"/>
      <c r="C184" s="178"/>
      <c r="D184" s="178"/>
      <c r="E184" s="178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178"/>
      <c r="B185" s="178"/>
      <c r="C185" s="178"/>
      <c r="D185" s="178"/>
      <c r="E185" s="178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178"/>
      <c r="B186" s="178"/>
      <c r="C186" s="178"/>
      <c r="D186" s="178"/>
      <c r="E186" s="178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178"/>
      <c r="B187" s="178"/>
      <c r="C187" s="178"/>
      <c r="D187" s="178"/>
      <c r="E187" s="178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178"/>
      <c r="B188" s="178"/>
      <c r="C188" s="178"/>
      <c r="D188" s="178"/>
      <c r="E188" s="178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178"/>
      <c r="B189" s="178"/>
      <c r="C189" s="178"/>
      <c r="D189" s="178"/>
      <c r="E189" s="178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178"/>
      <c r="B190" s="178"/>
      <c r="C190" s="178"/>
      <c r="D190" s="178"/>
      <c r="E190" s="178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178"/>
      <c r="B191" s="178"/>
      <c r="C191" s="178"/>
      <c r="D191" s="178"/>
      <c r="E191" s="178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178"/>
      <c r="B192" s="178"/>
      <c r="C192" s="178"/>
      <c r="D192" s="178"/>
      <c r="E192" s="178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178"/>
      <c r="B193" s="178"/>
      <c r="C193" s="178"/>
      <c r="D193" s="178"/>
      <c r="E193" s="178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178"/>
      <c r="B194" s="178"/>
      <c r="C194" s="178"/>
      <c r="D194" s="178"/>
      <c r="E194" s="178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178"/>
      <c r="B195" s="178"/>
      <c r="C195" s="178"/>
      <c r="D195" s="178"/>
      <c r="E195" s="178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178"/>
      <c r="B196" s="178"/>
      <c r="C196" s="178"/>
      <c r="D196" s="178"/>
      <c r="E196" s="178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178"/>
      <c r="B197" s="178"/>
      <c r="C197" s="178"/>
      <c r="D197" s="178"/>
      <c r="E197" s="178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178"/>
      <c r="B198" s="178"/>
      <c r="C198" s="178"/>
      <c r="D198" s="178"/>
      <c r="E198" s="178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178"/>
      <c r="B199" s="178"/>
      <c r="C199" s="178"/>
      <c r="D199" s="178"/>
      <c r="E199" s="178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178"/>
      <c r="B200" s="178"/>
      <c r="C200" s="178"/>
      <c r="D200" s="178"/>
      <c r="E200" s="178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178"/>
      <c r="B201" s="178"/>
      <c r="C201" s="178"/>
      <c r="D201" s="178"/>
      <c r="E201" s="178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178"/>
      <c r="B202" s="178"/>
      <c r="C202" s="178"/>
      <c r="D202" s="178"/>
      <c r="E202" s="178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178"/>
      <c r="B203" s="178"/>
      <c r="C203" s="178"/>
      <c r="D203" s="178"/>
      <c r="E203" s="178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178"/>
      <c r="B204" s="178"/>
      <c r="C204" s="178"/>
      <c r="D204" s="178"/>
      <c r="E204" s="178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178"/>
      <c r="B205" s="178"/>
      <c r="C205" s="178"/>
      <c r="D205" s="178"/>
      <c r="E205" s="178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178"/>
      <c r="B206" s="178"/>
      <c r="C206" s="178"/>
      <c r="D206" s="178"/>
      <c r="E206" s="178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178"/>
      <c r="B207" s="178"/>
      <c r="C207" s="178"/>
      <c r="D207" s="178"/>
      <c r="E207" s="178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178"/>
      <c r="B208" s="178"/>
      <c r="C208" s="178"/>
      <c r="D208" s="178"/>
      <c r="E208" s="178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178"/>
      <c r="B209" s="178"/>
      <c r="C209" s="178"/>
      <c r="D209" s="178"/>
      <c r="E209" s="178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178"/>
      <c r="B210" s="178"/>
      <c r="C210" s="178"/>
      <c r="D210" s="178"/>
      <c r="E210" s="178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178"/>
      <c r="B211" s="178"/>
      <c r="C211" s="178"/>
      <c r="D211" s="178"/>
      <c r="E211" s="178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178"/>
      <c r="B212" s="178"/>
      <c r="C212" s="178"/>
      <c r="D212" s="178"/>
      <c r="E212" s="178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178"/>
      <c r="B213" s="178"/>
      <c r="C213" s="178"/>
      <c r="D213" s="178"/>
      <c r="E213" s="178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178"/>
      <c r="B214" s="178"/>
      <c r="C214" s="178"/>
      <c r="D214" s="178"/>
      <c r="E214" s="178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178"/>
      <c r="B215" s="178"/>
      <c r="C215" s="178"/>
      <c r="D215" s="178"/>
      <c r="E215" s="178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178"/>
      <c r="B216" s="178"/>
      <c r="C216" s="178"/>
      <c r="D216" s="178"/>
      <c r="E216" s="178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178"/>
      <c r="B217" s="178"/>
      <c r="C217" s="178"/>
      <c r="D217" s="178"/>
      <c r="E217" s="178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178"/>
      <c r="B218" s="178"/>
      <c r="C218" s="178"/>
      <c r="D218" s="178"/>
      <c r="E218" s="178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178"/>
      <c r="B219" s="178"/>
      <c r="C219" s="178"/>
      <c r="D219" s="178"/>
      <c r="E219" s="178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178"/>
      <c r="B220" s="178"/>
      <c r="C220" s="178"/>
      <c r="D220" s="178"/>
      <c r="E220" s="178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178"/>
      <c r="B221" s="178"/>
      <c r="C221" s="178"/>
      <c r="D221" s="178"/>
      <c r="E221" s="178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178"/>
      <c r="B222" s="178"/>
      <c r="C222" s="178"/>
      <c r="D222" s="178"/>
      <c r="E222" s="178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178"/>
      <c r="B223" s="178"/>
      <c r="C223" s="178"/>
      <c r="D223" s="178"/>
      <c r="E223" s="178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178"/>
      <c r="B224" s="178"/>
      <c r="C224" s="178"/>
      <c r="D224" s="178"/>
      <c r="E224" s="178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178"/>
      <c r="B225" s="178"/>
      <c r="C225" s="178"/>
      <c r="D225" s="178"/>
      <c r="E225" s="178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178"/>
      <c r="B226" s="178"/>
      <c r="C226" s="178"/>
      <c r="D226" s="178"/>
      <c r="E226" s="178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178"/>
      <c r="B227" s="178"/>
      <c r="C227" s="178"/>
      <c r="D227" s="178"/>
      <c r="E227" s="178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178"/>
      <c r="B228" s="178"/>
      <c r="C228" s="178"/>
      <c r="D228" s="178"/>
      <c r="E228" s="178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178"/>
      <c r="B229" s="178"/>
      <c r="C229" s="178"/>
      <c r="D229" s="178"/>
      <c r="E229" s="178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178"/>
      <c r="B230" s="178"/>
      <c r="C230" s="178"/>
      <c r="D230" s="178"/>
      <c r="E230" s="178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178"/>
      <c r="B231" s="178"/>
      <c r="C231" s="178"/>
      <c r="D231" s="178"/>
      <c r="E231" s="178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178"/>
      <c r="B232" s="178"/>
      <c r="C232" s="178"/>
      <c r="D232" s="178"/>
      <c r="E232" s="178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178"/>
      <c r="B233" s="178"/>
      <c r="C233" s="178"/>
      <c r="D233" s="178"/>
      <c r="E233" s="178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178"/>
      <c r="B234" s="178"/>
      <c r="C234" s="178"/>
      <c r="D234" s="178"/>
      <c r="E234" s="178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178"/>
      <c r="B235" s="178"/>
      <c r="C235" s="178"/>
      <c r="D235" s="178"/>
      <c r="E235" s="178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178"/>
      <c r="B236" s="178"/>
      <c r="C236" s="178"/>
      <c r="D236" s="178"/>
      <c r="E236" s="178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178"/>
      <c r="B237" s="178"/>
      <c r="C237" s="178"/>
      <c r="D237" s="178"/>
      <c r="E237" s="178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178"/>
      <c r="B238" s="178"/>
      <c r="C238" s="178"/>
      <c r="D238" s="178"/>
      <c r="E238" s="178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178"/>
      <c r="B239" s="178"/>
      <c r="C239" s="178"/>
      <c r="D239" s="178"/>
      <c r="E239" s="178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178"/>
      <c r="B240" s="178"/>
      <c r="C240" s="178"/>
      <c r="D240" s="178"/>
      <c r="E240" s="178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178"/>
      <c r="B241" s="178"/>
      <c r="C241" s="178"/>
      <c r="D241" s="178"/>
      <c r="E241" s="178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178"/>
      <c r="B242" s="178"/>
      <c r="C242" s="178"/>
      <c r="D242" s="178"/>
      <c r="E242" s="178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178"/>
      <c r="B243" s="178"/>
      <c r="C243" s="178"/>
      <c r="D243" s="178"/>
      <c r="E243" s="178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178"/>
      <c r="B244" s="178"/>
      <c r="C244" s="178"/>
      <c r="D244" s="178"/>
      <c r="E244" s="178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178"/>
      <c r="B245" s="178"/>
      <c r="C245" s="178"/>
      <c r="D245" s="178"/>
      <c r="E245" s="178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178"/>
      <c r="B246" s="178"/>
      <c r="C246" s="178"/>
      <c r="D246" s="178"/>
      <c r="E246" s="178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178"/>
      <c r="B247" s="178"/>
      <c r="C247" s="178"/>
      <c r="D247" s="178"/>
      <c r="E247" s="178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178"/>
      <c r="B248" s="178"/>
      <c r="C248" s="178"/>
      <c r="D248" s="178"/>
      <c r="E248" s="178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178"/>
      <c r="B249" s="178"/>
      <c r="C249" s="178"/>
      <c r="D249" s="178"/>
      <c r="E249" s="178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178"/>
      <c r="B250" s="178"/>
      <c r="C250" s="178"/>
      <c r="D250" s="178"/>
      <c r="E250" s="178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178"/>
      <c r="B251" s="178"/>
      <c r="C251" s="178"/>
      <c r="D251" s="178"/>
      <c r="E251" s="178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178"/>
      <c r="B252" s="178"/>
      <c r="C252" s="178"/>
      <c r="D252" s="178"/>
      <c r="E252" s="178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178"/>
      <c r="B253" s="178"/>
      <c r="C253" s="178"/>
      <c r="D253" s="178"/>
      <c r="E253" s="178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178"/>
      <c r="B254" s="178"/>
      <c r="C254" s="178"/>
      <c r="D254" s="178"/>
      <c r="E254" s="178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178"/>
      <c r="B255" s="178"/>
      <c r="C255" s="178"/>
      <c r="D255" s="178"/>
      <c r="E255" s="178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178"/>
      <c r="B256" s="178"/>
      <c r="C256" s="178"/>
      <c r="D256" s="178"/>
      <c r="E256" s="178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178"/>
      <c r="B257" s="178"/>
      <c r="C257" s="178"/>
      <c r="D257" s="178"/>
      <c r="E257" s="178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178"/>
      <c r="B258" s="178"/>
      <c r="C258" s="178"/>
      <c r="D258" s="178"/>
      <c r="E258" s="178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178"/>
      <c r="B259" s="178"/>
      <c r="C259" s="178"/>
      <c r="D259" s="178"/>
      <c r="E259" s="178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178"/>
      <c r="B260" s="178"/>
      <c r="C260" s="178"/>
      <c r="D260" s="178"/>
      <c r="E260" s="178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178"/>
      <c r="B261" s="178"/>
      <c r="C261" s="178"/>
      <c r="D261" s="178"/>
      <c r="E261" s="178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178"/>
      <c r="B262" s="178"/>
      <c r="C262" s="178"/>
      <c r="D262" s="178"/>
      <c r="E262" s="178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178"/>
      <c r="B263" s="178"/>
      <c r="C263" s="178"/>
      <c r="D263" s="178"/>
      <c r="E263" s="178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178"/>
      <c r="B264" s="178"/>
      <c r="C264" s="178"/>
      <c r="D264" s="178"/>
      <c r="E264" s="178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178"/>
      <c r="B265" s="178"/>
      <c r="C265" s="178"/>
      <c r="D265" s="178"/>
      <c r="E265" s="178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178"/>
      <c r="B266" s="178"/>
      <c r="C266" s="178"/>
      <c r="D266" s="178"/>
      <c r="E266" s="178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178"/>
      <c r="B267" s="178"/>
      <c r="C267" s="178"/>
      <c r="D267" s="178"/>
      <c r="E267" s="178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178"/>
      <c r="B268" s="178"/>
      <c r="C268" s="178"/>
      <c r="D268" s="178"/>
      <c r="E268" s="178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178"/>
      <c r="B269" s="178"/>
      <c r="C269" s="178"/>
      <c r="D269" s="178"/>
      <c r="E269" s="178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178"/>
      <c r="B270" s="178"/>
      <c r="C270" s="178"/>
      <c r="D270" s="178"/>
      <c r="E270" s="178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178"/>
      <c r="B271" s="178"/>
      <c r="C271" s="178"/>
      <c r="D271" s="178"/>
      <c r="E271" s="178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178"/>
      <c r="B272" s="178"/>
      <c r="C272" s="178"/>
      <c r="D272" s="178"/>
      <c r="E272" s="178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178"/>
      <c r="B273" s="178"/>
      <c r="C273" s="178"/>
      <c r="D273" s="178"/>
      <c r="E273" s="178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178"/>
      <c r="B274" s="178"/>
      <c r="C274" s="178"/>
      <c r="D274" s="178"/>
      <c r="E274" s="178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178"/>
      <c r="B275" s="178"/>
      <c r="C275" s="178"/>
      <c r="D275" s="178"/>
      <c r="E275" s="178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178"/>
      <c r="B276" s="178"/>
      <c r="C276" s="178"/>
      <c r="D276" s="178"/>
      <c r="E276" s="178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178"/>
      <c r="B277" s="178"/>
      <c r="C277" s="178"/>
      <c r="D277" s="178"/>
      <c r="E277" s="178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178"/>
      <c r="B278" s="178"/>
      <c r="C278" s="178"/>
      <c r="D278" s="178"/>
      <c r="E278" s="178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178"/>
      <c r="B279" s="178"/>
      <c r="C279" s="178"/>
      <c r="D279" s="178"/>
      <c r="E279" s="178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178"/>
      <c r="B280" s="178"/>
      <c r="C280" s="178"/>
      <c r="D280" s="178"/>
      <c r="E280" s="178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178"/>
      <c r="B281" s="178"/>
      <c r="C281" s="178"/>
      <c r="D281" s="178"/>
      <c r="E281" s="178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178"/>
      <c r="B282" s="178"/>
      <c r="C282" s="178"/>
      <c r="D282" s="178"/>
      <c r="E282" s="178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178"/>
      <c r="B283" s="178"/>
      <c r="C283" s="178"/>
      <c r="D283" s="178"/>
      <c r="E283" s="178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178"/>
      <c r="B284" s="178"/>
      <c r="C284" s="178"/>
      <c r="D284" s="178"/>
      <c r="E284" s="178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178"/>
      <c r="B285" s="178"/>
      <c r="C285" s="178"/>
      <c r="D285" s="178"/>
      <c r="E285" s="178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178"/>
      <c r="B286" s="178"/>
      <c r="C286" s="178"/>
      <c r="D286" s="178"/>
      <c r="E286" s="178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178"/>
      <c r="B287" s="178"/>
      <c r="C287" s="178"/>
      <c r="D287" s="178"/>
      <c r="E287" s="178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178"/>
      <c r="B288" s="178"/>
      <c r="C288" s="178"/>
      <c r="D288" s="178"/>
      <c r="E288" s="178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178"/>
      <c r="B289" s="178"/>
      <c r="C289" s="178"/>
      <c r="D289" s="178"/>
      <c r="E289" s="178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178"/>
      <c r="B290" s="178"/>
      <c r="C290" s="178"/>
      <c r="D290" s="178"/>
      <c r="E290" s="178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178"/>
      <c r="B291" s="178"/>
      <c r="C291" s="178"/>
      <c r="D291" s="178"/>
      <c r="E291" s="178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178"/>
      <c r="B292" s="178"/>
      <c r="C292" s="178"/>
      <c r="D292" s="178"/>
      <c r="E292" s="178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178"/>
      <c r="B293" s="178"/>
      <c r="C293" s="178"/>
      <c r="D293" s="178"/>
      <c r="E293" s="178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178"/>
      <c r="B294" s="178"/>
      <c r="C294" s="178"/>
      <c r="D294" s="178"/>
      <c r="E294" s="178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178"/>
      <c r="B295" s="178"/>
      <c r="C295" s="178"/>
      <c r="D295" s="178"/>
      <c r="E295" s="178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178"/>
      <c r="B296" s="178"/>
      <c r="C296" s="178"/>
      <c r="D296" s="178"/>
      <c r="E296" s="178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178"/>
      <c r="B297" s="178"/>
      <c r="C297" s="178"/>
      <c r="D297" s="178"/>
      <c r="E297" s="178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178"/>
      <c r="B298" s="178"/>
      <c r="C298" s="178"/>
      <c r="D298" s="178"/>
      <c r="E298" s="178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178"/>
      <c r="B299" s="178"/>
      <c r="C299" s="178"/>
      <c r="D299" s="178"/>
      <c r="E299" s="178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178"/>
      <c r="B300" s="178"/>
      <c r="C300" s="178"/>
      <c r="D300" s="178"/>
      <c r="E300" s="178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178"/>
      <c r="B301" s="178"/>
      <c r="C301" s="178"/>
      <c r="D301" s="178"/>
      <c r="E301" s="178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178"/>
      <c r="B302" s="178"/>
      <c r="C302" s="178"/>
      <c r="D302" s="178"/>
      <c r="E302" s="178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178"/>
      <c r="B303" s="178"/>
      <c r="C303" s="178"/>
      <c r="D303" s="178"/>
      <c r="E303" s="178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178"/>
      <c r="B304" s="178"/>
      <c r="C304" s="178"/>
      <c r="D304" s="178"/>
      <c r="E304" s="178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178"/>
      <c r="B305" s="178"/>
      <c r="C305" s="178"/>
      <c r="D305" s="178"/>
      <c r="E305" s="178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178"/>
      <c r="B306" s="178"/>
      <c r="C306" s="178"/>
      <c r="D306" s="178"/>
      <c r="E306" s="178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178"/>
      <c r="B307" s="178"/>
      <c r="C307" s="178"/>
      <c r="D307" s="178"/>
      <c r="E307" s="178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178"/>
      <c r="B308" s="178"/>
      <c r="C308" s="178"/>
      <c r="D308" s="178"/>
      <c r="E308" s="178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178"/>
      <c r="B309" s="178"/>
      <c r="C309" s="178"/>
      <c r="D309" s="178"/>
      <c r="E309" s="178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178"/>
      <c r="B310" s="178"/>
      <c r="C310" s="178"/>
      <c r="D310" s="178"/>
      <c r="E310" s="178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178"/>
      <c r="B311" s="178"/>
      <c r="C311" s="178"/>
      <c r="D311" s="178"/>
      <c r="E311" s="178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178"/>
      <c r="B312" s="178"/>
      <c r="C312" s="178"/>
      <c r="D312" s="178"/>
      <c r="E312" s="178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178"/>
      <c r="B313" s="178"/>
      <c r="C313" s="178"/>
      <c r="D313" s="178"/>
      <c r="E313" s="178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178"/>
      <c r="B314" s="178"/>
      <c r="C314" s="178"/>
      <c r="D314" s="178"/>
      <c r="E314" s="178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178"/>
      <c r="B315" s="178"/>
      <c r="C315" s="178"/>
      <c r="D315" s="178"/>
      <c r="E315" s="178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178"/>
      <c r="B316" s="178"/>
      <c r="C316" s="178"/>
      <c r="D316" s="178"/>
      <c r="E316" s="178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178"/>
      <c r="B317" s="178"/>
      <c r="C317" s="178"/>
      <c r="D317" s="178"/>
      <c r="E317" s="178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178"/>
      <c r="B318" s="178"/>
      <c r="C318" s="178"/>
      <c r="D318" s="178"/>
      <c r="E318" s="178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178"/>
      <c r="B319" s="178"/>
      <c r="C319" s="178"/>
      <c r="D319" s="178"/>
      <c r="E319" s="178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178"/>
      <c r="B320" s="178"/>
      <c r="C320" s="178"/>
      <c r="D320" s="178"/>
      <c r="E320" s="178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178"/>
      <c r="B321" s="178"/>
      <c r="C321" s="178"/>
      <c r="D321" s="178"/>
      <c r="E321" s="178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178"/>
      <c r="B322" s="178"/>
      <c r="C322" s="178"/>
      <c r="D322" s="178"/>
      <c r="E322" s="178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178"/>
      <c r="B323" s="178"/>
      <c r="C323" s="178"/>
      <c r="D323" s="178"/>
      <c r="E323" s="178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178"/>
      <c r="B324" s="178"/>
      <c r="C324" s="178"/>
      <c r="D324" s="178"/>
      <c r="E324" s="178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178"/>
      <c r="B325" s="178"/>
      <c r="C325" s="178"/>
      <c r="D325" s="178"/>
      <c r="E325" s="178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178"/>
      <c r="B326" s="178"/>
      <c r="C326" s="178"/>
      <c r="D326" s="178"/>
      <c r="E326" s="178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178"/>
      <c r="B327" s="178"/>
      <c r="C327" s="178"/>
      <c r="D327" s="178"/>
      <c r="E327" s="178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178"/>
      <c r="B328" s="178"/>
      <c r="C328" s="178"/>
      <c r="D328" s="178"/>
      <c r="E328" s="178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178"/>
      <c r="B329" s="178"/>
      <c r="C329" s="178"/>
      <c r="D329" s="178"/>
      <c r="E329" s="178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178"/>
      <c r="B330" s="178"/>
      <c r="C330" s="178"/>
      <c r="D330" s="178"/>
      <c r="E330" s="178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178"/>
      <c r="B331" s="178"/>
      <c r="C331" s="178"/>
      <c r="D331" s="178"/>
      <c r="E331" s="178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178"/>
      <c r="B332" s="178"/>
      <c r="C332" s="178"/>
      <c r="D332" s="178"/>
      <c r="E332" s="178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178"/>
      <c r="B333" s="178"/>
      <c r="C333" s="178"/>
      <c r="D333" s="178"/>
      <c r="E333" s="178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178"/>
      <c r="B334" s="178"/>
      <c r="C334" s="178"/>
      <c r="D334" s="178"/>
      <c r="E334" s="178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178"/>
      <c r="B335" s="178"/>
      <c r="C335" s="178"/>
      <c r="D335" s="178"/>
      <c r="E335" s="178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178"/>
      <c r="B336" s="178"/>
      <c r="C336" s="178"/>
      <c r="D336" s="178"/>
      <c r="E336" s="178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178"/>
      <c r="B337" s="178"/>
      <c r="C337" s="178"/>
      <c r="D337" s="178"/>
      <c r="E337" s="178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178"/>
      <c r="B338" s="178"/>
      <c r="C338" s="178"/>
      <c r="D338" s="178"/>
      <c r="E338" s="178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178"/>
      <c r="B339" s="178"/>
      <c r="C339" s="178"/>
      <c r="D339" s="178"/>
      <c r="E339" s="178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178"/>
      <c r="B340" s="178"/>
      <c r="C340" s="178"/>
      <c r="D340" s="178"/>
      <c r="E340" s="178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178"/>
      <c r="B341" s="178"/>
      <c r="C341" s="178"/>
      <c r="D341" s="178"/>
      <c r="E341" s="178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178"/>
      <c r="B342" s="178"/>
      <c r="C342" s="178"/>
      <c r="D342" s="178"/>
      <c r="E342" s="178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178"/>
      <c r="B343" s="178"/>
      <c r="C343" s="178"/>
      <c r="D343" s="178"/>
      <c r="E343" s="178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178"/>
      <c r="B344" s="178"/>
      <c r="C344" s="178"/>
      <c r="D344" s="178"/>
      <c r="E344" s="178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178"/>
      <c r="B345" s="178"/>
      <c r="C345" s="178"/>
      <c r="D345" s="178"/>
      <c r="E345" s="178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178"/>
      <c r="B346" s="178"/>
      <c r="C346" s="178"/>
      <c r="D346" s="178"/>
      <c r="E346" s="178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178"/>
      <c r="B347" s="178"/>
      <c r="C347" s="178"/>
      <c r="D347" s="178"/>
      <c r="E347" s="178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178"/>
      <c r="B348" s="178"/>
      <c r="C348" s="178"/>
      <c r="D348" s="178"/>
      <c r="E348" s="178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178"/>
      <c r="B349" s="178"/>
      <c r="C349" s="178"/>
      <c r="D349" s="178"/>
      <c r="E349" s="178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178"/>
      <c r="B350" s="178"/>
      <c r="C350" s="178"/>
      <c r="D350" s="178"/>
      <c r="E350" s="178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178"/>
      <c r="B351" s="178"/>
      <c r="C351" s="178"/>
      <c r="D351" s="178"/>
      <c r="E351" s="178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178"/>
      <c r="B352" s="178"/>
      <c r="C352" s="178"/>
      <c r="D352" s="178"/>
      <c r="E352" s="178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178"/>
      <c r="B353" s="178"/>
      <c r="C353" s="178"/>
      <c r="D353" s="178"/>
      <c r="E353" s="178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178"/>
      <c r="B354" s="178"/>
      <c r="C354" s="178"/>
      <c r="D354" s="178"/>
      <c r="E354" s="178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178"/>
      <c r="B355" s="178"/>
      <c r="C355" s="178"/>
      <c r="D355" s="178"/>
      <c r="E355" s="178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178"/>
      <c r="B356" s="178"/>
      <c r="C356" s="178"/>
      <c r="D356" s="178"/>
      <c r="E356" s="178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178"/>
      <c r="B357" s="178"/>
      <c r="C357" s="178"/>
      <c r="D357" s="178"/>
      <c r="E357" s="178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178"/>
      <c r="B358" s="178"/>
      <c r="C358" s="178"/>
      <c r="D358" s="178"/>
      <c r="E358" s="178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178"/>
      <c r="B359" s="178"/>
      <c r="C359" s="178"/>
      <c r="D359" s="178"/>
      <c r="E359" s="178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178"/>
      <c r="B360" s="178"/>
      <c r="C360" s="178"/>
      <c r="D360" s="178"/>
      <c r="E360" s="178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178"/>
      <c r="B361" s="178"/>
      <c r="C361" s="178"/>
      <c r="D361" s="178"/>
      <c r="E361" s="178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178"/>
      <c r="B362" s="178"/>
      <c r="C362" s="178"/>
      <c r="D362" s="178"/>
      <c r="E362" s="178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178"/>
      <c r="B363" s="178"/>
      <c r="C363" s="178"/>
      <c r="D363" s="178"/>
      <c r="E363" s="178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178"/>
      <c r="B364" s="178"/>
      <c r="C364" s="178"/>
      <c r="D364" s="178"/>
      <c r="E364" s="178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178"/>
      <c r="B365" s="178"/>
      <c r="C365" s="178"/>
      <c r="D365" s="178"/>
      <c r="E365" s="178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178"/>
      <c r="B366" s="178"/>
      <c r="C366" s="178"/>
      <c r="D366" s="178"/>
      <c r="E366" s="178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178"/>
      <c r="B367" s="178"/>
      <c r="C367" s="178"/>
      <c r="D367" s="178"/>
      <c r="E367" s="178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178"/>
      <c r="B368" s="178"/>
      <c r="C368" s="178"/>
      <c r="D368" s="178"/>
      <c r="E368" s="178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178"/>
      <c r="B369" s="178"/>
      <c r="C369" s="178"/>
      <c r="D369" s="178"/>
      <c r="E369" s="178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178"/>
      <c r="B370" s="178"/>
      <c r="C370" s="178"/>
      <c r="D370" s="178"/>
      <c r="E370" s="178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178"/>
      <c r="B371" s="178"/>
      <c r="C371" s="178"/>
      <c r="D371" s="178"/>
      <c r="E371" s="178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178"/>
      <c r="B372" s="178"/>
      <c r="C372" s="178"/>
      <c r="D372" s="178"/>
      <c r="E372" s="178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178"/>
      <c r="B373" s="178"/>
      <c r="C373" s="178"/>
      <c r="D373" s="178"/>
      <c r="E373" s="178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178"/>
      <c r="B374" s="178"/>
      <c r="C374" s="178"/>
      <c r="D374" s="178"/>
      <c r="E374" s="178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178"/>
      <c r="B375" s="178"/>
      <c r="C375" s="178"/>
      <c r="D375" s="178"/>
      <c r="E375" s="178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178"/>
      <c r="B376" s="178"/>
      <c r="C376" s="178"/>
      <c r="D376" s="178"/>
      <c r="E376" s="178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178"/>
      <c r="B377" s="178"/>
      <c r="C377" s="178"/>
      <c r="D377" s="178"/>
      <c r="E377" s="178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178"/>
      <c r="B378" s="178"/>
      <c r="C378" s="178"/>
      <c r="D378" s="178"/>
      <c r="E378" s="178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178"/>
      <c r="B379" s="178"/>
      <c r="C379" s="178"/>
      <c r="D379" s="178"/>
      <c r="E379" s="178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178"/>
      <c r="B380" s="178"/>
      <c r="C380" s="178"/>
      <c r="D380" s="178"/>
      <c r="E380" s="178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178"/>
      <c r="B381" s="178"/>
      <c r="C381" s="178"/>
      <c r="D381" s="178"/>
      <c r="E381" s="178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178"/>
      <c r="B382" s="178"/>
      <c r="C382" s="178"/>
      <c r="D382" s="178"/>
      <c r="E382" s="178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178"/>
      <c r="B383" s="178"/>
      <c r="C383" s="178"/>
      <c r="D383" s="178"/>
      <c r="E383" s="178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178"/>
      <c r="B384" s="178"/>
      <c r="C384" s="178"/>
      <c r="D384" s="178"/>
      <c r="E384" s="178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178"/>
      <c r="B385" s="178"/>
      <c r="C385" s="178"/>
      <c r="D385" s="178"/>
      <c r="E385" s="178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178"/>
      <c r="B386" s="178"/>
      <c r="C386" s="178"/>
      <c r="D386" s="178"/>
      <c r="E386" s="178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178"/>
      <c r="B387" s="178"/>
      <c r="C387" s="178"/>
      <c r="D387" s="178"/>
      <c r="E387" s="178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178"/>
      <c r="B388" s="178"/>
      <c r="C388" s="178"/>
      <c r="D388" s="178"/>
      <c r="E388" s="178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178"/>
      <c r="B389" s="178"/>
      <c r="C389" s="178"/>
      <c r="D389" s="178"/>
      <c r="E389" s="178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178"/>
      <c r="B390" s="178"/>
      <c r="C390" s="178"/>
      <c r="D390" s="178"/>
      <c r="E390" s="178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178"/>
      <c r="B391" s="178"/>
      <c r="C391" s="178"/>
      <c r="D391" s="178"/>
      <c r="E391" s="178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178"/>
      <c r="B392" s="178"/>
      <c r="C392" s="178"/>
      <c r="D392" s="178"/>
      <c r="E392" s="178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178"/>
      <c r="B393" s="178"/>
      <c r="C393" s="178"/>
      <c r="D393" s="178"/>
      <c r="E393" s="178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178"/>
      <c r="B394" s="178"/>
      <c r="C394" s="178"/>
      <c r="D394" s="178"/>
      <c r="E394" s="178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178"/>
      <c r="B395" s="178"/>
      <c r="C395" s="178"/>
      <c r="D395" s="178"/>
      <c r="E395" s="178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178"/>
      <c r="B396" s="178"/>
      <c r="C396" s="178"/>
      <c r="D396" s="178"/>
      <c r="E396" s="178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178"/>
      <c r="B397" s="178"/>
      <c r="C397" s="178"/>
      <c r="D397" s="178"/>
      <c r="E397" s="178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178"/>
      <c r="B398" s="178"/>
      <c r="C398" s="178"/>
      <c r="D398" s="178"/>
      <c r="E398" s="178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178"/>
      <c r="B399" s="178"/>
      <c r="C399" s="178"/>
      <c r="D399" s="178"/>
      <c r="E399" s="178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178"/>
      <c r="B400" s="178"/>
      <c r="C400" s="178"/>
      <c r="D400" s="178"/>
      <c r="E400" s="178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178"/>
      <c r="B401" s="178"/>
      <c r="C401" s="178"/>
      <c r="D401" s="178"/>
      <c r="E401" s="178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178"/>
      <c r="B402" s="178"/>
      <c r="C402" s="178"/>
      <c r="D402" s="178"/>
      <c r="E402" s="178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178"/>
      <c r="B403" s="178"/>
      <c r="C403" s="178"/>
      <c r="D403" s="178"/>
      <c r="E403" s="178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178"/>
      <c r="B404" s="178"/>
      <c r="C404" s="178"/>
      <c r="D404" s="178"/>
      <c r="E404" s="178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178"/>
      <c r="B405" s="178"/>
      <c r="C405" s="178"/>
      <c r="D405" s="178"/>
      <c r="E405" s="178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178"/>
      <c r="B406" s="178"/>
      <c r="C406" s="178"/>
      <c r="D406" s="178"/>
      <c r="E406" s="178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178"/>
      <c r="B407" s="178"/>
      <c r="C407" s="178"/>
      <c r="D407" s="178"/>
      <c r="E407" s="178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178"/>
      <c r="B408" s="178"/>
      <c r="C408" s="178"/>
      <c r="D408" s="178"/>
      <c r="E408" s="178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178"/>
      <c r="B409" s="178"/>
      <c r="C409" s="178"/>
      <c r="D409" s="178"/>
      <c r="E409" s="178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178"/>
      <c r="B410" s="178"/>
      <c r="C410" s="178"/>
      <c r="D410" s="178"/>
      <c r="E410" s="178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178"/>
      <c r="B411" s="178"/>
      <c r="C411" s="178"/>
      <c r="D411" s="178"/>
      <c r="E411" s="178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178"/>
      <c r="B412" s="178"/>
      <c r="C412" s="178"/>
      <c r="D412" s="178"/>
      <c r="E412" s="178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178"/>
      <c r="B413" s="178"/>
      <c r="C413" s="178"/>
      <c r="D413" s="178"/>
      <c r="E413" s="178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178"/>
      <c r="B414" s="178"/>
      <c r="C414" s="178"/>
      <c r="D414" s="178"/>
      <c r="E414" s="178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178"/>
      <c r="B415" s="178"/>
      <c r="C415" s="178"/>
      <c r="D415" s="178"/>
      <c r="E415" s="178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178"/>
      <c r="B416" s="178"/>
      <c r="C416" s="178"/>
      <c r="D416" s="178"/>
      <c r="E416" s="178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178"/>
      <c r="B417" s="178"/>
      <c r="C417" s="178"/>
      <c r="D417" s="178"/>
      <c r="E417" s="178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178"/>
      <c r="B418" s="178"/>
      <c r="C418" s="178"/>
      <c r="D418" s="178"/>
      <c r="E418" s="178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178"/>
      <c r="B419" s="178"/>
      <c r="C419" s="178"/>
      <c r="D419" s="178"/>
      <c r="E419" s="178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178"/>
      <c r="B420" s="178"/>
      <c r="C420" s="178"/>
      <c r="D420" s="178"/>
      <c r="E420" s="178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178"/>
      <c r="B421" s="178"/>
      <c r="C421" s="178"/>
      <c r="D421" s="178"/>
      <c r="E421" s="178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178"/>
      <c r="B422" s="178"/>
      <c r="C422" s="178"/>
      <c r="D422" s="178"/>
      <c r="E422" s="178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178"/>
      <c r="B423" s="178"/>
      <c r="C423" s="178"/>
      <c r="D423" s="178"/>
      <c r="E423" s="178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178"/>
      <c r="B424" s="178"/>
      <c r="C424" s="178"/>
      <c r="D424" s="178"/>
      <c r="E424" s="178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178"/>
      <c r="B425" s="178"/>
      <c r="C425" s="178"/>
      <c r="D425" s="178"/>
      <c r="E425" s="178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178"/>
      <c r="B426" s="178"/>
      <c r="C426" s="178"/>
      <c r="D426" s="178"/>
      <c r="E426" s="178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178"/>
      <c r="B427" s="178"/>
      <c r="C427" s="178"/>
      <c r="D427" s="178"/>
      <c r="E427" s="178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178"/>
      <c r="B428" s="178"/>
      <c r="C428" s="178"/>
      <c r="D428" s="178"/>
      <c r="E428" s="178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178"/>
      <c r="B429" s="178"/>
      <c r="C429" s="178"/>
      <c r="D429" s="178"/>
      <c r="E429" s="178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178"/>
      <c r="B430" s="178"/>
      <c r="C430" s="178"/>
      <c r="D430" s="178"/>
      <c r="E430" s="178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178"/>
      <c r="B431" s="178"/>
      <c r="C431" s="178"/>
      <c r="D431" s="178"/>
      <c r="E431" s="178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178"/>
      <c r="B432" s="178"/>
      <c r="C432" s="178"/>
      <c r="D432" s="178"/>
      <c r="E432" s="178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178"/>
      <c r="B433" s="178"/>
      <c r="C433" s="178"/>
      <c r="D433" s="178"/>
      <c r="E433" s="178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178"/>
      <c r="B434" s="178"/>
      <c r="C434" s="178"/>
      <c r="D434" s="178"/>
      <c r="E434" s="178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178"/>
      <c r="B435" s="178"/>
      <c r="C435" s="178"/>
      <c r="D435" s="178"/>
      <c r="E435" s="178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178"/>
      <c r="B436" s="178"/>
      <c r="C436" s="178"/>
      <c r="D436" s="178"/>
      <c r="E436" s="178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178"/>
      <c r="B437" s="178"/>
      <c r="C437" s="178"/>
      <c r="D437" s="178"/>
      <c r="E437" s="178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178"/>
      <c r="B438" s="178"/>
      <c r="C438" s="178"/>
      <c r="D438" s="178"/>
      <c r="E438" s="178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178"/>
      <c r="B439" s="178"/>
      <c r="C439" s="178"/>
      <c r="D439" s="178"/>
      <c r="E439" s="178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178"/>
      <c r="B440" s="178"/>
      <c r="C440" s="178"/>
      <c r="D440" s="178"/>
      <c r="E440" s="178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178"/>
      <c r="B441" s="178"/>
      <c r="C441" s="178"/>
      <c r="D441" s="178"/>
      <c r="E441" s="178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178"/>
      <c r="B442" s="178"/>
      <c r="C442" s="178"/>
      <c r="D442" s="178"/>
      <c r="E442" s="178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178"/>
      <c r="B443" s="178"/>
      <c r="C443" s="178"/>
      <c r="D443" s="178"/>
      <c r="E443" s="178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178"/>
      <c r="B444" s="178"/>
      <c r="C444" s="178"/>
      <c r="D444" s="178"/>
      <c r="E444" s="178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178"/>
      <c r="B445" s="178"/>
      <c r="C445" s="178"/>
      <c r="D445" s="178"/>
      <c r="E445" s="178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178"/>
      <c r="B446" s="178"/>
      <c r="C446" s="178"/>
      <c r="D446" s="178"/>
      <c r="E446" s="178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178"/>
      <c r="B447" s="178"/>
      <c r="C447" s="178"/>
      <c r="D447" s="178"/>
      <c r="E447" s="178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178"/>
      <c r="B448" s="178"/>
      <c r="C448" s="178"/>
      <c r="D448" s="178"/>
      <c r="E448" s="178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178"/>
      <c r="B449" s="178"/>
      <c r="C449" s="178"/>
      <c r="D449" s="178"/>
      <c r="E449" s="178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178"/>
      <c r="B450" s="178"/>
      <c r="C450" s="178"/>
      <c r="D450" s="178"/>
      <c r="E450" s="178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178"/>
      <c r="B451" s="178"/>
      <c r="C451" s="178"/>
      <c r="D451" s="178"/>
      <c r="E451" s="178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178"/>
      <c r="B452" s="178"/>
      <c r="C452" s="178"/>
      <c r="D452" s="178"/>
      <c r="E452" s="178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178"/>
      <c r="B453" s="178"/>
      <c r="C453" s="178"/>
      <c r="D453" s="178"/>
      <c r="E453" s="178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178"/>
      <c r="B454" s="178"/>
      <c r="C454" s="178"/>
      <c r="D454" s="178"/>
      <c r="E454" s="178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178"/>
      <c r="B455" s="178"/>
      <c r="C455" s="178"/>
      <c r="D455" s="178"/>
      <c r="E455" s="178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178"/>
      <c r="B456" s="178"/>
      <c r="C456" s="178"/>
      <c r="D456" s="178"/>
      <c r="E456" s="178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178"/>
      <c r="B457" s="178"/>
      <c r="C457" s="178"/>
      <c r="D457" s="178"/>
      <c r="E457" s="178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178"/>
      <c r="B458" s="178"/>
      <c r="C458" s="178"/>
      <c r="D458" s="178"/>
      <c r="E458" s="178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178"/>
      <c r="B459" s="178"/>
      <c r="C459" s="178"/>
      <c r="D459" s="178"/>
      <c r="E459" s="178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178"/>
      <c r="B460" s="178"/>
      <c r="C460" s="178"/>
      <c r="D460" s="178"/>
      <c r="E460" s="178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178"/>
      <c r="B461" s="178"/>
      <c r="C461" s="178"/>
      <c r="D461" s="178"/>
      <c r="E461" s="178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178"/>
      <c r="B462" s="178"/>
      <c r="C462" s="178"/>
      <c r="D462" s="178"/>
      <c r="E462" s="178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178"/>
      <c r="B463" s="178"/>
      <c r="C463" s="178"/>
      <c r="D463" s="178"/>
      <c r="E463" s="178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178"/>
      <c r="B464" s="178"/>
      <c r="C464" s="178"/>
      <c r="D464" s="178"/>
      <c r="E464" s="178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178"/>
      <c r="B465" s="178"/>
      <c r="C465" s="178"/>
      <c r="D465" s="178"/>
      <c r="E465" s="178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178"/>
      <c r="B466" s="178"/>
      <c r="C466" s="178"/>
      <c r="D466" s="178"/>
      <c r="E466" s="178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178"/>
      <c r="B467" s="178"/>
      <c r="C467" s="178"/>
      <c r="D467" s="178"/>
      <c r="E467" s="178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178"/>
      <c r="B468" s="178"/>
      <c r="C468" s="178"/>
      <c r="D468" s="178"/>
      <c r="E468" s="178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178"/>
      <c r="B469" s="178"/>
      <c r="C469" s="178"/>
      <c r="D469" s="178"/>
      <c r="E469" s="178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178"/>
      <c r="B470" s="178"/>
      <c r="C470" s="178"/>
      <c r="D470" s="178"/>
      <c r="E470" s="178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178"/>
      <c r="B471" s="178"/>
      <c r="C471" s="178"/>
      <c r="D471" s="178"/>
      <c r="E471" s="178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178"/>
      <c r="B472" s="178"/>
      <c r="C472" s="178"/>
      <c r="D472" s="178"/>
      <c r="E472" s="178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178"/>
      <c r="B473" s="178"/>
      <c r="C473" s="178"/>
      <c r="D473" s="178"/>
      <c r="E473" s="178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178"/>
      <c r="B474" s="178"/>
      <c r="C474" s="178"/>
      <c r="D474" s="178"/>
      <c r="E474" s="178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178"/>
      <c r="B475" s="178"/>
      <c r="C475" s="178"/>
      <c r="D475" s="178"/>
      <c r="E475" s="178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178"/>
      <c r="B476" s="178"/>
      <c r="C476" s="178"/>
      <c r="D476" s="178"/>
      <c r="E476" s="178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178"/>
      <c r="B477" s="178"/>
      <c r="C477" s="178"/>
      <c r="D477" s="178"/>
      <c r="E477" s="178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178"/>
      <c r="B478" s="178"/>
      <c r="C478" s="178"/>
      <c r="D478" s="178"/>
      <c r="E478" s="178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178"/>
      <c r="B479" s="178"/>
      <c r="C479" s="178"/>
      <c r="D479" s="178"/>
      <c r="E479" s="178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178"/>
      <c r="B480" s="178"/>
      <c r="C480" s="178"/>
      <c r="D480" s="178"/>
      <c r="E480" s="178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178"/>
      <c r="B481" s="178"/>
      <c r="C481" s="178"/>
      <c r="D481" s="178"/>
      <c r="E481" s="178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178"/>
      <c r="B482" s="178"/>
      <c r="C482" s="178"/>
      <c r="D482" s="178"/>
      <c r="E482" s="178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178"/>
      <c r="B483" s="178"/>
      <c r="C483" s="178"/>
      <c r="D483" s="178"/>
      <c r="E483" s="178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178"/>
      <c r="B484" s="178"/>
      <c r="C484" s="178"/>
      <c r="D484" s="178"/>
      <c r="E484" s="178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178"/>
      <c r="B485" s="178"/>
      <c r="C485" s="178"/>
      <c r="D485" s="178"/>
      <c r="E485" s="178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178"/>
      <c r="B486" s="178"/>
      <c r="C486" s="178"/>
      <c r="D486" s="178"/>
      <c r="E486" s="178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178"/>
      <c r="B487" s="178"/>
      <c r="C487" s="178"/>
      <c r="D487" s="178"/>
      <c r="E487" s="178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178"/>
      <c r="B488" s="178"/>
      <c r="C488" s="178"/>
      <c r="D488" s="178"/>
      <c r="E488" s="178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178"/>
      <c r="B489" s="178"/>
      <c r="C489" s="178"/>
      <c r="D489" s="178"/>
      <c r="E489" s="178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178"/>
      <c r="B490" s="178"/>
      <c r="C490" s="178"/>
      <c r="D490" s="178"/>
      <c r="E490" s="178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178"/>
      <c r="B491" s="178"/>
      <c r="C491" s="178"/>
      <c r="D491" s="178"/>
      <c r="E491" s="178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178"/>
      <c r="B492" s="178"/>
      <c r="C492" s="178"/>
      <c r="D492" s="178"/>
      <c r="E492" s="178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178"/>
      <c r="B493" s="178"/>
      <c r="C493" s="178"/>
      <c r="D493" s="178"/>
      <c r="E493" s="178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178"/>
      <c r="B494" s="178"/>
      <c r="C494" s="178"/>
      <c r="D494" s="178"/>
      <c r="E494" s="178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178"/>
      <c r="B495" s="178"/>
      <c r="C495" s="178"/>
      <c r="D495" s="178"/>
      <c r="E495" s="178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178"/>
      <c r="B496" s="178"/>
      <c r="C496" s="178"/>
      <c r="D496" s="178"/>
      <c r="E496" s="178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178"/>
      <c r="B497" s="178"/>
      <c r="C497" s="178"/>
      <c r="D497" s="178"/>
      <c r="E497" s="178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178"/>
      <c r="B498" s="178"/>
      <c r="C498" s="178"/>
      <c r="D498" s="178"/>
      <c r="E498" s="178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178"/>
      <c r="B499" s="178"/>
      <c r="C499" s="178"/>
      <c r="D499" s="178"/>
      <c r="E499" s="178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178"/>
      <c r="B500" s="178"/>
      <c r="C500" s="178"/>
      <c r="D500" s="178"/>
      <c r="E500" s="178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178"/>
      <c r="B501" s="178"/>
      <c r="C501" s="178"/>
      <c r="D501" s="178"/>
      <c r="E501" s="178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178"/>
      <c r="B502" s="178"/>
      <c r="C502" s="178"/>
      <c r="D502" s="178"/>
      <c r="E502" s="178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178"/>
      <c r="B503" s="178"/>
      <c r="C503" s="178"/>
      <c r="D503" s="178"/>
      <c r="E503" s="178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178"/>
      <c r="B504" s="178"/>
      <c r="C504" s="178"/>
      <c r="D504" s="178"/>
      <c r="E504" s="178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178"/>
      <c r="B505" s="178"/>
      <c r="C505" s="178"/>
      <c r="D505" s="178"/>
      <c r="E505" s="178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178"/>
      <c r="B506" s="178"/>
      <c r="C506" s="178"/>
      <c r="D506" s="178"/>
      <c r="E506" s="178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178"/>
      <c r="B507" s="178"/>
      <c r="C507" s="178"/>
      <c r="D507" s="178"/>
      <c r="E507" s="178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178"/>
      <c r="B508" s="178"/>
      <c r="C508" s="178"/>
      <c r="D508" s="178"/>
      <c r="E508" s="178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178"/>
      <c r="B509" s="178"/>
      <c r="C509" s="178"/>
      <c r="D509" s="178"/>
      <c r="E509" s="178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178"/>
      <c r="B510" s="178"/>
      <c r="C510" s="178"/>
      <c r="D510" s="178"/>
      <c r="E510" s="178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178"/>
      <c r="B511" s="178"/>
      <c r="C511" s="178"/>
      <c r="D511" s="178"/>
      <c r="E511" s="178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178"/>
      <c r="B512" s="178"/>
      <c r="C512" s="178"/>
      <c r="D512" s="178"/>
      <c r="E512" s="178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178"/>
      <c r="B513" s="178"/>
      <c r="C513" s="178"/>
      <c r="D513" s="178"/>
      <c r="E513" s="178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178"/>
      <c r="B514" s="178"/>
      <c r="C514" s="178"/>
      <c r="D514" s="178"/>
      <c r="E514" s="178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178"/>
      <c r="B515" s="178"/>
      <c r="C515" s="178"/>
      <c r="D515" s="178"/>
      <c r="E515" s="178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178"/>
      <c r="B516" s="178"/>
      <c r="C516" s="178"/>
      <c r="D516" s="178"/>
      <c r="E516" s="178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178"/>
      <c r="B517" s="178"/>
      <c r="C517" s="178"/>
      <c r="D517" s="178"/>
      <c r="E517" s="178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178"/>
      <c r="B518" s="178"/>
      <c r="C518" s="178"/>
      <c r="D518" s="178"/>
      <c r="E518" s="178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178"/>
      <c r="B519" s="178"/>
      <c r="C519" s="178"/>
      <c r="D519" s="178"/>
      <c r="E519" s="178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178"/>
      <c r="B520" s="178"/>
      <c r="C520" s="178"/>
      <c r="D520" s="178"/>
      <c r="E520" s="178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178"/>
      <c r="B521" s="178"/>
      <c r="C521" s="178"/>
      <c r="D521" s="178"/>
      <c r="E521" s="178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178"/>
      <c r="B522" s="178"/>
      <c r="C522" s="178"/>
      <c r="D522" s="178"/>
      <c r="E522" s="178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178"/>
      <c r="B523" s="178"/>
      <c r="C523" s="178"/>
      <c r="D523" s="178"/>
      <c r="E523" s="178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178"/>
      <c r="B524" s="178"/>
      <c r="C524" s="178"/>
      <c r="D524" s="178"/>
      <c r="E524" s="178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178"/>
      <c r="B525" s="178"/>
      <c r="C525" s="178"/>
      <c r="D525" s="178"/>
      <c r="E525" s="178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178"/>
      <c r="B526" s="178"/>
      <c r="C526" s="178"/>
      <c r="D526" s="178"/>
      <c r="E526" s="178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178"/>
      <c r="B527" s="178"/>
      <c r="C527" s="178"/>
      <c r="D527" s="178"/>
      <c r="E527" s="178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178"/>
      <c r="B528" s="178"/>
      <c r="C528" s="178"/>
      <c r="D528" s="178"/>
      <c r="E528" s="178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178"/>
      <c r="B529" s="178"/>
      <c r="C529" s="178"/>
      <c r="D529" s="178"/>
      <c r="E529" s="178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178"/>
      <c r="B530" s="178"/>
      <c r="C530" s="178"/>
      <c r="D530" s="178"/>
      <c r="E530" s="178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178"/>
      <c r="B531" s="178"/>
      <c r="C531" s="178"/>
      <c r="D531" s="178"/>
      <c r="E531" s="178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178"/>
      <c r="B532" s="178"/>
      <c r="C532" s="178"/>
      <c r="D532" s="178"/>
      <c r="E532" s="178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178"/>
      <c r="B533" s="178"/>
      <c r="C533" s="178"/>
      <c r="D533" s="178"/>
      <c r="E533" s="178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178"/>
      <c r="B534" s="178"/>
      <c r="C534" s="178"/>
      <c r="D534" s="178"/>
      <c r="E534" s="178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178"/>
      <c r="B535" s="178"/>
      <c r="C535" s="178"/>
      <c r="D535" s="178"/>
      <c r="E535" s="178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178"/>
      <c r="B536" s="178"/>
      <c r="C536" s="178"/>
      <c r="D536" s="178"/>
      <c r="E536" s="178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178"/>
      <c r="B537" s="178"/>
      <c r="C537" s="178"/>
      <c r="D537" s="178"/>
      <c r="E537" s="178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178"/>
      <c r="B538" s="178"/>
      <c r="C538" s="178"/>
      <c r="D538" s="178"/>
      <c r="E538" s="178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178"/>
      <c r="B539" s="178"/>
      <c r="C539" s="178"/>
      <c r="D539" s="178"/>
      <c r="E539" s="178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178"/>
      <c r="B540" s="178"/>
      <c r="C540" s="178"/>
      <c r="D540" s="178"/>
      <c r="E540" s="178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178"/>
      <c r="B541" s="178"/>
      <c r="C541" s="178"/>
      <c r="D541" s="178"/>
      <c r="E541" s="178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178"/>
      <c r="B542" s="178"/>
      <c r="C542" s="178"/>
      <c r="D542" s="178"/>
      <c r="E542" s="178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178"/>
      <c r="B543" s="178"/>
      <c r="C543" s="178"/>
      <c r="D543" s="178"/>
      <c r="E543" s="178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178"/>
      <c r="B544" s="178"/>
      <c r="C544" s="178"/>
      <c r="D544" s="178"/>
      <c r="E544" s="178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178"/>
      <c r="B545" s="178"/>
      <c r="C545" s="178"/>
      <c r="D545" s="178"/>
      <c r="E545" s="178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178"/>
      <c r="B546" s="178"/>
      <c r="C546" s="178"/>
      <c r="D546" s="178"/>
      <c r="E546" s="178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178"/>
      <c r="B547" s="178"/>
      <c r="C547" s="178"/>
      <c r="D547" s="178"/>
      <c r="E547" s="178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178"/>
      <c r="B548" s="178"/>
      <c r="C548" s="178"/>
      <c r="D548" s="178"/>
      <c r="E548" s="178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178"/>
      <c r="B549" s="178"/>
      <c r="C549" s="178"/>
      <c r="D549" s="178"/>
      <c r="E549" s="178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178"/>
      <c r="B550" s="178"/>
      <c r="C550" s="178"/>
      <c r="D550" s="178"/>
      <c r="E550" s="178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178"/>
      <c r="B551" s="178"/>
      <c r="C551" s="178"/>
      <c r="D551" s="178"/>
      <c r="E551" s="178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178"/>
      <c r="B552" s="178"/>
      <c r="C552" s="178"/>
      <c r="D552" s="178"/>
      <c r="E552" s="178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178"/>
      <c r="B553" s="178"/>
      <c r="C553" s="178"/>
      <c r="D553" s="178"/>
      <c r="E553" s="178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178"/>
      <c r="B554" s="178"/>
      <c r="C554" s="178"/>
      <c r="D554" s="178"/>
      <c r="E554" s="178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178"/>
      <c r="B555" s="178"/>
      <c r="C555" s="178"/>
      <c r="D555" s="178"/>
      <c r="E555" s="178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178"/>
      <c r="B556" s="178"/>
      <c r="C556" s="178"/>
      <c r="D556" s="178"/>
      <c r="E556" s="178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178"/>
      <c r="B557" s="178"/>
      <c r="C557" s="178"/>
      <c r="D557" s="178"/>
      <c r="E557" s="178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178"/>
      <c r="B558" s="178"/>
      <c r="C558" s="178"/>
      <c r="D558" s="178"/>
      <c r="E558" s="178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178"/>
      <c r="B559" s="178"/>
      <c r="C559" s="178"/>
      <c r="D559" s="178"/>
      <c r="E559" s="178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178"/>
      <c r="B560" s="178"/>
      <c r="C560" s="178"/>
      <c r="D560" s="178"/>
      <c r="E560" s="178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178"/>
      <c r="B561" s="178"/>
      <c r="C561" s="178"/>
      <c r="D561" s="178"/>
      <c r="E561" s="178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178"/>
      <c r="B562" s="178"/>
      <c r="C562" s="178"/>
      <c r="D562" s="178"/>
      <c r="E562" s="178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178"/>
      <c r="B563" s="178"/>
      <c r="C563" s="178"/>
      <c r="D563" s="178"/>
      <c r="E563" s="178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178"/>
      <c r="B564" s="178"/>
      <c r="C564" s="178"/>
      <c r="D564" s="178"/>
      <c r="E564" s="178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178"/>
      <c r="B565" s="178"/>
      <c r="C565" s="178"/>
      <c r="D565" s="178"/>
      <c r="E565" s="178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178"/>
      <c r="B566" s="178"/>
      <c r="C566" s="178"/>
      <c r="D566" s="178"/>
      <c r="E566" s="178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178"/>
      <c r="B567" s="178"/>
      <c r="C567" s="178"/>
      <c r="D567" s="178"/>
      <c r="E567" s="178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178"/>
      <c r="B568" s="178"/>
      <c r="C568" s="178"/>
      <c r="D568" s="178"/>
      <c r="E568" s="178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178"/>
      <c r="B569" s="178"/>
      <c r="C569" s="178"/>
      <c r="D569" s="178"/>
      <c r="E569" s="178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178"/>
      <c r="B570" s="178"/>
      <c r="C570" s="178"/>
      <c r="D570" s="178"/>
      <c r="E570" s="178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178"/>
      <c r="B571" s="178"/>
      <c r="C571" s="178"/>
      <c r="D571" s="178"/>
      <c r="E571" s="178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178"/>
      <c r="B572" s="178"/>
      <c r="C572" s="178"/>
      <c r="D572" s="178"/>
      <c r="E572" s="178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178"/>
      <c r="B573" s="178"/>
      <c r="C573" s="178"/>
      <c r="D573" s="178"/>
      <c r="E573" s="178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178"/>
      <c r="B574" s="178"/>
      <c r="C574" s="178"/>
      <c r="D574" s="178"/>
      <c r="E574" s="178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178"/>
      <c r="B575" s="178"/>
      <c r="C575" s="178"/>
      <c r="D575" s="178"/>
      <c r="E575" s="178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178"/>
      <c r="B576" s="178"/>
      <c r="C576" s="178"/>
      <c r="D576" s="178"/>
      <c r="E576" s="178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178"/>
      <c r="B577" s="178"/>
      <c r="C577" s="178"/>
      <c r="D577" s="178"/>
      <c r="E577" s="178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178"/>
      <c r="B578" s="178"/>
      <c r="C578" s="178"/>
      <c r="D578" s="178"/>
      <c r="E578" s="178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178"/>
      <c r="B579" s="178"/>
      <c r="C579" s="178"/>
      <c r="D579" s="178"/>
      <c r="E579" s="178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178"/>
      <c r="B580" s="178"/>
      <c r="C580" s="178"/>
      <c r="D580" s="178"/>
      <c r="E580" s="178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178"/>
      <c r="B581" s="178"/>
      <c r="C581" s="178"/>
      <c r="D581" s="178"/>
      <c r="E581" s="178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178"/>
      <c r="B582" s="178"/>
      <c r="C582" s="178"/>
      <c r="D582" s="178"/>
      <c r="E582" s="178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178"/>
      <c r="B583" s="178"/>
      <c r="C583" s="178"/>
      <c r="D583" s="178"/>
      <c r="E583" s="178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178"/>
      <c r="B584" s="178"/>
      <c r="C584" s="178"/>
      <c r="D584" s="178"/>
      <c r="E584" s="178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178"/>
      <c r="B585" s="178"/>
      <c r="C585" s="178"/>
      <c r="D585" s="178"/>
      <c r="E585" s="178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178"/>
      <c r="B586" s="178"/>
      <c r="C586" s="178"/>
      <c r="D586" s="178"/>
      <c r="E586" s="178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178"/>
      <c r="B587" s="178"/>
      <c r="C587" s="178"/>
      <c r="D587" s="178"/>
      <c r="E587" s="178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178"/>
      <c r="B588" s="178"/>
      <c r="C588" s="178"/>
      <c r="D588" s="178"/>
      <c r="E588" s="178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178"/>
      <c r="B589" s="178"/>
      <c r="C589" s="178"/>
      <c r="D589" s="178"/>
      <c r="E589" s="178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178"/>
      <c r="B590" s="178"/>
      <c r="C590" s="178"/>
      <c r="D590" s="178"/>
      <c r="E590" s="178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178"/>
      <c r="B591" s="178"/>
      <c r="C591" s="178"/>
      <c r="D591" s="178"/>
      <c r="E591" s="178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178"/>
      <c r="B592" s="178"/>
      <c r="C592" s="178"/>
      <c r="D592" s="178"/>
      <c r="E592" s="178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178"/>
      <c r="B593" s="178"/>
      <c r="C593" s="178"/>
      <c r="D593" s="178"/>
      <c r="E593" s="178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178"/>
      <c r="B594" s="178"/>
      <c r="C594" s="178"/>
      <c r="D594" s="178"/>
      <c r="E594" s="178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178"/>
      <c r="B595" s="178"/>
      <c r="C595" s="178"/>
      <c r="D595" s="178"/>
      <c r="E595" s="178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178"/>
      <c r="B596" s="178"/>
      <c r="C596" s="178"/>
      <c r="D596" s="178"/>
      <c r="E596" s="178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178"/>
      <c r="B597" s="178"/>
      <c r="C597" s="178"/>
      <c r="D597" s="178"/>
      <c r="E597" s="178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178"/>
      <c r="B598" s="178"/>
      <c r="C598" s="178"/>
      <c r="D598" s="178"/>
      <c r="E598" s="178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178"/>
      <c r="B599" s="178"/>
      <c r="C599" s="178"/>
      <c r="D599" s="178"/>
      <c r="E599" s="178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178"/>
      <c r="B600" s="178"/>
      <c r="C600" s="178"/>
      <c r="D600" s="178"/>
      <c r="E600" s="178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178"/>
      <c r="B601" s="178"/>
      <c r="C601" s="178"/>
      <c r="D601" s="178"/>
      <c r="E601" s="178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178"/>
      <c r="B602" s="178"/>
      <c r="C602" s="178"/>
      <c r="D602" s="178"/>
      <c r="E602" s="178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178"/>
      <c r="B603" s="178"/>
      <c r="C603" s="178"/>
      <c r="D603" s="178"/>
      <c r="E603" s="178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178"/>
      <c r="B604" s="178"/>
      <c r="C604" s="178"/>
      <c r="D604" s="178"/>
      <c r="E604" s="178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178"/>
      <c r="B605" s="178"/>
      <c r="C605" s="178"/>
      <c r="D605" s="178"/>
      <c r="E605" s="178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178"/>
      <c r="B606" s="178"/>
      <c r="C606" s="178"/>
      <c r="D606" s="178"/>
      <c r="E606" s="178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178"/>
      <c r="B607" s="178"/>
      <c r="C607" s="178"/>
      <c r="D607" s="178"/>
      <c r="E607" s="178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178"/>
      <c r="B608" s="178"/>
      <c r="C608" s="178"/>
      <c r="D608" s="178"/>
      <c r="E608" s="178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178"/>
      <c r="B609" s="178"/>
      <c r="C609" s="178"/>
      <c r="D609" s="178"/>
      <c r="E609" s="178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178"/>
      <c r="B610" s="178"/>
      <c r="C610" s="178"/>
      <c r="D610" s="178"/>
      <c r="E610" s="178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178"/>
      <c r="B611" s="178"/>
      <c r="C611" s="178"/>
      <c r="D611" s="178"/>
      <c r="E611" s="178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178"/>
      <c r="B612" s="178"/>
      <c r="C612" s="178"/>
      <c r="D612" s="178"/>
      <c r="E612" s="178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178"/>
      <c r="B613" s="178"/>
      <c r="C613" s="178"/>
      <c r="D613" s="178"/>
      <c r="E613" s="178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178"/>
      <c r="B614" s="178"/>
      <c r="C614" s="178"/>
      <c r="D614" s="178"/>
      <c r="E614" s="178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178"/>
      <c r="B615" s="178"/>
      <c r="C615" s="178"/>
      <c r="D615" s="178"/>
      <c r="E615" s="178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178"/>
      <c r="B616" s="178"/>
      <c r="C616" s="178"/>
      <c r="D616" s="178"/>
      <c r="E616" s="178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178"/>
      <c r="B617" s="178"/>
      <c r="C617" s="178"/>
      <c r="D617" s="178"/>
      <c r="E617" s="178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178"/>
      <c r="B618" s="178"/>
      <c r="C618" s="178"/>
      <c r="D618" s="178"/>
      <c r="E618" s="178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178"/>
      <c r="B619" s="178"/>
      <c r="C619" s="178"/>
      <c r="D619" s="178"/>
      <c r="E619" s="178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178"/>
      <c r="B620" s="178"/>
      <c r="C620" s="178"/>
      <c r="D620" s="178"/>
      <c r="E620" s="178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178"/>
      <c r="B621" s="178"/>
      <c r="C621" s="178"/>
      <c r="D621" s="178"/>
      <c r="E621" s="178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178"/>
      <c r="B622" s="178"/>
      <c r="C622" s="178"/>
      <c r="D622" s="178"/>
      <c r="E622" s="178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178"/>
      <c r="B623" s="178"/>
      <c r="C623" s="178"/>
      <c r="D623" s="178"/>
      <c r="E623" s="178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178"/>
      <c r="B624" s="178"/>
      <c r="C624" s="178"/>
      <c r="D624" s="178"/>
      <c r="E624" s="178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178"/>
      <c r="B625" s="178"/>
      <c r="C625" s="178"/>
      <c r="D625" s="178"/>
      <c r="E625" s="178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178"/>
      <c r="B626" s="178"/>
      <c r="C626" s="178"/>
      <c r="D626" s="178"/>
      <c r="E626" s="178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178"/>
      <c r="B627" s="178"/>
      <c r="C627" s="178"/>
      <c r="D627" s="178"/>
      <c r="E627" s="178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178"/>
      <c r="B628" s="178"/>
      <c r="C628" s="178"/>
      <c r="D628" s="178"/>
      <c r="E628" s="178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178"/>
      <c r="B629" s="178"/>
      <c r="C629" s="178"/>
      <c r="D629" s="178"/>
      <c r="E629" s="178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178"/>
      <c r="B630" s="178"/>
      <c r="C630" s="178"/>
      <c r="D630" s="178"/>
      <c r="E630" s="178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178"/>
      <c r="B631" s="178"/>
      <c r="C631" s="178"/>
      <c r="D631" s="178"/>
      <c r="E631" s="178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178"/>
      <c r="B632" s="178"/>
      <c r="C632" s="178"/>
      <c r="D632" s="178"/>
      <c r="E632" s="178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178"/>
      <c r="B633" s="178"/>
      <c r="C633" s="178"/>
      <c r="D633" s="178"/>
      <c r="E633" s="178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178"/>
      <c r="B634" s="178"/>
      <c r="C634" s="178"/>
      <c r="D634" s="178"/>
      <c r="E634" s="178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178"/>
      <c r="B635" s="178"/>
      <c r="C635" s="178"/>
      <c r="D635" s="178"/>
      <c r="E635" s="178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178"/>
      <c r="B636" s="178"/>
      <c r="C636" s="178"/>
      <c r="D636" s="178"/>
      <c r="E636" s="178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178"/>
      <c r="B637" s="178"/>
      <c r="C637" s="178"/>
      <c r="D637" s="178"/>
      <c r="E637" s="178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178"/>
      <c r="B638" s="178"/>
      <c r="C638" s="178"/>
      <c r="D638" s="178"/>
      <c r="E638" s="178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178"/>
      <c r="B639" s="178"/>
      <c r="C639" s="178"/>
      <c r="D639" s="178"/>
      <c r="E639" s="178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178"/>
      <c r="B640" s="178"/>
      <c r="C640" s="178"/>
      <c r="D640" s="178"/>
      <c r="E640" s="178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178"/>
      <c r="B641" s="178"/>
      <c r="C641" s="178"/>
      <c r="D641" s="178"/>
      <c r="E641" s="178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178"/>
      <c r="B642" s="178"/>
      <c r="C642" s="178"/>
      <c r="D642" s="178"/>
      <c r="E642" s="178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178"/>
      <c r="B643" s="178"/>
      <c r="C643" s="178"/>
      <c r="D643" s="178"/>
      <c r="E643" s="178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178"/>
      <c r="B644" s="178"/>
      <c r="C644" s="178"/>
      <c r="D644" s="178"/>
      <c r="E644" s="178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178"/>
      <c r="B645" s="178"/>
      <c r="C645" s="178"/>
      <c r="D645" s="178"/>
      <c r="E645" s="178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178"/>
      <c r="B646" s="178"/>
      <c r="C646" s="178"/>
      <c r="D646" s="178"/>
      <c r="E646" s="178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178"/>
      <c r="B647" s="178"/>
      <c r="C647" s="178"/>
      <c r="D647" s="178"/>
      <c r="E647" s="178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178"/>
      <c r="B648" s="178"/>
      <c r="C648" s="178"/>
      <c r="D648" s="178"/>
      <c r="E648" s="178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178"/>
      <c r="B649" s="178"/>
      <c r="C649" s="178"/>
      <c r="D649" s="178"/>
      <c r="E649" s="178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178"/>
      <c r="B650" s="178"/>
      <c r="C650" s="178"/>
      <c r="D650" s="178"/>
      <c r="E650" s="178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178"/>
      <c r="B651" s="178"/>
      <c r="C651" s="178"/>
      <c r="D651" s="178"/>
      <c r="E651" s="178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178"/>
      <c r="B652" s="178"/>
      <c r="C652" s="178"/>
      <c r="D652" s="178"/>
      <c r="E652" s="178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178"/>
      <c r="B653" s="178"/>
      <c r="C653" s="178"/>
      <c r="D653" s="178"/>
      <c r="E653" s="178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178"/>
      <c r="B654" s="178"/>
      <c r="C654" s="178"/>
      <c r="D654" s="178"/>
      <c r="E654" s="178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178"/>
      <c r="B655" s="178"/>
      <c r="C655" s="178"/>
      <c r="D655" s="178"/>
      <c r="E655" s="178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178"/>
      <c r="B656" s="178"/>
      <c r="C656" s="178"/>
      <c r="D656" s="178"/>
      <c r="E656" s="178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178"/>
      <c r="B657" s="178"/>
      <c r="C657" s="178"/>
      <c r="D657" s="178"/>
      <c r="E657" s="178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178"/>
      <c r="B658" s="178"/>
      <c r="C658" s="178"/>
      <c r="D658" s="178"/>
      <c r="E658" s="178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178"/>
      <c r="B659" s="178"/>
      <c r="C659" s="178"/>
      <c r="D659" s="178"/>
      <c r="E659" s="178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178"/>
      <c r="B660" s="178"/>
      <c r="C660" s="178"/>
      <c r="D660" s="178"/>
      <c r="E660" s="178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178"/>
      <c r="B661" s="178"/>
      <c r="C661" s="178"/>
      <c r="D661" s="178"/>
      <c r="E661" s="178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178"/>
      <c r="B662" s="178"/>
      <c r="C662" s="178"/>
      <c r="D662" s="178"/>
      <c r="E662" s="178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178"/>
      <c r="B663" s="178"/>
      <c r="C663" s="178"/>
      <c r="D663" s="178"/>
      <c r="E663" s="178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178"/>
      <c r="B664" s="178"/>
      <c r="C664" s="178"/>
      <c r="D664" s="178"/>
      <c r="E664" s="178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178"/>
      <c r="B665" s="178"/>
      <c r="C665" s="178"/>
      <c r="D665" s="178"/>
      <c r="E665" s="178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178"/>
      <c r="B666" s="178"/>
      <c r="C666" s="178"/>
      <c r="D666" s="178"/>
      <c r="E666" s="178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178"/>
      <c r="B667" s="178"/>
      <c r="C667" s="178"/>
      <c r="D667" s="178"/>
      <c r="E667" s="178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178"/>
      <c r="B668" s="178"/>
      <c r="C668" s="178"/>
      <c r="D668" s="178"/>
      <c r="E668" s="178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178"/>
      <c r="B669" s="178"/>
      <c r="C669" s="178"/>
      <c r="D669" s="178"/>
      <c r="E669" s="178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178"/>
      <c r="B670" s="178"/>
      <c r="C670" s="178"/>
      <c r="D670" s="178"/>
      <c r="E670" s="178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178"/>
      <c r="B671" s="178"/>
      <c r="C671" s="178"/>
      <c r="D671" s="178"/>
      <c r="E671" s="178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178"/>
      <c r="B672" s="178"/>
      <c r="C672" s="178"/>
      <c r="D672" s="178"/>
      <c r="E672" s="178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178"/>
      <c r="B673" s="178"/>
      <c r="C673" s="178"/>
      <c r="D673" s="178"/>
      <c r="E673" s="178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178"/>
      <c r="B674" s="178"/>
      <c r="C674" s="178"/>
      <c r="D674" s="178"/>
      <c r="E674" s="178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178"/>
      <c r="B675" s="178"/>
      <c r="C675" s="178"/>
      <c r="D675" s="178"/>
      <c r="E675" s="178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178"/>
      <c r="B676" s="178"/>
      <c r="C676" s="178"/>
      <c r="D676" s="178"/>
      <c r="E676" s="178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178"/>
      <c r="B677" s="178"/>
      <c r="C677" s="178"/>
      <c r="D677" s="178"/>
      <c r="E677" s="178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178"/>
      <c r="B678" s="178"/>
      <c r="C678" s="178"/>
      <c r="D678" s="178"/>
      <c r="E678" s="178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178"/>
      <c r="B679" s="178"/>
      <c r="C679" s="178"/>
      <c r="D679" s="178"/>
      <c r="E679" s="178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178"/>
      <c r="B680" s="178"/>
      <c r="C680" s="178"/>
      <c r="D680" s="178"/>
      <c r="E680" s="178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178"/>
      <c r="B681" s="178"/>
      <c r="C681" s="178"/>
      <c r="D681" s="178"/>
      <c r="E681" s="178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178"/>
      <c r="B682" s="178"/>
      <c r="C682" s="178"/>
      <c r="D682" s="178"/>
      <c r="E682" s="178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178"/>
      <c r="B683" s="178"/>
      <c r="C683" s="178"/>
      <c r="D683" s="178"/>
      <c r="E683" s="178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178"/>
      <c r="B684" s="178"/>
      <c r="C684" s="178"/>
      <c r="D684" s="178"/>
      <c r="E684" s="178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178"/>
      <c r="B685" s="178"/>
      <c r="C685" s="178"/>
      <c r="D685" s="178"/>
      <c r="E685" s="178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178"/>
      <c r="B686" s="178"/>
      <c r="C686" s="178"/>
      <c r="D686" s="178"/>
      <c r="E686" s="178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178"/>
      <c r="B687" s="178"/>
      <c r="C687" s="178"/>
      <c r="D687" s="178"/>
      <c r="E687" s="178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178"/>
      <c r="B688" s="178"/>
      <c r="C688" s="178"/>
      <c r="D688" s="178"/>
      <c r="E688" s="178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178"/>
      <c r="B689" s="178"/>
      <c r="C689" s="178"/>
      <c r="D689" s="178"/>
      <c r="E689" s="178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178"/>
      <c r="B690" s="178"/>
      <c r="C690" s="178"/>
      <c r="D690" s="178"/>
      <c r="E690" s="178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178"/>
      <c r="B691" s="178"/>
      <c r="C691" s="178"/>
      <c r="D691" s="178"/>
      <c r="E691" s="178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178"/>
      <c r="B692" s="178"/>
      <c r="C692" s="178"/>
      <c r="D692" s="178"/>
      <c r="E692" s="178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178"/>
      <c r="B693" s="178"/>
      <c r="C693" s="178"/>
      <c r="D693" s="178"/>
      <c r="E693" s="178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178"/>
      <c r="B694" s="178"/>
      <c r="C694" s="178"/>
      <c r="D694" s="178"/>
      <c r="E694" s="178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178"/>
      <c r="B695" s="178"/>
      <c r="C695" s="178"/>
      <c r="D695" s="178"/>
      <c r="E695" s="178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178"/>
      <c r="B696" s="178"/>
      <c r="C696" s="178"/>
      <c r="D696" s="178"/>
      <c r="E696" s="178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178"/>
      <c r="B697" s="178"/>
      <c r="C697" s="178"/>
      <c r="D697" s="178"/>
      <c r="E697" s="178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178"/>
      <c r="B698" s="178"/>
      <c r="C698" s="178"/>
      <c r="D698" s="178"/>
      <c r="E698" s="178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178"/>
      <c r="B699" s="178"/>
      <c r="C699" s="178"/>
      <c r="D699" s="178"/>
      <c r="E699" s="178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178"/>
      <c r="B700" s="178"/>
      <c r="C700" s="178"/>
      <c r="D700" s="178"/>
      <c r="E700" s="178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178"/>
      <c r="B701" s="178"/>
      <c r="C701" s="178"/>
      <c r="D701" s="178"/>
      <c r="E701" s="178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178"/>
      <c r="B702" s="178"/>
      <c r="C702" s="178"/>
      <c r="D702" s="178"/>
      <c r="E702" s="178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178"/>
      <c r="B703" s="178"/>
      <c r="C703" s="178"/>
      <c r="D703" s="178"/>
      <c r="E703" s="178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178"/>
      <c r="B704" s="178"/>
      <c r="C704" s="178"/>
      <c r="D704" s="178"/>
      <c r="E704" s="178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178"/>
      <c r="B705" s="178"/>
      <c r="C705" s="178"/>
      <c r="D705" s="178"/>
      <c r="E705" s="178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178"/>
      <c r="B706" s="178"/>
      <c r="C706" s="178"/>
      <c r="D706" s="178"/>
      <c r="E706" s="178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178"/>
      <c r="B707" s="178"/>
      <c r="C707" s="178"/>
      <c r="D707" s="178"/>
      <c r="E707" s="178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178"/>
      <c r="B708" s="178"/>
      <c r="C708" s="178"/>
      <c r="D708" s="178"/>
      <c r="E708" s="178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178"/>
      <c r="B709" s="178"/>
      <c r="C709" s="178"/>
      <c r="D709" s="178"/>
      <c r="E709" s="178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178"/>
      <c r="B710" s="178"/>
      <c r="C710" s="178"/>
      <c r="D710" s="178"/>
      <c r="E710" s="178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178"/>
      <c r="B711" s="178"/>
      <c r="C711" s="178"/>
      <c r="D711" s="178"/>
      <c r="E711" s="178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178"/>
      <c r="B712" s="178"/>
      <c r="C712" s="178"/>
      <c r="D712" s="178"/>
      <c r="E712" s="178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178"/>
      <c r="B713" s="178"/>
      <c r="C713" s="178"/>
      <c r="D713" s="178"/>
      <c r="E713" s="178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178"/>
      <c r="B714" s="178"/>
      <c r="C714" s="178"/>
      <c r="D714" s="178"/>
      <c r="E714" s="178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178"/>
      <c r="B715" s="178"/>
      <c r="C715" s="178"/>
      <c r="D715" s="178"/>
      <c r="E715" s="178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178"/>
      <c r="B716" s="178"/>
      <c r="C716" s="178"/>
      <c r="D716" s="178"/>
      <c r="E716" s="178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178"/>
      <c r="B717" s="178"/>
      <c r="C717" s="178"/>
      <c r="D717" s="178"/>
      <c r="E717" s="178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178"/>
      <c r="B718" s="178"/>
      <c r="C718" s="178"/>
      <c r="D718" s="178"/>
      <c r="E718" s="178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178"/>
      <c r="B719" s="178"/>
      <c r="C719" s="178"/>
      <c r="D719" s="178"/>
      <c r="E719" s="178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178"/>
      <c r="B720" s="178"/>
      <c r="C720" s="178"/>
      <c r="D720" s="178"/>
      <c r="E720" s="178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178"/>
      <c r="B721" s="178"/>
      <c r="C721" s="178"/>
      <c r="D721" s="178"/>
      <c r="E721" s="178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178"/>
      <c r="B722" s="178"/>
      <c r="C722" s="178"/>
      <c r="D722" s="178"/>
      <c r="E722" s="178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178"/>
      <c r="B723" s="178"/>
      <c r="C723" s="178"/>
      <c r="D723" s="178"/>
      <c r="E723" s="178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178"/>
      <c r="B724" s="178"/>
      <c r="C724" s="178"/>
      <c r="D724" s="178"/>
      <c r="E724" s="178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178"/>
      <c r="B725" s="178"/>
      <c r="C725" s="178"/>
      <c r="D725" s="178"/>
      <c r="E725" s="178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178"/>
      <c r="B726" s="178"/>
      <c r="C726" s="178"/>
      <c r="D726" s="178"/>
      <c r="E726" s="178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178"/>
      <c r="B727" s="178"/>
      <c r="C727" s="178"/>
      <c r="D727" s="178"/>
      <c r="E727" s="178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178"/>
      <c r="B728" s="178"/>
      <c r="C728" s="178"/>
      <c r="D728" s="178"/>
      <c r="E728" s="178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178"/>
      <c r="B729" s="178"/>
      <c r="C729" s="178"/>
      <c r="D729" s="178"/>
      <c r="E729" s="178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178"/>
      <c r="B730" s="178"/>
      <c r="C730" s="178"/>
      <c r="D730" s="178"/>
      <c r="E730" s="178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178"/>
      <c r="B731" s="178"/>
      <c r="C731" s="178"/>
      <c r="D731" s="178"/>
      <c r="E731" s="178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178"/>
      <c r="B732" s="178"/>
      <c r="C732" s="178"/>
      <c r="D732" s="178"/>
      <c r="E732" s="178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178"/>
      <c r="B733" s="178"/>
      <c r="C733" s="178"/>
      <c r="D733" s="178"/>
      <c r="E733" s="178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178"/>
      <c r="B734" s="178"/>
      <c r="C734" s="178"/>
      <c r="D734" s="178"/>
      <c r="E734" s="178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178"/>
      <c r="B735" s="178"/>
      <c r="C735" s="178"/>
      <c r="D735" s="178"/>
      <c r="E735" s="178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178"/>
      <c r="B736" s="178"/>
      <c r="C736" s="178"/>
      <c r="D736" s="178"/>
      <c r="E736" s="178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178"/>
      <c r="B737" s="178"/>
      <c r="C737" s="178"/>
      <c r="D737" s="178"/>
      <c r="E737" s="178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178"/>
      <c r="B738" s="178"/>
      <c r="C738" s="178"/>
      <c r="D738" s="178"/>
      <c r="E738" s="178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178"/>
      <c r="B739" s="178"/>
      <c r="C739" s="178"/>
      <c r="D739" s="178"/>
      <c r="E739" s="178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178"/>
      <c r="B740" s="178"/>
      <c r="C740" s="178"/>
      <c r="D740" s="178"/>
      <c r="E740" s="178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178"/>
      <c r="B741" s="178"/>
      <c r="C741" s="178"/>
      <c r="D741" s="178"/>
      <c r="E741" s="178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178"/>
      <c r="B742" s="178"/>
      <c r="C742" s="178"/>
      <c r="D742" s="178"/>
      <c r="E742" s="178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178"/>
      <c r="B743" s="178"/>
      <c r="C743" s="178"/>
      <c r="D743" s="178"/>
      <c r="E743" s="178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178"/>
      <c r="B744" s="178"/>
      <c r="C744" s="178"/>
      <c r="D744" s="178"/>
      <c r="E744" s="178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178"/>
      <c r="B745" s="178"/>
      <c r="C745" s="178"/>
      <c r="D745" s="178"/>
      <c r="E745" s="178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178"/>
      <c r="B746" s="178"/>
      <c r="C746" s="178"/>
      <c r="D746" s="178"/>
      <c r="E746" s="178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178"/>
      <c r="B747" s="178"/>
      <c r="C747" s="178"/>
      <c r="D747" s="178"/>
      <c r="E747" s="178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178"/>
      <c r="B748" s="178"/>
      <c r="C748" s="178"/>
      <c r="D748" s="178"/>
      <c r="E748" s="178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178"/>
      <c r="B749" s="178"/>
      <c r="C749" s="178"/>
      <c r="D749" s="178"/>
      <c r="E749" s="178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178"/>
      <c r="B750" s="178"/>
      <c r="C750" s="178"/>
      <c r="D750" s="178"/>
      <c r="E750" s="178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178"/>
      <c r="B751" s="178"/>
      <c r="C751" s="178"/>
      <c r="D751" s="178"/>
      <c r="E751" s="178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178"/>
      <c r="B752" s="178"/>
      <c r="C752" s="178"/>
      <c r="D752" s="178"/>
      <c r="E752" s="178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178"/>
      <c r="B753" s="178"/>
      <c r="C753" s="178"/>
      <c r="D753" s="178"/>
      <c r="E753" s="178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178"/>
      <c r="B754" s="178"/>
      <c r="C754" s="178"/>
      <c r="D754" s="178"/>
      <c r="E754" s="178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178"/>
      <c r="B755" s="178"/>
      <c r="C755" s="178"/>
      <c r="D755" s="178"/>
      <c r="E755" s="178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178"/>
      <c r="B756" s="178"/>
      <c r="C756" s="178"/>
      <c r="D756" s="178"/>
      <c r="E756" s="178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178"/>
      <c r="B757" s="178"/>
      <c r="C757" s="178"/>
      <c r="D757" s="178"/>
      <c r="E757" s="178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178"/>
      <c r="B758" s="178"/>
      <c r="C758" s="178"/>
      <c r="D758" s="178"/>
      <c r="E758" s="178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178"/>
      <c r="B759" s="178"/>
      <c r="C759" s="178"/>
      <c r="D759" s="178"/>
      <c r="E759" s="178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178"/>
      <c r="B760" s="178"/>
      <c r="C760" s="178"/>
      <c r="D760" s="178"/>
      <c r="E760" s="178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178"/>
      <c r="B761" s="178"/>
      <c r="C761" s="178"/>
      <c r="D761" s="178"/>
      <c r="E761" s="178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178"/>
      <c r="B762" s="178"/>
      <c r="C762" s="178"/>
      <c r="D762" s="178"/>
      <c r="E762" s="178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178"/>
      <c r="B763" s="178"/>
      <c r="C763" s="178"/>
      <c r="D763" s="178"/>
      <c r="E763" s="178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178"/>
      <c r="B764" s="178"/>
      <c r="C764" s="178"/>
      <c r="D764" s="178"/>
      <c r="E764" s="178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178"/>
      <c r="B765" s="178"/>
      <c r="C765" s="178"/>
      <c r="D765" s="178"/>
      <c r="E765" s="178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178"/>
      <c r="B766" s="178"/>
      <c r="C766" s="178"/>
      <c r="D766" s="178"/>
      <c r="E766" s="178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178"/>
      <c r="B767" s="178"/>
      <c r="C767" s="178"/>
      <c r="D767" s="178"/>
      <c r="E767" s="178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178"/>
      <c r="B768" s="178"/>
      <c r="C768" s="178"/>
      <c r="D768" s="178"/>
      <c r="E768" s="178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178"/>
      <c r="B769" s="178"/>
      <c r="C769" s="178"/>
      <c r="D769" s="178"/>
      <c r="E769" s="178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178"/>
      <c r="B770" s="178"/>
      <c r="C770" s="178"/>
      <c r="D770" s="178"/>
      <c r="E770" s="178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178"/>
      <c r="B771" s="178"/>
      <c r="C771" s="178"/>
      <c r="D771" s="178"/>
      <c r="E771" s="178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178"/>
      <c r="B772" s="178"/>
      <c r="C772" s="178"/>
      <c r="D772" s="178"/>
      <c r="E772" s="178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178"/>
      <c r="B773" s="178"/>
      <c r="C773" s="178"/>
      <c r="D773" s="178"/>
      <c r="E773" s="178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178"/>
      <c r="B774" s="178"/>
      <c r="C774" s="178"/>
      <c r="D774" s="178"/>
      <c r="E774" s="178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178"/>
      <c r="B775" s="178"/>
      <c r="C775" s="178"/>
      <c r="D775" s="178"/>
      <c r="E775" s="178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178"/>
      <c r="B776" s="178"/>
      <c r="C776" s="178"/>
      <c r="D776" s="178"/>
      <c r="E776" s="178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178"/>
      <c r="B777" s="178"/>
      <c r="C777" s="178"/>
      <c r="D777" s="178"/>
      <c r="E777" s="178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178"/>
      <c r="B778" s="178"/>
      <c r="C778" s="178"/>
      <c r="D778" s="178"/>
      <c r="E778" s="178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178"/>
      <c r="B779" s="178"/>
      <c r="C779" s="178"/>
      <c r="D779" s="178"/>
      <c r="E779" s="178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178"/>
      <c r="B780" s="178"/>
      <c r="C780" s="178"/>
      <c r="D780" s="178"/>
      <c r="E780" s="178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178"/>
      <c r="B781" s="178"/>
      <c r="C781" s="178"/>
      <c r="D781" s="178"/>
      <c r="E781" s="178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178"/>
      <c r="B782" s="178"/>
      <c r="C782" s="178"/>
      <c r="D782" s="178"/>
      <c r="E782" s="178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178"/>
      <c r="B783" s="178"/>
      <c r="C783" s="178"/>
      <c r="D783" s="178"/>
      <c r="E783" s="178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178"/>
      <c r="B784" s="178"/>
      <c r="C784" s="178"/>
      <c r="D784" s="178"/>
      <c r="E784" s="178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178"/>
      <c r="B785" s="178"/>
      <c r="C785" s="178"/>
      <c r="D785" s="178"/>
      <c r="E785" s="178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178"/>
      <c r="B786" s="178"/>
      <c r="C786" s="178"/>
      <c r="D786" s="178"/>
      <c r="E786" s="178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178"/>
      <c r="B787" s="178"/>
      <c r="C787" s="178"/>
      <c r="D787" s="178"/>
      <c r="E787" s="178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178"/>
      <c r="B788" s="178"/>
      <c r="C788" s="178"/>
      <c r="D788" s="178"/>
      <c r="E788" s="178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178"/>
      <c r="B789" s="178"/>
      <c r="C789" s="178"/>
      <c r="D789" s="178"/>
      <c r="E789" s="178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178"/>
      <c r="B790" s="178"/>
      <c r="C790" s="178"/>
      <c r="D790" s="178"/>
      <c r="E790" s="178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178"/>
      <c r="B791" s="178"/>
      <c r="C791" s="178"/>
      <c r="D791" s="178"/>
      <c r="E791" s="178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178"/>
      <c r="B792" s="178"/>
      <c r="C792" s="178"/>
      <c r="D792" s="178"/>
      <c r="E792" s="178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178"/>
      <c r="B793" s="178"/>
      <c r="C793" s="178"/>
      <c r="D793" s="178"/>
      <c r="E793" s="178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178"/>
      <c r="B794" s="178"/>
      <c r="C794" s="178"/>
      <c r="D794" s="178"/>
      <c r="E794" s="178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178"/>
      <c r="B795" s="178"/>
      <c r="C795" s="178"/>
      <c r="D795" s="178"/>
      <c r="E795" s="178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178"/>
      <c r="B796" s="178"/>
      <c r="C796" s="178"/>
      <c r="D796" s="178"/>
      <c r="E796" s="178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178"/>
      <c r="B797" s="178"/>
      <c r="C797" s="178"/>
      <c r="D797" s="178"/>
      <c r="E797" s="178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178"/>
      <c r="B798" s="178"/>
      <c r="C798" s="178"/>
      <c r="D798" s="178"/>
      <c r="E798" s="178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178"/>
      <c r="B799" s="178"/>
      <c r="C799" s="178"/>
      <c r="D799" s="178"/>
      <c r="E799" s="178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178"/>
      <c r="B800" s="178"/>
      <c r="C800" s="178"/>
      <c r="D800" s="178"/>
      <c r="E800" s="178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178"/>
      <c r="B801" s="178"/>
      <c r="C801" s="178"/>
      <c r="D801" s="178"/>
      <c r="E801" s="178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178"/>
      <c r="B802" s="178"/>
      <c r="C802" s="178"/>
      <c r="D802" s="178"/>
      <c r="E802" s="178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178"/>
      <c r="B803" s="178"/>
      <c r="C803" s="178"/>
      <c r="D803" s="178"/>
      <c r="E803" s="178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178"/>
      <c r="B804" s="178"/>
      <c r="C804" s="178"/>
      <c r="D804" s="178"/>
      <c r="E804" s="178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178"/>
      <c r="B805" s="178"/>
      <c r="C805" s="178"/>
      <c r="D805" s="178"/>
      <c r="E805" s="178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178"/>
      <c r="B806" s="178"/>
      <c r="C806" s="178"/>
      <c r="D806" s="178"/>
      <c r="E806" s="178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178"/>
      <c r="B807" s="178"/>
      <c r="C807" s="178"/>
      <c r="D807" s="178"/>
      <c r="E807" s="178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178"/>
      <c r="B808" s="178"/>
      <c r="C808" s="178"/>
      <c r="D808" s="178"/>
      <c r="E808" s="178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178"/>
      <c r="B809" s="178"/>
      <c r="C809" s="178"/>
      <c r="D809" s="178"/>
      <c r="E809" s="178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178"/>
      <c r="B810" s="178"/>
      <c r="C810" s="178"/>
      <c r="D810" s="178"/>
      <c r="E810" s="178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178"/>
      <c r="B811" s="178"/>
      <c r="C811" s="178"/>
      <c r="D811" s="178"/>
      <c r="E811" s="178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178"/>
      <c r="B812" s="178"/>
      <c r="C812" s="178"/>
      <c r="D812" s="178"/>
      <c r="E812" s="178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178"/>
      <c r="B813" s="178"/>
      <c r="C813" s="178"/>
      <c r="D813" s="178"/>
      <c r="E813" s="178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178"/>
      <c r="B814" s="178"/>
      <c r="C814" s="178"/>
      <c r="D814" s="178"/>
      <c r="E814" s="178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178"/>
      <c r="B815" s="178"/>
      <c r="C815" s="178"/>
      <c r="D815" s="178"/>
      <c r="E815" s="178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178"/>
      <c r="B816" s="178"/>
      <c r="C816" s="178"/>
      <c r="D816" s="178"/>
      <c r="E816" s="178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178"/>
      <c r="B817" s="178"/>
      <c r="C817" s="178"/>
      <c r="D817" s="178"/>
      <c r="E817" s="178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178"/>
      <c r="B818" s="178"/>
      <c r="C818" s="178"/>
      <c r="D818" s="178"/>
      <c r="E818" s="178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178"/>
      <c r="B819" s="178"/>
      <c r="C819" s="178"/>
      <c r="D819" s="178"/>
      <c r="E819" s="178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178"/>
      <c r="B820" s="178"/>
      <c r="C820" s="178"/>
      <c r="D820" s="178"/>
      <c r="E820" s="178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178"/>
      <c r="B821" s="178"/>
      <c r="C821" s="178"/>
      <c r="D821" s="178"/>
      <c r="E821" s="178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178"/>
      <c r="B822" s="178"/>
      <c r="C822" s="178"/>
      <c r="D822" s="178"/>
      <c r="E822" s="178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178"/>
      <c r="B823" s="178"/>
      <c r="C823" s="178"/>
      <c r="D823" s="178"/>
      <c r="E823" s="178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178"/>
      <c r="B824" s="178"/>
      <c r="C824" s="178"/>
      <c r="D824" s="178"/>
      <c r="E824" s="178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178"/>
      <c r="B825" s="178"/>
      <c r="C825" s="178"/>
      <c r="D825" s="178"/>
      <c r="E825" s="178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178"/>
      <c r="B826" s="178"/>
      <c r="C826" s="178"/>
      <c r="D826" s="178"/>
      <c r="E826" s="178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178"/>
      <c r="B827" s="178"/>
      <c r="C827" s="178"/>
      <c r="D827" s="178"/>
      <c r="E827" s="178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178"/>
      <c r="B828" s="178"/>
      <c r="C828" s="178"/>
      <c r="D828" s="178"/>
      <c r="E828" s="178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178"/>
      <c r="B829" s="178"/>
      <c r="C829" s="178"/>
      <c r="D829" s="178"/>
      <c r="E829" s="178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178"/>
      <c r="B830" s="178"/>
      <c r="C830" s="178"/>
      <c r="D830" s="178"/>
      <c r="E830" s="178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178"/>
      <c r="B831" s="178"/>
      <c r="C831" s="178"/>
      <c r="D831" s="178"/>
      <c r="E831" s="178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178"/>
      <c r="B832" s="178"/>
      <c r="C832" s="178"/>
      <c r="D832" s="178"/>
      <c r="E832" s="178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178"/>
      <c r="B833" s="178"/>
      <c r="C833" s="178"/>
      <c r="D833" s="178"/>
      <c r="E833" s="178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178"/>
      <c r="B834" s="178"/>
      <c r="C834" s="178"/>
      <c r="D834" s="178"/>
      <c r="E834" s="178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178"/>
      <c r="B835" s="178"/>
      <c r="C835" s="178"/>
      <c r="D835" s="178"/>
      <c r="E835" s="178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178"/>
      <c r="B836" s="178"/>
      <c r="C836" s="178"/>
      <c r="D836" s="178"/>
      <c r="E836" s="178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178"/>
      <c r="B837" s="178"/>
      <c r="C837" s="178"/>
      <c r="D837" s="178"/>
      <c r="E837" s="178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178"/>
      <c r="B838" s="178"/>
      <c r="C838" s="178"/>
      <c r="D838" s="178"/>
      <c r="E838" s="178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178"/>
      <c r="B839" s="178"/>
      <c r="C839" s="178"/>
      <c r="D839" s="178"/>
      <c r="E839" s="178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178"/>
      <c r="B840" s="178"/>
      <c r="C840" s="178"/>
      <c r="D840" s="178"/>
      <c r="E840" s="178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178"/>
      <c r="B841" s="178"/>
      <c r="C841" s="178"/>
      <c r="D841" s="178"/>
      <c r="E841" s="178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178"/>
      <c r="B842" s="178"/>
      <c r="C842" s="178"/>
      <c r="D842" s="178"/>
      <c r="E842" s="178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178"/>
      <c r="B843" s="178"/>
      <c r="C843" s="178"/>
      <c r="D843" s="178"/>
      <c r="E843" s="178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178"/>
      <c r="B844" s="178"/>
      <c r="C844" s="178"/>
      <c r="D844" s="178"/>
      <c r="E844" s="178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178"/>
      <c r="B845" s="178"/>
      <c r="C845" s="178"/>
      <c r="D845" s="178"/>
      <c r="E845" s="178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178"/>
      <c r="B846" s="178"/>
      <c r="C846" s="178"/>
      <c r="D846" s="178"/>
      <c r="E846" s="178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178"/>
      <c r="B847" s="178"/>
      <c r="C847" s="178"/>
      <c r="D847" s="178"/>
      <c r="E847" s="178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178"/>
      <c r="B848" s="178"/>
      <c r="C848" s="178"/>
      <c r="D848" s="178"/>
      <c r="E848" s="178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178"/>
      <c r="B849" s="178"/>
      <c r="C849" s="178"/>
      <c r="D849" s="178"/>
      <c r="E849" s="178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178"/>
      <c r="B850" s="178"/>
      <c r="C850" s="178"/>
      <c r="D850" s="178"/>
      <c r="E850" s="178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178"/>
      <c r="B851" s="178"/>
      <c r="C851" s="178"/>
      <c r="D851" s="178"/>
      <c r="E851" s="178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178"/>
      <c r="B852" s="178"/>
      <c r="C852" s="178"/>
      <c r="D852" s="178"/>
      <c r="E852" s="178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178"/>
      <c r="B853" s="178"/>
      <c r="C853" s="178"/>
      <c r="D853" s="178"/>
      <c r="E853" s="178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178"/>
      <c r="B854" s="178"/>
      <c r="C854" s="178"/>
      <c r="D854" s="178"/>
      <c r="E854" s="178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178"/>
      <c r="B855" s="178"/>
      <c r="C855" s="178"/>
      <c r="D855" s="178"/>
      <c r="E855" s="178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178"/>
      <c r="B856" s="178"/>
      <c r="C856" s="178"/>
      <c r="D856" s="178"/>
      <c r="E856" s="178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178"/>
      <c r="B857" s="178"/>
      <c r="C857" s="178"/>
      <c r="D857" s="178"/>
      <c r="E857" s="178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178"/>
      <c r="B858" s="178"/>
      <c r="C858" s="178"/>
      <c r="D858" s="178"/>
      <c r="E858" s="178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178"/>
      <c r="B859" s="178"/>
      <c r="C859" s="178"/>
      <c r="D859" s="178"/>
      <c r="E859" s="178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178"/>
      <c r="B860" s="178"/>
      <c r="C860" s="178"/>
      <c r="D860" s="178"/>
      <c r="E860" s="178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178"/>
      <c r="B861" s="178"/>
      <c r="C861" s="178"/>
      <c r="D861" s="178"/>
      <c r="E861" s="178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178"/>
      <c r="B862" s="178"/>
      <c r="C862" s="178"/>
      <c r="D862" s="178"/>
      <c r="E862" s="178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178"/>
      <c r="B863" s="178"/>
      <c r="C863" s="178"/>
      <c r="D863" s="178"/>
      <c r="E863" s="178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178"/>
      <c r="B864" s="178"/>
      <c r="C864" s="178"/>
      <c r="D864" s="178"/>
      <c r="E864" s="178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178"/>
      <c r="B865" s="178"/>
      <c r="C865" s="178"/>
      <c r="D865" s="178"/>
      <c r="E865" s="178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178"/>
      <c r="B866" s="178"/>
      <c r="C866" s="178"/>
      <c r="D866" s="178"/>
      <c r="E866" s="178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178"/>
      <c r="B867" s="178"/>
      <c r="C867" s="178"/>
      <c r="D867" s="178"/>
      <c r="E867" s="178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178"/>
      <c r="B868" s="178"/>
      <c r="C868" s="178"/>
      <c r="D868" s="178"/>
      <c r="E868" s="178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178"/>
      <c r="B869" s="178"/>
      <c r="C869" s="178"/>
      <c r="D869" s="178"/>
      <c r="E869" s="178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178"/>
      <c r="B870" s="178"/>
      <c r="C870" s="178"/>
      <c r="D870" s="178"/>
      <c r="E870" s="178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178"/>
      <c r="B871" s="178"/>
      <c r="C871" s="178"/>
      <c r="D871" s="178"/>
      <c r="E871" s="178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178"/>
      <c r="B872" s="178"/>
      <c r="C872" s="178"/>
      <c r="D872" s="178"/>
      <c r="E872" s="178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178"/>
      <c r="B873" s="178"/>
      <c r="C873" s="178"/>
      <c r="D873" s="178"/>
      <c r="E873" s="178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178"/>
      <c r="B874" s="178"/>
      <c r="C874" s="178"/>
      <c r="D874" s="178"/>
      <c r="E874" s="178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178"/>
      <c r="B875" s="178"/>
      <c r="C875" s="178"/>
      <c r="D875" s="178"/>
      <c r="E875" s="178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178"/>
      <c r="B876" s="178"/>
      <c r="C876" s="178"/>
      <c r="D876" s="178"/>
      <c r="E876" s="178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178"/>
      <c r="B877" s="178"/>
      <c r="C877" s="178"/>
      <c r="D877" s="178"/>
      <c r="E877" s="178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178"/>
      <c r="B878" s="178"/>
      <c r="C878" s="178"/>
      <c r="D878" s="178"/>
      <c r="E878" s="178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178"/>
      <c r="B879" s="178"/>
      <c r="C879" s="178"/>
      <c r="D879" s="178"/>
      <c r="E879" s="178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178"/>
      <c r="B880" s="178"/>
      <c r="C880" s="178"/>
      <c r="D880" s="178"/>
      <c r="E880" s="178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178"/>
      <c r="B881" s="178"/>
      <c r="C881" s="178"/>
      <c r="D881" s="178"/>
      <c r="E881" s="178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178"/>
      <c r="B882" s="178"/>
      <c r="C882" s="178"/>
      <c r="D882" s="178"/>
      <c r="E882" s="178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178"/>
      <c r="B883" s="178"/>
      <c r="C883" s="178"/>
      <c r="D883" s="178"/>
      <c r="E883" s="178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178"/>
      <c r="B884" s="178"/>
      <c r="C884" s="178"/>
      <c r="D884" s="178"/>
      <c r="E884" s="178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178"/>
      <c r="B885" s="178"/>
      <c r="C885" s="178"/>
      <c r="D885" s="178"/>
      <c r="E885" s="178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178"/>
      <c r="B886" s="178"/>
      <c r="C886" s="178"/>
      <c r="D886" s="178"/>
      <c r="E886" s="178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178"/>
      <c r="B887" s="178"/>
      <c r="C887" s="178"/>
      <c r="D887" s="178"/>
      <c r="E887" s="178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178"/>
      <c r="B888" s="178"/>
      <c r="C888" s="178"/>
      <c r="D888" s="178"/>
      <c r="E888" s="178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178"/>
      <c r="B889" s="178"/>
      <c r="C889" s="178"/>
      <c r="D889" s="178"/>
      <c r="E889" s="178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178"/>
      <c r="B890" s="178"/>
      <c r="C890" s="178"/>
      <c r="D890" s="178"/>
      <c r="E890" s="178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178"/>
      <c r="B891" s="178"/>
      <c r="C891" s="178"/>
      <c r="D891" s="178"/>
      <c r="E891" s="178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178"/>
      <c r="B892" s="178"/>
      <c r="C892" s="178"/>
      <c r="D892" s="178"/>
      <c r="E892" s="178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178"/>
      <c r="B893" s="178"/>
      <c r="C893" s="178"/>
      <c r="D893" s="178"/>
      <c r="E893" s="178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178"/>
      <c r="B894" s="178"/>
      <c r="C894" s="178"/>
      <c r="D894" s="178"/>
      <c r="E894" s="178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178"/>
      <c r="B895" s="178"/>
      <c r="C895" s="178"/>
      <c r="D895" s="178"/>
      <c r="E895" s="178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178"/>
      <c r="B896" s="178"/>
      <c r="C896" s="178"/>
      <c r="D896" s="178"/>
      <c r="E896" s="178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178"/>
      <c r="B897" s="178"/>
      <c r="C897" s="178"/>
      <c r="D897" s="178"/>
      <c r="E897" s="178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178"/>
      <c r="B898" s="178"/>
      <c r="C898" s="178"/>
      <c r="D898" s="178"/>
      <c r="E898" s="178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178"/>
      <c r="B899" s="178"/>
      <c r="C899" s="178"/>
      <c r="D899" s="178"/>
      <c r="E899" s="178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178"/>
      <c r="B900" s="178"/>
      <c r="C900" s="178"/>
      <c r="D900" s="178"/>
      <c r="E900" s="178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178"/>
      <c r="B901" s="178"/>
      <c r="C901" s="178"/>
      <c r="D901" s="178"/>
      <c r="E901" s="178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178"/>
      <c r="B902" s="178"/>
      <c r="C902" s="178"/>
      <c r="D902" s="178"/>
      <c r="E902" s="178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178"/>
      <c r="B903" s="178"/>
      <c r="C903" s="178"/>
      <c r="D903" s="178"/>
      <c r="E903" s="178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178"/>
      <c r="B904" s="178"/>
      <c r="C904" s="178"/>
      <c r="D904" s="178"/>
      <c r="E904" s="178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178"/>
      <c r="B905" s="178"/>
      <c r="C905" s="178"/>
      <c r="D905" s="178"/>
      <c r="E905" s="178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178"/>
      <c r="B906" s="178"/>
      <c r="C906" s="178"/>
      <c r="D906" s="178"/>
      <c r="E906" s="178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178"/>
      <c r="B907" s="178"/>
      <c r="C907" s="178"/>
      <c r="D907" s="178"/>
      <c r="E907" s="178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178"/>
      <c r="B908" s="178"/>
      <c r="C908" s="178"/>
      <c r="D908" s="178"/>
      <c r="E908" s="178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178"/>
      <c r="B909" s="178"/>
      <c r="C909" s="178"/>
      <c r="D909" s="178"/>
      <c r="E909" s="178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178"/>
      <c r="B910" s="178"/>
      <c r="C910" s="178"/>
      <c r="D910" s="178"/>
      <c r="E910" s="178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178"/>
      <c r="B911" s="178"/>
      <c r="C911" s="178"/>
      <c r="D911" s="178"/>
      <c r="E911" s="178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178"/>
      <c r="B912" s="178"/>
      <c r="C912" s="178"/>
      <c r="D912" s="178"/>
      <c r="E912" s="178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178"/>
      <c r="B913" s="178"/>
      <c r="C913" s="178"/>
      <c r="D913" s="178"/>
      <c r="E913" s="178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178"/>
      <c r="B914" s="178"/>
      <c r="C914" s="178"/>
      <c r="D914" s="178"/>
      <c r="E914" s="178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178"/>
      <c r="B915" s="178"/>
      <c r="C915" s="178"/>
      <c r="D915" s="178"/>
      <c r="E915" s="178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178"/>
      <c r="B916" s="178"/>
      <c r="C916" s="178"/>
      <c r="D916" s="178"/>
      <c r="E916" s="178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178"/>
      <c r="B917" s="178"/>
      <c r="C917" s="178"/>
      <c r="D917" s="178"/>
      <c r="E917" s="178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178"/>
      <c r="B918" s="178"/>
      <c r="C918" s="178"/>
      <c r="D918" s="178"/>
      <c r="E918" s="178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178"/>
      <c r="B919" s="178"/>
      <c r="C919" s="178"/>
      <c r="D919" s="178"/>
      <c r="E919" s="178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178"/>
      <c r="B920" s="178"/>
      <c r="C920" s="178"/>
      <c r="D920" s="178"/>
      <c r="E920" s="178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178"/>
      <c r="B921" s="178"/>
      <c r="C921" s="178"/>
      <c r="D921" s="178"/>
      <c r="E921" s="178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178"/>
      <c r="B922" s="178"/>
      <c r="C922" s="178"/>
      <c r="D922" s="178"/>
      <c r="E922" s="178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178"/>
      <c r="B923" s="178"/>
      <c r="C923" s="178"/>
      <c r="D923" s="178"/>
      <c r="E923" s="178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178"/>
      <c r="B924" s="178"/>
      <c r="C924" s="178"/>
      <c r="D924" s="178"/>
      <c r="E924" s="178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178"/>
      <c r="B925" s="178"/>
      <c r="C925" s="178"/>
      <c r="D925" s="178"/>
      <c r="E925" s="178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178"/>
      <c r="B926" s="178"/>
      <c r="C926" s="178"/>
      <c r="D926" s="178"/>
      <c r="E926" s="178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178"/>
      <c r="B927" s="178"/>
      <c r="C927" s="178"/>
      <c r="D927" s="178"/>
      <c r="E927" s="178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178"/>
      <c r="B928" s="178"/>
      <c r="C928" s="178"/>
      <c r="D928" s="178"/>
      <c r="E928" s="178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178"/>
      <c r="B929" s="178"/>
      <c r="C929" s="178"/>
      <c r="D929" s="178"/>
      <c r="E929" s="178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178"/>
      <c r="B930" s="178"/>
      <c r="C930" s="178"/>
      <c r="D930" s="178"/>
      <c r="E930" s="178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178"/>
      <c r="B931" s="178"/>
      <c r="C931" s="178"/>
      <c r="D931" s="178"/>
      <c r="E931" s="178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178"/>
      <c r="B932" s="178"/>
      <c r="C932" s="178"/>
      <c r="D932" s="178"/>
      <c r="E932" s="178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178"/>
      <c r="B933" s="178"/>
      <c r="C933" s="178"/>
      <c r="D933" s="178"/>
      <c r="E933" s="178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178"/>
      <c r="B934" s="178"/>
      <c r="C934" s="178"/>
      <c r="D934" s="178"/>
      <c r="E934" s="178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178"/>
      <c r="B935" s="178"/>
      <c r="C935" s="178"/>
      <c r="D935" s="178"/>
      <c r="E935" s="178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178"/>
      <c r="B936" s="178"/>
      <c r="C936" s="178"/>
      <c r="D936" s="178"/>
      <c r="E936" s="178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178"/>
      <c r="B937" s="178"/>
      <c r="C937" s="178"/>
      <c r="D937" s="178"/>
      <c r="E937" s="178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178"/>
      <c r="B938" s="178"/>
      <c r="C938" s="178"/>
      <c r="D938" s="178"/>
      <c r="E938" s="178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178"/>
      <c r="B939" s="178"/>
      <c r="C939" s="178"/>
      <c r="D939" s="178"/>
      <c r="E939" s="178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178"/>
      <c r="B940" s="178"/>
      <c r="C940" s="178"/>
      <c r="D940" s="178"/>
      <c r="E940" s="178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178"/>
      <c r="B941" s="178"/>
      <c r="C941" s="178"/>
      <c r="D941" s="178"/>
      <c r="E941" s="178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178"/>
      <c r="B942" s="178"/>
      <c r="C942" s="178"/>
      <c r="D942" s="178"/>
      <c r="E942" s="178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178"/>
      <c r="B943" s="178"/>
      <c r="C943" s="178"/>
      <c r="D943" s="178"/>
      <c r="E943" s="178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178"/>
      <c r="B944" s="178"/>
      <c r="C944" s="178"/>
      <c r="D944" s="178"/>
      <c r="E944" s="178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178"/>
      <c r="B945" s="178"/>
      <c r="C945" s="178"/>
      <c r="D945" s="178"/>
      <c r="E945" s="178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178"/>
      <c r="B946" s="178"/>
      <c r="C946" s="178"/>
      <c r="D946" s="178"/>
      <c r="E946" s="178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178"/>
      <c r="B947" s="178"/>
      <c r="C947" s="178"/>
      <c r="D947" s="178"/>
      <c r="E947" s="178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178"/>
      <c r="B948" s="178"/>
      <c r="C948" s="178"/>
      <c r="D948" s="178"/>
      <c r="E948" s="178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178"/>
      <c r="B949" s="178"/>
      <c r="C949" s="178"/>
      <c r="D949" s="178"/>
      <c r="E949" s="178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178"/>
      <c r="B950" s="178"/>
      <c r="C950" s="178"/>
      <c r="D950" s="178"/>
      <c r="E950" s="178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178"/>
      <c r="B951" s="178"/>
      <c r="C951" s="178"/>
      <c r="D951" s="178"/>
      <c r="E951" s="178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178"/>
      <c r="B952" s="178"/>
      <c r="C952" s="178"/>
      <c r="D952" s="178"/>
      <c r="E952" s="178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178"/>
      <c r="B953" s="178"/>
      <c r="C953" s="178"/>
      <c r="D953" s="178"/>
      <c r="E953" s="178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178"/>
      <c r="B954" s="178"/>
      <c r="C954" s="178"/>
      <c r="D954" s="178"/>
      <c r="E954" s="178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178"/>
      <c r="B955" s="178"/>
      <c r="C955" s="178"/>
      <c r="D955" s="178"/>
      <c r="E955" s="178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178"/>
      <c r="B956" s="178"/>
      <c r="C956" s="178"/>
      <c r="D956" s="178"/>
      <c r="E956" s="178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178"/>
      <c r="B957" s="178"/>
      <c r="C957" s="178"/>
      <c r="D957" s="178"/>
      <c r="E957" s="178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178"/>
      <c r="B958" s="178"/>
      <c r="C958" s="178"/>
      <c r="D958" s="178"/>
      <c r="E958" s="178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178"/>
      <c r="B959" s="178"/>
      <c r="C959" s="178"/>
      <c r="D959" s="178"/>
      <c r="E959" s="178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178"/>
      <c r="B960" s="178"/>
      <c r="C960" s="178"/>
      <c r="D960" s="178"/>
      <c r="E960" s="178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178"/>
      <c r="B961" s="178"/>
      <c r="C961" s="178"/>
      <c r="D961" s="178"/>
      <c r="E961" s="178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178"/>
      <c r="B962" s="178"/>
      <c r="C962" s="178"/>
      <c r="D962" s="178"/>
      <c r="E962" s="178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178"/>
      <c r="B963" s="178"/>
      <c r="C963" s="178"/>
      <c r="D963" s="178"/>
      <c r="E963" s="178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178"/>
      <c r="B964" s="178"/>
      <c r="C964" s="178"/>
      <c r="D964" s="178"/>
      <c r="E964" s="178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178"/>
      <c r="B965" s="178"/>
      <c r="C965" s="178"/>
      <c r="D965" s="178"/>
      <c r="E965" s="178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178"/>
      <c r="B966" s="178"/>
      <c r="C966" s="178"/>
      <c r="D966" s="178"/>
      <c r="E966" s="178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178"/>
      <c r="B967" s="178"/>
      <c r="C967" s="178"/>
      <c r="D967" s="178"/>
      <c r="E967" s="178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178"/>
      <c r="B968" s="178"/>
      <c r="C968" s="178"/>
      <c r="D968" s="178"/>
      <c r="E968" s="178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178"/>
      <c r="B969" s="178"/>
      <c r="C969" s="178"/>
      <c r="D969" s="178"/>
      <c r="E969" s="178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178"/>
      <c r="B970" s="178"/>
      <c r="C970" s="178"/>
      <c r="D970" s="178"/>
      <c r="E970" s="178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178"/>
      <c r="B971" s="178"/>
      <c r="C971" s="178"/>
      <c r="D971" s="178"/>
      <c r="E971" s="178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178"/>
      <c r="B972" s="178"/>
      <c r="C972" s="178"/>
      <c r="D972" s="178"/>
      <c r="E972" s="178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178"/>
      <c r="B973" s="178"/>
      <c r="C973" s="178"/>
      <c r="D973" s="178"/>
      <c r="E973" s="178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178"/>
      <c r="B974" s="178"/>
      <c r="C974" s="178"/>
      <c r="D974" s="178"/>
      <c r="E974" s="178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178"/>
      <c r="B975" s="178"/>
      <c r="C975" s="178"/>
      <c r="D975" s="178"/>
      <c r="E975" s="178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178"/>
      <c r="B976" s="178"/>
      <c r="C976" s="178"/>
      <c r="D976" s="178"/>
      <c r="E976" s="178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178"/>
      <c r="B977" s="178"/>
      <c r="C977" s="178"/>
      <c r="D977" s="178"/>
      <c r="E977" s="178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178"/>
      <c r="B978" s="178"/>
      <c r="C978" s="178"/>
      <c r="D978" s="178"/>
      <c r="E978" s="178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178"/>
      <c r="B979" s="178"/>
      <c r="C979" s="178"/>
      <c r="D979" s="178"/>
      <c r="E979" s="178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178"/>
      <c r="B980" s="178"/>
      <c r="C980" s="178"/>
      <c r="D980" s="178"/>
      <c r="E980" s="178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178"/>
      <c r="B981" s="178"/>
      <c r="C981" s="178"/>
      <c r="D981" s="178"/>
      <c r="E981" s="178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178"/>
      <c r="B982" s="178"/>
      <c r="C982" s="178"/>
      <c r="D982" s="178"/>
      <c r="E982" s="178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178"/>
      <c r="B983" s="178"/>
      <c r="C983" s="178"/>
      <c r="D983" s="178"/>
      <c r="E983" s="178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178"/>
      <c r="B984" s="178"/>
      <c r="C984" s="178"/>
      <c r="D984" s="178"/>
      <c r="E984" s="178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178"/>
      <c r="B985" s="178"/>
      <c r="C985" s="178"/>
      <c r="D985" s="178"/>
      <c r="E985" s="178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178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178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178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42.63"/>
    <col customWidth="1" min="3" max="3" width="16.0"/>
    <col customWidth="1" min="4" max="4" width="24.25"/>
    <col customWidth="1" min="5" max="5" width="10.38"/>
    <col customWidth="1" min="7" max="7" width="76.8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178"/>
      <c r="G1" s="80" t="s">
        <v>5</v>
      </c>
      <c r="H1" s="81">
        <f>H4</f>
        <v>22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146" t="s">
        <v>1537</v>
      </c>
      <c r="B2" s="73" t="str">
        <f t="array" ref="B2">IFERROR(XLOOKUP(A2, BASE!E:E, BASE!B:B), "")
</f>
        <v>LM Hub_SP_Registro</v>
      </c>
      <c r="C2" s="73" t="str">
        <f t="array" ref="C2">IFERROR(XLOOKUP(A2, BASE!E:E, BASE!C:C), "")
</f>
        <v>HUB-LSP-40</v>
      </c>
      <c r="D2" s="73">
        <f t="array" ref="D2">IFERROR(XLOOKUP(A2, BASE!E:E, BASE!D:D), "")
</f>
        <v>33</v>
      </c>
      <c r="E2" s="168">
        <f t="array" ref="E2">IFERROR(XLOOKUP(A2, BASE!E:E, BASE!H:H), "")
</f>
        <v>46060.25</v>
      </c>
      <c r="F2" s="178"/>
      <c r="G2" s="82" t="s">
        <v>9</v>
      </c>
      <c r="H2" s="82">
        <f>COUNTIF(C:C,"*LSP*")
</f>
        <v>20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146" t="s">
        <v>1538</v>
      </c>
      <c r="B3" s="73" t="str">
        <f t="array" ref="B3">IFERROR(XLOOKUP(A3, BASE!E:E, BASE!B:B), "")
</f>
        <v>SoC_PR_Curitiba</v>
      </c>
      <c r="C3" s="73" t="str">
        <f t="array" ref="C3">IFERROR(XLOOKUP(A3, BASE!E:E, BASE!C:C), "")
</f>
        <v>SOC-PR1</v>
      </c>
      <c r="D3" s="73">
        <f t="array" ref="D3">IFERROR(XLOOKUP(A3, BASE!E:E, BASE!D:D), "")
</f>
        <v>45</v>
      </c>
      <c r="E3" s="168">
        <f t="array" ref="E3">IFERROR(XLOOKUP(A3, BASE!E:E, BASE!H:H), "")
</f>
        <v>46060.25</v>
      </c>
      <c r="F3" s="178"/>
      <c r="G3" s="82" t="s">
        <v>13</v>
      </c>
      <c r="H3" s="82">
        <f>COUNTIF(C:C,"*SOC*")
</f>
        <v>3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146" t="s">
        <v>1539</v>
      </c>
      <c r="B4" s="73" t="str">
        <f t="array" ref="B4">IFERROR(XLOOKUP(A4, BASE!E:E, BASE!B:B), "")
</f>
        <v>LM Hub_SP_Atibaia_Ponte_Alta</v>
      </c>
      <c r="C4" s="73" t="str">
        <f t="array" ref="C4">IFERROR(XLOOKUP(A4, BASE!E:E, BASE!C:C), "")
</f>
        <v>HUB-LSP-87</v>
      </c>
      <c r="D4" s="73">
        <f t="array" ref="D4">IFERROR(XLOOKUP(A4, BASE!E:E, BASE!D:D), "")
</f>
        <v>24</v>
      </c>
      <c r="E4" s="168">
        <f t="array" ref="E4">IFERROR(XLOOKUP(A4, BASE!E:E, BASE!H:H), "")
</f>
        <v>46060.27083</v>
      </c>
      <c r="F4" s="178"/>
      <c r="G4" s="82" t="s">
        <v>810</v>
      </c>
      <c r="H4" s="198">
        <f>COUNTIFS(D:D,"&gt;=5",D:D,"&lt;=117")</f>
        <v>22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46" t="s">
        <v>1540</v>
      </c>
      <c r="B5" s="73" t="str">
        <f t="array" ref="B5">IFERROR(XLOOKUP(A5, BASE!E:E, BASE!B:B), "")
</f>
        <v>SoC_SP_Santana</v>
      </c>
      <c r="C5" s="73" t="str">
        <f t="array" ref="C5">IFERROR(XLOOKUP(A5, BASE!E:E, BASE!C:C), "")
</f>
        <v>SOC-SP2</v>
      </c>
      <c r="D5" s="73">
        <f t="array" ref="D5">IFERROR(XLOOKUP(A5, BASE!E:E, BASE!D:D), "")
</f>
        <v>37</v>
      </c>
      <c r="E5" s="168">
        <f t="array" ref="E5">IFERROR(XLOOKUP(A5, BASE!E:E, BASE!H:H), "")
</f>
        <v>46060.27083</v>
      </c>
      <c r="F5" s="178"/>
      <c r="G5" s="82" t="s">
        <v>20</v>
      </c>
      <c r="H5" s="82">
        <f>COUNTIF(D:D,"*NÃO DOCOU*")</f>
        <v>0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146" t="s">
        <v>1541</v>
      </c>
      <c r="B6" s="73" t="str">
        <f t="array" ref="B6">IFERROR(XLOOKUP(A6, BASE!E:E, BASE!B:B), "")
</f>
        <v>LM Hub_SP_Sorocaba_Região Norte</v>
      </c>
      <c r="C6" s="73" t="str">
        <f t="array" ref="C6">IFERROR(XLOOKUP(A6, BASE!E:E, BASE!C:C), "")
</f>
        <v>HUB-LSP-10</v>
      </c>
      <c r="D6" s="73">
        <f t="array" ref="D6">IFERROR(XLOOKUP(A6, BASE!E:E, BASE!D:D), "")
</f>
        <v>27</v>
      </c>
      <c r="E6" s="168">
        <f t="array" ref="E6">IFERROR(XLOOKUP(A6, BASE!E:E, BASE!H:H), "")
</f>
        <v>46060.27083</v>
      </c>
      <c r="F6" s="178"/>
      <c r="G6" s="198" t="s">
        <v>25</v>
      </c>
      <c r="H6" s="199">
        <f>COUNTIF(D:D,"*NÃO CHEGOU*")
</f>
        <v>0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146" t="s">
        <v>1542</v>
      </c>
      <c r="B7" s="73" t="str">
        <f t="array" ref="B7">IFERROR(XLOOKUP(A7, BASE!E:E, BASE!B:B), "")
</f>
        <v>LM Hub_SP_Taubaté</v>
      </c>
      <c r="C7" s="73" t="str">
        <f t="array" ref="C7">IFERROR(XLOOKUP(A7, BASE!E:E, BASE!C:C), "")
</f>
        <v>HUB-LSP-08</v>
      </c>
      <c r="D7" s="73">
        <f t="array" ref="D7">IFERROR(XLOOKUP(A7, BASE!E:E, BASE!D:D), "")
</f>
        <v>49</v>
      </c>
      <c r="E7" s="168">
        <f t="array" ref="E7">IFERROR(XLOOKUP(A7, BASE!E:E, BASE!H:H), "")
</f>
        <v>46060.27083</v>
      </c>
      <c r="F7" s="178"/>
      <c r="G7" s="82" t="s">
        <v>815</v>
      </c>
      <c r="H7" s="82">
        <f>COUNTIF(D:D,"*DRIVER DUPLICADO*")</f>
        <v>0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146" t="s">
        <v>1543</v>
      </c>
      <c r="B8" s="73" t="str">
        <f t="array" ref="B8">IFERROR(XLOOKUP(A8, BASE!E:E, BASE!B:B), "")
</f>
        <v>LM Hub_SP_Barueri_01</v>
      </c>
      <c r="C8" s="73" t="str">
        <f t="array" ref="C8">IFERROR(XLOOKUP(A8, BASE!E:E, BASE!C:C), "")
</f>
        <v>HUB-LSP-81</v>
      </c>
      <c r="D8" s="73">
        <f t="array" ref="D8">IFERROR(XLOOKUP(A8, BASE!E:E, BASE!D:D), "")
</f>
        <v>29</v>
      </c>
      <c r="E8" s="168">
        <f t="array" ref="E8">IFERROR(XLOOKUP(A8, BASE!E:E, BASE!H:H), "")
</f>
        <v>46060.29167</v>
      </c>
      <c r="F8" s="178"/>
      <c r="G8" s="82" t="s">
        <v>1429</v>
      </c>
      <c r="H8" s="198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146" t="s">
        <v>1544</v>
      </c>
      <c r="B9" s="73" t="str">
        <f t="array" ref="B9">IFERROR(XLOOKUP(A9, BASE!E:E, BASE!B:B), "")
</f>
        <v>LM Hub_SP_Jundiaí</v>
      </c>
      <c r="C9" s="73" t="str">
        <f t="array" ref="C9">IFERROR(XLOOKUP(A9, BASE!E:E, BASE!C:C), "")
</f>
        <v>HUB-LSP-100</v>
      </c>
      <c r="D9" s="73">
        <f t="array" ref="D9">IFERROR(XLOOKUP(A9, BASE!E:E, BASE!D:D), "")
</f>
        <v>26</v>
      </c>
      <c r="E9" s="168">
        <f t="array" ref="E9">IFERROR(XLOOKUP(A9, BASE!E:E, BASE!H:H), "")
</f>
        <v>46060.29167</v>
      </c>
      <c r="F9" s="178"/>
      <c r="G9" s="82" t="s">
        <v>1431</v>
      </c>
      <c r="H9" s="198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146" t="s">
        <v>1545</v>
      </c>
      <c r="B10" s="73" t="str">
        <f t="array" ref="B10">IFERROR(XLOOKUP(A10, BASE!E:E, BASE!B:B), "")
</f>
        <v>LM Hub_SP_Piracicaba</v>
      </c>
      <c r="C10" s="73" t="str">
        <f t="array" ref="C10">IFERROR(XLOOKUP(A10, BASE!E:E, BASE!C:C), "")
</f>
        <v>HUB-LSP-62</v>
      </c>
      <c r="D10" s="73">
        <f t="array" ref="D10">IFERROR(XLOOKUP(A10, BASE!E:E, BASE!D:D), "")
</f>
        <v>34</v>
      </c>
      <c r="E10" s="168">
        <f t="array" ref="E10">IFERROR(XLOOKUP(A10, BASE!E:E, BASE!H:H), "")
</f>
        <v>46060.29167</v>
      </c>
      <c r="F10" s="178"/>
      <c r="G10" s="9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146" t="s">
        <v>1546</v>
      </c>
      <c r="B11" s="73" t="str">
        <f t="array" ref="B11">IFERROR(XLOOKUP(A11, BASE!E:E, BASE!B:B), "")
</f>
        <v>LM Hub_SP_Santos_PraiaGrande_02</v>
      </c>
      <c r="C11" s="73" t="str">
        <f t="array" ref="C11">IFERROR(XLOOKUP(A11, BASE!E:E, BASE!C:C), "")
</f>
        <v>HUB-LSP-63</v>
      </c>
      <c r="D11" s="73">
        <f t="array" ref="D11">IFERROR(XLOOKUP(A11, BASE!E:E, BASE!D:D), "")
</f>
        <v>22</v>
      </c>
      <c r="E11" s="168">
        <f t="array" ref="E11">IFERROR(XLOOKUP(A11, BASE!E:E, BASE!H:H), "")
</f>
        <v>46060.29167</v>
      </c>
      <c r="F11" s="9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146" t="s">
        <v>1547</v>
      </c>
      <c r="B12" s="73" t="str">
        <f t="array" ref="B12">IFERROR(XLOOKUP(A12, BASE!E:E, BASE!B:B), "")
</f>
        <v>LM Hub_SP_Itapevi</v>
      </c>
      <c r="C12" s="73" t="str">
        <f t="array" ref="C12">IFERROR(XLOOKUP(A12, BASE!E:E, BASE!C:C), "")
</f>
        <v>HUB-LSP-41</v>
      </c>
      <c r="D12" s="73">
        <f t="array" ref="D12">IFERROR(XLOOKUP(A12, BASE!E:E, BASE!D:D), "")
</f>
        <v>21</v>
      </c>
      <c r="E12" s="168">
        <f t="array" ref="E12">IFERROR(XLOOKUP(A12, BASE!E:E, BASE!H:H), "")
</f>
        <v>46060.3125</v>
      </c>
      <c r="F12" s="178"/>
      <c r="G12" s="84" t="s">
        <v>1548</v>
      </c>
      <c r="H12" s="9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20.25" customHeight="1">
      <c r="A13" s="146" t="s">
        <v>1549</v>
      </c>
      <c r="B13" s="73" t="str">
        <f t="array" ref="B13">IFERROR(XLOOKUP(A13, BASE!E:E, BASE!B:B), "")
</f>
        <v>LM Hub_SP_Santos_Praia Grande</v>
      </c>
      <c r="C13" s="73" t="str">
        <f t="array" ref="C13">IFERROR(XLOOKUP(A13, BASE!E:E, BASE!C:C), "")
</f>
        <v>HUB-LSP-09</v>
      </c>
      <c r="D13" s="73">
        <f t="array" ref="D13">IFERROR(XLOOKUP(A13, BASE!E:E, BASE!D:D), "")
</f>
        <v>15</v>
      </c>
      <c r="E13" s="168">
        <f t="array" ref="E13">IFERROR(XLOOKUP(A13, BASE!E:E, BASE!H:H), "")
</f>
        <v>46060.3125</v>
      </c>
      <c r="F13" s="178"/>
      <c r="G13" s="187" t="s">
        <v>653</v>
      </c>
      <c r="H13" s="178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146" t="s">
        <v>1550</v>
      </c>
      <c r="B14" s="73" t="str">
        <f t="array" ref="B14">IFERROR(XLOOKUP(A14, BASE!E:E, BASE!B:B), "")
</f>
        <v>LM Hub_SP_Várzea Paulista</v>
      </c>
      <c r="C14" s="73" t="str">
        <f t="array" ref="C14">IFERROR(XLOOKUP(A14, BASE!E:E, BASE!C:C), "")
</f>
        <v>HUB-LSP-20</v>
      </c>
      <c r="D14" s="73">
        <f t="array" ref="D14">IFERROR(XLOOKUP(A14, BASE!E:E, BASE!D:D), "")
</f>
        <v>19</v>
      </c>
      <c r="E14" s="168">
        <f t="array" ref="E14">IFERROR(XLOOKUP(A14, BASE!E:E, BASE!H:H), "")
</f>
        <v>46060.3125</v>
      </c>
      <c r="F14" s="178"/>
      <c r="G14" s="178"/>
      <c r="H14" s="178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146" t="s">
        <v>1551</v>
      </c>
      <c r="B15" s="73" t="str">
        <f t="array" ref="B15">IFERROR(XLOOKUP(A15, BASE!E:E, BASE!B:B), "")
</f>
        <v>LM Hub_SP_São Paulo_Mooca</v>
      </c>
      <c r="C15" s="73" t="str">
        <f t="array" ref="C15">IFERROR(XLOOKUP(A15, BASE!E:E, BASE!C:C), "")
</f>
        <v>HUB-LSP-13</v>
      </c>
      <c r="D15" s="73">
        <f t="array" ref="D15">IFERROR(XLOOKUP(A15, BASE!E:E, BASE!D:D), "")
</f>
        <v>35</v>
      </c>
      <c r="E15" s="168">
        <f t="array" ref="E15">IFERROR(XLOOKUP(A15, BASE!E:E, BASE!H:H), "")
</f>
        <v>46060.3125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146" t="s">
        <v>1552</v>
      </c>
      <c r="B16" s="73" t="str">
        <f t="array" ref="B16">IFERROR(XLOOKUP(A16, BASE!E:E, BASE!B:B), "")
</f>
        <v>LM Hub_SP_Itaqua_Zimba</v>
      </c>
      <c r="C16" s="73" t="str">
        <f t="array" ref="C16">IFERROR(XLOOKUP(A16, BASE!E:E, BASE!C:C), "")
</f>
        <v>HUB-LSP-74</v>
      </c>
      <c r="D16" s="73">
        <f t="array" ref="D16">IFERROR(XLOOKUP(A16, BASE!E:E, BASE!D:D), "")
</f>
        <v>16</v>
      </c>
      <c r="E16" s="168">
        <f t="array" ref="E16">IFERROR(XLOOKUP(A16, BASE!E:E, BASE!H:H), "")
</f>
        <v>46060.33333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146" t="s">
        <v>1553</v>
      </c>
      <c r="B17" s="73" t="str">
        <f t="array" ref="B17">IFERROR(XLOOKUP(A17, BASE!E:E, BASE!B:B), "")
</f>
        <v>LM Hub_SP_Jurubatuba</v>
      </c>
      <c r="C17" s="73" t="str">
        <f t="array" ref="C17">IFERROR(XLOOKUP(A17, BASE!E:E, BASE!C:C), "")
</f>
        <v>HUB-LSP-16</v>
      </c>
      <c r="D17" s="73">
        <f t="array" ref="D17">IFERROR(XLOOKUP(A17, BASE!E:E, BASE!D:D), "")
</f>
        <v>23</v>
      </c>
      <c r="E17" s="168">
        <f t="array" ref="E17">IFERROR(XLOOKUP(A17, BASE!E:E, BASE!H:H), "")
</f>
        <v>46060.33333</v>
      </c>
      <c r="F17" s="178"/>
      <c r="G17" s="178"/>
      <c r="H17" s="178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102" t="s">
        <v>1554</v>
      </c>
      <c r="B18" s="73" t="str">
        <f t="array" ref="B18">IFERROR(XLOOKUP(A18, BASE!E:E, BASE!B:B), "")
</f>
        <v>LM Hub_SP_Artur Alvim</v>
      </c>
      <c r="C18" s="73" t="str">
        <f t="array" ref="C18">IFERROR(XLOOKUP(A18, BASE!E:E, BASE!C:C), "")
</f>
        <v>HUB-LSP-07</v>
      </c>
      <c r="D18" s="73">
        <f t="array" ref="D18">IFERROR(XLOOKUP(A18, BASE!E:E, BASE!D:D), "")
</f>
        <v>18</v>
      </c>
      <c r="E18" s="168">
        <f t="array" ref="E18">IFERROR(XLOOKUP(A18, BASE!E:E, BASE!H:H), "")
</f>
        <v>46060.33333</v>
      </c>
      <c r="F18" s="178"/>
      <c r="G18" s="178"/>
      <c r="H18" s="178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146" t="s">
        <v>1555</v>
      </c>
      <c r="B19" s="73" t="str">
        <f t="array" ref="B19">IFERROR(XLOOKUP(A19, BASE!E:E, BASE!B:B), "")
</f>
        <v>LM Hub_SP_Guarulhos</v>
      </c>
      <c r="C19" s="73" t="str">
        <f t="array" ref="C19">IFERROR(XLOOKUP(A19, BASE!E:E, BASE!C:C), "")
</f>
        <v>HUB-LSP-77</v>
      </c>
      <c r="D19" s="73">
        <f t="array" ref="D19">IFERROR(XLOOKUP(A19, BASE!E:E, BASE!D:D), "")
</f>
        <v>14</v>
      </c>
      <c r="E19" s="168">
        <f t="array" ref="E19">IFERROR(XLOOKUP(A19, BASE!E:E, BASE!H:H), "")
</f>
        <v>46060.33333</v>
      </c>
      <c r="F19" s="178"/>
      <c r="G19" s="178"/>
      <c r="H19" s="178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146" t="s">
        <v>1556</v>
      </c>
      <c r="B20" s="73" t="str">
        <f t="array" ref="B20">IFERROR(XLOOKUP(A20, BASE!E:E, BASE!B:B), "")
</f>
        <v>LM Hub_SP_Parque Novo Mundo</v>
      </c>
      <c r="C20" s="73" t="str">
        <f t="array" ref="C20">IFERROR(XLOOKUP(A20, BASE!E:E, BASE!C:C), "")
</f>
        <v>HUB-LSP-89</v>
      </c>
      <c r="D20" s="73">
        <v>17.0</v>
      </c>
      <c r="E20" s="168">
        <f t="array" ref="E20">IFERROR(XLOOKUP(A20, BASE!E:E, BASE!H:H), "")
</f>
        <v>46060.35417</v>
      </c>
      <c r="F20" s="178"/>
      <c r="G20" s="178"/>
      <c r="H20" s="178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146" t="s">
        <v>1557</v>
      </c>
      <c r="B21" s="73" t="str">
        <f t="array" ref="B21">IFERROR(XLOOKUP(A21, BASE!E:E, BASE!B:B), "")
</f>
        <v>LM Hub_SP_Embu das Artes_02</v>
      </c>
      <c r="C21" s="73" t="str">
        <f t="array" ref="C21">IFERROR(XLOOKUP(A21, BASE!E:E, BASE!C:C), "")
</f>
        <v>HUB-LSP-96</v>
      </c>
      <c r="D21" s="73">
        <f t="array" ref="D21">IFERROR(XLOOKUP(A21, BASE!E:E, BASE!D:D), "")
</f>
        <v>13</v>
      </c>
      <c r="E21" s="168">
        <f t="array" ref="E21">IFERROR(XLOOKUP(A21, BASE!E:E, BASE!H:H), "")
</f>
        <v>46060.375</v>
      </c>
      <c r="F21" s="178"/>
      <c r="G21" s="178"/>
      <c r="H21" s="178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146" t="s">
        <v>1558</v>
      </c>
      <c r="B22" s="73" t="str">
        <f t="array" ref="B22">IFERROR(XLOOKUP(A22, BASE!E:E, BASE!B:B), "")
</f>
        <v>LM Hub_SP_Suzano_Baruel</v>
      </c>
      <c r="C22" s="73" t="str">
        <f t="array" ref="C22">IFERROR(XLOOKUP(A22, BASE!E:E, BASE!C:C), "")
</f>
        <v>HUB-LSP-97</v>
      </c>
      <c r="D22" s="73">
        <f t="array" ref="D22">IFERROR(XLOOKUP(A22, BASE!E:E, BASE!D:D), "")
</f>
        <v>25</v>
      </c>
      <c r="E22" s="168">
        <f t="array" ref="E22">IFERROR(XLOOKUP(A22, BASE!E:E, BASE!H:H), "")
</f>
        <v>46060.375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146" t="s">
        <v>1559</v>
      </c>
      <c r="B23" s="73" t="str">
        <f t="array" ref="B23">IFERROR(XLOOKUP(A23, BASE!E:E, BASE!B:B), "")
</f>
        <v>LM Hub_SP_Santo André</v>
      </c>
      <c r="C23" s="73" t="str">
        <f t="array" ref="C23">IFERROR(XLOOKUP(A23, BASE!E:E, BASE!C:C), "")
</f>
        <v>HUB-LSP-93</v>
      </c>
      <c r="D23" s="73">
        <f t="array" ref="D23">IFERROR(XLOOKUP(A23, BASE!E:E, BASE!D:D), "")
</f>
        <v>36</v>
      </c>
      <c r="E23" s="168">
        <f t="array" ref="E23">IFERROR(XLOOKUP(A23, BASE!E:E, BASE!H:H), "")
</f>
        <v>46060.39583</v>
      </c>
      <c r="F23" s="178"/>
      <c r="G23" s="178"/>
      <c r="H23" s="178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102" t="s">
        <v>1560</v>
      </c>
      <c r="B24" s="73" t="str">
        <f t="array" ref="B24">IFERROR(XLOOKUP(A24, BASE!E:E, BASE!B:B), "")
</f>
        <v>SoC_RS_Gravataí_02</v>
      </c>
      <c r="C24" s="73" t="str">
        <f t="array" ref="C24">IFERROR(XLOOKUP(A24, BASE!E:E, BASE!C:C), "")
</f>
        <v>SOC-RS2</v>
      </c>
      <c r="D24" s="73" t="str">
        <f t="array" ref="D24">IFERROR(XLOOKUP(A24, BASE!E:E, BASE!D:D), "")
</f>
        <v>92/12</v>
      </c>
      <c r="E24" s="168">
        <f t="array" ref="E24">IFERROR(XLOOKUP(A24, BASE!E:E, BASE!H:H), "")
</f>
        <v>46060.45833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102"/>
      <c r="B25" s="73" t="str">
        <f t="array" ref="B25">IFERROR(XLOOKUP(A25, BASE!E:E, BASE!B:B), "")
</f>
        <v/>
      </c>
      <c r="C25" s="73" t="str">
        <f t="array" ref="C25">IFERROR(XLOOKUP(A25, BASE!E:E, BASE!C:C), "")
</f>
        <v/>
      </c>
      <c r="D25" s="73" t="str">
        <f t="array" ref="D25">IFERROR(XLOOKUP(A25, BASE!E:E, BASE!D:D), "")
</f>
        <v/>
      </c>
      <c r="E25" s="168" t="str">
        <f t="array" ref="E25">IFERROR(XLOOKUP(A25, BASE!E:E, BASE!H:H), "")
</f>
        <v/>
      </c>
      <c r="F25" s="178"/>
      <c r="G25" s="178"/>
      <c r="H25" s="178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169"/>
      <c r="B26" s="73" t="str">
        <f t="array" ref="B26">IFERROR(XLOOKUP(A26, BASE!E:E, BASE!B:B), "")
</f>
        <v/>
      </c>
      <c r="C26" s="73" t="str">
        <f t="array" ref="C26">IFERROR(XLOOKUP(A26, BASE!E:E, BASE!C:C), "")
</f>
        <v/>
      </c>
      <c r="D26" s="73" t="str">
        <f t="array" ref="D26">IFERROR(XLOOKUP(A26, BASE!E:E, BASE!D:D), "")
</f>
        <v/>
      </c>
      <c r="E26" s="168" t="str">
        <f t="array" ref="E26">IFERROR(XLOOKUP(A26, BASE!E:E, BASE!H:H), "")
</f>
        <v/>
      </c>
      <c r="F26" s="178"/>
      <c r="G26" s="178"/>
      <c r="H26" s="178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169"/>
      <c r="B27" s="73" t="str">
        <f t="array" ref="B27">IFERROR(XLOOKUP(A27, BASE!E:E, BASE!B:B), "")
</f>
        <v/>
      </c>
      <c r="C27" s="73" t="str">
        <f t="array" ref="C27">IFERROR(XLOOKUP(A27, BASE!E:E, BASE!C:C), "")
</f>
        <v/>
      </c>
      <c r="D27" s="73" t="str">
        <f t="array" ref="D27">IFERROR(XLOOKUP(A27, BASE!E:E, BASE!D:D), "")
</f>
        <v/>
      </c>
      <c r="E27" s="168" t="str">
        <f t="array" ref="E27">IFERROR(XLOOKUP(A27, BASE!E:E, BASE!H:H), "")
</f>
        <v/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146"/>
      <c r="B28" s="73" t="str">
        <f t="array" ref="B28">IFERROR(XLOOKUP(A28, BASE!E:E, BASE!B:B), "")
</f>
        <v/>
      </c>
      <c r="C28" s="73" t="str">
        <f t="array" ref="C28">IFERROR(XLOOKUP(A28, BASE!E:E, BASE!C:C), "")
</f>
        <v/>
      </c>
      <c r="D28" s="73" t="str">
        <f t="array" ref="D28">IFERROR(XLOOKUP(A28, BASE!E:E, BASE!D:D), "")
</f>
        <v/>
      </c>
      <c r="E28" s="168" t="str">
        <f t="array" ref="E28">IFERROR(XLOOKUP(A28, BASE!E:E, BASE!H:H), "")
</f>
        <v/>
      </c>
      <c r="F28" s="178"/>
      <c r="G28" s="178"/>
      <c r="H28" s="178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146"/>
      <c r="B29" s="73" t="str">
        <f t="array" ref="B29">IFERROR(XLOOKUP(A29, BASE!E:E, BASE!B:B), "")
</f>
        <v/>
      </c>
      <c r="C29" s="73" t="str">
        <f t="array" ref="C29">IFERROR(XLOOKUP(A29, BASE!E:E, BASE!C:C), "")
</f>
        <v/>
      </c>
      <c r="D29" s="73" t="str">
        <f t="array" ref="D29">IFERROR(XLOOKUP(A29, BASE!E:E, BASE!D:D), "")
</f>
        <v/>
      </c>
      <c r="E29" s="168" t="str">
        <f t="array" ref="E29">IFERROR(XLOOKUP(A29, BASE!E:E, BASE!H:H), "")
</f>
        <v/>
      </c>
      <c r="F29" s="178"/>
      <c r="G29" s="178"/>
      <c r="H29" s="178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231"/>
      <c r="B30" s="73" t="str">
        <f t="array" ref="B30">IFERROR(XLOOKUP(A30, BASE!E:E, BASE!B:B), "")
</f>
        <v/>
      </c>
      <c r="C30" s="73" t="str">
        <f t="array" ref="C30">IFERROR(XLOOKUP(A30, BASE!E:E, BASE!C:C), "")
</f>
        <v/>
      </c>
      <c r="D30" s="73" t="str">
        <f t="array" ref="D30">IFERROR(XLOOKUP(A30, BASE!E:E, BASE!D:D), "")
</f>
        <v/>
      </c>
      <c r="E30" s="168" t="str">
        <f t="array" ref="E30">IFERROR(XLOOKUP(A30, BASE!E:E, BASE!H:H), "")
</f>
        <v/>
      </c>
      <c r="F30" s="178"/>
      <c r="G30" s="178"/>
      <c r="H30" s="178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169"/>
      <c r="B31" s="73" t="str">
        <f t="array" ref="B31">IFERROR(XLOOKUP(A31, BASE!E:E, BASE!B:B), "")
</f>
        <v/>
      </c>
      <c r="C31" s="73" t="str">
        <f t="array" ref="C31">IFERROR(XLOOKUP(A31, BASE!E:E, BASE!C:C), "")
</f>
        <v/>
      </c>
      <c r="D31" s="73" t="str">
        <f t="array" ref="D31">IFERROR(XLOOKUP(A31, BASE!E:E, BASE!D:D), "")
</f>
        <v/>
      </c>
      <c r="E31" s="168" t="str">
        <f t="array" ref="E31">IFERROR(XLOOKUP(A31, BASE!E:E, BASE!H:H), "")
</f>
        <v/>
      </c>
      <c r="F31" s="178"/>
      <c r="G31" s="178"/>
      <c r="H31" s="178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94"/>
      <c r="B32" s="73" t="str">
        <f t="array" ref="B32">IFERROR(XLOOKUP(A32, BASE!E:E, BASE!B:B), "")
</f>
        <v/>
      </c>
      <c r="C32" s="73" t="str">
        <f t="array" ref="C32">IFERROR(XLOOKUP(A32, BASE!E:E, BASE!C:C), "")
</f>
        <v/>
      </c>
      <c r="D32" s="73" t="str">
        <f t="array" ref="D32">IFERROR(XLOOKUP(A32, BASE!E:E, BASE!D:D), "")
</f>
        <v/>
      </c>
      <c r="E32" s="168" t="str">
        <f t="array" ref="E32">IFERROR(XLOOKUP(A32, BASE!E:E, BASE!H:H), "")
</f>
        <v/>
      </c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146"/>
      <c r="B33" s="73" t="str">
        <f t="array" ref="B33">IFERROR(XLOOKUP(A33, BASE!E:E, BASE!B:B), "")
</f>
        <v/>
      </c>
      <c r="C33" s="73" t="str">
        <f t="array" ref="C33">IFERROR(XLOOKUP(A33, BASE!E:E, BASE!C:C), "")
</f>
        <v/>
      </c>
      <c r="D33" s="73" t="str">
        <f t="array" ref="D33">IFERROR(XLOOKUP(A33, BASE!E:E, BASE!D:D), "")
</f>
        <v/>
      </c>
      <c r="E33" s="168" t="str">
        <f t="array" ref="E33">IFERROR(XLOOKUP(A33, BASE!E:E, BASE!H:H), "")
</f>
        <v/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95"/>
      <c r="B34" s="73" t="str">
        <f t="array" ref="B34">IFERROR(XLOOKUP(A34, BASE!E:E, BASE!B:B), "")
</f>
        <v/>
      </c>
      <c r="C34" s="73" t="str">
        <f t="array" ref="C34">IFERROR(XLOOKUP(A34, BASE!E:E, BASE!C:C), "")
</f>
        <v/>
      </c>
      <c r="D34" s="73" t="str">
        <f t="array" ref="D34">IFERROR(XLOOKUP(A34, BASE!E:E, BASE!D:D), "")
</f>
        <v/>
      </c>
      <c r="E34" s="168" t="str">
        <f t="array" ref="E34">IFERROR(XLOOKUP(A34, BASE!E:E, BASE!H:H), "")
</f>
        <v/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95"/>
      <c r="B35" s="73" t="str">
        <f t="array" ref="B35">IFERROR(XLOOKUP(A35, BASE!E:E, BASE!B:B), "")
</f>
        <v/>
      </c>
      <c r="C35" s="73" t="str">
        <f t="array" ref="C35">IFERROR(XLOOKUP(A35, BASE!E:E, BASE!C:C), "")
</f>
        <v/>
      </c>
      <c r="D35" s="73" t="str">
        <f t="array" ref="D35">IFERROR(XLOOKUP(A35, BASE!E:E, BASE!D:D), "")
</f>
        <v/>
      </c>
      <c r="E35" s="168" t="str">
        <f t="array" ref="E35">IFERROR(XLOOKUP(A35, BASE!E:E, BASE!H:H), "")
</f>
        <v/>
      </c>
      <c r="F35" s="178"/>
      <c r="G35" s="178"/>
      <c r="H35" s="178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95"/>
      <c r="B36" s="73" t="str">
        <f t="array" ref="B36">IFERROR(XLOOKUP(A36, BASE!E:E, BASE!B:B), "")
</f>
        <v/>
      </c>
      <c r="C36" s="73" t="str">
        <f t="array" ref="C36">IFERROR(XLOOKUP(A36, BASE!E:E, BASE!C:C), "")
</f>
        <v/>
      </c>
      <c r="D36" s="73" t="str">
        <f t="array" ref="D36">IFERROR(XLOOKUP(A36, BASE!E:E, BASE!D:D), "")
</f>
        <v/>
      </c>
      <c r="E36" s="168" t="str">
        <f t="array" ref="E36">IFERROR(XLOOKUP(A36, BASE!E:E, BASE!H:H), "")
</f>
        <v/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146"/>
      <c r="B37" s="73" t="str">
        <f t="array" ref="B37">IFERROR(XLOOKUP(A37, BASE!E:E, BASE!B:B), "")
</f>
        <v/>
      </c>
      <c r="C37" s="73" t="str">
        <f t="array" ref="C37">IFERROR(XLOOKUP(A37, BASE!E:E, BASE!C:C), "")
</f>
        <v/>
      </c>
      <c r="D37" s="73" t="str">
        <f t="array" ref="D37">IFERROR(XLOOKUP(A37, BASE!E:E, BASE!D:D), "")
</f>
        <v/>
      </c>
      <c r="E37" s="168" t="str">
        <f t="array" ref="E37">IFERROR(XLOOKUP(A37, BASE!E:E, BASE!H:H), "")
</f>
        <v/>
      </c>
      <c r="F37" s="178"/>
      <c r="G37" s="178"/>
      <c r="H37" s="178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146"/>
      <c r="B38" s="73" t="str">
        <f t="array" ref="B38">IFERROR(XLOOKUP(A38, BASE!E:E, BASE!B:B), "")
</f>
        <v/>
      </c>
      <c r="C38" s="73" t="str">
        <f t="array" ref="C38">IFERROR(XLOOKUP(A38, BASE!E:E, BASE!C:C), "")
</f>
        <v/>
      </c>
      <c r="D38" s="73" t="str">
        <f t="array" ref="D38">IFERROR(XLOOKUP(A38, BASE!E:E, BASE!D:D), "")
</f>
        <v/>
      </c>
      <c r="E38" s="168" t="str">
        <f t="array" ref="E38">IFERROR(XLOOKUP(A38, BASE!E:E, BASE!H:H), "")
</f>
        <v/>
      </c>
      <c r="F38" s="178"/>
      <c r="G38" s="178"/>
      <c r="H38" s="178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146"/>
      <c r="B39" s="73" t="str">
        <f t="array" ref="B39">IFERROR(XLOOKUP(A39, BASE!E:E, BASE!B:B), "")
</f>
        <v/>
      </c>
      <c r="C39" s="73" t="str">
        <f t="array" ref="C39">IFERROR(XLOOKUP(A39, BASE!E:E, BASE!C:C), "")
</f>
        <v/>
      </c>
      <c r="D39" s="73" t="str">
        <f t="array" ref="D39">IFERROR(XLOOKUP(A39, BASE!E:E, BASE!D:D), "")
</f>
        <v/>
      </c>
      <c r="E39" s="168" t="str">
        <f t="array" ref="E39">IFERROR(XLOOKUP(A39, BASE!E:E, BASE!H:H), "")
</f>
        <v/>
      </c>
      <c r="F39" s="178"/>
      <c r="G39" s="178"/>
      <c r="H39" s="178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146"/>
      <c r="B40" s="73" t="str">
        <f t="array" ref="B40">IFERROR(XLOOKUP(A40, BASE!E:E, BASE!B:B), "")
</f>
        <v/>
      </c>
      <c r="C40" s="73" t="str">
        <f t="array" ref="C40">IFERROR(XLOOKUP(A40, BASE!E:E, BASE!C:C), "")
</f>
        <v/>
      </c>
      <c r="D40" s="73" t="str">
        <f t="array" ref="D40">IFERROR(XLOOKUP(A40, BASE!E:E, BASE!D:D), "")
</f>
        <v/>
      </c>
      <c r="E40" s="168" t="str">
        <f t="array" ref="E40">IFERROR(XLOOKUP(A40, BASE!E:E, BASE!H:H), "")
</f>
        <v/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24"/>
      <c r="B41" s="73" t="str">
        <f t="array" ref="B41">IFERROR(XLOOKUP(A41, BASE!E:E, BASE!B:B), "")
</f>
        <v/>
      </c>
      <c r="C41" s="73" t="str">
        <f t="array" ref="C41">IFERROR(XLOOKUP(A41, BASE!E:E, BASE!C:C), "")
</f>
        <v/>
      </c>
      <c r="D41" s="73" t="str">
        <f t="array" ref="D41">IFERROR(XLOOKUP(A41, BASE!E:E, BASE!D:D), "")
</f>
        <v/>
      </c>
      <c r="E41" s="168" t="str">
        <f t="array" ref="E41">IFERROR(XLOOKUP(A41, BASE!E:E, BASE!H:H), "")
</f>
        <v/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24"/>
      <c r="B42" s="73" t="str">
        <f t="array" ref="B42">IFERROR(XLOOKUP(A42, BASE!E:E, BASE!B:B), "")
</f>
        <v/>
      </c>
      <c r="C42" s="73" t="str">
        <f t="array" ref="C42">IFERROR(XLOOKUP(A42, BASE!E:E, BASE!C:C), "")
</f>
        <v/>
      </c>
      <c r="D42" s="73" t="str">
        <f t="array" ref="D42">IFERROR(XLOOKUP(A42, BASE!E:E, BASE!D:D), "")
</f>
        <v/>
      </c>
      <c r="E42" s="168" t="str">
        <f t="array" ref="E42">IFERROR(XLOOKUP(A42, BASE!E:E, BASE!H:H), "")
</f>
        <v/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24"/>
      <c r="B43" s="73" t="str">
        <f t="array" ref="B43">IFERROR(XLOOKUP(A43, BASE!E:E, BASE!B:B), "")
</f>
        <v/>
      </c>
      <c r="C43" s="73" t="str">
        <f t="array" ref="C43">IFERROR(XLOOKUP(A43, BASE!E:E, BASE!C:C), "")
</f>
        <v/>
      </c>
      <c r="D43" s="73" t="str">
        <f t="array" ref="D43">IFERROR(XLOOKUP(A43, BASE!E:E, BASE!D:D), "")
</f>
        <v/>
      </c>
      <c r="E43" s="168" t="str">
        <f t="array" ref="E43">IFERROR(XLOOKUP(A43, BASE!E:E, BASE!H:H), "")
</f>
        <v/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24"/>
      <c r="B44" s="73" t="str">
        <f t="array" ref="B44">IFERROR(XLOOKUP(A44, BASE!E:E, BASE!B:B), "")
</f>
        <v/>
      </c>
      <c r="C44" s="73" t="str">
        <f t="array" ref="C44">IFERROR(XLOOKUP(A44, BASE!E:E, BASE!C:C), "")
</f>
        <v/>
      </c>
      <c r="D44" s="73" t="str">
        <f t="array" ref="D44">IFERROR(XLOOKUP(A44, BASE!E:E, BASE!D:D), "")
</f>
        <v/>
      </c>
      <c r="E44" s="168" t="str">
        <f t="array" ref="E44">IFERROR(XLOOKUP(A44, BASE!E:E, BASE!H:H), "")
</f>
        <v/>
      </c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24"/>
      <c r="B45" s="73" t="str">
        <f t="array" ref="B45">IFERROR(XLOOKUP(A45, BASE!E:E, BASE!B:B), "")
</f>
        <v/>
      </c>
      <c r="C45" s="73" t="str">
        <f t="array" ref="C45">IFERROR(XLOOKUP(A45, BASE!E:E, BASE!C:C), "")
</f>
        <v/>
      </c>
      <c r="D45" s="73" t="str">
        <f t="array" ref="D45">IFERROR(XLOOKUP(A45, BASE!E:E, BASE!D:D), "")
</f>
        <v/>
      </c>
      <c r="E45" s="168" t="str">
        <f t="array" ref="E45">IFERROR(XLOOKUP(A45, BASE!E:E, BASE!H:H), "")
</f>
        <v/>
      </c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24"/>
      <c r="B46" s="73" t="str">
        <f t="array" ref="B46">IFERROR(XLOOKUP(A46, BASE!E:E, BASE!B:B), "")
</f>
        <v/>
      </c>
      <c r="C46" s="73" t="str">
        <f t="array" ref="C46">IFERROR(XLOOKUP(A46, BASE!E:E, BASE!C:C), "")
</f>
        <v/>
      </c>
      <c r="D46" s="73" t="str">
        <f t="array" ref="D46">IFERROR(XLOOKUP(A46, BASE!E:E, BASE!D:D), "")
</f>
        <v/>
      </c>
      <c r="E46" s="168" t="str">
        <f t="array" ref="E46">IFERROR(XLOOKUP(A46, BASE!E:E, BASE!H:H), "")
</f>
        <v/>
      </c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24"/>
      <c r="B47" s="73" t="str">
        <f t="array" ref="B47">IFERROR(XLOOKUP(A47, BASE!E:E, BASE!B:B), "")
</f>
        <v/>
      </c>
      <c r="C47" s="73" t="str">
        <f t="array" ref="C47">IFERROR(XLOOKUP(A47, BASE!E:E, BASE!C:C), "")
</f>
        <v/>
      </c>
      <c r="D47" s="73" t="str">
        <f t="array" ref="D47">IFERROR(XLOOKUP(A47, BASE!E:E, BASE!D:D), "")
</f>
        <v/>
      </c>
      <c r="E47" s="168" t="str">
        <f t="array" ref="E47">IFERROR(XLOOKUP(A47, BASE!E:E, BASE!H:H), "")
</f>
        <v/>
      </c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178"/>
      <c r="B48" s="178"/>
      <c r="C48" s="178"/>
      <c r="D48" s="178"/>
      <c r="E48" s="178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178"/>
      <c r="B49" s="178"/>
      <c r="C49" s="178"/>
      <c r="D49" s="178"/>
      <c r="E49" s="178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178"/>
      <c r="B50" s="178"/>
      <c r="C50" s="178"/>
      <c r="D50" s="178"/>
      <c r="E50" s="178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178"/>
      <c r="B51" s="178"/>
      <c r="C51" s="178"/>
      <c r="D51" s="178"/>
      <c r="E51" s="178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178"/>
      <c r="B52" s="178"/>
      <c r="C52" s="178"/>
      <c r="D52" s="178"/>
      <c r="E52" s="178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178"/>
      <c r="B53" s="178"/>
      <c r="C53" s="178"/>
      <c r="D53" s="178"/>
      <c r="E53" s="178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178"/>
      <c r="B54" s="178"/>
      <c r="C54" s="178"/>
      <c r="D54" s="178"/>
      <c r="E54" s="178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178"/>
      <c r="B55" s="178"/>
      <c r="C55" s="178"/>
      <c r="D55" s="178"/>
      <c r="E55" s="178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178"/>
      <c r="B56" s="178"/>
      <c r="C56" s="178"/>
      <c r="D56" s="178"/>
      <c r="E56" s="178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178"/>
      <c r="B57" s="178"/>
      <c r="C57" s="178"/>
      <c r="D57" s="178"/>
      <c r="E57" s="178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178"/>
      <c r="B58" s="178"/>
      <c r="C58" s="178"/>
      <c r="D58" s="178"/>
      <c r="E58" s="178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178"/>
      <c r="B59" s="178"/>
      <c r="C59" s="178"/>
      <c r="D59" s="178"/>
      <c r="E59" s="178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178"/>
      <c r="B60" s="178"/>
      <c r="C60" s="178"/>
      <c r="D60" s="178"/>
      <c r="E60" s="178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178"/>
      <c r="B61" s="178"/>
      <c r="C61" s="178"/>
      <c r="D61" s="178"/>
      <c r="E61" s="178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178"/>
      <c r="B62" s="178"/>
      <c r="C62" s="178"/>
      <c r="D62" s="178"/>
      <c r="E62" s="178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178"/>
      <c r="B63" s="178"/>
      <c r="C63" s="178"/>
      <c r="D63" s="178"/>
      <c r="E63" s="178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178"/>
      <c r="B64" s="178"/>
      <c r="C64" s="178"/>
      <c r="D64" s="178"/>
      <c r="E64" s="178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178"/>
      <c r="B65" s="178"/>
      <c r="C65" s="178"/>
      <c r="D65" s="178"/>
      <c r="E65" s="178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178"/>
      <c r="B66" s="178"/>
      <c r="C66" s="178"/>
      <c r="D66" s="178"/>
      <c r="E66" s="178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178"/>
      <c r="B67" s="178"/>
      <c r="C67" s="178"/>
      <c r="D67" s="178"/>
      <c r="E67" s="178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178"/>
      <c r="B68" s="178"/>
      <c r="C68" s="178"/>
      <c r="D68" s="178"/>
      <c r="E68" s="178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178"/>
      <c r="B69" s="178"/>
      <c r="C69" s="178"/>
      <c r="D69" s="178"/>
      <c r="E69" s="178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178"/>
      <c r="B70" s="178"/>
      <c r="C70" s="178"/>
      <c r="D70" s="178"/>
      <c r="E70" s="178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178"/>
      <c r="B71" s="178"/>
      <c r="C71" s="178"/>
      <c r="D71" s="178"/>
      <c r="E71" s="178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178"/>
      <c r="B72" s="178"/>
      <c r="C72" s="178"/>
      <c r="D72" s="178"/>
      <c r="E72" s="178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178"/>
      <c r="B73" s="178"/>
      <c r="C73" s="178"/>
      <c r="D73" s="178"/>
      <c r="E73" s="178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178"/>
      <c r="B74" s="178"/>
      <c r="C74" s="178"/>
      <c r="D74" s="178"/>
      <c r="E74" s="178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178"/>
      <c r="B75" s="178"/>
      <c r="C75" s="178"/>
      <c r="D75" s="178"/>
      <c r="E75" s="178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178"/>
      <c r="B76" s="178"/>
      <c r="C76" s="178"/>
      <c r="D76" s="178"/>
      <c r="E76" s="178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178"/>
      <c r="B77" s="178"/>
      <c r="C77" s="178"/>
      <c r="D77" s="178"/>
      <c r="E77" s="178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178"/>
      <c r="B78" s="178"/>
      <c r="C78" s="178"/>
      <c r="D78" s="178"/>
      <c r="E78" s="178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178"/>
      <c r="B79" s="178"/>
      <c r="C79" s="178"/>
      <c r="D79" s="178"/>
      <c r="E79" s="178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178"/>
      <c r="B80" s="178"/>
      <c r="C80" s="178"/>
      <c r="D80" s="178"/>
      <c r="E80" s="178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178"/>
      <c r="B81" s="178"/>
      <c r="C81" s="178"/>
      <c r="D81" s="178"/>
      <c r="E81" s="178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178"/>
      <c r="B82" s="178"/>
      <c r="C82" s="178"/>
      <c r="D82" s="178"/>
      <c r="E82" s="178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178"/>
      <c r="B83" s="178"/>
      <c r="C83" s="178"/>
      <c r="D83" s="178"/>
      <c r="E83" s="178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178"/>
      <c r="B84" s="178"/>
      <c r="C84" s="178"/>
      <c r="D84" s="178"/>
      <c r="E84" s="178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178"/>
      <c r="B85" s="178"/>
      <c r="C85" s="178"/>
      <c r="D85" s="178"/>
      <c r="E85" s="178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178"/>
      <c r="B86" s="178"/>
      <c r="C86" s="178"/>
      <c r="D86" s="178"/>
      <c r="E86" s="178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178"/>
      <c r="B87" s="178"/>
      <c r="C87" s="178"/>
      <c r="D87" s="178"/>
      <c r="E87" s="178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178"/>
      <c r="B88" s="178"/>
      <c r="C88" s="178"/>
      <c r="D88" s="178"/>
      <c r="E88" s="178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178"/>
      <c r="B89" s="178"/>
      <c r="C89" s="178"/>
      <c r="D89" s="178"/>
      <c r="E89" s="178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178"/>
      <c r="B90" s="178"/>
      <c r="C90" s="178"/>
      <c r="D90" s="178"/>
      <c r="E90" s="178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178"/>
      <c r="B91" s="178"/>
      <c r="C91" s="178"/>
      <c r="D91" s="178"/>
      <c r="E91" s="178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178"/>
      <c r="B92" s="178"/>
      <c r="C92" s="178"/>
      <c r="D92" s="178"/>
      <c r="E92" s="178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178"/>
      <c r="B93" s="178"/>
      <c r="C93" s="178"/>
      <c r="D93" s="178"/>
      <c r="E93" s="178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178"/>
      <c r="B94" s="178"/>
      <c r="C94" s="178"/>
      <c r="D94" s="178"/>
      <c r="E94" s="178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178"/>
      <c r="B95" s="178"/>
      <c r="C95" s="178"/>
      <c r="D95" s="178"/>
      <c r="E95" s="178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178"/>
      <c r="B96" s="178"/>
      <c r="C96" s="178"/>
      <c r="D96" s="178"/>
      <c r="E96" s="178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178"/>
      <c r="B97" s="178"/>
      <c r="C97" s="178"/>
      <c r="D97" s="178"/>
      <c r="E97" s="178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178"/>
      <c r="B98" s="178"/>
      <c r="C98" s="178"/>
      <c r="D98" s="178"/>
      <c r="E98" s="178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178"/>
      <c r="B99" s="178"/>
      <c r="C99" s="178"/>
      <c r="D99" s="178"/>
      <c r="E99" s="178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178"/>
      <c r="B100" s="178"/>
      <c r="C100" s="178"/>
      <c r="D100" s="178"/>
      <c r="E100" s="178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178"/>
      <c r="B101" s="178"/>
      <c r="C101" s="178"/>
      <c r="D101" s="178"/>
      <c r="E101" s="178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178"/>
      <c r="B102" s="178"/>
      <c r="C102" s="178"/>
      <c r="D102" s="178"/>
      <c r="E102" s="178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178"/>
      <c r="B103" s="178"/>
      <c r="C103" s="178"/>
      <c r="D103" s="178"/>
      <c r="E103" s="178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178"/>
      <c r="B104" s="178"/>
      <c r="C104" s="178"/>
      <c r="D104" s="178"/>
      <c r="E104" s="178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178"/>
      <c r="B105" s="178"/>
      <c r="C105" s="178"/>
      <c r="D105" s="178"/>
      <c r="E105" s="178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178"/>
      <c r="B106" s="178"/>
      <c r="C106" s="178"/>
      <c r="D106" s="178"/>
      <c r="E106" s="178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178"/>
      <c r="B107" s="178"/>
      <c r="C107" s="178"/>
      <c r="D107" s="178"/>
      <c r="E107" s="178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178"/>
      <c r="B108" s="178"/>
      <c r="C108" s="178"/>
      <c r="D108" s="178"/>
      <c r="E108" s="178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178"/>
      <c r="B109" s="178"/>
      <c r="C109" s="178"/>
      <c r="D109" s="178"/>
      <c r="E109" s="178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178"/>
      <c r="B110" s="178"/>
      <c r="C110" s="178"/>
      <c r="D110" s="178"/>
      <c r="E110" s="178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178"/>
      <c r="B111" s="178"/>
      <c r="C111" s="178"/>
      <c r="D111" s="178"/>
      <c r="E111" s="178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178"/>
      <c r="B112" s="178"/>
      <c r="C112" s="178"/>
      <c r="D112" s="178"/>
      <c r="E112" s="178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178"/>
      <c r="B113" s="178"/>
      <c r="C113" s="178"/>
      <c r="D113" s="178"/>
      <c r="E113" s="178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178"/>
      <c r="B114" s="178"/>
      <c r="C114" s="178"/>
      <c r="D114" s="178"/>
      <c r="E114" s="178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178"/>
      <c r="B115" s="178"/>
      <c r="C115" s="178"/>
      <c r="D115" s="178"/>
      <c r="E115" s="178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178"/>
      <c r="B116" s="178"/>
      <c r="C116" s="178"/>
      <c r="D116" s="178"/>
      <c r="E116" s="178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178"/>
      <c r="B117" s="178"/>
      <c r="C117" s="178"/>
      <c r="D117" s="178"/>
      <c r="E117" s="178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178"/>
      <c r="B118" s="178"/>
      <c r="C118" s="178"/>
      <c r="D118" s="178"/>
      <c r="E118" s="178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178"/>
      <c r="B119" s="178"/>
      <c r="C119" s="178"/>
      <c r="D119" s="178"/>
      <c r="E119" s="178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178"/>
      <c r="B120" s="178"/>
      <c r="C120" s="178"/>
      <c r="D120" s="178"/>
      <c r="E120" s="178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178"/>
      <c r="B121" s="178"/>
      <c r="C121" s="178"/>
      <c r="D121" s="178"/>
      <c r="E121" s="178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178"/>
      <c r="B122" s="178"/>
      <c r="C122" s="178"/>
      <c r="D122" s="178"/>
      <c r="E122" s="178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178"/>
      <c r="B123" s="178"/>
      <c r="C123" s="178"/>
      <c r="D123" s="178"/>
      <c r="E123" s="178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178"/>
      <c r="B124" s="178"/>
      <c r="C124" s="178"/>
      <c r="D124" s="178"/>
      <c r="E124" s="178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178"/>
      <c r="B125" s="178"/>
      <c r="C125" s="178"/>
      <c r="D125" s="178"/>
      <c r="E125" s="178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178"/>
      <c r="B126" s="178"/>
      <c r="C126" s="178"/>
      <c r="D126" s="178"/>
      <c r="E126" s="178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178"/>
      <c r="B127" s="178"/>
      <c r="C127" s="178"/>
      <c r="D127" s="178"/>
      <c r="E127" s="178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178"/>
      <c r="B128" s="178"/>
      <c r="C128" s="178"/>
      <c r="D128" s="178"/>
      <c r="E128" s="178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178"/>
      <c r="B129" s="178"/>
      <c r="C129" s="178"/>
      <c r="D129" s="178"/>
      <c r="E129" s="178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178"/>
      <c r="B130" s="178"/>
      <c r="C130" s="178"/>
      <c r="D130" s="178"/>
      <c r="E130" s="178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178"/>
      <c r="B131" s="178"/>
      <c r="C131" s="178"/>
      <c r="D131" s="178"/>
      <c r="E131" s="178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178"/>
      <c r="B132" s="178"/>
      <c r="C132" s="178"/>
      <c r="D132" s="178"/>
      <c r="E132" s="178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178"/>
      <c r="B133" s="178"/>
      <c r="C133" s="178"/>
      <c r="D133" s="178"/>
      <c r="E133" s="178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178"/>
      <c r="B134" s="178"/>
      <c r="C134" s="178"/>
      <c r="D134" s="178"/>
      <c r="E134" s="178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178"/>
      <c r="B135" s="178"/>
      <c r="C135" s="178"/>
      <c r="D135" s="178"/>
      <c r="E135" s="178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178"/>
      <c r="B136" s="178"/>
      <c r="C136" s="178"/>
      <c r="D136" s="178"/>
      <c r="E136" s="178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178"/>
      <c r="B137" s="178"/>
      <c r="C137" s="178"/>
      <c r="D137" s="178"/>
      <c r="E137" s="178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178"/>
      <c r="B138" s="178"/>
      <c r="C138" s="178"/>
      <c r="D138" s="178"/>
      <c r="E138" s="178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178"/>
      <c r="B139" s="178"/>
      <c r="C139" s="178"/>
      <c r="D139" s="178"/>
      <c r="E139" s="178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178"/>
      <c r="B140" s="178"/>
      <c r="C140" s="178"/>
      <c r="D140" s="178"/>
      <c r="E140" s="178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178"/>
      <c r="B141" s="178"/>
      <c r="C141" s="178"/>
      <c r="D141" s="178"/>
      <c r="E141" s="178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178"/>
      <c r="B142" s="178"/>
      <c r="C142" s="178"/>
      <c r="D142" s="178"/>
      <c r="E142" s="178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178"/>
      <c r="B143" s="178"/>
      <c r="C143" s="178"/>
      <c r="D143" s="178"/>
      <c r="E143" s="178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178"/>
      <c r="B144" s="178"/>
      <c r="C144" s="178"/>
      <c r="D144" s="178"/>
      <c r="E144" s="178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178"/>
      <c r="B145" s="178"/>
      <c r="C145" s="178"/>
      <c r="D145" s="178"/>
      <c r="E145" s="178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178"/>
      <c r="B146" s="178"/>
      <c r="C146" s="178"/>
      <c r="D146" s="178"/>
      <c r="E146" s="178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178"/>
      <c r="B147" s="178"/>
      <c r="C147" s="178"/>
      <c r="D147" s="178"/>
      <c r="E147" s="178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178"/>
      <c r="B148" s="178"/>
      <c r="C148" s="178"/>
      <c r="D148" s="178"/>
      <c r="E148" s="178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178"/>
      <c r="B149" s="178"/>
      <c r="C149" s="178"/>
      <c r="D149" s="178"/>
      <c r="E149" s="178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178"/>
      <c r="B150" s="178"/>
      <c r="C150" s="178"/>
      <c r="D150" s="178"/>
      <c r="E150" s="178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178"/>
      <c r="B151" s="178"/>
      <c r="C151" s="178"/>
      <c r="D151" s="178"/>
      <c r="E151" s="178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178"/>
      <c r="B152" s="178"/>
      <c r="C152" s="178"/>
      <c r="D152" s="178"/>
      <c r="E152" s="178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178"/>
      <c r="B153" s="178"/>
      <c r="C153" s="178"/>
      <c r="D153" s="178"/>
      <c r="E153" s="178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178"/>
      <c r="B154" s="178"/>
      <c r="C154" s="178"/>
      <c r="D154" s="178"/>
      <c r="E154" s="178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178"/>
      <c r="B155" s="178"/>
      <c r="C155" s="178"/>
      <c r="D155" s="178"/>
      <c r="E155" s="178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178"/>
      <c r="B156" s="178"/>
      <c r="C156" s="178"/>
      <c r="D156" s="178"/>
      <c r="E156" s="178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178"/>
      <c r="B157" s="178"/>
      <c r="C157" s="178"/>
      <c r="D157" s="178"/>
      <c r="E157" s="178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178"/>
      <c r="B158" s="178"/>
      <c r="C158" s="178"/>
      <c r="D158" s="178"/>
      <c r="E158" s="178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178"/>
      <c r="B159" s="178"/>
      <c r="C159" s="178"/>
      <c r="D159" s="178"/>
      <c r="E159" s="178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178"/>
      <c r="B160" s="178"/>
      <c r="C160" s="178"/>
      <c r="D160" s="178"/>
      <c r="E160" s="178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178"/>
      <c r="B161" s="178"/>
      <c r="C161" s="178"/>
      <c r="D161" s="178"/>
      <c r="E161" s="178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178"/>
      <c r="B162" s="178"/>
      <c r="C162" s="178"/>
      <c r="D162" s="178"/>
      <c r="E162" s="178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178"/>
      <c r="B163" s="178"/>
      <c r="C163" s="178"/>
      <c r="D163" s="178"/>
      <c r="E163" s="178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178"/>
      <c r="B164" s="178"/>
      <c r="C164" s="178"/>
      <c r="D164" s="178"/>
      <c r="E164" s="178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178"/>
      <c r="B165" s="178"/>
      <c r="C165" s="178"/>
      <c r="D165" s="178"/>
      <c r="E165" s="178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178"/>
      <c r="B166" s="178"/>
      <c r="C166" s="178"/>
      <c r="D166" s="178"/>
      <c r="E166" s="178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178"/>
      <c r="B167" s="178"/>
      <c r="C167" s="178"/>
      <c r="D167" s="178"/>
      <c r="E167" s="178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178"/>
      <c r="B168" s="178"/>
      <c r="C168" s="178"/>
      <c r="D168" s="178"/>
      <c r="E168" s="178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178"/>
      <c r="B169" s="178"/>
      <c r="C169" s="178"/>
      <c r="D169" s="178"/>
      <c r="E169" s="178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178"/>
      <c r="B170" s="178"/>
      <c r="C170" s="178"/>
      <c r="D170" s="178"/>
      <c r="E170" s="178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178"/>
      <c r="B171" s="178"/>
      <c r="C171" s="178"/>
      <c r="D171" s="178"/>
      <c r="E171" s="178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178"/>
      <c r="B172" s="178"/>
      <c r="C172" s="178"/>
      <c r="D172" s="178"/>
      <c r="E172" s="178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178"/>
      <c r="B173" s="178"/>
      <c r="C173" s="178"/>
      <c r="D173" s="178"/>
      <c r="E173" s="178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178"/>
      <c r="B174" s="178"/>
      <c r="C174" s="178"/>
      <c r="D174" s="178"/>
      <c r="E174" s="178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178"/>
      <c r="B175" s="178"/>
      <c r="C175" s="178"/>
      <c r="D175" s="178"/>
      <c r="E175" s="178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178"/>
      <c r="B176" s="178"/>
      <c r="C176" s="178"/>
      <c r="D176" s="178"/>
      <c r="E176" s="178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178"/>
      <c r="B177" s="178"/>
      <c r="C177" s="178"/>
      <c r="D177" s="178"/>
      <c r="E177" s="178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178"/>
      <c r="B178" s="178"/>
      <c r="C178" s="178"/>
      <c r="D178" s="178"/>
      <c r="E178" s="178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178"/>
      <c r="B179" s="178"/>
      <c r="C179" s="178"/>
      <c r="D179" s="178"/>
      <c r="E179" s="178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178"/>
      <c r="B180" s="178"/>
      <c r="C180" s="178"/>
      <c r="D180" s="178"/>
      <c r="E180" s="178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178"/>
      <c r="B181" s="178"/>
      <c r="C181" s="178"/>
      <c r="D181" s="178"/>
      <c r="E181" s="178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178"/>
      <c r="B182" s="178"/>
      <c r="C182" s="178"/>
      <c r="D182" s="178"/>
      <c r="E182" s="178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178"/>
      <c r="B183" s="178"/>
      <c r="C183" s="178"/>
      <c r="D183" s="178"/>
      <c r="E183" s="178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178"/>
      <c r="B184" s="178"/>
      <c r="C184" s="178"/>
      <c r="D184" s="178"/>
      <c r="E184" s="178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178"/>
      <c r="B185" s="178"/>
      <c r="C185" s="178"/>
      <c r="D185" s="178"/>
      <c r="E185" s="178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178"/>
      <c r="B186" s="178"/>
      <c r="C186" s="178"/>
      <c r="D186" s="178"/>
      <c r="E186" s="178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178"/>
      <c r="B187" s="178"/>
      <c r="C187" s="178"/>
      <c r="D187" s="178"/>
      <c r="E187" s="178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178"/>
      <c r="B188" s="178"/>
      <c r="C188" s="178"/>
      <c r="D188" s="178"/>
      <c r="E188" s="178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178"/>
      <c r="B189" s="178"/>
      <c r="C189" s="178"/>
      <c r="D189" s="178"/>
      <c r="E189" s="178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178"/>
      <c r="B190" s="178"/>
      <c r="C190" s="178"/>
      <c r="D190" s="178"/>
      <c r="E190" s="178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178"/>
      <c r="B191" s="178"/>
      <c r="C191" s="178"/>
      <c r="D191" s="178"/>
      <c r="E191" s="178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178"/>
      <c r="B192" s="178"/>
      <c r="C192" s="178"/>
      <c r="D192" s="178"/>
      <c r="E192" s="178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178"/>
      <c r="B193" s="178"/>
      <c r="C193" s="178"/>
      <c r="D193" s="178"/>
      <c r="E193" s="178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178"/>
      <c r="B194" s="178"/>
      <c r="C194" s="178"/>
      <c r="D194" s="178"/>
      <c r="E194" s="178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178"/>
      <c r="B195" s="178"/>
      <c r="C195" s="178"/>
      <c r="D195" s="178"/>
      <c r="E195" s="178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178"/>
      <c r="B196" s="178"/>
      <c r="C196" s="178"/>
      <c r="D196" s="178"/>
      <c r="E196" s="178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178"/>
      <c r="B197" s="178"/>
      <c r="C197" s="178"/>
      <c r="D197" s="178"/>
      <c r="E197" s="178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178"/>
      <c r="B198" s="178"/>
      <c r="C198" s="178"/>
      <c r="D198" s="178"/>
      <c r="E198" s="178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178"/>
      <c r="B199" s="178"/>
      <c r="C199" s="178"/>
      <c r="D199" s="178"/>
      <c r="E199" s="178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178"/>
      <c r="B200" s="178"/>
      <c r="C200" s="178"/>
      <c r="D200" s="178"/>
      <c r="E200" s="178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178"/>
      <c r="B201" s="178"/>
      <c r="C201" s="178"/>
      <c r="D201" s="178"/>
      <c r="E201" s="178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178"/>
      <c r="B202" s="178"/>
      <c r="C202" s="178"/>
      <c r="D202" s="178"/>
      <c r="E202" s="178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178"/>
      <c r="B203" s="178"/>
      <c r="C203" s="178"/>
      <c r="D203" s="178"/>
      <c r="E203" s="178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178"/>
      <c r="B204" s="178"/>
      <c r="C204" s="178"/>
      <c r="D204" s="178"/>
      <c r="E204" s="178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178"/>
      <c r="B205" s="178"/>
      <c r="C205" s="178"/>
      <c r="D205" s="178"/>
      <c r="E205" s="178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178"/>
      <c r="B206" s="178"/>
      <c r="C206" s="178"/>
      <c r="D206" s="178"/>
      <c r="E206" s="178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178"/>
      <c r="B207" s="178"/>
      <c r="C207" s="178"/>
      <c r="D207" s="178"/>
      <c r="E207" s="178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178"/>
      <c r="B208" s="178"/>
      <c r="C208" s="178"/>
      <c r="D208" s="178"/>
      <c r="E208" s="178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178"/>
      <c r="B209" s="178"/>
      <c r="C209" s="178"/>
      <c r="D209" s="178"/>
      <c r="E209" s="178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178"/>
      <c r="B210" s="178"/>
      <c r="C210" s="178"/>
      <c r="D210" s="178"/>
      <c r="E210" s="178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178"/>
      <c r="B211" s="178"/>
      <c r="C211" s="178"/>
      <c r="D211" s="178"/>
      <c r="E211" s="178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178"/>
      <c r="B212" s="178"/>
      <c r="C212" s="178"/>
      <c r="D212" s="178"/>
      <c r="E212" s="178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178"/>
      <c r="B213" s="178"/>
      <c r="C213" s="178"/>
      <c r="D213" s="178"/>
      <c r="E213" s="178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178"/>
      <c r="B214" s="178"/>
      <c r="C214" s="178"/>
      <c r="D214" s="178"/>
      <c r="E214" s="178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178"/>
      <c r="B215" s="178"/>
      <c r="C215" s="178"/>
      <c r="D215" s="178"/>
      <c r="E215" s="178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178"/>
      <c r="B216" s="178"/>
      <c r="C216" s="178"/>
      <c r="D216" s="178"/>
      <c r="E216" s="178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178"/>
      <c r="B217" s="178"/>
      <c r="C217" s="178"/>
      <c r="D217" s="178"/>
      <c r="E217" s="178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178"/>
      <c r="B218" s="178"/>
      <c r="C218" s="178"/>
      <c r="D218" s="178"/>
      <c r="E218" s="178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178"/>
      <c r="B219" s="178"/>
      <c r="C219" s="178"/>
      <c r="D219" s="178"/>
      <c r="E219" s="178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178"/>
      <c r="B220" s="178"/>
      <c r="C220" s="178"/>
      <c r="D220" s="178"/>
      <c r="E220" s="178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178"/>
      <c r="B221" s="178"/>
      <c r="C221" s="178"/>
      <c r="D221" s="178"/>
      <c r="E221" s="178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178"/>
      <c r="B222" s="178"/>
      <c r="C222" s="178"/>
      <c r="D222" s="178"/>
      <c r="E222" s="178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178"/>
      <c r="B223" s="178"/>
      <c r="C223" s="178"/>
      <c r="D223" s="178"/>
      <c r="E223" s="178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178"/>
      <c r="B224" s="178"/>
      <c r="C224" s="178"/>
      <c r="D224" s="178"/>
      <c r="E224" s="178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178"/>
      <c r="B225" s="178"/>
      <c r="C225" s="178"/>
      <c r="D225" s="178"/>
      <c r="E225" s="178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178"/>
      <c r="B226" s="178"/>
      <c r="C226" s="178"/>
      <c r="D226" s="178"/>
      <c r="E226" s="178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178"/>
      <c r="B227" s="178"/>
      <c r="C227" s="178"/>
      <c r="D227" s="178"/>
      <c r="E227" s="178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178"/>
      <c r="B228" s="178"/>
      <c r="C228" s="178"/>
      <c r="D228" s="178"/>
      <c r="E228" s="178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178"/>
      <c r="B229" s="178"/>
      <c r="C229" s="178"/>
      <c r="D229" s="178"/>
      <c r="E229" s="178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178"/>
      <c r="B230" s="178"/>
      <c r="C230" s="178"/>
      <c r="D230" s="178"/>
      <c r="E230" s="178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178"/>
      <c r="B231" s="178"/>
      <c r="C231" s="178"/>
      <c r="D231" s="178"/>
      <c r="E231" s="178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178"/>
      <c r="B232" s="178"/>
      <c r="C232" s="178"/>
      <c r="D232" s="178"/>
      <c r="E232" s="178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178"/>
      <c r="B233" s="178"/>
      <c r="C233" s="178"/>
      <c r="D233" s="178"/>
      <c r="E233" s="178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178"/>
      <c r="B234" s="178"/>
      <c r="C234" s="178"/>
      <c r="D234" s="178"/>
      <c r="E234" s="178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178"/>
      <c r="B235" s="178"/>
      <c r="C235" s="178"/>
      <c r="D235" s="178"/>
      <c r="E235" s="178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178"/>
      <c r="B236" s="178"/>
      <c r="C236" s="178"/>
      <c r="D236" s="178"/>
      <c r="E236" s="178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178"/>
      <c r="B237" s="178"/>
      <c r="C237" s="178"/>
      <c r="D237" s="178"/>
      <c r="E237" s="178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178"/>
      <c r="B238" s="178"/>
      <c r="C238" s="178"/>
      <c r="D238" s="178"/>
      <c r="E238" s="178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178"/>
      <c r="B239" s="178"/>
      <c r="C239" s="178"/>
      <c r="D239" s="178"/>
      <c r="E239" s="178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178"/>
      <c r="B240" s="178"/>
      <c r="C240" s="178"/>
      <c r="D240" s="178"/>
      <c r="E240" s="178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178"/>
      <c r="B241" s="178"/>
      <c r="C241" s="178"/>
      <c r="D241" s="178"/>
      <c r="E241" s="178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178"/>
      <c r="B242" s="178"/>
      <c r="C242" s="178"/>
      <c r="D242" s="178"/>
      <c r="E242" s="178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178"/>
      <c r="B243" s="178"/>
      <c r="C243" s="178"/>
      <c r="D243" s="178"/>
      <c r="E243" s="178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178"/>
      <c r="B244" s="178"/>
      <c r="C244" s="178"/>
      <c r="D244" s="178"/>
      <c r="E244" s="178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178"/>
      <c r="B245" s="178"/>
      <c r="C245" s="178"/>
      <c r="D245" s="178"/>
      <c r="E245" s="178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178"/>
      <c r="B246" s="178"/>
      <c r="C246" s="178"/>
      <c r="D246" s="178"/>
      <c r="E246" s="178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178"/>
      <c r="B247" s="178"/>
      <c r="C247" s="178"/>
      <c r="D247" s="178"/>
      <c r="E247" s="178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178"/>
      <c r="B248" s="178"/>
      <c r="C248" s="178"/>
      <c r="D248" s="178"/>
      <c r="E248" s="178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178"/>
      <c r="B249" s="178"/>
      <c r="C249" s="178"/>
      <c r="D249" s="178"/>
      <c r="E249" s="178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178"/>
      <c r="B250" s="178"/>
      <c r="C250" s="178"/>
      <c r="D250" s="178"/>
      <c r="E250" s="178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178"/>
      <c r="B251" s="178"/>
      <c r="C251" s="178"/>
      <c r="D251" s="178"/>
      <c r="E251" s="178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178"/>
      <c r="B252" s="178"/>
      <c r="C252" s="178"/>
      <c r="D252" s="178"/>
      <c r="E252" s="178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178"/>
      <c r="B253" s="178"/>
      <c r="C253" s="178"/>
      <c r="D253" s="178"/>
      <c r="E253" s="178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178"/>
      <c r="B254" s="178"/>
      <c r="C254" s="178"/>
      <c r="D254" s="178"/>
      <c r="E254" s="178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178"/>
      <c r="B255" s="178"/>
      <c r="C255" s="178"/>
      <c r="D255" s="178"/>
      <c r="E255" s="178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178"/>
      <c r="B256" s="178"/>
      <c r="C256" s="178"/>
      <c r="D256" s="178"/>
      <c r="E256" s="178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178"/>
      <c r="B257" s="178"/>
      <c r="C257" s="178"/>
      <c r="D257" s="178"/>
      <c r="E257" s="178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178"/>
      <c r="B258" s="178"/>
      <c r="C258" s="178"/>
      <c r="D258" s="178"/>
      <c r="E258" s="178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178"/>
      <c r="B259" s="178"/>
      <c r="C259" s="178"/>
      <c r="D259" s="178"/>
      <c r="E259" s="178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178"/>
      <c r="B260" s="178"/>
      <c r="C260" s="178"/>
      <c r="D260" s="178"/>
      <c r="E260" s="178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178"/>
      <c r="B261" s="178"/>
      <c r="C261" s="178"/>
      <c r="D261" s="178"/>
      <c r="E261" s="178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178"/>
      <c r="B262" s="178"/>
      <c r="C262" s="178"/>
      <c r="D262" s="178"/>
      <c r="E262" s="178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178"/>
      <c r="B263" s="178"/>
      <c r="C263" s="178"/>
      <c r="D263" s="178"/>
      <c r="E263" s="178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178"/>
      <c r="B264" s="178"/>
      <c r="C264" s="178"/>
      <c r="D264" s="178"/>
      <c r="E264" s="178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178"/>
      <c r="B265" s="178"/>
      <c r="C265" s="178"/>
      <c r="D265" s="178"/>
      <c r="E265" s="178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178"/>
      <c r="B266" s="178"/>
      <c r="C266" s="178"/>
      <c r="D266" s="178"/>
      <c r="E266" s="178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178"/>
      <c r="B267" s="178"/>
      <c r="C267" s="178"/>
      <c r="D267" s="178"/>
      <c r="E267" s="178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178"/>
      <c r="B268" s="178"/>
      <c r="C268" s="178"/>
      <c r="D268" s="178"/>
      <c r="E268" s="178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178"/>
      <c r="B269" s="178"/>
      <c r="C269" s="178"/>
      <c r="D269" s="178"/>
      <c r="E269" s="178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178"/>
      <c r="B270" s="178"/>
      <c r="C270" s="178"/>
      <c r="D270" s="178"/>
      <c r="E270" s="178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178"/>
      <c r="B271" s="178"/>
      <c r="C271" s="178"/>
      <c r="D271" s="178"/>
      <c r="E271" s="178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178"/>
      <c r="B272" s="178"/>
      <c r="C272" s="178"/>
      <c r="D272" s="178"/>
      <c r="E272" s="178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178"/>
      <c r="B273" s="178"/>
      <c r="C273" s="178"/>
      <c r="D273" s="178"/>
      <c r="E273" s="178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178"/>
      <c r="B274" s="178"/>
      <c r="C274" s="178"/>
      <c r="D274" s="178"/>
      <c r="E274" s="178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178"/>
      <c r="B275" s="178"/>
      <c r="C275" s="178"/>
      <c r="D275" s="178"/>
      <c r="E275" s="178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178"/>
      <c r="B276" s="178"/>
      <c r="C276" s="178"/>
      <c r="D276" s="178"/>
      <c r="E276" s="178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178"/>
      <c r="B277" s="178"/>
      <c r="C277" s="178"/>
      <c r="D277" s="178"/>
      <c r="E277" s="178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178"/>
      <c r="B278" s="178"/>
      <c r="C278" s="178"/>
      <c r="D278" s="178"/>
      <c r="E278" s="178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178"/>
      <c r="B279" s="178"/>
      <c r="C279" s="178"/>
      <c r="D279" s="178"/>
      <c r="E279" s="178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178"/>
      <c r="B280" s="178"/>
      <c r="C280" s="178"/>
      <c r="D280" s="178"/>
      <c r="E280" s="178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178"/>
      <c r="B281" s="178"/>
      <c r="C281" s="178"/>
      <c r="D281" s="178"/>
      <c r="E281" s="178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178"/>
      <c r="B282" s="178"/>
      <c r="C282" s="178"/>
      <c r="D282" s="178"/>
      <c r="E282" s="178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178"/>
      <c r="B283" s="178"/>
      <c r="C283" s="178"/>
      <c r="D283" s="178"/>
      <c r="E283" s="178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178"/>
      <c r="B284" s="178"/>
      <c r="C284" s="178"/>
      <c r="D284" s="178"/>
      <c r="E284" s="178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178"/>
      <c r="B285" s="178"/>
      <c r="C285" s="178"/>
      <c r="D285" s="178"/>
      <c r="E285" s="178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178"/>
      <c r="B286" s="178"/>
      <c r="C286" s="178"/>
      <c r="D286" s="178"/>
      <c r="E286" s="178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178"/>
      <c r="B287" s="178"/>
      <c r="C287" s="178"/>
      <c r="D287" s="178"/>
      <c r="E287" s="178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178"/>
      <c r="B288" s="178"/>
      <c r="C288" s="178"/>
      <c r="D288" s="178"/>
      <c r="E288" s="178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178"/>
      <c r="B289" s="178"/>
      <c r="C289" s="178"/>
      <c r="D289" s="178"/>
      <c r="E289" s="178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178"/>
      <c r="B290" s="178"/>
      <c r="C290" s="178"/>
      <c r="D290" s="178"/>
      <c r="E290" s="178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178"/>
      <c r="B291" s="178"/>
      <c r="C291" s="178"/>
      <c r="D291" s="178"/>
      <c r="E291" s="178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178"/>
      <c r="B292" s="178"/>
      <c r="C292" s="178"/>
      <c r="D292" s="178"/>
      <c r="E292" s="178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178"/>
      <c r="B293" s="178"/>
      <c r="C293" s="178"/>
      <c r="D293" s="178"/>
      <c r="E293" s="178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178"/>
      <c r="B294" s="178"/>
      <c r="C294" s="178"/>
      <c r="D294" s="178"/>
      <c r="E294" s="178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178"/>
      <c r="B295" s="178"/>
      <c r="C295" s="178"/>
      <c r="D295" s="178"/>
      <c r="E295" s="178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178"/>
      <c r="B296" s="178"/>
      <c r="C296" s="178"/>
      <c r="D296" s="178"/>
      <c r="E296" s="178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178"/>
      <c r="B297" s="178"/>
      <c r="C297" s="178"/>
      <c r="D297" s="178"/>
      <c r="E297" s="178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178"/>
      <c r="B298" s="178"/>
      <c r="C298" s="178"/>
      <c r="D298" s="178"/>
      <c r="E298" s="178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178"/>
      <c r="B299" s="178"/>
      <c r="C299" s="178"/>
      <c r="D299" s="178"/>
      <c r="E299" s="178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178"/>
      <c r="B300" s="178"/>
      <c r="C300" s="178"/>
      <c r="D300" s="178"/>
      <c r="E300" s="178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178"/>
      <c r="B301" s="178"/>
      <c r="C301" s="178"/>
      <c r="D301" s="178"/>
      <c r="E301" s="178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178"/>
      <c r="B302" s="178"/>
      <c r="C302" s="178"/>
      <c r="D302" s="178"/>
      <c r="E302" s="178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178"/>
      <c r="B303" s="178"/>
      <c r="C303" s="178"/>
      <c r="D303" s="178"/>
      <c r="E303" s="178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178"/>
      <c r="B304" s="178"/>
      <c r="C304" s="178"/>
      <c r="D304" s="178"/>
      <c r="E304" s="178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178"/>
      <c r="B305" s="178"/>
      <c r="C305" s="178"/>
      <c r="D305" s="178"/>
      <c r="E305" s="178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178"/>
      <c r="B306" s="178"/>
      <c r="C306" s="178"/>
      <c r="D306" s="178"/>
      <c r="E306" s="178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178"/>
      <c r="B307" s="178"/>
      <c r="C307" s="178"/>
      <c r="D307" s="178"/>
      <c r="E307" s="178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178"/>
      <c r="B308" s="178"/>
      <c r="C308" s="178"/>
      <c r="D308" s="178"/>
      <c r="E308" s="178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178"/>
      <c r="B309" s="178"/>
      <c r="C309" s="178"/>
      <c r="D309" s="178"/>
      <c r="E309" s="178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178"/>
      <c r="B310" s="178"/>
      <c r="C310" s="178"/>
      <c r="D310" s="178"/>
      <c r="E310" s="178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178"/>
      <c r="B311" s="178"/>
      <c r="C311" s="178"/>
      <c r="D311" s="178"/>
      <c r="E311" s="178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178"/>
      <c r="B312" s="178"/>
      <c r="C312" s="178"/>
      <c r="D312" s="178"/>
      <c r="E312" s="178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178"/>
      <c r="B313" s="178"/>
      <c r="C313" s="178"/>
      <c r="D313" s="178"/>
      <c r="E313" s="178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178"/>
      <c r="B314" s="178"/>
      <c r="C314" s="178"/>
      <c r="D314" s="178"/>
      <c r="E314" s="178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178"/>
      <c r="B315" s="178"/>
      <c r="C315" s="178"/>
      <c r="D315" s="178"/>
      <c r="E315" s="178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178"/>
      <c r="B316" s="178"/>
      <c r="C316" s="178"/>
      <c r="D316" s="178"/>
      <c r="E316" s="178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178"/>
      <c r="B317" s="178"/>
      <c r="C317" s="178"/>
      <c r="D317" s="178"/>
      <c r="E317" s="178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178"/>
      <c r="B318" s="178"/>
      <c r="C318" s="178"/>
      <c r="D318" s="178"/>
      <c r="E318" s="178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178"/>
      <c r="B319" s="178"/>
      <c r="C319" s="178"/>
      <c r="D319" s="178"/>
      <c r="E319" s="178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178"/>
      <c r="B320" s="178"/>
      <c r="C320" s="178"/>
      <c r="D320" s="178"/>
      <c r="E320" s="178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178"/>
      <c r="B321" s="178"/>
      <c r="C321" s="178"/>
      <c r="D321" s="178"/>
      <c r="E321" s="178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178"/>
      <c r="B322" s="178"/>
      <c r="C322" s="178"/>
      <c r="D322" s="178"/>
      <c r="E322" s="178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178"/>
      <c r="B323" s="178"/>
      <c r="C323" s="178"/>
      <c r="D323" s="178"/>
      <c r="E323" s="178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178"/>
      <c r="B324" s="178"/>
      <c r="C324" s="178"/>
      <c r="D324" s="178"/>
      <c r="E324" s="178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178"/>
      <c r="B325" s="178"/>
      <c r="C325" s="178"/>
      <c r="D325" s="178"/>
      <c r="E325" s="178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178"/>
      <c r="B326" s="178"/>
      <c r="C326" s="178"/>
      <c r="D326" s="178"/>
      <c r="E326" s="178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178"/>
      <c r="B327" s="178"/>
      <c r="C327" s="178"/>
      <c r="D327" s="178"/>
      <c r="E327" s="178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178"/>
      <c r="B328" s="178"/>
      <c r="C328" s="178"/>
      <c r="D328" s="178"/>
      <c r="E328" s="178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178"/>
      <c r="B329" s="178"/>
      <c r="C329" s="178"/>
      <c r="D329" s="178"/>
      <c r="E329" s="178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178"/>
      <c r="B330" s="178"/>
      <c r="C330" s="178"/>
      <c r="D330" s="178"/>
      <c r="E330" s="178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178"/>
      <c r="B331" s="178"/>
      <c r="C331" s="178"/>
      <c r="D331" s="178"/>
      <c r="E331" s="178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178"/>
      <c r="B332" s="178"/>
      <c r="C332" s="178"/>
      <c r="D332" s="178"/>
      <c r="E332" s="178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178"/>
      <c r="B333" s="178"/>
      <c r="C333" s="178"/>
      <c r="D333" s="178"/>
      <c r="E333" s="178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178"/>
      <c r="B334" s="178"/>
      <c r="C334" s="178"/>
      <c r="D334" s="178"/>
      <c r="E334" s="178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178"/>
      <c r="B335" s="178"/>
      <c r="C335" s="178"/>
      <c r="D335" s="178"/>
      <c r="E335" s="178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178"/>
      <c r="B336" s="178"/>
      <c r="C336" s="178"/>
      <c r="D336" s="178"/>
      <c r="E336" s="178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178"/>
      <c r="B337" s="178"/>
      <c r="C337" s="178"/>
      <c r="D337" s="178"/>
      <c r="E337" s="178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178"/>
      <c r="B338" s="178"/>
      <c r="C338" s="178"/>
      <c r="D338" s="178"/>
      <c r="E338" s="178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178"/>
      <c r="B339" s="178"/>
      <c r="C339" s="178"/>
      <c r="D339" s="178"/>
      <c r="E339" s="178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178"/>
      <c r="B340" s="178"/>
      <c r="C340" s="178"/>
      <c r="D340" s="178"/>
      <c r="E340" s="178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178"/>
      <c r="B341" s="178"/>
      <c r="C341" s="178"/>
      <c r="D341" s="178"/>
      <c r="E341" s="178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178"/>
      <c r="B342" s="178"/>
      <c r="C342" s="178"/>
      <c r="D342" s="178"/>
      <c r="E342" s="178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178"/>
      <c r="B343" s="178"/>
      <c r="C343" s="178"/>
      <c r="D343" s="178"/>
      <c r="E343" s="178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178"/>
      <c r="B344" s="178"/>
      <c r="C344" s="178"/>
      <c r="D344" s="178"/>
      <c r="E344" s="178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178"/>
      <c r="B345" s="178"/>
      <c r="C345" s="178"/>
      <c r="D345" s="178"/>
      <c r="E345" s="178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178"/>
      <c r="B346" s="178"/>
      <c r="C346" s="178"/>
      <c r="D346" s="178"/>
      <c r="E346" s="178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178"/>
      <c r="B347" s="178"/>
      <c r="C347" s="178"/>
      <c r="D347" s="178"/>
      <c r="E347" s="178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178"/>
      <c r="B348" s="178"/>
      <c r="C348" s="178"/>
      <c r="D348" s="178"/>
      <c r="E348" s="178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178"/>
      <c r="B349" s="178"/>
      <c r="C349" s="178"/>
      <c r="D349" s="178"/>
      <c r="E349" s="178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178"/>
      <c r="B350" s="178"/>
      <c r="C350" s="178"/>
      <c r="D350" s="178"/>
      <c r="E350" s="178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178"/>
      <c r="B351" s="178"/>
      <c r="C351" s="178"/>
      <c r="D351" s="178"/>
      <c r="E351" s="178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178"/>
      <c r="B352" s="178"/>
      <c r="C352" s="178"/>
      <c r="D352" s="178"/>
      <c r="E352" s="178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178"/>
      <c r="B353" s="178"/>
      <c r="C353" s="178"/>
      <c r="D353" s="178"/>
      <c r="E353" s="178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178"/>
      <c r="B354" s="178"/>
      <c r="C354" s="178"/>
      <c r="D354" s="178"/>
      <c r="E354" s="178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178"/>
      <c r="B355" s="178"/>
      <c r="C355" s="178"/>
      <c r="D355" s="178"/>
      <c r="E355" s="178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178"/>
      <c r="B356" s="178"/>
      <c r="C356" s="178"/>
      <c r="D356" s="178"/>
      <c r="E356" s="178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178"/>
      <c r="B357" s="178"/>
      <c r="C357" s="178"/>
      <c r="D357" s="178"/>
      <c r="E357" s="178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178"/>
      <c r="B358" s="178"/>
      <c r="C358" s="178"/>
      <c r="D358" s="178"/>
      <c r="E358" s="178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178"/>
      <c r="B359" s="178"/>
      <c r="C359" s="178"/>
      <c r="D359" s="178"/>
      <c r="E359" s="178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178"/>
      <c r="B360" s="178"/>
      <c r="C360" s="178"/>
      <c r="D360" s="178"/>
      <c r="E360" s="178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178"/>
      <c r="B361" s="178"/>
      <c r="C361" s="178"/>
      <c r="D361" s="178"/>
      <c r="E361" s="178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178"/>
      <c r="B362" s="178"/>
      <c r="C362" s="178"/>
      <c r="D362" s="178"/>
      <c r="E362" s="178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178"/>
      <c r="B363" s="178"/>
      <c r="C363" s="178"/>
      <c r="D363" s="178"/>
      <c r="E363" s="178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178"/>
      <c r="B364" s="178"/>
      <c r="C364" s="178"/>
      <c r="D364" s="178"/>
      <c r="E364" s="178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178"/>
      <c r="B365" s="178"/>
      <c r="C365" s="178"/>
      <c r="D365" s="178"/>
      <c r="E365" s="178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178"/>
      <c r="B366" s="178"/>
      <c r="C366" s="178"/>
      <c r="D366" s="178"/>
      <c r="E366" s="178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178"/>
      <c r="B367" s="178"/>
      <c r="C367" s="178"/>
      <c r="D367" s="178"/>
      <c r="E367" s="178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178"/>
      <c r="B368" s="178"/>
      <c r="C368" s="178"/>
      <c r="D368" s="178"/>
      <c r="E368" s="178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178"/>
      <c r="B369" s="178"/>
      <c r="C369" s="178"/>
      <c r="D369" s="178"/>
      <c r="E369" s="178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178"/>
      <c r="B370" s="178"/>
      <c r="C370" s="178"/>
      <c r="D370" s="178"/>
      <c r="E370" s="178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178"/>
      <c r="B371" s="178"/>
      <c r="C371" s="178"/>
      <c r="D371" s="178"/>
      <c r="E371" s="178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178"/>
      <c r="B372" s="178"/>
      <c r="C372" s="178"/>
      <c r="D372" s="178"/>
      <c r="E372" s="178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178"/>
      <c r="B373" s="178"/>
      <c r="C373" s="178"/>
      <c r="D373" s="178"/>
      <c r="E373" s="178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178"/>
      <c r="B374" s="178"/>
      <c r="C374" s="178"/>
      <c r="D374" s="178"/>
      <c r="E374" s="178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178"/>
      <c r="B375" s="178"/>
      <c r="C375" s="178"/>
      <c r="D375" s="178"/>
      <c r="E375" s="178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178"/>
      <c r="B376" s="178"/>
      <c r="C376" s="178"/>
      <c r="D376" s="178"/>
      <c r="E376" s="178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178"/>
      <c r="B377" s="178"/>
      <c r="C377" s="178"/>
      <c r="D377" s="178"/>
      <c r="E377" s="178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178"/>
      <c r="B378" s="178"/>
      <c r="C378" s="178"/>
      <c r="D378" s="178"/>
      <c r="E378" s="178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178"/>
      <c r="B379" s="178"/>
      <c r="C379" s="178"/>
      <c r="D379" s="178"/>
      <c r="E379" s="178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178"/>
      <c r="B380" s="178"/>
      <c r="C380" s="178"/>
      <c r="D380" s="178"/>
      <c r="E380" s="178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178"/>
      <c r="B381" s="178"/>
      <c r="C381" s="178"/>
      <c r="D381" s="178"/>
      <c r="E381" s="178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178"/>
      <c r="B382" s="178"/>
      <c r="C382" s="178"/>
      <c r="D382" s="178"/>
      <c r="E382" s="178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178"/>
      <c r="B383" s="178"/>
      <c r="C383" s="178"/>
      <c r="D383" s="178"/>
      <c r="E383" s="178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178"/>
      <c r="B384" s="178"/>
      <c r="C384" s="178"/>
      <c r="D384" s="178"/>
      <c r="E384" s="178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178"/>
      <c r="B385" s="178"/>
      <c r="C385" s="178"/>
      <c r="D385" s="178"/>
      <c r="E385" s="178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178"/>
      <c r="B386" s="178"/>
      <c r="C386" s="178"/>
      <c r="D386" s="178"/>
      <c r="E386" s="178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178"/>
      <c r="B387" s="178"/>
      <c r="C387" s="178"/>
      <c r="D387" s="178"/>
      <c r="E387" s="178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178"/>
      <c r="B388" s="178"/>
      <c r="C388" s="178"/>
      <c r="D388" s="178"/>
      <c r="E388" s="178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178"/>
      <c r="B389" s="178"/>
      <c r="C389" s="178"/>
      <c r="D389" s="178"/>
      <c r="E389" s="178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178"/>
      <c r="B390" s="178"/>
      <c r="C390" s="178"/>
      <c r="D390" s="178"/>
      <c r="E390" s="178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178"/>
      <c r="B391" s="178"/>
      <c r="C391" s="178"/>
      <c r="D391" s="178"/>
      <c r="E391" s="178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178"/>
      <c r="B392" s="178"/>
      <c r="C392" s="178"/>
      <c r="D392" s="178"/>
      <c r="E392" s="178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178"/>
      <c r="B393" s="178"/>
      <c r="C393" s="178"/>
      <c r="D393" s="178"/>
      <c r="E393" s="178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178"/>
      <c r="B394" s="178"/>
      <c r="C394" s="178"/>
      <c r="D394" s="178"/>
      <c r="E394" s="178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178"/>
      <c r="B395" s="178"/>
      <c r="C395" s="178"/>
      <c r="D395" s="178"/>
      <c r="E395" s="178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178"/>
      <c r="B396" s="178"/>
      <c r="C396" s="178"/>
      <c r="D396" s="178"/>
      <c r="E396" s="178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178"/>
      <c r="B397" s="178"/>
      <c r="C397" s="178"/>
      <c r="D397" s="178"/>
      <c r="E397" s="178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178"/>
      <c r="B398" s="178"/>
      <c r="C398" s="178"/>
      <c r="D398" s="178"/>
      <c r="E398" s="178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178"/>
      <c r="B399" s="178"/>
      <c r="C399" s="178"/>
      <c r="D399" s="178"/>
      <c r="E399" s="178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178"/>
      <c r="B400" s="178"/>
      <c r="C400" s="178"/>
      <c r="D400" s="178"/>
      <c r="E400" s="178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178"/>
      <c r="B401" s="178"/>
      <c r="C401" s="178"/>
      <c r="D401" s="178"/>
      <c r="E401" s="178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178"/>
      <c r="B402" s="178"/>
      <c r="C402" s="178"/>
      <c r="D402" s="178"/>
      <c r="E402" s="178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178"/>
      <c r="B403" s="178"/>
      <c r="C403" s="178"/>
      <c r="D403" s="178"/>
      <c r="E403" s="178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178"/>
      <c r="B404" s="178"/>
      <c r="C404" s="178"/>
      <c r="D404" s="178"/>
      <c r="E404" s="178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178"/>
      <c r="B405" s="178"/>
      <c r="C405" s="178"/>
      <c r="D405" s="178"/>
      <c r="E405" s="178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178"/>
      <c r="B406" s="178"/>
      <c r="C406" s="178"/>
      <c r="D406" s="178"/>
      <c r="E406" s="178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178"/>
      <c r="B407" s="178"/>
      <c r="C407" s="178"/>
      <c r="D407" s="178"/>
      <c r="E407" s="178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178"/>
      <c r="B408" s="178"/>
      <c r="C408" s="178"/>
      <c r="D408" s="178"/>
      <c r="E408" s="178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178"/>
      <c r="B409" s="178"/>
      <c r="C409" s="178"/>
      <c r="D409" s="178"/>
      <c r="E409" s="178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178"/>
      <c r="B410" s="178"/>
      <c r="C410" s="178"/>
      <c r="D410" s="178"/>
      <c r="E410" s="178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178"/>
      <c r="B411" s="178"/>
      <c r="C411" s="178"/>
      <c r="D411" s="178"/>
      <c r="E411" s="178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178"/>
      <c r="B412" s="178"/>
      <c r="C412" s="178"/>
      <c r="D412" s="178"/>
      <c r="E412" s="178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178"/>
      <c r="B413" s="178"/>
      <c r="C413" s="178"/>
      <c r="D413" s="178"/>
      <c r="E413" s="178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178"/>
      <c r="B414" s="178"/>
      <c r="C414" s="178"/>
      <c r="D414" s="178"/>
      <c r="E414" s="178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178"/>
      <c r="B415" s="178"/>
      <c r="C415" s="178"/>
      <c r="D415" s="178"/>
      <c r="E415" s="178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178"/>
      <c r="B416" s="178"/>
      <c r="C416" s="178"/>
      <c r="D416" s="178"/>
      <c r="E416" s="178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178"/>
      <c r="B417" s="178"/>
      <c r="C417" s="178"/>
      <c r="D417" s="178"/>
      <c r="E417" s="178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178"/>
      <c r="B418" s="178"/>
      <c r="C418" s="178"/>
      <c r="D418" s="178"/>
      <c r="E418" s="178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178"/>
      <c r="B419" s="178"/>
      <c r="C419" s="178"/>
      <c r="D419" s="178"/>
      <c r="E419" s="178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178"/>
      <c r="B420" s="178"/>
      <c r="C420" s="178"/>
      <c r="D420" s="178"/>
      <c r="E420" s="178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178"/>
      <c r="B421" s="178"/>
      <c r="C421" s="178"/>
      <c r="D421" s="178"/>
      <c r="E421" s="178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178"/>
      <c r="B422" s="178"/>
      <c r="C422" s="178"/>
      <c r="D422" s="178"/>
      <c r="E422" s="178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178"/>
      <c r="B423" s="178"/>
      <c r="C423" s="178"/>
      <c r="D423" s="178"/>
      <c r="E423" s="178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178"/>
      <c r="B424" s="178"/>
      <c r="C424" s="178"/>
      <c r="D424" s="178"/>
      <c r="E424" s="178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178"/>
      <c r="B425" s="178"/>
      <c r="C425" s="178"/>
      <c r="D425" s="178"/>
      <c r="E425" s="178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178"/>
      <c r="B426" s="178"/>
      <c r="C426" s="178"/>
      <c r="D426" s="178"/>
      <c r="E426" s="178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178"/>
      <c r="B427" s="178"/>
      <c r="C427" s="178"/>
      <c r="D427" s="178"/>
      <c r="E427" s="178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178"/>
      <c r="B428" s="178"/>
      <c r="C428" s="178"/>
      <c r="D428" s="178"/>
      <c r="E428" s="178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178"/>
      <c r="B429" s="178"/>
      <c r="C429" s="178"/>
      <c r="D429" s="178"/>
      <c r="E429" s="178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178"/>
      <c r="B430" s="178"/>
      <c r="C430" s="178"/>
      <c r="D430" s="178"/>
      <c r="E430" s="178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178"/>
      <c r="B431" s="178"/>
      <c r="C431" s="178"/>
      <c r="D431" s="178"/>
      <c r="E431" s="178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178"/>
      <c r="B432" s="178"/>
      <c r="C432" s="178"/>
      <c r="D432" s="178"/>
      <c r="E432" s="178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178"/>
      <c r="B433" s="178"/>
      <c r="C433" s="178"/>
      <c r="D433" s="178"/>
      <c r="E433" s="178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178"/>
      <c r="B434" s="178"/>
      <c r="C434" s="178"/>
      <c r="D434" s="178"/>
      <c r="E434" s="178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178"/>
      <c r="B435" s="178"/>
      <c r="C435" s="178"/>
      <c r="D435" s="178"/>
      <c r="E435" s="178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178"/>
      <c r="B436" s="178"/>
      <c r="C436" s="178"/>
      <c r="D436" s="178"/>
      <c r="E436" s="178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178"/>
      <c r="B437" s="178"/>
      <c r="C437" s="178"/>
      <c r="D437" s="178"/>
      <c r="E437" s="178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178"/>
      <c r="B438" s="178"/>
      <c r="C438" s="178"/>
      <c r="D438" s="178"/>
      <c r="E438" s="178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178"/>
      <c r="B439" s="178"/>
      <c r="C439" s="178"/>
      <c r="D439" s="178"/>
      <c r="E439" s="178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178"/>
      <c r="B440" s="178"/>
      <c r="C440" s="178"/>
      <c r="D440" s="178"/>
      <c r="E440" s="178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178"/>
      <c r="B441" s="178"/>
      <c r="C441" s="178"/>
      <c r="D441" s="178"/>
      <c r="E441" s="178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178"/>
      <c r="B442" s="178"/>
      <c r="C442" s="178"/>
      <c r="D442" s="178"/>
      <c r="E442" s="178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178"/>
      <c r="B443" s="178"/>
      <c r="C443" s="178"/>
      <c r="D443" s="178"/>
      <c r="E443" s="178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178"/>
      <c r="B444" s="178"/>
      <c r="C444" s="178"/>
      <c r="D444" s="178"/>
      <c r="E444" s="178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178"/>
      <c r="B445" s="178"/>
      <c r="C445" s="178"/>
      <c r="D445" s="178"/>
      <c r="E445" s="178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178"/>
      <c r="B446" s="178"/>
      <c r="C446" s="178"/>
      <c r="D446" s="178"/>
      <c r="E446" s="178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178"/>
      <c r="B447" s="178"/>
      <c r="C447" s="178"/>
      <c r="D447" s="178"/>
      <c r="E447" s="178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178"/>
      <c r="B448" s="178"/>
      <c r="C448" s="178"/>
      <c r="D448" s="178"/>
      <c r="E448" s="178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178"/>
      <c r="B449" s="178"/>
      <c r="C449" s="178"/>
      <c r="D449" s="178"/>
      <c r="E449" s="178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178"/>
      <c r="B450" s="178"/>
      <c r="C450" s="178"/>
      <c r="D450" s="178"/>
      <c r="E450" s="178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178"/>
      <c r="B451" s="178"/>
      <c r="C451" s="178"/>
      <c r="D451" s="178"/>
      <c r="E451" s="178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178"/>
      <c r="B452" s="178"/>
      <c r="C452" s="178"/>
      <c r="D452" s="178"/>
      <c r="E452" s="178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178"/>
      <c r="B453" s="178"/>
      <c r="C453" s="178"/>
      <c r="D453" s="178"/>
      <c r="E453" s="178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178"/>
      <c r="B454" s="178"/>
      <c r="C454" s="178"/>
      <c r="D454" s="178"/>
      <c r="E454" s="178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178"/>
      <c r="B455" s="178"/>
      <c r="C455" s="178"/>
      <c r="D455" s="178"/>
      <c r="E455" s="178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178"/>
      <c r="B456" s="178"/>
      <c r="C456" s="178"/>
      <c r="D456" s="178"/>
      <c r="E456" s="178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178"/>
      <c r="B457" s="178"/>
      <c r="C457" s="178"/>
      <c r="D457" s="178"/>
      <c r="E457" s="178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178"/>
      <c r="B458" s="178"/>
      <c r="C458" s="178"/>
      <c r="D458" s="178"/>
      <c r="E458" s="178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178"/>
      <c r="B459" s="178"/>
      <c r="C459" s="178"/>
      <c r="D459" s="178"/>
      <c r="E459" s="178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178"/>
      <c r="B460" s="178"/>
      <c r="C460" s="178"/>
      <c r="D460" s="178"/>
      <c r="E460" s="178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178"/>
      <c r="B461" s="178"/>
      <c r="C461" s="178"/>
      <c r="D461" s="178"/>
      <c r="E461" s="178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178"/>
      <c r="B462" s="178"/>
      <c r="C462" s="178"/>
      <c r="D462" s="178"/>
      <c r="E462" s="178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178"/>
      <c r="B463" s="178"/>
      <c r="C463" s="178"/>
      <c r="D463" s="178"/>
      <c r="E463" s="178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178"/>
      <c r="B464" s="178"/>
      <c r="C464" s="178"/>
      <c r="D464" s="178"/>
      <c r="E464" s="178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178"/>
      <c r="B465" s="178"/>
      <c r="C465" s="178"/>
      <c r="D465" s="178"/>
      <c r="E465" s="178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178"/>
      <c r="B466" s="178"/>
      <c r="C466" s="178"/>
      <c r="D466" s="178"/>
      <c r="E466" s="178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178"/>
      <c r="B467" s="178"/>
      <c r="C467" s="178"/>
      <c r="D467" s="178"/>
      <c r="E467" s="178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178"/>
      <c r="B468" s="178"/>
      <c r="C468" s="178"/>
      <c r="D468" s="178"/>
      <c r="E468" s="178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178"/>
      <c r="B469" s="178"/>
      <c r="C469" s="178"/>
      <c r="D469" s="178"/>
      <c r="E469" s="178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178"/>
      <c r="B470" s="178"/>
      <c r="C470" s="178"/>
      <c r="D470" s="178"/>
      <c r="E470" s="178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178"/>
      <c r="B471" s="178"/>
      <c r="C471" s="178"/>
      <c r="D471" s="178"/>
      <c r="E471" s="178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178"/>
      <c r="B472" s="178"/>
      <c r="C472" s="178"/>
      <c r="D472" s="178"/>
      <c r="E472" s="178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178"/>
      <c r="B473" s="178"/>
      <c r="C473" s="178"/>
      <c r="D473" s="178"/>
      <c r="E473" s="178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178"/>
      <c r="B474" s="178"/>
      <c r="C474" s="178"/>
      <c r="D474" s="178"/>
      <c r="E474" s="178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178"/>
      <c r="B475" s="178"/>
      <c r="C475" s="178"/>
      <c r="D475" s="178"/>
      <c r="E475" s="178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178"/>
      <c r="B476" s="178"/>
      <c r="C476" s="178"/>
      <c r="D476" s="178"/>
      <c r="E476" s="178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178"/>
      <c r="B477" s="178"/>
      <c r="C477" s="178"/>
      <c r="D477" s="178"/>
      <c r="E477" s="178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178"/>
      <c r="B478" s="178"/>
      <c r="C478" s="178"/>
      <c r="D478" s="178"/>
      <c r="E478" s="178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178"/>
      <c r="B479" s="178"/>
      <c r="C479" s="178"/>
      <c r="D479" s="178"/>
      <c r="E479" s="178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178"/>
      <c r="B480" s="178"/>
      <c r="C480" s="178"/>
      <c r="D480" s="178"/>
      <c r="E480" s="178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178"/>
      <c r="B481" s="178"/>
      <c r="C481" s="178"/>
      <c r="D481" s="178"/>
      <c r="E481" s="178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178"/>
      <c r="B482" s="178"/>
      <c r="C482" s="178"/>
      <c r="D482" s="178"/>
      <c r="E482" s="178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178"/>
      <c r="B483" s="178"/>
      <c r="C483" s="178"/>
      <c r="D483" s="178"/>
      <c r="E483" s="178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178"/>
      <c r="B484" s="178"/>
      <c r="C484" s="178"/>
      <c r="D484" s="178"/>
      <c r="E484" s="178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178"/>
      <c r="B485" s="178"/>
      <c r="C485" s="178"/>
      <c r="D485" s="178"/>
      <c r="E485" s="178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178"/>
      <c r="B486" s="178"/>
      <c r="C486" s="178"/>
      <c r="D486" s="178"/>
      <c r="E486" s="178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178"/>
      <c r="B487" s="178"/>
      <c r="C487" s="178"/>
      <c r="D487" s="178"/>
      <c r="E487" s="178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178"/>
      <c r="B488" s="178"/>
      <c r="C488" s="178"/>
      <c r="D488" s="178"/>
      <c r="E488" s="178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178"/>
      <c r="B489" s="178"/>
      <c r="C489" s="178"/>
      <c r="D489" s="178"/>
      <c r="E489" s="178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178"/>
      <c r="B490" s="178"/>
      <c r="C490" s="178"/>
      <c r="D490" s="178"/>
      <c r="E490" s="178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178"/>
      <c r="B491" s="178"/>
      <c r="C491" s="178"/>
      <c r="D491" s="178"/>
      <c r="E491" s="178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178"/>
      <c r="B492" s="178"/>
      <c r="C492" s="178"/>
      <c r="D492" s="178"/>
      <c r="E492" s="178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178"/>
      <c r="B493" s="178"/>
      <c r="C493" s="178"/>
      <c r="D493" s="178"/>
      <c r="E493" s="178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178"/>
      <c r="B494" s="178"/>
      <c r="C494" s="178"/>
      <c r="D494" s="178"/>
      <c r="E494" s="178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178"/>
      <c r="B495" s="178"/>
      <c r="C495" s="178"/>
      <c r="D495" s="178"/>
      <c r="E495" s="178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178"/>
      <c r="B496" s="178"/>
      <c r="C496" s="178"/>
      <c r="D496" s="178"/>
      <c r="E496" s="178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178"/>
      <c r="B497" s="178"/>
      <c r="C497" s="178"/>
      <c r="D497" s="178"/>
      <c r="E497" s="178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178"/>
      <c r="B498" s="178"/>
      <c r="C498" s="178"/>
      <c r="D498" s="178"/>
      <c r="E498" s="178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178"/>
      <c r="B499" s="178"/>
      <c r="C499" s="178"/>
      <c r="D499" s="178"/>
      <c r="E499" s="178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178"/>
      <c r="B500" s="178"/>
      <c r="C500" s="178"/>
      <c r="D500" s="178"/>
      <c r="E500" s="178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178"/>
      <c r="B501" s="178"/>
      <c r="C501" s="178"/>
      <c r="D501" s="178"/>
      <c r="E501" s="178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178"/>
      <c r="B502" s="178"/>
      <c r="C502" s="178"/>
      <c r="D502" s="178"/>
      <c r="E502" s="178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178"/>
      <c r="B503" s="178"/>
      <c r="C503" s="178"/>
      <c r="D503" s="178"/>
      <c r="E503" s="178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178"/>
      <c r="B504" s="178"/>
      <c r="C504" s="178"/>
      <c r="D504" s="178"/>
      <c r="E504" s="178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178"/>
      <c r="B505" s="178"/>
      <c r="C505" s="178"/>
      <c r="D505" s="178"/>
      <c r="E505" s="178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178"/>
      <c r="B506" s="178"/>
      <c r="C506" s="178"/>
      <c r="D506" s="178"/>
      <c r="E506" s="178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178"/>
      <c r="B507" s="178"/>
      <c r="C507" s="178"/>
      <c r="D507" s="178"/>
      <c r="E507" s="178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178"/>
      <c r="B508" s="178"/>
      <c r="C508" s="178"/>
      <c r="D508" s="178"/>
      <c r="E508" s="178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178"/>
      <c r="B509" s="178"/>
      <c r="C509" s="178"/>
      <c r="D509" s="178"/>
      <c r="E509" s="178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178"/>
      <c r="B510" s="178"/>
      <c r="C510" s="178"/>
      <c r="D510" s="178"/>
      <c r="E510" s="178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178"/>
      <c r="B511" s="178"/>
      <c r="C511" s="178"/>
      <c r="D511" s="178"/>
      <c r="E511" s="178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178"/>
      <c r="B512" s="178"/>
      <c r="C512" s="178"/>
      <c r="D512" s="178"/>
      <c r="E512" s="178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178"/>
      <c r="B513" s="178"/>
      <c r="C513" s="178"/>
      <c r="D513" s="178"/>
      <c r="E513" s="178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178"/>
      <c r="B514" s="178"/>
      <c r="C514" s="178"/>
      <c r="D514" s="178"/>
      <c r="E514" s="178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178"/>
      <c r="B515" s="178"/>
      <c r="C515" s="178"/>
      <c r="D515" s="178"/>
      <c r="E515" s="178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178"/>
      <c r="B516" s="178"/>
      <c r="C516" s="178"/>
      <c r="D516" s="178"/>
      <c r="E516" s="178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178"/>
      <c r="B517" s="178"/>
      <c r="C517" s="178"/>
      <c r="D517" s="178"/>
      <c r="E517" s="178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178"/>
      <c r="B518" s="178"/>
      <c r="C518" s="178"/>
      <c r="D518" s="178"/>
      <c r="E518" s="178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178"/>
      <c r="B519" s="178"/>
      <c r="C519" s="178"/>
      <c r="D519" s="178"/>
      <c r="E519" s="178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178"/>
      <c r="B520" s="178"/>
      <c r="C520" s="178"/>
      <c r="D520" s="178"/>
      <c r="E520" s="178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178"/>
      <c r="B521" s="178"/>
      <c r="C521" s="178"/>
      <c r="D521" s="178"/>
      <c r="E521" s="178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178"/>
      <c r="B522" s="178"/>
      <c r="C522" s="178"/>
      <c r="D522" s="178"/>
      <c r="E522" s="178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178"/>
      <c r="B523" s="178"/>
      <c r="C523" s="178"/>
      <c r="D523" s="178"/>
      <c r="E523" s="178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178"/>
      <c r="B524" s="178"/>
      <c r="C524" s="178"/>
      <c r="D524" s="178"/>
      <c r="E524" s="178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178"/>
      <c r="B525" s="178"/>
      <c r="C525" s="178"/>
      <c r="D525" s="178"/>
      <c r="E525" s="178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178"/>
      <c r="B526" s="178"/>
      <c r="C526" s="178"/>
      <c r="D526" s="178"/>
      <c r="E526" s="178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178"/>
      <c r="B527" s="178"/>
      <c r="C527" s="178"/>
      <c r="D527" s="178"/>
      <c r="E527" s="178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178"/>
      <c r="B528" s="178"/>
      <c r="C528" s="178"/>
      <c r="D528" s="178"/>
      <c r="E528" s="178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178"/>
      <c r="B529" s="178"/>
      <c r="C529" s="178"/>
      <c r="D529" s="178"/>
      <c r="E529" s="178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178"/>
      <c r="B530" s="178"/>
      <c r="C530" s="178"/>
      <c r="D530" s="178"/>
      <c r="E530" s="178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178"/>
      <c r="B531" s="178"/>
      <c r="C531" s="178"/>
      <c r="D531" s="178"/>
      <c r="E531" s="178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178"/>
      <c r="B532" s="178"/>
      <c r="C532" s="178"/>
      <c r="D532" s="178"/>
      <c r="E532" s="178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178"/>
      <c r="B533" s="178"/>
      <c r="C533" s="178"/>
      <c r="D533" s="178"/>
      <c r="E533" s="178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178"/>
      <c r="B534" s="178"/>
      <c r="C534" s="178"/>
      <c r="D534" s="178"/>
      <c r="E534" s="178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178"/>
      <c r="B535" s="178"/>
      <c r="C535" s="178"/>
      <c r="D535" s="178"/>
      <c r="E535" s="178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178"/>
      <c r="B536" s="178"/>
      <c r="C536" s="178"/>
      <c r="D536" s="178"/>
      <c r="E536" s="178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178"/>
      <c r="B537" s="178"/>
      <c r="C537" s="178"/>
      <c r="D537" s="178"/>
      <c r="E537" s="178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178"/>
      <c r="B538" s="178"/>
      <c r="C538" s="178"/>
      <c r="D538" s="178"/>
      <c r="E538" s="178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178"/>
      <c r="B539" s="178"/>
      <c r="C539" s="178"/>
      <c r="D539" s="178"/>
      <c r="E539" s="178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178"/>
      <c r="B540" s="178"/>
      <c r="C540" s="178"/>
      <c r="D540" s="178"/>
      <c r="E540" s="178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178"/>
      <c r="B541" s="178"/>
      <c r="C541" s="178"/>
      <c r="D541" s="178"/>
      <c r="E541" s="178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178"/>
      <c r="B542" s="178"/>
      <c r="C542" s="178"/>
      <c r="D542" s="178"/>
      <c r="E542" s="178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178"/>
      <c r="B543" s="178"/>
      <c r="C543" s="178"/>
      <c r="D543" s="178"/>
      <c r="E543" s="178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178"/>
      <c r="B544" s="178"/>
      <c r="C544" s="178"/>
      <c r="D544" s="178"/>
      <c r="E544" s="178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178"/>
      <c r="B545" s="178"/>
      <c r="C545" s="178"/>
      <c r="D545" s="178"/>
      <c r="E545" s="178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178"/>
      <c r="B546" s="178"/>
      <c r="C546" s="178"/>
      <c r="D546" s="178"/>
      <c r="E546" s="178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178"/>
      <c r="B547" s="178"/>
      <c r="C547" s="178"/>
      <c r="D547" s="178"/>
      <c r="E547" s="178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178"/>
      <c r="B548" s="178"/>
      <c r="C548" s="178"/>
      <c r="D548" s="178"/>
      <c r="E548" s="178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178"/>
      <c r="B549" s="178"/>
      <c r="C549" s="178"/>
      <c r="D549" s="178"/>
      <c r="E549" s="178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178"/>
      <c r="B550" s="178"/>
      <c r="C550" s="178"/>
      <c r="D550" s="178"/>
      <c r="E550" s="178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178"/>
      <c r="B551" s="178"/>
      <c r="C551" s="178"/>
      <c r="D551" s="178"/>
      <c r="E551" s="178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178"/>
      <c r="B552" s="178"/>
      <c r="C552" s="178"/>
      <c r="D552" s="178"/>
      <c r="E552" s="178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178"/>
      <c r="B553" s="178"/>
      <c r="C553" s="178"/>
      <c r="D553" s="178"/>
      <c r="E553" s="178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178"/>
      <c r="B554" s="178"/>
      <c r="C554" s="178"/>
      <c r="D554" s="178"/>
      <c r="E554" s="178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178"/>
      <c r="B555" s="178"/>
      <c r="C555" s="178"/>
      <c r="D555" s="178"/>
      <c r="E555" s="178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178"/>
      <c r="B556" s="178"/>
      <c r="C556" s="178"/>
      <c r="D556" s="178"/>
      <c r="E556" s="178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178"/>
      <c r="B557" s="178"/>
      <c r="C557" s="178"/>
      <c r="D557" s="178"/>
      <c r="E557" s="178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178"/>
      <c r="B558" s="178"/>
      <c r="C558" s="178"/>
      <c r="D558" s="178"/>
      <c r="E558" s="178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178"/>
      <c r="B559" s="178"/>
      <c r="C559" s="178"/>
      <c r="D559" s="178"/>
      <c r="E559" s="178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178"/>
      <c r="B560" s="178"/>
      <c r="C560" s="178"/>
      <c r="D560" s="178"/>
      <c r="E560" s="178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178"/>
      <c r="B561" s="178"/>
      <c r="C561" s="178"/>
      <c r="D561" s="178"/>
      <c r="E561" s="178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178"/>
      <c r="B562" s="178"/>
      <c r="C562" s="178"/>
      <c r="D562" s="178"/>
      <c r="E562" s="178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178"/>
      <c r="B563" s="178"/>
      <c r="C563" s="178"/>
      <c r="D563" s="178"/>
      <c r="E563" s="178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178"/>
      <c r="B564" s="178"/>
      <c r="C564" s="178"/>
      <c r="D564" s="178"/>
      <c r="E564" s="178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178"/>
      <c r="B565" s="178"/>
      <c r="C565" s="178"/>
      <c r="D565" s="178"/>
      <c r="E565" s="178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178"/>
      <c r="B566" s="178"/>
      <c r="C566" s="178"/>
      <c r="D566" s="178"/>
      <c r="E566" s="178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178"/>
      <c r="B567" s="178"/>
      <c r="C567" s="178"/>
      <c r="D567" s="178"/>
      <c r="E567" s="178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178"/>
      <c r="B568" s="178"/>
      <c r="C568" s="178"/>
      <c r="D568" s="178"/>
      <c r="E568" s="178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178"/>
      <c r="B569" s="178"/>
      <c r="C569" s="178"/>
      <c r="D569" s="178"/>
      <c r="E569" s="178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178"/>
      <c r="B570" s="178"/>
      <c r="C570" s="178"/>
      <c r="D570" s="178"/>
      <c r="E570" s="178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178"/>
      <c r="B571" s="178"/>
      <c r="C571" s="178"/>
      <c r="D571" s="178"/>
      <c r="E571" s="178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178"/>
      <c r="B572" s="178"/>
      <c r="C572" s="178"/>
      <c r="D572" s="178"/>
      <c r="E572" s="178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178"/>
      <c r="B573" s="178"/>
      <c r="C573" s="178"/>
      <c r="D573" s="178"/>
      <c r="E573" s="178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178"/>
      <c r="B574" s="178"/>
      <c r="C574" s="178"/>
      <c r="D574" s="178"/>
      <c r="E574" s="178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178"/>
      <c r="B575" s="178"/>
      <c r="C575" s="178"/>
      <c r="D575" s="178"/>
      <c r="E575" s="178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178"/>
      <c r="B576" s="178"/>
      <c r="C576" s="178"/>
      <c r="D576" s="178"/>
      <c r="E576" s="178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178"/>
      <c r="B577" s="178"/>
      <c r="C577" s="178"/>
      <c r="D577" s="178"/>
      <c r="E577" s="178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178"/>
      <c r="B578" s="178"/>
      <c r="C578" s="178"/>
      <c r="D578" s="178"/>
      <c r="E578" s="178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178"/>
      <c r="B579" s="178"/>
      <c r="C579" s="178"/>
      <c r="D579" s="178"/>
      <c r="E579" s="178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178"/>
      <c r="B580" s="178"/>
      <c r="C580" s="178"/>
      <c r="D580" s="178"/>
      <c r="E580" s="178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178"/>
      <c r="B581" s="178"/>
      <c r="C581" s="178"/>
      <c r="D581" s="178"/>
      <c r="E581" s="178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178"/>
      <c r="B582" s="178"/>
      <c r="C582" s="178"/>
      <c r="D582" s="178"/>
      <c r="E582" s="178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178"/>
      <c r="B583" s="178"/>
      <c r="C583" s="178"/>
      <c r="D583" s="178"/>
      <c r="E583" s="178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178"/>
      <c r="B584" s="178"/>
      <c r="C584" s="178"/>
      <c r="D584" s="178"/>
      <c r="E584" s="178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178"/>
      <c r="B585" s="178"/>
      <c r="C585" s="178"/>
      <c r="D585" s="178"/>
      <c r="E585" s="178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178"/>
      <c r="B586" s="178"/>
      <c r="C586" s="178"/>
      <c r="D586" s="178"/>
      <c r="E586" s="178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178"/>
      <c r="B587" s="178"/>
      <c r="C587" s="178"/>
      <c r="D587" s="178"/>
      <c r="E587" s="178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178"/>
      <c r="B588" s="178"/>
      <c r="C588" s="178"/>
      <c r="D588" s="178"/>
      <c r="E588" s="178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178"/>
      <c r="B589" s="178"/>
      <c r="C589" s="178"/>
      <c r="D589" s="178"/>
      <c r="E589" s="178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178"/>
      <c r="B590" s="178"/>
      <c r="C590" s="178"/>
      <c r="D590" s="178"/>
      <c r="E590" s="178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178"/>
      <c r="B591" s="178"/>
      <c r="C591" s="178"/>
      <c r="D591" s="178"/>
      <c r="E591" s="178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178"/>
      <c r="B592" s="178"/>
      <c r="C592" s="178"/>
      <c r="D592" s="178"/>
      <c r="E592" s="178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178"/>
      <c r="B593" s="178"/>
      <c r="C593" s="178"/>
      <c r="D593" s="178"/>
      <c r="E593" s="178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178"/>
      <c r="B594" s="178"/>
      <c r="C594" s="178"/>
      <c r="D594" s="178"/>
      <c r="E594" s="178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178"/>
      <c r="B595" s="178"/>
      <c r="C595" s="178"/>
      <c r="D595" s="178"/>
      <c r="E595" s="178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178"/>
      <c r="B596" s="178"/>
      <c r="C596" s="178"/>
      <c r="D596" s="178"/>
      <c r="E596" s="178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178"/>
      <c r="B597" s="178"/>
      <c r="C597" s="178"/>
      <c r="D597" s="178"/>
      <c r="E597" s="178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178"/>
      <c r="B598" s="178"/>
      <c r="C598" s="178"/>
      <c r="D598" s="178"/>
      <c r="E598" s="178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178"/>
      <c r="B599" s="178"/>
      <c r="C599" s="178"/>
      <c r="D599" s="178"/>
      <c r="E599" s="178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178"/>
      <c r="B600" s="178"/>
      <c r="C600" s="178"/>
      <c r="D600" s="178"/>
      <c r="E600" s="178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178"/>
      <c r="B601" s="178"/>
      <c r="C601" s="178"/>
      <c r="D601" s="178"/>
      <c r="E601" s="178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178"/>
      <c r="B602" s="178"/>
      <c r="C602" s="178"/>
      <c r="D602" s="178"/>
      <c r="E602" s="178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178"/>
      <c r="B603" s="178"/>
      <c r="C603" s="178"/>
      <c r="D603" s="178"/>
      <c r="E603" s="178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178"/>
      <c r="B604" s="178"/>
      <c r="C604" s="178"/>
      <c r="D604" s="178"/>
      <c r="E604" s="178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178"/>
      <c r="B605" s="178"/>
      <c r="C605" s="178"/>
      <c r="D605" s="178"/>
      <c r="E605" s="178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178"/>
      <c r="B606" s="178"/>
      <c r="C606" s="178"/>
      <c r="D606" s="178"/>
      <c r="E606" s="178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178"/>
      <c r="B607" s="178"/>
      <c r="C607" s="178"/>
      <c r="D607" s="178"/>
      <c r="E607" s="178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178"/>
      <c r="B608" s="178"/>
      <c r="C608" s="178"/>
      <c r="D608" s="178"/>
      <c r="E608" s="178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178"/>
      <c r="B609" s="178"/>
      <c r="C609" s="178"/>
      <c r="D609" s="178"/>
      <c r="E609" s="178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178"/>
      <c r="B610" s="178"/>
      <c r="C610" s="178"/>
      <c r="D610" s="178"/>
      <c r="E610" s="178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178"/>
      <c r="B611" s="178"/>
      <c r="C611" s="178"/>
      <c r="D611" s="178"/>
      <c r="E611" s="178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178"/>
      <c r="B612" s="178"/>
      <c r="C612" s="178"/>
      <c r="D612" s="178"/>
      <c r="E612" s="178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178"/>
      <c r="B613" s="178"/>
      <c r="C613" s="178"/>
      <c r="D613" s="178"/>
      <c r="E613" s="178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178"/>
      <c r="B614" s="178"/>
      <c r="C614" s="178"/>
      <c r="D614" s="178"/>
      <c r="E614" s="178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178"/>
      <c r="B615" s="178"/>
      <c r="C615" s="178"/>
      <c r="D615" s="178"/>
      <c r="E615" s="178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178"/>
      <c r="B616" s="178"/>
      <c r="C616" s="178"/>
      <c r="D616" s="178"/>
      <c r="E616" s="178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178"/>
      <c r="B617" s="178"/>
      <c r="C617" s="178"/>
      <c r="D617" s="178"/>
      <c r="E617" s="178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178"/>
      <c r="B618" s="178"/>
      <c r="C618" s="178"/>
      <c r="D618" s="178"/>
      <c r="E618" s="178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178"/>
      <c r="B619" s="178"/>
      <c r="C619" s="178"/>
      <c r="D619" s="178"/>
      <c r="E619" s="178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178"/>
      <c r="B620" s="178"/>
      <c r="C620" s="178"/>
      <c r="D620" s="178"/>
      <c r="E620" s="178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178"/>
      <c r="B621" s="178"/>
      <c r="C621" s="178"/>
      <c r="D621" s="178"/>
      <c r="E621" s="178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178"/>
      <c r="B622" s="178"/>
      <c r="C622" s="178"/>
      <c r="D622" s="178"/>
      <c r="E622" s="178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178"/>
      <c r="B623" s="178"/>
      <c r="C623" s="178"/>
      <c r="D623" s="178"/>
      <c r="E623" s="178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178"/>
      <c r="B624" s="178"/>
      <c r="C624" s="178"/>
      <c r="D624" s="178"/>
      <c r="E624" s="178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178"/>
      <c r="B625" s="178"/>
      <c r="C625" s="178"/>
      <c r="D625" s="178"/>
      <c r="E625" s="178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178"/>
      <c r="B626" s="178"/>
      <c r="C626" s="178"/>
      <c r="D626" s="178"/>
      <c r="E626" s="178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178"/>
      <c r="B627" s="178"/>
      <c r="C627" s="178"/>
      <c r="D627" s="178"/>
      <c r="E627" s="178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178"/>
      <c r="B628" s="178"/>
      <c r="C628" s="178"/>
      <c r="D628" s="178"/>
      <c r="E628" s="178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178"/>
      <c r="B629" s="178"/>
      <c r="C629" s="178"/>
      <c r="D629" s="178"/>
      <c r="E629" s="178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178"/>
      <c r="B630" s="178"/>
      <c r="C630" s="178"/>
      <c r="D630" s="178"/>
      <c r="E630" s="178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178"/>
      <c r="B631" s="178"/>
      <c r="C631" s="178"/>
      <c r="D631" s="178"/>
      <c r="E631" s="178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178"/>
      <c r="B632" s="178"/>
      <c r="C632" s="178"/>
      <c r="D632" s="178"/>
      <c r="E632" s="178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178"/>
      <c r="B633" s="178"/>
      <c r="C633" s="178"/>
      <c r="D633" s="178"/>
      <c r="E633" s="178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178"/>
      <c r="B634" s="178"/>
      <c r="C634" s="178"/>
      <c r="D634" s="178"/>
      <c r="E634" s="178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178"/>
      <c r="B635" s="178"/>
      <c r="C635" s="178"/>
      <c r="D635" s="178"/>
      <c r="E635" s="178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178"/>
      <c r="B636" s="178"/>
      <c r="C636" s="178"/>
      <c r="D636" s="178"/>
      <c r="E636" s="178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178"/>
      <c r="B637" s="178"/>
      <c r="C637" s="178"/>
      <c r="D637" s="178"/>
      <c r="E637" s="178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178"/>
      <c r="B638" s="178"/>
      <c r="C638" s="178"/>
      <c r="D638" s="178"/>
      <c r="E638" s="178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178"/>
      <c r="B639" s="178"/>
      <c r="C639" s="178"/>
      <c r="D639" s="178"/>
      <c r="E639" s="178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178"/>
      <c r="B640" s="178"/>
      <c r="C640" s="178"/>
      <c r="D640" s="178"/>
      <c r="E640" s="178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178"/>
      <c r="B641" s="178"/>
      <c r="C641" s="178"/>
      <c r="D641" s="178"/>
      <c r="E641" s="178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178"/>
      <c r="B642" s="178"/>
      <c r="C642" s="178"/>
      <c r="D642" s="178"/>
      <c r="E642" s="178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178"/>
      <c r="B643" s="178"/>
      <c r="C643" s="178"/>
      <c r="D643" s="178"/>
      <c r="E643" s="178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178"/>
      <c r="B644" s="178"/>
      <c r="C644" s="178"/>
      <c r="D644" s="178"/>
      <c r="E644" s="178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178"/>
      <c r="B645" s="178"/>
      <c r="C645" s="178"/>
      <c r="D645" s="178"/>
      <c r="E645" s="178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178"/>
      <c r="B646" s="178"/>
      <c r="C646" s="178"/>
      <c r="D646" s="178"/>
      <c r="E646" s="178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178"/>
      <c r="B647" s="178"/>
      <c r="C647" s="178"/>
      <c r="D647" s="178"/>
      <c r="E647" s="178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178"/>
      <c r="B648" s="178"/>
      <c r="C648" s="178"/>
      <c r="D648" s="178"/>
      <c r="E648" s="178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178"/>
      <c r="B649" s="178"/>
      <c r="C649" s="178"/>
      <c r="D649" s="178"/>
      <c r="E649" s="178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178"/>
      <c r="B650" s="178"/>
      <c r="C650" s="178"/>
      <c r="D650" s="178"/>
      <c r="E650" s="178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178"/>
      <c r="B651" s="178"/>
      <c r="C651" s="178"/>
      <c r="D651" s="178"/>
      <c r="E651" s="178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178"/>
      <c r="B652" s="178"/>
      <c r="C652" s="178"/>
      <c r="D652" s="178"/>
      <c r="E652" s="178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178"/>
      <c r="B653" s="178"/>
      <c r="C653" s="178"/>
      <c r="D653" s="178"/>
      <c r="E653" s="178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178"/>
      <c r="B654" s="178"/>
      <c r="C654" s="178"/>
      <c r="D654" s="178"/>
      <c r="E654" s="178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178"/>
      <c r="B655" s="178"/>
      <c r="C655" s="178"/>
      <c r="D655" s="178"/>
      <c r="E655" s="178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178"/>
      <c r="B656" s="178"/>
      <c r="C656" s="178"/>
      <c r="D656" s="178"/>
      <c r="E656" s="178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178"/>
      <c r="B657" s="178"/>
      <c r="C657" s="178"/>
      <c r="D657" s="178"/>
      <c r="E657" s="178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178"/>
      <c r="B658" s="178"/>
      <c r="C658" s="178"/>
      <c r="D658" s="178"/>
      <c r="E658" s="178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178"/>
      <c r="B659" s="178"/>
      <c r="C659" s="178"/>
      <c r="D659" s="178"/>
      <c r="E659" s="178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178"/>
      <c r="B660" s="178"/>
      <c r="C660" s="178"/>
      <c r="D660" s="178"/>
      <c r="E660" s="178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178"/>
      <c r="B661" s="178"/>
      <c r="C661" s="178"/>
      <c r="D661" s="178"/>
      <c r="E661" s="178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178"/>
      <c r="B662" s="178"/>
      <c r="C662" s="178"/>
      <c r="D662" s="178"/>
      <c r="E662" s="178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178"/>
      <c r="B663" s="178"/>
      <c r="C663" s="178"/>
      <c r="D663" s="178"/>
      <c r="E663" s="178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178"/>
      <c r="B664" s="178"/>
      <c r="C664" s="178"/>
      <c r="D664" s="178"/>
      <c r="E664" s="178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178"/>
      <c r="B665" s="178"/>
      <c r="C665" s="178"/>
      <c r="D665" s="178"/>
      <c r="E665" s="178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178"/>
      <c r="B666" s="178"/>
      <c r="C666" s="178"/>
      <c r="D666" s="178"/>
      <c r="E666" s="178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178"/>
      <c r="B667" s="178"/>
      <c r="C667" s="178"/>
      <c r="D667" s="178"/>
      <c r="E667" s="178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178"/>
      <c r="B668" s="178"/>
      <c r="C668" s="178"/>
      <c r="D668" s="178"/>
      <c r="E668" s="178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178"/>
      <c r="B669" s="178"/>
      <c r="C669" s="178"/>
      <c r="D669" s="178"/>
      <c r="E669" s="178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178"/>
      <c r="B670" s="178"/>
      <c r="C670" s="178"/>
      <c r="D670" s="178"/>
      <c r="E670" s="178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178"/>
      <c r="B671" s="178"/>
      <c r="C671" s="178"/>
      <c r="D671" s="178"/>
      <c r="E671" s="178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178"/>
      <c r="B672" s="178"/>
      <c r="C672" s="178"/>
      <c r="D672" s="178"/>
      <c r="E672" s="178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178"/>
      <c r="B673" s="178"/>
      <c r="C673" s="178"/>
      <c r="D673" s="178"/>
      <c r="E673" s="178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178"/>
      <c r="B674" s="178"/>
      <c r="C674" s="178"/>
      <c r="D674" s="178"/>
      <c r="E674" s="178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178"/>
      <c r="B675" s="178"/>
      <c r="C675" s="178"/>
      <c r="D675" s="178"/>
      <c r="E675" s="178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178"/>
      <c r="B676" s="178"/>
      <c r="C676" s="178"/>
      <c r="D676" s="178"/>
      <c r="E676" s="178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178"/>
      <c r="B677" s="178"/>
      <c r="C677" s="178"/>
      <c r="D677" s="178"/>
      <c r="E677" s="178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178"/>
      <c r="B678" s="178"/>
      <c r="C678" s="178"/>
      <c r="D678" s="178"/>
      <c r="E678" s="178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178"/>
      <c r="B679" s="178"/>
      <c r="C679" s="178"/>
      <c r="D679" s="178"/>
      <c r="E679" s="178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178"/>
      <c r="B680" s="178"/>
      <c r="C680" s="178"/>
      <c r="D680" s="178"/>
      <c r="E680" s="178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178"/>
      <c r="B681" s="178"/>
      <c r="C681" s="178"/>
      <c r="D681" s="178"/>
      <c r="E681" s="178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178"/>
      <c r="B682" s="178"/>
      <c r="C682" s="178"/>
      <c r="D682" s="178"/>
      <c r="E682" s="178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178"/>
      <c r="B683" s="178"/>
      <c r="C683" s="178"/>
      <c r="D683" s="178"/>
      <c r="E683" s="178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178"/>
      <c r="B684" s="178"/>
      <c r="C684" s="178"/>
      <c r="D684" s="178"/>
      <c r="E684" s="178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178"/>
      <c r="B685" s="178"/>
      <c r="C685" s="178"/>
      <c r="D685" s="178"/>
      <c r="E685" s="178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178"/>
      <c r="B686" s="178"/>
      <c r="C686" s="178"/>
      <c r="D686" s="178"/>
      <c r="E686" s="178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178"/>
      <c r="B687" s="178"/>
      <c r="C687" s="178"/>
      <c r="D687" s="178"/>
      <c r="E687" s="178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178"/>
      <c r="B688" s="178"/>
      <c r="C688" s="178"/>
      <c r="D688" s="178"/>
      <c r="E688" s="178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178"/>
      <c r="B689" s="178"/>
      <c r="C689" s="178"/>
      <c r="D689" s="178"/>
      <c r="E689" s="178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178"/>
      <c r="B690" s="178"/>
      <c r="C690" s="178"/>
      <c r="D690" s="178"/>
      <c r="E690" s="178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178"/>
      <c r="B691" s="178"/>
      <c r="C691" s="178"/>
      <c r="D691" s="178"/>
      <c r="E691" s="178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178"/>
      <c r="B692" s="178"/>
      <c r="C692" s="178"/>
      <c r="D692" s="178"/>
      <c r="E692" s="178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178"/>
      <c r="B693" s="178"/>
      <c r="C693" s="178"/>
      <c r="D693" s="178"/>
      <c r="E693" s="178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178"/>
      <c r="B694" s="178"/>
      <c r="C694" s="178"/>
      <c r="D694" s="178"/>
      <c r="E694" s="178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178"/>
      <c r="B695" s="178"/>
      <c r="C695" s="178"/>
      <c r="D695" s="178"/>
      <c r="E695" s="178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178"/>
      <c r="B696" s="178"/>
      <c r="C696" s="178"/>
      <c r="D696" s="178"/>
      <c r="E696" s="178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178"/>
      <c r="B697" s="178"/>
      <c r="C697" s="178"/>
      <c r="D697" s="178"/>
      <c r="E697" s="178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178"/>
      <c r="B698" s="178"/>
      <c r="C698" s="178"/>
      <c r="D698" s="178"/>
      <c r="E698" s="178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178"/>
      <c r="B699" s="178"/>
      <c r="C699" s="178"/>
      <c r="D699" s="178"/>
      <c r="E699" s="178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178"/>
      <c r="B700" s="178"/>
      <c r="C700" s="178"/>
      <c r="D700" s="178"/>
      <c r="E700" s="178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178"/>
      <c r="B701" s="178"/>
      <c r="C701" s="178"/>
      <c r="D701" s="178"/>
      <c r="E701" s="178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178"/>
      <c r="B702" s="178"/>
      <c r="C702" s="178"/>
      <c r="D702" s="178"/>
      <c r="E702" s="178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178"/>
      <c r="B703" s="178"/>
      <c r="C703" s="178"/>
      <c r="D703" s="178"/>
      <c r="E703" s="178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178"/>
      <c r="B704" s="178"/>
      <c r="C704" s="178"/>
      <c r="D704" s="178"/>
      <c r="E704" s="178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178"/>
      <c r="B705" s="178"/>
      <c r="C705" s="178"/>
      <c r="D705" s="178"/>
      <c r="E705" s="178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178"/>
      <c r="B706" s="178"/>
      <c r="C706" s="178"/>
      <c r="D706" s="178"/>
      <c r="E706" s="178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178"/>
      <c r="B707" s="178"/>
      <c r="C707" s="178"/>
      <c r="D707" s="178"/>
      <c r="E707" s="178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178"/>
      <c r="B708" s="178"/>
      <c r="C708" s="178"/>
      <c r="D708" s="178"/>
      <c r="E708" s="178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178"/>
      <c r="B709" s="178"/>
      <c r="C709" s="178"/>
      <c r="D709" s="178"/>
      <c r="E709" s="178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178"/>
      <c r="B710" s="178"/>
      <c r="C710" s="178"/>
      <c r="D710" s="178"/>
      <c r="E710" s="178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178"/>
      <c r="B711" s="178"/>
      <c r="C711" s="178"/>
      <c r="D711" s="178"/>
      <c r="E711" s="178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178"/>
      <c r="B712" s="178"/>
      <c r="C712" s="178"/>
      <c r="D712" s="178"/>
      <c r="E712" s="178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178"/>
      <c r="B713" s="178"/>
      <c r="C713" s="178"/>
      <c r="D713" s="178"/>
      <c r="E713" s="178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178"/>
      <c r="B714" s="178"/>
      <c r="C714" s="178"/>
      <c r="D714" s="178"/>
      <c r="E714" s="178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178"/>
      <c r="B715" s="178"/>
      <c r="C715" s="178"/>
      <c r="D715" s="178"/>
      <c r="E715" s="178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178"/>
      <c r="B716" s="178"/>
      <c r="C716" s="178"/>
      <c r="D716" s="178"/>
      <c r="E716" s="178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178"/>
      <c r="B717" s="178"/>
      <c r="C717" s="178"/>
      <c r="D717" s="178"/>
      <c r="E717" s="178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178"/>
      <c r="B718" s="178"/>
      <c r="C718" s="178"/>
      <c r="D718" s="178"/>
      <c r="E718" s="178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178"/>
      <c r="B719" s="178"/>
      <c r="C719" s="178"/>
      <c r="D719" s="178"/>
      <c r="E719" s="178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178"/>
      <c r="B720" s="178"/>
      <c r="C720" s="178"/>
      <c r="D720" s="178"/>
      <c r="E720" s="178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178"/>
      <c r="B721" s="178"/>
      <c r="C721" s="178"/>
      <c r="D721" s="178"/>
      <c r="E721" s="178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178"/>
      <c r="B722" s="178"/>
      <c r="C722" s="178"/>
      <c r="D722" s="178"/>
      <c r="E722" s="178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178"/>
      <c r="B723" s="178"/>
      <c r="C723" s="178"/>
      <c r="D723" s="178"/>
      <c r="E723" s="178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178"/>
      <c r="B724" s="178"/>
      <c r="C724" s="178"/>
      <c r="D724" s="178"/>
      <c r="E724" s="178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178"/>
      <c r="B725" s="178"/>
      <c r="C725" s="178"/>
      <c r="D725" s="178"/>
      <c r="E725" s="178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178"/>
      <c r="B726" s="178"/>
      <c r="C726" s="178"/>
      <c r="D726" s="178"/>
      <c r="E726" s="178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178"/>
      <c r="B727" s="178"/>
      <c r="C727" s="178"/>
      <c r="D727" s="178"/>
      <c r="E727" s="178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178"/>
      <c r="B728" s="178"/>
      <c r="C728" s="178"/>
      <c r="D728" s="178"/>
      <c r="E728" s="178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178"/>
      <c r="B729" s="178"/>
      <c r="C729" s="178"/>
      <c r="D729" s="178"/>
      <c r="E729" s="178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178"/>
      <c r="B730" s="178"/>
      <c r="C730" s="178"/>
      <c r="D730" s="178"/>
      <c r="E730" s="178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178"/>
      <c r="B731" s="178"/>
      <c r="C731" s="178"/>
      <c r="D731" s="178"/>
      <c r="E731" s="178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178"/>
      <c r="B732" s="178"/>
      <c r="C732" s="178"/>
      <c r="D732" s="178"/>
      <c r="E732" s="178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178"/>
      <c r="B733" s="178"/>
      <c r="C733" s="178"/>
      <c r="D733" s="178"/>
      <c r="E733" s="178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178"/>
      <c r="B734" s="178"/>
      <c r="C734" s="178"/>
      <c r="D734" s="178"/>
      <c r="E734" s="178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178"/>
      <c r="B735" s="178"/>
      <c r="C735" s="178"/>
      <c r="D735" s="178"/>
      <c r="E735" s="178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178"/>
      <c r="B736" s="178"/>
      <c r="C736" s="178"/>
      <c r="D736" s="178"/>
      <c r="E736" s="178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178"/>
      <c r="B737" s="178"/>
      <c r="C737" s="178"/>
      <c r="D737" s="178"/>
      <c r="E737" s="178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178"/>
      <c r="B738" s="178"/>
      <c r="C738" s="178"/>
      <c r="D738" s="178"/>
      <c r="E738" s="178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178"/>
      <c r="B739" s="178"/>
      <c r="C739" s="178"/>
      <c r="D739" s="178"/>
      <c r="E739" s="178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178"/>
      <c r="B740" s="178"/>
      <c r="C740" s="178"/>
      <c r="D740" s="178"/>
      <c r="E740" s="178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178"/>
      <c r="B741" s="178"/>
      <c r="C741" s="178"/>
      <c r="D741" s="178"/>
      <c r="E741" s="178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178"/>
      <c r="B742" s="178"/>
      <c r="C742" s="178"/>
      <c r="D742" s="178"/>
      <c r="E742" s="178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178"/>
      <c r="B743" s="178"/>
      <c r="C743" s="178"/>
      <c r="D743" s="178"/>
      <c r="E743" s="178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178"/>
      <c r="B744" s="178"/>
      <c r="C744" s="178"/>
      <c r="D744" s="178"/>
      <c r="E744" s="178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178"/>
      <c r="B745" s="178"/>
      <c r="C745" s="178"/>
      <c r="D745" s="178"/>
      <c r="E745" s="178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178"/>
      <c r="B746" s="178"/>
      <c r="C746" s="178"/>
      <c r="D746" s="178"/>
      <c r="E746" s="178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178"/>
      <c r="B747" s="178"/>
      <c r="C747" s="178"/>
      <c r="D747" s="178"/>
      <c r="E747" s="178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178"/>
      <c r="B748" s="178"/>
      <c r="C748" s="178"/>
      <c r="D748" s="178"/>
      <c r="E748" s="178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178"/>
      <c r="B749" s="178"/>
      <c r="C749" s="178"/>
      <c r="D749" s="178"/>
      <c r="E749" s="178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178"/>
      <c r="B750" s="178"/>
      <c r="C750" s="178"/>
      <c r="D750" s="178"/>
      <c r="E750" s="178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178"/>
      <c r="B751" s="178"/>
      <c r="C751" s="178"/>
      <c r="D751" s="178"/>
      <c r="E751" s="178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178"/>
      <c r="B752" s="178"/>
      <c r="C752" s="178"/>
      <c r="D752" s="178"/>
      <c r="E752" s="178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178"/>
      <c r="B753" s="178"/>
      <c r="C753" s="178"/>
      <c r="D753" s="178"/>
      <c r="E753" s="178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178"/>
      <c r="B754" s="178"/>
      <c r="C754" s="178"/>
      <c r="D754" s="178"/>
      <c r="E754" s="178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178"/>
      <c r="B755" s="178"/>
      <c r="C755" s="178"/>
      <c r="D755" s="178"/>
      <c r="E755" s="178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178"/>
      <c r="B756" s="178"/>
      <c r="C756" s="178"/>
      <c r="D756" s="178"/>
      <c r="E756" s="178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178"/>
      <c r="B757" s="178"/>
      <c r="C757" s="178"/>
      <c r="D757" s="178"/>
      <c r="E757" s="178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178"/>
      <c r="B758" s="178"/>
      <c r="C758" s="178"/>
      <c r="D758" s="178"/>
      <c r="E758" s="178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178"/>
      <c r="B759" s="178"/>
      <c r="C759" s="178"/>
      <c r="D759" s="178"/>
      <c r="E759" s="178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178"/>
      <c r="B760" s="178"/>
      <c r="C760" s="178"/>
      <c r="D760" s="178"/>
      <c r="E760" s="178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178"/>
      <c r="B761" s="178"/>
      <c r="C761" s="178"/>
      <c r="D761" s="178"/>
      <c r="E761" s="178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178"/>
      <c r="B762" s="178"/>
      <c r="C762" s="178"/>
      <c r="D762" s="178"/>
      <c r="E762" s="178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178"/>
      <c r="B763" s="178"/>
      <c r="C763" s="178"/>
      <c r="D763" s="178"/>
      <c r="E763" s="178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178"/>
      <c r="B764" s="178"/>
      <c r="C764" s="178"/>
      <c r="D764" s="178"/>
      <c r="E764" s="178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178"/>
      <c r="B765" s="178"/>
      <c r="C765" s="178"/>
      <c r="D765" s="178"/>
      <c r="E765" s="178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178"/>
      <c r="B766" s="178"/>
      <c r="C766" s="178"/>
      <c r="D766" s="178"/>
      <c r="E766" s="178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178"/>
      <c r="B767" s="178"/>
      <c r="C767" s="178"/>
      <c r="D767" s="178"/>
      <c r="E767" s="178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178"/>
      <c r="B768" s="178"/>
      <c r="C768" s="178"/>
      <c r="D768" s="178"/>
      <c r="E768" s="178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178"/>
      <c r="B769" s="178"/>
      <c r="C769" s="178"/>
      <c r="D769" s="178"/>
      <c r="E769" s="178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178"/>
      <c r="B770" s="178"/>
      <c r="C770" s="178"/>
      <c r="D770" s="178"/>
      <c r="E770" s="178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178"/>
      <c r="B771" s="178"/>
      <c r="C771" s="178"/>
      <c r="D771" s="178"/>
      <c r="E771" s="178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178"/>
      <c r="B772" s="178"/>
      <c r="C772" s="178"/>
      <c r="D772" s="178"/>
      <c r="E772" s="178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178"/>
      <c r="B773" s="178"/>
      <c r="C773" s="178"/>
      <c r="D773" s="178"/>
      <c r="E773" s="178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178"/>
      <c r="B774" s="178"/>
      <c r="C774" s="178"/>
      <c r="D774" s="178"/>
      <c r="E774" s="178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178"/>
      <c r="B775" s="178"/>
      <c r="C775" s="178"/>
      <c r="D775" s="178"/>
      <c r="E775" s="178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178"/>
      <c r="B776" s="178"/>
      <c r="C776" s="178"/>
      <c r="D776" s="178"/>
      <c r="E776" s="178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178"/>
      <c r="B777" s="178"/>
      <c r="C777" s="178"/>
      <c r="D777" s="178"/>
      <c r="E777" s="178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178"/>
      <c r="B778" s="178"/>
      <c r="C778" s="178"/>
      <c r="D778" s="178"/>
      <c r="E778" s="178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178"/>
      <c r="B779" s="178"/>
      <c r="C779" s="178"/>
      <c r="D779" s="178"/>
      <c r="E779" s="178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178"/>
      <c r="B780" s="178"/>
      <c r="C780" s="178"/>
      <c r="D780" s="178"/>
      <c r="E780" s="178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178"/>
      <c r="B781" s="178"/>
      <c r="C781" s="178"/>
      <c r="D781" s="178"/>
      <c r="E781" s="178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178"/>
      <c r="B782" s="178"/>
      <c r="C782" s="178"/>
      <c r="D782" s="178"/>
      <c r="E782" s="178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178"/>
      <c r="B783" s="178"/>
      <c r="C783" s="178"/>
      <c r="D783" s="178"/>
      <c r="E783" s="178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178"/>
      <c r="B784" s="178"/>
      <c r="C784" s="178"/>
      <c r="D784" s="178"/>
      <c r="E784" s="178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178"/>
      <c r="B785" s="178"/>
      <c r="C785" s="178"/>
      <c r="D785" s="178"/>
      <c r="E785" s="178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178"/>
      <c r="B786" s="178"/>
      <c r="C786" s="178"/>
      <c r="D786" s="178"/>
      <c r="E786" s="178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178"/>
      <c r="B787" s="178"/>
      <c r="C787" s="178"/>
      <c r="D787" s="178"/>
      <c r="E787" s="178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178"/>
      <c r="B788" s="178"/>
      <c r="C788" s="178"/>
      <c r="D788" s="178"/>
      <c r="E788" s="178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178"/>
      <c r="B789" s="178"/>
      <c r="C789" s="178"/>
      <c r="D789" s="178"/>
      <c r="E789" s="178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178"/>
      <c r="B790" s="178"/>
      <c r="C790" s="178"/>
      <c r="D790" s="178"/>
      <c r="E790" s="178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178"/>
      <c r="B791" s="178"/>
      <c r="C791" s="178"/>
      <c r="D791" s="178"/>
      <c r="E791" s="178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178"/>
      <c r="B792" s="178"/>
      <c r="C792" s="178"/>
      <c r="D792" s="178"/>
      <c r="E792" s="178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178"/>
      <c r="B793" s="178"/>
      <c r="C793" s="178"/>
      <c r="D793" s="178"/>
      <c r="E793" s="178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178"/>
      <c r="B794" s="178"/>
      <c r="C794" s="178"/>
      <c r="D794" s="178"/>
      <c r="E794" s="178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178"/>
      <c r="B795" s="178"/>
      <c r="C795" s="178"/>
      <c r="D795" s="178"/>
      <c r="E795" s="178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178"/>
      <c r="B796" s="178"/>
      <c r="C796" s="178"/>
      <c r="D796" s="178"/>
      <c r="E796" s="178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178"/>
      <c r="B797" s="178"/>
      <c r="C797" s="178"/>
      <c r="D797" s="178"/>
      <c r="E797" s="178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178"/>
      <c r="B798" s="178"/>
      <c r="C798" s="178"/>
      <c r="D798" s="178"/>
      <c r="E798" s="178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178"/>
      <c r="B799" s="178"/>
      <c r="C799" s="178"/>
      <c r="D799" s="178"/>
      <c r="E799" s="178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178"/>
      <c r="B800" s="178"/>
      <c r="C800" s="178"/>
      <c r="D800" s="178"/>
      <c r="E800" s="178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178"/>
      <c r="B801" s="178"/>
      <c r="C801" s="178"/>
      <c r="D801" s="178"/>
      <c r="E801" s="178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178"/>
      <c r="B802" s="178"/>
      <c r="C802" s="178"/>
      <c r="D802" s="178"/>
      <c r="E802" s="178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178"/>
      <c r="B803" s="178"/>
      <c r="C803" s="178"/>
      <c r="D803" s="178"/>
      <c r="E803" s="178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178"/>
      <c r="B804" s="178"/>
      <c r="C804" s="178"/>
      <c r="D804" s="178"/>
      <c r="E804" s="178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178"/>
      <c r="B805" s="178"/>
      <c r="C805" s="178"/>
      <c r="D805" s="178"/>
      <c r="E805" s="178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178"/>
      <c r="B806" s="178"/>
      <c r="C806" s="178"/>
      <c r="D806" s="178"/>
      <c r="E806" s="178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178"/>
      <c r="B807" s="178"/>
      <c r="C807" s="178"/>
      <c r="D807" s="178"/>
      <c r="E807" s="178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178"/>
      <c r="B808" s="178"/>
      <c r="C808" s="178"/>
      <c r="D808" s="178"/>
      <c r="E808" s="178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178"/>
      <c r="B809" s="178"/>
      <c r="C809" s="178"/>
      <c r="D809" s="178"/>
      <c r="E809" s="178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178"/>
      <c r="B810" s="178"/>
      <c r="C810" s="178"/>
      <c r="D810" s="178"/>
      <c r="E810" s="178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178"/>
      <c r="B811" s="178"/>
      <c r="C811" s="178"/>
      <c r="D811" s="178"/>
      <c r="E811" s="178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178"/>
      <c r="B812" s="178"/>
      <c r="C812" s="178"/>
      <c r="D812" s="178"/>
      <c r="E812" s="178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178"/>
      <c r="B813" s="178"/>
      <c r="C813" s="178"/>
      <c r="D813" s="178"/>
      <c r="E813" s="178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178"/>
      <c r="B814" s="178"/>
      <c r="C814" s="178"/>
      <c r="D814" s="178"/>
      <c r="E814" s="178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178"/>
      <c r="B815" s="178"/>
      <c r="C815" s="178"/>
      <c r="D815" s="178"/>
      <c r="E815" s="178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178"/>
      <c r="B816" s="178"/>
      <c r="C816" s="178"/>
      <c r="D816" s="178"/>
      <c r="E816" s="178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178"/>
      <c r="B817" s="178"/>
      <c r="C817" s="178"/>
      <c r="D817" s="178"/>
      <c r="E817" s="178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178"/>
      <c r="B818" s="178"/>
      <c r="C818" s="178"/>
      <c r="D818" s="178"/>
      <c r="E818" s="178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178"/>
      <c r="B819" s="178"/>
      <c r="C819" s="178"/>
      <c r="D819" s="178"/>
      <c r="E819" s="178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178"/>
      <c r="B820" s="178"/>
      <c r="C820" s="178"/>
      <c r="D820" s="178"/>
      <c r="E820" s="178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178"/>
      <c r="B821" s="178"/>
      <c r="C821" s="178"/>
      <c r="D821" s="178"/>
      <c r="E821" s="178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178"/>
      <c r="B822" s="178"/>
      <c r="C822" s="178"/>
      <c r="D822" s="178"/>
      <c r="E822" s="178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178"/>
      <c r="B823" s="178"/>
      <c r="C823" s="178"/>
      <c r="D823" s="178"/>
      <c r="E823" s="178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178"/>
      <c r="B824" s="178"/>
      <c r="C824" s="178"/>
      <c r="D824" s="178"/>
      <c r="E824" s="178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178"/>
      <c r="B825" s="178"/>
      <c r="C825" s="178"/>
      <c r="D825" s="178"/>
      <c r="E825" s="178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178"/>
      <c r="B826" s="178"/>
      <c r="C826" s="178"/>
      <c r="D826" s="178"/>
      <c r="E826" s="178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178"/>
      <c r="B827" s="178"/>
      <c r="C827" s="178"/>
      <c r="D827" s="178"/>
      <c r="E827" s="178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178"/>
      <c r="B828" s="178"/>
      <c r="C828" s="178"/>
      <c r="D828" s="178"/>
      <c r="E828" s="178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178"/>
      <c r="B829" s="178"/>
      <c r="C829" s="178"/>
      <c r="D829" s="178"/>
      <c r="E829" s="178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178"/>
      <c r="B830" s="178"/>
      <c r="C830" s="178"/>
      <c r="D830" s="178"/>
      <c r="E830" s="178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178"/>
      <c r="B831" s="178"/>
      <c r="C831" s="178"/>
      <c r="D831" s="178"/>
      <c r="E831" s="178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178"/>
      <c r="B832" s="178"/>
      <c r="C832" s="178"/>
      <c r="D832" s="178"/>
      <c r="E832" s="178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178"/>
      <c r="B833" s="178"/>
      <c r="C833" s="178"/>
      <c r="D833" s="178"/>
      <c r="E833" s="178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178"/>
      <c r="B834" s="178"/>
      <c r="C834" s="178"/>
      <c r="D834" s="178"/>
      <c r="E834" s="178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178"/>
      <c r="B835" s="178"/>
      <c r="C835" s="178"/>
      <c r="D835" s="178"/>
      <c r="E835" s="178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178"/>
      <c r="B836" s="178"/>
      <c r="C836" s="178"/>
      <c r="D836" s="178"/>
      <c r="E836" s="178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178"/>
      <c r="B837" s="178"/>
      <c r="C837" s="178"/>
      <c r="D837" s="178"/>
      <c r="E837" s="178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178"/>
      <c r="B838" s="178"/>
      <c r="C838" s="178"/>
      <c r="D838" s="178"/>
      <c r="E838" s="178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178"/>
      <c r="B839" s="178"/>
      <c r="C839" s="178"/>
      <c r="D839" s="178"/>
      <c r="E839" s="178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178"/>
      <c r="B840" s="178"/>
      <c r="C840" s="178"/>
      <c r="D840" s="178"/>
      <c r="E840" s="178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178"/>
      <c r="B841" s="178"/>
      <c r="C841" s="178"/>
      <c r="D841" s="178"/>
      <c r="E841" s="178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178"/>
      <c r="B842" s="178"/>
      <c r="C842" s="178"/>
      <c r="D842" s="178"/>
      <c r="E842" s="178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178"/>
      <c r="B843" s="178"/>
      <c r="C843" s="178"/>
      <c r="D843" s="178"/>
      <c r="E843" s="178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178"/>
      <c r="B844" s="178"/>
      <c r="C844" s="178"/>
      <c r="D844" s="178"/>
      <c r="E844" s="178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178"/>
      <c r="B845" s="178"/>
      <c r="C845" s="178"/>
      <c r="D845" s="178"/>
      <c r="E845" s="178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178"/>
      <c r="B846" s="178"/>
      <c r="C846" s="178"/>
      <c r="D846" s="178"/>
      <c r="E846" s="178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178"/>
      <c r="B847" s="178"/>
      <c r="C847" s="178"/>
      <c r="D847" s="178"/>
      <c r="E847" s="178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178"/>
      <c r="B848" s="178"/>
      <c r="C848" s="178"/>
      <c r="D848" s="178"/>
      <c r="E848" s="178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178"/>
      <c r="B849" s="178"/>
      <c r="C849" s="178"/>
      <c r="D849" s="178"/>
      <c r="E849" s="178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178"/>
      <c r="B850" s="178"/>
      <c r="C850" s="178"/>
      <c r="D850" s="178"/>
      <c r="E850" s="178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178"/>
      <c r="B851" s="178"/>
      <c r="C851" s="178"/>
      <c r="D851" s="178"/>
      <c r="E851" s="178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178"/>
      <c r="B852" s="178"/>
      <c r="C852" s="178"/>
      <c r="D852" s="178"/>
      <c r="E852" s="178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178"/>
      <c r="B853" s="178"/>
      <c r="C853" s="178"/>
      <c r="D853" s="178"/>
      <c r="E853" s="178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178"/>
      <c r="B854" s="178"/>
      <c r="C854" s="178"/>
      <c r="D854" s="178"/>
      <c r="E854" s="178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178"/>
      <c r="B855" s="178"/>
      <c r="C855" s="178"/>
      <c r="D855" s="178"/>
      <c r="E855" s="178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178"/>
      <c r="B856" s="178"/>
      <c r="C856" s="178"/>
      <c r="D856" s="178"/>
      <c r="E856" s="178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178"/>
      <c r="B857" s="178"/>
      <c r="C857" s="178"/>
      <c r="D857" s="178"/>
      <c r="E857" s="178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178"/>
      <c r="B858" s="178"/>
      <c r="C858" s="178"/>
      <c r="D858" s="178"/>
      <c r="E858" s="178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178"/>
      <c r="B859" s="178"/>
      <c r="C859" s="178"/>
      <c r="D859" s="178"/>
      <c r="E859" s="178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178"/>
      <c r="B860" s="178"/>
      <c r="C860" s="178"/>
      <c r="D860" s="178"/>
      <c r="E860" s="178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178"/>
      <c r="B861" s="178"/>
      <c r="C861" s="178"/>
      <c r="D861" s="178"/>
      <c r="E861" s="178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178"/>
      <c r="B862" s="178"/>
      <c r="C862" s="178"/>
      <c r="D862" s="178"/>
      <c r="E862" s="178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178"/>
      <c r="B863" s="178"/>
      <c r="C863" s="178"/>
      <c r="D863" s="178"/>
      <c r="E863" s="178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178"/>
      <c r="B864" s="178"/>
      <c r="C864" s="178"/>
      <c r="D864" s="178"/>
      <c r="E864" s="178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178"/>
      <c r="B865" s="178"/>
      <c r="C865" s="178"/>
      <c r="D865" s="178"/>
      <c r="E865" s="178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178"/>
      <c r="B866" s="178"/>
      <c r="C866" s="178"/>
      <c r="D866" s="178"/>
      <c r="E866" s="178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178"/>
      <c r="B867" s="178"/>
      <c r="C867" s="178"/>
      <c r="D867" s="178"/>
      <c r="E867" s="178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178"/>
      <c r="B868" s="178"/>
      <c r="C868" s="178"/>
      <c r="D868" s="178"/>
      <c r="E868" s="178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178"/>
      <c r="B869" s="178"/>
      <c r="C869" s="178"/>
      <c r="D869" s="178"/>
      <c r="E869" s="178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178"/>
      <c r="B870" s="178"/>
      <c r="C870" s="178"/>
      <c r="D870" s="178"/>
      <c r="E870" s="178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178"/>
      <c r="B871" s="178"/>
      <c r="C871" s="178"/>
      <c r="D871" s="178"/>
      <c r="E871" s="178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178"/>
      <c r="B872" s="178"/>
      <c r="C872" s="178"/>
      <c r="D872" s="178"/>
      <c r="E872" s="178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178"/>
      <c r="B873" s="178"/>
      <c r="C873" s="178"/>
      <c r="D873" s="178"/>
      <c r="E873" s="178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178"/>
      <c r="B874" s="178"/>
      <c r="C874" s="178"/>
      <c r="D874" s="178"/>
      <c r="E874" s="178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178"/>
      <c r="B875" s="178"/>
      <c r="C875" s="178"/>
      <c r="D875" s="178"/>
      <c r="E875" s="178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178"/>
      <c r="B876" s="178"/>
      <c r="C876" s="178"/>
      <c r="D876" s="178"/>
      <c r="E876" s="178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178"/>
      <c r="B877" s="178"/>
      <c r="C877" s="178"/>
      <c r="D877" s="178"/>
      <c r="E877" s="178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178"/>
      <c r="B878" s="178"/>
      <c r="C878" s="178"/>
      <c r="D878" s="178"/>
      <c r="E878" s="178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178"/>
      <c r="B879" s="178"/>
      <c r="C879" s="178"/>
      <c r="D879" s="178"/>
      <c r="E879" s="178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178"/>
      <c r="B880" s="178"/>
      <c r="C880" s="178"/>
      <c r="D880" s="178"/>
      <c r="E880" s="178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178"/>
      <c r="B881" s="178"/>
      <c r="C881" s="178"/>
      <c r="D881" s="178"/>
      <c r="E881" s="178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178"/>
      <c r="B882" s="178"/>
      <c r="C882" s="178"/>
      <c r="D882" s="178"/>
      <c r="E882" s="178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178"/>
      <c r="B883" s="178"/>
      <c r="C883" s="178"/>
      <c r="D883" s="178"/>
      <c r="E883" s="178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178"/>
      <c r="B884" s="178"/>
      <c r="C884" s="178"/>
      <c r="D884" s="178"/>
      <c r="E884" s="178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178"/>
      <c r="B885" s="178"/>
      <c r="C885" s="178"/>
      <c r="D885" s="178"/>
      <c r="E885" s="178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178"/>
      <c r="B886" s="178"/>
      <c r="C886" s="178"/>
      <c r="D886" s="178"/>
      <c r="E886" s="178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178"/>
      <c r="B887" s="178"/>
      <c r="C887" s="178"/>
      <c r="D887" s="178"/>
      <c r="E887" s="178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178"/>
      <c r="B888" s="178"/>
      <c r="C888" s="178"/>
      <c r="D888" s="178"/>
      <c r="E888" s="178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178"/>
      <c r="B889" s="178"/>
      <c r="C889" s="178"/>
      <c r="D889" s="178"/>
      <c r="E889" s="178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178"/>
      <c r="B890" s="178"/>
      <c r="C890" s="178"/>
      <c r="D890" s="178"/>
      <c r="E890" s="178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178"/>
      <c r="B891" s="178"/>
      <c r="C891" s="178"/>
      <c r="D891" s="178"/>
      <c r="E891" s="178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178"/>
      <c r="B892" s="178"/>
      <c r="C892" s="178"/>
      <c r="D892" s="178"/>
      <c r="E892" s="178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178"/>
      <c r="B893" s="178"/>
      <c r="C893" s="178"/>
      <c r="D893" s="178"/>
      <c r="E893" s="178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178"/>
      <c r="B894" s="178"/>
      <c r="C894" s="178"/>
      <c r="D894" s="178"/>
      <c r="E894" s="178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178"/>
      <c r="B895" s="178"/>
      <c r="C895" s="178"/>
      <c r="D895" s="178"/>
      <c r="E895" s="178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178"/>
      <c r="B896" s="178"/>
      <c r="C896" s="178"/>
      <c r="D896" s="178"/>
      <c r="E896" s="178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178"/>
      <c r="B897" s="178"/>
      <c r="C897" s="178"/>
      <c r="D897" s="178"/>
      <c r="E897" s="178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178"/>
      <c r="B898" s="178"/>
      <c r="C898" s="178"/>
      <c r="D898" s="178"/>
      <c r="E898" s="178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178"/>
      <c r="B899" s="178"/>
      <c r="C899" s="178"/>
      <c r="D899" s="178"/>
      <c r="E899" s="178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178"/>
      <c r="B900" s="178"/>
      <c r="C900" s="178"/>
      <c r="D900" s="178"/>
      <c r="E900" s="178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178"/>
      <c r="B901" s="178"/>
      <c r="C901" s="178"/>
      <c r="D901" s="178"/>
      <c r="E901" s="178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178"/>
      <c r="B902" s="178"/>
      <c r="C902" s="178"/>
      <c r="D902" s="178"/>
      <c r="E902" s="178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178"/>
      <c r="B903" s="178"/>
      <c r="C903" s="178"/>
      <c r="D903" s="178"/>
      <c r="E903" s="178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178"/>
      <c r="B904" s="178"/>
      <c r="C904" s="178"/>
      <c r="D904" s="178"/>
      <c r="E904" s="178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178"/>
      <c r="B905" s="178"/>
      <c r="C905" s="178"/>
      <c r="D905" s="178"/>
      <c r="E905" s="178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178"/>
      <c r="B906" s="178"/>
      <c r="C906" s="178"/>
      <c r="D906" s="178"/>
      <c r="E906" s="178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178"/>
      <c r="B907" s="178"/>
      <c r="C907" s="178"/>
      <c r="D907" s="178"/>
      <c r="E907" s="178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178"/>
      <c r="B908" s="178"/>
      <c r="C908" s="178"/>
      <c r="D908" s="178"/>
      <c r="E908" s="178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178"/>
      <c r="B909" s="178"/>
      <c r="C909" s="178"/>
      <c r="D909" s="178"/>
      <c r="E909" s="178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178"/>
      <c r="B910" s="178"/>
      <c r="C910" s="178"/>
      <c r="D910" s="178"/>
      <c r="E910" s="178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178"/>
      <c r="B911" s="178"/>
      <c r="C911" s="178"/>
      <c r="D911" s="178"/>
      <c r="E911" s="178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178"/>
      <c r="B912" s="178"/>
      <c r="C912" s="178"/>
      <c r="D912" s="178"/>
      <c r="E912" s="178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178"/>
      <c r="B913" s="178"/>
      <c r="C913" s="178"/>
      <c r="D913" s="178"/>
      <c r="E913" s="178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178"/>
      <c r="B914" s="178"/>
      <c r="C914" s="178"/>
      <c r="D914" s="178"/>
      <c r="E914" s="178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178"/>
      <c r="B915" s="178"/>
      <c r="C915" s="178"/>
      <c r="D915" s="178"/>
      <c r="E915" s="178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178"/>
      <c r="B916" s="178"/>
      <c r="C916" s="178"/>
      <c r="D916" s="178"/>
      <c r="E916" s="178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178"/>
      <c r="B917" s="178"/>
      <c r="C917" s="178"/>
      <c r="D917" s="178"/>
      <c r="E917" s="178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178"/>
      <c r="B918" s="178"/>
      <c r="C918" s="178"/>
      <c r="D918" s="178"/>
      <c r="E918" s="178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178"/>
      <c r="B919" s="178"/>
      <c r="C919" s="178"/>
      <c r="D919" s="178"/>
      <c r="E919" s="178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178"/>
      <c r="B920" s="178"/>
      <c r="C920" s="178"/>
      <c r="D920" s="178"/>
      <c r="E920" s="178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178"/>
      <c r="B921" s="178"/>
      <c r="C921" s="178"/>
      <c r="D921" s="178"/>
      <c r="E921" s="178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178"/>
      <c r="B922" s="178"/>
      <c r="C922" s="178"/>
      <c r="D922" s="178"/>
      <c r="E922" s="178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178"/>
      <c r="B923" s="178"/>
      <c r="C923" s="178"/>
      <c r="D923" s="178"/>
      <c r="E923" s="178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178"/>
      <c r="B924" s="178"/>
      <c r="C924" s="178"/>
      <c r="D924" s="178"/>
      <c r="E924" s="178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178"/>
      <c r="B925" s="178"/>
      <c r="C925" s="178"/>
      <c r="D925" s="178"/>
      <c r="E925" s="178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178"/>
      <c r="B926" s="178"/>
      <c r="C926" s="178"/>
      <c r="D926" s="178"/>
      <c r="E926" s="178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178"/>
      <c r="B927" s="178"/>
      <c r="C927" s="178"/>
      <c r="D927" s="178"/>
      <c r="E927" s="178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178"/>
      <c r="B928" s="178"/>
      <c r="C928" s="178"/>
      <c r="D928" s="178"/>
      <c r="E928" s="178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178"/>
      <c r="B929" s="178"/>
      <c r="C929" s="178"/>
      <c r="D929" s="178"/>
      <c r="E929" s="178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178"/>
      <c r="B930" s="178"/>
      <c r="C930" s="178"/>
      <c r="D930" s="178"/>
      <c r="E930" s="178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178"/>
      <c r="B931" s="178"/>
      <c r="C931" s="178"/>
      <c r="D931" s="178"/>
      <c r="E931" s="178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178"/>
      <c r="B932" s="178"/>
      <c r="C932" s="178"/>
      <c r="D932" s="178"/>
      <c r="E932" s="178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178"/>
      <c r="B933" s="178"/>
      <c r="C933" s="178"/>
      <c r="D933" s="178"/>
      <c r="E933" s="178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178"/>
      <c r="B934" s="178"/>
      <c r="C934" s="178"/>
      <c r="D934" s="178"/>
      <c r="E934" s="178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178"/>
      <c r="B935" s="178"/>
      <c r="C935" s="178"/>
      <c r="D935" s="178"/>
      <c r="E935" s="178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178"/>
      <c r="B936" s="178"/>
      <c r="C936" s="178"/>
      <c r="D936" s="178"/>
      <c r="E936" s="178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178"/>
      <c r="B937" s="178"/>
      <c r="C937" s="178"/>
      <c r="D937" s="178"/>
      <c r="E937" s="178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178"/>
      <c r="B938" s="178"/>
      <c r="C938" s="178"/>
      <c r="D938" s="178"/>
      <c r="E938" s="178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178"/>
      <c r="B939" s="178"/>
      <c r="C939" s="178"/>
      <c r="D939" s="178"/>
      <c r="E939" s="178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178"/>
      <c r="B940" s="178"/>
      <c r="C940" s="178"/>
      <c r="D940" s="178"/>
      <c r="E940" s="178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178"/>
      <c r="B941" s="178"/>
      <c r="C941" s="178"/>
      <c r="D941" s="178"/>
      <c r="E941" s="178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178"/>
      <c r="B942" s="178"/>
      <c r="C942" s="178"/>
      <c r="D942" s="178"/>
      <c r="E942" s="178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178"/>
      <c r="B943" s="178"/>
      <c r="C943" s="178"/>
      <c r="D943" s="178"/>
      <c r="E943" s="178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178"/>
      <c r="B944" s="178"/>
      <c r="C944" s="178"/>
      <c r="D944" s="178"/>
      <c r="E944" s="178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178"/>
      <c r="B945" s="178"/>
      <c r="C945" s="178"/>
      <c r="D945" s="178"/>
      <c r="E945" s="178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178"/>
      <c r="B946" s="178"/>
      <c r="C946" s="178"/>
      <c r="D946" s="178"/>
      <c r="E946" s="178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178"/>
      <c r="B947" s="178"/>
      <c r="C947" s="178"/>
      <c r="D947" s="178"/>
      <c r="E947" s="178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178"/>
      <c r="B948" s="178"/>
      <c r="C948" s="178"/>
      <c r="D948" s="178"/>
      <c r="E948" s="178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178"/>
      <c r="B949" s="178"/>
      <c r="C949" s="178"/>
      <c r="D949" s="178"/>
      <c r="E949" s="178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178"/>
      <c r="B950" s="178"/>
      <c r="C950" s="178"/>
      <c r="D950" s="178"/>
      <c r="E950" s="178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178"/>
      <c r="B951" s="178"/>
      <c r="C951" s="178"/>
      <c r="D951" s="178"/>
      <c r="E951" s="178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178"/>
      <c r="B952" s="178"/>
      <c r="C952" s="178"/>
      <c r="D952" s="178"/>
      <c r="E952" s="178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178"/>
      <c r="B953" s="178"/>
      <c r="C953" s="178"/>
      <c r="D953" s="178"/>
      <c r="E953" s="178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178"/>
      <c r="B954" s="178"/>
      <c r="C954" s="178"/>
      <c r="D954" s="178"/>
      <c r="E954" s="178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178"/>
      <c r="B955" s="178"/>
      <c r="C955" s="178"/>
      <c r="D955" s="178"/>
      <c r="E955" s="178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178"/>
      <c r="B956" s="178"/>
      <c r="C956" s="178"/>
      <c r="D956" s="178"/>
      <c r="E956" s="178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178"/>
      <c r="B957" s="178"/>
      <c r="C957" s="178"/>
      <c r="D957" s="178"/>
      <c r="E957" s="178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178"/>
      <c r="B958" s="178"/>
      <c r="C958" s="178"/>
      <c r="D958" s="178"/>
      <c r="E958" s="178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178"/>
      <c r="B959" s="178"/>
      <c r="C959" s="178"/>
      <c r="D959" s="178"/>
      <c r="E959" s="178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178"/>
      <c r="B960" s="178"/>
      <c r="C960" s="178"/>
      <c r="D960" s="178"/>
      <c r="E960" s="178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178"/>
      <c r="B961" s="178"/>
      <c r="C961" s="178"/>
      <c r="D961" s="178"/>
      <c r="E961" s="178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178"/>
      <c r="B962" s="178"/>
      <c r="C962" s="178"/>
      <c r="D962" s="178"/>
      <c r="E962" s="178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178"/>
      <c r="B963" s="178"/>
      <c r="C963" s="178"/>
      <c r="D963" s="178"/>
      <c r="E963" s="178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178"/>
      <c r="B964" s="178"/>
      <c r="C964" s="178"/>
      <c r="D964" s="178"/>
      <c r="E964" s="178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178"/>
      <c r="B965" s="178"/>
      <c r="C965" s="178"/>
      <c r="D965" s="178"/>
      <c r="E965" s="178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178"/>
      <c r="B966" s="178"/>
      <c r="C966" s="178"/>
      <c r="D966" s="178"/>
      <c r="E966" s="178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178"/>
      <c r="B967" s="178"/>
      <c r="C967" s="178"/>
      <c r="D967" s="178"/>
      <c r="E967" s="178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178"/>
      <c r="B968" s="178"/>
      <c r="C968" s="178"/>
      <c r="D968" s="178"/>
      <c r="E968" s="178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178"/>
      <c r="B969" s="178"/>
      <c r="C969" s="178"/>
      <c r="D969" s="178"/>
      <c r="E969" s="178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178"/>
      <c r="B970" s="178"/>
      <c r="C970" s="178"/>
      <c r="D970" s="178"/>
      <c r="E970" s="178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178"/>
      <c r="B971" s="178"/>
      <c r="C971" s="178"/>
      <c r="D971" s="178"/>
      <c r="E971" s="178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178"/>
      <c r="B972" s="178"/>
      <c r="C972" s="178"/>
      <c r="D972" s="178"/>
      <c r="E972" s="178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178"/>
      <c r="B973" s="178"/>
      <c r="C973" s="178"/>
      <c r="D973" s="178"/>
      <c r="E973" s="178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178"/>
      <c r="B974" s="178"/>
      <c r="C974" s="178"/>
      <c r="D974" s="178"/>
      <c r="E974" s="178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178"/>
      <c r="B975" s="178"/>
      <c r="C975" s="178"/>
      <c r="D975" s="178"/>
      <c r="E975" s="178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178"/>
      <c r="B976" s="178"/>
      <c r="C976" s="178"/>
      <c r="D976" s="178"/>
      <c r="E976" s="178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178"/>
      <c r="B977" s="178"/>
      <c r="C977" s="178"/>
      <c r="D977" s="178"/>
      <c r="E977" s="178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178"/>
      <c r="B978" s="178"/>
      <c r="C978" s="178"/>
      <c r="D978" s="178"/>
      <c r="E978" s="178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178"/>
      <c r="B979" s="178"/>
      <c r="C979" s="178"/>
      <c r="D979" s="178"/>
      <c r="E979" s="178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178"/>
      <c r="B980" s="178"/>
      <c r="C980" s="178"/>
      <c r="D980" s="178"/>
      <c r="E980" s="178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178"/>
      <c r="B981" s="178"/>
      <c r="C981" s="178"/>
      <c r="D981" s="178"/>
      <c r="E981" s="178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178"/>
      <c r="B982" s="178"/>
      <c r="C982" s="178"/>
      <c r="D982" s="178"/>
      <c r="E982" s="178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178"/>
      <c r="B983" s="178"/>
      <c r="C983" s="178"/>
      <c r="D983" s="178"/>
      <c r="E983" s="178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178"/>
      <c r="B984" s="178"/>
      <c r="C984" s="178"/>
      <c r="D984" s="178"/>
      <c r="E984" s="178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178"/>
      <c r="B985" s="178"/>
      <c r="C985" s="178"/>
      <c r="D985" s="178"/>
      <c r="E985" s="178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178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178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178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42.63"/>
    <col customWidth="1" min="3" max="3" width="16.0"/>
    <col customWidth="1" min="4" max="4" width="24.25"/>
    <col customWidth="1" min="5" max="5" width="10.38"/>
    <col customWidth="1" min="7" max="7" width="76.8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178"/>
      <c r="G1" s="80" t="s">
        <v>5</v>
      </c>
      <c r="H1" s="81">
        <f>H4</f>
        <v>22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146" t="s">
        <v>1537</v>
      </c>
      <c r="B2" s="73" t="str">
        <f t="array" ref="B2">IFERROR(XLOOKUP(A2, BASE!E:E, BASE!B:B), "")
</f>
        <v>LM Hub_SP_Registro</v>
      </c>
      <c r="C2" s="73" t="str">
        <f t="array" ref="C2">IFERROR(XLOOKUP(A2, BASE!E:E, BASE!C:C), "")
</f>
        <v>HUB-LSP-40</v>
      </c>
      <c r="D2" s="73">
        <f t="array" ref="D2">IFERROR(XLOOKUP(A2, BASE!E:E, BASE!D:D), "")
</f>
        <v>33</v>
      </c>
      <c r="E2" s="168">
        <f t="array" ref="E2">IFERROR(XLOOKUP(A2, BASE!E:E, BASE!H:H), "")
</f>
        <v>46060.25</v>
      </c>
      <c r="F2" s="178"/>
      <c r="G2" s="82" t="s">
        <v>9</v>
      </c>
      <c r="H2" s="82">
        <f>COUNTIF(C:C,"*LSP*")
</f>
        <v>20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146" t="s">
        <v>1538</v>
      </c>
      <c r="B3" s="73" t="str">
        <f t="array" ref="B3">IFERROR(XLOOKUP(A3, BASE!E:E, BASE!B:B), "")
</f>
        <v>SoC_PR_Curitiba</v>
      </c>
      <c r="C3" s="73" t="str">
        <f t="array" ref="C3">IFERROR(XLOOKUP(A3, BASE!E:E, BASE!C:C), "")
</f>
        <v>SOC-PR1</v>
      </c>
      <c r="D3" s="73">
        <f t="array" ref="D3">IFERROR(XLOOKUP(A3, BASE!E:E, BASE!D:D), "")
</f>
        <v>45</v>
      </c>
      <c r="E3" s="168">
        <f t="array" ref="E3">IFERROR(XLOOKUP(A3, BASE!E:E, BASE!H:H), "")
</f>
        <v>46060.25</v>
      </c>
      <c r="F3" s="178"/>
      <c r="G3" s="82" t="s">
        <v>13</v>
      </c>
      <c r="H3" s="82">
        <f>COUNTIF(C:C,"*SOC*")
</f>
        <v>3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146" t="s">
        <v>1539</v>
      </c>
      <c r="B4" s="73" t="str">
        <f t="array" ref="B4">IFERROR(XLOOKUP(A4, BASE!E:E, BASE!B:B), "")
</f>
        <v>LM Hub_SP_Atibaia_Ponte_Alta</v>
      </c>
      <c r="C4" s="73" t="str">
        <f t="array" ref="C4">IFERROR(XLOOKUP(A4, BASE!E:E, BASE!C:C), "")
</f>
        <v>HUB-LSP-87</v>
      </c>
      <c r="D4" s="73">
        <f t="array" ref="D4">IFERROR(XLOOKUP(A4, BASE!E:E, BASE!D:D), "")
</f>
        <v>24</v>
      </c>
      <c r="E4" s="168">
        <f t="array" ref="E4">IFERROR(XLOOKUP(A4, BASE!E:E, BASE!H:H), "")
</f>
        <v>46060.27083</v>
      </c>
      <c r="F4" s="178"/>
      <c r="G4" s="82" t="s">
        <v>810</v>
      </c>
      <c r="H4" s="198">
        <f>COUNTIFS(D:D,"&gt;=5",D:D,"&lt;=117")</f>
        <v>22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46" t="s">
        <v>1540</v>
      </c>
      <c r="B5" s="73" t="str">
        <f t="array" ref="B5">IFERROR(XLOOKUP(A5, BASE!E:E, BASE!B:B), "")
</f>
        <v>SoC_SP_Santana</v>
      </c>
      <c r="C5" s="73" t="str">
        <f t="array" ref="C5">IFERROR(XLOOKUP(A5, BASE!E:E, BASE!C:C), "")
</f>
        <v>SOC-SP2</v>
      </c>
      <c r="D5" s="73">
        <f t="array" ref="D5">IFERROR(XLOOKUP(A5, BASE!E:E, BASE!D:D), "")
</f>
        <v>37</v>
      </c>
      <c r="E5" s="168">
        <f t="array" ref="E5">IFERROR(XLOOKUP(A5, BASE!E:E, BASE!H:H), "")
</f>
        <v>46060.27083</v>
      </c>
      <c r="F5" s="178"/>
      <c r="G5" s="82" t="s">
        <v>20</v>
      </c>
      <c r="H5" s="82">
        <f>COUNTIF(D:D,"*NÃO DOCOU*")</f>
        <v>0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146" t="s">
        <v>1541</v>
      </c>
      <c r="B6" s="73" t="str">
        <f t="array" ref="B6">IFERROR(XLOOKUP(A6, BASE!E:E, BASE!B:B), "")
</f>
        <v>LM Hub_SP_Sorocaba_Região Norte</v>
      </c>
      <c r="C6" s="73" t="str">
        <f t="array" ref="C6">IFERROR(XLOOKUP(A6, BASE!E:E, BASE!C:C), "")
</f>
        <v>HUB-LSP-10</v>
      </c>
      <c r="D6" s="73">
        <f t="array" ref="D6">IFERROR(XLOOKUP(A6, BASE!E:E, BASE!D:D), "")
</f>
        <v>27</v>
      </c>
      <c r="E6" s="168">
        <f t="array" ref="E6">IFERROR(XLOOKUP(A6, BASE!E:E, BASE!H:H), "")
</f>
        <v>46060.27083</v>
      </c>
      <c r="F6" s="178"/>
      <c r="G6" s="198" t="s">
        <v>25</v>
      </c>
      <c r="H6" s="199">
        <f>COUNTIF(D:D,"*NÃO CHEGOU*")
</f>
        <v>0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146" t="s">
        <v>1542</v>
      </c>
      <c r="B7" s="73" t="str">
        <f t="array" ref="B7">IFERROR(XLOOKUP(A7, BASE!E:E, BASE!B:B), "")
</f>
        <v>LM Hub_SP_Taubaté</v>
      </c>
      <c r="C7" s="73" t="str">
        <f t="array" ref="C7">IFERROR(XLOOKUP(A7, BASE!E:E, BASE!C:C), "")
</f>
        <v>HUB-LSP-08</v>
      </c>
      <c r="D7" s="73">
        <f t="array" ref="D7">IFERROR(XLOOKUP(A7, BASE!E:E, BASE!D:D), "")
</f>
        <v>49</v>
      </c>
      <c r="E7" s="168">
        <f t="array" ref="E7">IFERROR(XLOOKUP(A7, BASE!E:E, BASE!H:H), "")
</f>
        <v>46060.27083</v>
      </c>
      <c r="F7" s="178"/>
      <c r="G7" s="82" t="s">
        <v>815</v>
      </c>
      <c r="H7" s="82">
        <f>COUNTIF(D:D,"*DRIVER DUPLICADO*")</f>
        <v>0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146" t="s">
        <v>1543</v>
      </c>
      <c r="B8" s="73" t="str">
        <f t="array" ref="B8">IFERROR(XLOOKUP(A8, BASE!E:E, BASE!B:B), "")
</f>
        <v>LM Hub_SP_Barueri_01</v>
      </c>
      <c r="C8" s="73" t="str">
        <f t="array" ref="C8">IFERROR(XLOOKUP(A8, BASE!E:E, BASE!C:C), "")
</f>
        <v>HUB-LSP-81</v>
      </c>
      <c r="D8" s="73">
        <f t="array" ref="D8">IFERROR(XLOOKUP(A8, BASE!E:E, BASE!D:D), "")
</f>
        <v>29</v>
      </c>
      <c r="E8" s="168">
        <f t="array" ref="E8">IFERROR(XLOOKUP(A8, BASE!E:E, BASE!H:H), "")
</f>
        <v>46060.29167</v>
      </c>
      <c r="F8" s="178"/>
      <c r="G8" s="82" t="s">
        <v>1429</v>
      </c>
      <c r="H8" s="198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146" t="s">
        <v>1544</v>
      </c>
      <c r="B9" s="73" t="str">
        <f t="array" ref="B9">IFERROR(XLOOKUP(A9, BASE!E:E, BASE!B:B), "")
</f>
        <v>LM Hub_SP_Jundiaí</v>
      </c>
      <c r="C9" s="73" t="str">
        <f t="array" ref="C9">IFERROR(XLOOKUP(A9, BASE!E:E, BASE!C:C), "")
</f>
        <v>HUB-LSP-100</v>
      </c>
      <c r="D9" s="73">
        <f t="array" ref="D9">IFERROR(XLOOKUP(A9, BASE!E:E, BASE!D:D), "")
</f>
        <v>26</v>
      </c>
      <c r="E9" s="168">
        <f t="array" ref="E9">IFERROR(XLOOKUP(A9, BASE!E:E, BASE!H:H), "")
</f>
        <v>46060.29167</v>
      </c>
      <c r="F9" s="178"/>
      <c r="G9" s="82" t="s">
        <v>1431</v>
      </c>
      <c r="H9" s="198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146" t="s">
        <v>1545</v>
      </c>
      <c r="B10" s="73" t="str">
        <f t="array" ref="B10">IFERROR(XLOOKUP(A10, BASE!E:E, BASE!B:B), "")
</f>
        <v>LM Hub_SP_Piracicaba</v>
      </c>
      <c r="C10" s="73" t="str">
        <f t="array" ref="C10">IFERROR(XLOOKUP(A10, BASE!E:E, BASE!C:C), "")
</f>
        <v>HUB-LSP-62</v>
      </c>
      <c r="D10" s="73">
        <f t="array" ref="D10">IFERROR(XLOOKUP(A10, BASE!E:E, BASE!D:D), "")
</f>
        <v>34</v>
      </c>
      <c r="E10" s="168">
        <f t="array" ref="E10">IFERROR(XLOOKUP(A10, BASE!E:E, BASE!H:H), "")
</f>
        <v>46060.29167</v>
      </c>
      <c r="F10" s="178"/>
      <c r="G10" s="9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146" t="s">
        <v>1546</v>
      </c>
      <c r="B11" s="73" t="str">
        <f t="array" ref="B11">IFERROR(XLOOKUP(A11, BASE!E:E, BASE!B:B), "")
</f>
        <v>LM Hub_SP_Santos_PraiaGrande_02</v>
      </c>
      <c r="C11" s="73" t="str">
        <f t="array" ref="C11">IFERROR(XLOOKUP(A11, BASE!E:E, BASE!C:C), "")
</f>
        <v>HUB-LSP-63</v>
      </c>
      <c r="D11" s="73">
        <f t="array" ref="D11">IFERROR(XLOOKUP(A11, BASE!E:E, BASE!D:D), "")
</f>
        <v>22</v>
      </c>
      <c r="E11" s="168">
        <f t="array" ref="E11">IFERROR(XLOOKUP(A11, BASE!E:E, BASE!H:H), "")
</f>
        <v>46060.29167</v>
      </c>
      <c r="F11" s="9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146" t="s">
        <v>1547</v>
      </c>
      <c r="B12" s="73" t="str">
        <f t="array" ref="B12">IFERROR(XLOOKUP(A12, BASE!E:E, BASE!B:B), "")
</f>
        <v>LM Hub_SP_Itapevi</v>
      </c>
      <c r="C12" s="73" t="str">
        <f t="array" ref="C12">IFERROR(XLOOKUP(A12, BASE!E:E, BASE!C:C), "")
</f>
        <v>HUB-LSP-41</v>
      </c>
      <c r="D12" s="73">
        <f t="array" ref="D12">IFERROR(XLOOKUP(A12, BASE!E:E, BASE!D:D), "")
</f>
        <v>21</v>
      </c>
      <c r="E12" s="168">
        <f t="array" ref="E12">IFERROR(XLOOKUP(A12, BASE!E:E, BASE!H:H), "")
</f>
        <v>46060.3125</v>
      </c>
      <c r="F12" s="178"/>
      <c r="G12" s="84" t="s">
        <v>1548</v>
      </c>
      <c r="H12" s="9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20.25" customHeight="1">
      <c r="A13" s="146" t="s">
        <v>1549</v>
      </c>
      <c r="B13" s="73" t="str">
        <f t="array" ref="B13">IFERROR(XLOOKUP(A13, BASE!E:E, BASE!B:B), "")
</f>
        <v>LM Hub_SP_Santos_Praia Grande</v>
      </c>
      <c r="C13" s="73" t="str">
        <f t="array" ref="C13">IFERROR(XLOOKUP(A13, BASE!E:E, BASE!C:C), "")
</f>
        <v>HUB-LSP-09</v>
      </c>
      <c r="D13" s="73">
        <f t="array" ref="D13">IFERROR(XLOOKUP(A13, BASE!E:E, BASE!D:D), "")
</f>
        <v>15</v>
      </c>
      <c r="E13" s="168">
        <f t="array" ref="E13">IFERROR(XLOOKUP(A13, BASE!E:E, BASE!H:H), "")
</f>
        <v>46060.3125</v>
      </c>
      <c r="F13" s="178"/>
      <c r="G13" s="187" t="s">
        <v>653</v>
      </c>
      <c r="H13" s="178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146" t="s">
        <v>1550</v>
      </c>
      <c r="B14" s="73" t="str">
        <f t="array" ref="B14">IFERROR(XLOOKUP(A14, BASE!E:E, BASE!B:B), "")
</f>
        <v>LM Hub_SP_Várzea Paulista</v>
      </c>
      <c r="C14" s="73" t="str">
        <f t="array" ref="C14">IFERROR(XLOOKUP(A14, BASE!E:E, BASE!C:C), "")
</f>
        <v>HUB-LSP-20</v>
      </c>
      <c r="D14" s="73">
        <f t="array" ref="D14">IFERROR(XLOOKUP(A14, BASE!E:E, BASE!D:D), "")
</f>
        <v>19</v>
      </c>
      <c r="E14" s="168">
        <f t="array" ref="E14">IFERROR(XLOOKUP(A14, BASE!E:E, BASE!H:H), "")
</f>
        <v>46060.3125</v>
      </c>
      <c r="F14" s="178"/>
      <c r="G14" s="178"/>
      <c r="H14" s="178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146" t="s">
        <v>1551</v>
      </c>
      <c r="B15" s="73" t="str">
        <f t="array" ref="B15">IFERROR(XLOOKUP(A15, BASE!E:E, BASE!B:B), "")
</f>
        <v>LM Hub_SP_São Paulo_Mooca</v>
      </c>
      <c r="C15" s="73" t="str">
        <f t="array" ref="C15">IFERROR(XLOOKUP(A15, BASE!E:E, BASE!C:C), "")
</f>
        <v>HUB-LSP-13</v>
      </c>
      <c r="D15" s="73">
        <f t="array" ref="D15">IFERROR(XLOOKUP(A15, BASE!E:E, BASE!D:D), "")
</f>
        <v>35</v>
      </c>
      <c r="E15" s="168">
        <f t="array" ref="E15">IFERROR(XLOOKUP(A15, BASE!E:E, BASE!H:H), "")
</f>
        <v>46060.3125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146" t="s">
        <v>1552</v>
      </c>
      <c r="B16" s="73" t="str">
        <f t="array" ref="B16">IFERROR(XLOOKUP(A16, BASE!E:E, BASE!B:B), "")
</f>
        <v>LM Hub_SP_Itaqua_Zimba</v>
      </c>
      <c r="C16" s="73" t="str">
        <f t="array" ref="C16">IFERROR(XLOOKUP(A16, BASE!E:E, BASE!C:C), "")
</f>
        <v>HUB-LSP-74</v>
      </c>
      <c r="D16" s="73">
        <f t="array" ref="D16">IFERROR(XLOOKUP(A16, BASE!E:E, BASE!D:D), "")
</f>
        <v>16</v>
      </c>
      <c r="E16" s="168">
        <f t="array" ref="E16">IFERROR(XLOOKUP(A16, BASE!E:E, BASE!H:H), "")
</f>
        <v>46060.33333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146" t="s">
        <v>1553</v>
      </c>
      <c r="B17" s="73" t="str">
        <f t="array" ref="B17">IFERROR(XLOOKUP(A17, BASE!E:E, BASE!B:B), "")
</f>
        <v>LM Hub_SP_Jurubatuba</v>
      </c>
      <c r="C17" s="73" t="str">
        <f t="array" ref="C17">IFERROR(XLOOKUP(A17, BASE!E:E, BASE!C:C), "")
</f>
        <v>HUB-LSP-16</v>
      </c>
      <c r="D17" s="73">
        <f t="array" ref="D17">IFERROR(XLOOKUP(A17, BASE!E:E, BASE!D:D), "")
</f>
        <v>23</v>
      </c>
      <c r="E17" s="168">
        <f t="array" ref="E17">IFERROR(XLOOKUP(A17, BASE!E:E, BASE!H:H), "")
</f>
        <v>46060.33333</v>
      </c>
      <c r="F17" s="178"/>
      <c r="G17" s="178"/>
      <c r="H17" s="178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102" t="s">
        <v>1554</v>
      </c>
      <c r="B18" s="73" t="str">
        <f t="array" ref="B18">IFERROR(XLOOKUP(A18, BASE!E:E, BASE!B:B), "")
</f>
        <v>LM Hub_SP_Artur Alvim</v>
      </c>
      <c r="C18" s="73" t="str">
        <f t="array" ref="C18">IFERROR(XLOOKUP(A18, BASE!E:E, BASE!C:C), "")
</f>
        <v>HUB-LSP-07</v>
      </c>
      <c r="D18" s="73">
        <f t="array" ref="D18">IFERROR(XLOOKUP(A18, BASE!E:E, BASE!D:D), "")
</f>
        <v>18</v>
      </c>
      <c r="E18" s="168">
        <f t="array" ref="E18">IFERROR(XLOOKUP(A18, BASE!E:E, BASE!H:H), "")
</f>
        <v>46060.33333</v>
      </c>
      <c r="F18" s="178"/>
      <c r="G18" s="178"/>
      <c r="H18" s="178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146" t="s">
        <v>1555</v>
      </c>
      <c r="B19" s="73" t="str">
        <f t="array" ref="B19">IFERROR(XLOOKUP(A19, BASE!E:E, BASE!B:B), "")
</f>
        <v>LM Hub_SP_Guarulhos</v>
      </c>
      <c r="C19" s="73" t="str">
        <f t="array" ref="C19">IFERROR(XLOOKUP(A19, BASE!E:E, BASE!C:C), "")
</f>
        <v>HUB-LSP-77</v>
      </c>
      <c r="D19" s="73">
        <f t="array" ref="D19">IFERROR(XLOOKUP(A19, BASE!E:E, BASE!D:D), "")
</f>
        <v>14</v>
      </c>
      <c r="E19" s="168">
        <f t="array" ref="E19">IFERROR(XLOOKUP(A19, BASE!E:E, BASE!H:H), "")
</f>
        <v>46060.33333</v>
      </c>
      <c r="F19" s="178"/>
      <c r="G19" s="178"/>
      <c r="H19" s="178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146" t="s">
        <v>1556</v>
      </c>
      <c r="B20" s="73" t="str">
        <f t="array" ref="B20">IFERROR(XLOOKUP(A20, BASE!E:E, BASE!B:B), "")
</f>
        <v>LM Hub_SP_Parque Novo Mundo</v>
      </c>
      <c r="C20" s="73" t="str">
        <f t="array" ref="C20">IFERROR(XLOOKUP(A20, BASE!E:E, BASE!C:C), "")
</f>
        <v>HUB-LSP-89</v>
      </c>
      <c r="D20" s="73">
        <v>17.0</v>
      </c>
      <c r="E20" s="168">
        <f t="array" ref="E20">IFERROR(XLOOKUP(A20, BASE!E:E, BASE!H:H), "")
</f>
        <v>46060.35417</v>
      </c>
      <c r="F20" s="178"/>
      <c r="G20" s="178"/>
      <c r="H20" s="178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146" t="s">
        <v>1557</v>
      </c>
      <c r="B21" s="73" t="str">
        <f t="array" ref="B21">IFERROR(XLOOKUP(A21, BASE!E:E, BASE!B:B), "")
</f>
        <v>LM Hub_SP_Embu das Artes_02</v>
      </c>
      <c r="C21" s="73" t="str">
        <f t="array" ref="C21">IFERROR(XLOOKUP(A21, BASE!E:E, BASE!C:C), "")
</f>
        <v>HUB-LSP-96</v>
      </c>
      <c r="D21" s="73">
        <f t="array" ref="D21">IFERROR(XLOOKUP(A21, BASE!E:E, BASE!D:D), "")
</f>
        <v>13</v>
      </c>
      <c r="E21" s="168">
        <f t="array" ref="E21">IFERROR(XLOOKUP(A21, BASE!E:E, BASE!H:H), "")
</f>
        <v>46060.375</v>
      </c>
      <c r="F21" s="178"/>
      <c r="G21" s="178"/>
      <c r="H21" s="178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146" t="s">
        <v>1558</v>
      </c>
      <c r="B22" s="73" t="str">
        <f t="array" ref="B22">IFERROR(XLOOKUP(A22, BASE!E:E, BASE!B:B), "")
</f>
        <v>LM Hub_SP_Suzano_Baruel</v>
      </c>
      <c r="C22" s="73" t="str">
        <f t="array" ref="C22">IFERROR(XLOOKUP(A22, BASE!E:E, BASE!C:C), "")
</f>
        <v>HUB-LSP-97</v>
      </c>
      <c r="D22" s="73">
        <f t="array" ref="D22">IFERROR(XLOOKUP(A22, BASE!E:E, BASE!D:D), "")
</f>
        <v>25</v>
      </c>
      <c r="E22" s="168">
        <f t="array" ref="E22">IFERROR(XLOOKUP(A22, BASE!E:E, BASE!H:H), "")
</f>
        <v>46060.375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146" t="s">
        <v>1559</v>
      </c>
      <c r="B23" s="73" t="str">
        <f t="array" ref="B23">IFERROR(XLOOKUP(A23, BASE!E:E, BASE!B:B), "")
</f>
        <v>LM Hub_SP_Santo André</v>
      </c>
      <c r="C23" s="73" t="str">
        <f t="array" ref="C23">IFERROR(XLOOKUP(A23, BASE!E:E, BASE!C:C), "")
</f>
        <v>HUB-LSP-93</v>
      </c>
      <c r="D23" s="73">
        <f t="array" ref="D23">IFERROR(XLOOKUP(A23, BASE!E:E, BASE!D:D), "")
</f>
        <v>36</v>
      </c>
      <c r="E23" s="168">
        <f t="array" ref="E23">IFERROR(XLOOKUP(A23, BASE!E:E, BASE!H:H), "")
</f>
        <v>46060.39583</v>
      </c>
      <c r="F23" s="178"/>
      <c r="G23" s="178"/>
      <c r="H23" s="178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102" t="s">
        <v>1560</v>
      </c>
      <c r="B24" s="73" t="str">
        <f t="array" ref="B24">IFERROR(XLOOKUP(A24, BASE!E:E, BASE!B:B), "")
</f>
        <v>SoC_RS_Gravataí_02</v>
      </c>
      <c r="C24" s="73" t="str">
        <f t="array" ref="C24">IFERROR(XLOOKUP(A24, BASE!E:E, BASE!C:C), "")
</f>
        <v>SOC-RS2</v>
      </c>
      <c r="D24" s="73" t="str">
        <f t="array" ref="D24">IFERROR(XLOOKUP(A24, BASE!E:E, BASE!D:D), "")
</f>
        <v>92/12</v>
      </c>
      <c r="E24" s="168">
        <f t="array" ref="E24">IFERROR(XLOOKUP(A24, BASE!E:E, BASE!H:H), "")
</f>
        <v>46060.45833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102"/>
      <c r="B25" s="73" t="str">
        <f t="array" ref="B25">IFERROR(XLOOKUP(A25, BASE!E:E, BASE!B:B), "")
</f>
        <v/>
      </c>
      <c r="C25" s="73" t="str">
        <f t="array" ref="C25">IFERROR(XLOOKUP(A25, BASE!E:E, BASE!C:C), "")
</f>
        <v/>
      </c>
      <c r="D25" s="73" t="str">
        <f t="array" ref="D25">IFERROR(XLOOKUP(A25, BASE!E:E, BASE!D:D), "")
</f>
        <v/>
      </c>
      <c r="E25" s="168" t="str">
        <f t="array" ref="E25">IFERROR(XLOOKUP(A25, BASE!E:E, BASE!H:H), "")
</f>
        <v/>
      </c>
      <c r="F25" s="178"/>
      <c r="G25" s="178"/>
      <c r="H25" s="178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169"/>
      <c r="B26" s="73" t="str">
        <f t="array" ref="B26">IFERROR(XLOOKUP(A26, BASE!E:E, BASE!B:B), "")
</f>
        <v/>
      </c>
      <c r="C26" s="73" t="str">
        <f t="array" ref="C26">IFERROR(XLOOKUP(A26, BASE!E:E, BASE!C:C), "")
</f>
        <v/>
      </c>
      <c r="D26" s="73" t="str">
        <f t="array" ref="D26">IFERROR(XLOOKUP(A26, BASE!E:E, BASE!D:D), "")
</f>
        <v/>
      </c>
      <c r="E26" s="168" t="str">
        <f t="array" ref="E26">IFERROR(XLOOKUP(A26, BASE!E:E, BASE!H:H), "")
</f>
        <v/>
      </c>
      <c r="F26" s="178"/>
      <c r="G26" s="178"/>
      <c r="H26" s="178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169"/>
      <c r="B27" s="73" t="str">
        <f t="array" ref="B27">IFERROR(XLOOKUP(A27, BASE!E:E, BASE!B:B), "")
</f>
        <v/>
      </c>
      <c r="C27" s="73" t="str">
        <f t="array" ref="C27">IFERROR(XLOOKUP(A27, BASE!E:E, BASE!C:C), "")
</f>
        <v/>
      </c>
      <c r="D27" s="73" t="str">
        <f t="array" ref="D27">IFERROR(XLOOKUP(A27, BASE!E:E, BASE!D:D), "")
</f>
        <v/>
      </c>
      <c r="E27" s="168" t="str">
        <f t="array" ref="E27">IFERROR(XLOOKUP(A27, BASE!E:E, BASE!H:H), "")
</f>
        <v/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146"/>
      <c r="B28" s="73" t="str">
        <f t="array" ref="B28">IFERROR(XLOOKUP(A28, BASE!E:E, BASE!B:B), "")
</f>
        <v/>
      </c>
      <c r="C28" s="73" t="str">
        <f t="array" ref="C28">IFERROR(XLOOKUP(A28, BASE!E:E, BASE!C:C), "")
</f>
        <v/>
      </c>
      <c r="D28" s="73" t="str">
        <f t="array" ref="D28">IFERROR(XLOOKUP(A28, BASE!E:E, BASE!D:D), "")
</f>
        <v/>
      </c>
      <c r="E28" s="168" t="str">
        <f t="array" ref="E28">IFERROR(XLOOKUP(A28, BASE!E:E, BASE!H:H), "")
</f>
        <v/>
      </c>
      <c r="F28" s="178"/>
      <c r="G28" s="178"/>
      <c r="H28" s="178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146"/>
      <c r="B29" s="73" t="str">
        <f t="array" ref="B29">IFERROR(XLOOKUP(A29, BASE!E:E, BASE!B:B), "")
</f>
        <v/>
      </c>
      <c r="C29" s="73" t="str">
        <f t="array" ref="C29">IFERROR(XLOOKUP(A29, BASE!E:E, BASE!C:C), "")
</f>
        <v/>
      </c>
      <c r="D29" s="73" t="str">
        <f t="array" ref="D29">IFERROR(XLOOKUP(A29, BASE!E:E, BASE!D:D), "")
</f>
        <v/>
      </c>
      <c r="E29" s="168" t="str">
        <f t="array" ref="E29">IFERROR(XLOOKUP(A29, BASE!E:E, BASE!H:H), "")
</f>
        <v/>
      </c>
      <c r="F29" s="178"/>
      <c r="G29" s="178"/>
      <c r="H29" s="178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231"/>
      <c r="B30" s="73" t="str">
        <f t="array" ref="B30">IFERROR(XLOOKUP(A30, BASE!E:E, BASE!B:B), "")
</f>
        <v/>
      </c>
      <c r="C30" s="73" t="str">
        <f t="array" ref="C30">IFERROR(XLOOKUP(A30, BASE!E:E, BASE!C:C), "")
</f>
        <v/>
      </c>
      <c r="D30" s="73" t="str">
        <f t="array" ref="D30">IFERROR(XLOOKUP(A30, BASE!E:E, BASE!D:D), "")
</f>
        <v/>
      </c>
      <c r="E30" s="168" t="str">
        <f t="array" ref="E30">IFERROR(XLOOKUP(A30, BASE!E:E, BASE!H:H), "")
</f>
        <v/>
      </c>
      <c r="F30" s="178"/>
      <c r="G30" s="178"/>
      <c r="H30" s="178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169"/>
      <c r="B31" s="73" t="str">
        <f t="array" ref="B31">IFERROR(XLOOKUP(A31, BASE!E:E, BASE!B:B), "")
</f>
        <v/>
      </c>
      <c r="C31" s="73" t="str">
        <f t="array" ref="C31">IFERROR(XLOOKUP(A31, BASE!E:E, BASE!C:C), "")
</f>
        <v/>
      </c>
      <c r="D31" s="73" t="str">
        <f t="array" ref="D31">IFERROR(XLOOKUP(A31, BASE!E:E, BASE!D:D), "")
</f>
        <v/>
      </c>
      <c r="E31" s="168" t="str">
        <f t="array" ref="E31">IFERROR(XLOOKUP(A31, BASE!E:E, BASE!H:H), "")
</f>
        <v/>
      </c>
      <c r="F31" s="178"/>
      <c r="G31" s="178"/>
      <c r="H31" s="178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94"/>
      <c r="B32" s="73" t="str">
        <f t="array" ref="B32">IFERROR(XLOOKUP(A32, BASE!E:E, BASE!B:B), "")
</f>
        <v/>
      </c>
      <c r="C32" s="73" t="str">
        <f t="array" ref="C32">IFERROR(XLOOKUP(A32, BASE!E:E, BASE!C:C), "")
</f>
        <v/>
      </c>
      <c r="D32" s="73" t="str">
        <f t="array" ref="D32">IFERROR(XLOOKUP(A32, BASE!E:E, BASE!D:D), "")
</f>
        <v/>
      </c>
      <c r="E32" s="168" t="str">
        <f t="array" ref="E32">IFERROR(XLOOKUP(A32, BASE!E:E, BASE!H:H), "")
</f>
        <v/>
      </c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146"/>
      <c r="B33" s="73" t="str">
        <f t="array" ref="B33">IFERROR(XLOOKUP(A33, BASE!E:E, BASE!B:B), "")
</f>
        <v/>
      </c>
      <c r="C33" s="73" t="str">
        <f t="array" ref="C33">IFERROR(XLOOKUP(A33, BASE!E:E, BASE!C:C), "")
</f>
        <v/>
      </c>
      <c r="D33" s="73" t="str">
        <f t="array" ref="D33">IFERROR(XLOOKUP(A33, BASE!E:E, BASE!D:D), "")
</f>
        <v/>
      </c>
      <c r="E33" s="168" t="str">
        <f t="array" ref="E33">IFERROR(XLOOKUP(A33, BASE!E:E, BASE!H:H), "")
</f>
        <v/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95"/>
      <c r="B34" s="73" t="str">
        <f t="array" ref="B34">IFERROR(XLOOKUP(A34, BASE!E:E, BASE!B:B), "")
</f>
        <v/>
      </c>
      <c r="C34" s="73" t="str">
        <f t="array" ref="C34">IFERROR(XLOOKUP(A34, BASE!E:E, BASE!C:C), "")
</f>
        <v/>
      </c>
      <c r="D34" s="73" t="str">
        <f t="array" ref="D34">IFERROR(XLOOKUP(A34, BASE!E:E, BASE!D:D), "")
</f>
        <v/>
      </c>
      <c r="E34" s="168" t="str">
        <f t="array" ref="E34">IFERROR(XLOOKUP(A34, BASE!E:E, BASE!H:H), "")
</f>
        <v/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95"/>
      <c r="B35" s="73" t="str">
        <f t="array" ref="B35">IFERROR(XLOOKUP(A35, BASE!E:E, BASE!B:B), "")
</f>
        <v/>
      </c>
      <c r="C35" s="73" t="str">
        <f t="array" ref="C35">IFERROR(XLOOKUP(A35, BASE!E:E, BASE!C:C), "")
</f>
        <v/>
      </c>
      <c r="D35" s="73" t="str">
        <f t="array" ref="D35">IFERROR(XLOOKUP(A35, BASE!E:E, BASE!D:D), "")
</f>
        <v/>
      </c>
      <c r="E35" s="168" t="str">
        <f t="array" ref="E35">IFERROR(XLOOKUP(A35, BASE!E:E, BASE!H:H), "")
</f>
        <v/>
      </c>
      <c r="F35" s="178"/>
      <c r="G35" s="178"/>
      <c r="H35" s="178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95"/>
      <c r="B36" s="73" t="str">
        <f t="array" ref="B36">IFERROR(XLOOKUP(A36, BASE!E:E, BASE!B:B), "")
</f>
        <v/>
      </c>
      <c r="C36" s="73" t="str">
        <f t="array" ref="C36">IFERROR(XLOOKUP(A36, BASE!E:E, BASE!C:C), "")
</f>
        <v/>
      </c>
      <c r="D36" s="73" t="str">
        <f t="array" ref="D36">IFERROR(XLOOKUP(A36, BASE!E:E, BASE!D:D), "")
</f>
        <v/>
      </c>
      <c r="E36" s="168" t="str">
        <f t="array" ref="E36">IFERROR(XLOOKUP(A36, BASE!E:E, BASE!H:H), "")
</f>
        <v/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146"/>
      <c r="B37" s="73" t="str">
        <f t="array" ref="B37">IFERROR(XLOOKUP(A37, BASE!E:E, BASE!B:B), "")
</f>
        <v/>
      </c>
      <c r="C37" s="73" t="str">
        <f t="array" ref="C37">IFERROR(XLOOKUP(A37, BASE!E:E, BASE!C:C), "")
</f>
        <v/>
      </c>
      <c r="D37" s="73" t="str">
        <f t="array" ref="D37">IFERROR(XLOOKUP(A37, BASE!E:E, BASE!D:D), "")
</f>
        <v/>
      </c>
      <c r="E37" s="168" t="str">
        <f t="array" ref="E37">IFERROR(XLOOKUP(A37, BASE!E:E, BASE!H:H), "")
</f>
        <v/>
      </c>
      <c r="F37" s="178"/>
      <c r="G37" s="178"/>
      <c r="H37" s="178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146"/>
      <c r="B38" s="73" t="str">
        <f t="array" ref="B38">IFERROR(XLOOKUP(A38, BASE!E:E, BASE!B:B), "")
</f>
        <v/>
      </c>
      <c r="C38" s="73" t="str">
        <f t="array" ref="C38">IFERROR(XLOOKUP(A38, BASE!E:E, BASE!C:C), "")
</f>
        <v/>
      </c>
      <c r="D38" s="73" t="str">
        <f t="array" ref="D38">IFERROR(XLOOKUP(A38, BASE!E:E, BASE!D:D), "")
</f>
        <v/>
      </c>
      <c r="E38" s="168" t="str">
        <f t="array" ref="E38">IFERROR(XLOOKUP(A38, BASE!E:E, BASE!H:H), "")
</f>
        <v/>
      </c>
      <c r="F38" s="178"/>
      <c r="G38" s="178"/>
      <c r="H38" s="178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146"/>
      <c r="B39" s="73" t="str">
        <f t="array" ref="B39">IFERROR(XLOOKUP(A39, BASE!E:E, BASE!B:B), "")
</f>
        <v/>
      </c>
      <c r="C39" s="73" t="str">
        <f t="array" ref="C39">IFERROR(XLOOKUP(A39, BASE!E:E, BASE!C:C), "")
</f>
        <v/>
      </c>
      <c r="D39" s="73" t="str">
        <f t="array" ref="D39">IFERROR(XLOOKUP(A39, BASE!E:E, BASE!D:D), "")
</f>
        <v/>
      </c>
      <c r="E39" s="168" t="str">
        <f t="array" ref="E39">IFERROR(XLOOKUP(A39, BASE!E:E, BASE!H:H), "")
</f>
        <v/>
      </c>
      <c r="F39" s="178"/>
      <c r="G39" s="178"/>
      <c r="H39" s="178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146"/>
      <c r="B40" s="73" t="str">
        <f t="array" ref="B40">IFERROR(XLOOKUP(A40, BASE!E:E, BASE!B:B), "")
</f>
        <v/>
      </c>
      <c r="C40" s="73" t="str">
        <f t="array" ref="C40">IFERROR(XLOOKUP(A40, BASE!E:E, BASE!C:C), "")
</f>
        <v/>
      </c>
      <c r="D40" s="73" t="str">
        <f t="array" ref="D40">IFERROR(XLOOKUP(A40, BASE!E:E, BASE!D:D), "")
</f>
        <v/>
      </c>
      <c r="E40" s="168" t="str">
        <f t="array" ref="E40">IFERROR(XLOOKUP(A40, BASE!E:E, BASE!H:H), "")
</f>
        <v/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24"/>
      <c r="B41" s="73" t="str">
        <f t="array" ref="B41">IFERROR(XLOOKUP(A41, BASE!E:E, BASE!B:B), "")
</f>
        <v/>
      </c>
      <c r="C41" s="73" t="str">
        <f t="array" ref="C41">IFERROR(XLOOKUP(A41, BASE!E:E, BASE!C:C), "")
</f>
        <v/>
      </c>
      <c r="D41" s="73" t="str">
        <f t="array" ref="D41">IFERROR(XLOOKUP(A41, BASE!E:E, BASE!D:D), "")
</f>
        <v/>
      </c>
      <c r="E41" s="168" t="str">
        <f t="array" ref="E41">IFERROR(XLOOKUP(A41, BASE!E:E, BASE!H:H), "")
</f>
        <v/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24"/>
      <c r="B42" s="73" t="str">
        <f t="array" ref="B42">IFERROR(XLOOKUP(A42, BASE!E:E, BASE!B:B), "")
</f>
        <v/>
      </c>
      <c r="C42" s="73" t="str">
        <f t="array" ref="C42">IFERROR(XLOOKUP(A42, BASE!E:E, BASE!C:C), "")
</f>
        <v/>
      </c>
      <c r="D42" s="73" t="str">
        <f t="array" ref="D42">IFERROR(XLOOKUP(A42, BASE!E:E, BASE!D:D), "")
</f>
        <v/>
      </c>
      <c r="E42" s="168" t="str">
        <f t="array" ref="E42">IFERROR(XLOOKUP(A42, BASE!E:E, BASE!H:H), "")
</f>
        <v/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24"/>
      <c r="B43" s="73" t="str">
        <f t="array" ref="B43">IFERROR(XLOOKUP(A43, BASE!E:E, BASE!B:B), "")
</f>
        <v/>
      </c>
      <c r="C43" s="73" t="str">
        <f t="array" ref="C43">IFERROR(XLOOKUP(A43, BASE!E:E, BASE!C:C), "")
</f>
        <v/>
      </c>
      <c r="D43" s="73" t="str">
        <f t="array" ref="D43">IFERROR(XLOOKUP(A43, BASE!E:E, BASE!D:D), "")
</f>
        <v/>
      </c>
      <c r="E43" s="168" t="str">
        <f t="array" ref="E43">IFERROR(XLOOKUP(A43, BASE!E:E, BASE!H:H), "")
</f>
        <v/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24"/>
      <c r="B44" s="73" t="str">
        <f t="array" ref="B44">IFERROR(XLOOKUP(A44, BASE!E:E, BASE!B:B), "")
</f>
        <v/>
      </c>
      <c r="C44" s="73" t="str">
        <f t="array" ref="C44">IFERROR(XLOOKUP(A44, BASE!E:E, BASE!C:C), "")
</f>
        <v/>
      </c>
      <c r="D44" s="73" t="str">
        <f t="array" ref="D44">IFERROR(XLOOKUP(A44, BASE!E:E, BASE!D:D), "")
</f>
        <v/>
      </c>
      <c r="E44" s="168" t="str">
        <f t="array" ref="E44">IFERROR(XLOOKUP(A44, BASE!E:E, BASE!H:H), "")
</f>
        <v/>
      </c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24"/>
      <c r="B45" s="73" t="str">
        <f t="array" ref="B45">IFERROR(XLOOKUP(A45, BASE!E:E, BASE!B:B), "")
</f>
        <v/>
      </c>
      <c r="C45" s="73" t="str">
        <f t="array" ref="C45">IFERROR(XLOOKUP(A45, BASE!E:E, BASE!C:C), "")
</f>
        <v/>
      </c>
      <c r="D45" s="73" t="str">
        <f t="array" ref="D45">IFERROR(XLOOKUP(A45, BASE!E:E, BASE!D:D), "")
</f>
        <v/>
      </c>
      <c r="E45" s="168" t="str">
        <f t="array" ref="E45">IFERROR(XLOOKUP(A45, BASE!E:E, BASE!H:H), "")
</f>
        <v/>
      </c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24"/>
      <c r="B46" s="73" t="str">
        <f t="array" ref="B46">IFERROR(XLOOKUP(A46, BASE!E:E, BASE!B:B), "")
</f>
        <v/>
      </c>
      <c r="C46" s="73" t="str">
        <f t="array" ref="C46">IFERROR(XLOOKUP(A46, BASE!E:E, BASE!C:C), "")
</f>
        <v/>
      </c>
      <c r="D46" s="73" t="str">
        <f t="array" ref="D46">IFERROR(XLOOKUP(A46, BASE!E:E, BASE!D:D), "")
</f>
        <v/>
      </c>
      <c r="E46" s="168" t="str">
        <f t="array" ref="E46">IFERROR(XLOOKUP(A46, BASE!E:E, BASE!H:H), "")
</f>
        <v/>
      </c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24"/>
      <c r="B47" s="73" t="str">
        <f t="array" ref="B47">IFERROR(XLOOKUP(A47, BASE!E:E, BASE!B:B), "")
</f>
        <v/>
      </c>
      <c r="C47" s="73" t="str">
        <f t="array" ref="C47">IFERROR(XLOOKUP(A47, BASE!E:E, BASE!C:C), "")
</f>
        <v/>
      </c>
      <c r="D47" s="73" t="str">
        <f t="array" ref="D47">IFERROR(XLOOKUP(A47, BASE!E:E, BASE!D:D), "")
</f>
        <v/>
      </c>
      <c r="E47" s="168" t="str">
        <f t="array" ref="E47">IFERROR(XLOOKUP(A47, BASE!E:E, BASE!H:H), "")
</f>
        <v/>
      </c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178"/>
      <c r="B48" s="178"/>
      <c r="C48" s="178"/>
      <c r="D48" s="178"/>
      <c r="E48" s="178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178"/>
      <c r="B49" s="178"/>
      <c r="C49" s="178"/>
      <c r="D49" s="178"/>
      <c r="E49" s="178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178"/>
      <c r="B50" s="178"/>
      <c r="C50" s="178"/>
      <c r="D50" s="178"/>
      <c r="E50" s="178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178"/>
      <c r="B51" s="178"/>
      <c r="C51" s="178"/>
      <c r="D51" s="178"/>
      <c r="E51" s="178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178"/>
      <c r="B52" s="178"/>
      <c r="C52" s="178"/>
      <c r="D52" s="178"/>
      <c r="E52" s="178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178"/>
      <c r="B53" s="178"/>
      <c r="C53" s="178"/>
      <c r="D53" s="178"/>
      <c r="E53" s="178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178"/>
      <c r="B54" s="178"/>
      <c r="C54" s="178"/>
      <c r="D54" s="178"/>
      <c r="E54" s="178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178"/>
      <c r="B55" s="178"/>
      <c r="C55" s="178"/>
      <c r="D55" s="178"/>
      <c r="E55" s="178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178"/>
      <c r="B56" s="178"/>
      <c r="C56" s="178"/>
      <c r="D56" s="178"/>
      <c r="E56" s="178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178"/>
      <c r="B57" s="178"/>
      <c r="C57" s="178"/>
      <c r="D57" s="178"/>
      <c r="E57" s="178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178"/>
      <c r="B58" s="178"/>
      <c r="C58" s="178"/>
      <c r="D58" s="178"/>
      <c r="E58" s="178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178"/>
      <c r="B59" s="178"/>
      <c r="C59" s="178"/>
      <c r="D59" s="178"/>
      <c r="E59" s="178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178"/>
      <c r="B60" s="178"/>
      <c r="C60" s="178"/>
      <c r="D60" s="178"/>
      <c r="E60" s="178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178"/>
      <c r="B61" s="178"/>
      <c r="C61" s="178"/>
      <c r="D61" s="178"/>
      <c r="E61" s="178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178"/>
      <c r="B62" s="178"/>
      <c r="C62" s="178"/>
      <c r="D62" s="178"/>
      <c r="E62" s="178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178"/>
      <c r="B63" s="178"/>
      <c r="C63" s="178"/>
      <c r="D63" s="178"/>
      <c r="E63" s="178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178"/>
      <c r="B64" s="178"/>
      <c r="C64" s="178"/>
      <c r="D64" s="178"/>
      <c r="E64" s="178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178"/>
      <c r="B65" s="178"/>
      <c r="C65" s="178"/>
      <c r="D65" s="178"/>
      <c r="E65" s="178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178"/>
      <c r="B66" s="178"/>
      <c r="C66" s="178"/>
      <c r="D66" s="178"/>
      <c r="E66" s="178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178"/>
      <c r="B67" s="178"/>
      <c r="C67" s="178"/>
      <c r="D67" s="178"/>
      <c r="E67" s="178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178"/>
      <c r="B68" s="178"/>
      <c r="C68" s="178"/>
      <c r="D68" s="178"/>
      <c r="E68" s="178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178"/>
      <c r="B69" s="178"/>
      <c r="C69" s="178"/>
      <c r="D69" s="178"/>
      <c r="E69" s="178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178"/>
      <c r="B70" s="178"/>
      <c r="C70" s="178"/>
      <c r="D70" s="178"/>
      <c r="E70" s="178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178"/>
      <c r="B71" s="178"/>
      <c r="C71" s="178"/>
      <c r="D71" s="178"/>
      <c r="E71" s="178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178"/>
      <c r="B72" s="178"/>
      <c r="C72" s="178"/>
      <c r="D72" s="178"/>
      <c r="E72" s="178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178"/>
      <c r="B73" s="178"/>
      <c r="C73" s="178"/>
      <c r="D73" s="178"/>
      <c r="E73" s="178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178"/>
      <c r="B74" s="178"/>
      <c r="C74" s="178"/>
      <c r="D74" s="178"/>
      <c r="E74" s="178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178"/>
      <c r="B75" s="178"/>
      <c r="C75" s="178"/>
      <c r="D75" s="178"/>
      <c r="E75" s="178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178"/>
      <c r="B76" s="178"/>
      <c r="C76" s="178"/>
      <c r="D76" s="178"/>
      <c r="E76" s="178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178"/>
      <c r="B77" s="178"/>
      <c r="C77" s="178"/>
      <c r="D77" s="178"/>
      <c r="E77" s="178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178"/>
      <c r="B78" s="178"/>
      <c r="C78" s="178"/>
      <c r="D78" s="178"/>
      <c r="E78" s="178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178"/>
      <c r="B79" s="178"/>
      <c r="C79" s="178"/>
      <c r="D79" s="178"/>
      <c r="E79" s="178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178"/>
      <c r="B80" s="178"/>
      <c r="C80" s="178"/>
      <c r="D80" s="178"/>
      <c r="E80" s="178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178"/>
      <c r="B81" s="178"/>
      <c r="C81" s="178"/>
      <c r="D81" s="178"/>
      <c r="E81" s="178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178"/>
      <c r="B82" s="178"/>
      <c r="C82" s="178"/>
      <c r="D82" s="178"/>
      <c r="E82" s="178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178"/>
      <c r="B83" s="178"/>
      <c r="C83" s="178"/>
      <c r="D83" s="178"/>
      <c r="E83" s="178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178"/>
      <c r="B84" s="178"/>
      <c r="C84" s="178"/>
      <c r="D84" s="178"/>
      <c r="E84" s="178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178"/>
      <c r="B85" s="178"/>
      <c r="C85" s="178"/>
      <c r="D85" s="178"/>
      <c r="E85" s="178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178"/>
      <c r="B86" s="178"/>
      <c r="C86" s="178"/>
      <c r="D86" s="178"/>
      <c r="E86" s="178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178"/>
      <c r="B87" s="178"/>
      <c r="C87" s="178"/>
      <c r="D87" s="178"/>
      <c r="E87" s="178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178"/>
      <c r="B88" s="178"/>
      <c r="C88" s="178"/>
      <c r="D88" s="178"/>
      <c r="E88" s="178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178"/>
      <c r="B89" s="178"/>
      <c r="C89" s="178"/>
      <c r="D89" s="178"/>
      <c r="E89" s="178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178"/>
      <c r="B90" s="178"/>
      <c r="C90" s="178"/>
      <c r="D90" s="178"/>
      <c r="E90" s="178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178"/>
      <c r="B91" s="178"/>
      <c r="C91" s="178"/>
      <c r="D91" s="178"/>
      <c r="E91" s="178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178"/>
      <c r="B92" s="178"/>
      <c r="C92" s="178"/>
      <c r="D92" s="178"/>
      <c r="E92" s="178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178"/>
      <c r="B93" s="178"/>
      <c r="C93" s="178"/>
      <c r="D93" s="178"/>
      <c r="E93" s="178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178"/>
      <c r="B94" s="178"/>
      <c r="C94" s="178"/>
      <c r="D94" s="178"/>
      <c r="E94" s="178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178"/>
      <c r="B95" s="178"/>
      <c r="C95" s="178"/>
      <c r="D95" s="178"/>
      <c r="E95" s="178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178"/>
      <c r="B96" s="178"/>
      <c r="C96" s="178"/>
      <c r="D96" s="178"/>
      <c r="E96" s="178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178"/>
      <c r="B97" s="178"/>
      <c r="C97" s="178"/>
      <c r="D97" s="178"/>
      <c r="E97" s="178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178"/>
      <c r="B98" s="178"/>
      <c r="C98" s="178"/>
      <c r="D98" s="178"/>
      <c r="E98" s="178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178"/>
      <c r="B99" s="178"/>
      <c r="C99" s="178"/>
      <c r="D99" s="178"/>
      <c r="E99" s="178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178"/>
      <c r="B100" s="178"/>
      <c r="C100" s="178"/>
      <c r="D100" s="178"/>
      <c r="E100" s="178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178"/>
      <c r="B101" s="178"/>
      <c r="C101" s="178"/>
      <c r="D101" s="178"/>
      <c r="E101" s="178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178"/>
      <c r="B102" s="178"/>
      <c r="C102" s="178"/>
      <c r="D102" s="178"/>
      <c r="E102" s="178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178"/>
      <c r="B103" s="178"/>
      <c r="C103" s="178"/>
      <c r="D103" s="178"/>
      <c r="E103" s="178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178"/>
      <c r="B104" s="178"/>
      <c r="C104" s="178"/>
      <c r="D104" s="178"/>
      <c r="E104" s="178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178"/>
      <c r="B105" s="178"/>
      <c r="C105" s="178"/>
      <c r="D105" s="178"/>
      <c r="E105" s="178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178"/>
      <c r="B106" s="178"/>
      <c r="C106" s="178"/>
      <c r="D106" s="178"/>
      <c r="E106" s="178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178"/>
      <c r="B107" s="178"/>
      <c r="C107" s="178"/>
      <c r="D107" s="178"/>
      <c r="E107" s="178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178"/>
      <c r="B108" s="178"/>
      <c r="C108" s="178"/>
      <c r="D108" s="178"/>
      <c r="E108" s="178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178"/>
      <c r="B109" s="178"/>
      <c r="C109" s="178"/>
      <c r="D109" s="178"/>
      <c r="E109" s="178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178"/>
      <c r="B110" s="178"/>
      <c r="C110" s="178"/>
      <c r="D110" s="178"/>
      <c r="E110" s="178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178"/>
      <c r="B111" s="178"/>
      <c r="C111" s="178"/>
      <c r="D111" s="178"/>
      <c r="E111" s="178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178"/>
      <c r="B112" s="178"/>
      <c r="C112" s="178"/>
      <c r="D112" s="178"/>
      <c r="E112" s="178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178"/>
      <c r="B113" s="178"/>
      <c r="C113" s="178"/>
      <c r="D113" s="178"/>
      <c r="E113" s="178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178"/>
      <c r="B114" s="178"/>
      <c r="C114" s="178"/>
      <c r="D114" s="178"/>
      <c r="E114" s="178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178"/>
      <c r="B115" s="178"/>
      <c r="C115" s="178"/>
      <c r="D115" s="178"/>
      <c r="E115" s="178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178"/>
      <c r="B116" s="178"/>
      <c r="C116" s="178"/>
      <c r="D116" s="178"/>
      <c r="E116" s="178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178"/>
      <c r="B117" s="178"/>
      <c r="C117" s="178"/>
      <c r="D117" s="178"/>
      <c r="E117" s="178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178"/>
      <c r="B118" s="178"/>
      <c r="C118" s="178"/>
      <c r="D118" s="178"/>
      <c r="E118" s="178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178"/>
      <c r="B119" s="178"/>
      <c r="C119" s="178"/>
      <c r="D119" s="178"/>
      <c r="E119" s="178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178"/>
      <c r="B120" s="178"/>
      <c r="C120" s="178"/>
      <c r="D120" s="178"/>
      <c r="E120" s="178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178"/>
      <c r="B121" s="178"/>
      <c r="C121" s="178"/>
      <c r="D121" s="178"/>
      <c r="E121" s="178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178"/>
      <c r="B122" s="178"/>
      <c r="C122" s="178"/>
      <c r="D122" s="178"/>
      <c r="E122" s="178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178"/>
      <c r="B123" s="178"/>
      <c r="C123" s="178"/>
      <c r="D123" s="178"/>
      <c r="E123" s="178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178"/>
      <c r="B124" s="178"/>
      <c r="C124" s="178"/>
      <c r="D124" s="178"/>
      <c r="E124" s="178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178"/>
      <c r="B125" s="178"/>
      <c r="C125" s="178"/>
      <c r="D125" s="178"/>
      <c r="E125" s="178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178"/>
      <c r="B126" s="178"/>
      <c r="C126" s="178"/>
      <c r="D126" s="178"/>
      <c r="E126" s="178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178"/>
      <c r="B127" s="178"/>
      <c r="C127" s="178"/>
      <c r="D127" s="178"/>
      <c r="E127" s="178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178"/>
      <c r="B128" s="178"/>
      <c r="C128" s="178"/>
      <c r="D128" s="178"/>
      <c r="E128" s="178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178"/>
      <c r="B129" s="178"/>
      <c r="C129" s="178"/>
      <c r="D129" s="178"/>
      <c r="E129" s="178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178"/>
      <c r="B130" s="178"/>
      <c r="C130" s="178"/>
      <c r="D130" s="178"/>
      <c r="E130" s="178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178"/>
      <c r="B131" s="178"/>
      <c r="C131" s="178"/>
      <c r="D131" s="178"/>
      <c r="E131" s="178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178"/>
      <c r="B132" s="178"/>
      <c r="C132" s="178"/>
      <c r="D132" s="178"/>
      <c r="E132" s="178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178"/>
      <c r="B133" s="178"/>
      <c r="C133" s="178"/>
      <c r="D133" s="178"/>
      <c r="E133" s="178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178"/>
      <c r="B134" s="178"/>
      <c r="C134" s="178"/>
      <c r="D134" s="178"/>
      <c r="E134" s="178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178"/>
      <c r="B135" s="178"/>
      <c r="C135" s="178"/>
      <c r="D135" s="178"/>
      <c r="E135" s="178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178"/>
      <c r="B136" s="178"/>
      <c r="C136" s="178"/>
      <c r="D136" s="178"/>
      <c r="E136" s="178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178"/>
      <c r="B137" s="178"/>
      <c r="C137" s="178"/>
      <c r="D137" s="178"/>
      <c r="E137" s="178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178"/>
      <c r="B138" s="178"/>
      <c r="C138" s="178"/>
      <c r="D138" s="178"/>
      <c r="E138" s="178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178"/>
      <c r="B139" s="178"/>
      <c r="C139" s="178"/>
      <c r="D139" s="178"/>
      <c r="E139" s="178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178"/>
      <c r="B140" s="178"/>
      <c r="C140" s="178"/>
      <c r="D140" s="178"/>
      <c r="E140" s="178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178"/>
      <c r="B141" s="178"/>
      <c r="C141" s="178"/>
      <c r="D141" s="178"/>
      <c r="E141" s="178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178"/>
      <c r="B142" s="178"/>
      <c r="C142" s="178"/>
      <c r="D142" s="178"/>
      <c r="E142" s="178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178"/>
      <c r="B143" s="178"/>
      <c r="C143" s="178"/>
      <c r="D143" s="178"/>
      <c r="E143" s="178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178"/>
      <c r="B144" s="178"/>
      <c r="C144" s="178"/>
      <c r="D144" s="178"/>
      <c r="E144" s="178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178"/>
      <c r="B145" s="178"/>
      <c r="C145" s="178"/>
      <c r="D145" s="178"/>
      <c r="E145" s="178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178"/>
      <c r="B146" s="178"/>
      <c r="C146" s="178"/>
      <c r="D146" s="178"/>
      <c r="E146" s="178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178"/>
      <c r="B147" s="178"/>
      <c r="C147" s="178"/>
      <c r="D147" s="178"/>
      <c r="E147" s="178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178"/>
      <c r="B148" s="178"/>
      <c r="C148" s="178"/>
      <c r="D148" s="178"/>
      <c r="E148" s="178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178"/>
      <c r="B149" s="178"/>
      <c r="C149" s="178"/>
      <c r="D149" s="178"/>
      <c r="E149" s="178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178"/>
      <c r="B150" s="178"/>
      <c r="C150" s="178"/>
      <c r="D150" s="178"/>
      <c r="E150" s="178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178"/>
      <c r="B151" s="178"/>
      <c r="C151" s="178"/>
      <c r="D151" s="178"/>
      <c r="E151" s="178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178"/>
      <c r="B152" s="178"/>
      <c r="C152" s="178"/>
      <c r="D152" s="178"/>
      <c r="E152" s="178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178"/>
      <c r="B153" s="178"/>
      <c r="C153" s="178"/>
      <c r="D153" s="178"/>
      <c r="E153" s="178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178"/>
      <c r="B154" s="178"/>
      <c r="C154" s="178"/>
      <c r="D154" s="178"/>
      <c r="E154" s="178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178"/>
      <c r="B155" s="178"/>
      <c r="C155" s="178"/>
      <c r="D155" s="178"/>
      <c r="E155" s="178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178"/>
      <c r="B156" s="178"/>
      <c r="C156" s="178"/>
      <c r="D156" s="178"/>
      <c r="E156" s="178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178"/>
      <c r="B157" s="178"/>
      <c r="C157" s="178"/>
      <c r="D157" s="178"/>
      <c r="E157" s="178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178"/>
      <c r="B158" s="178"/>
      <c r="C158" s="178"/>
      <c r="D158" s="178"/>
      <c r="E158" s="178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178"/>
      <c r="B159" s="178"/>
      <c r="C159" s="178"/>
      <c r="D159" s="178"/>
      <c r="E159" s="178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178"/>
      <c r="B160" s="178"/>
      <c r="C160" s="178"/>
      <c r="D160" s="178"/>
      <c r="E160" s="178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178"/>
      <c r="B161" s="178"/>
      <c r="C161" s="178"/>
      <c r="D161" s="178"/>
      <c r="E161" s="178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178"/>
      <c r="B162" s="178"/>
      <c r="C162" s="178"/>
      <c r="D162" s="178"/>
      <c r="E162" s="178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178"/>
      <c r="B163" s="178"/>
      <c r="C163" s="178"/>
      <c r="D163" s="178"/>
      <c r="E163" s="178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178"/>
      <c r="B164" s="178"/>
      <c r="C164" s="178"/>
      <c r="D164" s="178"/>
      <c r="E164" s="178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178"/>
      <c r="B165" s="178"/>
      <c r="C165" s="178"/>
      <c r="D165" s="178"/>
      <c r="E165" s="178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178"/>
      <c r="B166" s="178"/>
      <c r="C166" s="178"/>
      <c r="D166" s="178"/>
      <c r="E166" s="178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178"/>
      <c r="B167" s="178"/>
      <c r="C167" s="178"/>
      <c r="D167" s="178"/>
      <c r="E167" s="178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178"/>
      <c r="B168" s="178"/>
      <c r="C168" s="178"/>
      <c r="D168" s="178"/>
      <c r="E168" s="178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178"/>
      <c r="B169" s="178"/>
      <c r="C169" s="178"/>
      <c r="D169" s="178"/>
      <c r="E169" s="178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178"/>
      <c r="B170" s="178"/>
      <c r="C170" s="178"/>
      <c r="D170" s="178"/>
      <c r="E170" s="178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178"/>
      <c r="B171" s="178"/>
      <c r="C171" s="178"/>
      <c r="D171" s="178"/>
      <c r="E171" s="178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178"/>
      <c r="B172" s="178"/>
      <c r="C172" s="178"/>
      <c r="D172" s="178"/>
      <c r="E172" s="178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178"/>
      <c r="B173" s="178"/>
      <c r="C173" s="178"/>
      <c r="D173" s="178"/>
      <c r="E173" s="178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178"/>
      <c r="B174" s="178"/>
      <c r="C174" s="178"/>
      <c r="D174" s="178"/>
      <c r="E174" s="178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178"/>
      <c r="B175" s="178"/>
      <c r="C175" s="178"/>
      <c r="D175" s="178"/>
      <c r="E175" s="178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178"/>
      <c r="B176" s="178"/>
      <c r="C176" s="178"/>
      <c r="D176" s="178"/>
      <c r="E176" s="178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178"/>
      <c r="B177" s="178"/>
      <c r="C177" s="178"/>
      <c r="D177" s="178"/>
      <c r="E177" s="178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178"/>
      <c r="B178" s="178"/>
      <c r="C178" s="178"/>
      <c r="D178" s="178"/>
      <c r="E178" s="178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178"/>
      <c r="B179" s="178"/>
      <c r="C179" s="178"/>
      <c r="D179" s="178"/>
      <c r="E179" s="178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178"/>
      <c r="B180" s="178"/>
      <c r="C180" s="178"/>
      <c r="D180" s="178"/>
      <c r="E180" s="178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178"/>
      <c r="B181" s="178"/>
      <c r="C181" s="178"/>
      <c r="D181" s="178"/>
      <c r="E181" s="178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178"/>
      <c r="B182" s="178"/>
      <c r="C182" s="178"/>
      <c r="D182" s="178"/>
      <c r="E182" s="178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178"/>
      <c r="B183" s="178"/>
      <c r="C183" s="178"/>
      <c r="D183" s="178"/>
      <c r="E183" s="178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178"/>
      <c r="B184" s="178"/>
      <c r="C184" s="178"/>
      <c r="D184" s="178"/>
      <c r="E184" s="178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178"/>
      <c r="B185" s="178"/>
      <c r="C185" s="178"/>
      <c r="D185" s="178"/>
      <c r="E185" s="178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178"/>
      <c r="B186" s="178"/>
      <c r="C186" s="178"/>
      <c r="D186" s="178"/>
      <c r="E186" s="178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178"/>
      <c r="B187" s="178"/>
      <c r="C187" s="178"/>
      <c r="D187" s="178"/>
      <c r="E187" s="178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178"/>
      <c r="B188" s="178"/>
      <c r="C188" s="178"/>
      <c r="D188" s="178"/>
      <c r="E188" s="178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178"/>
      <c r="B189" s="178"/>
      <c r="C189" s="178"/>
      <c r="D189" s="178"/>
      <c r="E189" s="178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178"/>
      <c r="B190" s="178"/>
      <c r="C190" s="178"/>
      <c r="D190" s="178"/>
      <c r="E190" s="178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178"/>
      <c r="B191" s="178"/>
      <c r="C191" s="178"/>
      <c r="D191" s="178"/>
      <c r="E191" s="178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178"/>
      <c r="B192" s="178"/>
      <c r="C192" s="178"/>
      <c r="D192" s="178"/>
      <c r="E192" s="178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178"/>
      <c r="B193" s="178"/>
      <c r="C193" s="178"/>
      <c r="D193" s="178"/>
      <c r="E193" s="178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178"/>
      <c r="B194" s="178"/>
      <c r="C194" s="178"/>
      <c r="D194" s="178"/>
      <c r="E194" s="178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178"/>
      <c r="B195" s="178"/>
      <c r="C195" s="178"/>
      <c r="D195" s="178"/>
      <c r="E195" s="178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178"/>
      <c r="B196" s="178"/>
      <c r="C196" s="178"/>
      <c r="D196" s="178"/>
      <c r="E196" s="178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178"/>
      <c r="B197" s="178"/>
      <c r="C197" s="178"/>
      <c r="D197" s="178"/>
      <c r="E197" s="178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178"/>
      <c r="B198" s="178"/>
      <c r="C198" s="178"/>
      <c r="D198" s="178"/>
      <c r="E198" s="178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178"/>
      <c r="B199" s="178"/>
      <c r="C199" s="178"/>
      <c r="D199" s="178"/>
      <c r="E199" s="178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178"/>
      <c r="B200" s="178"/>
      <c r="C200" s="178"/>
      <c r="D200" s="178"/>
      <c r="E200" s="178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178"/>
      <c r="B201" s="178"/>
      <c r="C201" s="178"/>
      <c r="D201" s="178"/>
      <c r="E201" s="178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178"/>
      <c r="B202" s="178"/>
      <c r="C202" s="178"/>
      <c r="D202" s="178"/>
      <c r="E202" s="178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178"/>
      <c r="B203" s="178"/>
      <c r="C203" s="178"/>
      <c r="D203" s="178"/>
      <c r="E203" s="178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178"/>
      <c r="B204" s="178"/>
      <c r="C204" s="178"/>
      <c r="D204" s="178"/>
      <c r="E204" s="178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178"/>
      <c r="B205" s="178"/>
      <c r="C205" s="178"/>
      <c r="D205" s="178"/>
      <c r="E205" s="178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178"/>
      <c r="B206" s="178"/>
      <c r="C206" s="178"/>
      <c r="D206" s="178"/>
      <c r="E206" s="178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178"/>
      <c r="B207" s="178"/>
      <c r="C207" s="178"/>
      <c r="D207" s="178"/>
      <c r="E207" s="178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178"/>
      <c r="B208" s="178"/>
      <c r="C208" s="178"/>
      <c r="D208" s="178"/>
      <c r="E208" s="178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178"/>
      <c r="B209" s="178"/>
      <c r="C209" s="178"/>
      <c r="D209" s="178"/>
      <c r="E209" s="178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178"/>
      <c r="B210" s="178"/>
      <c r="C210" s="178"/>
      <c r="D210" s="178"/>
      <c r="E210" s="178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178"/>
      <c r="B211" s="178"/>
      <c r="C211" s="178"/>
      <c r="D211" s="178"/>
      <c r="E211" s="178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178"/>
      <c r="B212" s="178"/>
      <c r="C212" s="178"/>
      <c r="D212" s="178"/>
      <c r="E212" s="178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178"/>
      <c r="B213" s="178"/>
      <c r="C213" s="178"/>
      <c r="D213" s="178"/>
      <c r="E213" s="178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178"/>
      <c r="B214" s="178"/>
      <c r="C214" s="178"/>
      <c r="D214" s="178"/>
      <c r="E214" s="178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178"/>
      <c r="B215" s="178"/>
      <c r="C215" s="178"/>
      <c r="D215" s="178"/>
      <c r="E215" s="178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178"/>
      <c r="B216" s="178"/>
      <c r="C216" s="178"/>
      <c r="D216" s="178"/>
      <c r="E216" s="178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178"/>
      <c r="B217" s="178"/>
      <c r="C217" s="178"/>
      <c r="D217" s="178"/>
      <c r="E217" s="178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178"/>
      <c r="B218" s="178"/>
      <c r="C218" s="178"/>
      <c r="D218" s="178"/>
      <c r="E218" s="178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178"/>
      <c r="B219" s="178"/>
      <c r="C219" s="178"/>
      <c r="D219" s="178"/>
      <c r="E219" s="178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178"/>
      <c r="B220" s="178"/>
      <c r="C220" s="178"/>
      <c r="D220" s="178"/>
      <c r="E220" s="178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178"/>
      <c r="B221" s="178"/>
      <c r="C221" s="178"/>
      <c r="D221" s="178"/>
      <c r="E221" s="178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178"/>
      <c r="B222" s="178"/>
      <c r="C222" s="178"/>
      <c r="D222" s="178"/>
      <c r="E222" s="178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178"/>
      <c r="B223" s="178"/>
      <c r="C223" s="178"/>
      <c r="D223" s="178"/>
      <c r="E223" s="178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178"/>
      <c r="B224" s="178"/>
      <c r="C224" s="178"/>
      <c r="D224" s="178"/>
      <c r="E224" s="178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178"/>
      <c r="B225" s="178"/>
      <c r="C225" s="178"/>
      <c r="D225" s="178"/>
      <c r="E225" s="178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178"/>
      <c r="B226" s="178"/>
      <c r="C226" s="178"/>
      <c r="D226" s="178"/>
      <c r="E226" s="178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178"/>
      <c r="B227" s="178"/>
      <c r="C227" s="178"/>
      <c r="D227" s="178"/>
      <c r="E227" s="178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178"/>
      <c r="B228" s="178"/>
      <c r="C228" s="178"/>
      <c r="D228" s="178"/>
      <c r="E228" s="178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178"/>
      <c r="B229" s="178"/>
      <c r="C229" s="178"/>
      <c r="D229" s="178"/>
      <c r="E229" s="178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178"/>
      <c r="B230" s="178"/>
      <c r="C230" s="178"/>
      <c r="D230" s="178"/>
      <c r="E230" s="178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178"/>
      <c r="B231" s="178"/>
      <c r="C231" s="178"/>
      <c r="D231" s="178"/>
      <c r="E231" s="178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178"/>
      <c r="B232" s="178"/>
      <c r="C232" s="178"/>
      <c r="D232" s="178"/>
      <c r="E232" s="178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178"/>
      <c r="B233" s="178"/>
      <c r="C233" s="178"/>
      <c r="D233" s="178"/>
      <c r="E233" s="178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178"/>
      <c r="B234" s="178"/>
      <c r="C234" s="178"/>
      <c r="D234" s="178"/>
      <c r="E234" s="178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178"/>
      <c r="B235" s="178"/>
      <c r="C235" s="178"/>
      <c r="D235" s="178"/>
      <c r="E235" s="178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178"/>
      <c r="B236" s="178"/>
      <c r="C236" s="178"/>
      <c r="D236" s="178"/>
      <c r="E236" s="178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178"/>
      <c r="B237" s="178"/>
      <c r="C237" s="178"/>
      <c r="D237" s="178"/>
      <c r="E237" s="178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178"/>
      <c r="B238" s="178"/>
      <c r="C238" s="178"/>
      <c r="D238" s="178"/>
      <c r="E238" s="178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178"/>
      <c r="B239" s="178"/>
      <c r="C239" s="178"/>
      <c r="D239" s="178"/>
      <c r="E239" s="178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178"/>
      <c r="B240" s="178"/>
      <c r="C240" s="178"/>
      <c r="D240" s="178"/>
      <c r="E240" s="178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178"/>
      <c r="B241" s="178"/>
      <c r="C241" s="178"/>
      <c r="D241" s="178"/>
      <c r="E241" s="178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178"/>
      <c r="B242" s="178"/>
      <c r="C242" s="178"/>
      <c r="D242" s="178"/>
      <c r="E242" s="178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178"/>
      <c r="B243" s="178"/>
      <c r="C243" s="178"/>
      <c r="D243" s="178"/>
      <c r="E243" s="178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178"/>
      <c r="B244" s="178"/>
      <c r="C244" s="178"/>
      <c r="D244" s="178"/>
      <c r="E244" s="178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178"/>
      <c r="B245" s="178"/>
      <c r="C245" s="178"/>
      <c r="D245" s="178"/>
      <c r="E245" s="178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178"/>
      <c r="B246" s="178"/>
      <c r="C246" s="178"/>
      <c r="D246" s="178"/>
      <c r="E246" s="178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178"/>
      <c r="B247" s="178"/>
      <c r="C247" s="178"/>
      <c r="D247" s="178"/>
      <c r="E247" s="178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178"/>
      <c r="B248" s="178"/>
      <c r="C248" s="178"/>
      <c r="D248" s="178"/>
      <c r="E248" s="178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178"/>
      <c r="B249" s="178"/>
      <c r="C249" s="178"/>
      <c r="D249" s="178"/>
      <c r="E249" s="178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178"/>
      <c r="B250" s="178"/>
      <c r="C250" s="178"/>
      <c r="D250" s="178"/>
      <c r="E250" s="178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178"/>
      <c r="B251" s="178"/>
      <c r="C251" s="178"/>
      <c r="D251" s="178"/>
      <c r="E251" s="178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178"/>
      <c r="B252" s="178"/>
      <c r="C252" s="178"/>
      <c r="D252" s="178"/>
      <c r="E252" s="178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178"/>
      <c r="B253" s="178"/>
      <c r="C253" s="178"/>
      <c r="D253" s="178"/>
      <c r="E253" s="178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178"/>
      <c r="B254" s="178"/>
      <c r="C254" s="178"/>
      <c r="D254" s="178"/>
      <c r="E254" s="178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178"/>
      <c r="B255" s="178"/>
      <c r="C255" s="178"/>
      <c r="D255" s="178"/>
      <c r="E255" s="178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178"/>
      <c r="B256" s="178"/>
      <c r="C256" s="178"/>
      <c r="D256" s="178"/>
      <c r="E256" s="178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178"/>
      <c r="B257" s="178"/>
      <c r="C257" s="178"/>
      <c r="D257" s="178"/>
      <c r="E257" s="178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178"/>
      <c r="B258" s="178"/>
      <c r="C258" s="178"/>
      <c r="D258" s="178"/>
      <c r="E258" s="178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178"/>
      <c r="B259" s="178"/>
      <c r="C259" s="178"/>
      <c r="D259" s="178"/>
      <c r="E259" s="178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178"/>
      <c r="B260" s="178"/>
      <c r="C260" s="178"/>
      <c r="D260" s="178"/>
      <c r="E260" s="178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178"/>
      <c r="B261" s="178"/>
      <c r="C261" s="178"/>
      <c r="D261" s="178"/>
      <c r="E261" s="178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178"/>
      <c r="B262" s="178"/>
      <c r="C262" s="178"/>
      <c r="D262" s="178"/>
      <c r="E262" s="178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178"/>
      <c r="B263" s="178"/>
      <c r="C263" s="178"/>
      <c r="D263" s="178"/>
      <c r="E263" s="178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178"/>
      <c r="B264" s="178"/>
      <c r="C264" s="178"/>
      <c r="D264" s="178"/>
      <c r="E264" s="178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178"/>
      <c r="B265" s="178"/>
      <c r="C265" s="178"/>
      <c r="D265" s="178"/>
      <c r="E265" s="178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178"/>
      <c r="B266" s="178"/>
      <c r="C266" s="178"/>
      <c r="D266" s="178"/>
      <c r="E266" s="178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178"/>
      <c r="B267" s="178"/>
      <c r="C267" s="178"/>
      <c r="D267" s="178"/>
      <c r="E267" s="178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178"/>
      <c r="B268" s="178"/>
      <c r="C268" s="178"/>
      <c r="D268" s="178"/>
      <c r="E268" s="178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178"/>
      <c r="B269" s="178"/>
      <c r="C269" s="178"/>
      <c r="D269" s="178"/>
      <c r="E269" s="178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178"/>
      <c r="B270" s="178"/>
      <c r="C270" s="178"/>
      <c r="D270" s="178"/>
      <c r="E270" s="178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178"/>
      <c r="B271" s="178"/>
      <c r="C271" s="178"/>
      <c r="D271" s="178"/>
      <c r="E271" s="178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178"/>
      <c r="B272" s="178"/>
      <c r="C272" s="178"/>
      <c r="D272" s="178"/>
      <c r="E272" s="178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178"/>
      <c r="B273" s="178"/>
      <c r="C273" s="178"/>
      <c r="D273" s="178"/>
      <c r="E273" s="178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178"/>
      <c r="B274" s="178"/>
      <c r="C274" s="178"/>
      <c r="D274" s="178"/>
      <c r="E274" s="178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178"/>
      <c r="B275" s="178"/>
      <c r="C275" s="178"/>
      <c r="D275" s="178"/>
      <c r="E275" s="178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178"/>
      <c r="B276" s="178"/>
      <c r="C276" s="178"/>
      <c r="D276" s="178"/>
      <c r="E276" s="178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178"/>
      <c r="B277" s="178"/>
      <c r="C277" s="178"/>
      <c r="D277" s="178"/>
      <c r="E277" s="178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178"/>
      <c r="B278" s="178"/>
      <c r="C278" s="178"/>
      <c r="D278" s="178"/>
      <c r="E278" s="178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178"/>
      <c r="B279" s="178"/>
      <c r="C279" s="178"/>
      <c r="D279" s="178"/>
      <c r="E279" s="178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178"/>
      <c r="B280" s="178"/>
      <c r="C280" s="178"/>
      <c r="D280" s="178"/>
      <c r="E280" s="178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178"/>
      <c r="B281" s="178"/>
      <c r="C281" s="178"/>
      <c r="D281" s="178"/>
      <c r="E281" s="178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178"/>
      <c r="B282" s="178"/>
      <c r="C282" s="178"/>
      <c r="D282" s="178"/>
      <c r="E282" s="178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178"/>
      <c r="B283" s="178"/>
      <c r="C283" s="178"/>
      <c r="D283" s="178"/>
      <c r="E283" s="178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178"/>
      <c r="B284" s="178"/>
      <c r="C284" s="178"/>
      <c r="D284" s="178"/>
      <c r="E284" s="178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178"/>
      <c r="B285" s="178"/>
      <c r="C285" s="178"/>
      <c r="D285" s="178"/>
      <c r="E285" s="178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178"/>
      <c r="B286" s="178"/>
      <c r="C286" s="178"/>
      <c r="D286" s="178"/>
      <c r="E286" s="178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178"/>
      <c r="B287" s="178"/>
      <c r="C287" s="178"/>
      <c r="D287" s="178"/>
      <c r="E287" s="178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178"/>
      <c r="B288" s="178"/>
      <c r="C288" s="178"/>
      <c r="D288" s="178"/>
      <c r="E288" s="178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178"/>
      <c r="B289" s="178"/>
      <c r="C289" s="178"/>
      <c r="D289" s="178"/>
      <c r="E289" s="178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178"/>
      <c r="B290" s="178"/>
      <c r="C290" s="178"/>
      <c r="D290" s="178"/>
      <c r="E290" s="178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178"/>
      <c r="B291" s="178"/>
      <c r="C291" s="178"/>
      <c r="D291" s="178"/>
      <c r="E291" s="178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178"/>
      <c r="B292" s="178"/>
      <c r="C292" s="178"/>
      <c r="D292" s="178"/>
      <c r="E292" s="178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178"/>
      <c r="B293" s="178"/>
      <c r="C293" s="178"/>
      <c r="D293" s="178"/>
      <c r="E293" s="178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178"/>
      <c r="B294" s="178"/>
      <c r="C294" s="178"/>
      <c r="D294" s="178"/>
      <c r="E294" s="178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178"/>
      <c r="B295" s="178"/>
      <c r="C295" s="178"/>
      <c r="D295" s="178"/>
      <c r="E295" s="178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178"/>
      <c r="B296" s="178"/>
      <c r="C296" s="178"/>
      <c r="D296" s="178"/>
      <c r="E296" s="178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178"/>
      <c r="B297" s="178"/>
      <c r="C297" s="178"/>
      <c r="D297" s="178"/>
      <c r="E297" s="178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178"/>
      <c r="B298" s="178"/>
      <c r="C298" s="178"/>
      <c r="D298" s="178"/>
      <c r="E298" s="178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178"/>
      <c r="B299" s="178"/>
      <c r="C299" s="178"/>
      <c r="D299" s="178"/>
      <c r="E299" s="178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178"/>
      <c r="B300" s="178"/>
      <c r="C300" s="178"/>
      <c r="D300" s="178"/>
      <c r="E300" s="178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178"/>
      <c r="B301" s="178"/>
      <c r="C301" s="178"/>
      <c r="D301" s="178"/>
      <c r="E301" s="178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178"/>
      <c r="B302" s="178"/>
      <c r="C302" s="178"/>
      <c r="D302" s="178"/>
      <c r="E302" s="178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178"/>
      <c r="B303" s="178"/>
      <c r="C303" s="178"/>
      <c r="D303" s="178"/>
      <c r="E303" s="178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178"/>
      <c r="B304" s="178"/>
      <c r="C304" s="178"/>
      <c r="D304" s="178"/>
      <c r="E304" s="178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178"/>
      <c r="B305" s="178"/>
      <c r="C305" s="178"/>
      <c r="D305" s="178"/>
      <c r="E305" s="178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178"/>
      <c r="B306" s="178"/>
      <c r="C306" s="178"/>
      <c r="D306" s="178"/>
      <c r="E306" s="178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178"/>
      <c r="B307" s="178"/>
      <c r="C307" s="178"/>
      <c r="D307" s="178"/>
      <c r="E307" s="178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178"/>
      <c r="B308" s="178"/>
      <c r="C308" s="178"/>
      <c r="D308" s="178"/>
      <c r="E308" s="178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178"/>
      <c r="B309" s="178"/>
      <c r="C309" s="178"/>
      <c r="D309" s="178"/>
      <c r="E309" s="178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178"/>
      <c r="B310" s="178"/>
      <c r="C310" s="178"/>
      <c r="D310" s="178"/>
      <c r="E310" s="178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178"/>
      <c r="B311" s="178"/>
      <c r="C311" s="178"/>
      <c r="D311" s="178"/>
      <c r="E311" s="178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178"/>
      <c r="B312" s="178"/>
      <c r="C312" s="178"/>
      <c r="D312" s="178"/>
      <c r="E312" s="178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178"/>
      <c r="B313" s="178"/>
      <c r="C313" s="178"/>
      <c r="D313" s="178"/>
      <c r="E313" s="178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178"/>
      <c r="B314" s="178"/>
      <c r="C314" s="178"/>
      <c r="D314" s="178"/>
      <c r="E314" s="178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178"/>
      <c r="B315" s="178"/>
      <c r="C315" s="178"/>
      <c r="D315" s="178"/>
      <c r="E315" s="178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178"/>
      <c r="B316" s="178"/>
      <c r="C316" s="178"/>
      <c r="D316" s="178"/>
      <c r="E316" s="178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178"/>
      <c r="B317" s="178"/>
      <c r="C317" s="178"/>
      <c r="D317" s="178"/>
      <c r="E317" s="178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178"/>
      <c r="B318" s="178"/>
      <c r="C318" s="178"/>
      <c r="D318" s="178"/>
      <c r="E318" s="178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178"/>
      <c r="B319" s="178"/>
      <c r="C319" s="178"/>
      <c r="D319" s="178"/>
      <c r="E319" s="178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178"/>
      <c r="B320" s="178"/>
      <c r="C320" s="178"/>
      <c r="D320" s="178"/>
      <c r="E320" s="178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178"/>
      <c r="B321" s="178"/>
      <c r="C321" s="178"/>
      <c r="D321" s="178"/>
      <c r="E321" s="178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178"/>
      <c r="B322" s="178"/>
      <c r="C322" s="178"/>
      <c r="D322" s="178"/>
      <c r="E322" s="178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178"/>
      <c r="B323" s="178"/>
      <c r="C323" s="178"/>
      <c r="D323" s="178"/>
      <c r="E323" s="178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178"/>
      <c r="B324" s="178"/>
      <c r="C324" s="178"/>
      <c r="D324" s="178"/>
      <c r="E324" s="178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178"/>
      <c r="B325" s="178"/>
      <c r="C325" s="178"/>
      <c r="D325" s="178"/>
      <c r="E325" s="178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178"/>
      <c r="B326" s="178"/>
      <c r="C326" s="178"/>
      <c r="D326" s="178"/>
      <c r="E326" s="178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178"/>
      <c r="B327" s="178"/>
      <c r="C327" s="178"/>
      <c r="D327" s="178"/>
      <c r="E327" s="178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178"/>
      <c r="B328" s="178"/>
      <c r="C328" s="178"/>
      <c r="D328" s="178"/>
      <c r="E328" s="178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178"/>
      <c r="B329" s="178"/>
      <c r="C329" s="178"/>
      <c r="D329" s="178"/>
      <c r="E329" s="178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178"/>
      <c r="B330" s="178"/>
      <c r="C330" s="178"/>
      <c r="D330" s="178"/>
      <c r="E330" s="178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178"/>
      <c r="B331" s="178"/>
      <c r="C331" s="178"/>
      <c r="D331" s="178"/>
      <c r="E331" s="178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178"/>
      <c r="B332" s="178"/>
      <c r="C332" s="178"/>
      <c r="D332" s="178"/>
      <c r="E332" s="178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178"/>
      <c r="B333" s="178"/>
      <c r="C333" s="178"/>
      <c r="D333" s="178"/>
      <c r="E333" s="178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178"/>
      <c r="B334" s="178"/>
      <c r="C334" s="178"/>
      <c r="D334" s="178"/>
      <c r="E334" s="178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178"/>
      <c r="B335" s="178"/>
      <c r="C335" s="178"/>
      <c r="D335" s="178"/>
      <c r="E335" s="178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178"/>
      <c r="B336" s="178"/>
      <c r="C336" s="178"/>
      <c r="D336" s="178"/>
      <c r="E336" s="178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178"/>
      <c r="B337" s="178"/>
      <c r="C337" s="178"/>
      <c r="D337" s="178"/>
      <c r="E337" s="178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178"/>
      <c r="B338" s="178"/>
      <c r="C338" s="178"/>
      <c r="D338" s="178"/>
      <c r="E338" s="178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178"/>
      <c r="B339" s="178"/>
      <c r="C339" s="178"/>
      <c r="D339" s="178"/>
      <c r="E339" s="178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178"/>
      <c r="B340" s="178"/>
      <c r="C340" s="178"/>
      <c r="D340" s="178"/>
      <c r="E340" s="178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178"/>
      <c r="B341" s="178"/>
      <c r="C341" s="178"/>
      <c r="D341" s="178"/>
      <c r="E341" s="178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178"/>
      <c r="B342" s="178"/>
      <c r="C342" s="178"/>
      <c r="D342" s="178"/>
      <c r="E342" s="178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178"/>
      <c r="B343" s="178"/>
      <c r="C343" s="178"/>
      <c r="D343" s="178"/>
      <c r="E343" s="178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178"/>
      <c r="B344" s="178"/>
      <c r="C344" s="178"/>
      <c r="D344" s="178"/>
      <c r="E344" s="178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178"/>
      <c r="B345" s="178"/>
      <c r="C345" s="178"/>
      <c r="D345" s="178"/>
      <c r="E345" s="178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178"/>
      <c r="B346" s="178"/>
      <c r="C346" s="178"/>
      <c r="D346" s="178"/>
      <c r="E346" s="178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178"/>
      <c r="B347" s="178"/>
      <c r="C347" s="178"/>
      <c r="D347" s="178"/>
      <c r="E347" s="178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178"/>
      <c r="B348" s="178"/>
      <c r="C348" s="178"/>
      <c r="D348" s="178"/>
      <c r="E348" s="178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178"/>
      <c r="B349" s="178"/>
      <c r="C349" s="178"/>
      <c r="D349" s="178"/>
      <c r="E349" s="178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178"/>
      <c r="B350" s="178"/>
      <c r="C350" s="178"/>
      <c r="D350" s="178"/>
      <c r="E350" s="178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178"/>
      <c r="B351" s="178"/>
      <c r="C351" s="178"/>
      <c r="D351" s="178"/>
      <c r="E351" s="178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178"/>
      <c r="B352" s="178"/>
      <c r="C352" s="178"/>
      <c r="D352" s="178"/>
      <c r="E352" s="178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178"/>
      <c r="B353" s="178"/>
      <c r="C353" s="178"/>
      <c r="D353" s="178"/>
      <c r="E353" s="178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178"/>
      <c r="B354" s="178"/>
      <c r="C354" s="178"/>
      <c r="D354" s="178"/>
      <c r="E354" s="178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178"/>
      <c r="B355" s="178"/>
      <c r="C355" s="178"/>
      <c r="D355" s="178"/>
      <c r="E355" s="178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178"/>
      <c r="B356" s="178"/>
      <c r="C356" s="178"/>
      <c r="D356" s="178"/>
      <c r="E356" s="178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178"/>
      <c r="B357" s="178"/>
      <c r="C357" s="178"/>
      <c r="D357" s="178"/>
      <c r="E357" s="178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178"/>
      <c r="B358" s="178"/>
      <c r="C358" s="178"/>
      <c r="D358" s="178"/>
      <c r="E358" s="178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178"/>
      <c r="B359" s="178"/>
      <c r="C359" s="178"/>
      <c r="D359" s="178"/>
      <c r="E359" s="178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178"/>
      <c r="B360" s="178"/>
      <c r="C360" s="178"/>
      <c r="D360" s="178"/>
      <c r="E360" s="178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178"/>
      <c r="B361" s="178"/>
      <c r="C361" s="178"/>
      <c r="D361" s="178"/>
      <c r="E361" s="178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178"/>
      <c r="B362" s="178"/>
      <c r="C362" s="178"/>
      <c r="D362" s="178"/>
      <c r="E362" s="178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178"/>
      <c r="B363" s="178"/>
      <c r="C363" s="178"/>
      <c r="D363" s="178"/>
      <c r="E363" s="178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178"/>
      <c r="B364" s="178"/>
      <c r="C364" s="178"/>
      <c r="D364" s="178"/>
      <c r="E364" s="178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178"/>
      <c r="B365" s="178"/>
      <c r="C365" s="178"/>
      <c r="D365" s="178"/>
      <c r="E365" s="178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178"/>
      <c r="B366" s="178"/>
      <c r="C366" s="178"/>
      <c r="D366" s="178"/>
      <c r="E366" s="178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178"/>
      <c r="B367" s="178"/>
      <c r="C367" s="178"/>
      <c r="D367" s="178"/>
      <c r="E367" s="178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178"/>
      <c r="B368" s="178"/>
      <c r="C368" s="178"/>
      <c r="D368" s="178"/>
      <c r="E368" s="178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178"/>
      <c r="B369" s="178"/>
      <c r="C369" s="178"/>
      <c r="D369" s="178"/>
      <c r="E369" s="178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178"/>
      <c r="B370" s="178"/>
      <c r="C370" s="178"/>
      <c r="D370" s="178"/>
      <c r="E370" s="178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178"/>
      <c r="B371" s="178"/>
      <c r="C371" s="178"/>
      <c r="D371" s="178"/>
      <c r="E371" s="178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178"/>
      <c r="B372" s="178"/>
      <c r="C372" s="178"/>
      <c r="D372" s="178"/>
      <c r="E372" s="178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178"/>
      <c r="B373" s="178"/>
      <c r="C373" s="178"/>
      <c r="D373" s="178"/>
      <c r="E373" s="178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178"/>
      <c r="B374" s="178"/>
      <c r="C374" s="178"/>
      <c r="D374" s="178"/>
      <c r="E374" s="178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178"/>
      <c r="B375" s="178"/>
      <c r="C375" s="178"/>
      <c r="D375" s="178"/>
      <c r="E375" s="178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178"/>
      <c r="B376" s="178"/>
      <c r="C376" s="178"/>
      <c r="D376" s="178"/>
      <c r="E376" s="178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178"/>
      <c r="B377" s="178"/>
      <c r="C377" s="178"/>
      <c r="D377" s="178"/>
      <c r="E377" s="178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178"/>
      <c r="B378" s="178"/>
      <c r="C378" s="178"/>
      <c r="D378" s="178"/>
      <c r="E378" s="178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178"/>
      <c r="B379" s="178"/>
      <c r="C379" s="178"/>
      <c r="D379" s="178"/>
      <c r="E379" s="178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178"/>
      <c r="B380" s="178"/>
      <c r="C380" s="178"/>
      <c r="D380" s="178"/>
      <c r="E380" s="178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178"/>
      <c r="B381" s="178"/>
      <c r="C381" s="178"/>
      <c r="D381" s="178"/>
      <c r="E381" s="178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178"/>
      <c r="B382" s="178"/>
      <c r="C382" s="178"/>
      <c r="D382" s="178"/>
      <c r="E382" s="178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178"/>
      <c r="B383" s="178"/>
      <c r="C383" s="178"/>
      <c r="D383" s="178"/>
      <c r="E383" s="178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178"/>
      <c r="B384" s="178"/>
      <c r="C384" s="178"/>
      <c r="D384" s="178"/>
      <c r="E384" s="178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178"/>
      <c r="B385" s="178"/>
      <c r="C385" s="178"/>
      <c r="D385" s="178"/>
      <c r="E385" s="178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178"/>
      <c r="B386" s="178"/>
      <c r="C386" s="178"/>
      <c r="D386" s="178"/>
      <c r="E386" s="178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178"/>
      <c r="B387" s="178"/>
      <c r="C387" s="178"/>
      <c r="D387" s="178"/>
      <c r="E387" s="178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178"/>
      <c r="B388" s="178"/>
      <c r="C388" s="178"/>
      <c r="D388" s="178"/>
      <c r="E388" s="178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178"/>
      <c r="B389" s="178"/>
      <c r="C389" s="178"/>
      <c r="D389" s="178"/>
      <c r="E389" s="178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178"/>
      <c r="B390" s="178"/>
      <c r="C390" s="178"/>
      <c r="D390" s="178"/>
      <c r="E390" s="178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178"/>
      <c r="B391" s="178"/>
      <c r="C391" s="178"/>
      <c r="D391" s="178"/>
      <c r="E391" s="178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178"/>
      <c r="B392" s="178"/>
      <c r="C392" s="178"/>
      <c r="D392" s="178"/>
      <c r="E392" s="178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178"/>
      <c r="B393" s="178"/>
      <c r="C393" s="178"/>
      <c r="D393" s="178"/>
      <c r="E393" s="178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178"/>
      <c r="B394" s="178"/>
      <c r="C394" s="178"/>
      <c r="D394" s="178"/>
      <c r="E394" s="178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178"/>
      <c r="B395" s="178"/>
      <c r="C395" s="178"/>
      <c r="D395" s="178"/>
      <c r="E395" s="178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178"/>
      <c r="B396" s="178"/>
      <c r="C396" s="178"/>
      <c r="D396" s="178"/>
      <c r="E396" s="178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178"/>
      <c r="B397" s="178"/>
      <c r="C397" s="178"/>
      <c r="D397" s="178"/>
      <c r="E397" s="178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178"/>
      <c r="B398" s="178"/>
      <c r="C398" s="178"/>
      <c r="D398" s="178"/>
      <c r="E398" s="178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178"/>
      <c r="B399" s="178"/>
      <c r="C399" s="178"/>
      <c r="D399" s="178"/>
      <c r="E399" s="178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178"/>
      <c r="B400" s="178"/>
      <c r="C400" s="178"/>
      <c r="D400" s="178"/>
      <c r="E400" s="178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178"/>
      <c r="B401" s="178"/>
      <c r="C401" s="178"/>
      <c r="D401" s="178"/>
      <c r="E401" s="178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178"/>
      <c r="B402" s="178"/>
      <c r="C402" s="178"/>
      <c r="D402" s="178"/>
      <c r="E402" s="178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178"/>
      <c r="B403" s="178"/>
      <c r="C403" s="178"/>
      <c r="D403" s="178"/>
      <c r="E403" s="178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178"/>
      <c r="B404" s="178"/>
      <c r="C404" s="178"/>
      <c r="D404" s="178"/>
      <c r="E404" s="178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178"/>
      <c r="B405" s="178"/>
      <c r="C405" s="178"/>
      <c r="D405" s="178"/>
      <c r="E405" s="178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178"/>
      <c r="B406" s="178"/>
      <c r="C406" s="178"/>
      <c r="D406" s="178"/>
      <c r="E406" s="178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178"/>
      <c r="B407" s="178"/>
      <c r="C407" s="178"/>
      <c r="D407" s="178"/>
      <c r="E407" s="178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178"/>
      <c r="B408" s="178"/>
      <c r="C408" s="178"/>
      <c r="D408" s="178"/>
      <c r="E408" s="178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178"/>
      <c r="B409" s="178"/>
      <c r="C409" s="178"/>
      <c r="D409" s="178"/>
      <c r="E409" s="178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178"/>
      <c r="B410" s="178"/>
      <c r="C410" s="178"/>
      <c r="D410" s="178"/>
      <c r="E410" s="178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178"/>
      <c r="B411" s="178"/>
      <c r="C411" s="178"/>
      <c r="D411" s="178"/>
      <c r="E411" s="178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178"/>
      <c r="B412" s="178"/>
      <c r="C412" s="178"/>
      <c r="D412" s="178"/>
      <c r="E412" s="178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178"/>
      <c r="B413" s="178"/>
      <c r="C413" s="178"/>
      <c r="D413" s="178"/>
      <c r="E413" s="178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178"/>
      <c r="B414" s="178"/>
      <c r="C414" s="178"/>
      <c r="D414" s="178"/>
      <c r="E414" s="178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178"/>
      <c r="B415" s="178"/>
      <c r="C415" s="178"/>
      <c r="D415" s="178"/>
      <c r="E415" s="178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178"/>
      <c r="B416" s="178"/>
      <c r="C416" s="178"/>
      <c r="D416" s="178"/>
      <c r="E416" s="178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178"/>
      <c r="B417" s="178"/>
      <c r="C417" s="178"/>
      <c r="D417" s="178"/>
      <c r="E417" s="178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178"/>
      <c r="B418" s="178"/>
      <c r="C418" s="178"/>
      <c r="D418" s="178"/>
      <c r="E418" s="178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178"/>
      <c r="B419" s="178"/>
      <c r="C419" s="178"/>
      <c r="D419" s="178"/>
      <c r="E419" s="178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178"/>
      <c r="B420" s="178"/>
      <c r="C420" s="178"/>
      <c r="D420" s="178"/>
      <c r="E420" s="178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178"/>
      <c r="B421" s="178"/>
      <c r="C421" s="178"/>
      <c r="D421" s="178"/>
      <c r="E421" s="178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178"/>
      <c r="B422" s="178"/>
      <c r="C422" s="178"/>
      <c r="D422" s="178"/>
      <c r="E422" s="178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178"/>
      <c r="B423" s="178"/>
      <c r="C423" s="178"/>
      <c r="D423" s="178"/>
      <c r="E423" s="178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178"/>
      <c r="B424" s="178"/>
      <c r="C424" s="178"/>
      <c r="D424" s="178"/>
      <c r="E424" s="178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178"/>
      <c r="B425" s="178"/>
      <c r="C425" s="178"/>
      <c r="D425" s="178"/>
      <c r="E425" s="178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178"/>
      <c r="B426" s="178"/>
      <c r="C426" s="178"/>
      <c r="D426" s="178"/>
      <c r="E426" s="178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178"/>
      <c r="B427" s="178"/>
      <c r="C427" s="178"/>
      <c r="D427" s="178"/>
      <c r="E427" s="178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178"/>
      <c r="B428" s="178"/>
      <c r="C428" s="178"/>
      <c r="D428" s="178"/>
      <c r="E428" s="178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178"/>
      <c r="B429" s="178"/>
      <c r="C429" s="178"/>
      <c r="D429" s="178"/>
      <c r="E429" s="178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178"/>
      <c r="B430" s="178"/>
      <c r="C430" s="178"/>
      <c r="D430" s="178"/>
      <c r="E430" s="178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178"/>
      <c r="B431" s="178"/>
      <c r="C431" s="178"/>
      <c r="D431" s="178"/>
      <c r="E431" s="178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178"/>
      <c r="B432" s="178"/>
      <c r="C432" s="178"/>
      <c r="D432" s="178"/>
      <c r="E432" s="178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178"/>
      <c r="B433" s="178"/>
      <c r="C433" s="178"/>
      <c r="D433" s="178"/>
      <c r="E433" s="178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178"/>
      <c r="B434" s="178"/>
      <c r="C434" s="178"/>
      <c r="D434" s="178"/>
      <c r="E434" s="178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178"/>
      <c r="B435" s="178"/>
      <c r="C435" s="178"/>
      <c r="D435" s="178"/>
      <c r="E435" s="178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178"/>
      <c r="B436" s="178"/>
      <c r="C436" s="178"/>
      <c r="D436" s="178"/>
      <c r="E436" s="178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178"/>
      <c r="B437" s="178"/>
      <c r="C437" s="178"/>
      <c r="D437" s="178"/>
      <c r="E437" s="178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178"/>
      <c r="B438" s="178"/>
      <c r="C438" s="178"/>
      <c r="D438" s="178"/>
      <c r="E438" s="178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178"/>
      <c r="B439" s="178"/>
      <c r="C439" s="178"/>
      <c r="D439" s="178"/>
      <c r="E439" s="178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178"/>
      <c r="B440" s="178"/>
      <c r="C440" s="178"/>
      <c r="D440" s="178"/>
      <c r="E440" s="178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178"/>
      <c r="B441" s="178"/>
      <c r="C441" s="178"/>
      <c r="D441" s="178"/>
      <c r="E441" s="178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178"/>
      <c r="B442" s="178"/>
      <c r="C442" s="178"/>
      <c r="D442" s="178"/>
      <c r="E442" s="178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178"/>
      <c r="B443" s="178"/>
      <c r="C443" s="178"/>
      <c r="D443" s="178"/>
      <c r="E443" s="178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178"/>
      <c r="B444" s="178"/>
      <c r="C444" s="178"/>
      <c r="D444" s="178"/>
      <c r="E444" s="178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178"/>
      <c r="B445" s="178"/>
      <c r="C445" s="178"/>
      <c r="D445" s="178"/>
      <c r="E445" s="178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178"/>
      <c r="B446" s="178"/>
      <c r="C446" s="178"/>
      <c r="D446" s="178"/>
      <c r="E446" s="178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178"/>
      <c r="B447" s="178"/>
      <c r="C447" s="178"/>
      <c r="D447" s="178"/>
      <c r="E447" s="178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178"/>
      <c r="B448" s="178"/>
      <c r="C448" s="178"/>
      <c r="D448" s="178"/>
      <c r="E448" s="178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178"/>
      <c r="B449" s="178"/>
      <c r="C449" s="178"/>
      <c r="D449" s="178"/>
      <c r="E449" s="178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178"/>
      <c r="B450" s="178"/>
      <c r="C450" s="178"/>
      <c r="D450" s="178"/>
      <c r="E450" s="178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178"/>
      <c r="B451" s="178"/>
      <c r="C451" s="178"/>
      <c r="D451" s="178"/>
      <c r="E451" s="178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178"/>
      <c r="B452" s="178"/>
      <c r="C452" s="178"/>
      <c r="D452" s="178"/>
      <c r="E452" s="178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178"/>
      <c r="B453" s="178"/>
      <c r="C453" s="178"/>
      <c r="D453" s="178"/>
      <c r="E453" s="178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178"/>
      <c r="B454" s="178"/>
      <c r="C454" s="178"/>
      <c r="D454" s="178"/>
      <c r="E454" s="178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178"/>
      <c r="B455" s="178"/>
      <c r="C455" s="178"/>
      <c r="D455" s="178"/>
      <c r="E455" s="178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178"/>
      <c r="B456" s="178"/>
      <c r="C456" s="178"/>
      <c r="D456" s="178"/>
      <c r="E456" s="178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178"/>
      <c r="B457" s="178"/>
      <c r="C457" s="178"/>
      <c r="D457" s="178"/>
      <c r="E457" s="178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178"/>
      <c r="B458" s="178"/>
      <c r="C458" s="178"/>
      <c r="D458" s="178"/>
      <c r="E458" s="178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178"/>
      <c r="B459" s="178"/>
      <c r="C459" s="178"/>
      <c r="D459" s="178"/>
      <c r="E459" s="178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178"/>
      <c r="B460" s="178"/>
      <c r="C460" s="178"/>
      <c r="D460" s="178"/>
      <c r="E460" s="178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178"/>
      <c r="B461" s="178"/>
      <c r="C461" s="178"/>
      <c r="D461" s="178"/>
      <c r="E461" s="178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178"/>
      <c r="B462" s="178"/>
      <c r="C462" s="178"/>
      <c r="D462" s="178"/>
      <c r="E462" s="178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178"/>
      <c r="B463" s="178"/>
      <c r="C463" s="178"/>
      <c r="D463" s="178"/>
      <c r="E463" s="178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178"/>
      <c r="B464" s="178"/>
      <c r="C464" s="178"/>
      <c r="D464" s="178"/>
      <c r="E464" s="178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178"/>
      <c r="B465" s="178"/>
      <c r="C465" s="178"/>
      <c r="D465" s="178"/>
      <c r="E465" s="178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178"/>
      <c r="B466" s="178"/>
      <c r="C466" s="178"/>
      <c r="D466" s="178"/>
      <c r="E466" s="178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178"/>
      <c r="B467" s="178"/>
      <c r="C467" s="178"/>
      <c r="D467" s="178"/>
      <c r="E467" s="178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178"/>
      <c r="B468" s="178"/>
      <c r="C468" s="178"/>
      <c r="D468" s="178"/>
      <c r="E468" s="178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178"/>
      <c r="B469" s="178"/>
      <c r="C469" s="178"/>
      <c r="D469" s="178"/>
      <c r="E469" s="178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178"/>
      <c r="B470" s="178"/>
      <c r="C470" s="178"/>
      <c r="D470" s="178"/>
      <c r="E470" s="178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178"/>
      <c r="B471" s="178"/>
      <c r="C471" s="178"/>
      <c r="D471" s="178"/>
      <c r="E471" s="178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178"/>
      <c r="B472" s="178"/>
      <c r="C472" s="178"/>
      <c r="D472" s="178"/>
      <c r="E472" s="178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178"/>
      <c r="B473" s="178"/>
      <c r="C473" s="178"/>
      <c r="D473" s="178"/>
      <c r="E473" s="178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178"/>
      <c r="B474" s="178"/>
      <c r="C474" s="178"/>
      <c r="D474" s="178"/>
      <c r="E474" s="178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178"/>
      <c r="B475" s="178"/>
      <c r="C475" s="178"/>
      <c r="D475" s="178"/>
      <c r="E475" s="178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178"/>
      <c r="B476" s="178"/>
      <c r="C476" s="178"/>
      <c r="D476" s="178"/>
      <c r="E476" s="178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178"/>
      <c r="B477" s="178"/>
      <c r="C477" s="178"/>
      <c r="D477" s="178"/>
      <c r="E477" s="178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178"/>
      <c r="B478" s="178"/>
      <c r="C478" s="178"/>
      <c r="D478" s="178"/>
      <c r="E478" s="178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178"/>
      <c r="B479" s="178"/>
      <c r="C479" s="178"/>
      <c r="D479" s="178"/>
      <c r="E479" s="178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178"/>
      <c r="B480" s="178"/>
      <c r="C480" s="178"/>
      <c r="D480" s="178"/>
      <c r="E480" s="178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178"/>
      <c r="B481" s="178"/>
      <c r="C481" s="178"/>
      <c r="D481" s="178"/>
      <c r="E481" s="178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178"/>
      <c r="B482" s="178"/>
      <c r="C482" s="178"/>
      <c r="D482" s="178"/>
      <c r="E482" s="178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178"/>
      <c r="B483" s="178"/>
      <c r="C483" s="178"/>
      <c r="D483" s="178"/>
      <c r="E483" s="178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178"/>
      <c r="B484" s="178"/>
      <c r="C484" s="178"/>
      <c r="D484" s="178"/>
      <c r="E484" s="178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178"/>
      <c r="B485" s="178"/>
      <c r="C485" s="178"/>
      <c r="D485" s="178"/>
      <c r="E485" s="178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178"/>
      <c r="B486" s="178"/>
      <c r="C486" s="178"/>
      <c r="D486" s="178"/>
      <c r="E486" s="178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178"/>
      <c r="B487" s="178"/>
      <c r="C487" s="178"/>
      <c r="D487" s="178"/>
      <c r="E487" s="178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178"/>
      <c r="B488" s="178"/>
      <c r="C488" s="178"/>
      <c r="D488" s="178"/>
      <c r="E488" s="178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178"/>
      <c r="B489" s="178"/>
      <c r="C489" s="178"/>
      <c r="D489" s="178"/>
      <c r="E489" s="178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178"/>
      <c r="B490" s="178"/>
      <c r="C490" s="178"/>
      <c r="D490" s="178"/>
      <c r="E490" s="178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178"/>
      <c r="B491" s="178"/>
      <c r="C491" s="178"/>
      <c r="D491" s="178"/>
      <c r="E491" s="178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178"/>
      <c r="B492" s="178"/>
      <c r="C492" s="178"/>
      <c r="D492" s="178"/>
      <c r="E492" s="178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178"/>
      <c r="B493" s="178"/>
      <c r="C493" s="178"/>
      <c r="D493" s="178"/>
      <c r="E493" s="178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178"/>
      <c r="B494" s="178"/>
      <c r="C494" s="178"/>
      <c r="D494" s="178"/>
      <c r="E494" s="178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178"/>
      <c r="B495" s="178"/>
      <c r="C495" s="178"/>
      <c r="D495" s="178"/>
      <c r="E495" s="178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178"/>
      <c r="B496" s="178"/>
      <c r="C496" s="178"/>
      <c r="D496" s="178"/>
      <c r="E496" s="178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178"/>
      <c r="B497" s="178"/>
      <c r="C497" s="178"/>
      <c r="D497" s="178"/>
      <c r="E497" s="178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178"/>
      <c r="B498" s="178"/>
      <c r="C498" s="178"/>
      <c r="D498" s="178"/>
      <c r="E498" s="178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178"/>
      <c r="B499" s="178"/>
      <c r="C499" s="178"/>
      <c r="D499" s="178"/>
      <c r="E499" s="178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178"/>
      <c r="B500" s="178"/>
      <c r="C500" s="178"/>
      <c r="D500" s="178"/>
      <c r="E500" s="178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178"/>
      <c r="B501" s="178"/>
      <c r="C501" s="178"/>
      <c r="D501" s="178"/>
      <c r="E501" s="178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178"/>
      <c r="B502" s="178"/>
      <c r="C502" s="178"/>
      <c r="D502" s="178"/>
      <c r="E502" s="178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178"/>
      <c r="B503" s="178"/>
      <c r="C503" s="178"/>
      <c r="D503" s="178"/>
      <c r="E503" s="178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178"/>
      <c r="B504" s="178"/>
      <c r="C504" s="178"/>
      <c r="D504" s="178"/>
      <c r="E504" s="178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178"/>
      <c r="B505" s="178"/>
      <c r="C505" s="178"/>
      <c r="D505" s="178"/>
      <c r="E505" s="178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178"/>
      <c r="B506" s="178"/>
      <c r="C506" s="178"/>
      <c r="D506" s="178"/>
      <c r="E506" s="178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178"/>
      <c r="B507" s="178"/>
      <c r="C507" s="178"/>
      <c r="D507" s="178"/>
      <c r="E507" s="178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178"/>
      <c r="B508" s="178"/>
      <c r="C508" s="178"/>
      <c r="D508" s="178"/>
      <c r="E508" s="178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178"/>
      <c r="B509" s="178"/>
      <c r="C509" s="178"/>
      <c r="D509" s="178"/>
      <c r="E509" s="178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178"/>
      <c r="B510" s="178"/>
      <c r="C510" s="178"/>
      <c r="D510" s="178"/>
      <c r="E510" s="178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178"/>
      <c r="B511" s="178"/>
      <c r="C511" s="178"/>
      <c r="D511" s="178"/>
      <c r="E511" s="178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178"/>
      <c r="B512" s="178"/>
      <c r="C512" s="178"/>
      <c r="D512" s="178"/>
      <c r="E512" s="178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178"/>
      <c r="B513" s="178"/>
      <c r="C513" s="178"/>
      <c r="D513" s="178"/>
      <c r="E513" s="178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178"/>
      <c r="B514" s="178"/>
      <c r="C514" s="178"/>
      <c r="D514" s="178"/>
      <c r="E514" s="178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178"/>
      <c r="B515" s="178"/>
      <c r="C515" s="178"/>
      <c r="D515" s="178"/>
      <c r="E515" s="178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178"/>
      <c r="B516" s="178"/>
      <c r="C516" s="178"/>
      <c r="D516" s="178"/>
      <c r="E516" s="178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178"/>
      <c r="B517" s="178"/>
      <c r="C517" s="178"/>
      <c r="D517" s="178"/>
      <c r="E517" s="178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178"/>
      <c r="B518" s="178"/>
      <c r="C518" s="178"/>
      <c r="D518" s="178"/>
      <c r="E518" s="178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178"/>
      <c r="B519" s="178"/>
      <c r="C519" s="178"/>
      <c r="D519" s="178"/>
      <c r="E519" s="178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178"/>
      <c r="B520" s="178"/>
      <c r="C520" s="178"/>
      <c r="D520" s="178"/>
      <c r="E520" s="178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178"/>
      <c r="B521" s="178"/>
      <c r="C521" s="178"/>
      <c r="D521" s="178"/>
      <c r="E521" s="178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178"/>
      <c r="B522" s="178"/>
      <c r="C522" s="178"/>
      <c r="D522" s="178"/>
      <c r="E522" s="178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178"/>
      <c r="B523" s="178"/>
      <c r="C523" s="178"/>
      <c r="D523" s="178"/>
      <c r="E523" s="178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178"/>
      <c r="B524" s="178"/>
      <c r="C524" s="178"/>
      <c r="D524" s="178"/>
      <c r="E524" s="178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178"/>
      <c r="B525" s="178"/>
      <c r="C525" s="178"/>
      <c r="D525" s="178"/>
      <c r="E525" s="178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178"/>
      <c r="B526" s="178"/>
      <c r="C526" s="178"/>
      <c r="D526" s="178"/>
      <c r="E526" s="178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178"/>
      <c r="B527" s="178"/>
      <c r="C527" s="178"/>
      <c r="D527" s="178"/>
      <c r="E527" s="178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178"/>
      <c r="B528" s="178"/>
      <c r="C528" s="178"/>
      <c r="D528" s="178"/>
      <c r="E528" s="178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178"/>
      <c r="B529" s="178"/>
      <c r="C529" s="178"/>
      <c r="D529" s="178"/>
      <c r="E529" s="178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178"/>
      <c r="B530" s="178"/>
      <c r="C530" s="178"/>
      <c r="D530" s="178"/>
      <c r="E530" s="178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178"/>
      <c r="B531" s="178"/>
      <c r="C531" s="178"/>
      <c r="D531" s="178"/>
      <c r="E531" s="178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178"/>
      <c r="B532" s="178"/>
      <c r="C532" s="178"/>
      <c r="D532" s="178"/>
      <c r="E532" s="178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178"/>
      <c r="B533" s="178"/>
      <c r="C533" s="178"/>
      <c r="D533" s="178"/>
      <c r="E533" s="178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178"/>
      <c r="B534" s="178"/>
      <c r="C534" s="178"/>
      <c r="D534" s="178"/>
      <c r="E534" s="178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178"/>
      <c r="B535" s="178"/>
      <c r="C535" s="178"/>
      <c r="D535" s="178"/>
      <c r="E535" s="178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178"/>
      <c r="B536" s="178"/>
      <c r="C536" s="178"/>
      <c r="D536" s="178"/>
      <c r="E536" s="178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178"/>
      <c r="B537" s="178"/>
      <c r="C537" s="178"/>
      <c r="D537" s="178"/>
      <c r="E537" s="178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178"/>
      <c r="B538" s="178"/>
      <c r="C538" s="178"/>
      <c r="D538" s="178"/>
      <c r="E538" s="178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178"/>
      <c r="B539" s="178"/>
      <c r="C539" s="178"/>
      <c r="D539" s="178"/>
      <c r="E539" s="178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178"/>
      <c r="B540" s="178"/>
      <c r="C540" s="178"/>
      <c r="D540" s="178"/>
      <c r="E540" s="178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178"/>
      <c r="B541" s="178"/>
      <c r="C541" s="178"/>
      <c r="D541" s="178"/>
      <c r="E541" s="178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178"/>
      <c r="B542" s="178"/>
      <c r="C542" s="178"/>
      <c r="D542" s="178"/>
      <c r="E542" s="178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178"/>
      <c r="B543" s="178"/>
      <c r="C543" s="178"/>
      <c r="D543" s="178"/>
      <c r="E543" s="178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178"/>
      <c r="B544" s="178"/>
      <c r="C544" s="178"/>
      <c r="D544" s="178"/>
      <c r="E544" s="178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178"/>
      <c r="B545" s="178"/>
      <c r="C545" s="178"/>
      <c r="D545" s="178"/>
      <c r="E545" s="178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178"/>
      <c r="B546" s="178"/>
      <c r="C546" s="178"/>
      <c r="D546" s="178"/>
      <c r="E546" s="178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178"/>
      <c r="B547" s="178"/>
      <c r="C547" s="178"/>
      <c r="D547" s="178"/>
      <c r="E547" s="178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178"/>
      <c r="B548" s="178"/>
      <c r="C548" s="178"/>
      <c r="D548" s="178"/>
      <c r="E548" s="178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178"/>
      <c r="B549" s="178"/>
      <c r="C549" s="178"/>
      <c r="D549" s="178"/>
      <c r="E549" s="178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178"/>
      <c r="B550" s="178"/>
      <c r="C550" s="178"/>
      <c r="D550" s="178"/>
      <c r="E550" s="178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178"/>
      <c r="B551" s="178"/>
      <c r="C551" s="178"/>
      <c r="D551" s="178"/>
      <c r="E551" s="178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178"/>
      <c r="B552" s="178"/>
      <c r="C552" s="178"/>
      <c r="D552" s="178"/>
      <c r="E552" s="178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178"/>
      <c r="B553" s="178"/>
      <c r="C553" s="178"/>
      <c r="D553" s="178"/>
      <c r="E553" s="178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178"/>
      <c r="B554" s="178"/>
      <c r="C554" s="178"/>
      <c r="D554" s="178"/>
      <c r="E554" s="178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178"/>
      <c r="B555" s="178"/>
      <c r="C555" s="178"/>
      <c r="D555" s="178"/>
      <c r="E555" s="178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178"/>
      <c r="B556" s="178"/>
      <c r="C556" s="178"/>
      <c r="D556" s="178"/>
      <c r="E556" s="178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178"/>
      <c r="B557" s="178"/>
      <c r="C557" s="178"/>
      <c r="D557" s="178"/>
      <c r="E557" s="178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178"/>
      <c r="B558" s="178"/>
      <c r="C558" s="178"/>
      <c r="D558" s="178"/>
      <c r="E558" s="178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178"/>
      <c r="B559" s="178"/>
      <c r="C559" s="178"/>
      <c r="D559" s="178"/>
      <c r="E559" s="178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178"/>
      <c r="B560" s="178"/>
      <c r="C560" s="178"/>
      <c r="D560" s="178"/>
      <c r="E560" s="178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178"/>
      <c r="B561" s="178"/>
      <c r="C561" s="178"/>
      <c r="D561" s="178"/>
      <c r="E561" s="178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178"/>
      <c r="B562" s="178"/>
      <c r="C562" s="178"/>
      <c r="D562" s="178"/>
      <c r="E562" s="178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178"/>
      <c r="B563" s="178"/>
      <c r="C563" s="178"/>
      <c r="D563" s="178"/>
      <c r="E563" s="178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178"/>
      <c r="B564" s="178"/>
      <c r="C564" s="178"/>
      <c r="D564" s="178"/>
      <c r="E564" s="178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178"/>
      <c r="B565" s="178"/>
      <c r="C565" s="178"/>
      <c r="D565" s="178"/>
      <c r="E565" s="178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178"/>
      <c r="B566" s="178"/>
      <c r="C566" s="178"/>
      <c r="D566" s="178"/>
      <c r="E566" s="178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178"/>
      <c r="B567" s="178"/>
      <c r="C567" s="178"/>
      <c r="D567" s="178"/>
      <c r="E567" s="178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178"/>
      <c r="B568" s="178"/>
      <c r="C568" s="178"/>
      <c r="D568" s="178"/>
      <c r="E568" s="178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178"/>
      <c r="B569" s="178"/>
      <c r="C569" s="178"/>
      <c r="D569" s="178"/>
      <c r="E569" s="178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178"/>
      <c r="B570" s="178"/>
      <c r="C570" s="178"/>
      <c r="D570" s="178"/>
      <c r="E570" s="178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178"/>
      <c r="B571" s="178"/>
      <c r="C571" s="178"/>
      <c r="D571" s="178"/>
      <c r="E571" s="178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178"/>
      <c r="B572" s="178"/>
      <c r="C572" s="178"/>
      <c r="D572" s="178"/>
      <c r="E572" s="178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178"/>
      <c r="B573" s="178"/>
      <c r="C573" s="178"/>
      <c r="D573" s="178"/>
      <c r="E573" s="178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178"/>
      <c r="B574" s="178"/>
      <c r="C574" s="178"/>
      <c r="D574" s="178"/>
      <c r="E574" s="178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178"/>
      <c r="B575" s="178"/>
      <c r="C575" s="178"/>
      <c r="D575" s="178"/>
      <c r="E575" s="178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178"/>
      <c r="B576" s="178"/>
      <c r="C576" s="178"/>
      <c r="D576" s="178"/>
      <c r="E576" s="178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178"/>
      <c r="B577" s="178"/>
      <c r="C577" s="178"/>
      <c r="D577" s="178"/>
      <c r="E577" s="178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178"/>
      <c r="B578" s="178"/>
      <c r="C578" s="178"/>
      <c r="D578" s="178"/>
      <c r="E578" s="178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178"/>
      <c r="B579" s="178"/>
      <c r="C579" s="178"/>
      <c r="D579" s="178"/>
      <c r="E579" s="178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178"/>
      <c r="B580" s="178"/>
      <c r="C580" s="178"/>
      <c r="D580" s="178"/>
      <c r="E580" s="178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178"/>
      <c r="B581" s="178"/>
      <c r="C581" s="178"/>
      <c r="D581" s="178"/>
      <c r="E581" s="178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178"/>
      <c r="B582" s="178"/>
      <c r="C582" s="178"/>
      <c r="D582" s="178"/>
      <c r="E582" s="178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178"/>
      <c r="B583" s="178"/>
      <c r="C583" s="178"/>
      <c r="D583" s="178"/>
      <c r="E583" s="178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178"/>
      <c r="B584" s="178"/>
      <c r="C584" s="178"/>
      <c r="D584" s="178"/>
      <c r="E584" s="178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178"/>
      <c r="B585" s="178"/>
      <c r="C585" s="178"/>
      <c r="D585" s="178"/>
      <c r="E585" s="178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178"/>
      <c r="B586" s="178"/>
      <c r="C586" s="178"/>
      <c r="D586" s="178"/>
      <c r="E586" s="178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178"/>
      <c r="B587" s="178"/>
      <c r="C587" s="178"/>
      <c r="D587" s="178"/>
      <c r="E587" s="178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178"/>
      <c r="B588" s="178"/>
      <c r="C588" s="178"/>
      <c r="D588" s="178"/>
      <c r="E588" s="178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178"/>
      <c r="B589" s="178"/>
      <c r="C589" s="178"/>
      <c r="D589" s="178"/>
      <c r="E589" s="178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178"/>
      <c r="B590" s="178"/>
      <c r="C590" s="178"/>
      <c r="D590" s="178"/>
      <c r="E590" s="178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178"/>
      <c r="B591" s="178"/>
      <c r="C591" s="178"/>
      <c r="D591" s="178"/>
      <c r="E591" s="178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178"/>
      <c r="B592" s="178"/>
      <c r="C592" s="178"/>
      <c r="D592" s="178"/>
      <c r="E592" s="178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178"/>
      <c r="B593" s="178"/>
      <c r="C593" s="178"/>
      <c r="D593" s="178"/>
      <c r="E593" s="178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178"/>
      <c r="B594" s="178"/>
      <c r="C594" s="178"/>
      <c r="D594" s="178"/>
      <c r="E594" s="178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178"/>
      <c r="B595" s="178"/>
      <c r="C595" s="178"/>
      <c r="D595" s="178"/>
      <c r="E595" s="178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178"/>
      <c r="B596" s="178"/>
      <c r="C596" s="178"/>
      <c r="D596" s="178"/>
      <c r="E596" s="178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178"/>
      <c r="B597" s="178"/>
      <c r="C597" s="178"/>
      <c r="D597" s="178"/>
      <c r="E597" s="178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178"/>
      <c r="B598" s="178"/>
      <c r="C598" s="178"/>
      <c r="D598" s="178"/>
      <c r="E598" s="178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178"/>
      <c r="B599" s="178"/>
      <c r="C599" s="178"/>
      <c r="D599" s="178"/>
      <c r="E599" s="178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178"/>
      <c r="B600" s="178"/>
      <c r="C600" s="178"/>
      <c r="D600" s="178"/>
      <c r="E600" s="178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178"/>
      <c r="B601" s="178"/>
      <c r="C601" s="178"/>
      <c r="D601" s="178"/>
      <c r="E601" s="178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178"/>
      <c r="B602" s="178"/>
      <c r="C602" s="178"/>
      <c r="D602" s="178"/>
      <c r="E602" s="178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178"/>
      <c r="B603" s="178"/>
      <c r="C603" s="178"/>
      <c r="D603" s="178"/>
      <c r="E603" s="178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178"/>
      <c r="B604" s="178"/>
      <c r="C604" s="178"/>
      <c r="D604" s="178"/>
      <c r="E604" s="178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178"/>
      <c r="B605" s="178"/>
      <c r="C605" s="178"/>
      <c r="D605" s="178"/>
      <c r="E605" s="178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178"/>
      <c r="B606" s="178"/>
      <c r="C606" s="178"/>
      <c r="D606" s="178"/>
      <c r="E606" s="178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178"/>
      <c r="B607" s="178"/>
      <c r="C607" s="178"/>
      <c r="D607" s="178"/>
      <c r="E607" s="178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178"/>
      <c r="B608" s="178"/>
      <c r="C608" s="178"/>
      <c r="D608" s="178"/>
      <c r="E608" s="178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178"/>
      <c r="B609" s="178"/>
      <c r="C609" s="178"/>
      <c r="D609" s="178"/>
      <c r="E609" s="178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178"/>
      <c r="B610" s="178"/>
      <c r="C610" s="178"/>
      <c r="D610" s="178"/>
      <c r="E610" s="178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178"/>
      <c r="B611" s="178"/>
      <c r="C611" s="178"/>
      <c r="D611" s="178"/>
      <c r="E611" s="178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178"/>
      <c r="B612" s="178"/>
      <c r="C612" s="178"/>
      <c r="D612" s="178"/>
      <c r="E612" s="178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178"/>
      <c r="B613" s="178"/>
      <c r="C613" s="178"/>
      <c r="D613" s="178"/>
      <c r="E613" s="178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178"/>
      <c r="B614" s="178"/>
      <c r="C614" s="178"/>
      <c r="D614" s="178"/>
      <c r="E614" s="178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178"/>
      <c r="B615" s="178"/>
      <c r="C615" s="178"/>
      <c r="D615" s="178"/>
      <c r="E615" s="178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178"/>
      <c r="B616" s="178"/>
      <c r="C616" s="178"/>
      <c r="D616" s="178"/>
      <c r="E616" s="178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178"/>
      <c r="B617" s="178"/>
      <c r="C617" s="178"/>
      <c r="D617" s="178"/>
      <c r="E617" s="178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178"/>
      <c r="B618" s="178"/>
      <c r="C618" s="178"/>
      <c r="D618" s="178"/>
      <c r="E618" s="178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178"/>
      <c r="B619" s="178"/>
      <c r="C619" s="178"/>
      <c r="D619" s="178"/>
      <c r="E619" s="178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178"/>
      <c r="B620" s="178"/>
      <c r="C620" s="178"/>
      <c r="D620" s="178"/>
      <c r="E620" s="178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178"/>
      <c r="B621" s="178"/>
      <c r="C621" s="178"/>
      <c r="D621" s="178"/>
      <c r="E621" s="178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178"/>
      <c r="B622" s="178"/>
      <c r="C622" s="178"/>
      <c r="D622" s="178"/>
      <c r="E622" s="178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178"/>
      <c r="B623" s="178"/>
      <c r="C623" s="178"/>
      <c r="D623" s="178"/>
      <c r="E623" s="178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178"/>
      <c r="B624" s="178"/>
      <c r="C624" s="178"/>
      <c r="D624" s="178"/>
      <c r="E624" s="178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178"/>
      <c r="B625" s="178"/>
      <c r="C625" s="178"/>
      <c r="D625" s="178"/>
      <c r="E625" s="178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178"/>
      <c r="B626" s="178"/>
      <c r="C626" s="178"/>
      <c r="D626" s="178"/>
      <c r="E626" s="178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178"/>
      <c r="B627" s="178"/>
      <c r="C627" s="178"/>
      <c r="D627" s="178"/>
      <c r="E627" s="178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178"/>
      <c r="B628" s="178"/>
      <c r="C628" s="178"/>
      <c r="D628" s="178"/>
      <c r="E628" s="178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178"/>
      <c r="B629" s="178"/>
      <c r="C629" s="178"/>
      <c r="D629" s="178"/>
      <c r="E629" s="178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178"/>
      <c r="B630" s="178"/>
      <c r="C630" s="178"/>
      <c r="D630" s="178"/>
      <c r="E630" s="178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178"/>
      <c r="B631" s="178"/>
      <c r="C631" s="178"/>
      <c r="D631" s="178"/>
      <c r="E631" s="178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178"/>
      <c r="B632" s="178"/>
      <c r="C632" s="178"/>
      <c r="D632" s="178"/>
      <c r="E632" s="178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178"/>
      <c r="B633" s="178"/>
      <c r="C633" s="178"/>
      <c r="D633" s="178"/>
      <c r="E633" s="178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178"/>
      <c r="B634" s="178"/>
      <c r="C634" s="178"/>
      <c r="D634" s="178"/>
      <c r="E634" s="178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178"/>
      <c r="B635" s="178"/>
      <c r="C635" s="178"/>
      <c r="D635" s="178"/>
      <c r="E635" s="178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178"/>
      <c r="B636" s="178"/>
      <c r="C636" s="178"/>
      <c r="D636" s="178"/>
      <c r="E636" s="178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178"/>
      <c r="B637" s="178"/>
      <c r="C637" s="178"/>
      <c r="D637" s="178"/>
      <c r="E637" s="178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178"/>
      <c r="B638" s="178"/>
      <c r="C638" s="178"/>
      <c r="D638" s="178"/>
      <c r="E638" s="178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178"/>
      <c r="B639" s="178"/>
      <c r="C639" s="178"/>
      <c r="D639" s="178"/>
      <c r="E639" s="178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178"/>
      <c r="B640" s="178"/>
      <c r="C640" s="178"/>
      <c r="D640" s="178"/>
      <c r="E640" s="178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178"/>
      <c r="B641" s="178"/>
      <c r="C641" s="178"/>
      <c r="D641" s="178"/>
      <c r="E641" s="178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178"/>
      <c r="B642" s="178"/>
      <c r="C642" s="178"/>
      <c r="D642" s="178"/>
      <c r="E642" s="178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178"/>
      <c r="B643" s="178"/>
      <c r="C643" s="178"/>
      <c r="D643" s="178"/>
      <c r="E643" s="178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178"/>
      <c r="B644" s="178"/>
      <c r="C644" s="178"/>
      <c r="D644" s="178"/>
      <c r="E644" s="178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178"/>
      <c r="B645" s="178"/>
      <c r="C645" s="178"/>
      <c r="D645" s="178"/>
      <c r="E645" s="178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178"/>
      <c r="B646" s="178"/>
      <c r="C646" s="178"/>
      <c r="D646" s="178"/>
      <c r="E646" s="178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178"/>
      <c r="B647" s="178"/>
      <c r="C647" s="178"/>
      <c r="D647" s="178"/>
      <c r="E647" s="178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178"/>
      <c r="B648" s="178"/>
      <c r="C648" s="178"/>
      <c r="D648" s="178"/>
      <c r="E648" s="178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178"/>
      <c r="B649" s="178"/>
      <c r="C649" s="178"/>
      <c r="D649" s="178"/>
      <c r="E649" s="178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178"/>
      <c r="B650" s="178"/>
      <c r="C650" s="178"/>
      <c r="D650" s="178"/>
      <c r="E650" s="178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178"/>
      <c r="B651" s="178"/>
      <c r="C651" s="178"/>
      <c r="D651" s="178"/>
      <c r="E651" s="178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178"/>
      <c r="B652" s="178"/>
      <c r="C652" s="178"/>
      <c r="D652" s="178"/>
      <c r="E652" s="178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178"/>
      <c r="B653" s="178"/>
      <c r="C653" s="178"/>
      <c r="D653" s="178"/>
      <c r="E653" s="178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178"/>
      <c r="B654" s="178"/>
      <c r="C654" s="178"/>
      <c r="D654" s="178"/>
      <c r="E654" s="178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178"/>
      <c r="B655" s="178"/>
      <c r="C655" s="178"/>
      <c r="D655" s="178"/>
      <c r="E655" s="178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178"/>
      <c r="B656" s="178"/>
      <c r="C656" s="178"/>
      <c r="D656" s="178"/>
      <c r="E656" s="178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178"/>
      <c r="B657" s="178"/>
      <c r="C657" s="178"/>
      <c r="D657" s="178"/>
      <c r="E657" s="178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178"/>
      <c r="B658" s="178"/>
      <c r="C658" s="178"/>
      <c r="D658" s="178"/>
      <c r="E658" s="178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178"/>
      <c r="B659" s="178"/>
      <c r="C659" s="178"/>
      <c r="D659" s="178"/>
      <c r="E659" s="178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178"/>
      <c r="B660" s="178"/>
      <c r="C660" s="178"/>
      <c r="D660" s="178"/>
      <c r="E660" s="178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178"/>
      <c r="B661" s="178"/>
      <c r="C661" s="178"/>
      <c r="D661" s="178"/>
      <c r="E661" s="178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178"/>
      <c r="B662" s="178"/>
      <c r="C662" s="178"/>
      <c r="D662" s="178"/>
      <c r="E662" s="178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178"/>
      <c r="B663" s="178"/>
      <c r="C663" s="178"/>
      <c r="D663" s="178"/>
      <c r="E663" s="178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178"/>
      <c r="B664" s="178"/>
      <c r="C664" s="178"/>
      <c r="D664" s="178"/>
      <c r="E664" s="178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178"/>
      <c r="B665" s="178"/>
      <c r="C665" s="178"/>
      <c r="D665" s="178"/>
      <c r="E665" s="178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178"/>
      <c r="B666" s="178"/>
      <c r="C666" s="178"/>
      <c r="D666" s="178"/>
      <c r="E666" s="178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178"/>
      <c r="B667" s="178"/>
      <c r="C667" s="178"/>
      <c r="D667" s="178"/>
      <c r="E667" s="178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178"/>
      <c r="B668" s="178"/>
      <c r="C668" s="178"/>
      <c r="D668" s="178"/>
      <c r="E668" s="178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178"/>
      <c r="B669" s="178"/>
      <c r="C669" s="178"/>
      <c r="D669" s="178"/>
      <c r="E669" s="178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178"/>
      <c r="B670" s="178"/>
      <c r="C670" s="178"/>
      <c r="D670" s="178"/>
      <c r="E670" s="178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178"/>
      <c r="B671" s="178"/>
      <c r="C671" s="178"/>
      <c r="D671" s="178"/>
      <c r="E671" s="178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178"/>
      <c r="B672" s="178"/>
      <c r="C672" s="178"/>
      <c r="D672" s="178"/>
      <c r="E672" s="178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178"/>
      <c r="B673" s="178"/>
      <c r="C673" s="178"/>
      <c r="D673" s="178"/>
      <c r="E673" s="178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178"/>
      <c r="B674" s="178"/>
      <c r="C674" s="178"/>
      <c r="D674" s="178"/>
      <c r="E674" s="178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178"/>
      <c r="B675" s="178"/>
      <c r="C675" s="178"/>
      <c r="D675" s="178"/>
      <c r="E675" s="178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178"/>
      <c r="B676" s="178"/>
      <c r="C676" s="178"/>
      <c r="D676" s="178"/>
      <c r="E676" s="178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178"/>
      <c r="B677" s="178"/>
      <c r="C677" s="178"/>
      <c r="D677" s="178"/>
      <c r="E677" s="178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178"/>
      <c r="B678" s="178"/>
      <c r="C678" s="178"/>
      <c r="D678" s="178"/>
      <c r="E678" s="178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178"/>
      <c r="B679" s="178"/>
      <c r="C679" s="178"/>
      <c r="D679" s="178"/>
      <c r="E679" s="178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178"/>
      <c r="B680" s="178"/>
      <c r="C680" s="178"/>
      <c r="D680" s="178"/>
      <c r="E680" s="178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178"/>
      <c r="B681" s="178"/>
      <c r="C681" s="178"/>
      <c r="D681" s="178"/>
      <c r="E681" s="178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178"/>
      <c r="B682" s="178"/>
      <c r="C682" s="178"/>
      <c r="D682" s="178"/>
      <c r="E682" s="178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178"/>
      <c r="B683" s="178"/>
      <c r="C683" s="178"/>
      <c r="D683" s="178"/>
      <c r="E683" s="178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178"/>
      <c r="B684" s="178"/>
      <c r="C684" s="178"/>
      <c r="D684" s="178"/>
      <c r="E684" s="178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178"/>
      <c r="B685" s="178"/>
      <c r="C685" s="178"/>
      <c r="D685" s="178"/>
      <c r="E685" s="178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178"/>
      <c r="B686" s="178"/>
      <c r="C686" s="178"/>
      <c r="D686" s="178"/>
      <c r="E686" s="178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178"/>
      <c r="B687" s="178"/>
      <c r="C687" s="178"/>
      <c r="D687" s="178"/>
      <c r="E687" s="178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178"/>
      <c r="B688" s="178"/>
      <c r="C688" s="178"/>
      <c r="D688" s="178"/>
      <c r="E688" s="178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178"/>
      <c r="B689" s="178"/>
      <c r="C689" s="178"/>
      <c r="D689" s="178"/>
      <c r="E689" s="178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178"/>
      <c r="B690" s="178"/>
      <c r="C690" s="178"/>
      <c r="D690" s="178"/>
      <c r="E690" s="178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178"/>
      <c r="B691" s="178"/>
      <c r="C691" s="178"/>
      <c r="D691" s="178"/>
      <c r="E691" s="178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178"/>
      <c r="B692" s="178"/>
      <c r="C692" s="178"/>
      <c r="D692" s="178"/>
      <c r="E692" s="178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178"/>
      <c r="B693" s="178"/>
      <c r="C693" s="178"/>
      <c r="D693" s="178"/>
      <c r="E693" s="178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178"/>
      <c r="B694" s="178"/>
      <c r="C694" s="178"/>
      <c r="D694" s="178"/>
      <c r="E694" s="178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178"/>
      <c r="B695" s="178"/>
      <c r="C695" s="178"/>
      <c r="D695" s="178"/>
      <c r="E695" s="178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178"/>
      <c r="B696" s="178"/>
      <c r="C696" s="178"/>
      <c r="D696" s="178"/>
      <c r="E696" s="178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178"/>
      <c r="B697" s="178"/>
      <c r="C697" s="178"/>
      <c r="D697" s="178"/>
      <c r="E697" s="178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178"/>
      <c r="B698" s="178"/>
      <c r="C698" s="178"/>
      <c r="D698" s="178"/>
      <c r="E698" s="178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178"/>
      <c r="B699" s="178"/>
      <c r="C699" s="178"/>
      <c r="D699" s="178"/>
      <c r="E699" s="178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178"/>
      <c r="B700" s="178"/>
      <c r="C700" s="178"/>
      <c r="D700" s="178"/>
      <c r="E700" s="178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178"/>
      <c r="B701" s="178"/>
      <c r="C701" s="178"/>
      <c r="D701" s="178"/>
      <c r="E701" s="178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178"/>
      <c r="B702" s="178"/>
      <c r="C702" s="178"/>
      <c r="D702" s="178"/>
      <c r="E702" s="178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178"/>
      <c r="B703" s="178"/>
      <c r="C703" s="178"/>
      <c r="D703" s="178"/>
      <c r="E703" s="178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178"/>
      <c r="B704" s="178"/>
      <c r="C704" s="178"/>
      <c r="D704" s="178"/>
      <c r="E704" s="178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178"/>
      <c r="B705" s="178"/>
      <c r="C705" s="178"/>
      <c r="D705" s="178"/>
      <c r="E705" s="178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178"/>
      <c r="B706" s="178"/>
      <c r="C706" s="178"/>
      <c r="D706" s="178"/>
      <c r="E706" s="178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178"/>
      <c r="B707" s="178"/>
      <c r="C707" s="178"/>
      <c r="D707" s="178"/>
      <c r="E707" s="178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178"/>
      <c r="B708" s="178"/>
      <c r="C708" s="178"/>
      <c r="D708" s="178"/>
      <c r="E708" s="178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178"/>
      <c r="B709" s="178"/>
      <c r="C709" s="178"/>
      <c r="D709" s="178"/>
      <c r="E709" s="178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178"/>
      <c r="B710" s="178"/>
      <c r="C710" s="178"/>
      <c r="D710" s="178"/>
      <c r="E710" s="178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178"/>
      <c r="B711" s="178"/>
      <c r="C711" s="178"/>
      <c r="D711" s="178"/>
      <c r="E711" s="178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178"/>
      <c r="B712" s="178"/>
      <c r="C712" s="178"/>
      <c r="D712" s="178"/>
      <c r="E712" s="178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178"/>
      <c r="B713" s="178"/>
      <c r="C713" s="178"/>
      <c r="D713" s="178"/>
      <c r="E713" s="178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178"/>
      <c r="B714" s="178"/>
      <c r="C714" s="178"/>
      <c r="D714" s="178"/>
      <c r="E714" s="178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178"/>
      <c r="B715" s="178"/>
      <c r="C715" s="178"/>
      <c r="D715" s="178"/>
      <c r="E715" s="178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178"/>
      <c r="B716" s="178"/>
      <c r="C716" s="178"/>
      <c r="D716" s="178"/>
      <c r="E716" s="178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178"/>
      <c r="B717" s="178"/>
      <c r="C717" s="178"/>
      <c r="D717" s="178"/>
      <c r="E717" s="178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178"/>
      <c r="B718" s="178"/>
      <c r="C718" s="178"/>
      <c r="D718" s="178"/>
      <c r="E718" s="178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178"/>
      <c r="B719" s="178"/>
      <c r="C719" s="178"/>
      <c r="D719" s="178"/>
      <c r="E719" s="178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178"/>
      <c r="B720" s="178"/>
      <c r="C720" s="178"/>
      <c r="D720" s="178"/>
      <c r="E720" s="178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178"/>
      <c r="B721" s="178"/>
      <c r="C721" s="178"/>
      <c r="D721" s="178"/>
      <c r="E721" s="178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178"/>
      <c r="B722" s="178"/>
      <c r="C722" s="178"/>
      <c r="D722" s="178"/>
      <c r="E722" s="178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178"/>
      <c r="B723" s="178"/>
      <c r="C723" s="178"/>
      <c r="D723" s="178"/>
      <c r="E723" s="178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178"/>
      <c r="B724" s="178"/>
      <c r="C724" s="178"/>
      <c r="D724" s="178"/>
      <c r="E724" s="178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178"/>
      <c r="B725" s="178"/>
      <c r="C725" s="178"/>
      <c r="D725" s="178"/>
      <c r="E725" s="178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178"/>
      <c r="B726" s="178"/>
      <c r="C726" s="178"/>
      <c r="D726" s="178"/>
      <c r="E726" s="178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178"/>
      <c r="B727" s="178"/>
      <c r="C727" s="178"/>
      <c r="D727" s="178"/>
      <c r="E727" s="178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178"/>
      <c r="B728" s="178"/>
      <c r="C728" s="178"/>
      <c r="D728" s="178"/>
      <c r="E728" s="178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178"/>
      <c r="B729" s="178"/>
      <c r="C729" s="178"/>
      <c r="D729" s="178"/>
      <c r="E729" s="178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178"/>
      <c r="B730" s="178"/>
      <c r="C730" s="178"/>
      <c r="D730" s="178"/>
      <c r="E730" s="178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178"/>
      <c r="B731" s="178"/>
      <c r="C731" s="178"/>
      <c r="D731" s="178"/>
      <c r="E731" s="178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178"/>
      <c r="B732" s="178"/>
      <c r="C732" s="178"/>
      <c r="D732" s="178"/>
      <c r="E732" s="178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178"/>
      <c r="B733" s="178"/>
      <c r="C733" s="178"/>
      <c r="D733" s="178"/>
      <c r="E733" s="178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178"/>
      <c r="B734" s="178"/>
      <c r="C734" s="178"/>
      <c r="D734" s="178"/>
      <c r="E734" s="178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178"/>
      <c r="B735" s="178"/>
      <c r="C735" s="178"/>
      <c r="D735" s="178"/>
      <c r="E735" s="178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178"/>
      <c r="B736" s="178"/>
      <c r="C736" s="178"/>
      <c r="D736" s="178"/>
      <c r="E736" s="178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178"/>
      <c r="B737" s="178"/>
      <c r="C737" s="178"/>
      <c r="D737" s="178"/>
      <c r="E737" s="178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178"/>
      <c r="B738" s="178"/>
      <c r="C738" s="178"/>
      <c r="D738" s="178"/>
      <c r="E738" s="178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178"/>
      <c r="B739" s="178"/>
      <c r="C739" s="178"/>
      <c r="D739" s="178"/>
      <c r="E739" s="178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178"/>
      <c r="B740" s="178"/>
      <c r="C740" s="178"/>
      <c r="D740" s="178"/>
      <c r="E740" s="178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178"/>
      <c r="B741" s="178"/>
      <c r="C741" s="178"/>
      <c r="D741" s="178"/>
      <c r="E741" s="178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178"/>
      <c r="B742" s="178"/>
      <c r="C742" s="178"/>
      <c r="D742" s="178"/>
      <c r="E742" s="178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178"/>
      <c r="B743" s="178"/>
      <c r="C743" s="178"/>
      <c r="D743" s="178"/>
      <c r="E743" s="178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178"/>
      <c r="B744" s="178"/>
      <c r="C744" s="178"/>
      <c r="D744" s="178"/>
      <c r="E744" s="178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178"/>
      <c r="B745" s="178"/>
      <c r="C745" s="178"/>
      <c r="D745" s="178"/>
      <c r="E745" s="178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178"/>
      <c r="B746" s="178"/>
      <c r="C746" s="178"/>
      <c r="D746" s="178"/>
      <c r="E746" s="178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178"/>
      <c r="B747" s="178"/>
      <c r="C747" s="178"/>
      <c r="D747" s="178"/>
      <c r="E747" s="178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178"/>
      <c r="B748" s="178"/>
      <c r="C748" s="178"/>
      <c r="D748" s="178"/>
      <c r="E748" s="178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178"/>
      <c r="B749" s="178"/>
      <c r="C749" s="178"/>
      <c r="D749" s="178"/>
      <c r="E749" s="178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178"/>
      <c r="B750" s="178"/>
      <c r="C750" s="178"/>
      <c r="D750" s="178"/>
      <c r="E750" s="178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178"/>
      <c r="B751" s="178"/>
      <c r="C751" s="178"/>
      <c r="D751" s="178"/>
      <c r="E751" s="178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178"/>
      <c r="B752" s="178"/>
      <c r="C752" s="178"/>
      <c r="D752" s="178"/>
      <c r="E752" s="178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178"/>
      <c r="B753" s="178"/>
      <c r="C753" s="178"/>
      <c r="D753" s="178"/>
      <c r="E753" s="178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178"/>
      <c r="B754" s="178"/>
      <c r="C754" s="178"/>
      <c r="D754" s="178"/>
      <c r="E754" s="178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178"/>
      <c r="B755" s="178"/>
      <c r="C755" s="178"/>
      <c r="D755" s="178"/>
      <c r="E755" s="178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178"/>
      <c r="B756" s="178"/>
      <c r="C756" s="178"/>
      <c r="D756" s="178"/>
      <c r="E756" s="178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178"/>
      <c r="B757" s="178"/>
      <c r="C757" s="178"/>
      <c r="D757" s="178"/>
      <c r="E757" s="178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178"/>
      <c r="B758" s="178"/>
      <c r="C758" s="178"/>
      <c r="D758" s="178"/>
      <c r="E758" s="178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178"/>
      <c r="B759" s="178"/>
      <c r="C759" s="178"/>
      <c r="D759" s="178"/>
      <c r="E759" s="178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178"/>
      <c r="B760" s="178"/>
      <c r="C760" s="178"/>
      <c r="D760" s="178"/>
      <c r="E760" s="178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178"/>
      <c r="B761" s="178"/>
      <c r="C761" s="178"/>
      <c r="D761" s="178"/>
      <c r="E761" s="178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178"/>
      <c r="B762" s="178"/>
      <c r="C762" s="178"/>
      <c r="D762" s="178"/>
      <c r="E762" s="178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178"/>
      <c r="B763" s="178"/>
      <c r="C763" s="178"/>
      <c r="D763" s="178"/>
      <c r="E763" s="178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178"/>
      <c r="B764" s="178"/>
      <c r="C764" s="178"/>
      <c r="D764" s="178"/>
      <c r="E764" s="178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178"/>
      <c r="B765" s="178"/>
      <c r="C765" s="178"/>
      <c r="D765" s="178"/>
      <c r="E765" s="178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178"/>
      <c r="B766" s="178"/>
      <c r="C766" s="178"/>
      <c r="D766" s="178"/>
      <c r="E766" s="178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178"/>
      <c r="B767" s="178"/>
      <c r="C767" s="178"/>
      <c r="D767" s="178"/>
      <c r="E767" s="178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178"/>
      <c r="B768" s="178"/>
      <c r="C768" s="178"/>
      <c r="D768" s="178"/>
      <c r="E768" s="178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178"/>
      <c r="B769" s="178"/>
      <c r="C769" s="178"/>
      <c r="D769" s="178"/>
      <c r="E769" s="178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178"/>
      <c r="B770" s="178"/>
      <c r="C770" s="178"/>
      <c r="D770" s="178"/>
      <c r="E770" s="178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178"/>
      <c r="B771" s="178"/>
      <c r="C771" s="178"/>
      <c r="D771" s="178"/>
      <c r="E771" s="178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178"/>
      <c r="B772" s="178"/>
      <c r="C772" s="178"/>
      <c r="D772" s="178"/>
      <c r="E772" s="178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178"/>
      <c r="B773" s="178"/>
      <c r="C773" s="178"/>
      <c r="D773" s="178"/>
      <c r="E773" s="178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178"/>
      <c r="B774" s="178"/>
      <c r="C774" s="178"/>
      <c r="D774" s="178"/>
      <c r="E774" s="178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178"/>
      <c r="B775" s="178"/>
      <c r="C775" s="178"/>
      <c r="D775" s="178"/>
      <c r="E775" s="178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178"/>
      <c r="B776" s="178"/>
      <c r="C776" s="178"/>
      <c r="D776" s="178"/>
      <c r="E776" s="178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178"/>
      <c r="B777" s="178"/>
      <c r="C777" s="178"/>
      <c r="D777" s="178"/>
      <c r="E777" s="178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178"/>
      <c r="B778" s="178"/>
      <c r="C778" s="178"/>
      <c r="D778" s="178"/>
      <c r="E778" s="178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178"/>
      <c r="B779" s="178"/>
      <c r="C779" s="178"/>
      <c r="D779" s="178"/>
      <c r="E779" s="178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178"/>
      <c r="B780" s="178"/>
      <c r="C780" s="178"/>
      <c r="D780" s="178"/>
      <c r="E780" s="178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178"/>
      <c r="B781" s="178"/>
      <c r="C781" s="178"/>
      <c r="D781" s="178"/>
      <c r="E781" s="178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178"/>
      <c r="B782" s="178"/>
      <c r="C782" s="178"/>
      <c r="D782" s="178"/>
      <c r="E782" s="178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178"/>
      <c r="B783" s="178"/>
      <c r="C783" s="178"/>
      <c r="D783" s="178"/>
      <c r="E783" s="178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178"/>
      <c r="B784" s="178"/>
      <c r="C784" s="178"/>
      <c r="D784" s="178"/>
      <c r="E784" s="178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178"/>
      <c r="B785" s="178"/>
      <c r="C785" s="178"/>
      <c r="D785" s="178"/>
      <c r="E785" s="178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178"/>
      <c r="B786" s="178"/>
      <c r="C786" s="178"/>
      <c r="D786" s="178"/>
      <c r="E786" s="178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178"/>
      <c r="B787" s="178"/>
      <c r="C787" s="178"/>
      <c r="D787" s="178"/>
      <c r="E787" s="178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178"/>
      <c r="B788" s="178"/>
      <c r="C788" s="178"/>
      <c r="D788" s="178"/>
      <c r="E788" s="178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178"/>
      <c r="B789" s="178"/>
      <c r="C789" s="178"/>
      <c r="D789" s="178"/>
      <c r="E789" s="178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178"/>
      <c r="B790" s="178"/>
      <c r="C790" s="178"/>
      <c r="D790" s="178"/>
      <c r="E790" s="178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178"/>
      <c r="B791" s="178"/>
      <c r="C791" s="178"/>
      <c r="D791" s="178"/>
      <c r="E791" s="178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178"/>
      <c r="B792" s="178"/>
      <c r="C792" s="178"/>
      <c r="D792" s="178"/>
      <c r="E792" s="178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178"/>
      <c r="B793" s="178"/>
      <c r="C793" s="178"/>
      <c r="D793" s="178"/>
      <c r="E793" s="178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178"/>
      <c r="B794" s="178"/>
      <c r="C794" s="178"/>
      <c r="D794" s="178"/>
      <c r="E794" s="178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178"/>
      <c r="B795" s="178"/>
      <c r="C795" s="178"/>
      <c r="D795" s="178"/>
      <c r="E795" s="178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178"/>
      <c r="B796" s="178"/>
      <c r="C796" s="178"/>
      <c r="D796" s="178"/>
      <c r="E796" s="178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178"/>
      <c r="B797" s="178"/>
      <c r="C797" s="178"/>
      <c r="D797" s="178"/>
      <c r="E797" s="178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178"/>
      <c r="B798" s="178"/>
      <c r="C798" s="178"/>
      <c r="D798" s="178"/>
      <c r="E798" s="178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178"/>
      <c r="B799" s="178"/>
      <c r="C799" s="178"/>
      <c r="D799" s="178"/>
      <c r="E799" s="178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178"/>
      <c r="B800" s="178"/>
      <c r="C800" s="178"/>
      <c r="D800" s="178"/>
      <c r="E800" s="178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178"/>
      <c r="B801" s="178"/>
      <c r="C801" s="178"/>
      <c r="D801" s="178"/>
      <c r="E801" s="178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178"/>
      <c r="B802" s="178"/>
      <c r="C802" s="178"/>
      <c r="D802" s="178"/>
      <c r="E802" s="178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178"/>
      <c r="B803" s="178"/>
      <c r="C803" s="178"/>
      <c r="D803" s="178"/>
      <c r="E803" s="178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178"/>
      <c r="B804" s="178"/>
      <c r="C804" s="178"/>
      <c r="D804" s="178"/>
      <c r="E804" s="178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178"/>
      <c r="B805" s="178"/>
      <c r="C805" s="178"/>
      <c r="D805" s="178"/>
      <c r="E805" s="178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178"/>
      <c r="B806" s="178"/>
      <c r="C806" s="178"/>
      <c r="D806" s="178"/>
      <c r="E806" s="178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178"/>
      <c r="B807" s="178"/>
      <c r="C807" s="178"/>
      <c r="D807" s="178"/>
      <c r="E807" s="178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178"/>
      <c r="B808" s="178"/>
      <c r="C808" s="178"/>
      <c r="D808" s="178"/>
      <c r="E808" s="178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178"/>
      <c r="B809" s="178"/>
      <c r="C809" s="178"/>
      <c r="D809" s="178"/>
      <c r="E809" s="178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178"/>
      <c r="B810" s="178"/>
      <c r="C810" s="178"/>
      <c r="D810" s="178"/>
      <c r="E810" s="178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178"/>
      <c r="B811" s="178"/>
      <c r="C811" s="178"/>
      <c r="D811" s="178"/>
      <c r="E811" s="178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178"/>
      <c r="B812" s="178"/>
      <c r="C812" s="178"/>
      <c r="D812" s="178"/>
      <c r="E812" s="178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178"/>
      <c r="B813" s="178"/>
      <c r="C813" s="178"/>
      <c r="D813" s="178"/>
      <c r="E813" s="178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178"/>
      <c r="B814" s="178"/>
      <c r="C814" s="178"/>
      <c r="D814" s="178"/>
      <c r="E814" s="178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178"/>
      <c r="B815" s="178"/>
      <c r="C815" s="178"/>
      <c r="D815" s="178"/>
      <c r="E815" s="178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178"/>
      <c r="B816" s="178"/>
      <c r="C816" s="178"/>
      <c r="D816" s="178"/>
      <c r="E816" s="178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178"/>
      <c r="B817" s="178"/>
      <c r="C817" s="178"/>
      <c r="D817" s="178"/>
      <c r="E817" s="178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178"/>
      <c r="B818" s="178"/>
      <c r="C818" s="178"/>
      <c r="D818" s="178"/>
      <c r="E818" s="178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178"/>
      <c r="B819" s="178"/>
      <c r="C819" s="178"/>
      <c r="D819" s="178"/>
      <c r="E819" s="178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178"/>
      <c r="B820" s="178"/>
      <c r="C820" s="178"/>
      <c r="D820" s="178"/>
      <c r="E820" s="178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178"/>
      <c r="B821" s="178"/>
      <c r="C821" s="178"/>
      <c r="D821" s="178"/>
      <c r="E821" s="178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178"/>
      <c r="B822" s="178"/>
      <c r="C822" s="178"/>
      <c r="D822" s="178"/>
      <c r="E822" s="178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178"/>
      <c r="B823" s="178"/>
      <c r="C823" s="178"/>
      <c r="D823" s="178"/>
      <c r="E823" s="178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178"/>
      <c r="B824" s="178"/>
      <c r="C824" s="178"/>
      <c r="D824" s="178"/>
      <c r="E824" s="178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178"/>
      <c r="B825" s="178"/>
      <c r="C825" s="178"/>
      <c r="D825" s="178"/>
      <c r="E825" s="178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178"/>
      <c r="B826" s="178"/>
      <c r="C826" s="178"/>
      <c r="D826" s="178"/>
      <c r="E826" s="178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178"/>
      <c r="B827" s="178"/>
      <c r="C827" s="178"/>
      <c r="D827" s="178"/>
      <c r="E827" s="178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178"/>
      <c r="B828" s="178"/>
      <c r="C828" s="178"/>
      <c r="D828" s="178"/>
      <c r="E828" s="178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178"/>
      <c r="B829" s="178"/>
      <c r="C829" s="178"/>
      <c r="D829" s="178"/>
      <c r="E829" s="178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178"/>
      <c r="B830" s="178"/>
      <c r="C830" s="178"/>
      <c r="D830" s="178"/>
      <c r="E830" s="178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178"/>
      <c r="B831" s="178"/>
      <c r="C831" s="178"/>
      <c r="D831" s="178"/>
      <c r="E831" s="178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178"/>
      <c r="B832" s="178"/>
      <c r="C832" s="178"/>
      <c r="D832" s="178"/>
      <c r="E832" s="178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178"/>
      <c r="B833" s="178"/>
      <c r="C833" s="178"/>
      <c r="D833" s="178"/>
      <c r="E833" s="178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178"/>
      <c r="B834" s="178"/>
      <c r="C834" s="178"/>
      <c r="D834" s="178"/>
      <c r="E834" s="178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178"/>
      <c r="B835" s="178"/>
      <c r="C835" s="178"/>
      <c r="D835" s="178"/>
      <c r="E835" s="178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178"/>
      <c r="B836" s="178"/>
      <c r="C836" s="178"/>
      <c r="D836" s="178"/>
      <c r="E836" s="178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178"/>
      <c r="B837" s="178"/>
      <c r="C837" s="178"/>
      <c r="D837" s="178"/>
      <c r="E837" s="178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178"/>
      <c r="B838" s="178"/>
      <c r="C838" s="178"/>
      <c r="D838" s="178"/>
      <c r="E838" s="178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178"/>
      <c r="B839" s="178"/>
      <c r="C839" s="178"/>
      <c r="D839" s="178"/>
      <c r="E839" s="178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178"/>
      <c r="B840" s="178"/>
      <c r="C840" s="178"/>
      <c r="D840" s="178"/>
      <c r="E840" s="178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178"/>
      <c r="B841" s="178"/>
      <c r="C841" s="178"/>
      <c r="D841" s="178"/>
      <c r="E841" s="178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178"/>
      <c r="B842" s="178"/>
      <c r="C842" s="178"/>
      <c r="D842" s="178"/>
      <c r="E842" s="178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178"/>
      <c r="B843" s="178"/>
      <c r="C843" s="178"/>
      <c r="D843" s="178"/>
      <c r="E843" s="178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178"/>
      <c r="B844" s="178"/>
      <c r="C844" s="178"/>
      <c r="D844" s="178"/>
      <c r="E844" s="178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178"/>
      <c r="B845" s="178"/>
      <c r="C845" s="178"/>
      <c r="D845" s="178"/>
      <c r="E845" s="178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178"/>
      <c r="B846" s="178"/>
      <c r="C846" s="178"/>
      <c r="D846" s="178"/>
      <c r="E846" s="178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178"/>
      <c r="B847" s="178"/>
      <c r="C847" s="178"/>
      <c r="D847" s="178"/>
      <c r="E847" s="178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178"/>
      <c r="B848" s="178"/>
      <c r="C848" s="178"/>
      <c r="D848" s="178"/>
      <c r="E848" s="178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178"/>
      <c r="B849" s="178"/>
      <c r="C849" s="178"/>
      <c r="D849" s="178"/>
      <c r="E849" s="178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178"/>
      <c r="B850" s="178"/>
      <c r="C850" s="178"/>
      <c r="D850" s="178"/>
      <c r="E850" s="178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178"/>
      <c r="B851" s="178"/>
      <c r="C851" s="178"/>
      <c r="D851" s="178"/>
      <c r="E851" s="178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178"/>
      <c r="B852" s="178"/>
      <c r="C852" s="178"/>
      <c r="D852" s="178"/>
      <c r="E852" s="178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178"/>
      <c r="B853" s="178"/>
      <c r="C853" s="178"/>
      <c r="D853" s="178"/>
      <c r="E853" s="178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178"/>
      <c r="B854" s="178"/>
      <c r="C854" s="178"/>
      <c r="D854" s="178"/>
      <c r="E854" s="178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178"/>
      <c r="B855" s="178"/>
      <c r="C855" s="178"/>
      <c r="D855" s="178"/>
      <c r="E855" s="178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178"/>
      <c r="B856" s="178"/>
      <c r="C856" s="178"/>
      <c r="D856" s="178"/>
      <c r="E856" s="178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178"/>
      <c r="B857" s="178"/>
      <c r="C857" s="178"/>
      <c r="D857" s="178"/>
      <c r="E857" s="178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178"/>
      <c r="B858" s="178"/>
      <c r="C858" s="178"/>
      <c r="D858" s="178"/>
      <c r="E858" s="178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178"/>
      <c r="B859" s="178"/>
      <c r="C859" s="178"/>
      <c r="D859" s="178"/>
      <c r="E859" s="178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178"/>
      <c r="B860" s="178"/>
      <c r="C860" s="178"/>
      <c r="D860" s="178"/>
      <c r="E860" s="178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178"/>
      <c r="B861" s="178"/>
      <c r="C861" s="178"/>
      <c r="D861" s="178"/>
      <c r="E861" s="178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178"/>
      <c r="B862" s="178"/>
      <c r="C862" s="178"/>
      <c r="D862" s="178"/>
      <c r="E862" s="178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178"/>
      <c r="B863" s="178"/>
      <c r="C863" s="178"/>
      <c r="D863" s="178"/>
      <c r="E863" s="178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178"/>
      <c r="B864" s="178"/>
      <c r="C864" s="178"/>
      <c r="D864" s="178"/>
      <c r="E864" s="178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178"/>
      <c r="B865" s="178"/>
      <c r="C865" s="178"/>
      <c r="D865" s="178"/>
      <c r="E865" s="178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178"/>
      <c r="B866" s="178"/>
      <c r="C866" s="178"/>
      <c r="D866" s="178"/>
      <c r="E866" s="178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178"/>
      <c r="B867" s="178"/>
      <c r="C867" s="178"/>
      <c r="D867" s="178"/>
      <c r="E867" s="178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178"/>
      <c r="B868" s="178"/>
      <c r="C868" s="178"/>
      <c r="D868" s="178"/>
      <c r="E868" s="178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178"/>
      <c r="B869" s="178"/>
      <c r="C869" s="178"/>
      <c r="D869" s="178"/>
      <c r="E869" s="178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178"/>
      <c r="B870" s="178"/>
      <c r="C870" s="178"/>
      <c r="D870" s="178"/>
      <c r="E870" s="178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178"/>
      <c r="B871" s="178"/>
      <c r="C871" s="178"/>
      <c r="D871" s="178"/>
      <c r="E871" s="178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178"/>
      <c r="B872" s="178"/>
      <c r="C872" s="178"/>
      <c r="D872" s="178"/>
      <c r="E872" s="178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178"/>
      <c r="B873" s="178"/>
      <c r="C873" s="178"/>
      <c r="D873" s="178"/>
      <c r="E873" s="178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178"/>
      <c r="B874" s="178"/>
      <c r="C874" s="178"/>
      <c r="D874" s="178"/>
      <c r="E874" s="178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178"/>
      <c r="B875" s="178"/>
      <c r="C875" s="178"/>
      <c r="D875" s="178"/>
      <c r="E875" s="178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178"/>
      <c r="B876" s="178"/>
      <c r="C876" s="178"/>
      <c r="D876" s="178"/>
      <c r="E876" s="178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178"/>
      <c r="B877" s="178"/>
      <c r="C877" s="178"/>
      <c r="D877" s="178"/>
      <c r="E877" s="178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178"/>
      <c r="B878" s="178"/>
      <c r="C878" s="178"/>
      <c r="D878" s="178"/>
      <c r="E878" s="178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178"/>
      <c r="B879" s="178"/>
      <c r="C879" s="178"/>
      <c r="D879" s="178"/>
      <c r="E879" s="178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178"/>
      <c r="B880" s="178"/>
      <c r="C880" s="178"/>
      <c r="D880" s="178"/>
      <c r="E880" s="178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178"/>
      <c r="B881" s="178"/>
      <c r="C881" s="178"/>
      <c r="D881" s="178"/>
      <c r="E881" s="178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178"/>
      <c r="B882" s="178"/>
      <c r="C882" s="178"/>
      <c r="D882" s="178"/>
      <c r="E882" s="178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178"/>
      <c r="B883" s="178"/>
      <c r="C883" s="178"/>
      <c r="D883" s="178"/>
      <c r="E883" s="178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178"/>
      <c r="B884" s="178"/>
      <c r="C884" s="178"/>
      <c r="D884" s="178"/>
      <c r="E884" s="178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178"/>
      <c r="B885" s="178"/>
      <c r="C885" s="178"/>
      <c r="D885" s="178"/>
      <c r="E885" s="178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178"/>
      <c r="B886" s="178"/>
      <c r="C886" s="178"/>
      <c r="D886" s="178"/>
      <c r="E886" s="178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178"/>
      <c r="B887" s="178"/>
      <c r="C887" s="178"/>
      <c r="D887" s="178"/>
      <c r="E887" s="178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178"/>
      <c r="B888" s="178"/>
      <c r="C888" s="178"/>
      <c r="D888" s="178"/>
      <c r="E888" s="178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178"/>
      <c r="B889" s="178"/>
      <c r="C889" s="178"/>
      <c r="D889" s="178"/>
      <c r="E889" s="178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178"/>
      <c r="B890" s="178"/>
      <c r="C890" s="178"/>
      <c r="D890" s="178"/>
      <c r="E890" s="178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178"/>
      <c r="B891" s="178"/>
      <c r="C891" s="178"/>
      <c r="D891" s="178"/>
      <c r="E891" s="178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178"/>
      <c r="B892" s="178"/>
      <c r="C892" s="178"/>
      <c r="D892" s="178"/>
      <c r="E892" s="178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178"/>
      <c r="B893" s="178"/>
      <c r="C893" s="178"/>
      <c r="D893" s="178"/>
      <c r="E893" s="178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178"/>
      <c r="B894" s="178"/>
      <c r="C894" s="178"/>
      <c r="D894" s="178"/>
      <c r="E894" s="178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178"/>
      <c r="B895" s="178"/>
      <c r="C895" s="178"/>
      <c r="D895" s="178"/>
      <c r="E895" s="178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178"/>
      <c r="B896" s="178"/>
      <c r="C896" s="178"/>
      <c r="D896" s="178"/>
      <c r="E896" s="178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178"/>
      <c r="B897" s="178"/>
      <c r="C897" s="178"/>
      <c r="D897" s="178"/>
      <c r="E897" s="178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178"/>
      <c r="B898" s="178"/>
      <c r="C898" s="178"/>
      <c r="D898" s="178"/>
      <c r="E898" s="178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178"/>
      <c r="B899" s="178"/>
      <c r="C899" s="178"/>
      <c r="D899" s="178"/>
      <c r="E899" s="178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178"/>
      <c r="B900" s="178"/>
      <c r="C900" s="178"/>
      <c r="D900" s="178"/>
      <c r="E900" s="178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178"/>
      <c r="B901" s="178"/>
      <c r="C901" s="178"/>
      <c r="D901" s="178"/>
      <c r="E901" s="178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178"/>
      <c r="B902" s="178"/>
      <c r="C902" s="178"/>
      <c r="D902" s="178"/>
      <c r="E902" s="178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178"/>
      <c r="B903" s="178"/>
      <c r="C903" s="178"/>
      <c r="D903" s="178"/>
      <c r="E903" s="178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178"/>
      <c r="B904" s="178"/>
      <c r="C904" s="178"/>
      <c r="D904" s="178"/>
      <c r="E904" s="178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178"/>
      <c r="B905" s="178"/>
      <c r="C905" s="178"/>
      <c r="D905" s="178"/>
      <c r="E905" s="178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178"/>
      <c r="B906" s="178"/>
      <c r="C906" s="178"/>
      <c r="D906" s="178"/>
      <c r="E906" s="178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178"/>
      <c r="B907" s="178"/>
      <c r="C907" s="178"/>
      <c r="D907" s="178"/>
      <c r="E907" s="178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178"/>
      <c r="B908" s="178"/>
      <c r="C908" s="178"/>
      <c r="D908" s="178"/>
      <c r="E908" s="178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178"/>
      <c r="B909" s="178"/>
      <c r="C909" s="178"/>
      <c r="D909" s="178"/>
      <c r="E909" s="178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178"/>
      <c r="B910" s="178"/>
      <c r="C910" s="178"/>
      <c r="D910" s="178"/>
      <c r="E910" s="178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178"/>
      <c r="B911" s="178"/>
      <c r="C911" s="178"/>
      <c r="D911" s="178"/>
      <c r="E911" s="178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178"/>
      <c r="B912" s="178"/>
      <c r="C912" s="178"/>
      <c r="D912" s="178"/>
      <c r="E912" s="178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178"/>
      <c r="B913" s="178"/>
      <c r="C913" s="178"/>
      <c r="D913" s="178"/>
      <c r="E913" s="178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178"/>
      <c r="B914" s="178"/>
      <c r="C914" s="178"/>
      <c r="D914" s="178"/>
      <c r="E914" s="178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178"/>
      <c r="B915" s="178"/>
      <c r="C915" s="178"/>
      <c r="D915" s="178"/>
      <c r="E915" s="178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178"/>
      <c r="B916" s="178"/>
      <c r="C916" s="178"/>
      <c r="D916" s="178"/>
      <c r="E916" s="178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178"/>
      <c r="B917" s="178"/>
      <c r="C917" s="178"/>
      <c r="D917" s="178"/>
      <c r="E917" s="178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178"/>
      <c r="B918" s="178"/>
      <c r="C918" s="178"/>
      <c r="D918" s="178"/>
      <c r="E918" s="178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178"/>
      <c r="B919" s="178"/>
      <c r="C919" s="178"/>
      <c r="D919" s="178"/>
      <c r="E919" s="178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178"/>
      <c r="B920" s="178"/>
      <c r="C920" s="178"/>
      <c r="D920" s="178"/>
      <c r="E920" s="178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178"/>
      <c r="B921" s="178"/>
      <c r="C921" s="178"/>
      <c r="D921" s="178"/>
      <c r="E921" s="178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178"/>
      <c r="B922" s="178"/>
      <c r="C922" s="178"/>
      <c r="D922" s="178"/>
      <c r="E922" s="178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178"/>
      <c r="B923" s="178"/>
      <c r="C923" s="178"/>
      <c r="D923" s="178"/>
      <c r="E923" s="178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178"/>
      <c r="B924" s="178"/>
      <c r="C924" s="178"/>
      <c r="D924" s="178"/>
      <c r="E924" s="178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178"/>
      <c r="B925" s="178"/>
      <c r="C925" s="178"/>
      <c r="D925" s="178"/>
      <c r="E925" s="178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178"/>
      <c r="B926" s="178"/>
      <c r="C926" s="178"/>
      <c r="D926" s="178"/>
      <c r="E926" s="178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178"/>
      <c r="B927" s="178"/>
      <c r="C927" s="178"/>
      <c r="D927" s="178"/>
      <c r="E927" s="178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178"/>
      <c r="B928" s="178"/>
      <c r="C928" s="178"/>
      <c r="D928" s="178"/>
      <c r="E928" s="178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178"/>
      <c r="B929" s="178"/>
      <c r="C929" s="178"/>
      <c r="D929" s="178"/>
      <c r="E929" s="178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178"/>
      <c r="B930" s="178"/>
      <c r="C930" s="178"/>
      <c r="D930" s="178"/>
      <c r="E930" s="178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178"/>
      <c r="B931" s="178"/>
      <c r="C931" s="178"/>
      <c r="D931" s="178"/>
      <c r="E931" s="178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178"/>
      <c r="B932" s="178"/>
      <c r="C932" s="178"/>
      <c r="D932" s="178"/>
      <c r="E932" s="178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178"/>
      <c r="B933" s="178"/>
      <c r="C933" s="178"/>
      <c r="D933" s="178"/>
      <c r="E933" s="178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178"/>
      <c r="B934" s="178"/>
      <c r="C934" s="178"/>
      <c r="D934" s="178"/>
      <c r="E934" s="178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178"/>
      <c r="B935" s="178"/>
      <c r="C935" s="178"/>
      <c r="D935" s="178"/>
      <c r="E935" s="178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178"/>
      <c r="B936" s="178"/>
      <c r="C936" s="178"/>
      <c r="D936" s="178"/>
      <c r="E936" s="178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178"/>
      <c r="B937" s="178"/>
      <c r="C937" s="178"/>
      <c r="D937" s="178"/>
      <c r="E937" s="178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178"/>
      <c r="B938" s="178"/>
      <c r="C938" s="178"/>
      <c r="D938" s="178"/>
      <c r="E938" s="178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178"/>
      <c r="B939" s="178"/>
      <c r="C939" s="178"/>
      <c r="D939" s="178"/>
      <c r="E939" s="178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178"/>
      <c r="B940" s="178"/>
      <c r="C940" s="178"/>
      <c r="D940" s="178"/>
      <c r="E940" s="178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178"/>
      <c r="B941" s="178"/>
      <c r="C941" s="178"/>
      <c r="D941" s="178"/>
      <c r="E941" s="178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178"/>
      <c r="B942" s="178"/>
      <c r="C942" s="178"/>
      <c r="D942" s="178"/>
      <c r="E942" s="178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178"/>
      <c r="B943" s="178"/>
      <c r="C943" s="178"/>
      <c r="D943" s="178"/>
      <c r="E943" s="178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178"/>
      <c r="B944" s="178"/>
      <c r="C944" s="178"/>
      <c r="D944" s="178"/>
      <c r="E944" s="178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178"/>
      <c r="B945" s="178"/>
      <c r="C945" s="178"/>
      <c r="D945" s="178"/>
      <c r="E945" s="178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178"/>
      <c r="B946" s="178"/>
      <c r="C946" s="178"/>
      <c r="D946" s="178"/>
      <c r="E946" s="178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178"/>
      <c r="B947" s="178"/>
      <c r="C947" s="178"/>
      <c r="D947" s="178"/>
      <c r="E947" s="178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178"/>
      <c r="B948" s="178"/>
      <c r="C948" s="178"/>
      <c r="D948" s="178"/>
      <c r="E948" s="178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178"/>
      <c r="B949" s="178"/>
      <c r="C949" s="178"/>
      <c r="D949" s="178"/>
      <c r="E949" s="178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178"/>
      <c r="B950" s="178"/>
      <c r="C950" s="178"/>
      <c r="D950" s="178"/>
      <c r="E950" s="178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178"/>
      <c r="B951" s="178"/>
      <c r="C951" s="178"/>
      <c r="D951" s="178"/>
      <c r="E951" s="178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178"/>
      <c r="B952" s="178"/>
      <c r="C952" s="178"/>
      <c r="D952" s="178"/>
      <c r="E952" s="178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178"/>
      <c r="B953" s="178"/>
      <c r="C953" s="178"/>
      <c r="D953" s="178"/>
      <c r="E953" s="178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178"/>
      <c r="B954" s="178"/>
      <c r="C954" s="178"/>
      <c r="D954" s="178"/>
      <c r="E954" s="178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178"/>
      <c r="B955" s="178"/>
      <c r="C955" s="178"/>
      <c r="D955" s="178"/>
      <c r="E955" s="178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178"/>
      <c r="B956" s="178"/>
      <c r="C956" s="178"/>
      <c r="D956" s="178"/>
      <c r="E956" s="178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178"/>
      <c r="B957" s="178"/>
      <c r="C957" s="178"/>
      <c r="D957" s="178"/>
      <c r="E957" s="178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178"/>
      <c r="B958" s="178"/>
      <c r="C958" s="178"/>
      <c r="D958" s="178"/>
      <c r="E958" s="178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178"/>
      <c r="B959" s="178"/>
      <c r="C959" s="178"/>
      <c r="D959" s="178"/>
      <c r="E959" s="178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178"/>
      <c r="B960" s="178"/>
      <c r="C960" s="178"/>
      <c r="D960" s="178"/>
      <c r="E960" s="178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178"/>
      <c r="B961" s="178"/>
      <c r="C961" s="178"/>
      <c r="D961" s="178"/>
      <c r="E961" s="178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178"/>
      <c r="B962" s="178"/>
      <c r="C962" s="178"/>
      <c r="D962" s="178"/>
      <c r="E962" s="178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178"/>
      <c r="B963" s="178"/>
      <c r="C963" s="178"/>
      <c r="D963" s="178"/>
      <c r="E963" s="178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178"/>
      <c r="B964" s="178"/>
      <c r="C964" s="178"/>
      <c r="D964" s="178"/>
      <c r="E964" s="178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178"/>
      <c r="B965" s="178"/>
      <c r="C965" s="178"/>
      <c r="D965" s="178"/>
      <c r="E965" s="178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178"/>
      <c r="B966" s="178"/>
      <c r="C966" s="178"/>
      <c r="D966" s="178"/>
      <c r="E966" s="178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178"/>
      <c r="B967" s="178"/>
      <c r="C967" s="178"/>
      <c r="D967" s="178"/>
      <c r="E967" s="178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178"/>
      <c r="B968" s="178"/>
      <c r="C968" s="178"/>
      <c r="D968" s="178"/>
      <c r="E968" s="178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178"/>
      <c r="B969" s="178"/>
      <c r="C969" s="178"/>
      <c r="D969" s="178"/>
      <c r="E969" s="178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178"/>
      <c r="B970" s="178"/>
      <c r="C970" s="178"/>
      <c r="D970" s="178"/>
      <c r="E970" s="178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178"/>
      <c r="B971" s="178"/>
      <c r="C971" s="178"/>
      <c r="D971" s="178"/>
      <c r="E971" s="178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178"/>
      <c r="B972" s="178"/>
      <c r="C972" s="178"/>
      <c r="D972" s="178"/>
      <c r="E972" s="178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178"/>
      <c r="B973" s="178"/>
      <c r="C973" s="178"/>
      <c r="D973" s="178"/>
      <c r="E973" s="178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178"/>
      <c r="B974" s="178"/>
      <c r="C974" s="178"/>
      <c r="D974" s="178"/>
      <c r="E974" s="178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178"/>
      <c r="B975" s="178"/>
      <c r="C975" s="178"/>
      <c r="D975" s="178"/>
      <c r="E975" s="178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178"/>
      <c r="B976" s="178"/>
      <c r="C976" s="178"/>
      <c r="D976" s="178"/>
      <c r="E976" s="178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178"/>
      <c r="B977" s="178"/>
      <c r="C977" s="178"/>
      <c r="D977" s="178"/>
      <c r="E977" s="178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178"/>
      <c r="B978" s="178"/>
      <c r="C978" s="178"/>
      <c r="D978" s="178"/>
      <c r="E978" s="178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178"/>
      <c r="B979" s="178"/>
      <c r="C979" s="178"/>
      <c r="D979" s="178"/>
      <c r="E979" s="178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178"/>
      <c r="B980" s="178"/>
      <c r="C980" s="178"/>
      <c r="D980" s="178"/>
      <c r="E980" s="178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178"/>
      <c r="B981" s="178"/>
      <c r="C981" s="178"/>
      <c r="D981" s="178"/>
      <c r="E981" s="178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178"/>
      <c r="B982" s="178"/>
      <c r="C982" s="178"/>
      <c r="D982" s="178"/>
      <c r="E982" s="178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178"/>
      <c r="B983" s="178"/>
      <c r="C983" s="178"/>
      <c r="D983" s="178"/>
      <c r="E983" s="178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178"/>
      <c r="B984" s="178"/>
      <c r="C984" s="178"/>
      <c r="D984" s="178"/>
      <c r="E984" s="178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178"/>
      <c r="B985" s="178"/>
      <c r="C985" s="178"/>
      <c r="D985" s="178"/>
      <c r="E985" s="178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178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178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178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42.63"/>
    <col customWidth="1" min="3" max="3" width="16.0"/>
    <col customWidth="1" min="4" max="4" width="24.25"/>
    <col customWidth="1" min="5" max="5" width="10.38"/>
    <col customWidth="1" min="7" max="7" width="76.8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178"/>
      <c r="G1" s="80" t="s">
        <v>5</v>
      </c>
      <c r="H1" s="81">
        <f>H4</f>
        <v>23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146" t="s">
        <v>1561</v>
      </c>
      <c r="B2" s="73" t="str">
        <f t="array" ref="B2">IFERROR(XLOOKUP(A2, BASE!E:E, BASE!B:B), "")
</f>
        <v>SoC_SP_Santana</v>
      </c>
      <c r="C2" s="73" t="str">
        <f t="array" ref="C2">IFERROR(XLOOKUP(A2, BASE!E:E, BASE!C:C), "")
</f>
        <v>SOC-SP2</v>
      </c>
      <c r="D2" s="73">
        <f t="array" ref="D2">IFERROR(XLOOKUP(A2, BASE!E:E, BASE!D:D), "")
</f>
        <v>28</v>
      </c>
      <c r="E2" s="168">
        <f t="array" ref="E2">IFERROR(XLOOKUP(A2, BASE!E:E, BASE!H:H), "")
</f>
        <v>46063.25</v>
      </c>
      <c r="F2" s="178"/>
      <c r="G2" s="82" t="s">
        <v>9</v>
      </c>
      <c r="H2" s="82">
        <f>COUNTIF(C:C,"*LSP*")
</f>
        <v>24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146" t="s">
        <v>1562</v>
      </c>
      <c r="B3" s="73" t="str">
        <f t="array" ref="B3">IFERROR(XLOOKUP(A3, BASE!E:E, BASE!B:B), "")
</f>
        <v>LM Hub_SP_Guaratinguetá</v>
      </c>
      <c r="C3" s="73" t="str">
        <f t="array" ref="C3">IFERROR(XLOOKUP(A3, BASE!E:E, BASE!C:C), "")
</f>
        <v>HUB-LSP-33</v>
      </c>
      <c r="D3" s="73">
        <f t="array" ref="D3">IFERROR(XLOOKUP(A3, BASE!E:E, BASE!D:D), "")
</f>
        <v>16</v>
      </c>
      <c r="E3" s="168">
        <f t="array" ref="E3">IFERROR(XLOOKUP(A3, BASE!E:E, BASE!H:H), "")
</f>
        <v>46063.25</v>
      </c>
      <c r="F3" s="178"/>
      <c r="G3" s="82" t="s">
        <v>13</v>
      </c>
      <c r="H3" s="82">
        <f>COUNTIF(C:C,"*SOC*")
</f>
        <v>3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146" t="s">
        <v>1563</v>
      </c>
      <c r="B4" s="73" t="str">
        <f t="array" ref="B4">IFERROR(XLOOKUP(A4, BASE!E:E, BASE!B:B), "")
</f>
        <v>LM Hub_SP_Registro</v>
      </c>
      <c r="C4" s="73" t="str">
        <f t="array" ref="C4">IFERROR(XLOOKUP(A4, BASE!E:E, BASE!C:C), "")
</f>
        <v>HUB-LSP-40</v>
      </c>
      <c r="D4" s="73">
        <f t="array" ref="D4">IFERROR(XLOOKUP(A4, BASE!E:E, BASE!D:D), "")
</f>
        <v>36</v>
      </c>
      <c r="E4" s="168">
        <f t="array" ref="E4">IFERROR(XLOOKUP(A4, BASE!E:E, BASE!H:H), "")
</f>
        <v>46063.25</v>
      </c>
      <c r="F4" s="178"/>
      <c r="G4" s="82" t="s">
        <v>810</v>
      </c>
      <c r="H4" s="198">
        <f>COUNTIFS(D:D,"&gt;=5",D:D,"&lt;=117")</f>
        <v>23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46" t="s">
        <v>1564</v>
      </c>
      <c r="B5" s="73" t="str">
        <f t="array" ref="B5">IFERROR(XLOOKUP(A5, BASE!E:E, BASE!B:B), "")
</f>
        <v>LM Hub_SP_São José dos Campos</v>
      </c>
      <c r="C5" s="73" t="str">
        <f t="array" ref="C5">IFERROR(XLOOKUP(A5, BASE!E:E, BASE!C:C), "")
</f>
        <v>HUB-LSP-04</v>
      </c>
      <c r="D5" s="73">
        <f t="array" ref="D5">IFERROR(XLOOKUP(A5, BASE!E:E, BASE!D:D), "")
</f>
        <v>22</v>
      </c>
      <c r="E5" s="168">
        <f t="array" ref="E5">IFERROR(XLOOKUP(A5, BASE!E:E, BASE!H:H), "")
</f>
        <v>46063.25</v>
      </c>
      <c r="F5" s="178"/>
      <c r="G5" s="82" t="s">
        <v>20</v>
      </c>
      <c r="H5" s="82">
        <f>COUNTIF(D:D,"*NÃO DOCOU*")</f>
        <v>0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146" t="s">
        <v>1565</v>
      </c>
      <c r="B6" s="73" t="str">
        <f t="array" ref="B6">IFERROR(XLOOKUP(A6, BASE!E:E, BASE!B:B), "")
</f>
        <v>LM Hub_SP_Atibaia_Ponte_Alta</v>
      </c>
      <c r="C6" s="73" t="str">
        <f t="array" ref="C6">IFERROR(XLOOKUP(A6, BASE!E:E, BASE!C:C), "")
</f>
        <v>HUB-LSP-87</v>
      </c>
      <c r="D6" s="73">
        <f t="array" ref="D6">IFERROR(XLOOKUP(A6, BASE!E:E, BASE!D:D), "")
</f>
        <v>26</v>
      </c>
      <c r="E6" s="168">
        <f t="array" ref="E6">IFERROR(XLOOKUP(A6, BASE!E:E, BASE!H:H), "")
</f>
        <v>46063.27083</v>
      </c>
      <c r="F6" s="178"/>
      <c r="G6" s="198" t="s">
        <v>25</v>
      </c>
      <c r="H6" s="199">
        <f>COUNTIF(D:D,"*NÃO CHEGOU*")
</f>
        <v>0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146" t="s">
        <v>1566</v>
      </c>
      <c r="B7" s="73" t="str">
        <f t="array" ref="B7">IFERROR(XLOOKUP(A7, BASE!E:E, BASE!B:B), "")
</f>
        <v>LM Hub_SP_Sorocaba_Região Norte</v>
      </c>
      <c r="C7" s="73" t="str">
        <f t="array" ref="C7">IFERROR(XLOOKUP(A7, BASE!E:E, BASE!C:C), "")
</f>
        <v>HUB-LSP-10</v>
      </c>
      <c r="D7" s="73">
        <f t="array" ref="D7">IFERROR(XLOOKUP(A7, BASE!E:E, BASE!D:D), "")
</f>
        <v>33</v>
      </c>
      <c r="E7" s="168">
        <f t="array" ref="E7">IFERROR(XLOOKUP(A7, BASE!E:E, BASE!H:H), "")
</f>
        <v>46063.27083</v>
      </c>
      <c r="F7" s="178"/>
      <c r="G7" s="82" t="s">
        <v>815</v>
      </c>
      <c r="H7" s="82">
        <f>COUNTIF(D:D,"*DRIVER DUPLICADO*")</f>
        <v>0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146" t="s">
        <v>1567</v>
      </c>
      <c r="B8" s="73" t="str">
        <f t="array" ref="B8">IFERROR(XLOOKUP(A8, BASE!E:E, BASE!B:B), "")
</f>
        <v>LM Hub_SP_Taubaté</v>
      </c>
      <c r="C8" s="73" t="str">
        <f t="array" ref="C8">IFERROR(XLOOKUP(A8, BASE!E:E, BASE!C:C), "")
</f>
        <v>HUB-LSP-08</v>
      </c>
      <c r="D8" s="73">
        <f t="array" ref="D8">IFERROR(XLOOKUP(A8, BASE!E:E, BASE!D:D), "")
</f>
        <v>34</v>
      </c>
      <c r="E8" s="168">
        <f t="array" ref="E8">IFERROR(XLOOKUP(A8, BASE!E:E, BASE!H:H), "")
</f>
        <v>46063.27083</v>
      </c>
      <c r="F8" s="178"/>
      <c r="G8" s="82" t="s">
        <v>1429</v>
      </c>
      <c r="H8" s="198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146" t="s">
        <v>1568</v>
      </c>
      <c r="B9" s="73" t="str">
        <f t="array" ref="B9">IFERROR(XLOOKUP(A9, BASE!E:E, BASE!B:B), "")
</f>
        <v>LM Hub_SP_Barueri_01</v>
      </c>
      <c r="C9" s="73" t="str">
        <f t="array" ref="C9">IFERROR(XLOOKUP(A9, BASE!E:E, BASE!C:C), "")
</f>
        <v>HUB-LSP-81</v>
      </c>
      <c r="D9" s="73">
        <f t="array" ref="D9">IFERROR(XLOOKUP(A9, BASE!E:E, BASE!D:D), "")
</f>
        <v>29</v>
      </c>
      <c r="E9" s="168">
        <f t="array" ref="E9">IFERROR(XLOOKUP(A9, BASE!E:E, BASE!H:H), "")
</f>
        <v>46063.29167</v>
      </c>
      <c r="F9" s="178"/>
      <c r="G9" s="82" t="s">
        <v>1431</v>
      </c>
      <c r="H9" s="198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102" t="s">
        <v>1569</v>
      </c>
      <c r="B10" s="73" t="str">
        <f t="array" ref="B10">IFERROR(XLOOKUP(A10, BASE!E:E, BASE!B:B), "")
</f>
        <v>SoC_RJ_Duque de Caxias</v>
      </c>
      <c r="C10" s="73" t="str">
        <f t="array" ref="C10">IFERROR(XLOOKUP(A10, BASE!E:E, BASE!C:C), "")
</f>
        <v>SOC-RJ2</v>
      </c>
      <c r="D10" s="73" t="str">
        <f t="array" ref="D10">IFERROR(XLOOKUP(A10, BASE!E:E, BASE!D:D), "")
</f>
        <v>97/13</v>
      </c>
      <c r="E10" s="168">
        <f t="array" ref="E10">IFERROR(XLOOKUP(A10, BASE!E:E, BASE!H:H), "")
</f>
        <v>46063.29167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146" t="s">
        <v>1570</v>
      </c>
      <c r="B11" s="73" t="str">
        <f t="array" ref="B11">IFERROR(XLOOKUP(A11, BASE!E:E, BASE!B:B), "")
</f>
        <v>LM Hub_SP_Piracicaba</v>
      </c>
      <c r="C11" s="73" t="str">
        <f t="array" ref="C11">IFERROR(XLOOKUP(A11, BASE!E:E, BASE!C:C), "")
</f>
        <v>HUB-LSP-62</v>
      </c>
      <c r="D11" s="73">
        <f t="array" ref="D11">IFERROR(XLOOKUP(A11, BASE!E:E, BASE!D:D), "")
</f>
        <v>24</v>
      </c>
      <c r="E11" s="168">
        <f t="array" ref="E11">IFERROR(XLOOKUP(A11, BASE!E:E, BASE!H:H), "")
</f>
        <v>46063.29167</v>
      </c>
      <c r="F11" s="178"/>
      <c r="G11" s="9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146" t="s">
        <v>1571</v>
      </c>
      <c r="B12" s="73" t="str">
        <f t="array" ref="B12">IFERROR(XLOOKUP(A12, BASE!E:E, BASE!B:B), "")
</f>
        <v>LM Hub_SP_Santos_PraiaGrande_02</v>
      </c>
      <c r="C12" s="73" t="str">
        <f t="array" ref="C12">IFERROR(XLOOKUP(A12, BASE!E:E, BASE!C:C), "")
</f>
        <v>HUB-LSP-63</v>
      </c>
      <c r="D12" s="73">
        <f t="array" ref="D12">IFERROR(XLOOKUP(A12, BASE!E:E, BASE!D:D), "")
</f>
        <v>40</v>
      </c>
      <c r="E12" s="168">
        <f t="array" ref="E12">IFERROR(XLOOKUP(A12, BASE!E:E, BASE!H:H), "")
</f>
        <v>46063.29167</v>
      </c>
      <c r="F12" s="178"/>
      <c r="G12" s="178"/>
      <c r="H12" s="178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146" t="s">
        <v>1572</v>
      </c>
      <c r="B13" s="73" t="str">
        <f t="array" ref="B13">IFERROR(XLOOKUP(A13, BASE!E:E, BASE!B:B), "")
</f>
        <v>LM Hub_SP_Jundiaí</v>
      </c>
      <c r="C13" s="73" t="str">
        <f t="array" ref="C13">IFERROR(XLOOKUP(A13, BASE!E:E, BASE!C:C), "")
</f>
        <v>HUB-LSP-100</v>
      </c>
      <c r="D13" s="73">
        <f t="array" ref="D13">IFERROR(XLOOKUP(A13, BASE!E:E, BASE!D:D), "")
</f>
        <v>35</v>
      </c>
      <c r="E13" s="168">
        <f t="array" ref="E13">IFERROR(XLOOKUP(A13, BASE!E:E, BASE!H:H), "")
</f>
        <v>46063.29167</v>
      </c>
      <c r="F13" s="178"/>
      <c r="G13" s="84" t="s">
        <v>1548</v>
      </c>
      <c r="H13" s="9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146" t="s">
        <v>1573</v>
      </c>
      <c r="B14" s="73" t="str">
        <f t="array" ref="B14">IFERROR(XLOOKUP(A14, BASE!E:E, BASE!B:B), "")
</f>
        <v>LM Hub_SP_São Paulo_Mooca</v>
      </c>
      <c r="C14" s="73" t="str">
        <f t="array" ref="C14">IFERROR(XLOOKUP(A14, BASE!E:E, BASE!C:C), "")
</f>
        <v>HUB-LSP-13</v>
      </c>
      <c r="D14" s="73">
        <f t="array" ref="D14">IFERROR(XLOOKUP(A14, BASE!E:E, BASE!D:D), "")
</f>
        <v>25</v>
      </c>
      <c r="E14" s="168">
        <f t="array" ref="E14">IFERROR(XLOOKUP(A14, BASE!E:E, BASE!H:H), "")
</f>
        <v>46063.3125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20.25" customHeight="1">
      <c r="A15" s="146" t="s">
        <v>1574</v>
      </c>
      <c r="B15" s="73" t="str">
        <f t="array" ref="B15">IFERROR(XLOOKUP(A15, BASE!E:E, BASE!B:B), "")
</f>
        <v>LM Hub_SP_Guarujá</v>
      </c>
      <c r="C15" s="73" t="str">
        <f t="array" ref="C15">IFERROR(XLOOKUP(A15, BASE!E:E, BASE!C:C), "")
</f>
        <v>HUB-LSP-06</v>
      </c>
      <c r="D15" s="73">
        <v>32.0</v>
      </c>
      <c r="E15" s="168">
        <f t="array" ref="E15">IFERROR(XLOOKUP(A15, BASE!E:E, BASE!H:H), "")
</f>
        <v>46063.3125</v>
      </c>
      <c r="F15" s="178"/>
      <c r="G15" s="187" t="s">
        <v>653</v>
      </c>
      <c r="H15" s="178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146" t="s">
        <v>1575</v>
      </c>
      <c r="B16" s="73" t="str">
        <f t="array" ref="B16">IFERROR(XLOOKUP(A16, BASE!E:E, BASE!B:B), "")
</f>
        <v>LM Hub_SP_Itapevi</v>
      </c>
      <c r="C16" s="73" t="str">
        <f t="array" ref="C16">IFERROR(XLOOKUP(A16, BASE!E:E, BASE!C:C), "")
</f>
        <v>HUB-LSP-41</v>
      </c>
      <c r="D16" s="73">
        <v>23.0</v>
      </c>
      <c r="E16" s="168">
        <f t="array" ref="E16">IFERROR(XLOOKUP(A16, BASE!E:E, BASE!H:H), "")
</f>
        <v>46063.3125</v>
      </c>
      <c r="F16" s="9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146" t="s">
        <v>1576</v>
      </c>
      <c r="B17" s="73" t="str">
        <f t="array" ref="B17">IFERROR(XLOOKUP(A17, BASE!E:E, BASE!B:B), "")
</f>
        <v>LM Hub_SP_Várzea Paulista</v>
      </c>
      <c r="C17" s="73" t="str">
        <f t="array" ref="C17">IFERROR(XLOOKUP(A17, BASE!E:E, BASE!C:C), "")
</f>
        <v>HUB-LSP-20</v>
      </c>
      <c r="D17" s="73">
        <f t="array" ref="D17">IFERROR(XLOOKUP(A17, BASE!E:E, BASE!D:D), "")
</f>
        <v>18</v>
      </c>
      <c r="E17" s="168">
        <f t="array" ref="E17">IFERROR(XLOOKUP(A17, BASE!E:E, BASE!H:H), "")
</f>
        <v>46063.3125</v>
      </c>
      <c r="F17" s="178"/>
      <c r="G17" s="178"/>
      <c r="H17" s="178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146" t="s">
        <v>1577</v>
      </c>
      <c r="B18" s="73" t="str">
        <f t="array" ref="B18">IFERROR(XLOOKUP(A18, BASE!E:E, BASE!B:B), "")
</f>
        <v>LM Hub_SP_Santos_Praia Grande</v>
      </c>
      <c r="C18" s="73" t="str">
        <f t="array" ref="C18">IFERROR(XLOOKUP(A18, BASE!E:E, BASE!C:C), "")
</f>
        <v>HUB-LSP-09</v>
      </c>
      <c r="D18" s="73">
        <f t="array" ref="D18">IFERROR(XLOOKUP(A18, BASE!E:E, BASE!D:D), "")
</f>
        <v>17</v>
      </c>
      <c r="E18" s="168">
        <f t="array" ref="E18">IFERROR(XLOOKUP(A18, BASE!E:E, BASE!H:H), "")
</f>
        <v>46063.3125</v>
      </c>
      <c r="F18" s="178"/>
      <c r="G18" s="178"/>
      <c r="H18" s="178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146" t="s">
        <v>1578</v>
      </c>
      <c r="B19" s="73" t="str">
        <f t="array" ref="B19">IFERROR(XLOOKUP(A19, BASE!E:E, BASE!B:B), "")
</f>
        <v>LM Hub_SP_Artur Alvim</v>
      </c>
      <c r="C19" s="73" t="str">
        <f t="array" ref="C19">IFERROR(XLOOKUP(A19, BASE!E:E, BASE!C:C), "")
</f>
        <v>HUB-LSP-07</v>
      </c>
      <c r="D19" s="73">
        <f t="array" ref="D19">IFERROR(XLOOKUP(A19, BASE!E:E, BASE!D:D), "")
</f>
        <v>19</v>
      </c>
      <c r="E19" s="168">
        <f t="array" ref="E19">IFERROR(XLOOKUP(A19, BASE!E:E, BASE!H:H), "")
</f>
        <v>46063.33333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146" t="s">
        <v>1579</v>
      </c>
      <c r="B20" s="73" t="str">
        <f t="array" ref="B20">IFERROR(XLOOKUP(A20, BASE!E:E, BASE!B:B), "")
</f>
        <v>LM Hub_SP_Jardim Adriana</v>
      </c>
      <c r="C20" s="73" t="str">
        <f t="array" ref="C20">IFERROR(XLOOKUP(A20, BASE!E:E, BASE!C:C), "")
</f>
        <v>HUB-LSP-12</v>
      </c>
      <c r="D20" s="73">
        <f t="array" ref="D20">IFERROR(XLOOKUP(A20, BASE!E:E, BASE!D:D), "")
</f>
        <v>15</v>
      </c>
      <c r="E20" s="168">
        <f t="array" ref="E20">IFERROR(XLOOKUP(A20, BASE!E:E, BASE!H:H), "")
</f>
        <v>46063.33333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146" t="s">
        <v>1580</v>
      </c>
      <c r="B21" s="73" t="str">
        <f t="array" ref="B21">IFERROR(XLOOKUP(A21, BASE!E:E, BASE!B:B), "")
</f>
        <v>LM Hub_SP_Jurubatuba</v>
      </c>
      <c r="C21" s="73" t="str">
        <f t="array" ref="C21">IFERROR(XLOOKUP(A21, BASE!E:E, BASE!C:C), "")
</f>
        <v>HUB-LSP-16</v>
      </c>
      <c r="D21" s="73">
        <f t="array" ref="D21">IFERROR(XLOOKUP(A21, BASE!E:E, BASE!D:D), "")
</f>
        <v>42</v>
      </c>
      <c r="E21" s="168">
        <f t="array" ref="E21">IFERROR(XLOOKUP(A21, BASE!E:E, BASE!H:H), "")
</f>
        <v>46063.33333</v>
      </c>
      <c r="F21" s="178"/>
      <c r="G21" s="178"/>
      <c r="H21" s="178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102" t="s">
        <v>1581</v>
      </c>
      <c r="B22" s="73" t="str">
        <f t="array" ref="B22">IFERROR(XLOOKUP(A22, BASE!E:E, BASE!B:B), "")
</f>
        <v>LM Hub_SP_Osasco_02</v>
      </c>
      <c r="C22" s="73" t="str">
        <f t="array" ref="C22">IFERROR(XLOOKUP(A22, BASE!E:E, BASE!C:C), "")
</f>
        <v>HUB-LSP-60</v>
      </c>
      <c r="D22" s="73">
        <f t="array" ref="D22">IFERROR(XLOOKUP(A22, BASE!E:E, BASE!D:D), "")
</f>
        <v>27</v>
      </c>
      <c r="E22" s="168">
        <f t="array" ref="E22">IFERROR(XLOOKUP(A22, BASE!E:E, BASE!H:H), "")
</f>
        <v>46063.33333</v>
      </c>
      <c r="F22" s="178"/>
      <c r="G22" s="178"/>
      <c r="H22" s="178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146" t="s">
        <v>1582</v>
      </c>
      <c r="B23" s="73" t="s">
        <v>1583</v>
      </c>
      <c r="C23" s="73" t="s">
        <v>1584</v>
      </c>
      <c r="D23" s="73" t="str">
        <f t="array" ref="D23">IFERROR(XLOOKUP(A23, BASE!E:E, BASE!D:D), "")
</f>
        <v/>
      </c>
      <c r="E23" s="168">
        <v>0.3333333333333333</v>
      </c>
      <c r="F23" s="178"/>
      <c r="G23" s="178"/>
      <c r="H23" s="178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146" t="s">
        <v>1585</v>
      </c>
      <c r="B24" s="73" t="str">
        <f t="array" ref="B24">IFERROR(XLOOKUP(A24, BASE!E:E, BASE!B:B), "")
</f>
        <v/>
      </c>
      <c r="C24" s="73" t="s">
        <v>1586</v>
      </c>
      <c r="D24" s="73" t="str">
        <f t="array" ref="D24">IFERROR(XLOOKUP(A24, BASE!E:E, BASE!D:D), "")
</f>
        <v/>
      </c>
      <c r="E24" s="168">
        <v>0.3333333333333333</v>
      </c>
      <c r="F24" s="178"/>
      <c r="G24" s="178"/>
      <c r="H24" s="178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146" t="s">
        <v>1587</v>
      </c>
      <c r="B25" s="73" t="str">
        <f t="array" ref="B25">IFERROR(XLOOKUP(A25, BASE!E:E, BASE!B:B), "")
</f>
        <v>LM Hub_SP_Parque Novo Mundo</v>
      </c>
      <c r="C25" s="73" t="str">
        <f t="array" ref="C25">IFERROR(XLOOKUP(A25, BASE!E:E, BASE!C:C), "")
</f>
        <v>HUB-LSP-89</v>
      </c>
      <c r="D25" s="73">
        <f t="array" ref="D25">IFERROR(XLOOKUP(A25, BASE!E:E, BASE!D:D), "")
</f>
        <v>39</v>
      </c>
      <c r="E25" s="168">
        <f t="array" ref="E25">IFERROR(XLOOKUP(A25, BASE!E:E, BASE!H:H), "")
</f>
        <v>46063.35417</v>
      </c>
      <c r="F25" s="178"/>
      <c r="G25" s="178"/>
      <c r="H25" s="178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146" t="s">
        <v>1588</v>
      </c>
      <c r="B26" s="73" t="str">
        <f t="array" ref="B26">IFERROR(XLOOKUP(A26, BASE!E:E, BASE!B:B), "")
</f>
        <v>LM Hub_SP_Embu das Artes_02</v>
      </c>
      <c r="C26" s="73" t="str">
        <f t="array" ref="C26">IFERROR(XLOOKUP(A26, BASE!E:E, BASE!C:C), "")
</f>
        <v>HUB-LSP-96</v>
      </c>
      <c r="D26" s="73">
        <v>21.0</v>
      </c>
      <c r="E26" s="168">
        <f t="array" ref="E26">IFERROR(XLOOKUP(A26, BASE!E:E, BASE!H:H), "")
</f>
        <v>46063.375</v>
      </c>
      <c r="F26" s="178"/>
      <c r="G26" s="178"/>
      <c r="H26" s="178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146" t="s">
        <v>1589</v>
      </c>
      <c r="B27" s="73" t="str">
        <f t="array" ref="B27">IFERROR(XLOOKUP(A27, BASE!E:E, BASE!B:B), "")
</f>
        <v>LM Hub_SP_Suzano_Baruel</v>
      </c>
      <c r="C27" s="73" t="str">
        <f t="array" ref="C27">IFERROR(XLOOKUP(A27, BASE!E:E, BASE!C:C), "")
</f>
        <v>HUB-LSP-97</v>
      </c>
      <c r="D27" s="73">
        <f t="array" ref="D27">IFERROR(XLOOKUP(A27, BASE!E:E, BASE!D:D), "")
</f>
        <v>14</v>
      </c>
      <c r="E27" s="168">
        <f t="array" ref="E27">IFERROR(XLOOKUP(A27, BASE!E:E, BASE!H:H), "")
</f>
        <v>46063.375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102" t="s">
        <v>1590</v>
      </c>
      <c r="B28" s="73" t="str">
        <f t="array" ref="B28">IFERROR(XLOOKUP(A28, BASE!E:E, BASE!B:B), "")
</f>
        <v/>
      </c>
      <c r="C28" s="73" t="s">
        <v>807</v>
      </c>
      <c r="D28" s="73" t="str">
        <f t="array" ref="D28">IFERROR(XLOOKUP(A28, BASE!E:E, BASE!D:D), "")
</f>
        <v/>
      </c>
      <c r="E28" s="168">
        <v>0.4166666666666667</v>
      </c>
      <c r="F28" s="178"/>
      <c r="G28" s="178"/>
      <c r="H28" s="178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146"/>
      <c r="B29" s="73" t="str">
        <f t="array" ref="B29">IFERROR(XLOOKUP(A29, BASE!E:E, BASE!B:B), "")
</f>
        <v/>
      </c>
      <c r="C29" s="73" t="str">
        <f t="array" ref="C29">IFERROR(XLOOKUP(A29, BASE!E:E, BASE!C:C), "")
</f>
        <v/>
      </c>
      <c r="D29" s="73" t="str">
        <f t="array" ref="D29">IFERROR(XLOOKUP(A29, BASE!E:E, BASE!D:D), "")
</f>
        <v/>
      </c>
      <c r="E29" s="168" t="str">
        <f t="array" ref="E29">IFERROR(XLOOKUP(A29, BASE!E:E, BASE!H:H), "")
</f>
        <v/>
      </c>
      <c r="F29" s="178"/>
      <c r="G29" s="178"/>
      <c r="H29" s="178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231"/>
      <c r="B30" s="73" t="str">
        <f t="array" ref="B30">IFERROR(XLOOKUP(A30, BASE!E:E, BASE!B:B), "")
</f>
        <v/>
      </c>
      <c r="C30" s="73" t="str">
        <f t="array" ref="C30">IFERROR(XLOOKUP(A30, BASE!E:E, BASE!C:C), "")
</f>
        <v/>
      </c>
      <c r="D30" s="73" t="str">
        <f t="array" ref="D30">IFERROR(XLOOKUP(A30, BASE!E:E, BASE!D:D), "")
</f>
        <v/>
      </c>
      <c r="E30" s="168" t="str">
        <f t="array" ref="E30">IFERROR(XLOOKUP(A30, BASE!E:E, BASE!H:H), "")
</f>
        <v/>
      </c>
      <c r="F30" s="178"/>
      <c r="G30" s="178"/>
      <c r="H30" s="178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169"/>
      <c r="B31" s="73" t="str">
        <f t="array" ref="B31">IFERROR(XLOOKUP(A31, BASE!E:E, BASE!B:B), "")
</f>
        <v/>
      </c>
      <c r="C31" s="73" t="str">
        <f t="array" ref="C31">IFERROR(XLOOKUP(A31, BASE!E:E, BASE!C:C), "")
</f>
        <v/>
      </c>
      <c r="D31" s="73" t="str">
        <f t="array" ref="D31">IFERROR(XLOOKUP(A31, BASE!E:E, BASE!D:D), "")
</f>
        <v/>
      </c>
      <c r="E31" s="168" t="str">
        <f t="array" ref="E31">IFERROR(XLOOKUP(A31, BASE!E:E, BASE!H:H), "")
</f>
        <v/>
      </c>
      <c r="F31" s="178"/>
      <c r="G31" s="178"/>
      <c r="H31" s="178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94"/>
      <c r="B32" s="73" t="str">
        <f t="array" ref="B32">IFERROR(XLOOKUP(A32, BASE!E:E, BASE!B:B), "")
</f>
        <v/>
      </c>
      <c r="C32" s="73" t="str">
        <f t="array" ref="C32">IFERROR(XLOOKUP(A32, BASE!E:E, BASE!C:C), "")
</f>
        <v/>
      </c>
      <c r="D32" s="73" t="str">
        <f t="array" ref="D32">IFERROR(XLOOKUP(A32, BASE!E:E, BASE!D:D), "")
</f>
        <v/>
      </c>
      <c r="E32" s="168" t="str">
        <f t="array" ref="E32">IFERROR(XLOOKUP(A32, BASE!E:E, BASE!H:H), "")
</f>
        <v/>
      </c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146"/>
      <c r="B33" s="73" t="str">
        <f t="array" ref="B33">IFERROR(XLOOKUP(A33, BASE!E:E, BASE!B:B), "")
</f>
        <v/>
      </c>
      <c r="C33" s="73" t="str">
        <f t="array" ref="C33">IFERROR(XLOOKUP(A33, BASE!E:E, BASE!C:C), "")
</f>
        <v/>
      </c>
      <c r="D33" s="73" t="str">
        <f t="array" ref="D33">IFERROR(XLOOKUP(A33, BASE!E:E, BASE!D:D), "")
</f>
        <v/>
      </c>
      <c r="E33" s="168" t="str">
        <f t="array" ref="E33">IFERROR(XLOOKUP(A33, BASE!E:E, BASE!H:H), "")
</f>
        <v/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95"/>
      <c r="B34" s="73" t="str">
        <f t="array" ref="B34">IFERROR(XLOOKUP(A34, BASE!E:E, BASE!B:B), "")
</f>
        <v/>
      </c>
      <c r="C34" s="73" t="str">
        <f t="array" ref="C34">IFERROR(XLOOKUP(A34, BASE!E:E, BASE!C:C), "")
</f>
        <v/>
      </c>
      <c r="D34" s="73" t="str">
        <f t="array" ref="D34">IFERROR(XLOOKUP(A34, BASE!E:E, BASE!D:D), "")
</f>
        <v/>
      </c>
      <c r="E34" s="168" t="str">
        <f t="array" ref="E34">IFERROR(XLOOKUP(A34, BASE!E:E, BASE!H:H), "")
</f>
        <v/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95"/>
      <c r="B35" s="73" t="str">
        <f t="array" ref="B35">IFERROR(XLOOKUP(A35, BASE!E:E, BASE!B:B), "")
</f>
        <v/>
      </c>
      <c r="C35" s="73" t="str">
        <f t="array" ref="C35">IFERROR(XLOOKUP(A35, BASE!E:E, BASE!C:C), "")
</f>
        <v/>
      </c>
      <c r="D35" s="73" t="str">
        <f t="array" ref="D35">IFERROR(XLOOKUP(A35, BASE!E:E, BASE!D:D), "")
</f>
        <v/>
      </c>
      <c r="E35" s="168" t="str">
        <f t="array" ref="E35">IFERROR(XLOOKUP(A35, BASE!E:E, BASE!H:H), "")
</f>
        <v/>
      </c>
      <c r="F35" s="178"/>
      <c r="G35" s="178"/>
      <c r="H35" s="178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95"/>
      <c r="B36" s="73" t="str">
        <f t="array" ref="B36">IFERROR(XLOOKUP(A36, BASE!E:E, BASE!B:B), "")
</f>
        <v/>
      </c>
      <c r="C36" s="73" t="str">
        <f t="array" ref="C36">IFERROR(XLOOKUP(A36, BASE!E:E, BASE!C:C), "")
</f>
        <v/>
      </c>
      <c r="D36" s="73" t="str">
        <f t="array" ref="D36">IFERROR(XLOOKUP(A36, BASE!E:E, BASE!D:D), "")
</f>
        <v/>
      </c>
      <c r="E36" s="168" t="str">
        <f t="array" ref="E36">IFERROR(XLOOKUP(A36, BASE!E:E, BASE!H:H), "")
</f>
        <v/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146"/>
      <c r="B37" s="73" t="str">
        <f t="array" ref="B37">IFERROR(XLOOKUP(A37, BASE!E:E, BASE!B:B), "")
</f>
        <v/>
      </c>
      <c r="C37" s="73" t="str">
        <f t="array" ref="C37">IFERROR(XLOOKUP(A37, BASE!E:E, BASE!C:C), "")
</f>
        <v/>
      </c>
      <c r="D37" s="73" t="str">
        <f t="array" ref="D37">IFERROR(XLOOKUP(A37, BASE!E:E, BASE!D:D), "")
</f>
        <v/>
      </c>
      <c r="E37" s="168" t="str">
        <f t="array" ref="E37">IFERROR(XLOOKUP(A37, BASE!E:E, BASE!H:H), "")
</f>
        <v/>
      </c>
      <c r="F37" s="178"/>
      <c r="G37" s="178"/>
      <c r="H37" s="178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146"/>
      <c r="B38" s="73" t="str">
        <f t="array" ref="B38">IFERROR(XLOOKUP(A38, BASE!E:E, BASE!B:B), "")
</f>
        <v/>
      </c>
      <c r="C38" s="73" t="str">
        <f t="array" ref="C38">IFERROR(XLOOKUP(A38, BASE!E:E, BASE!C:C), "")
</f>
        <v/>
      </c>
      <c r="D38" s="73" t="str">
        <f t="array" ref="D38">IFERROR(XLOOKUP(A38, BASE!E:E, BASE!D:D), "")
</f>
        <v/>
      </c>
      <c r="E38" s="168" t="str">
        <f t="array" ref="E38">IFERROR(XLOOKUP(A38, BASE!E:E, BASE!H:H), "")
</f>
        <v/>
      </c>
      <c r="F38" s="178"/>
      <c r="G38" s="178"/>
      <c r="H38" s="178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146"/>
      <c r="B39" s="73" t="str">
        <f t="array" ref="B39">IFERROR(XLOOKUP(A39, BASE!E:E, BASE!B:B), "")
</f>
        <v/>
      </c>
      <c r="C39" s="73" t="str">
        <f t="array" ref="C39">IFERROR(XLOOKUP(A39, BASE!E:E, BASE!C:C), "")
</f>
        <v/>
      </c>
      <c r="D39" s="73" t="str">
        <f t="array" ref="D39">IFERROR(XLOOKUP(A39, BASE!E:E, BASE!D:D), "")
</f>
        <v/>
      </c>
      <c r="E39" s="168" t="str">
        <f t="array" ref="E39">IFERROR(XLOOKUP(A39, BASE!E:E, BASE!H:H), "")
</f>
        <v/>
      </c>
      <c r="F39" s="178"/>
      <c r="G39" s="178"/>
      <c r="H39" s="178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146"/>
      <c r="B40" s="73" t="str">
        <f t="array" ref="B40">IFERROR(XLOOKUP(A40, BASE!E:E, BASE!B:B), "")
</f>
        <v/>
      </c>
      <c r="C40" s="73" t="str">
        <f t="array" ref="C40">IFERROR(XLOOKUP(A40, BASE!E:E, BASE!C:C), "")
</f>
        <v/>
      </c>
      <c r="D40" s="73" t="str">
        <f t="array" ref="D40">IFERROR(XLOOKUP(A40, BASE!E:E, BASE!D:D), "")
</f>
        <v/>
      </c>
      <c r="E40" s="168" t="str">
        <f t="array" ref="E40">IFERROR(XLOOKUP(A40, BASE!E:E, BASE!H:H), "")
</f>
        <v/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24"/>
      <c r="B41" s="73" t="str">
        <f t="array" ref="B41">IFERROR(XLOOKUP(A41, BASE!E:E, BASE!B:B), "")
</f>
        <v/>
      </c>
      <c r="C41" s="73" t="str">
        <f t="array" ref="C41">IFERROR(XLOOKUP(A41, BASE!E:E, BASE!C:C), "")
</f>
        <v/>
      </c>
      <c r="D41" s="73" t="str">
        <f t="array" ref="D41">IFERROR(XLOOKUP(A41, BASE!E:E, BASE!D:D), "")
</f>
        <v/>
      </c>
      <c r="E41" s="168" t="str">
        <f t="array" ref="E41">IFERROR(XLOOKUP(A41, BASE!E:E, BASE!H:H), "")
</f>
        <v/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24"/>
      <c r="B42" s="73" t="str">
        <f t="array" ref="B42">IFERROR(XLOOKUP(A42, BASE!E:E, BASE!B:B), "")
</f>
        <v/>
      </c>
      <c r="C42" s="73" t="str">
        <f t="array" ref="C42">IFERROR(XLOOKUP(A42, BASE!E:E, BASE!C:C), "")
</f>
        <v/>
      </c>
      <c r="D42" s="73" t="str">
        <f t="array" ref="D42">IFERROR(XLOOKUP(A42, BASE!E:E, BASE!D:D), "")
</f>
        <v/>
      </c>
      <c r="E42" s="168" t="str">
        <f t="array" ref="E42">IFERROR(XLOOKUP(A42, BASE!E:E, BASE!H:H), "")
</f>
        <v/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24"/>
      <c r="B43" s="73" t="str">
        <f t="array" ref="B43">IFERROR(XLOOKUP(A43, BASE!E:E, BASE!B:B), "")
</f>
        <v/>
      </c>
      <c r="C43" s="73" t="str">
        <f t="array" ref="C43">IFERROR(XLOOKUP(A43, BASE!E:E, BASE!C:C), "")
</f>
        <v/>
      </c>
      <c r="D43" s="73" t="str">
        <f t="array" ref="D43">IFERROR(XLOOKUP(A43, BASE!E:E, BASE!D:D), "")
</f>
        <v/>
      </c>
      <c r="E43" s="168" t="str">
        <f t="array" ref="E43">IFERROR(XLOOKUP(A43, BASE!E:E, BASE!H:H), "")
</f>
        <v/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24"/>
      <c r="B44" s="73" t="str">
        <f t="array" ref="B44">IFERROR(XLOOKUP(A44, BASE!E:E, BASE!B:B), "")
</f>
        <v/>
      </c>
      <c r="C44" s="73" t="str">
        <f t="array" ref="C44">IFERROR(XLOOKUP(A44, BASE!E:E, BASE!C:C), "")
</f>
        <v/>
      </c>
      <c r="D44" s="73" t="str">
        <f t="array" ref="D44">IFERROR(XLOOKUP(A44, BASE!E:E, BASE!D:D), "")
</f>
        <v/>
      </c>
      <c r="E44" s="168" t="str">
        <f t="array" ref="E44">IFERROR(XLOOKUP(A44, BASE!E:E, BASE!H:H), "")
</f>
        <v/>
      </c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24"/>
      <c r="B45" s="73" t="str">
        <f t="array" ref="B45">IFERROR(XLOOKUP(A45, BASE!E:E, BASE!B:B), "")
</f>
        <v/>
      </c>
      <c r="C45" s="73" t="str">
        <f t="array" ref="C45">IFERROR(XLOOKUP(A45, BASE!E:E, BASE!C:C), "")
</f>
        <v/>
      </c>
      <c r="D45" s="73" t="str">
        <f t="array" ref="D45">IFERROR(XLOOKUP(A45, BASE!E:E, BASE!D:D), "")
</f>
        <v/>
      </c>
      <c r="E45" s="168" t="str">
        <f t="array" ref="E45">IFERROR(XLOOKUP(A45, BASE!E:E, BASE!H:H), "")
</f>
        <v/>
      </c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24"/>
      <c r="B46" s="73" t="str">
        <f t="array" ref="B46">IFERROR(XLOOKUP(A46, BASE!E:E, BASE!B:B), "")
</f>
        <v/>
      </c>
      <c r="C46" s="73" t="str">
        <f t="array" ref="C46">IFERROR(XLOOKUP(A46, BASE!E:E, BASE!C:C), "")
</f>
        <v/>
      </c>
      <c r="D46" s="73" t="str">
        <f t="array" ref="D46">IFERROR(XLOOKUP(A46, BASE!E:E, BASE!D:D), "")
</f>
        <v/>
      </c>
      <c r="E46" s="168" t="str">
        <f t="array" ref="E46">IFERROR(XLOOKUP(A46, BASE!E:E, BASE!H:H), "")
</f>
        <v/>
      </c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24"/>
      <c r="B47" s="73" t="str">
        <f t="array" ref="B47">IFERROR(XLOOKUP(A47, BASE!E:E, BASE!B:B), "")
</f>
        <v/>
      </c>
      <c r="C47" s="73" t="str">
        <f t="array" ref="C47">IFERROR(XLOOKUP(A47, BASE!E:E, BASE!C:C), "")
</f>
        <v/>
      </c>
      <c r="D47" s="73" t="str">
        <f t="array" ref="D47">IFERROR(XLOOKUP(A47, BASE!E:E, BASE!D:D), "")
</f>
        <v/>
      </c>
      <c r="E47" s="168" t="str">
        <f t="array" ref="E47">IFERROR(XLOOKUP(A47, BASE!E:E, BASE!H:H), "")
</f>
        <v/>
      </c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178"/>
      <c r="B48" s="178"/>
      <c r="C48" s="178"/>
      <c r="D48" s="178"/>
      <c r="E48" s="178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178"/>
      <c r="B49" s="178"/>
      <c r="C49" s="178"/>
      <c r="D49" s="178"/>
      <c r="E49" s="178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178"/>
      <c r="B50" s="178"/>
      <c r="C50" s="178"/>
      <c r="D50" s="178"/>
      <c r="E50" s="178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178"/>
      <c r="B51" s="178"/>
      <c r="C51" s="178"/>
      <c r="D51" s="178"/>
      <c r="E51" s="178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178"/>
      <c r="B52" s="178"/>
      <c r="C52" s="178"/>
      <c r="D52" s="178"/>
      <c r="E52" s="178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178"/>
      <c r="B53" s="178"/>
      <c r="C53" s="178"/>
      <c r="D53" s="178"/>
      <c r="E53" s="178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178"/>
      <c r="B54" s="178"/>
      <c r="C54" s="178"/>
      <c r="D54" s="178"/>
      <c r="E54" s="178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178"/>
      <c r="B55" s="178"/>
      <c r="C55" s="178"/>
      <c r="D55" s="178"/>
      <c r="E55" s="178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178"/>
      <c r="B56" s="178"/>
      <c r="C56" s="178"/>
      <c r="D56" s="178"/>
      <c r="E56" s="178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178"/>
      <c r="B57" s="178"/>
      <c r="C57" s="178"/>
      <c r="D57" s="178"/>
      <c r="E57" s="178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178"/>
      <c r="B58" s="178"/>
      <c r="C58" s="178"/>
      <c r="D58" s="178"/>
      <c r="E58" s="178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178"/>
      <c r="B59" s="178"/>
      <c r="C59" s="178"/>
      <c r="D59" s="178"/>
      <c r="E59" s="178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178"/>
      <c r="B60" s="178"/>
      <c r="C60" s="178"/>
      <c r="D60" s="178"/>
      <c r="E60" s="178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178"/>
      <c r="B61" s="178"/>
      <c r="C61" s="178"/>
      <c r="D61" s="178"/>
      <c r="E61" s="178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178"/>
      <c r="B62" s="178"/>
      <c r="C62" s="178"/>
      <c r="D62" s="178"/>
      <c r="E62" s="178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178"/>
      <c r="B63" s="178"/>
      <c r="C63" s="178"/>
      <c r="D63" s="178"/>
      <c r="E63" s="178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178"/>
      <c r="B64" s="178"/>
      <c r="C64" s="178"/>
      <c r="D64" s="178"/>
      <c r="E64" s="178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178"/>
      <c r="B65" s="178"/>
      <c r="C65" s="178"/>
      <c r="D65" s="178"/>
      <c r="E65" s="178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178"/>
      <c r="B66" s="178"/>
      <c r="C66" s="178"/>
      <c r="D66" s="178"/>
      <c r="E66" s="178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178"/>
      <c r="B67" s="178"/>
      <c r="C67" s="178"/>
      <c r="D67" s="178"/>
      <c r="E67" s="178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178"/>
      <c r="B68" s="178"/>
      <c r="C68" s="178"/>
      <c r="D68" s="178"/>
      <c r="E68" s="178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178"/>
      <c r="B69" s="178"/>
      <c r="C69" s="178"/>
      <c r="D69" s="178"/>
      <c r="E69" s="178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178"/>
      <c r="B70" s="178"/>
      <c r="C70" s="178"/>
      <c r="D70" s="178"/>
      <c r="E70" s="178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178"/>
      <c r="B71" s="178"/>
      <c r="C71" s="178"/>
      <c r="D71" s="178"/>
      <c r="E71" s="178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178"/>
      <c r="B72" s="178"/>
      <c r="C72" s="178"/>
      <c r="D72" s="178"/>
      <c r="E72" s="178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178"/>
      <c r="B73" s="178"/>
      <c r="C73" s="178"/>
      <c r="D73" s="178"/>
      <c r="E73" s="178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178"/>
      <c r="B74" s="178"/>
      <c r="C74" s="178"/>
      <c r="D74" s="178"/>
      <c r="E74" s="178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178"/>
      <c r="B75" s="178"/>
      <c r="C75" s="178"/>
      <c r="D75" s="178"/>
      <c r="E75" s="178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178"/>
      <c r="B76" s="178"/>
      <c r="C76" s="178"/>
      <c r="D76" s="178"/>
      <c r="E76" s="178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178"/>
      <c r="B77" s="178"/>
      <c r="C77" s="178"/>
      <c r="D77" s="178"/>
      <c r="E77" s="178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178"/>
      <c r="B78" s="178"/>
      <c r="C78" s="178"/>
      <c r="D78" s="178"/>
      <c r="E78" s="178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178"/>
      <c r="B79" s="178"/>
      <c r="C79" s="178"/>
      <c r="D79" s="178"/>
      <c r="E79" s="178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178"/>
      <c r="B80" s="178"/>
      <c r="C80" s="178"/>
      <c r="D80" s="178"/>
      <c r="E80" s="178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178"/>
      <c r="B81" s="178"/>
      <c r="C81" s="178"/>
      <c r="D81" s="178"/>
      <c r="E81" s="178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178"/>
      <c r="B82" s="178"/>
      <c r="C82" s="178"/>
      <c r="D82" s="178"/>
      <c r="E82" s="178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178"/>
      <c r="B83" s="178"/>
      <c r="C83" s="178"/>
      <c r="D83" s="178"/>
      <c r="E83" s="178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178"/>
      <c r="B84" s="178"/>
      <c r="C84" s="178"/>
      <c r="D84" s="178"/>
      <c r="E84" s="178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178"/>
      <c r="B85" s="178"/>
      <c r="C85" s="178"/>
      <c r="D85" s="178"/>
      <c r="E85" s="178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178"/>
      <c r="B86" s="178"/>
      <c r="C86" s="178"/>
      <c r="D86" s="178"/>
      <c r="E86" s="178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178"/>
      <c r="B87" s="178"/>
      <c r="C87" s="178"/>
      <c r="D87" s="178"/>
      <c r="E87" s="178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178"/>
      <c r="B88" s="178"/>
      <c r="C88" s="178"/>
      <c r="D88" s="178"/>
      <c r="E88" s="178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178"/>
      <c r="B89" s="178"/>
      <c r="C89" s="178"/>
      <c r="D89" s="178"/>
      <c r="E89" s="178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178"/>
      <c r="B90" s="178"/>
      <c r="C90" s="178"/>
      <c r="D90" s="178"/>
      <c r="E90" s="178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178"/>
      <c r="B91" s="178"/>
      <c r="C91" s="178"/>
      <c r="D91" s="178"/>
      <c r="E91" s="178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178"/>
      <c r="B92" s="178"/>
      <c r="C92" s="178"/>
      <c r="D92" s="178"/>
      <c r="E92" s="178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178"/>
      <c r="B93" s="178"/>
      <c r="C93" s="178"/>
      <c r="D93" s="178"/>
      <c r="E93" s="178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178"/>
      <c r="B94" s="178"/>
      <c r="C94" s="178"/>
      <c r="D94" s="178"/>
      <c r="E94" s="178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178"/>
      <c r="B95" s="178"/>
      <c r="C95" s="178"/>
      <c r="D95" s="178"/>
      <c r="E95" s="178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178"/>
      <c r="B96" s="178"/>
      <c r="C96" s="178"/>
      <c r="D96" s="178"/>
      <c r="E96" s="178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178"/>
      <c r="B97" s="178"/>
      <c r="C97" s="178"/>
      <c r="D97" s="178"/>
      <c r="E97" s="178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178"/>
      <c r="B98" s="178"/>
      <c r="C98" s="178"/>
      <c r="D98" s="178"/>
      <c r="E98" s="178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178"/>
      <c r="B99" s="178"/>
      <c r="C99" s="178"/>
      <c r="D99" s="178"/>
      <c r="E99" s="178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178"/>
      <c r="B100" s="178"/>
      <c r="C100" s="178"/>
      <c r="D100" s="178"/>
      <c r="E100" s="178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178"/>
      <c r="B101" s="178"/>
      <c r="C101" s="178"/>
      <c r="D101" s="178"/>
      <c r="E101" s="178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178"/>
      <c r="B102" s="178"/>
      <c r="C102" s="178"/>
      <c r="D102" s="178"/>
      <c r="E102" s="178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178"/>
      <c r="B103" s="178"/>
      <c r="C103" s="178"/>
      <c r="D103" s="178"/>
      <c r="E103" s="178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178"/>
      <c r="B104" s="178"/>
      <c r="C104" s="178"/>
      <c r="D104" s="178"/>
      <c r="E104" s="178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178"/>
      <c r="B105" s="178"/>
      <c r="C105" s="178"/>
      <c r="D105" s="178"/>
      <c r="E105" s="178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178"/>
      <c r="B106" s="178"/>
      <c r="C106" s="178"/>
      <c r="D106" s="178"/>
      <c r="E106" s="178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178"/>
      <c r="B107" s="178"/>
      <c r="C107" s="178"/>
      <c r="D107" s="178"/>
      <c r="E107" s="178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178"/>
      <c r="B108" s="178"/>
      <c r="C108" s="178"/>
      <c r="D108" s="178"/>
      <c r="E108" s="178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178"/>
      <c r="B109" s="178"/>
      <c r="C109" s="178"/>
      <c r="D109" s="178"/>
      <c r="E109" s="178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178"/>
      <c r="B110" s="178"/>
      <c r="C110" s="178"/>
      <c r="D110" s="178"/>
      <c r="E110" s="178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178"/>
      <c r="B111" s="178"/>
      <c r="C111" s="178"/>
      <c r="D111" s="178"/>
      <c r="E111" s="178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178"/>
      <c r="B112" s="178"/>
      <c r="C112" s="178"/>
      <c r="D112" s="178"/>
      <c r="E112" s="178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178"/>
      <c r="B113" s="178"/>
      <c r="C113" s="178"/>
      <c r="D113" s="178"/>
      <c r="E113" s="178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178"/>
      <c r="B114" s="178"/>
      <c r="C114" s="178"/>
      <c r="D114" s="178"/>
      <c r="E114" s="178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178"/>
      <c r="B115" s="178"/>
      <c r="C115" s="178"/>
      <c r="D115" s="178"/>
      <c r="E115" s="178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178"/>
      <c r="B116" s="178"/>
      <c r="C116" s="178"/>
      <c r="D116" s="178"/>
      <c r="E116" s="178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178"/>
      <c r="B117" s="178"/>
      <c r="C117" s="178"/>
      <c r="D117" s="178"/>
      <c r="E117" s="178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178"/>
      <c r="B118" s="178"/>
      <c r="C118" s="178"/>
      <c r="D118" s="178"/>
      <c r="E118" s="178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178"/>
      <c r="B119" s="178"/>
      <c r="C119" s="178"/>
      <c r="D119" s="178"/>
      <c r="E119" s="178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178"/>
      <c r="B120" s="178"/>
      <c r="C120" s="178"/>
      <c r="D120" s="178"/>
      <c r="E120" s="178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178"/>
      <c r="B121" s="178"/>
      <c r="C121" s="178"/>
      <c r="D121" s="178"/>
      <c r="E121" s="178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178"/>
      <c r="B122" s="178"/>
      <c r="C122" s="178"/>
      <c r="D122" s="178"/>
      <c r="E122" s="178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178"/>
      <c r="B123" s="178"/>
      <c r="C123" s="178"/>
      <c r="D123" s="178"/>
      <c r="E123" s="178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178"/>
      <c r="B124" s="178"/>
      <c r="C124" s="178"/>
      <c r="D124" s="178"/>
      <c r="E124" s="178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178"/>
      <c r="B125" s="178"/>
      <c r="C125" s="178"/>
      <c r="D125" s="178"/>
      <c r="E125" s="178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178"/>
      <c r="B126" s="178"/>
      <c r="C126" s="178"/>
      <c r="D126" s="178"/>
      <c r="E126" s="178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178"/>
      <c r="B127" s="178"/>
      <c r="C127" s="178"/>
      <c r="D127" s="178"/>
      <c r="E127" s="178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178"/>
      <c r="B128" s="178"/>
      <c r="C128" s="178"/>
      <c r="D128" s="178"/>
      <c r="E128" s="178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178"/>
      <c r="B129" s="178"/>
      <c r="C129" s="178"/>
      <c r="D129" s="178"/>
      <c r="E129" s="178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178"/>
      <c r="B130" s="178"/>
      <c r="C130" s="178"/>
      <c r="D130" s="178"/>
      <c r="E130" s="178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178"/>
      <c r="B131" s="178"/>
      <c r="C131" s="178"/>
      <c r="D131" s="178"/>
      <c r="E131" s="178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178"/>
      <c r="B132" s="178"/>
      <c r="C132" s="178"/>
      <c r="D132" s="178"/>
      <c r="E132" s="178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178"/>
      <c r="B133" s="178"/>
      <c r="C133" s="178"/>
      <c r="D133" s="178"/>
      <c r="E133" s="178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178"/>
      <c r="B134" s="178"/>
      <c r="C134" s="178"/>
      <c r="D134" s="178"/>
      <c r="E134" s="178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178"/>
      <c r="B135" s="178"/>
      <c r="C135" s="178"/>
      <c r="D135" s="178"/>
      <c r="E135" s="178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178"/>
      <c r="B136" s="178"/>
      <c r="C136" s="178"/>
      <c r="D136" s="178"/>
      <c r="E136" s="178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178"/>
      <c r="B137" s="178"/>
      <c r="C137" s="178"/>
      <c r="D137" s="178"/>
      <c r="E137" s="178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178"/>
      <c r="B138" s="178"/>
      <c r="C138" s="178"/>
      <c r="D138" s="178"/>
      <c r="E138" s="178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178"/>
      <c r="B139" s="178"/>
      <c r="C139" s="178"/>
      <c r="D139" s="178"/>
      <c r="E139" s="178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178"/>
      <c r="B140" s="178"/>
      <c r="C140" s="178"/>
      <c r="D140" s="178"/>
      <c r="E140" s="178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178"/>
      <c r="B141" s="178"/>
      <c r="C141" s="178"/>
      <c r="D141" s="178"/>
      <c r="E141" s="178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178"/>
      <c r="B142" s="178"/>
      <c r="C142" s="178"/>
      <c r="D142" s="178"/>
      <c r="E142" s="178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178"/>
      <c r="B143" s="178"/>
      <c r="C143" s="178"/>
      <c r="D143" s="178"/>
      <c r="E143" s="178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178"/>
      <c r="B144" s="178"/>
      <c r="C144" s="178"/>
      <c r="D144" s="178"/>
      <c r="E144" s="178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178"/>
      <c r="B145" s="178"/>
      <c r="C145" s="178"/>
      <c r="D145" s="178"/>
      <c r="E145" s="178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178"/>
      <c r="B146" s="178"/>
      <c r="C146" s="178"/>
      <c r="D146" s="178"/>
      <c r="E146" s="178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178"/>
      <c r="B147" s="178"/>
      <c r="C147" s="178"/>
      <c r="D147" s="178"/>
      <c r="E147" s="178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178"/>
      <c r="B148" s="178"/>
      <c r="C148" s="178"/>
      <c r="D148" s="178"/>
      <c r="E148" s="178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178"/>
      <c r="B149" s="178"/>
      <c r="C149" s="178"/>
      <c r="D149" s="178"/>
      <c r="E149" s="178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178"/>
      <c r="B150" s="178"/>
      <c r="C150" s="178"/>
      <c r="D150" s="178"/>
      <c r="E150" s="178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178"/>
      <c r="B151" s="178"/>
      <c r="C151" s="178"/>
      <c r="D151" s="178"/>
      <c r="E151" s="178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178"/>
      <c r="B152" s="178"/>
      <c r="C152" s="178"/>
      <c r="D152" s="178"/>
      <c r="E152" s="178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178"/>
      <c r="B153" s="178"/>
      <c r="C153" s="178"/>
      <c r="D153" s="178"/>
      <c r="E153" s="178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178"/>
      <c r="B154" s="178"/>
      <c r="C154" s="178"/>
      <c r="D154" s="178"/>
      <c r="E154" s="178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178"/>
      <c r="B155" s="178"/>
      <c r="C155" s="178"/>
      <c r="D155" s="178"/>
      <c r="E155" s="178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178"/>
      <c r="B156" s="178"/>
      <c r="C156" s="178"/>
      <c r="D156" s="178"/>
      <c r="E156" s="178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178"/>
      <c r="B157" s="178"/>
      <c r="C157" s="178"/>
      <c r="D157" s="178"/>
      <c r="E157" s="178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178"/>
      <c r="B158" s="178"/>
      <c r="C158" s="178"/>
      <c r="D158" s="178"/>
      <c r="E158" s="178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178"/>
      <c r="B159" s="178"/>
      <c r="C159" s="178"/>
      <c r="D159" s="178"/>
      <c r="E159" s="178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178"/>
      <c r="B160" s="178"/>
      <c r="C160" s="178"/>
      <c r="D160" s="178"/>
      <c r="E160" s="178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178"/>
      <c r="B161" s="178"/>
      <c r="C161" s="178"/>
      <c r="D161" s="178"/>
      <c r="E161" s="178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178"/>
      <c r="B162" s="178"/>
      <c r="C162" s="178"/>
      <c r="D162" s="178"/>
      <c r="E162" s="178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178"/>
      <c r="B163" s="178"/>
      <c r="C163" s="178"/>
      <c r="D163" s="178"/>
      <c r="E163" s="178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178"/>
      <c r="B164" s="178"/>
      <c r="C164" s="178"/>
      <c r="D164" s="178"/>
      <c r="E164" s="178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178"/>
      <c r="B165" s="178"/>
      <c r="C165" s="178"/>
      <c r="D165" s="178"/>
      <c r="E165" s="178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178"/>
      <c r="B166" s="178"/>
      <c r="C166" s="178"/>
      <c r="D166" s="178"/>
      <c r="E166" s="178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178"/>
      <c r="B167" s="178"/>
      <c r="C167" s="178"/>
      <c r="D167" s="178"/>
      <c r="E167" s="178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178"/>
      <c r="B168" s="178"/>
      <c r="C168" s="178"/>
      <c r="D168" s="178"/>
      <c r="E168" s="178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178"/>
      <c r="B169" s="178"/>
      <c r="C169" s="178"/>
      <c r="D169" s="178"/>
      <c r="E169" s="178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178"/>
      <c r="B170" s="178"/>
      <c r="C170" s="178"/>
      <c r="D170" s="178"/>
      <c r="E170" s="178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178"/>
      <c r="B171" s="178"/>
      <c r="C171" s="178"/>
      <c r="D171" s="178"/>
      <c r="E171" s="178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178"/>
      <c r="B172" s="178"/>
      <c r="C172" s="178"/>
      <c r="D172" s="178"/>
      <c r="E172" s="178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178"/>
      <c r="B173" s="178"/>
      <c r="C173" s="178"/>
      <c r="D173" s="178"/>
      <c r="E173" s="178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178"/>
      <c r="B174" s="178"/>
      <c r="C174" s="178"/>
      <c r="D174" s="178"/>
      <c r="E174" s="178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178"/>
      <c r="B175" s="178"/>
      <c r="C175" s="178"/>
      <c r="D175" s="178"/>
      <c r="E175" s="178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178"/>
      <c r="B176" s="178"/>
      <c r="C176" s="178"/>
      <c r="D176" s="178"/>
      <c r="E176" s="178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178"/>
      <c r="B177" s="178"/>
      <c r="C177" s="178"/>
      <c r="D177" s="178"/>
      <c r="E177" s="178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178"/>
      <c r="B178" s="178"/>
      <c r="C178" s="178"/>
      <c r="D178" s="178"/>
      <c r="E178" s="178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178"/>
      <c r="B179" s="178"/>
      <c r="C179" s="178"/>
      <c r="D179" s="178"/>
      <c r="E179" s="178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178"/>
      <c r="B180" s="178"/>
      <c r="C180" s="178"/>
      <c r="D180" s="178"/>
      <c r="E180" s="178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178"/>
      <c r="B181" s="178"/>
      <c r="C181" s="178"/>
      <c r="D181" s="178"/>
      <c r="E181" s="178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178"/>
      <c r="B182" s="178"/>
      <c r="C182" s="178"/>
      <c r="D182" s="178"/>
      <c r="E182" s="178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178"/>
      <c r="B183" s="178"/>
      <c r="C183" s="178"/>
      <c r="D183" s="178"/>
      <c r="E183" s="178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178"/>
      <c r="B184" s="178"/>
      <c r="C184" s="178"/>
      <c r="D184" s="178"/>
      <c r="E184" s="178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178"/>
      <c r="B185" s="178"/>
      <c r="C185" s="178"/>
      <c r="D185" s="178"/>
      <c r="E185" s="178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178"/>
      <c r="B186" s="178"/>
      <c r="C186" s="178"/>
      <c r="D186" s="178"/>
      <c r="E186" s="178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178"/>
      <c r="B187" s="178"/>
      <c r="C187" s="178"/>
      <c r="D187" s="178"/>
      <c r="E187" s="178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178"/>
      <c r="B188" s="178"/>
      <c r="C188" s="178"/>
      <c r="D188" s="178"/>
      <c r="E188" s="178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178"/>
      <c r="B189" s="178"/>
      <c r="C189" s="178"/>
      <c r="D189" s="178"/>
      <c r="E189" s="178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178"/>
      <c r="B190" s="178"/>
      <c r="C190" s="178"/>
      <c r="D190" s="178"/>
      <c r="E190" s="178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178"/>
      <c r="B191" s="178"/>
      <c r="C191" s="178"/>
      <c r="D191" s="178"/>
      <c r="E191" s="178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178"/>
      <c r="B192" s="178"/>
      <c r="C192" s="178"/>
      <c r="D192" s="178"/>
      <c r="E192" s="178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178"/>
      <c r="B193" s="178"/>
      <c r="C193" s="178"/>
      <c r="D193" s="178"/>
      <c r="E193" s="178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178"/>
      <c r="B194" s="178"/>
      <c r="C194" s="178"/>
      <c r="D194" s="178"/>
      <c r="E194" s="178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178"/>
      <c r="B195" s="178"/>
      <c r="C195" s="178"/>
      <c r="D195" s="178"/>
      <c r="E195" s="178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178"/>
      <c r="B196" s="178"/>
      <c r="C196" s="178"/>
      <c r="D196" s="178"/>
      <c r="E196" s="178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178"/>
      <c r="B197" s="178"/>
      <c r="C197" s="178"/>
      <c r="D197" s="178"/>
      <c r="E197" s="178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178"/>
      <c r="B198" s="178"/>
      <c r="C198" s="178"/>
      <c r="D198" s="178"/>
      <c r="E198" s="178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178"/>
      <c r="B199" s="178"/>
      <c r="C199" s="178"/>
      <c r="D199" s="178"/>
      <c r="E199" s="178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178"/>
      <c r="B200" s="178"/>
      <c r="C200" s="178"/>
      <c r="D200" s="178"/>
      <c r="E200" s="178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178"/>
      <c r="B201" s="178"/>
      <c r="C201" s="178"/>
      <c r="D201" s="178"/>
      <c r="E201" s="178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178"/>
      <c r="B202" s="178"/>
      <c r="C202" s="178"/>
      <c r="D202" s="178"/>
      <c r="E202" s="178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178"/>
      <c r="B203" s="178"/>
      <c r="C203" s="178"/>
      <c r="D203" s="178"/>
      <c r="E203" s="178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178"/>
      <c r="B204" s="178"/>
      <c r="C204" s="178"/>
      <c r="D204" s="178"/>
      <c r="E204" s="178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178"/>
      <c r="B205" s="178"/>
      <c r="C205" s="178"/>
      <c r="D205" s="178"/>
      <c r="E205" s="178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178"/>
      <c r="B206" s="178"/>
      <c r="C206" s="178"/>
      <c r="D206" s="178"/>
      <c r="E206" s="178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178"/>
      <c r="B207" s="178"/>
      <c r="C207" s="178"/>
      <c r="D207" s="178"/>
      <c r="E207" s="178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178"/>
      <c r="B208" s="178"/>
      <c r="C208" s="178"/>
      <c r="D208" s="178"/>
      <c r="E208" s="178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178"/>
      <c r="B209" s="178"/>
      <c r="C209" s="178"/>
      <c r="D209" s="178"/>
      <c r="E209" s="178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178"/>
      <c r="B210" s="178"/>
      <c r="C210" s="178"/>
      <c r="D210" s="178"/>
      <c r="E210" s="178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178"/>
      <c r="B211" s="178"/>
      <c r="C211" s="178"/>
      <c r="D211" s="178"/>
      <c r="E211" s="178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178"/>
      <c r="B212" s="178"/>
      <c r="C212" s="178"/>
      <c r="D212" s="178"/>
      <c r="E212" s="178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178"/>
      <c r="B213" s="178"/>
      <c r="C213" s="178"/>
      <c r="D213" s="178"/>
      <c r="E213" s="178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178"/>
      <c r="B214" s="178"/>
      <c r="C214" s="178"/>
      <c r="D214" s="178"/>
      <c r="E214" s="178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178"/>
      <c r="B215" s="178"/>
      <c r="C215" s="178"/>
      <c r="D215" s="178"/>
      <c r="E215" s="178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178"/>
      <c r="B216" s="178"/>
      <c r="C216" s="178"/>
      <c r="D216" s="178"/>
      <c r="E216" s="178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178"/>
      <c r="B217" s="178"/>
      <c r="C217" s="178"/>
      <c r="D217" s="178"/>
      <c r="E217" s="178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178"/>
      <c r="B218" s="178"/>
      <c r="C218" s="178"/>
      <c r="D218" s="178"/>
      <c r="E218" s="178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178"/>
      <c r="B219" s="178"/>
      <c r="C219" s="178"/>
      <c r="D219" s="178"/>
      <c r="E219" s="178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178"/>
      <c r="B220" s="178"/>
      <c r="C220" s="178"/>
      <c r="D220" s="178"/>
      <c r="E220" s="178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178"/>
      <c r="B221" s="178"/>
      <c r="C221" s="178"/>
      <c r="D221" s="178"/>
      <c r="E221" s="178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178"/>
      <c r="B222" s="178"/>
      <c r="C222" s="178"/>
      <c r="D222" s="178"/>
      <c r="E222" s="178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178"/>
      <c r="B223" s="178"/>
      <c r="C223" s="178"/>
      <c r="D223" s="178"/>
      <c r="E223" s="178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178"/>
      <c r="B224" s="178"/>
      <c r="C224" s="178"/>
      <c r="D224" s="178"/>
      <c r="E224" s="178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178"/>
      <c r="B225" s="178"/>
      <c r="C225" s="178"/>
      <c r="D225" s="178"/>
      <c r="E225" s="178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178"/>
      <c r="B226" s="178"/>
      <c r="C226" s="178"/>
      <c r="D226" s="178"/>
      <c r="E226" s="178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178"/>
      <c r="B227" s="178"/>
      <c r="C227" s="178"/>
      <c r="D227" s="178"/>
      <c r="E227" s="178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178"/>
      <c r="B228" s="178"/>
      <c r="C228" s="178"/>
      <c r="D228" s="178"/>
      <c r="E228" s="178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178"/>
      <c r="B229" s="178"/>
      <c r="C229" s="178"/>
      <c r="D229" s="178"/>
      <c r="E229" s="178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178"/>
      <c r="B230" s="178"/>
      <c r="C230" s="178"/>
      <c r="D230" s="178"/>
      <c r="E230" s="178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178"/>
      <c r="B231" s="178"/>
      <c r="C231" s="178"/>
      <c r="D231" s="178"/>
      <c r="E231" s="178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178"/>
      <c r="B232" s="178"/>
      <c r="C232" s="178"/>
      <c r="D232" s="178"/>
      <c r="E232" s="178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178"/>
      <c r="B233" s="178"/>
      <c r="C233" s="178"/>
      <c r="D233" s="178"/>
      <c r="E233" s="178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178"/>
      <c r="B234" s="178"/>
      <c r="C234" s="178"/>
      <c r="D234" s="178"/>
      <c r="E234" s="178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178"/>
      <c r="B235" s="178"/>
      <c r="C235" s="178"/>
      <c r="D235" s="178"/>
      <c r="E235" s="178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178"/>
      <c r="B236" s="178"/>
      <c r="C236" s="178"/>
      <c r="D236" s="178"/>
      <c r="E236" s="178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178"/>
      <c r="B237" s="178"/>
      <c r="C237" s="178"/>
      <c r="D237" s="178"/>
      <c r="E237" s="178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178"/>
      <c r="B238" s="178"/>
      <c r="C238" s="178"/>
      <c r="D238" s="178"/>
      <c r="E238" s="178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178"/>
      <c r="B239" s="178"/>
      <c r="C239" s="178"/>
      <c r="D239" s="178"/>
      <c r="E239" s="178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178"/>
      <c r="B240" s="178"/>
      <c r="C240" s="178"/>
      <c r="D240" s="178"/>
      <c r="E240" s="178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178"/>
      <c r="B241" s="178"/>
      <c r="C241" s="178"/>
      <c r="D241" s="178"/>
      <c r="E241" s="178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178"/>
      <c r="B242" s="178"/>
      <c r="C242" s="178"/>
      <c r="D242" s="178"/>
      <c r="E242" s="178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178"/>
      <c r="B243" s="178"/>
      <c r="C243" s="178"/>
      <c r="D243" s="178"/>
      <c r="E243" s="178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178"/>
      <c r="B244" s="178"/>
      <c r="C244" s="178"/>
      <c r="D244" s="178"/>
      <c r="E244" s="178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178"/>
      <c r="B245" s="178"/>
      <c r="C245" s="178"/>
      <c r="D245" s="178"/>
      <c r="E245" s="178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178"/>
      <c r="B246" s="178"/>
      <c r="C246" s="178"/>
      <c r="D246" s="178"/>
      <c r="E246" s="178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178"/>
      <c r="B247" s="178"/>
      <c r="C247" s="178"/>
      <c r="D247" s="178"/>
      <c r="E247" s="178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178"/>
      <c r="B248" s="178"/>
      <c r="C248" s="178"/>
      <c r="D248" s="178"/>
      <c r="E248" s="178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178"/>
      <c r="B249" s="178"/>
      <c r="C249" s="178"/>
      <c r="D249" s="178"/>
      <c r="E249" s="178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178"/>
      <c r="B250" s="178"/>
      <c r="C250" s="178"/>
      <c r="D250" s="178"/>
      <c r="E250" s="178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178"/>
      <c r="B251" s="178"/>
      <c r="C251" s="178"/>
      <c r="D251" s="178"/>
      <c r="E251" s="178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178"/>
      <c r="B252" s="178"/>
      <c r="C252" s="178"/>
      <c r="D252" s="178"/>
      <c r="E252" s="178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178"/>
      <c r="B253" s="178"/>
      <c r="C253" s="178"/>
      <c r="D253" s="178"/>
      <c r="E253" s="178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178"/>
      <c r="B254" s="178"/>
      <c r="C254" s="178"/>
      <c r="D254" s="178"/>
      <c r="E254" s="178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178"/>
      <c r="B255" s="178"/>
      <c r="C255" s="178"/>
      <c r="D255" s="178"/>
      <c r="E255" s="178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178"/>
      <c r="B256" s="178"/>
      <c r="C256" s="178"/>
      <c r="D256" s="178"/>
      <c r="E256" s="178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178"/>
      <c r="B257" s="178"/>
      <c r="C257" s="178"/>
      <c r="D257" s="178"/>
      <c r="E257" s="178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178"/>
      <c r="B258" s="178"/>
      <c r="C258" s="178"/>
      <c r="D258" s="178"/>
      <c r="E258" s="178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178"/>
      <c r="B259" s="178"/>
      <c r="C259" s="178"/>
      <c r="D259" s="178"/>
      <c r="E259" s="178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178"/>
      <c r="B260" s="178"/>
      <c r="C260" s="178"/>
      <c r="D260" s="178"/>
      <c r="E260" s="178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178"/>
      <c r="B261" s="178"/>
      <c r="C261" s="178"/>
      <c r="D261" s="178"/>
      <c r="E261" s="178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178"/>
      <c r="B262" s="178"/>
      <c r="C262" s="178"/>
      <c r="D262" s="178"/>
      <c r="E262" s="178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178"/>
      <c r="B263" s="178"/>
      <c r="C263" s="178"/>
      <c r="D263" s="178"/>
      <c r="E263" s="178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178"/>
      <c r="B264" s="178"/>
      <c r="C264" s="178"/>
      <c r="D264" s="178"/>
      <c r="E264" s="178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178"/>
      <c r="B265" s="178"/>
      <c r="C265" s="178"/>
      <c r="D265" s="178"/>
      <c r="E265" s="178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178"/>
      <c r="B266" s="178"/>
      <c r="C266" s="178"/>
      <c r="D266" s="178"/>
      <c r="E266" s="178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178"/>
      <c r="B267" s="178"/>
      <c r="C267" s="178"/>
      <c r="D267" s="178"/>
      <c r="E267" s="178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178"/>
      <c r="B268" s="178"/>
      <c r="C268" s="178"/>
      <c r="D268" s="178"/>
      <c r="E268" s="178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178"/>
      <c r="B269" s="178"/>
      <c r="C269" s="178"/>
      <c r="D269" s="178"/>
      <c r="E269" s="178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178"/>
      <c r="B270" s="178"/>
      <c r="C270" s="178"/>
      <c r="D270" s="178"/>
      <c r="E270" s="178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178"/>
      <c r="B271" s="178"/>
      <c r="C271" s="178"/>
      <c r="D271" s="178"/>
      <c r="E271" s="178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178"/>
      <c r="B272" s="178"/>
      <c r="C272" s="178"/>
      <c r="D272" s="178"/>
      <c r="E272" s="178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178"/>
      <c r="B273" s="178"/>
      <c r="C273" s="178"/>
      <c r="D273" s="178"/>
      <c r="E273" s="178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178"/>
      <c r="B274" s="178"/>
      <c r="C274" s="178"/>
      <c r="D274" s="178"/>
      <c r="E274" s="178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178"/>
      <c r="B275" s="178"/>
      <c r="C275" s="178"/>
      <c r="D275" s="178"/>
      <c r="E275" s="178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178"/>
      <c r="B276" s="178"/>
      <c r="C276" s="178"/>
      <c r="D276" s="178"/>
      <c r="E276" s="178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178"/>
      <c r="B277" s="178"/>
      <c r="C277" s="178"/>
      <c r="D277" s="178"/>
      <c r="E277" s="178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178"/>
      <c r="B278" s="178"/>
      <c r="C278" s="178"/>
      <c r="D278" s="178"/>
      <c r="E278" s="178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178"/>
      <c r="B279" s="178"/>
      <c r="C279" s="178"/>
      <c r="D279" s="178"/>
      <c r="E279" s="178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178"/>
      <c r="B280" s="178"/>
      <c r="C280" s="178"/>
      <c r="D280" s="178"/>
      <c r="E280" s="178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178"/>
      <c r="B281" s="178"/>
      <c r="C281" s="178"/>
      <c r="D281" s="178"/>
      <c r="E281" s="178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178"/>
      <c r="B282" s="178"/>
      <c r="C282" s="178"/>
      <c r="D282" s="178"/>
      <c r="E282" s="178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178"/>
      <c r="B283" s="178"/>
      <c r="C283" s="178"/>
      <c r="D283" s="178"/>
      <c r="E283" s="178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178"/>
      <c r="B284" s="178"/>
      <c r="C284" s="178"/>
      <c r="D284" s="178"/>
      <c r="E284" s="178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178"/>
      <c r="B285" s="178"/>
      <c r="C285" s="178"/>
      <c r="D285" s="178"/>
      <c r="E285" s="178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178"/>
      <c r="B286" s="178"/>
      <c r="C286" s="178"/>
      <c r="D286" s="178"/>
      <c r="E286" s="178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178"/>
      <c r="B287" s="178"/>
      <c r="C287" s="178"/>
      <c r="D287" s="178"/>
      <c r="E287" s="178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178"/>
      <c r="B288" s="178"/>
      <c r="C288" s="178"/>
      <c r="D288" s="178"/>
      <c r="E288" s="178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178"/>
      <c r="B289" s="178"/>
      <c r="C289" s="178"/>
      <c r="D289" s="178"/>
      <c r="E289" s="178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178"/>
      <c r="B290" s="178"/>
      <c r="C290" s="178"/>
      <c r="D290" s="178"/>
      <c r="E290" s="178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178"/>
      <c r="B291" s="178"/>
      <c r="C291" s="178"/>
      <c r="D291" s="178"/>
      <c r="E291" s="178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178"/>
      <c r="B292" s="178"/>
      <c r="C292" s="178"/>
      <c r="D292" s="178"/>
      <c r="E292" s="178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178"/>
      <c r="B293" s="178"/>
      <c r="C293" s="178"/>
      <c r="D293" s="178"/>
      <c r="E293" s="178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178"/>
      <c r="B294" s="178"/>
      <c r="C294" s="178"/>
      <c r="D294" s="178"/>
      <c r="E294" s="178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178"/>
      <c r="B295" s="178"/>
      <c r="C295" s="178"/>
      <c r="D295" s="178"/>
      <c r="E295" s="178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178"/>
      <c r="B296" s="178"/>
      <c r="C296" s="178"/>
      <c r="D296" s="178"/>
      <c r="E296" s="178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178"/>
      <c r="B297" s="178"/>
      <c r="C297" s="178"/>
      <c r="D297" s="178"/>
      <c r="E297" s="178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178"/>
      <c r="B298" s="178"/>
      <c r="C298" s="178"/>
      <c r="D298" s="178"/>
      <c r="E298" s="178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178"/>
      <c r="B299" s="178"/>
      <c r="C299" s="178"/>
      <c r="D299" s="178"/>
      <c r="E299" s="178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178"/>
      <c r="B300" s="178"/>
      <c r="C300" s="178"/>
      <c r="D300" s="178"/>
      <c r="E300" s="178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178"/>
      <c r="B301" s="178"/>
      <c r="C301" s="178"/>
      <c r="D301" s="178"/>
      <c r="E301" s="178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178"/>
      <c r="B302" s="178"/>
      <c r="C302" s="178"/>
      <c r="D302" s="178"/>
      <c r="E302" s="178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178"/>
      <c r="B303" s="178"/>
      <c r="C303" s="178"/>
      <c r="D303" s="178"/>
      <c r="E303" s="178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178"/>
      <c r="B304" s="178"/>
      <c r="C304" s="178"/>
      <c r="D304" s="178"/>
      <c r="E304" s="178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178"/>
      <c r="B305" s="178"/>
      <c r="C305" s="178"/>
      <c r="D305" s="178"/>
      <c r="E305" s="178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178"/>
      <c r="B306" s="178"/>
      <c r="C306" s="178"/>
      <c r="D306" s="178"/>
      <c r="E306" s="178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178"/>
      <c r="B307" s="178"/>
      <c r="C307" s="178"/>
      <c r="D307" s="178"/>
      <c r="E307" s="178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178"/>
      <c r="B308" s="178"/>
      <c r="C308" s="178"/>
      <c r="D308" s="178"/>
      <c r="E308" s="178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178"/>
      <c r="B309" s="178"/>
      <c r="C309" s="178"/>
      <c r="D309" s="178"/>
      <c r="E309" s="178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178"/>
      <c r="B310" s="178"/>
      <c r="C310" s="178"/>
      <c r="D310" s="178"/>
      <c r="E310" s="178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178"/>
      <c r="B311" s="178"/>
      <c r="C311" s="178"/>
      <c r="D311" s="178"/>
      <c r="E311" s="178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178"/>
      <c r="B312" s="178"/>
      <c r="C312" s="178"/>
      <c r="D312" s="178"/>
      <c r="E312" s="178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178"/>
      <c r="B313" s="178"/>
      <c r="C313" s="178"/>
      <c r="D313" s="178"/>
      <c r="E313" s="178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178"/>
      <c r="B314" s="178"/>
      <c r="C314" s="178"/>
      <c r="D314" s="178"/>
      <c r="E314" s="178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178"/>
      <c r="B315" s="178"/>
      <c r="C315" s="178"/>
      <c r="D315" s="178"/>
      <c r="E315" s="178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178"/>
      <c r="B316" s="178"/>
      <c r="C316" s="178"/>
      <c r="D316" s="178"/>
      <c r="E316" s="178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178"/>
      <c r="B317" s="178"/>
      <c r="C317" s="178"/>
      <c r="D317" s="178"/>
      <c r="E317" s="178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178"/>
      <c r="B318" s="178"/>
      <c r="C318" s="178"/>
      <c r="D318" s="178"/>
      <c r="E318" s="178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178"/>
      <c r="B319" s="178"/>
      <c r="C319" s="178"/>
      <c r="D319" s="178"/>
      <c r="E319" s="178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178"/>
      <c r="B320" s="178"/>
      <c r="C320" s="178"/>
      <c r="D320" s="178"/>
      <c r="E320" s="178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178"/>
      <c r="B321" s="178"/>
      <c r="C321" s="178"/>
      <c r="D321" s="178"/>
      <c r="E321" s="178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178"/>
      <c r="B322" s="178"/>
      <c r="C322" s="178"/>
      <c r="D322" s="178"/>
      <c r="E322" s="178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178"/>
      <c r="B323" s="178"/>
      <c r="C323" s="178"/>
      <c r="D323" s="178"/>
      <c r="E323" s="178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178"/>
      <c r="B324" s="178"/>
      <c r="C324" s="178"/>
      <c r="D324" s="178"/>
      <c r="E324" s="178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178"/>
      <c r="B325" s="178"/>
      <c r="C325" s="178"/>
      <c r="D325" s="178"/>
      <c r="E325" s="178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178"/>
      <c r="B326" s="178"/>
      <c r="C326" s="178"/>
      <c r="D326" s="178"/>
      <c r="E326" s="178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178"/>
      <c r="B327" s="178"/>
      <c r="C327" s="178"/>
      <c r="D327" s="178"/>
      <c r="E327" s="178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178"/>
      <c r="B328" s="178"/>
      <c r="C328" s="178"/>
      <c r="D328" s="178"/>
      <c r="E328" s="178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178"/>
      <c r="B329" s="178"/>
      <c r="C329" s="178"/>
      <c r="D329" s="178"/>
      <c r="E329" s="178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178"/>
      <c r="B330" s="178"/>
      <c r="C330" s="178"/>
      <c r="D330" s="178"/>
      <c r="E330" s="178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178"/>
      <c r="B331" s="178"/>
      <c r="C331" s="178"/>
      <c r="D331" s="178"/>
      <c r="E331" s="178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178"/>
      <c r="B332" s="178"/>
      <c r="C332" s="178"/>
      <c r="D332" s="178"/>
      <c r="E332" s="178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178"/>
      <c r="B333" s="178"/>
      <c r="C333" s="178"/>
      <c r="D333" s="178"/>
      <c r="E333" s="178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178"/>
      <c r="B334" s="178"/>
      <c r="C334" s="178"/>
      <c r="D334" s="178"/>
      <c r="E334" s="178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178"/>
      <c r="B335" s="178"/>
      <c r="C335" s="178"/>
      <c r="D335" s="178"/>
      <c r="E335" s="178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178"/>
      <c r="B336" s="178"/>
      <c r="C336" s="178"/>
      <c r="D336" s="178"/>
      <c r="E336" s="178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178"/>
      <c r="B337" s="178"/>
      <c r="C337" s="178"/>
      <c r="D337" s="178"/>
      <c r="E337" s="178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178"/>
      <c r="B338" s="178"/>
      <c r="C338" s="178"/>
      <c r="D338" s="178"/>
      <c r="E338" s="178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178"/>
      <c r="B339" s="178"/>
      <c r="C339" s="178"/>
      <c r="D339" s="178"/>
      <c r="E339" s="178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178"/>
      <c r="B340" s="178"/>
      <c r="C340" s="178"/>
      <c r="D340" s="178"/>
      <c r="E340" s="178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178"/>
      <c r="B341" s="178"/>
      <c r="C341" s="178"/>
      <c r="D341" s="178"/>
      <c r="E341" s="178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178"/>
      <c r="B342" s="178"/>
      <c r="C342" s="178"/>
      <c r="D342" s="178"/>
      <c r="E342" s="178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178"/>
      <c r="B343" s="178"/>
      <c r="C343" s="178"/>
      <c r="D343" s="178"/>
      <c r="E343" s="178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178"/>
      <c r="B344" s="178"/>
      <c r="C344" s="178"/>
      <c r="D344" s="178"/>
      <c r="E344" s="178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178"/>
      <c r="B345" s="178"/>
      <c r="C345" s="178"/>
      <c r="D345" s="178"/>
      <c r="E345" s="178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178"/>
      <c r="B346" s="178"/>
      <c r="C346" s="178"/>
      <c r="D346" s="178"/>
      <c r="E346" s="178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178"/>
      <c r="B347" s="178"/>
      <c r="C347" s="178"/>
      <c r="D347" s="178"/>
      <c r="E347" s="178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178"/>
      <c r="B348" s="178"/>
      <c r="C348" s="178"/>
      <c r="D348" s="178"/>
      <c r="E348" s="178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178"/>
      <c r="B349" s="178"/>
      <c r="C349" s="178"/>
      <c r="D349" s="178"/>
      <c r="E349" s="178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178"/>
      <c r="B350" s="178"/>
      <c r="C350" s="178"/>
      <c r="D350" s="178"/>
      <c r="E350" s="178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178"/>
      <c r="B351" s="178"/>
      <c r="C351" s="178"/>
      <c r="D351" s="178"/>
      <c r="E351" s="178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178"/>
      <c r="B352" s="178"/>
      <c r="C352" s="178"/>
      <c r="D352" s="178"/>
      <c r="E352" s="178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178"/>
      <c r="B353" s="178"/>
      <c r="C353" s="178"/>
      <c r="D353" s="178"/>
      <c r="E353" s="178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178"/>
      <c r="B354" s="178"/>
      <c r="C354" s="178"/>
      <c r="D354" s="178"/>
      <c r="E354" s="178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178"/>
      <c r="B355" s="178"/>
      <c r="C355" s="178"/>
      <c r="D355" s="178"/>
      <c r="E355" s="178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178"/>
      <c r="B356" s="178"/>
      <c r="C356" s="178"/>
      <c r="D356" s="178"/>
      <c r="E356" s="178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178"/>
      <c r="B357" s="178"/>
      <c r="C357" s="178"/>
      <c r="D357" s="178"/>
      <c r="E357" s="178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178"/>
      <c r="B358" s="178"/>
      <c r="C358" s="178"/>
      <c r="D358" s="178"/>
      <c r="E358" s="178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178"/>
      <c r="B359" s="178"/>
      <c r="C359" s="178"/>
      <c r="D359" s="178"/>
      <c r="E359" s="178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178"/>
      <c r="B360" s="178"/>
      <c r="C360" s="178"/>
      <c r="D360" s="178"/>
      <c r="E360" s="178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178"/>
      <c r="B361" s="178"/>
      <c r="C361" s="178"/>
      <c r="D361" s="178"/>
      <c r="E361" s="178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178"/>
      <c r="B362" s="178"/>
      <c r="C362" s="178"/>
      <c r="D362" s="178"/>
      <c r="E362" s="178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178"/>
      <c r="B363" s="178"/>
      <c r="C363" s="178"/>
      <c r="D363" s="178"/>
      <c r="E363" s="178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178"/>
      <c r="B364" s="178"/>
      <c r="C364" s="178"/>
      <c r="D364" s="178"/>
      <c r="E364" s="178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178"/>
      <c r="B365" s="178"/>
      <c r="C365" s="178"/>
      <c r="D365" s="178"/>
      <c r="E365" s="178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178"/>
      <c r="B366" s="178"/>
      <c r="C366" s="178"/>
      <c r="D366" s="178"/>
      <c r="E366" s="178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178"/>
      <c r="B367" s="178"/>
      <c r="C367" s="178"/>
      <c r="D367" s="178"/>
      <c r="E367" s="178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178"/>
      <c r="B368" s="178"/>
      <c r="C368" s="178"/>
      <c r="D368" s="178"/>
      <c r="E368" s="178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178"/>
      <c r="B369" s="178"/>
      <c r="C369" s="178"/>
      <c r="D369" s="178"/>
      <c r="E369" s="178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178"/>
      <c r="B370" s="178"/>
      <c r="C370" s="178"/>
      <c r="D370" s="178"/>
      <c r="E370" s="178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178"/>
      <c r="B371" s="178"/>
      <c r="C371" s="178"/>
      <c r="D371" s="178"/>
      <c r="E371" s="178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178"/>
      <c r="B372" s="178"/>
      <c r="C372" s="178"/>
      <c r="D372" s="178"/>
      <c r="E372" s="178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178"/>
      <c r="B373" s="178"/>
      <c r="C373" s="178"/>
      <c r="D373" s="178"/>
      <c r="E373" s="178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178"/>
      <c r="B374" s="178"/>
      <c r="C374" s="178"/>
      <c r="D374" s="178"/>
      <c r="E374" s="178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178"/>
      <c r="B375" s="178"/>
      <c r="C375" s="178"/>
      <c r="D375" s="178"/>
      <c r="E375" s="178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178"/>
      <c r="B376" s="178"/>
      <c r="C376" s="178"/>
      <c r="D376" s="178"/>
      <c r="E376" s="178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178"/>
      <c r="B377" s="178"/>
      <c r="C377" s="178"/>
      <c r="D377" s="178"/>
      <c r="E377" s="178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178"/>
      <c r="B378" s="178"/>
      <c r="C378" s="178"/>
      <c r="D378" s="178"/>
      <c r="E378" s="178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178"/>
      <c r="B379" s="178"/>
      <c r="C379" s="178"/>
      <c r="D379" s="178"/>
      <c r="E379" s="178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178"/>
      <c r="B380" s="178"/>
      <c r="C380" s="178"/>
      <c r="D380" s="178"/>
      <c r="E380" s="178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178"/>
      <c r="B381" s="178"/>
      <c r="C381" s="178"/>
      <c r="D381" s="178"/>
      <c r="E381" s="178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178"/>
      <c r="B382" s="178"/>
      <c r="C382" s="178"/>
      <c r="D382" s="178"/>
      <c r="E382" s="178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178"/>
      <c r="B383" s="178"/>
      <c r="C383" s="178"/>
      <c r="D383" s="178"/>
      <c r="E383" s="178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178"/>
      <c r="B384" s="178"/>
      <c r="C384" s="178"/>
      <c r="D384" s="178"/>
      <c r="E384" s="178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178"/>
      <c r="B385" s="178"/>
      <c r="C385" s="178"/>
      <c r="D385" s="178"/>
      <c r="E385" s="178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178"/>
      <c r="B386" s="178"/>
      <c r="C386" s="178"/>
      <c r="D386" s="178"/>
      <c r="E386" s="178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178"/>
      <c r="B387" s="178"/>
      <c r="C387" s="178"/>
      <c r="D387" s="178"/>
      <c r="E387" s="178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178"/>
      <c r="B388" s="178"/>
      <c r="C388" s="178"/>
      <c r="D388" s="178"/>
      <c r="E388" s="178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178"/>
      <c r="B389" s="178"/>
      <c r="C389" s="178"/>
      <c r="D389" s="178"/>
      <c r="E389" s="178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178"/>
      <c r="B390" s="178"/>
      <c r="C390" s="178"/>
      <c r="D390" s="178"/>
      <c r="E390" s="178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178"/>
      <c r="B391" s="178"/>
      <c r="C391" s="178"/>
      <c r="D391" s="178"/>
      <c r="E391" s="178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178"/>
      <c r="B392" s="178"/>
      <c r="C392" s="178"/>
      <c r="D392" s="178"/>
      <c r="E392" s="178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178"/>
      <c r="B393" s="178"/>
      <c r="C393" s="178"/>
      <c r="D393" s="178"/>
      <c r="E393" s="178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178"/>
      <c r="B394" s="178"/>
      <c r="C394" s="178"/>
      <c r="D394" s="178"/>
      <c r="E394" s="178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178"/>
      <c r="B395" s="178"/>
      <c r="C395" s="178"/>
      <c r="D395" s="178"/>
      <c r="E395" s="178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178"/>
      <c r="B396" s="178"/>
      <c r="C396" s="178"/>
      <c r="D396" s="178"/>
      <c r="E396" s="178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178"/>
      <c r="B397" s="178"/>
      <c r="C397" s="178"/>
      <c r="D397" s="178"/>
      <c r="E397" s="178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178"/>
      <c r="B398" s="178"/>
      <c r="C398" s="178"/>
      <c r="D398" s="178"/>
      <c r="E398" s="178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178"/>
      <c r="B399" s="178"/>
      <c r="C399" s="178"/>
      <c r="D399" s="178"/>
      <c r="E399" s="178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178"/>
      <c r="B400" s="178"/>
      <c r="C400" s="178"/>
      <c r="D400" s="178"/>
      <c r="E400" s="178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178"/>
      <c r="B401" s="178"/>
      <c r="C401" s="178"/>
      <c r="D401" s="178"/>
      <c r="E401" s="178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178"/>
      <c r="B402" s="178"/>
      <c r="C402" s="178"/>
      <c r="D402" s="178"/>
      <c r="E402" s="178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178"/>
      <c r="B403" s="178"/>
      <c r="C403" s="178"/>
      <c r="D403" s="178"/>
      <c r="E403" s="178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178"/>
      <c r="B404" s="178"/>
      <c r="C404" s="178"/>
      <c r="D404" s="178"/>
      <c r="E404" s="178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178"/>
      <c r="B405" s="178"/>
      <c r="C405" s="178"/>
      <c r="D405" s="178"/>
      <c r="E405" s="178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178"/>
      <c r="B406" s="178"/>
      <c r="C406" s="178"/>
      <c r="D406" s="178"/>
      <c r="E406" s="178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178"/>
      <c r="B407" s="178"/>
      <c r="C407" s="178"/>
      <c r="D407" s="178"/>
      <c r="E407" s="178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178"/>
      <c r="B408" s="178"/>
      <c r="C408" s="178"/>
      <c r="D408" s="178"/>
      <c r="E408" s="178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178"/>
      <c r="B409" s="178"/>
      <c r="C409" s="178"/>
      <c r="D409" s="178"/>
      <c r="E409" s="178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178"/>
      <c r="B410" s="178"/>
      <c r="C410" s="178"/>
      <c r="D410" s="178"/>
      <c r="E410" s="178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178"/>
      <c r="B411" s="178"/>
      <c r="C411" s="178"/>
      <c r="D411" s="178"/>
      <c r="E411" s="178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178"/>
      <c r="B412" s="178"/>
      <c r="C412" s="178"/>
      <c r="D412" s="178"/>
      <c r="E412" s="178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178"/>
      <c r="B413" s="178"/>
      <c r="C413" s="178"/>
      <c r="D413" s="178"/>
      <c r="E413" s="178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178"/>
      <c r="B414" s="178"/>
      <c r="C414" s="178"/>
      <c r="D414" s="178"/>
      <c r="E414" s="178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178"/>
      <c r="B415" s="178"/>
      <c r="C415" s="178"/>
      <c r="D415" s="178"/>
      <c r="E415" s="178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178"/>
      <c r="B416" s="178"/>
      <c r="C416" s="178"/>
      <c r="D416" s="178"/>
      <c r="E416" s="178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178"/>
      <c r="B417" s="178"/>
      <c r="C417" s="178"/>
      <c r="D417" s="178"/>
      <c r="E417" s="178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178"/>
      <c r="B418" s="178"/>
      <c r="C418" s="178"/>
      <c r="D418" s="178"/>
      <c r="E418" s="178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178"/>
      <c r="B419" s="178"/>
      <c r="C419" s="178"/>
      <c r="D419" s="178"/>
      <c r="E419" s="178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178"/>
      <c r="B420" s="178"/>
      <c r="C420" s="178"/>
      <c r="D420" s="178"/>
      <c r="E420" s="178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178"/>
      <c r="B421" s="178"/>
      <c r="C421" s="178"/>
      <c r="D421" s="178"/>
      <c r="E421" s="178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178"/>
      <c r="B422" s="178"/>
      <c r="C422" s="178"/>
      <c r="D422" s="178"/>
      <c r="E422" s="178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178"/>
      <c r="B423" s="178"/>
      <c r="C423" s="178"/>
      <c r="D423" s="178"/>
      <c r="E423" s="178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178"/>
      <c r="B424" s="178"/>
      <c r="C424" s="178"/>
      <c r="D424" s="178"/>
      <c r="E424" s="178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178"/>
      <c r="B425" s="178"/>
      <c r="C425" s="178"/>
      <c r="D425" s="178"/>
      <c r="E425" s="178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178"/>
      <c r="B426" s="178"/>
      <c r="C426" s="178"/>
      <c r="D426" s="178"/>
      <c r="E426" s="178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178"/>
      <c r="B427" s="178"/>
      <c r="C427" s="178"/>
      <c r="D427" s="178"/>
      <c r="E427" s="178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178"/>
      <c r="B428" s="178"/>
      <c r="C428" s="178"/>
      <c r="D428" s="178"/>
      <c r="E428" s="178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178"/>
      <c r="B429" s="178"/>
      <c r="C429" s="178"/>
      <c r="D429" s="178"/>
      <c r="E429" s="178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178"/>
      <c r="B430" s="178"/>
      <c r="C430" s="178"/>
      <c r="D430" s="178"/>
      <c r="E430" s="178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178"/>
      <c r="B431" s="178"/>
      <c r="C431" s="178"/>
      <c r="D431" s="178"/>
      <c r="E431" s="178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178"/>
      <c r="B432" s="178"/>
      <c r="C432" s="178"/>
      <c r="D432" s="178"/>
      <c r="E432" s="178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178"/>
      <c r="B433" s="178"/>
      <c r="C433" s="178"/>
      <c r="D433" s="178"/>
      <c r="E433" s="178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178"/>
      <c r="B434" s="178"/>
      <c r="C434" s="178"/>
      <c r="D434" s="178"/>
      <c r="E434" s="178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178"/>
      <c r="B435" s="178"/>
      <c r="C435" s="178"/>
      <c r="D435" s="178"/>
      <c r="E435" s="178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178"/>
      <c r="B436" s="178"/>
      <c r="C436" s="178"/>
      <c r="D436" s="178"/>
      <c r="E436" s="178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178"/>
      <c r="B437" s="178"/>
      <c r="C437" s="178"/>
      <c r="D437" s="178"/>
      <c r="E437" s="178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178"/>
      <c r="B438" s="178"/>
      <c r="C438" s="178"/>
      <c r="D438" s="178"/>
      <c r="E438" s="178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178"/>
      <c r="B439" s="178"/>
      <c r="C439" s="178"/>
      <c r="D439" s="178"/>
      <c r="E439" s="178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178"/>
      <c r="B440" s="178"/>
      <c r="C440" s="178"/>
      <c r="D440" s="178"/>
      <c r="E440" s="178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178"/>
      <c r="B441" s="178"/>
      <c r="C441" s="178"/>
      <c r="D441" s="178"/>
      <c r="E441" s="178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178"/>
      <c r="B442" s="178"/>
      <c r="C442" s="178"/>
      <c r="D442" s="178"/>
      <c r="E442" s="178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178"/>
      <c r="B443" s="178"/>
      <c r="C443" s="178"/>
      <c r="D443" s="178"/>
      <c r="E443" s="178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178"/>
      <c r="B444" s="178"/>
      <c r="C444" s="178"/>
      <c r="D444" s="178"/>
      <c r="E444" s="178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178"/>
      <c r="B445" s="178"/>
      <c r="C445" s="178"/>
      <c r="D445" s="178"/>
      <c r="E445" s="178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178"/>
      <c r="B446" s="178"/>
      <c r="C446" s="178"/>
      <c r="D446" s="178"/>
      <c r="E446" s="178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178"/>
      <c r="B447" s="178"/>
      <c r="C447" s="178"/>
      <c r="D447" s="178"/>
      <c r="E447" s="178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178"/>
      <c r="B448" s="178"/>
      <c r="C448" s="178"/>
      <c r="D448" s="178"/>
      <c r="E448" s="178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178"/>
      <c r="B449" s="178"/>
      <c r="C449" s="178"/>
      <c r="D449" s="178"/>
      <c r="E449" s="178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178"/>
      <c r="B450" s="178"/>
      <c r="C450" s="178"/>
      <c r="D450" s="178"/>
      <c r="E450" s="178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178"/>
      <c r="B451" s="178"/>
      <c r="C451" s="178"/>
      <c r="D451" s="178"/>
      <c r="E451" s="178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178"/>
      <c r="B452" s="178"/>
      <c r="C452" s="178"/>
      <c r="D452" s="178"/>
      <c r="E452" s="178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178"/>
      <c r="B453" s="178"/>
      <c r="C453" s="178"/>
      <c r="D453" s="178"/>
      <c r="E453" s="178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178"/>
      <c r="B454" s="178"/>
      <c r="C454" s="178"/>
      <c r="D454" s="178"/>
      <c r="E454" s="178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178"/>
      <c r="B455" s="178"/>
      <c r="C455" s="178"/>
      <c r="D455" s="178"/>
      <c r="E455" s="178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178"/>
      <c r="B456" s="178"/>
      <c r="C456" s="178"/>
      <c r="D456" s="178"/>
      <c r="E456" s="178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178"/>
      <c r="B457" s="178"/>
      <c r="C457" s="178"/>
      <c r="D457" s="178"/>
      <c r="E457" s="178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178"/>
      <c r="B458" s="178"/>
      <c r="C458" s="178"/>
      <c r="D458" s="178"/>
      <c r="E458" s="178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178"/>
      <c r="B459" s="178"/>
      <c r="C459" s="178"/>
      <c r="D459" s="178"/>
      <c r="E459" s="178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178"/>
      <c r="B460" s="178"/>
      <c r="C460" s="178"/>
      <c r="D460" s="178"/>
      <c r="E460" s="178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178"/>
      <c r="B461" s="178"/>
      <c r="C461" s="178"/>
      <c r="D461" s="178"/>
      <c r="E461" s="178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178"/>
      <c r="B462" s="178"/>
      <c r="C462" s="178"/>
      <c r="D462" s="178"/>
      <c r="E462" s="178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178"/>
      <c r="B463" s="178"/>
      <c r="C463" s="178"/>
      <c r="D463" s="178"/>
      <c r="E463" s="178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178"/>
      <c r="B464" s="178"/>
      <c r="C464" s="178"/>
      <c r="D464" s="178"/>
      <c r="E464" s="178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178"/>
      <c r="B465" s="178"/>
      <c r="C465" s="178"/>
      <c r="D465" s="178"/>
      <c r="E465" s="178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178"/>
      <c r="B466" s="178"/>
      <c r="C466" s="178"/>
      <c r="D466" s="178"/>
      <c r="E466" s="178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178"/>
      <c r="B467" s="178"/>
      <c r="C467" s="178"/>
      <c r="D467" s="178"/>
      <c r="E467" s="178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178"/>
      <c r="B468" s="178"/>
      <c r="C468" s="178"/>
      <c r="D468" s="178"/>
      <c r="E468" s="178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178"/>
      <c r="B469" s="178"/>
      <c r="C469" s="178"/>
      <c r="D469" s="178"/>
      <c r="E469" s="178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178"/>
      <c r="B470" s="178"/>
      <c r="C470" s="178"/>
      <c r="D470" s="178"/>
      <c r="E470" s="178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178"/>
      <c r="B471" s="178"/>
      <c r="C471" s="178"/>
      <c r="D471" s="178"/>
      <c r="E471" s="178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178"/>
      <c r="B472" s="178"/>
      <c r="C472" s="178"/>
      <c r="D472" s="178"/>
      <c r="E472" s="178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178"/>
      <c r="B473" s="178"/>
      <c r="C473" s="178"/>
      <c r="D473" s="178"/>
      <c r="E473" s="178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178"/>
      <c r="B474" s="178"/>
      <c r="C474" s="178"/>
      <c r="D474" s="178"/>
      <c r="E474" s="178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178"/>
      <c r="B475" s="178"/>
      <c r="C475" s="178"/>
      <c r="D475" s="178"/>
      <c r="E475" s="178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178"/>
      <c r="B476" s="178"/>
      <c r="C476" s="178"/>
      <c r="D476" s="178"/>
      <c r="E476" s="178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178"/>
      <c r="B477" s="178"/>
      <c r="C477" s="178"/>
      <c r="D477" s="178"/>
      <c r="E477" s="178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178"/>
      <c r="B478" s="178"/>
      <c r="C478" s="178"/>
      <c r="D478" s="178"/>
      <c r="E478" s="178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178"/>
      <c r="B479" s="178"/>
      <c r="C479" s="178"/>
      <c r="D479" s="178"/>
      <c r="E479" s="178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178"/>
      <c r="B480" s="178"/>
      <c r="C480" s="178"/>
      <c r="D480" s="178"/>
      <c r="E480" s="178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178"/>
      <c r="B481" s="178"/>
      <c r="C481" s="178"/>
      <c r="D481" s="178"/>
      <c r="E481" s="178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178"/>
      <c r="B482" s="178"/>
      <c r="C482" s="178"/>
      <c r="D482" s="178"/>
      <c r="E482" s="178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178"/>
      <c r="B483" s="178"/>
      <c r="C483" s="178"/>
      <c r="D483" s="178"/>
      <c r="E483" s="178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178"/>
      <c r="B484" s="178"/>
      <c r="C484" s="178"/>
      <c r="D484" s="178"/>
      <c r="E484" s="178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178"/>
      <c r="B485" s="178"/>
      <c r="C485" s="178"/>
      <c r="D485" s="178"/>
      <c r="E485" s="178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178"/>
      <c r="B486" s="178"/>
      <c r="C486" s="178"/>
      <c r="D486" s="178"/>
      <c r="E486" s="178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178"/>
      <c r="B487" s="178"/>
      <c r="C487" s="178"/>
      <c r="D487" s="178"/>
      <c r="E487" s="178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178"/>
      <c r="B488" s="178"/>
      <c r="C488" s="178"/>
      <c r="D488" s="178"/>
      <c r="E488" s="178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178"/>
      <c r="B489" s="178"/>
      <c r="C489" s="178"/>
      <c r="D489" s="178"/>
      <c r="E489" s="178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178"/>
      <c r="B490" s="178"/>
      <c r="C490" s="178"/>
      <c r="D490" s="178"/>
      <c r="E490" s="178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178"/>
      <c r="B491" s="178"/>
      <c r="C491" s="178"/>
      <c r="D491" s="178"/>
      <c r="E491" s="178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178"/>
      <c r="B492" s="178"/>
      <c r="C492" s="178"/>
      <c r="D492" s="178"/>
      <c r="E492" s="178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178"/>
      <c r="B493" s="178"/>
      <c r="C493" s="178"/>
      <c r="D493" s="178"/>
      <c r="E493" s="178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178"/>
      <c r="B494" s="178"/>
      <c r="C494" s="178"/>
      <c r="D494" s="178"/>
      <c r="E494" s="178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178"/>
      <c r="B495" s="178"/>
      <c r="C495" s="178"/>
      <c r="D495" s="178"/>
      <c r="E495" s="178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178"/>
      <c r="B496" s="178"/>
      <c r="C496" s="178"/>
      <c r="D496" s="178"/>
      <c r="E496" s="178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178"/>
      <c r="B497" s="178"/>
      <c r="C497" s="178"/>
      <c r="D497" s="178"/>
      <c r="E497" s="178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178"/>
      <c r="B498" s="178"/>
      <c r="C498" s="178"/>
      <c r="D498" s="178"/>
      <c r="E498" s="178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178"/>
      <c r="B499" s="178"/>
      <c r="C499" s="178"/>
      <c r="D499" s="178"/>
      <c r="E499" s="178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178"/>
      <c r="B500" s="178"/>
      <c r="C500" s="178"/>
      <c r="D500" s="178"/>
      <c r="E500" s="178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178"/>
      <c r="B501" s="178"/>
      <c r="C501" s="178"/>
      <c r="D501" s="178"/>
      <c r="E501" s="178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178"/>
      <c r="B502" s="178"/>
      <c r="C502" s="178"/>
      <c r="D502" s="178"/>
      <c r="E502" s="178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178"/>
      <c r="B503" s="178"/>
      <c r="C503" s="178"/>
      <c r="D503" s="178"/>
      <c r="E503" s="178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178"/>
      <c r="B504" s="178"/>
      <c r="C504" s="178"/>
      <c r="D504" s="178"/>
      <c r="E504" s="178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178"/>
      <c r="B505" s="178"/>
      <c r="C505" s="178"/>
      <c r="D505" s="178"/>
      <c r="E505" s="178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178"/>
      <c r="B506" s="178"/>
      <c r="C506" s="178"/>
      <c r="D506" s="178"/>
      <c r="E506" s="178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178"/>
      <c r="B507" s="178"/>
      <c r="C507" s="178"/>
      <c r="D507" s="178"/>
      <c r="E507" s="178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178"/>
      <c r="B508" s="178"/>
      <c r="C508" s="178"/>
      <c r="D508" s="178"/>
      <c r="E508" s="178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178"/>
      <c r="B509" s="178"/>
      <c r="C509" s="178"/>
      <c r="D509" s="178"/>
      <c r="E509" s="178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178"/>
      <c r="B510" s="178"/>
      <c r="C510" s="178"/>
      <c r="D510" s="178"/>
      <c r="E510" s="178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178"/>
      <c r="B511" s="178"/>
      <c r="C511" s="178"/>
      <c r="D511" s="178"/>
      <c r="E511" s="178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178"/>
      <c r="B512" s="178"/>
      <c r="C512" s="178"/>
      <c r="D512" s="178"/>
      <c r="E512" s="178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178"/>
      <c r="B513" s="178"/>
      <c r="C513" s="178"/>
      <c r="D513" s="178"/>
      <c r="E513" s="178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178"/>
      <c r="B514" s="178"/>
      <c r="C514" s="178"/>
      <c r="D514" s="178"/>
      <c r="E514" s="178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178"/>
      <c r="B515" s="178"/>
      <c r="C515" s="178"/>
      <c r="D515" s="178"/>
      <c r="E515" s="178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178"/>
      <c r="B516" s="178"/>
      <c r="C516" s="178"/>
      <c r="D516" s="178"/>
      <c r="E516" s="178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178"/>
      <c r="B517" s="178"/>
      <c r="C517" s="178"/>
      <c r="D517" s="178"/>
      <c r="E517" s="178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178"/>
      <c r="B518" s="178"/>
      <c r="C518" s="178"/>
      <c r="D518" s="178"/>
      <c r="E518" s="178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178"/>
      <c r="B519" s="178"/>
      <c r="C519" s="178"/>
      <c r="D519" s="178"/>
      <c r="E519" s="178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178"/>
      <c r="B520" s="178"/>
      <c r="C520" s="178"/>
      <c r="D520" s="178"/>
      <c r="E520" s="178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178"/>
      <c r="B521" s="178"/>
      <c r="C521" s="178"/>
      <c r="D521" s="178"/>
      <c r="E521" s="178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178"/>
      <c r="B522" s="178"/>
      <c r="C522" s="178"/>
      <c r="D522" s="178"/>
      <c r="E522" s="178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178"/>
      <c r="B523" s="178"/>
      <c r="C523" s="178"/>
      <c r="D523" s="178"/>
      <c r="E523" s="178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178"/>
      <c r="B524" s="178"/>
      <c r="C524" s="178"/>
      <c r="D524" s="178"/>
      <c r="E524" s="178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178"/>
      <c r="B525" s="178"/>
      <c r="C525" s="178"/>
      <c r="D525" s="178"/>
      <c r="E525" s="178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178"/>
      <c r="B526" s="178"/>
      <c r="C526" s="178"/>
      <c r="D526" s="178"/>
      <c r="E526" s="178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178"/>
      <c r="B527" s="178"/>
      <c r="C527" s="178"/>
      <c r="D527" s="178"/>
      <c r="E527" s="178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178"/>
      <c r="B528" s="178"/>
      <c r="C528" s="178"/>
      <c r="D528" s="178"/>
      <c r="E528" s="178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178"/>
      <c r="B529" s="178"/>
      <c r="C529" s="178"/>
      <c r="D529" s="178"/>
      <c r="E529" s="178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178"/>
      <c r="B530" s="178"/>
      <c r="C530" s="178"/>
      <c r="D530" s="178"/>
      <c r="E530" s="178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178"/>
      <c r="B531" s="178"/>
      <c r="C531" s="178"/>
      <c r="D531" s="178"/>
      <c r="E531" s="178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178"/>
      <c r="B532" s="178"/>
      <c r="C532" s="178"/>
      <c r="D532" s="178"/>
      <c r="E532" s="178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178"/>
      <c r="B533" s="178"/>
      <c r="C533" s="178"/>
      <c r="D533" s="178"/>
      <c r="E533" s="178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178"/>
      <c r="B534" s="178"/>
      <c r="C534" s="178"/>
      <c r="D534" s="178"/>
      <c r="E534" s="178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178"/>
      <c r="B535" s="178"/>
      <c r="C535" s="178"/>
      <c r="D535" s="178"/>
      <c r="E535" s="178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178"/>
      <c r="B536" s="178"/>
      <c r="C536" s="178"/>
      <c r="D536" s="178"/>
      <c r="E536" s="178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178"/>
      <c r="B537" s="178"/>
      <c r="C537" s="178"/>
      <c r="D537" s="178"/>
      <c r="E537" s="178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178"/>
      <c r="B538" s="178"/>
      <c r="C538" s="178"/>
      <c r="D538" s="178"/>
      <c r="E538" s="178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178"/>
      <c r="B539" s="178"/>
      <c r="C539" s="178"/>
      <c r="D539" s="178"/>
      <c r="E539" s="178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178"/>
      <c r="B540" s="178"/>
      <c r="C540" s="178"/>
      <c r="D540" s="178"/>
      <c r="E540" s="178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178"/>
      <c r="B541" s="178"/>
      <c r="C541" s="178"/>
      <c r="D541" s="178"/>
      <c r="E541" s="178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178"/>
      <c r="B542" s="178"/>
      <c r="C542" s="178"/>
      <c r="D542" s="178"/>
      <c r="E542" s="178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178"/>
      <c r="B543" s="178"/>
      <c r="C543" s="178"/>
      <c r="D543" s="178"/>
      <c r="E543" s="178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178"/>
      <c r="B544" s="178"/>
      <c r="C544" s="178"/>
      <c r="D544" s="178"/>
      <c r="E544" s="178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178"/>
      <c r="B545" s="178"/>
      <c r="C545" s="178"/>
      <c r="D545" s="178"/>
      <c r="E545" s="178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178"/>
      <c r="B546" s="178"/>
      <c r="C546" s="178"/>
      <c r="D546" s="178"/>
      <c r="E546" s="178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178"/>
      <c r="B547" s="178"/>
      <c r="C547" s="178"/>
      <c r="D547" s="178"/>
      <c r="E547" s="178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178"/>
      <c r="B548" s="178"/>
      <c r="C548" s="178"/>
      <c r="D548" s="178"/>
      <c r="E548" s="178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178"/>
      <c r="B549" s="178"/>
      <c r="C549" s="178"/>
      <c r="D549" s="178"/>
      <c r="E549" s="178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178"/>
      <c r="B550" s="178"/>
      <c r="C550" s="178"/>
      <c r="D550" s="178"/>
      <c r="E550" s="178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178"/>
      <c r="B551" s="178"/>
      <c r="C551" s="178"/>
      <c r="D551" s="178"/>
      <c r="E551" s="178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178"/>
      <c r="B552" s="178"/>
      <c r="C552" s="178"/>
      <c r="D552" s="178"/>
      <c r="E552" s="178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178"/>
      <c r="B553" s="178"/>
      <c r="C553" s="178"/>
      <c r="D553" s="178"/>
      <c r="E553" s="178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178"/>
      <c r="B554" s="178"/>
      <c r="C554" s="178"/>
      <c r="D554" s="178"/>
      <c r="E554" s="178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178"/>
      <c r="B555" s="178"/>
      <c r="C555" s="178"/>
      <c r="D555" s="178"/>
      <c r="E555" s="178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178"/>
      <c r="B556" s="178"/>
      <c r="C556" s="178"/>
      <c r="D556" s="178"/>
      <c r="E556" s="178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178"/>
      <c r="B557" s="178"/>
      <c r="C557" s="178"/>
      <c r="D557" s="178"/>
      <c r="E557" s="178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178"/>
      <c r="B558" s="178"/>
      <c r="C558" s="178"/>
      <c r="D558" s="178"/>
      <c r="E558" s="178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178"/>
      <c r="B559" s="178"/>
      <c r="C559" s="178"/>
      <c r="D559" s="178"/>
      <c r="E559" s="178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178"/>
      <c r="B560" s="178"/>
      <c r="C560" s="178"/>
      <c r="D560" s="178"/>
      <c r="E560" s="178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178"/>
      <c r="B561" s="178"/>
      <c r="C561" s="178"/>
      <c r="D561" s="178"/>
      <c r="E561" s="178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178"/>
      <c r="B562" s="178"/>
      <c r="C562" s="178"/>
      <c r="D562" s="178"/>
      <c r="E562" s="178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178"/>
      <c r="B563" s="178"/>
      <c r="C563" s="178"/>
      <c r="D563" s="178"/>
      <c r="E563" s="178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178"/>
      <c r="B564" s="178"/>
      <c r="C564" s="178"/>
      <c r="D564" s="178"/>
      <c r="E564" s="178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178"/>
      <c r="B565" s="178"/>
      <c r="C565" s="178"/>
      <c r="D565" s="178"/>
      <c r="E565" s="178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178"/>
      <c r="B566" s="178"/>
      <c r="C566" s="178"/>
      <c r="D566" s="178"/>
      <c r="E566" s="178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178"/>
      <c r="B567" s="178"/>
      <c r="C567" s="178"/>
      <c r="D567" s="178"/>
      <c r="E567" s="178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178"/>
      <c r="B568" s="178"/>
      <c r="C568" s="178"/>
      <c r="D568" s="178"/>
      <c r="E568" s="178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178"/>
      <c r="B569" s="178"/>
      <c r="C569" s="178"/>
      <c r="D569" s="178"/>
      <c r="E569" s="178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178"/>
      <c r="B570" s="178"/>
      <c r="C570" s="178"/>
      <c r="D570" s="178"/>
      <c r="E570" s="178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178"/>
      <c r="B571" s="178"/>
      <c r="C571" s="178"/>
      <c r="D571" s="178"/>
      <c r="E571" s="178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178"/>
      <c r="B572" s="178"/>
      <c r="C572" s="178"/>
      <c r="D572" s="178"/>
      <c r="E572" s="178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178"/>
      <c r="B573" s="178"/>
      <c r="C573" s="178"/>
      <c r="D573" s="178"/>
      <c r="E573" s="178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178"/>
      <c r="B574" s="178"/>
      <c r="C574" s="178"/>
      <c r="D574" s="178"/>
      <c r="E574" s="178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178"/>
      <c r="B575" s="178"/>
      <c r="C575" s="178"/>
      <c r="D575" s="178"/>
      <c r="E575" s="178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178"/>
      <c r="B576" s="178"/>
      <c r="C576" s="178"/>
      <c r="D576" s="178"/>
      <c r="E576" s="178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178"/>
      <c r="B577" s="178"/>
      <c r="C577" s="178"/>
      <c r="D577" s="178"/>
      <c r="E577" s="178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178"/>
      <c r="B578" s="178"/>
      <c r="C578" s="178"/>
      <c r="D578" s="178"/>
      <c r="E578" s="178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178"/>
      <c r="B579" s="178"/>
      <c r="C579" s="178"/>
      <c r="D579" s="178"/>
      <c r="E579" s="178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178"/>
      <c r="B580" s="178"/>
      <c r="C580" s="178"/>
      <c r="D580" s="178"/>
      <c r="E580" s="178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178"/>
      <c r="B581" s="178"/>
      <c r="C581" s="178"/>
      <c r="D581" s="178"/>
      <c r="E581" s="178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178"/>
      <c r="B582" s="178"/>
      <c r="C582" s="178"/>
      <c r="D582" s="178"/>
      <c r="E582" s="178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178"/>
      <c r="B583" s="178"/>
      <c r="C583" s="178"/>
      <c r="D583" s="178"/>
      <c r="E583" s="178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178"/>
      <c r="B584" s="178"/>
      <c r="C584" s="178"/>
      <c r="D584" s="178"/>
      <c r="E584" s="178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178"/>
      <c r="B585" s="178"/>
      <c r="C585" s="178"/>
      <c r="D585" s="178"/>
      <c r="E585" s="178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178"/>
      <c r="B586" s="178"/>
      <c r="C586" s="178"/>
      <c r="D586" s="178"/>
      <c r="E586" s="178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178"/>
      <c r="B587" s="178"/>
      <c r="C587" s="178"/>
      <c r="D587" s="178"/>
      <c r="E587" s="178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178"/>
      <c r="B588" s="178"/>
      <c r="C588" s="178"/>
      <c r="D588" s="178"/>
      <c r="E588" s="178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178"/>
      <c r="B589" s="178"/>
      <c r="C589" s="178"/>
      <c r="D589" s="178"/>
      <c r="E589" s="178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178"/>
      <c r="B590" s="178"/>
      <c r="C590" s="178"/>
      <c r="D590" s="178"/>
      <c r="E590" s="178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178"/>
      <c r="B591" s="178"/>
      <c r="C591" s="178"/>
      <c r="D591" s="178"/>
      <c r="E591" s="178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178"/>
      <c r="B592" s="178"/>
      <c r="C592" s="178"/>
      <c r="D592" s="178"/>
      <c r="E592" s="178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178"/>
      <c r="B593" s="178"/>
      <c r="C593" s="178"/>
      <c r="D593" s="178"/>
      <c r="E593" s="178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178"/>
      <c r="B594" s="178"/>
      <c r="C594" s="178"/>
      <c r="D594" s="178"/>
      <c r="E594" s="178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178"/>
      <c r="B595" s="178"/>
      <c r="C595" s="178"/>
      <c r="D595" s="178"/>
      <c r="E595" s="178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178"/>
      <c r="B596" s="178"/>
      <c r="C596" s="178"/>
      <c r="D596" s="178"/>
      <c r="E596" s="178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178"/>
      <c r="B597" s="178"/>
      <c r="C597" s="178"/>
      <c r="D597" s="178"/>
      <c r="E597" s="178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178"/>
      <c r="B598" s="178"/>
      <c r="C598" s="178"/>
      <c r="D598" s="178"/>
      <c r="E598" s="178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178"/>
      <c r="B599" s="178"/>
      <c r="C599" s="178"/>
      <c r="D599" s="178"/>
      <c r="E599" s="178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178"/>
      <c r="B600" s="178"/>
      <c r="C600" s="178"/>
      <c r="D600" s="178"/>
      <c r="E600" s="178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178"/>
      <c r="B601" s="178"/>
      <c r="C601" s="178"/>
      <c r="D601" s="178"/>
      <c r="E601" s="178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178"/>
      <c r="B602" s="178"/>
      <c r="C602" s="178"/>
      <c r="D602" s="178"/>
      <c r="E602" s="178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178"/>
      <c r="B603" s="178"/>
      <c r="C603" s="178"/>
      <c r="D603" s="178"/>
      <c r="E603" s="178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178"/>
      <c r="B604" s="178"/>
      <c r="C604" s="178"/>
      <c r="D604" s="178"/>
      <c r="E604" s="178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178"/>
      <c r="B605" s="178"/>
      <c r="C605" s="178"/>
      <c r="D605" s="178"/>
      <c r="E605" s="178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178"/>
      <c r="B606" s="178"/>
      <c r="C606" s="178"/>
      <c r="D606" s="178"/>
      <c r="E606" s="178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178"/>
      <c r="B607" s="178"/>
      <c r="C607" s="178"/>
      <c r="D607" s="178"/>
      <c r="E607" s="178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178"/>
      <c r="B608" s="178"/>
      <c r="C608" s="178"/>
      <c r="D608" s="178"/>
      <c r="E608" s="178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178"/>
      <c r="B609" s="178"/>
      <c r="C609" s="178"/>
      <c r="D609" s="178"/>
      <c r="E609" s="178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178"/>
      <c r="B610" s="178"/>
      <c r="C610" s="178"/>
      <c r="D610" s="178"/>
      <c r="E610" s="178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178"/>
      <c r="B611" s="178"/>
      <c r="C611" s="178"/>
      <c r="D611" s="178"/>
      <c r="E611" s="178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178"/>
      <c r="B612" s="178"/>
      <c r="C612" s="178"/>
      <c r="D612" s="178"/>
      <c r="E612" s="178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178"/>
      <c r="B613" s="178"/>
      <c r="C613" s="178"/>
      <c r="D613" s="178"/>
      <c r="E613" s="178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178"/>
      <c r="B614" s="178"/>
      <c r="C614" s="178"/>
      <c r="D614" s="178"/>
      <c r="E614" s="178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178"/>
      <c r="B615" s="178"/>
      <c r="C615" s="178"/>
      <c r="D615" s="178"/>
      <c r="E615" s="178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178"/>
      <c r="B616" s="178"/>
      <c r="C616" s="178"/>
      <c r="D616" s="178"/>
      <c r="E616" s="178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178"/>
      <c r="B617" s="178"/>
      <c r="C617" s="178"/>
      <c r="D617" s="178"/>
      <c r="E617" s="178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178"/>
      <c r="B618" s="178"/>
      <c r="C618" s="178"/>
      <c r="D618" s="178"/>
      <c r="E618" s="178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178"/>
      <c r="B619" s="178"/>
      <c r="C619" s="178"/>
      <c r="D619" s="178"/>
      <c r="E619" s="178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178"/>
      <c r="B620" s="178"/>
      <c r="C620" s="178"/>
      <c r="D620" s="178"/>
      <c r="E620" s="178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178"/>
      <c r="B621" s="178"/>
      <c r="C621" s="178"/>
      <c r="D621" s="178"/>
      <c r="E621" s="178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178"/>
      <c r="B622" s="178"/>
      <c r="C622" s="178"/>
      <c r="D622" s="178"/>
      <c r="E622" s="178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178"/>
      <c r="B623" s="178"/>
      <c r="C623" s="178"/>
      <c r="D623" s="178"/>
      <c r="E623" s="178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178"/>
      <c r="B624" s="178"/>
      <c r="C624" s="178"/>
      <c r="D624" s="178"/>
      <c r="E624" s="178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178"/>
      <c r="B625" s="178"/>
      <c r="C625" s="178"/>
      <c r="D625" s="178"/>
      <c r="E625" s="178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178"/>
      <c r="B626" s="178"/>
      <c r="C626" s="178"/>
      <c r="D626" s="178"/>
      <c r="E626" s="178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178"/>
      <c r="B627" s="178"/>
      <c r="C627" s="178"/>
      <c r="D627" s="178"/>
      <c r="E627" s="178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178"/>
      <c r="B628" s="178"/>
      <c r="C628" s="178"/>
      <c r="D628" s="178"/>
      <c r="E628" s="178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178"/>
      <c r="B629" s="178"/>
      <c r="C629" s="178"/>
      <c r="D629" s="178"/>
      <c r="E629" s="178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178"/>
      <c r="B630" s="178"/>
      <c r="C630" s="178"/>
      <c r="D630" s="178"/>
      <c r="E630" s="178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178"/>
      <c r="B631" s="178"/>
      <c r="C631" s="178"/>
      <c r="D631" s="178"/>
      <c r="E631" s="178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178"/>
      <c r="B632" s="178"/>
      <c r="C632" s="178"/>
      <c r="D632" s="178"/>
      <c r="E632" s="178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178"/>
      <c r="B633" s="178"/>
      <c r="C633" s="178"/>
      <c r="D633" s="178"/>
      <c r="E633" s="178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178"/>
      <c r="B634" s="178"/>
      <c r="C634" s="178"/>
      <c r="D634" s="178"/>
      <c r="E634" s="178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178"/>
      <c r="B635" s="178"/>
      <c r="C635" s="178"/>
      <c r="D635" s="178"/>
      <c r="E635" s="178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178"/>
      <c r="B636" s="178"/>
      <c r="C636" s="178"/>
      <c r="D636" s="178"/>
      <c r="E636" s="178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178"/>
      <c r="B637" s="178"/>
      <c r="C637" s="178"/>
      <c r="D637" s="178"/>
      <c r="E637" s="178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178"/>
      <c r="B638" s="178"/>
      <c r="C638" s="178"/>
      <c r="D638" s="178"/>
      <c r="E638" s="178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178"/>
      <c r="B639" s="178"/>
      <c r="C639" s="178"/>
      <c r="D639" s="178"/>
      <c r="E639" s="178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178"/>
      <c r="B640" s="178"/>
      <c r="C640" s="178"/>
      <c r="D640" s="178"/>
      <c r="E640" s="178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178"/>
      <c r="B641" s="178"/>
      <c r="C641" s="178"/>
      <c r="D641" s="178"/>
      <c r="E641" s="178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178"/>
      <c r="B642" s="178"/>
      <c r="C642" s="178"/>
      <c r="D642" s="178"/>
      <c r="E642" s="178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178"/>
      <c r="B643" s="178"/>
      <c r="C643" s="178"/>
      <c r="D643" s="178"/>
      <c r="E643" s="178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178"/>
      <c r="B644" s="178"/>
      <c r="C644" s="178"/>
      <c r="D644" s="178"/>
      <c r="E644" s="178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178"/>
      <c r="B645" s="178"/>
      <c r="C645" s="178"/>
      <c r="D645" s="178"/>
      <c r="E645" s="178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178"/>
      <c r="B646" s="178"/>
      <c r="C646" s="178"/>
      <c r="D646" s="178"/>
      <c r="E646" s="178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178"/>
      <c r="B647" s="178"/>
      <c r="C647" s="178"/>
      <c r="D647" s="178"/>
      <c r="E647" s="178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178"/>
      <c r="B648" s="178"/>
      <c r="C648" s="178"/>
      <c r="D648" s="178"/>
      <c r="E648" s="178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178"/>
      <c r="B649" s="178"/>
      <c r="C649" s="178"/>
      <c r="D649" s="178"/>
      <c r="E649" s="178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178"/>
      <c r="B650" s="178"/>
      <c r="C650" s="178"/>
      <c r="D650" s="178"/>
      <c r="E650" s="178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178"/>
      <c r="B651" s="178"/>
      <c r="C651" s="178"/>
      <c r="D651" s="178"/>
      <c r="E651" s="178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178"/>
      <c r="B652" s="178"/>
      <c r="C652" s="178"/>
      <c r="D652" s="178"/>
      <c r="E652" s="178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178"/>
      <c r="B653" s="178"/>
      <c r="C653" s="178"/>
      <c r="D653" s="178"/>
      <c r="E653" s="178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178"/>
      <c r="B654" s="178"/>
      <c r="C654" s="178"/>
      <c r="D654" s="178"/>
      <c r="E654" s="178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178"/>
      <c r="B655" s="178"/>
      <c r="C655" s="178"/>
      <c r="D655" s="178"/>
      <c r="E655" s="178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178"/>
      <c r="B656" s="178"/>
      <c r="C656" s="178"/>
      <c r="D656" s="178"/>
      <c r="E656" s="178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178"/>
      <c r="B657" s="178"/>
      <c r="C657" s="178"/>
      <c r="D657" s="178"/>
      <c r="E657" s="178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178"/>
      <c r="B658" s="178"/>
      <c r="C658" s="178"/>
      <c r="D658" s="178"/>
      <c r="E658" s="178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178"/>
      <c r="B659" s="178"/>
      <c r="C659" s="178"/>
      <c r="D659" s="178"/>
      <c r="E659" s="178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178"/>
      <c r="B660" s="178"/>
      <c r="C660" s="178"/>
      <c r="D660" s="178"/>
      <c r="E660" s="178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178"/>
      <c r="B661" s="178"/>
      <c r="C661" s="178"/>
      <c r="D661" s="178"/>
      <c r="E661" s="178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178"/>
      <c r="B662" s="178"/>
      <c r="C662" s="178"/>
      <c r="D662" s="178"/>
      <c r="E662" s="178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178"/>
      <c r="B663" s="178"/>
      <c r="C663" s="178"/>
      <c r="D663" s="178"/>
      <c r="E663" s="178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178"/>
      <c r="B664" s="178"/>
      <c r="C664" s="178"/>
      <c r="D664" s="178"/>
      <c r="E664" s="178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178"/>
      <c r="B665" s="178"/>
      <c r="C665" s="178"/>
      <c r="D665" s="178"/>
      <c r="E665" s="178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178"/>
      <c r="B666" s="178"/>
      <c r="C666" s="178"/>
      <c r="D666" s="178"/>
      <c r="E666" s="178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178"/>
      <c r="B667" s="178"/>
      <c r="C667" s="178"/>
      <c r="D667" s="178"/>
      <c r="E667" s="178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178"/>
      <c r="B668" s="178"/>
      <c r="C668" s="178"/>
      <c r="D668" s="178"/>
      <c r="E668" s="178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178"/>
      <c r="B669" s="178"/>
      <c r="C669" s="178"/>
      <c r="D669" s="178"/>
      <c r="E669" s="178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178"/>
      <c r="B670" s="178"/>
      <c r="C670" s="178"/>
      <c r="D670" s="178"/>
      <c r="E670" s="178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178"/>
      <c r="B671" s="178"/>
      <c r="C671" s="178"/>
      <c r="D671" s="178"/>
      <c r="E671" s="178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178"/>
      <c r="B672" s="178"/>
      <c r="C672" s="178"/>
      <c r="D672" s="178"/>
      <c r="E672" s="178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178"/>
      <c r="B673" s="178"/>
      <c r="C673" s="178"/>
      <c r="D673" s="178"/>
      <c r="E673" s="178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178"/>
      <c r="B674" s="178"/>
      <c r="C674" s="178"/>
      <c r="D674" s="178"/>
      <c r="E674" s="178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178"/>
      <c r="B675" s="178"/>
      <c r="C675" s="178"/>
      <c r="D675" s="178"/>
      <c r="E675" s="178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178"/>
      <c r="B676" s="178"/>
      <c r="C676" s="178"/>
      <c r="D676" s="178"/>
      <c r="E676" s="178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178"/>
      <c r="B677" s="178"/>
      <c r="C677" s="178"/>
      <c r="D677" s="178"/>
      <c r="E677" s="178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178"/>
      <c r="B678" s="178"/>
      <c r="C678" s="178"/>
      <c r="D678" s="178"/>
      <c r="E678" s="178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178"/>
      <c r="B679" s="178"/>
      <c r="C679" s="178"/>
      <c r="D679" s="178"/>
      <c r="E679" s="178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178"/>
      <c r="B680" s="178"/>
      <c r="C680" s="178"/>
      <c r="D680" s="178"/>
      <c r="E680" s="178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178"/>
      <c r="B681" s="178"/>
      <c r="C681" s="178"/>
      <c r="D681" s="178"/>
      <c r="E681" s="178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178"/>
      <c r="B682" s="178"/>
      <c r="C682" s="178"/>
      <c r="D682" s="178"/>
      <c r="E682" s="178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178"/>
      <c r="B683" s="178"/>
      <c r="C683" s="178"/>
      <c r="D683" s="178"/>
      <c r="E683" s="178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178"/>
      <c r="B684" s="178"/>
      <c r="C684" s="178"/>
      <c r="D684" s="178"/>
      <c r="E684" s="178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178"/>
      <c r="B685" s="178"/>
      <c r="C685" s="178"/>
      <c r="D685" s="178"/>
      <c r="E685" s="178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178"/>
      <c r="B686" s="178"/>
      <c r="C686" s="178"/>
      <c r="D686" s="178"/>
      <c r="E686" s="178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178"/>
      <c r="B687" s="178"/>
      <c r="C687" s="178"/>
      <c r="D687" s="178"/>
      <c r="E687" s="178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178"/>
      <c r="B688" s="178"/>
      <c r="C688" s="178"/>
      <c r="D688" s="178"/>
      <c r="E688" s="178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178"/>
      <c r="B689" s="178"/>
      <c r="C689" s="178"/>
      <c r="D689" s="178"/>
      <c r="E689" s="178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178"/>
      <c r="B690" s="178"/>
      <c r="C690" s="178"/>
      <c r="D690" s="178"/>
      <c r="E690" s="178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178"/>
      <c r="B691" s="178"/>
      <c r="C691" s="178"/>
      <c r="D691" s="178"/>
      <c r="E691" s="178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178"/>
      <c r="B692" s="178"/>
      <c r="C692" s="178"/>
      <c r="D692" s="178"/>
      <c r="E692" s="178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178"/>
      <c r="B693" s="178"/>
      <c r="C693" s="178"/>
      <c r="D693" s="178"/>
      <c r="E693" s="178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178"/>
      <c r="B694" s="178"/>
      <c r="C694" s="178"/>
      <c r="D694" s="178"/>
      <c r="E694" s="178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178"/>
      <c r="B695" s="178"/>
      <c r="C695" s="178"/>
      <c r="D695" s="178"/>
      <c r="E695" s="178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178"/>
      <c r="B696" s="178"/>
      <c r="C696" s="178"/>
      <c r="D696" s="178"/>
      <c r="E696" s="178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178"/>
      <c r="B697" s="178"/>
      <c r="C697" s="178"/>
      <c r="D697" s="178"/>
      <c r="E697" s="178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178"/>
      <c r="B698" s="178"/>
      <c r="C698" s="178"/>
      <c r="D698" s="178"/>
      <c r="E698" s="178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178"/>
      <c r="B699" s="178"/>
      <c r="C699" s="178"/>
      <c r="D699" s="178"/>
      <c r="E699" s="178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178"/>
      <c r="B700" s="178"/>
      <c r="C700" s="178"/>
      <c r="D700" s="178"/>
      <c r="E700" s="178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178"/>
      <c r="B701" s="178"/>
      <c r="C701" s="178"/>
      <c r="D701" s="178"/>
      <c r="E701" s="178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178"/>
      <c r="B702" s="178"/>
      <c r="C702" s="178"/>
      <c r="D702" s="178"/>
      <c r="E702" s="178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178"/>
      <c r="B703" s="178"/>
      <c r="C703" s="178"/>
      <c r="D703" s="178"/>
      <c r="E703" s="178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178"/>
      <c r="B704" s="178"/>
      <c r="C704" s="178"/>
      <c r="D704" s="178"/>
      <c r="E704" s="178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178"/>
      <c r="B705" s="178"/>
      <c r="C705" s="178"/>
      <c r="D705" s="178"/>
      <c r="E705" s="178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178"/>
      <c r="B706" s="178"/>
      <c r="C706" s="178"/>
      <c r="D706" s="178"/>
      <c r="E706" s="178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178"/>
      <c r="B707" s="178"/>
      <c r="C707" s="178"/>
      <c r="D707" s="178"/>
      <c r="E707" s="178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178"/>
      <c r="B708" s="178"/>
      <c r="C708" s="178"/>
      <c r="D708" s="178"/>
      <c r="E708" s="178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178"/>
      <c r="B709" s="178"/>
      <c r="C709" s="178"/>
      <c r="D709" s="178"/>
      <c r="E709" s="178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178"/>
      <c r="B710" s="178"/>
      <c r="C710" s="178"/>
      <c r="D710" s="178"/>
      <c r="E710" s="178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178"/>
      <c r="B711" s="178"/>
      <c r="C711" s="178"/>
      <c r="D711" s="178"/>
      <c r="E711" s="178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178"/>
      <c r="B712" s="178"/>
      <c r="C712" s="178"/>
      <c r="D712" s="178"/>
      <c r="E712" s="178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178"/>
      <c r="B713" s="178"/>
      <c r="C713" s="178"/>
      <c r="D713" s="178"/>
      <c r="E713" s="178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178"/>
      <c r="B714" s="178"/>
      <c r="C714" s="178"/>
      <c r="D714" s="178"/>
      <c r="E714" s="178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178"/>
      <c r="B715" s="178"/>
      <c r="C715" s="178"/>
      <c r="D715" s="178"/>
      <c r="E715" s="178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178"/>
      <c r="B716" s="178"/>
      <c r="C716" s="178"/>
      <c r="D716" s="178"/>
      <c r="E716" s="178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178"/>
      <c r="B717" s="178"/>
      <c r="C717" s="178"/>
      <c r="D717" s="178"/>
      <c r="E717" s="178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178"/>
      <c r="B718" s="178"/>
      <c r="C718" s="178"/>
      <c r="D718" s="178"/>
      <c r="E718" s="178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178"/>
      <c r="B719" s="178"/>
      <c r="C719" s="178"/>
      <c r="D719" s="178"/>
      <c r="E719" s="178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178"/>
      <c r="B720" s="178"/>
      <c r="C720" s="178"/>
      <c r="D720" s="178"/>
      <c r="E720" s="178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178"/>
      <c r="B721" s="178"/>
      <c r="C721" s="178"/>
      <c r="D721" s="178"/>
      <c r="E721" s="178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178"/>
      <c r="B722" s="178"/>
      <c r="C722" s="178"/>
      <c r="D722" s="178"/>
      <c r="E722" s="178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178"/>
      <c r="B723" s="178"/>
      <c r="C723" s="178"/>
      <c r="D723" s="178"/>
      <c r="E723" s="178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178"/>
      <c r="B724" s="178"/>
      <c r="C724" s="178"/>
      <c r="D724" s="178"/>
      <c r="E724" s="178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178"/>
      <c r="B725" s="178"/>
      <c r="C725" s="178"/>
      <c r="D725" s="178"/>
      <c r="E725" s="178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178"/>
      <c r="B726" s="178"/>
      <c r="C726" s="178"/>
      <c r="D726" s="178"/>
      <c r="E726" s="178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178"/>
      <c r="B727" s="178"/>
      <c r="C727" s="178"/>
      <c r="D727" s="178"/>
      <c r="E727" s="178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178"/>
      <c r="B728" s="178"/>
      <c r="C728" s="178"/>
      <c r="D728" s="178"/>
      <c r="E728" s="178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178"/>
      <c r="B729" s="178"/>
      <c r="C729" s="178"/>
      <c r="D729" s="178"/>
      <c r="E729" s="178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178"/>
      <c r="B730" s="178"/>
      <c r="C730" s="178"/>
      <c r="D730" s="178"/>
      <c r="E730" s="178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178"/>
      <c r="B731" s="178"/>
      <c r="C731" s="178"/>
      <c r="D731" s="178"/>
      <c r="E731" s="178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178"/>
      <c r="B732" s="178"/>
      <c r="C732" s="178"/>
      <c r="D732" s="178"/>
      <c r="E732" s="178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178"/>
      <c r="B733" s="178"/>
      <c r="C733" s="178"/>
      <c r="D733" s="178"/>
      <c r="E733" s="178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178"/>
      <c r="B734" s="178"/>
      <c r="C734" s="178"/>
      <c r="D734" s="178"/>
      <c r="E734" s="178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178"/>
      <c r="B735" s="178"/>
      <c r="C735" s="178"/>
      <c r="D735" s="178"/>
      <c r="E735" s="178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178"/>
      <c r="B736" s="178"/>
      <c r="C736" s="178"/>
      <c r="D736" s="178"/>
      <c r="E736" s="178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178"/>
      <c r="B737" s="178"/>
      <c r="C737" s="178"/>
      <c r="D737" s="178"/>
      <c r="E737" s="178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178"/>
      <c r="B738" s="178"/>
      <c r="C738" s="178"/>
      <c r="D738" s="178"/>
      <c r="E738" s="178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178"/>
      <c r="B739" s="178"/>
      <c r="C739" s="178"/>
      <c r="D739" s="178"/>
      <c r="E739" s="178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178"/>
      <c r="B740" s="178"/>
      <c r="C740" s="178"/>
      <c r="D740" s="178"/>
      <c r="E740" s="178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178"/>
      <c r="B741" s="178"/>
      <c r="C741" s="178"/>
      <c r="D741" s="178"/>
      <c r="E741" s="178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178"/>
      <c r="B742" s="178"/>
      <c r="C742" s="178"/>
      <c r="D742" s="178"/>
      <c r="E742" s="178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178"/>
      <c r="B743" s="178"/>
      <c r="C743" s="178"/>
      <c r="D743" s="178"/>
      <c r="E743" s="178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178"/>
      <c r="B744" s="178"/>
      <c r="C744" s="178"/>
      <c r="D744" s="178"/>
      <c r="E744" s="178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178"/>
      <c r="B745" s="178"/>
      <c r="C745" s="178"/>
      <c r="D745" s="178"/>
      <c r="E745" s="178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178"/>
      <c r="B746" s="178"/>
      <c r="C746" s="178"/>
      <c r="D746" s="178"/>
      <c r="E746" s="178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178"/>
      <c r="B747" s="178"/>
      <c r="C747" s="178"/>
      <c r="D747" s="178"/>
      <c r="E747" s="178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178"/>
      <c r="B748" s="178"/>
      <c r="C748" s="178"/>
      <c r="D748" s="178"/>
      <c r="E748" s="178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178"/>
      <c r="B749" s="178"/>
      <c r="C749" s="178"/>
      <c r="D749" s="178"/>
      <c r="E749" s="178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178"/>
      <c r="B750" s="178"/>
      <c r="C750" s="178"/>
      <c r="D750" s="178"/>
      <c r="E750" s="178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178"/>
      <c r="B751" s="178"/>
      <c r="C751" s="178"/>
      <c r="D751" s="178"/>
      <c r="E751" s="178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178"/>
      <c r="B752" s="178"/>
      <c r="C752" s="178"/>
      <c r="D752" s="178"/>
      <c r="E752" s="178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178"/>
      <c r="B753" s="178"/>
      <c r="C753" s="178"/>
      <c r="D753" s="178"/>
      <c r="E753" s="178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178"/>
      <c r="B754" s="178"/>
      <c r="C754" s="178"/>
      <c r="D754" s="178"/>
      <c r="E754" s="178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178"/>
      <c r="B755" s="178"/>
      <c r="C755" s="178"/>
      <c r="D755" s="178"/>
      <c r="E755" s="178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178"/>
      <c r="B756" s="178"/>
      <c r="C756" s="178"/>
      <c r="D756" s="178"/>
      <c r="E756" s="178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178"/>
      <c r="B757" s="178"/>
      <c r="C757" s="178"/>
      <c r="D757" s="178"/>
      <c r="E757" s="178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178"/>
      <c r="B758" s="178"/>
      <c r="C758" s="178"/>
      <c r="D758" s="178"/>
      <c r="E758" s="178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178"/>
      <c r="B759" s="178"/>
      <c r="C759" s="178"/>
      <c r="D759" s="178"/>
      <c r="E759" s="178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178"/>
      <c r="B760" s="178"/>
      <c r="C760" s="178"/>
      <c r="D760" s="178"/>
      <c r="E760" s="178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178"/>
      <c r="B761" s="178"/>
      <c r="C761" s="178"/>
      <c r="D761" s="178"/>
      <c r="E761" s="178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178"/>
      <c r="B762" s="178"/>
      <c r="C762" s="178"/>
      <c r="D762" s="178"/>
      <c r="E762" s="178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178"/>
      <c r="B763" s="178"/>
      <c r="C763" s="178"/>
      <c r="D763" s="178"/>
      <c r="E763" s="178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178"/>
      <c r="B764" s="178"/>
      <c r="C764" s="178"/>
      <c r="D764" s="178"/>
      <c r="E764" s="178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178"/>
      <c r="B765" s="178"/>
      <c r="C765" s="178"/>
      <c r="D765" s="178"/>
      <c r="E765" s="178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178"/>
      <c r="B766" s="178"/>
      <c r="C766" s="178"/>
      <c r="D766" s="178"/>
      <c r="E766" s="178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178"/>
      <c r="B767" s="178"/>
      <c r="C767" s="178"/>
      <c r="D767" s="178"/>
      <c r="E767" s="178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178"/>
      <c r="B768" s="178"/>
      <c r="C768" s="178"/>
      <c r="D768" s="178"/>
      <c r="E768" s="178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178"/>
      <c r="B769" s="178"/>
      <c r="C769" s="178"/>
      <c r="D769" s="178"/>
      <c r="E769" s="178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178"/>
      <c r="B770" s="178"/>
      <c r="C770" s="178"/>
      <c r="D770" s="178"/>
      <c r="E770" s="178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178"/>
      <c r="B771" s="178"/>
      <c r="C771" s="178"/>
      <c r="D771" s="178"/>
      <c r="E771" s="178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178"/>
      <c r="B772" s="178"/>
      <c r="C772" s="178"/>
      <c r="D772" s="178"/>
      <c r="E772" s="178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178"/>
      <c r="B773" s="178"/>
      <c r="C773" s="178"/>
      <c r="D773" s="178"/>
      <c r="E773" s="178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178"/>
      <c r="B774" s="178"/>
      <c r="C774" s="178"/>
      <c r="D774" s="178"/>
      <c r="E774" s="178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178"/>
      <c r="B775" s="178"/>
      <c r="C775" s="178"/>
      <c r="D775" s="178"/>
      <c r="E775" s="178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178"/>
      <c r="B776" s="178"/>
      <c r="C776" s="178"/>
      <c r="D776" s="178"/>
      <c r="E776" s="178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178"/>
      <c r="B777" s="178"/>
      <c r="C777" s="178"/>
      <c r="D777" s="178"/>
      <c r="E777" s="178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178"/>
      <c r="B778" s="178"/>
      <c r="C778" s="178"/>
      <c r="D778" s="178"/>
      <c r="E778" s="178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178"/>
      <c r="B779" s="178"/>
      <c r="C779" s="178"/>
      <c r="D779" s="178"/>
      <c r="E779" s="178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178"/>
      <c r="B780" s="178"/>
      <c r="C780" s="178"/>
      <c r="D780" s="178"/>
      <c r="E780" s="178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178"/>
      <c r="B781" s="178"/>
      <c r="C781" s="178"/>
      <c r="D781" s="178"/>
      <c r="E781" s="178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178"/>
      <c r="B782" s="178"/>
      <c r="C782" s="178"/>
      <c r="D782" s="178"/>
      <c r="E782" s="178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178"/>
      <c r="B783" s="178"/>
      <c r="C783" s="178"/>
      <c r="D783" s="178"/>
      <c r="E783" s="178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178"/>
      <c r="B784" s="178"/>
      <c r="C784" s="178"/>
      <c r="D784" s="178"/>
      <c r="E784" s="178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178"/>
      <c r="B785" s="178"/>
      <c r="C785" s="178"/>
      <c r="D785" s="178"/>
      <c r="E785" s="178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178"/>
      <c r="B786" s="178"/>
      <c r="C786" s="178"/>
      <c r="D786" s="178"/>
      <c r="E786" s="178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178"/>
      <c r="B787" s="178"/>
      <c r="C787" s="178"/>
      <c r="D787" s="178"/>
      <c r="E787" s="178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178"/>
      <c r="B788" s="178"/>
      <c r="C788" s="178"/>
      <c r="D788" s="178"/>
      <c r="E788" s="178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178"/>
      <c r="B789" s="178"/>
      <c r="C789" s="178"/>
      <c r="D789" s="178"/>
      <c r="E789" s="178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178"/>
      <c r="B790" s="178"/>
      <c r="C790" s="178"/>
      <c r="D790" s="178"/>
      <c r="E790" s="178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178"/>
      <c r="B791" s="178"/>
      <c r="C791" s="178"/>
      <c r="D791" s="178"/>
      <c r="E791" s="178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178"/>
      <c r="B792" s="178"/>
      <c r="C792" s="178"/>
      <c r="D792" s="178"/>
      <c r="E792" s="178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178"/>
      <c r="B793" s="178"/>
      <c r="C793" s="178"/>
      <c r="D793" s="178"/>
      <c r="E793" s="178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178"/>
      <c r="B794" s="178"/>
      <c r="C794" s="178"/>
      <c r="D794" s="178"/>
      <c r="E794" s="178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178"/>
      <c r="B795" s="178"/>
      <c r="C795" s="178"/>
      <c r="D795" s="178"/>
      <c r="E795" s="178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178"/>
      <c r="B796" s="178"/>
      <c r="C796" s="178"/>
      <c r="D796" s="178"/>
      <c r="E796" s="178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178"/>
      <c r="B797" s="178"/>
      <c r="C797" s="178"/>
      <c r="D797" s="178"/>
      <c r="E797" s="178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178"/>
      <c r="B798" s="178"/>
      <c r="C798" s="178"/>
      <c r="D798" s="178"/>
      <c r="E798" s="178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178"/>
      <c r="B799" s="178"/>
      <c r="C799" s="178"/>
      <c r="D799" s="178"/>
      <c r="E799" s="178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178"/>
      <c r="B800" s="178"/>
      <c r="C800" s="178"/>
      <c r="D800" s="178"/>
      <c r="E800" s="178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178"/>
      <c r="B801" s="178"/>
      <c r="C801" s="178"/>
      <c r="D801" s="178"/>
      <c r="E801" s="178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178"/>
      <c r="B802" s="178"/>
      <c r="C802" s="178"/>
      <c r="D802" s="178"/>
      <c r="E802" s="178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178"/>
      <c r="B803" s="178"/>
      <c r="C803" s="178"/>
      <c r="D803" s="178"/>
      <c r="E803" s="178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178"/>
      <c r="B804" s="178"/>
      <c r="C804" s="178"/>
      <c r="D804" s="178"/>
      <c r="E804" s="178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178"/>
      <c r="B805" s="178"/>
      <c r="C805" s="178"/>
      <c r="D805" s="178"/>
      <c r="E805" s="178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178"/>
      <c r="B806" s="178"/>
      <c r="C806" s="178"/>
      <c r="D806" s="178"/>
      <c r="E806" s="178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178"/>
      <c r="B807" s="178"/>
      <c r="C807" s="178"/>
      <c r="D807" s="178"/>
      <c r="E807" s="178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178"/>
      <c r="B808" s="178"/>
      <c r="C808" s="178"/>
      <c r="D808" s="178"/>
      <c r="E808" s="178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178"/>
      <c r="B809" s="178"/>
      <c r="C809" s="178"/>
      <c r="D809" s="178"/>
      <c r="E809" s="178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178"/>
      <c r="B810" s="178"/>
      <c r="C810" s="178"/>
      <c r="D810" s="178"/>
      <c r="E810" s="178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178"/>
      <c r="B811" s="178"/>
      <c r="C811" s="178"/>
      <c r="D811" s="178"/>
      <c r="E811" s="178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178"/>
      <c r="B812" s="178"/>
      <c r="C812" s="178"/>
      <c r="D812" s="178"/>
      <c r="E812" s="178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178"/>
      <c r="B813" s="178"/>
      <c r="C813" s="178"/>
      <c r="D813" s="178"/>
      <c r="E813" s="178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178"/>
      <c r="B814" s="178"/>
      <c r="C814" s="178"/>
      <c r="D814" s="178"/>
      <c r="E814" s="178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178"/>
      <c r="B815" s="178"/>
      <c r="C815" s="178"/>
      <c r="D815" s="178"/>
      <c r="E815" s="178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178"/>
      <c r="B816" s="178"/>
      <c r="C816" s="178"/>
      <c r="D816" s="178"/>
      <c r="E816" s="178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178"/>
      <c r="B817" s="178"/>
      <c r="C817" s="178"/>
      <c r="D817" s="178"/>
      <c r="E817" s="178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178"/>
      <c r="B818" s="178"/>
      <c r="C818" s="178"/>
      <c r="D818" s="178"/>
      <c r="E818" s="178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178"/>
      <c r="B819" s="178"/>
      <c r="C819" s="178"/>
      <c r="D819" s="178"/>
      <c r="E819" s="178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178"/>
      <c r="B820" s="178"/>
      <c r="C820" s="178"/>
      <c r="D820" s="178"/>
      <c r="E820" s="178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178"/>
      <c r="B821" s="178"/>
      <c r="C821" s="178"/>
      <c r="D821" s="178"/>
      <c r="E821" s="178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178"/>
      <c r="B822" s="178"/>
      <c r="C822" s="178"/>
      <c r="D822" s="178"/>
      <c r="E822" s="178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178"/>
      <c r="B823" s="178"/>
      <c r="C823" s="178"/>
      <c r="D823" s="178"/>
      <c r="E823" s="178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178"/>
      <c r="B824" s="178"/>
      <c r="C824" s="178"/>
      <c r="D824" s="178"/>
      <c r="E824" s="178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178"/>
      <c r="B825" s="178"/>
      <c r="C825" s="178"/>
      <c r="D825" s="178"/>
      <c r="E825" s="178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178"/>
      <c r="B826" s="178"/>
      <c r="C826" s="178"/>
      <c r="D826" s="178"/>
      <c r="E826" s="178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178"/>
      <c r="B827" s="178"/>
      <c r="C827" s="178"/>
      <c r="D827" s="178"/>
      <c r="E827" s="178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178"/>
      <c r="B828" s="178"/>
      <c r="C828" s="178"/>
      <c r="D828" s="178"/>
      <c r="E828" s="178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178"/>
      <c r="B829" s="178"/>
      <c r="C829" s="178"/>
      <c r="D829" s="178"/>
      <c r="E829" s="178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178"/>
      <c r="B830" s="178"/>
      <c r="C830" s="178"/>
      <c r="D830" s="178"/>
      <c r="E830" s="178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178"/>
      <c r="B831" s="178"/>
      <c r="C831" s="178"/>
      <c r="D831" s="178"/>
      <c r="E831" s="178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178"/>
      <c r="B832" s="178"/>
      <c r="C832" s="178"/>
      <c r="D832" s="178"/>
      <c r="E832" s="178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178"/>
      <c r="B833" s="178"/>
      <c r="C833" s="178"/>
      <c r="D833" s="178"/>
      <c r="E833" s="178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178"/>
      <c r="B834" s="178"/>
      <c r="C834" s="178"/>
      <c r="D834" s="178"/>
      <c r="E834" s="178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178"/>
      <c r="B835" s="178"/>
      <c r="C835" s="178"/>
      <c r="D835" s="178"/>
      <c r="E835" s="178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178"/>
      <c r="B836" s="178"/>
      <c r="C836" s="178"/>
      <c r="D836" s="178"/>
      <c r="E836" s="178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178"/>
      <c r="B837" s="178"/>
      <c r="C837" s="178"/>
      <c r="D837" s="178"/>
      <c r="E837" s="178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178"/>
      <c r="B838" s="178"/>
      <c r="C838" s="178"/>
      <c r="D838" s="178"/>
      <c r="E838" s="178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178"/>
      <c r="B839" s="178"/>
      <c r="C839" s="178"/>
      <c r="D839" s="178"/>
      <c r="E839" s="178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178"/>
      <c r="B840" s="178"/>
      <c r="C840" s="178"/>
      <c r="D840" s="178"/>
      <c r="E840" s="178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178"/>
      <c r="B841" s="178"/>
      <c r="C841" s="178"/>
      <c r="D841" s="178"/>
      <c r="E841" s="178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178"/>
      <c r="B842" s="178"/>
      <c r="C842" s="178"/>
      <c r="D842" s="178"/>
      <c r="E842" s="178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178"/>
      <c r="B843" s="178"/>
      <c r="C843" s="178"/>
      <c r="D843" s="178"/>
      <c r="E843" s="178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178"/>
      <c r="B844" s="178"/>
      <c r="C844" s="178"/>
      <c r="D844" s="178"/>
      <c r="E844" s="178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178"/>
      <c r="B845" s="178"/>
      <c r="C845" s="178"/>
      <c r="D845" s="178"/>
      <c r="E845" s="178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178"/>
      <c r="B846" s="178"/>
      <c r="C846" s="178"/>
      <c r="D846" s="178"/>
      <c r="E846" s="178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178"/>
      <c r="B847" s="178"/>
      <c r="C847" s="178"/>
      <c r="D847" s="178"/>
      <c r="E847" s="178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178"/>
      <c r="B848" s="178"/>
      <c r="C848" s="178"/>
      <c r="D848" s="178"/>
      <c r="E848" s="178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178"/>
      <c r="B849" s="178"/>
      <c r="C849" s="178"/>
      <c r="D849" s="178"/>
      <c r="E849" s="178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178"/>
      <c r="B850" s="178"/>
      <c r="C850" s="178"/>
      <c r="D850" s="178"/>
      <c r="E850" s="178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178"/>
      <c r="B851" s="178"/>
      <c r="C851" s="178"/>
      <c r="D851" s="178"/>
      <c r="E851" s="178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178"/>
      <c r="B852" s="178"/>
      <c r="C852" s="178"/>
      <c r="D852" s="178"/>
      <c r="E852" s="178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178"/>
      <c r="B853" s="178"/>
      <c r="C853" s="178"/>
      <c r="D853" s="178"/>
      <c r="E853" s="178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178"/>
      <c r="B854" s="178"/>
      <c r="C854" s="178"/>
      <c r="D854" s="178"/>
      <c r="E854" s="178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178"/>
      <c r="B855" s="178"/>
      <c r="C855" s="178"/>
      <c r="D855" s="178"/>
      <c r="E855" s="178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178"/>
      <c r="B856" s="178"/>
      <c r="C856" s="178"/>
      <c r="D856" s="178"/>
      <c r="E856" s="178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178"/>
      <c r="B857" s="178"/>
      <c r="C857" s="178"/>
      <c r="D857" s="178"/>
      <c r="E857" s="178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178"/>
      <c r="B858" s="178"/>
      <c r="C858" s="178"/>
      <c r="D858" s="178"/>
      <c r="E858" s="178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178"/>
      <c r="B859" s="178"/>
      <c r="C859" s="178"/>
      <c r="D859" s="178"/>
      <c r="E859" s="178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178"/>
      <c r="B860" s="178"/>
      <c r="C860" s="178"/>
      <c r="D860" s="178"/>
      <c r="E860" s="178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178"/>
      <c r="B861" s="178"/>
      <c r="C861" s="178"/>
      <c r="D861" s="178"/>
      <c r="E861" s="178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178"/>
      <c r="B862" s="178"/>
      <c r="C862" s="178"/>
      <c r="D862" s="178"/>
      <c r="E862" s="178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178"/>
      <c r="B863" s="178"/>
      <c r="C863" s="178"/>
      <c r="D863" s="178"/>
      <c r="E863" s="178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178"/>
      <c r="B864" s="178"/>
      <c r="C864" s="178"/>
      <c r="D864" s="178"/>
      <c r="E864" s="178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178"/>
      <c r="B865" s="178"/>
      <c r="C865" s="178"/>
      <c r="D865" s="178"/>
      <c r="E865" s="178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178"/>
      <c r="B866" s="178"/>
      <c r="C866" s="178"/>
      <c r="D866" s="178"/>
      <c r="E866" s="178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178"/>
      <c r="B867" s="178"/>
      <c r="C867" s="178"/>
      <c r="D867" s="178"/>
      <c r="E867" s="178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178"/>
      <c r="B868" s="178"/>
      <c r="C868" s="178"/>
      <c r="D868" s="178"/>
      <c r="E868" s="178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178"/>
      <c r="B869" s="178"/>
      <c r="C869" s="178"/>
      <c r="D869" s="178"/>
      <c r="E869" s="178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178"/>
      <c r="B870" s="178"/>
      <c r="C870" s="178"/>
      <c r="D870" s="178"/>
      <c r="E870" s="178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178"/>
      <c r="B871" s="178"/>
      <c r="C871" s="178"/>
      <c r="D871" s="178"/>
      <c r="E871" s="178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178"/>
      <c r="B872" s="178"/>
      <c r="C872" s="178"/>
      <c r="D872" s="178"/>
      <c r="E872" s="178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178"/>
      <c r="B873" s="178"/>
      <c r="C873" s="178"/>
      <c r="D873" s="178"/>
      <c r="E873" s="178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178"/>
      <c r="B874" s="178"/>
      <c r="C874" s="178"/>
      <c r="D874" s="178"/>
      <c r="E874" s="178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178"/>
      <c r="B875" s="178"/>
      <c r="C875" s="178"/>
      <c r="D875" s="178"/>
      <c r="E875" s="178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178"/>
      <c r="B876" s="178"/>
      <c r="C876" s="178"/>
      <c r="D876" s="178"/>
      <c r="E876" s="178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178"/>
      <c r="B877" s="178"/>
      <c r="C877" s="178"/>
      <c r="D877" s="178"/>
      <c r="E877" s="178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178"/>
      <c r="B878" s="178"/>
      <c r="C878" s="178"/>
      <c r="D878" s="178"/>
      <c r="E878" s="178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178"/>
      <c r="B879" s="178"/>
      <c r="C879" s="178"/>
      <c r="D879" s="178"/>
      <c r="E879" s="178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178"/>
      <c r="B880" s="178"/>
      <c r="C880" s="178"/>
      <c r="D880" s="178"/>
      <c r="E880" s="178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178"/>
      <c r="B881" s="178"/>
      <c r="C881" s="178"/>
      <c r="D881" s="178"/>
      <c r="E881" s="178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178"/>
      <c r="B882" s="178"/>
      <c r="C882" s="178"/>
      <c r="D882" s="178"/>
      <c r="E882" s="178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178"/>
      <c r="B883" s="178"/>
      <c r="C883" s="178"/>
      <c r="D883" s="178"/>
      <c r="E883" s="178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178"/>
      <c r="B884" s="178"/>
      <c r="C884" s="178"/>
      <c r="D884" s="178"/>
      <c r="E884" s="178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178"/>
      <c r="B885" s="178"/>
      <c r="C885" s="178"/>
      <c r="D885" s="178"/>
      <c r="E885" s="178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178"/>
      <c r="B886" s="178"/>
      <c r="C886" s="178"/>
      <c r="D886" s="178"/>
      <c r="E886" s="178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178"/>
      <c r="B887" s="178"/>
      <c r="C887" s="178"/>
      <c r="D887" s="178"/>
      <c r="E887" s="178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178"/>
      <c r="B888" s="178"/>
      <c r="C888" s="178"/>
      <c r="D888" s="178"/>
      <c r="E888" s="178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178"/>
      <c r="B889" s="178"/>
      <c r="C889" s="178"/>
      <c r="D889" s="178"/>
      <c r="E889" s="178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178"/>
      <c r="B890" s="178"/>
      <c r="C890" s="178"/>
      <c r="D890" s="178"/>
      <c r="E890" s="178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178"/>
      <c r="B891" s="178"/>
      <c r="C891" s="178"/>
      <c r="D891" s="178"/>
      <c r="E891" s="178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178"/>
      <c r="B892" s="178"/>
      <c r="C892" s="178"/>
      <c r="D892" s="178"/>
      <c r="E892" s="178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178"/>
      <c r="B893" s="178"/>
      <c r="C893" s="178"/>
      <c r="D893" s="178"/>
      <c r="E893" s="178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178"/>
      <c r="B894" s="178"/>
      <c r="C894" s="178"/>
      <c r="D894" s="178"/>
      <c r="E894" s="178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178"/>
      <c r="B895" s="178"/>
      <c r="C895" s="178"/>
      <c r="D895" s="178"/>
      <c r="E895" s="178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178"/>
      <c r="B896" s="178"/>
      <c r="C896" s="178"/>
      <c r="D896" s="178"/>
      <c r="E896" s="178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178"/>
      <c r="B897" s="178"/>
      <c r="C897" s="178"/>
      <c r="D897" s="178"/>
      <c r="E897" s="178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178"/>
      <c r="B898" s="178"/>
      <c r="C898" s="178"/>
      <c r="D898" s="178"/>
      <c r="E898" s="178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178"/>
      <c r="B899" s="178"/>
      <c r="C899" s="178"/>
      <c r="D899" s="178"/>
      <c r="E899" s="178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178"/>
      <c r="B900" s="178"/>
      <c r="C900" s="178"/>
      <c r="D900" s="178"/>
      <c r="E900" s="178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178"/>
      <c r="B901" s="178"/>
      <c r="C901" s="178"/>
      <c r="D901" s="178"/>
      <c r="E901" s="178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178"/>
      <c r="B902" s="178"/>
      <c r="C902" s="178"/>
      <c r="D902" s="178"/>
      <c r="E902" s="178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178"/>
      <c r="B903" s="178"/>
      <c r="C903" s="178"/>
      <c r="D903" s="178"/>
      <c r="E903" s="178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178"/>
      <c r="B904" s="178"/>
      <c r="C904" s="178"/>
      <c r="D904" s="178"/>
      <c r="E904" s="178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178"/>
      <c r="B905" s="178"/>
      <c r="C905" s="178"/>
      <c r="D905" s="178"/>
      <c r="E905" s="178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178"/>
      <c r="B906" s="178"/>
      <c r="C906" s="178"/>
      <c r="D906" s="178"/>
      <c r="E906" s="178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178"/>
      <c r="B907" s="178"/>
      <c r="C907" s="178"/>
      <c r="D907" s="178"/>
      <c r="E907" s="178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178"/>
      <c r="B908" s="178"/>
      <c r="C908" s="178"/>
      <c r="D908" s="178"/>
      <c r="E908" s="178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178"/>
      <c r="B909" s="178"/>
      <c r="C909" s="178"/>
      <c r="D909" s="178"/>
      <c r="E909" s="178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178"/>
      <c r="B910" s="178"/>
      <c r="C910" s="178"/>
      <c r="D910" s="178"/>
      <c r="E910" s="178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178"/>
      <c r="B911" s="178"/>
      <c r="C911" s="178"/>
      <c r="D911" s="178"/>
      <c r="E911" s="178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178"/>
      <c r="B912" s="178"/>
      <c r="C912" s="178"/>
      <c r="D912" s="178"/>
      <c r="E912" s="178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178"/>
      <c r="B913" s="178"/>
      <c r="C913" s="178"/>
      <c r="D913" s="178"/>
      <c r="E913" s="178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178"/>
      <c r="B914" s="178"/>
      <c r="C914" s="178"/>
      <c r="D914" s="178"/>
      <c r="E914" s="178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178"/>
      <c r="B915" s="178"/>
      <c r="C915" s="178"/>
      <c r="D915" s="178"/>
      <c r="E915" s="178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178"/>
      <c r="B916" s="178"/>
      <c r="C916" s="178"/>
      <c r="D916" s="178"/>
      <c r="E916" s="178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178"/>
      <c r="B917" s="178"/>
      <c r="C917" s="178"/>
      <c r="D917" s="178"/>
      <c r="E917" s="178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178"/>
      <c r="B918" s="178"/>
      <c r="C918" s="178"/>
      <c r="D918" s="178"/>
      <c r="E918" s="178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178"/>
      <c r="B919" s="178"/>
      <c r="C919" s="178"/>
      <c r="D919" s="178"/>
      <c r="E919" s="178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178"/>
      <c r="B920" s="178"/>
      <c r="C920" s="178"/>
      <c r="D920" s="178"/>
      <c r="E920" s="178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178"/>
      <c r="B921" s="178"/>
      <c r="C921" s="178"/>
      <c r="D921" s="178"/>
      <c r="E921" s="178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178"/>
      <c r="B922" s="178"/>
      <c r="C922" s="178"/>
      <c r="D922" s="178"/>
      <c r="E922" s="178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178"/>
      <c r="B923" s="178"/>
      <c r="C923" s="178"/>
      <c r="D923" s="178"/>
      <c r="E923" s="178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178"/>
      <c r="B924" s="178"/>
      <c r="C924" s="178"/>
      <c r="D924" s="178"/>
      <c r="E924" s="178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178"/>
      <c r="B925" s="178"/>
      <c r="C925" s="178"/>
      <c r="D925" s="178"/>
      <c r="E925" s="178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178"/>
      <c r="B926" s="178"/>
      <c r="C926" s="178"/>
      <c r="D926" s="178"/>
      <c r="E926" s="178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178"/>
      <c r="B927" s="178"/>
      <c r="C927" s="178"/>
      <c r="D927" s="178"/>
      <c r="E927" s="178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178"/>
      <c r="B928" s="178"/>
      <c r="C928" s="178"/>
      <c r="D928" s="178"/>
      <c r="E928" s="178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178"/>
      <c r="B929" s="178"/>
      <c r="C929" s="178"/>
      <c r="D929" s="178"/>
      <c r="E929" s="178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178"/>
      <c r="B930" s="178"/>
      <c r="C930" s="178"/>
      <c r="D930" s="178"/>
      <c r="E930" s="178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178"/>
      <c r="B931" s="178"/>
      <c r="C931" s="178"/>
      <c r="D931" s="178"/>
      <c r="E931" s="178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178"/>
      <c r="B932" s="178"/>
      <c r="C932" s="178"/>
      <c r="D932" s="178"/>
      <c r="E932" s="178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178"/>
      <c r="B933" s="178"/>
      <c r="C933" s="178"/>
      <c r="D933" s="178"/>
      <c r="E933" s="178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178"/>
      <c r="B934" s="178"/>
      <c r="C934" s="178"/>
      <c r="D934" s="178"/>
      <c r="E934" s="178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178"/>
      <c r="B935" s="178"/>
      <c r="C935" s="178"/>
      <c r="D935" s="178"/>
      <c r="E935" s="178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178"/>
      <c r="B936" s="178"/>
      <c r="C936" s="178"/>
      <c r="D936" s="178"/>
      <c r="E936" s="178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178"/>
      <c r="B937" s="178"/>
      <c r="C937" s="178"/>
      <c r="D937" s="178"/>
      <c r="E937" s="178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178"/>
      <c r="B938" s="178"/>
      <c r="C938" s="178"/>
      <c r="D938" s="178"/>
      <c r="E938" s="178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178"/>
      <c r="B939" s="178"/>
      <c r="C939" s="178"/>
      <c r="D939" s="178"/>
      <c r="E939" s="178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178"/>
      <c r="B940" s="178"/>
      <c r="C940" s="178"/>
      <c r="D940" s="178"/>
      <c r="E940" s="178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178"/>
      <c r="B941" s="178"/>
      <c r="C941" s="178"/>
      <c r="D941" s="178"/>
      <c r="E941" s="178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178"/>
      <c r="B942" s="178"/>
      <c r="C942" s="178"/>
      <c r="D942" s="178"/>
      <c r="E942" s="178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178"/>
      <c r="B943" s="178"/>
      <c r="C943" s="178"/>
      <c r="D943" s="178"/>
      <c r="E943" s="178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178"/>
      <c r="B944" s="178"/>
      <c r="C944" s="178"/>
      <c r="D944" s="178"/>
      <c r="E944" s="178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178"/>
      <c r="B945" s="178"/>
      <c r="C945" s="178"/>
      <c r="D945" s="178"/>
      <c r="E945" s="178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178"/>
      <c r="B946" s="178"/>
      <c r="C946" s="178"/>
      <c r="D946" s="178"/>
      <c r="E946" s="178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178"/>
      <c r="B947" s="178"/>
      <c r="C947" s="178"/>
      <c r="D947" s="178"/>
      <c r="E947" s="178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178"/>
      <c r="B948" s="178"/>
      <c r="C948" s="178"/>
      <c r="D948" s="178"/>
      <c r="E948" s="178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178"/>
      <c r="B949" s="178"/>
      <c r="C949" s="178"/>
      <c r="D949" s="178"/>
      <c r="E949" s="178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178"/>
      <c r="B950" s="178"/>
      <c r="C950" s="178"/>
      <c r="D950" s="178"/>
      <c r="E950" s="178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178"/>
      <c r="B951" s="178"/>
      <c r="C951" s="178"/>
      <c r="D951" s="178"/>
      <c r="E951" s="178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178"/>
      <c r="B952" s="178"/>
      <c r="C952" s="178"/>
      <c r="D952" s="178"/>
      <c r="E952" s="178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178"/>
      <c r="B953" s="178"/>
      <c r="C953" s="178"/>
      <c r="D953" s="178"/>
      <c r="E953" s="178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178"/>
      <c r="B954" s="178"/>
      <c r="C954" s="178"/>
      <c r="D954" s="178"/>
      <c r="E954" s="178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178"/>
      <c r="B955" s="178"/>
      <c r="C955" s="178"/>
      <c r="D955" s="178"/>
      <c r="E955" s="178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178"/>
      <c r="B956" s="178"/>
      <c r="C956" s="178"/>
      <c r="D956" s="178"/>
      <c r="E956" s="178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178"/>
      <c r="B957" s="178"/>
      <c r="C957" s="178"/>
      <c r="D957" s="178"/>
      <c r="E957" s="178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178"/>
      <c r="B958" s="178"/>
      <c r="C958" s="178"/>
      <c r="D958" s="178"/>
      <c r="E958" s="178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178"/>
      <c r="B959" s="178"/>
      <c r="C959" s="178"/>
      <c r="D959" s="178"/>
      <c r="E959" s="178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178"/>
      <c r="B960" s="178"/>
      <c r="C960" s="178"/>
      <c r="D960" s="178"/>
      <c r="E960" s="178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178"/>
      <c r="B961" s="178"/>
      <c r="C961" s="178"/>
      <c r="D961" s="178"/>
      <c r="E961" s="178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178"/>
      <c r="B962" s="178"/>
      <c r="C962" s="178"/>
      <c r="D962" s="178"/>
      <c r="E962" s="178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178"/>
      <c r="B963" s="178"/>
      <c r="C963" s="178"/>
      <c r="D963" s="178"/>
      <c r="E963" s="178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178"/>
      <c r="B964" s="178"/>
      <c r="C964" s="178"/>
      <c r="D964" s="178"/>
      <c r="E964" s="178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178"/>
      <c r="B965" s="178"/>
      <c r="C965" s="178"/>
      <c r="D965" s="178"/>
      <c r="E965" s="178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178"/>
      <c r="B966" s="178"/>
      <c r="C966" s="178"/>
      <c r="D966" s="178"/>
      <c r="E966" s="178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178"/>
      <c r="B967" s="178"/>
      <c r="C967" s="178"/>
      <c r="D967" s="178"/>
      <c r="E967" s="178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178"/>
      <c r="B968" s="178"/>
      <c r="C968" s="178"/>
      <c r="D968" s="178"/>
      <c r="E968" s="178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178"/>
      <c r="B969" s="178"/>
      <c r="C969" s="178"/>
      <c r="D969" s="178"/>
      <c r="E969" s="178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178"/>
      <c r="B970" s="178"/>
      <c r="C970" s="178"/>
      <c r="D970" s="178"/>
      <c r="E970" s="178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178"/>
      <c r="B971" s="178"/>
      <c r="C971" s="178"/>
      <c r="D971" s="178"/>
      <c r="E971" s="178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178"/>
      <c r="B972" s="178"/>
      <c r="C972" s="178"/>
      <c r="D972" s="178"/>
      <c r="E972" s="178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178"/>
      <c r="B973" s="178"/>
      <c r="C973" s="178"/>
      <c r="D973" s="178"/>
      <c r="E973" s="178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178"/>
      <c r="B974" s="178"/>
      <c r="C974" s="178"/>
      <c r="D974" s="178"/>
      <c r="E974" s="178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178"/>
      <c r="B975" s="178"/>
      <c r="C975" s="178"/>
      <c r="D975" s="178"/>
      <c r="E975" s="178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178"/>
      <c r="B976" s="178"/>
      <c r="C976" s="178"/>
      <c r="D976" s="178"/>
      <c r="E976" s="178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178"/>
      <c r="B977" s="178"/>
      <c r="C977" s="178"/>
      <c r="D977" s="178"/>
      <c r="E977" s="178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178"/>
      <c r="B978" s="178"/>
      <c r="C978" s="178"/>
      <c r="D978" s="178"/>
      <c r="E978" s="178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178"/>
      <c r="B979" s="178"/>
      <c r="C979" s="178"/>
      <c r="D979" s="178"/>
      <c r="E979" s="178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178"/>
      <c r="B980" s="178"/>
      <c r="C980" s="178"/>
      <c r="D980" s="178"/>
      <c r="E980" s="178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178"/>
      <c r="B981" s="178"/>
      <c r="C981" s="178"/>
      <c r="D981" s="178"/>
      <c r="E981" s="178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178"/>
      <c r="B982" s="178"/>
      <c r="C982" s="178"/>
      <c r="D982" s="178"/>
      <c r="E982" s="178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178"/>
      <c r="B983" s="178"/>
      <c r="C983" s="178"/>
      <c r="D983" s="178"/>
      <c r="E983" s="178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178"/>
      <c r="B984" s="178"/>
      <c r="C984" s="178"/>
      <c r="D984" s="178"/>
      <c r="E984" s="178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178"/>
      <c r="B985" s="178"/>
      <c r="C985" s="178"/>
      <c r="D985" s="178"/>
      <c r="E985" s="178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178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178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178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42.63"/>
    <col customWidth="1" min="3" max="3" width="16.0"/>
    <col customWidth="1" min="4" max="4" width="24.25"/>
    <col customWidth="1" min="5" max="5" width="10.38"/>
    <col customWidth="1" min="7" max="7" width="76.8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178"/>
      <c r="G1" s="80" t="s">
        <v>5</v>
      </c>
      <c r="H1" s="81">
        <f>H4</f>
        <v>32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146" t="s">
        <v>1591</v>
      </c>
      <c r="B2" s="73" t="str">
        <f t="array" ref="B2">IFERROR(XLOOKUP(A2, BASE!E:E, BASE!B:B), "")
</f>
        <v>LM Hub_SP_Guaratinguetá</v>
      </c>
      <c r="C2" s="73" t="str">
        <f t="array" ref="C2">IFERROR(XLOOKUP(A2, BASE!E:E, BASE!C:C), "")
</f>
        <v>HUB-LSP-33</v>
      </c>
      <c r="D2" s="73">
        <f t="array" ref="D2">IFERROR(XLOOKUP(A2, BASE!E:E, BASE!D:D), "")
</f>
        <v>19</v>
      </c>
      <c r="E2" s="168">
        <f t="array" ref="E2">IFERROR(XLOOKUP(A2, BASE!E:E, BASE!H:H), "")
</f>
        <v>46064.25</v>
      </c>
      <c r="F2" s="178"/>
      <c r="G2" s="82" t="s">
        <v>9</v>
      </c>
      <c r="H2" s="82">
        <f>COUNTIF(C:C,"*LSP*")
</f>
        <v>21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146" t="s">
        <v>1592</v>
      </c>
      <c r="B3" s="73" t="str">
        <f t="array" ref="B3">IFERROR(XLOOKUP(A3, BASE!E:E, BASE!B:B), "")
</f>
        <v>SoC_SP_Louveira</v>
      </c>
      <c r="C3" s="73" t="str">
        <f t="array" ref="C3">IFERROR(XLOOKUP(A3, BASE!E:E, BASE!C:C), "")
</f>
        <v>SOC-SP7</v>
      </c>
      <c r="D3" s="73">
        <f t="array" ref="D3">IFERROR(XLOOKUP(A3, BASE!E:E, BASE!D:D), "")
</f>
        <v>43</v>
      </c>
      <c r="E3" s="168">
        <f t="array" ref="E3">IFERROR(XLOOKUP(A3, BASE!E:E, BASE!H:H), "")
</f>
        <v>46064.25</v>
      </c>
      <c r="F3" s="178"/>
      <c r="G3" s="82" t="s">
        <v>13</v>
      </c>
      <c r="H3" s="82">
        <f>COUNTIF(C:C,"*SOC*")
</f>
        <v>12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146" t="s">
        <v>1593</v>
      </c>
      <c r="B4" s="73" t="str">
        <f t="array" ref="B4">IFERROR(XLOOKUP(A4, BASE!E:E, BASE!B:B), "")
</f>
        <v>LM Hub_SP_Registro</v>
      </c>
      <c r="C4" s="73" t="str">
        <f t="array" ref="C4">IFERROR(XLOOKUP(A4, BASE!E:E, BASE!C:C), "")
</f>
        <v>HUB-LSP-40</v>
      </c>
      <c r="D4" s="73">
        <f t="array" ref="D4">IFERROR(XLOOKUP(A4, BASE!E:E, BASE!D:D), "")
</f>
        <v>35</v>
      </c>
      <c r="E4" s="168">
        <f t="array" ref="E4">IFERROR(XLOOKUP(A4, BASE!E:E, BASE!H:H), "")
</f>
        <v>46064.25</v>
      </c>
      <c r="F4" s="178"/>
      <c r="G4" s="82" t="s">
        <v>810</v>
      </c>
      <c r="H4" s="198">
        <f>COUNTIFS(D:D,"&gt;=5",D:D,"&lt;=117")</f>
        <v>32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46" t="s">
        <v>1594</v>
      </c>
      <c r="B5" s="73" t="str">
        <f t="array" ref="B5">IFERROR(XLOOKUP(A5, BASE!E:E, BASE!B:B), "")
</f>
        <v>LM Hub_SP_São José dos Campos</v>
      </c>
      <c r="C5" s="73" t="str">
        <f t="array" ref="C5">IFERROR(XLOOKUP(A5, BASE!E:E, BASE!C:C), "")
</f>
        <v>HUB-LSP-04</v>
      </c>
      <c r="D5" s="73">
        <f t="array" ref="D5">IFERROR(XLOOKUP(A5, BASE!E:E, BASE!D:D), "")
</f>
        <v>28</v>
      </c>
      <c r="E5" s="168">
        <f t="array" ref="E5">IFERROR(XLOOKUP(A5, BASE!E:E, BASE!H:H), "")
</f>
        <v>46064.25</v>
      </c>
      <c r="F5" s="178"/>
      <c r="G5" s="82" t="s">
        <v>20</v>
      </c>
      <c r="H5" s="82">
        <f>COUNTIF(D:D,"*NÃO DOCOU*")</f>
        <v>0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146" t="s">
        <v>1595</v>
      </c>
      <c r="B6" s="73" t="str">
        <f t="array" ref="B6">IFERROR(XLOOKUP(A6, BASE!E:E, BASE!B:B), "")
</f>
        <v>LM Hub_SP_São José dos Campos</v>
      </c>
      <c r="C6" s="73" t="str">
        <f t="array" ref="C6">IFERROR(XLOOKUP(A6, BASE!E:E, BASE!C:C), "")
</f>
        <v>HUB-LSP-04</v>
      </c>
      <c r="D6" s="73">
        <f t="array" ref="D6">IFERROR(XLOOKUP(A6, BASE!E:E, BASE!D:D), "")
</f>
        <v>18</v>
      </c>
      <c r="E6" s="168">
        <f t="array" ref="E6">IFERROR(XLOOKUP(A6, BASE!E:E, BASE!H:H), "")
</f>
        <v>46064.25</v>
      </c>
      <c r="F6" s="178"/>
      <c r="G6" s="198" t="s">
        <v>25</v>
      </c>
      <c r="H6" s="199">
        <f>COUNTIF(D:D,"*NÃO CHEGOU*")
</f>
        <v>0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146" t="s">
        <v>1596</v>
      </c>
      <c r="B7" s="73" t="str">
        <f t="array" ref="B7">IFERROR(XLOOKUP(A7, BASE!E:E, BASE!B:B), "")
</f>
        <v>LM Hub_SP_Taubaté</v>
      </c>
      <c r="C7" s="73" t="str">
        <f t="array" ref="C7">IFERROR(XLOOKUP(A7, BASE!E:E, BASE!C:C), "")
</f>
        <v>HUB-LSP-08</v>
      </c>
      <c r="D7" s="73">
        <f t="array" ref="D7">IFERROR(XLOOKUP(A7, BASE!E:E, BASE!D:D), "")
</f>
        <v>36</v>
      </c>
      <c r="E7" s="168">
        <f t="array" ref="E7">IFERROR(XLOOKUP(A7, BASE!E:E, BASE!H:H), "")
</f>
        <v>46064.27083</v>
      </c>
      <c r="F7" s="178"/>
      <c r="G7" s="82" t="s">
        <v>815</v>
      </c>
      <c r="H7" s="82">
        <f>COUNTIF(D:D,"*DRIVER DUPLICADO*")</f>
        <v>0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146" t="s">
        <v>1597</v>
      </c>
      <c r="B8" s="73" t="str">
        <f t="array" ref="B8">IFERROR(XLOOKUP(A8, BASE!E:E, BASE!B:B), "")
</f>
        <v>LM Hub_SP_Sorocaba_Região Norte</v>
      </c>
      <c r="C8" s="73" t="str">
        <f t="array" ref="C8">IFERROR(XLOOKUP(A8, BASE!E:E, BASE!C:C), "")
</f>
        <v>HUB-LSP-10</v>
      </c>
      <c r="D8" s="73">
        <f t="array" ref="D8">IFERROR(XLOOKUP(A8, BASE!E:E, BASE!D:D), "")
</f>
        <v>25</v>
      </c>
      <c r="E8" s="168">
        <f t="array" ref="E8">IFERROR(XLOOKUP(A8, BASE!E:E, BASE!H:H), "")
</f>
        <v>46064.27083</v>
      </c>
      <c r="F8" s="178"/>
      <c r="G8" s="82" t="s">
        <v>1429</v>
      </c>
      <c r="H8" s="198">
        <v>9.0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146" t="s">
        <v>1598</v>
      </c>
      <c r="B9" s="73" t="str">
        <f t="array" ref="B9">IFERROR(XLOOKUP(A9, BASE!E:E, BASE!B:B), "")
</f>
        <v>LM Hub_SP_Santos_PraiaGrande_02</v>
      </c>
      <c r="C9" s="73" t="str">
        <f t="array" ref="C9">IFERROR(XLOOKUP(A9, BASE!E:E, BASE!C:C), "")
</f>
        <v>HUB-LSP-63</v>
      </c>
      <c r="D9" s="73">
        <f t="array" ref="D9">IFERROR(XLOOKUP(A9, BASE!E:E, BASE!D:D), "")
</f>
        <v>21</v>
      </c>
      <c r="E9" s="168">
        <f t="array" ref="E9">IFERROR(XLOOKUP(A9, BASE!E:E, BASE!H:H), "")
</f>
        <v>46064.29167</v>
      </c>
      <c r="F9" s="178"/>
      <c r="G9" s="82" t="s">
        <v>1431</v>
      </c>
      <c r="H9" s="198">
        <v>23.0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146" t="s">
        <v>1599</v>
      </c>
      <c r="B10" s="73" t="str">
        <f t="array" ref="B10">IFERROR(XLOOKUP(A10, BASE!E:E, BASE!B:B), "")
</f>
        <v>LM Hub_SP_Barueri_01</v>
      </c>
      <c r="C10" s="73" t="str">
        <f t="array" ref="C10">IFERROR(XLOOKUP(A10, BASE!E:E, BASE!C:C), "")
</f>
        <v>HUB-LSP-81</v>
      </c>
      <c r="D10" s="73">
        <f t="array" ref="D10">IFERROR(XLOOKUP(A10, BASE!E:E, BASE!D:D), "")
</f>
        <v>15</v>
      </c>
      <c r="E10" s="168">
        <f t="array" ref="E10">IFERROR(XLOOKUP(A10, BASE!E:E, BASE!H:H), "")
</f>
        <v>46064.29167</v>
      </c>
      <c r="F10" s="178"/>
      <c r="G10" s="9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146" t="s">
        <v>1600</v>
      </c>
      <c r="B11" s="73" t="str">
        <f t="array" ref="B11">IFERROR(XLOOKUP(A11, BASE!E:E, BASE!B:B), "")
</f>
        <v>LM Hub_SP_Piracicaba</v>
      </c>
      <c r="C11" s="73" t="str">
        <f t="array" ref="C11">IFERROR(XLOOKUP(A11, BASE!E:E, BASE!C:C), "")
</f>
        <v>HUB-LSP-62</v>
      </c>
      <c r="D11" s="73">
        <f t="array" ref="D11">IFERROR(XLOOKUP(A11, BASE!E:E, BASE!D:D), "")
</f>
        <v>24</v>
      </c>
      <c r="E11" s="168">
        <f t="array" ref="E11">IFERROR(XLOOKUP(A11, BASE!E:E, BASE!H:H), "")
</f>
        <v>46064.29167</v>
      </c>
      <c r="F11" s="9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146" t="s">
        <v>1601</v>
      </c>
      <c r="B12" s="73" t="str">
        <f t="array" ref="B12">IFERROR(XLOOKUP(A12, BASE!E:E, BASE!B:B), "")
</f>
        <v>LM Hub_SP_Jundiaí</v>
      </c>
      <c r="C12" s="73" t="str">
        <f t="array" ref="C12">IFERROR(XLOOKUP(A12, BASE!E:E, BASE!C:C), "")
</f>
        <v>HUB-LSP-100</v>
      </c>
      <c r="D12" s="73">
        <f t="array" ref="D12">IFERROR(XLOOKUP(A12, BASE!E:E, BASE!D:D), "")
</f>
        <v>16</v>
      </c>
      <c r="E12" s="168">
        <f t="array" ref="E12">IFERROR(XLOOKUP(A12, BASE!E:E, BASE!H:H), "")
</f>
        <v>46064.29167</v>
      </c>
      <c r="F12" s="178"/>
      <c r="G12" s="84" t="s">
        <v>1548</v>
      </c>
      <c r="H12" s="9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20.25" customHeight="1">
      <c r="A13" s="146" t="s">
        <v>1602</v>
      </c>
      <c r="B13" s="73" t="str">
        <f t="array" ref="B13">IFERROR(XLOOKUP(A13, BASE!E:E, BASE!B:B), "")
</f>
        <v>LM Hub_SP_Itapevi</v>
      </c>
      <c r="C13" s="73" t="str">
        <f t="array" ref="C13">IFERROR(XLOOKUP(A13, BASE!E:E, BASE!C:C), "")
</f>
        <v>HUB-LSP-41</v>
      </c>
      <c r="D13" s="73">
        <f t="array" ref="D13">IFERROR(XLOOKUP(A13, BASE!E:E, BASE!D:D), "")
</f>
        <v>45</v>
      </c>
      <c r="E13" s="168">
        <f t="array" ref="E13">IFERROR(XLOOKUP(A13, BASE!E:E, BASE!H:H), "")
</f>
        <v>46064.3125</v>
      </c>
      <c r="F13" s="178"/>
      <c r="G13" s="187" t="s">
        <v>653</v>
      </c>
      <c r="H13" s="178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146" t="s">
        <v>1603</v>
      </c>
      <c r="B14" s="73" t="str">
        <f t="array" ref="B14">IFERROR(XLOOKUP(A14, BASE!E:E, BASE!B:B), "")
</f>
        <v>LM Hub_SP_Santos_Praia Grande</v>
      </c>
      <c r="C14" s="73" t="str">
        <f t="array" ref="C14">IFERROR(XLOOKUP(A14, BASE!E:E, BASE!C:C), "")
</f>
        <v>HUB-LSP-09</v>
      </c>
      <c r="D14" s="73">
        <f t="array" ref="D14">IFERROR(XLOOKUP(A14, BASE!E:E, BASE!D:D), "")
</f>
        <v>9</v>
      </c>
      <c r="E14" s="168">
        <f t="array" ref="E14">IFERROR(XLOOKUP(A14, BASE!E:E, BASE!H:H), "")
</f>
        <v>46064.3125</v>
      </c>
      <c r="F14" s="178"/>
      <c r="G14" s="178"/>
      <c r="H14" s="178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146" t="s">
        <v>1604</v>
      </c>
      <c r="B15" s="73" t="str">
        <f t="array" ref="B15">IFERROR(XLOOKUP(A15, BASE!E:E, BASE!B:B), "")
</f>
        <v>LM Hub_SP_Várzea Paulista</v>
      </c>
      <c r="C15" s="73" t="str">
        <f t="array" ref="C15">IFERROR(XLOOKUP(A15, BASE!E:E, BASE!C:C), "")
</f>
        <v>HUB-LSP-20</v>
      </c>
      <c r="D15" s="73">
        <f t="array" ref="D15">IFERROR(XLOOKUP(A15, BASE!E:E, BASE!D:D), "")
</f>
        <v>47</v>
      </c>
      <c r="E15" s="168">
        <f t="array" ref="E15">IFERROR(XLOOKUP(A15, BASE!E:E, BASE!H:H), "")
</f>
        <v>46064.3125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146" t="s">
        <v>1605</v>
      </c>
      <c r="B16" s="73" t="str">
        <f t="array" ref="B16">IFERROR(XLOOKUP(A16, BASE!E:E, BASE!B:B), "")
</f>
        <v>LM Hub_SP_Embu das Artes</v>
      </c>
      <c r="C16" s="73" t="str">
        <f t="array" ref="C16">IFERROR(XLOOKUP(A16, BASE!E:E, BASE!C:C), "")
</f>
        <v>HUB-LSP-36</v>
      </c>
      <c r="D16" s="73">
        <f t="array" ref="D16">IFERROR(XLOOKUP(A16, BASE!E:E, BASE!D:D), "")
</f>
        <v>22</v>
      </c>
      <c r="E16" s="168">
        <f t="array" ref="E16">IFERROR(XLOOKUP(A16, BASE!E:E, BASE!H:H), "")
</f>
        <v>46064.33333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146" t="s">
        <v>1606</v>
      </c>
      <c r="B17" s="73" t="str">
        <f t="array" ref="B17">IFERROR(XLOOKUP(A17, BASE!E:E, BASE!B:B), "")
</f>
        <v>LM Hub_SP_Guarulhos</v>
      </c>
      <c r="C17" s="73" t="str">
        <f t="array" ref="C17">IFERROR(XLOOKUP(A17, BASE!E:E, BASE!C:C), "")
</f>
        <v>HUB-LSP-77</v>
      </c>
      <c r="D17" s="73">
        <f t="array" ref="D17">IFERROR(XLOOKUP(A17, BASE!E:E, BASE!D:D), "")
</f>
        <v>16</v>
      </c>
      <c r="E17" s="168">
        <f t="array" ref="E17">IFERROR(XLOOKUP(A17, BASE!E:E, BASE!H:H), "")
</f>
        <v>46064.33333</v>
      </c>
      <c r="F17" s="178"/>
      <c r="G17" s="178"/>
      <c r="H17" s="178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102" t="s">
        <v>1607</v>
      </c>
      <c r="B18" s="73" t="str">
        <f t="array" ref="B18">IFERROR(XLOOKUP(A18, BASE!E:E, BASE!B:B), "")
</f>
        <v>LM Hub_SP_Itaqua_Zimba</v>
      </c>
      <c r="C18" s="73" t="str">
        <f t="array" ref="C18">IFERROR(XLOOKUP(A18, BASE!E:E, BASE!C:C), "")
</f>
        <v>HUB-LSP-74</v>
      </c>
      <c r="D18" s="73">
        <f t="array" ref="D18">IFERROR(XLOOKUP(A18, BASE!E:E, BASE!D:D), "")
</f>
        <v>8</v>
      </c>
      <c r="E18" s="168">
        <f t="array" ref="E18">IFERROR(XLOOKUP(A18, BASE!E:E, BASE!H:H), "")
</f>
        <v>46064.33333</v>
      </c>
      <c r="F18" s="178"/>
      <c r="G18" s="178"/>
      <c r="H18" s="178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146" t="s">
        <v>1608</v>
      </c>
      <c r="B19" s="73" t="str">
        <f t="array" ref="B19">IFERROR(XLOOKUP(A19, BASE!E:E, BASE!B:B), "")
</f>
        <v>LM Hub_SP_Itaqua_Zimba</v>
      </c>
      <c r="C19" s="73" t="str">
        <f t="array" ref="C19">IFERROR(XLOOKUP(A19, BASE!E:E, BASE!C:C), "")
</f>
        <v>HUB-LSP-74</v>
      </c>
      <c r="D19" s="73">
        <f t="array" ref="D19">IFERROR(XLOOKUP(A19, BASE!E:E, BASE!D:D), "")
</f>
        <v>12</v>
      </c>
      <c r="E19" s="168">
        <f t="array" ref="E19">IFERROR(XLOOKUP(A19, BASE!E:E, BASE!H:H), "")
</f>
        <v>46064.33333</v>
      </c>
      <c r="F19" s="178"/>
      <c r="G19" s="178"/>
      <c r="H19" s="178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146" t="s">
        <v>1609</v>
      </c>
      <c r="B20" s="73" t="str">
        <f t="array" ref="B20">IFERROR(XLOOKUP(A20, BASE!E:E, BASE!B:B), "")
</f>
        <v>LM Hub_SP_Jardim Adriana</v>
      </c>
      <c r="C20" s="73" t="str">
        <f t="array" ref="C20">IFERROR(XLOOKUP(A20, BASE!E:E, BASE!C:C), "")
</f>
        <v>HUB-LSP-12</v>
      </c>
      <c r="D20" s="73">
        <v>17.0</v>
      </c>
      <c r="E20" s="168">
        <f t="array" ref="E20">IFERROR(XLOOKUP(A20, BASE!E:E, BASE!H:H), "")
</f>
        <v>46064.33333</v>
      </c>
      <c r="F20" s="178"/>
      <c r="G20" s="178"/>
      <c r="H20" s="178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146" t="s">
        <v>1610</v>
      </c>
      <c r="B21" s="73" t="str">
        <f t="array" ref="B21">IFERROR(XLOOKUP(A21, BASE!E:E, BASE!B:B), "")
</f>
        <v>LM Hub_SP_Osasco_02</v>
      </c>
      <c r="C21" s="73" t="str">
        <f t="array" ref="C21">IFERROR(XLOOKUP(A21, BASE!E:E, BASE!C:C), "")
</f>
        <v>HUB-LSP-60</v>
      </c>
      <c r="D21" s="73">
        <f t="array" ref="D21">IFERROR(XLOOKUP(A21, BASE!E:E, BASE!D:D), "")
</f>
        <v>23</v>
      </c>
      <c r="E21" s="168">
        <f t="array" ref="E21">IFERROR(XLOOKUP(A21, BASE!E:E, BASE!H:H), "")
</f>
        <v>46064.33333</v>
      </c>
      <c r="F21" s="178"/>
      <c r="G21" s="178"/>
      <c r="H21" s="178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146" t="s">
        <v>1611</v>
      </c>
      <c r="B22" s="73" t="str">
        <f t="array" ref="B22">IFERROR(XLOOKUP(A22, BASE!E:E, BASE!B:B), "")
</f>
        <v>SoC_SP_Santana</v>
      </c>
      <c r="C22" s="73" t="str">
        <f t="array" ref="C22">IFERROR(XLOOKUP(A22, BASE!E:E, BASE!C:C), "")
</f>
        <v>SOC-SP2</v>
      </c>
      <c r="D22" s="73">
        <f t="array" ref="D22">IFERROR(XLOOKUP(A22, BASE!E:E, BASE!D:D), "")
</f>
        <v>37</v>
      </c>
      <c r="E22" s="168">
        <f t="array" ref="E22">IFERROR(XLOOKUP(A22, BASE!E:E, BASE!H:H), "")
</f>
        <v>46064.25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146" t="s">
        <v>1612</v>
      </c>
      <c r="B23" s="73" t="str">
        <f t="array" ref="B23">IFERROR(XLOOKUP(A23, BASE!E:E, BASE!B:B), "")
</f>
        <v>LM Hub_SP_São Paulo_Mooca</v>
      </c>
      <c r="C23" s="73" t="str">
        <f t="array" ref="C23">IFERROR(XLOOKUP(A23, BASE!E:E, BASE!C:C), "")
</f>
        <v>HUB-LSP-13</v>
      </c>
      <c r="D23" s="73">
        <f t="array" ref="D23">IFERROR(XLOOKUP(A23, BASE!E:E, BASE!D:D), "")
</f>
        <v>29</v>
      </c>
      <c r="E23" s="168">
        <f t="array" ref="E23">IFERROR(XLOOKUP(A23, BASE!E:E, BASE!H:H), "")
</f>
        <v>46064.3125</v>
      </c>
      <c r="F23" s="178"/>
      <c r="G23" s="178"/>
      <c r="H23" s="178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102" t="s">
        <v>1599</v>
      </c>
      <c r="B24" s="73" t="str">
        <f t="array" ref="B24">IFERROR(XLOOKUP(A24, BASE!E:E, BASE!B:B), "")
</f>
        <v>LM Hub_SP_Barueri_01</v>
      </c>
      <c r="C24" s="73" t="str">
        <f t="array" ref="C24">IFERROR(XLOOKUP(A24, BASE!E:E, BASE!C:C), "")
</f>
        <v>HUB-LSP-81</v>
      </c>
      <c r="D24" s="73">
        <f t="array" ref="D24">IFERROR(XLOOKUP(A24, BASE!E:E, BASE!D:D), "")
</f>
        <v>15</v>
      </c>
      <c r="E24" s="168">
        <f t="array" ref="E24">IFERROR(XLOOKUP(A24, BASE!E:E, BASE!H:H), "")
</f>
        <v>46064.29167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146" t="s">
        <v>1613</v>
      </c>
      <c r="B25" s="73" t="str">
        <f t="array" ref="B25">IFERROR(XLOOKUP(A25, BASE!E:E, BASE!B:B), "")
</f>
        <v>SoC_RJ_Duque de Caxias</v>
      </c>
      <c r="C25" s="73" t="str">
        <f t="array" ref="C25">IFERROR(XLOOKUP(A25, BASE!E:E, BASE!C:C), "")
</f>
        <v>SOC-RJ2</v>
      </c>
      <c r="D25" s="73" t="str">
        <f t="array" ref="D25">IFERROR(XLOOKUP(A25, BASE!E:E, BASE!D:D), "")
</f>
        <v>97/14</v>
      </c>
      <c r="E25" s="168">
        <f t="array" ref="E25">IFERROR(XLOOKUP(A25, BASE!E:E, BASE!H:H), "")
</f>
        <v>46064.30556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102" t="s">
        <v>1614</v>
      </c>
      <c r="B26" s="73" t="str">
        <f t="array" ref="B26">IFERROR(XLOOKUP(A26, BASE!E:E, BASE!B:B), "")
</f>
        <v>SoC_PE_Jaboatão dos Guararapes</v>
      </c>
      <c r="C26" s="73" t="str">
        <f t="array" ref="C26">IFERROR(XLOOKUP(A26, BASE!E:E, BASE!C:C), "")
</f>
        <v>SOC-PE2</v>
      </c>
      <c r="D26" s="73">
        <f t="array" ref="D26">IFERROR(XLOOKUP(A26, BASE!E:E, BASE!D:D), "")
</f>
        <v>98</v>
      </c>
      <c r="E26" s="168">
        <f t="array" ref="E26">IFERROR(XLOOKUP(A26, BASE!E:E, BASE!H:H), "")
</f>
        <v>46064.29167</v>
      </c>
      <c r="F26" s="178"/>
      <c r="G26" s="178"/>
      <c r="H26" s="178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146" t="s">
        <v>1615</v>
      </c>
      <c r="B27" s="73" t="str">
        <f t="array" ref="B27">IFERROR(XLOOKUP(A27, BASE!E:E, BASE!B:B), "")
</f>
        <v>SoC_PE_Jaboatão dos Guararapes</v>
      </c>
      <c r="C27" s="73" t="str">
        <f t="array" ref="C27">IFERROR(XLOOKUP(A27, BASE!E:E, BASE!C:C), "")
</f>
        <v>SOC-PE2</v>
      </c>
      <c r="D27" s="73">
        <f t="array" ref="D27">IFERROR(XLOOKUP(A27, BASE!E:E, BASE!D:D), "")
</f>
        <v>99</v>
      </c>
      <c r="E27" s="168">
        <f t="array" ref="E27">IFERROR(XLOOKUP(A27, BASE!E:E, BASE!H:H), "")
</f>
        <v>46064.29167</v>
      </c>
      <c r="F27" s="178"/>
      <c r="G27" s="178"/>
      <c r="H27" s="178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146" t="s">
        <v>1616</v>
      </c>
      <c r="B28" s="73" t="str">
        <f t="array" ref="B28">IFERROR(XLOOKUP(A28, BASE!E:E, BASE!B:B), "")
</f>
        <v>SoC_SC_Itajaí</v>
      </c>
      <c r="C28" s="73" t="str">
        <f t="array" ref="C28">IFERROR(XLOOKUP(A28, BASE!E:E, BASE!C:C), "")
</f>
        <v>SOC-SC1</v>
      </c>
      <c r="D28" s="73">
        <f t="array" ref="D28">IFERROR(XLOOKUP(A28, BASE!E:E, BASE!D:D), "")
</f>
        <v>101</v>
      </c>
      <c r="E28" s="168">
        <f t="array" ref="E28">IFERROR(XLOOKUP(A28, BASE!E:E, BASE!H:H), "")
</f>
        <v>46064.29167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146" t="s">
        <v>1617</v>
      </c>
      <c r="B29" s="73" t="str">
        <f t="array" ref="B29">IFERROR(XLOOKUP(A29, BASE!E:E, BASE!B:B), "")
</f>
        <v>SoC_RS_Gravataí_02</v>
      </c>
      <c r="C29" s="73" t="str">
        <f t="array" ref="C29">IFERROR(XLOOKUP(A29, BASE!E:E, BASE!C:C), "")
</f>
        <v>SOC-RS2</v>
      </c>
      <c r="D29" s="73">
        <f t="array" ref="D29">IFERROR(XLOOKUP(A29, BASE!E:E, BASE!D:D), "")
</f>
        <v>92</v>
      </c>
      <c r="E29" s="168">
        <f t="array" ref="E29">IFERROR(XLOOKUP(A29, BASE!E:E, BASE!H:H), "")
</f>
        <v>46064.41667</v>
      </c>
      <c r="F29" s="178"/>
      <c r="G29" s="178"/>
      <c r="H29" s="178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146" t="s">
        <v>1618</v>
      </c>
      <c r="B30" s="73" t="str">
        <f t="array" ref="B30">IFERROR(XLOOKUP(A30, BASE!E:E, BASE!B:B), "")
</f>
        <v>SoC_GO_Goiânia_02</v>
      </c>
      <c r="C30" s="73" t="str">
        <f t="array" ref="C30">IFERROR(XLOOKUP(A30, BASE!E:E, BASE!C:C), "")
</f>
        <v>SOC-GO2</v>
      </c>
      <c r="D30" s="73">
        <f t="array" ref="D30">IFERROR(XLOOKUP(A30, BASE!E:E, BASE!D:D), "")
</f>
        <v>86</v>
      </c>
      <c r="E30" s="168">
        <f t="array" ref="E30">IFERROR(XLOOKUP(A30, BASE!E:E, BASE!H:H), "")
</f>
        <v>46064.5</v>
      </c>
      <c r="F30" s="178"/>
      <c r="G30" s="178"/>
      <c r="H30" s="178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32" t="s">
        <v>1619</v>
      </c>
      <c r="B31" s="73" t="str">
        <f t="array" ref="B31">IFERROR(XLOOKUP(A31, BASE!E:E, BASE!B:B), "")
</f>
        <v>SoC_MG_Betim</v>
      </c>
      <c r="C31" s="73" t="str">
        <f t="array" ref="C31">IFERROR(XLOOKUP(A31, BASE!E:E, BASE!C:C), "")
</f>
        <v>SOC-MG2</v>
      </c>
      <c r="D31" s="73">
        <f t="array" ref="D31">IFERROR(XLOOKUP(A31, BASE!E:E, BASE!D:D), "")
</f>
        <v>90</v>
      </c>
      <c r="E31" s="168">
        <f t="array" ref="E31">IFERROR(XLOOKUP(A31, BASE!E:E, BASE!H:H), "")
</f>
        <v>46064.5</v>
      </c>
      <c r="F31" s="178"/>
      <c r="G31" s="178"/>
      <c r="H31" s="178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146" t="s">
        <v>1620</v>
      </c>
      <c r="B32" s="73" t="str">
        <f t="array" ref="B32">IFERROR(XLOOKUP(A32, BASE!E:E, BASE!B:B), "")
</f>
        <v>SoC_RJ_Duque de Caxias</v>
      </c>
      <c r="C32" s="73" t="str">
        <f t="array" ref="C32">IFERROR(XLOOKUP(A32, BASE!E:E, BASE!C:C), "")
</f>
        <v>SOC-RJ2</v>
      </c>
      <c r="D32" s="73">
        <f t="array" ref="D32">IFERROR(XLOOKUP(A32, BASE!E:E, BASE!D:D), "")
</f>
        <v>96</v>
      </c>
      <c r="E32" s="168">
        <f t="array" ref="E32">IFERROR(XLOOKUP(A32, BASE!E:E, BASE!H:H), "")
</f>
        <v>46064.5</v>
      </c>
      <c r="F32" s="178"/>
      <c r="G32" s="178"/>
      <c r="H32" s="178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146" t="s">
        <v>1621</v>
      </c>
      <c r="B33" s="73" t="str">
        <f t="array" ref="B33">IFERROR(XLOOKUP(A33, BASE!E:E, BASE!B:B), "")
</f>
        <v>SoC_SP_Cravinhos</v>
      </c>
      <c r="C33" s="73" t="str">
        <f t="array" ref="C33">IFERROR(XLOOKUP(A33, BASE!E:E, BASE!C:C), "")
</f>
        <v>SOC-SP5</v>
      </c>
      <c r="D33" s="73">
        <f t="array" ref="D33">IFERROR(XLOOKUP(A33, BASE!E:E, BASE!D:D), "")
</f>
        <v>95</v>
      </c>
      <c r="E33" s="168">
        <f t="array" ref="E33">IFERROR(XLOOKUP(A33, BASE!E:E, BASE!H:H), "")
</f>
        <v>46064.5</v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102" t="s">
        <v>1622</v>
      </c>
      <c r="B34" s="73" t="str">
        <f t="array" ref="B34">IFERROR(XLOOKUP(A34, BASE!E:E, BASE!B:B), "")
</f>
        <v>SoC_SC_Itajaí</v>
      </c>
      <c r="C34" s="73" t="str">
        <f t="array" ref="C34">IFERROR(XLOOKUP(A34, BASE!E:E, BASE!C:C), "")
</f>
        <v>SOC-SC1</v>
      </c>
      <c r="D34" s="73">
        <f t="array" ref="D34">IFERROR(XLOOKUP(A34, BASE!E:E, BASE!D:D), "")
</f>
        <v>100</v>
      </c>
      <c r="E34" s="168">
        <f t="array" ref="E34">IFERROR(XLOOKUP(A34, BASE!E:E, BASE!H:H), "")
</f>
        <v>46064.66667</v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95"/>
      <c r="B35" s="73" t="str">
        <f t="array" ref="B35">IFERROR(XLOOKUP(A35, BASE!E:E, BASE!B:B), "")
</f>
        <v/>
      </c>
      <c r="C35" s="73" t="str">
        <f t="array" ref="C35">IFERROR(XLOOKUP(A35, BASE!E:E, BASE!C:C), "")
</f>
        <v/>
      </c>
      <c r="D35" s="73" t="str">
        <f t="array" ref="D35">IFERROR(XLOOKUP(A35, BASE!E:E, BASE!D:D), "")
</f>
        <v/>
      </c>
      <c r="E35" s="168" t="str">
        <f t="array" ref="E35">IFERROR(XLOOKUP(A35, BASE!E:E, BASE!H:H), "")
</f>
        <v/>
      </c>
      <c r="F35" s="178"/>
      <c r="G35" s="178"/>
      <c r="H35" s="178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95"/>
      <c r="B36" s="73" t="str">
        <f t="array" ref="B36">IFERROR(XLOOKUP(A36, BASE!E:E, BASE!B:B), "")
</f>
        <v/>
      </c>
      <c r="C36" s="73" t="str">
        <f t="array" ref="C36">IFERROR(XLOOKUP(A36, BASE!E:E, BASE!C:C), "")
</f>
        <v/>
      </c>
      <c r="D36" s="73" t="str">
        <f t="array" ref="D36">IFERROR(XLOOKUP(A36, BASE!E:E, BASE!D:D), "")
</f>
        <v/>
      </c>
      <c r="E36" s="168" t="str">
        <f t="array" ref="E36">IFERROR(XLOOKUP(A36, BASE!E:E, BASE!H:H), "")
</f>
        <v/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146"/>
      <c r="B37" s="73" t="str">
        <f t="array" ref="B37">IFERROR(XLOOKUP(A37, BASE!E:E, BASE!B:B), "")
</f>
        <v/>
      </c>
      <c r="C37" s="73" t="str">
        <f t="array" ref="C37">IFERROR(XLOOKUP(A37, BASE!E:E, BASE!C:C), "")
</f>
        <v/>
      </c>
      <c r="D37" s="73" t="str">
        <f t="array" ref="D37">IFERROR(XLOOKUP(A37, BASE!E:E, BASE!D:D), "")
</f>
        <v/>
      </c>
      <c r="E37" s="168" t="str">
        <f t="array" ref="E37">IFERROR(XLOOKUP(A37, BASE!E:E, BASE!H:H), "")
</f>
        <v/>
      </c>
      <c r="F37" s="178"/>
      <c r="G37" s="178"/>
      <c r="H37" s="178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146"/>
      <c r="B38" s="73" t="str">
        <f t="array" ref="B38">IFERROR(XLOOKUP(A38, BASE!E:E, BASE!B:B), "")
</f>
        <v/>
      </c>
      <c r="C38" s="73" t="str">
        <f t="array" ref="C38">IFERROR(XLOOKUP(A38, BASE!E:E, BASE!C:C), "")
</f>
        <v/>
      </c>
      <c r="D38" s="73" t="str">
        <f t="array" ref="D38">IFERROR(XLOOKUP(A38, BASE!E:E, BASE!D:D), "")
</f>
        <v/>
      </c>
      <c r="E38" s="168" t="str">
        <f t="array" ref="E38">IFERROR(XLOOKUP(A38, BASE!E:E, BASE!H:H), "")
</f>
        <v/>
      </c>
      <c r="F38" s="178"/>
      <c r="G38" s="178"/>
      <c r="H38" s="178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146"/>
      <c r="B39" s="73" t="str">
        <f t="array" ref="B39">IFERROR(XLOOKUP(A39, BASE!E:E, BASE!B:B), "")
</f>
        <v/>
      </c>
      <c r="C39" s="73" t="str">
        <f t="array" ref="C39">IFERROR(XLOOKUP(A39, BASE!E:E, BASE!C:C), "")
</f>
        <v/>
      </c>
      <c r="D39" s="73" t="str">
        <f t="array" ref="D39">IFERROR(XLOOKUP(A39, BASE!E:E, BASE!D:D), "")
</f>
        <v/>
      </c>
      <c r="E39" s="168" t="str">
        <f t="array" ref="E39">IFERROR(XLOOKUP(A39, BASE!E:E, BASE!H:H), "")
</f>
        <v/>
      </c>
      <c r="F39" s="178"/>
      <c r="G39" s="178"/>
      <c r="H39" s="178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146"/>
      <c r="B40" s="73" t="str">
        <f t="array" ref="B40">IFERROR(XLOOKUP(A40, BASE!E:E, BASE!B:B), "")
</f>
        <v/>
      </c>
      <c r="C40" s="73" t="str">
        <f t="array" ref="C40">IFERROR(XLOOKUP(A40, BASE!E:E, BASE!C:C), "")
</f>
        <v/>
      </c>
      <c r="D40" s="73" t="str">
        <f t="array" ref="D40">IFERROR(XLOOKUP(A40, BASE!E:E, BASE!D:D), "")
</f>
        <v/>
      </c>
      <c r="E40" s="168" t="str">
        <f t="array" ref="E40">IFERROR(XLOOKUP(A40, BASE!E:E, BASE!H:H), "")
</f>
        <v/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24"/>
      <c r="B41" s="73" t="str">
        <f t="array" ref="B41">IFERROR(XLOOKUP(A41, BASE!E:E, BASE!B:B), "")
</f>
        <v/>
      </c>
      <c r="C41" s="73" t="str">
        <f t="array" ref="C41">IFERROR(XLOOKUP(A41, BASE!E:E, BASE!C:C), "")
</f>
        <v/>
      </c>
      <c r="D41" s="73" t="str">
        <f t="array" ref="D41">IFERROR(XLOOKUP(A41, BASE!E:E, BASE!D:D), "")
</f>
        <v/>
      </c>
      <c r="E41" s="168" t="str">
        <f t="array" ref="E41">IFERROR(XLOOKUP(A41, BASE!E:E, BASE!H:H), "")
</f>
        <v/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24"/>
      <c r="B42" s="73" t="str">
        <f t="array" ref="B42">IFERROR(XLOOKUP(A42, BASE!E:E, BASE!B:B), "")
</f>
        <v/>
      </c>
      <c r="C42" s="73" t="str">
        <f t="array" ref="C42">IFERROR(XLOOKUP(A42, BASE!E:E, BASE!C:C), "")
</f>
        <v/>
      </c>
      <c r="D42" s="73" t="str">
        <f t="array" ref="D42">IFERROR(XLOOKUP(A42, BASE!E:E, BASE!D:D), "")
</f>
        <v/>
      </c>
      <c r="E42" s="168" t="str">
        <f t="array" ref="E42">IFERROR(XLOOKUP(A42, BASE!E:E, BASE!H:H), "")
</f>
        <v/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24"/>
      <c r="B43" s="73" t="str">
        <f t="array" ref="B43">IFERROR(XLOOKUP(A43, BASE!E:E, BASE!B:B), "")
</f>
        <v/>
      </c>
      <c r="C43" s="73" t="str">
        <f t="array" ref="C43">IFERROR(XLOOKUP(A43, BASE!E:E, BASE!C:C), "")
</f>
        <v/>
      </c>
      <c r="D43" s="73" t="str">
        <f t="array" ref="D43">IFERROR(XLOOKUP(A43, BASE!E:E, BASE!D:D), "")
</f>
        <v/>
      </c>
      <c r="E43" s="168" t="str">
        <f t="array" ref="E43">IFERROR(XLOOKUP(A43, BASE!E:E, BASE!H:H), "")
</f>
        <v/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24"/>
      <c r="B44" s="73" t="str">
        <f t="array" ref="B44">IFERROR(XLOOKUP(A44, BASE!E:E, BASE!B:B), "")
</f>
        <v/>
      </c>
      <c r="C44" s="73" t="str">
        <f t="array" ref="C44">IFERROR(XLOOKUP(A44, BASE!E:E, BASE!C:C), "")
</f>
        <v/>
      </c>
      <c r="D44" s="73" t="str">
        <f t="array" ref="D44">IFERROR(XLOOKUP(A44, BASE!E:E, BASE!D:D), "")
</f>
        <v/>
      </c>
      <c r="E44" s="168" t="str">
        <f t="array" ref="E44">IFERROR(XLOOKUP(A44, BASE!E:E, BASE!H:H), "")
</f>
        <v/>
      </c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24"/>
      <c r="B45" s="73" t="str">
        <f t="array" ref="B45">IFERROR(XLOOKUP(A45, BASE!E:E, BASE!B:B), "")
</f>
        <v/>
      </c>
      <c r="C45" s="73" t="str">
        <f t="array" ref="C45">IFERROR(XLOOKUP(A45, BASE!E:E, BASE!C:C), "")
</f>
        <v/>
      </c>
      <c r="D45" s="73" t="str">
        <f t="array" ref="D45">IFERROR(XLOOKUP(A45, BASE!E:E, BASE!D:D), "")
</f>
        <v/>
      </c>
      <c r="E45" s="168" t="str">
        <f t="array" ref="E45">IFERROR(XLOOKUP(A45, BASE!E:E, BASE!H:H), "")
</f>
        <v/>
      </c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24"/>
      <c r="B46" s="73" t="str">
        <f t="array" ref="B46">IFERROR(XLOOKUP(A46, BASE!E:E, BASE!B:B), "")
</f>
        <v/>
      </c>
      <c r="C46" s="73" t="str">
        <f t="array" ref="C46">IFERROR(XLOOKUP(A46, BASE!E:E, BASE!C:C), "")
</f>
        <v/>
      </c>
      <c r="D46" s="73" t="str">
        <f t="array" ref="D46">IFERROR(XLOOKUP(A46, BASE!E:E, BASE!D:D), "")
</f>
        <v/>
      </c>
      <c r="E46" s="168" t="str">
        <f t="array" ref="E46">IFERROR(XLOOKUP(A46, BASE!E:E, BASE!H:H), "")
</f>
        <v/>
      </c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24"/>
      <c r="B47" s="73" t="str">
        <f t="array" ref="B47">IFERROR(XLOOKUP(A47, BASE!E:E, BASE!B:B), "")
</f>
        <v/>
      </c>
      <c r="C47" s="73" t="str">
        <f t="array" ref="C47">IFERROR(XLOOKUP(A47, BASE!E:E, BASE!C:C), "")
</f>
        <v/>
      </c>
      <c r="D47" s="73" t="str">
        <f t="array" ref="D47">IFERROR(XLOOKUP(A47, BASE!E:E, BASE!D:D), "")
</f>
        <v/>
      </c>
      <c r="E47" s="168" t="str">
        <f t="array" ref="E47">IFERROR(XLOOKUP(A47, BASE!E:E, BASE!H:H), "")
</f>
        <v/>
      </c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178"/>
      <c r="B48" s="178"/>
      <c r="C48" s="178"/>
      <c r="D48" s="178"/>
      <c r="E48" s="178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178"/>
      <c r="B49" s="178"/>
      <c r="C49" s="178"/>
      <c r="D49" s="178"/>
      <c r="E49" s="178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178"/>
      <c r="B50" s="178"/>
      <c r="C50" s="178"/>
      <c r="D50" s="178"/>
      <c r="E50" s="178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178"/>
      <c r="B51" s="178"/>
      <c r="C51" s="178"/>
      <c r="D51" s="178"/>
      <c r="E51" s="178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178"/>
      <c r="B52" s="178"/>
      <c r="C52" s="178"/>
      <c r="D52" s="178"/>
      <c r="E52" s="178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178"/>
      <c r="B53" s="178"/>
      <c r="C53" s="178"/>
      <c r="D53" s="178"/>
      <c r="E53" s="178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178"/>
      <c r="B54" s="178"/>
      <c r="C54" s="178"/>
      <c r="D54" s="178"/>
      <c r="E54" s="178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178"/>
      <c r="B55" s="178"/>
      <c r="C55" s="178"/>
      <c r="D55" s="178"/>
      <c r="E55" s="178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178"/>
      <c r="B56" s="178"/>
      <c r="C56" s="178"/>
      <c r="D56" s="178"/>
      <c r="E56" s="178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178"/>
      <c r="B57" s="178"/>
      <c r="C57" s="178"/>
      <c r="D57" s="178"/>
      <c r="E57" s="178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178"/>
      <c r="B58" s="178"/>
      <c r="C58" s="178"/>
      <c r="D58" s="178"/>
      <c r="E58" s="178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178"/>
      <c r="B59" s="178"/>
      <c r="C59" s="178"/>
      <c r="D59" s="178"/>
      <c r="E59" s="178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178"/>
      <c r="B60" s="178"/>
      <c r="C60" s="178"/>
      <c r="D60" s="178"/>
      <c r="E60" s="178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178"/>
      <c r="B61" s="178"/>
      <c r="C61" s="178"/>
      <c r="D61" s="178"/>
      <c r="E61" s="178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178"/>
      <c r="B62" s="178"/>
      <c r="C62" s="178"/>
      <c r="D62" s="178"/>
      <c r="E62" s="178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178"/>
      <c r="B63" s="178"/>
      <c r="C63" s="178"/>
      <c r="D63" s="178"/>
      <c r="E63" s="178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178"/>
      <c r="B64" s="178"/>
      <c r="C64" s="178"/>
      <c r="D64" s="178"/>
      <c r="E64" s="178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178"/>
      <c r="B65" s="178"/>
      <c r="C65" s="178"/>
      <c r="D65" s="178"/>
      <c r="E65" s="178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178"/>
      <c r="B66" s="178"/>
      <c r="C66" s="178"/>
      <c r="D66" s="178"/>
      <c r="E66" s="178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178"/>
      <c r="B67" s="178"/>
      <c r="C67" s="178"/>
      <c r="D67" s="178"/>
      <c r="E67" s="178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178"/>
      <c r="B68" s="178"/>
      <c r="C68" s="178"/>
      <c r="D68" s="178"/>
      <c r="E68" s="178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178"/>
      <c r="B69" s="178"/>
      <c r="C69" s="178"/>
      <c r="D69" s="178"/>
      <c r="E69" s="178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178"/>
      <c r="B70" s="178"/>
      <c r="C70" s="178"/>
      <c r="D70" s="178"/>
      <c r="E70" s="178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178"/>
      <c r="B71" s="178"/>
      <c r="C71" s="178"/>
      <c r="D71" s="178"/>
      <c r="E71" s="178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178"/>
      <c r="B72" s="178"/>
      <c r="C72" s="178"/>
      <c r="D72" s="178"/>
      <c r="E72" s="178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178"/>
      <c r="B73" s="178"/>
      <c r="C73" s="178"/>
      <c r="D73" s="178"/>
      <c r="E73" s="178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178"/>
      <c r="B74" s="178"/>
      <c r="C74" s="178"/>
      <c r="D74" s="178"/>
      <c r="E74" s="178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178"/>
      <c r="B75" s="178"/>
      <c r="C75" s="178"/>
      <c r="D75" s="178"/>
      <c r="E75" s="178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178"/>
      <c r="B76" s="178"/>
      <c r="C76" s="178"/>
      <c r="D76" s="178"/>
      <c r="E76" s="178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178"/>
      <c r="B77" s="178"/>
      <c r="C77" s="178"/>
      <c r="D77" s="178"/>
      <c r="E77" s="178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178"/>
      <c r="B78" s="178"/>
      <c r="C78" s="178"/>
      <c r="D78" s="178"/>
      <c r="E78" s="178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178"/>
      <c r="B79" s="178"/>
      <c r="C79" s="178"/>
      <c r="D79" s="178"/>
      <c r="E79" s="178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178"/>
      <c r="B80" s="178"/>
      <c r="C80" s="178"/>
      <c r="D80" s="178"/>
      <c r="E80" s="178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178"/>
      <c r="B81" s="178"/>
      <c r="C81" s="178"/>
      <c r="D81" s="178"/>
      <c r="E81" s="178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178"/>
      <c r="B82" s="178"/>
      <c r="C82" s="178"/>
      <c r="D82" s="178"/>
      <c r="E82" s="178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178"/>
      <c r="B83" s="178"/>
      <c r="C83" s="178"/>
      <c r="D83" s="178"/>
      <c r="E83" s="178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178"/>
      <c r="B84" s="178"/>
      <c r="C84" s="178"/>
      <c r="D84" s="178"/>
      <c r="E84" s="178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178"/>
      <c r="B85" s="178"/>
      <c r="C85" s="178"/>
      <c r="D85" s="178"/>
      <c r="E85" s="178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178"/>
      <c r="B86" s="178"/>
      <c r="C86" s="178"/>
      <c r="D86" s="178"/>
      <c r="E86" s="178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178"/>
      <c r="B87" s="178"/>
      <c r="C87" s="178"/>
      <c r="D87" s="178"/>
      <c r="E87" s="178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178"/>
      <c r="B88" s="178"/>
      <c r="C88" s="178"/>
      <c r="D88" s="178"/>
      <c r="E88" s="178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178"/>
      <c r="B89" s="178"/>
      <c r="C89" s="178"/>
      <c r="D89" s="178"/>
      <c r="E89" s="178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178"/>
      <c r="B90" s="178"/>
      <c r="C90" s="178"/>
      <c r="D90" s="178"/>
      <c r="E90" s="178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178"/>
      <c r="B91" s="178"/>
      <c r="C91" s="178"/>
      <c r="D91" s="178"/>
      <c r="E91" s="178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178"/>
      <c r="B92" s="178"/>
      <c r="C92" s="178"/>
      <c r="D92" s="178"/>
      <c r="E92" s="178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178"/>
      <c r="B93" s="178"/>
      <c r="C93" s="178"/>
      <c r="D93" s="178"/>
      <c r="E93" s="178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178"/>
      <c r="B94" s="178"/>
      <c r="C94" s="178"/>
      <c r="D94" s="178"/>
      <c r="E94" s="178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178"/>
      <c r="B95" s="178"/>
      <c r="C95" s="178"/>
      <c r="D95" s="178"/>
      <c r="E95" s="178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178"/>
      <c r="B96" s="178"/>
      <c r="C96" s="178"/>
      <c r="D96" s="178"/>
      <c r="E96" s="178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178"/>
      <c r="B97" s="178"/>
      <c r="C97" s="178"/>
      <c r="D97" s="178"/>
      <c r="E97" s="178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178"/>
      <c r="B98" s="178"/>
      <c r="C98" s="178"/>
      <c r="D98" s="178"/>
      <c r="E98" s="178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178"/>
      <c r="B99" s="178"/>
      <c r="C99" s="178"/>
      <c r="D99" s="178"/>
      <c r="E99" s="178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178"/>
      <c r="B100" s="178"/>
      <c r="C100" s="178"/>
      <c r="D100" s="178"/>
      <c r="E100" s="178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178"/>
      <c r="B101" s="178"/>
      <c r="C101" s="178"/>
      <c r="D101" s="178"/>
      <c r="E101" s="178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178"/>
      <c r="B102" s="178"/>
      <c r="C102" s="178"/>
      <c r="D102" s="178"/>
      <c r="E102" s="178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178"/>
      <c r="B103" s="178"/>
      <c r="C103" s="178"/>
      <c r="D103" s="178"/>
      <c r="E103" s="178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178"/>
      <c r="B104" s="178"/>
      <c r="C104" s="178"/>
      <c r="D104" s="178"/>
      <c r="E104" s="178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178"/>
      <c r="B105" s="178"/>
      <c r="C105" s="178"/>
      <c r="D105" s="178"/>
      <c r="E105" s="178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178"/>
      <c r="B106" s="178"/>
      <c r="C106" s="178"/>
      <c r="D106" s="178"/>
      <c r="E106" s="178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178"/>
      <c r="B107" s="178"/>
      <c r="C107" s="178"/>
      <c r="D107" s="178"/>
      <c r="E107" s="178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178"/>
      <c r="B108" s="178"/>
      <c r="C108" s="178"/>
      <c r="D108" s="178"/>
      <c r="E108" s="178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178"/>
      <c r="B109" s="178"/>
      <c r="C109" s="178"/>
      <c r="D109" s="178"/>
      <c r="E109" s="178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178"/>
      <c r="B110" s="178"/>
      <c r="C110" s="178"/>
      <c r="D110" s="178"/>
      <c r="E110" s="178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178"/>
      <c r="B111" s="178"/>
      <c r="C111" s="178"/>
      <c r="D111" s="178"/>
      <c r="E111" s="178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178"/>
      <c r="B112" s="178"/>
      <c r="C112" s="178"/>
      <c r="D112" s="178"/>
      <c r="E112" s="178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178"/>
      <c r="B113" s="178"/>
      <c r="C113" s="178"/>
      <c r="D113" s="178"/>
      <c r="E113" s="178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178"/>
      <c r="B114" s="178"/>
      <c r="C114" s="178"/>
      <c r="D114" s="178"/>
      <c r="E114" s="178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178"/>
      <c r="B115" s="178"/>
      <c r="C115" s="178"/>
      <c r="D115" s="178"/>
      <c r="E115" s="178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178"/>
      <c r="B116" s="178"/>
      <c r="C116" s="178"/>
      <c r="D116" s="178"/>
      <c r="E116" s="178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178"/>
      <c r="B117" s="178"/>
      <c r="C117" s="178"/>
      <c r="D117" s="178"/>
      <c r="E117" s="178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178"/>
      <c r="B118" s="178"/>
      <c r="C118" s="178"/>
      <c r="D118" s="178"/>
      <c r="E118" s="178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178"/>
      <c r="B119" s="178"/>
      <c r="C119" s="178"/>
      <c r="D119" s="178"/>
      <c r="E119" s="178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178"/>
      <c r="B120" s="178"/>
      <c r="C120" s="178"/>
      <c r="D120" s="178"/>
      <c r="E120" s="178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178"/>
      <c r="B121" s="178"/>
      <c r="C121" s="178"/>
      <c r="D121" s="178"/>
      <c r="E121" s="178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178"/>
      <c r="B122" s="178"/>
      <c r="C122" s="178"/>
      <c r="D122" s="178"/>
      <c r="E122" s="178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178"/>
      <c r="B123" s="178"/>
      <c r="C123" s="178"/>
      <c r="D123" s="178"/>
      <c r="E123" s="178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178"/>
      <c r="B124" s="178"/>
      <c r="C124" s="178"/>
      <c r="D124" s="178"/>
      <c r="E124" s="178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178"/>
      <c r="B125" s="178"/>
      <c r="C125" s="178"/>
      <c r="D125" s="178"/>
      <c r="E125" s="178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178"/>
      <c r="B126" s="178"/>
      <c r="C126" s="178"/>
      <c r="D126" s="178"/>
      <c r="E126" s="178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178"/>
      <c r="B127" s="178"/>
      <c r="C127" s="178"/>
      <c r="D127" s="178"/>
      <c r="E127" s="178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178"/>
      <c r="B128" s="178"/>
      <c r="C128" s="178"/>
      <c r="D128" s="178"/>
      <c r="E128" s="178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178"/>
      <c r="B129" s="178"/>
      <c r="C129" s="178"/>
      <c r="D129" s="178"/>
      <c r="E129" s="178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178"/>
      <c r="B130" s="178"/>
      <c r="C130" s="178"/>
      <c r="D130" s="178"/>
      <c r="E130" s="178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178"/>
      <c r="B131" s="178"/>
      <c r="C131" s="178"/>
      <c r="D131" s="178"/>
      <c r="E131" s="178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178"/>
      <c r="B132" s="178"/>
      <c r="C132" s="178"/>
      <c r="D132" s="178"/>
      <c r="E132" s="178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178"/>
      <c r="B133" s="178"/>
      <c r="C133" s="178"/>
      <c r="D133" s="178"/>
      <c r="E133" s="178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178"/>
      <c r="B134" s="178"/>
      <c r="C134" s="178"/>
      <c r="D134" s="178"/>
      <c r="E134" s="178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178"/>
      <c r="B135" s="178"/>
      <c r="C135" s="178"/>
      <c r="D135" s="178"/>
      <c r="E135" s="178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178"/>
      <c r="B136" s="178"/>
      <c r="C136" s="178"/>
      <c r="D136" s="178"/>
      <c r="E136" s="178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178"/>
      <c r="B137" s="178"/>
      <c r="C137" s="178"/>
      <c r="D137" s="178"/>
      <c r="E137" s="178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178"/>
      <c r="B138" s="178"/>
      <c r="C138" s="178"/>
      <c r="D138" s="178"/>
      <c r="E138" s="178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178"/>
      <c r="B139" s="178"/>
      <c r="C139" s="178"/>
      <c r="D139" s="178"/>
      <c r="E139" s="178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178"/>
      <c r="B140" s="178"/>
      <c r="C140" s="178"/>
      <c r="D140" s="178"/>
      <c r="E140" s="178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178"/>
      <c r="B141" s="178"/>
      <c r="C141" s="178"/>
      <c r="D141" s="178"/>
      <c r="E141" s="178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178"/>
      <c r="B142" s="178"/>
      <c r="C142" s="178"/>
      <c r="D142" s="178"/>
      <c r="E142" s="178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178"/>
      <c r="B143" s="178"/>
      <c r="C143" s="178"/>
      <c r="D143" s="178"/>
      <c r="E143" s="178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178"/>
      <c r="B144" s="178"/>
      <c r="C144" s="178"/>
      <c r="D144" s="178"/>
      <c r="E144" s="178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178"/>
      <c r="B145" s="178"/>
      <c r="C145" s="178"/>
      <c r="D145" s="178"/>
      <c r="E145" s="178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178"/>
      <c r="B146" s="178"/>
      <c r="C146" s="178"/>
      <c r="D146" s="178"/>
      <c r="E146" s="178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178"/>
      <c r="B147" s="178"/>
      <c r="C147" s="178"/>
      <c r="D147" s="178"/>
      <c r="E147" s="178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178"/>
      <c r="B148" s="178"/>
      <c r="C148" s="178"/>
      <c r="D148" s="178"/>
      <c r="E148" s="178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178"/>
      <c r="B149" s="178"/>
      <c r="C149" s="178"/>
      <c r="D149" s="178"/>
      <c r="E149" s="178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178"/>
      <c r="B150" s="178"/>
      <c r="C150" s="178"/>
      <c r="D150" s="178"/>
      <c r="E150" s="178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178"/>
      <c r="B151" s="178"/>
      <c r="C151" s="178"/>
      <c r="D151" s="178"/>
      <c r="E151" s="178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178"/>
      <c r="B152" s="178"/>
      <c r="C152" s="178"/>
      <c r="D152" s="178"/>
      <c r="E152" s="178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178"/>
      <c r="B153" s="178"/>
      <c r="C153" s="178"/>
      <c r="D153" s="178"/>
      <c r="E153" s="178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178"/>
      <c r="B154" s="178"/>
      <c r="C154" s="178"/>
      <c r="D154" s="178"/>
      <c r="E154" s="178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178"/>
      <c r="B155" s="178"/>
      <c r="C155" s="178"/>
      <c r="D155" s="178"/>
      <c r="E155" s="178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178"/>
      <c r="B156" s="178"/>
      <c r="C156" s="178"/>
      <c r="D156" s="178"/>
      <c r="E156" s="178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178"/>
      <c r="B157" s="178"/>
      <c r="C157" s="178"/>
      <c r="D157" s="178"/>
      <c r="E157" s="178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178"/>
      <c r="B158" s="178"/>
      <c r="C158" s="178"/>
      <c r="D158" s="178"/>
      <c r="E158" s="178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178"/>
      <c r="B159" s="178"/>
      <c r="C159" s="178"/>
      <c r="D159" s="178"/>
      <c r="E159" s="178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178"/>
      <c r="B160" s="178"/>
      <c r="C160" s="178"/>
      <c r="D160" s="178"/>
      <c r="E160" s="178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178"/>
      <c r="B161" s="178"/>
      <c r="C161" s="178"/>
      <c r="D161" s="178"/>
      <c r="E161" s="178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178"/>
      <c r="B162" s="178"/>
      <c r="C162" s="178"/>
      <c r="D162" s="178"/>
      <c r="E162" s="178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178"/>
      <c r="B163" s="178"/>
      <c r="C163" s="178"/>
      <c r="D163" s="178"/>
      <c r="E163" s="178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178"/>
      <c r="B164" s="178"/>
      <c r="C164" s="178"/>
      <c r="D164" s="178"/>
      <c r="E164" s="178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178"/>
      <c r="B165" s="178"/>
      <c r="C165" s="178"/>
      <c r="D165" s="178"/>
      <c r="E165" s="178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178"/>
      <c r="B166" s="178"/>
      <c r="C166" s="178"/>
      <c r="D166" s="178"/>
      <c r="E166" s="178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178"/>
      <c r="B167" s="178"/>
      <c r="C167" s="178"/>
      <c r="D167" s="178"/>
      <c r="E167" s="178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178"/>
      <c r="B168" s="178"/>
      <c r="C168" s="178"/>
      <c r="D168" s="178"/>
      <c r="E168" s="178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178"/>
      <c r="B169" s="178"/>
      <c r="C169" s="178"/>
      <c r="D169" s="178"/>
      <c r="E169" s="178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178"/>
      <c r="B170" s="178"/>
      <c r="C170" s="178"/>
      <c r="D170" s="178"/>
      <c r="E170" s="178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178"/>
      <c r="B171" s="178"/>
      <c r="C171" s="178"/>
      <c r="D171" s="178"/>
      <c r="E171" s="178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178"/>
      <c r="B172" s="178"/>
      <c r="C172" s="178"/>
      <c r="D172" s="178"/>
      <c r="E172" s="178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178"/>
      <c r="B173" s="178"/>
      <c r="C173" s="178"/>
      <c r="D173" s="178"/>
      <c r="E173" s="178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178"/>
      <c r="B174" s="178"/>
      <c r="C174" s="178"/>
      <c r="D174" s="178"/>
      <c r="E174" s="178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178"/>
      <c r="B175" s="178"/>
      <c r="C175" s="178"/>
      <c r="D175" s="178"/>
      <c r="E175" s="178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178"/>
      <c r="B176" s="178"/>
      <c r="C176" s="178"/>
      <c r="D176" s="178"/>
      <c r="E176" s="178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178"/>
      <c r="B177" s="178"/>
      <c r="C177" s="178"/>
      <c r="D177" s="178"/>
      <c r="E177" s="178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178"/>
      <c r="B178" s="178"/>
      <c r="C178" s="178"/>
      <c r="D178" s="178"/>
      <c r="E178" s="178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178"/>
      <c r="B179" s="178"/>
      <c r="C179" s="178"/>
      <c r="D179" s="178"/>
      <c r="E179" s="178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178"/>
      <c r="B180" s="178"/>
      <c r="C180" s="178"/>
      <c r="D180" s="178"/>
      <c r="E180" s="178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178"/>
      <c r="B181" s="178"/>
      <c r="C181" s="178"/>
      <c r="D181" s="178"/>
      <c r="E181" s="178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178"/>
      <c r="B182" s="178"/>
      <c r="C182" s="178"/>
      <c r="D182" s="178"/>
      <c r="E182" s="178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178"/>
      <c r="B183" s="178"/>
      <c r="C183" s="178"/>
      <c r="D183" s="178"/>
      <c r="E183" s="178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178"/>
      <c r="B184" s="178"/>
      <c r="C184" s="178"/>
      <c r="D184" s="178"/>
      <c r="E184" s="178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178"/>
      <c r="B185" s="178"/>
      <c r="C185" s="178"/>
      <c r="D185" s="178"/>
      <c r="E185" s="178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178"/>
      <c r="B186" s="178"/>
      <c r="C186" s="178"/>
      <c r="D186" s="178"/>
      <c r="E186" s="178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178"/>
      <c r="B187" s="178"/>
      <c r="C187" s="178"/>
      <c r="D187" s="178"/>
      <c r="E187" s="178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178"/>
      <c r="B188" s="178"/>
      <c r="C188" s="178"/>
      <c r="D188" s="178"/>
      <c r="E188" s="178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178"/>
      <c r="B189" s="178"/>
      <c r="C189" s="178"/>
      <c r="D189" s="178"/>
      <c r="E189" s="178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178"/>
      <c r="B190" s="178"/>
      <c r="C190" s="178"/>
      <c r="D190" s="178"/>
      <c r="E190" s="178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178"/>
      <c r="B191" s="178"/>
      <c r="C191" s="178"/>
      <c r="D191" s="178"/>
      <c r="E191" s="178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178"/>
      <c r="B192" s="178"/>
      <c r="C192" s="178"/>
      <c r="D192" s="178"/>
      <c r="E192" s="178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178"/>
      <c r="B193" s="178"/>
      <c r="C193" s="178"/>
      <c r="D193" s="178"/>
      <c r="E193" s="178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178"/>
      <c r="B194" s="178"/>
      <c r="C194" s="178"/>
      <c r="D194" s="178"/>
      <c r="E194" s="178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178"/>
      <c r="B195" s="178"/>
      <c r="C195" s="178"/>
      <c r="D195" s="178"/>
      <c r="E195" s="178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178"/>
      <c r="B196" s="178"/>
      <c r="C196" s="178"/>
      <c r="D196" s="178"/>
      <c r="E196" s="178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178"/>
      <c r="B197" s="178"/>
      <c r="C197" s="178"/>
      <c r="D197" s="178"/>
      <c r="E197" s="178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178"/>
      <c r="B198" s="178"/>
      <c r="C198" s="178"/>
      <c r="D198" s="178"/>
      <c r="E198" s="178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178"/>
      <c r="B199" s="178"/>
      <c r="C199" s="178"/>
      <c r="D199" s="178"/>
      <c r="E199" s="178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178"/>
      <c r="B200" s="178"/>
      <c r="C200" s="178"/>
      <c r="D200" s="178"/>
      <c r="E200" s="178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178"/>
      <c r="B201" s="178"/>
      <c r="C201" s="178"/>
      <c r="D201" s="178"/>
      <c r="E201" s="178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178"/>
      <c r="B202" s="178"/>
      <c r="C202" s="178"/>
      <c r="D202" s="178"/>
      <c r="E202" s="178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178"/>
      <c r="B203" s="178"/>
      <c r="C203" s="178"/>
      <c r="D203" s="178"/>
      <c r="E203" s="178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178"/>
      <c r="B204" s="178"/>
      <c r="C204" s="178"/>
      <c r="D204" s="178"/>
      <c r="E204" s="178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178"/>
      <c r="B205" s="178"/>
      <c r="C205" s="178"/>
      <c r="D205" s="178"/>
      <c r="E205" s="178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178"/>
      <c r="B206" s="178"/>
      <c r="C206" s="178"/>
      <c r="D206" s="178"/>
      <c r="E206" s="178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178"/>
      <c r="B207" s="178"/>
      <c r="C207" s="178"/>
      <c r="D207" s="178"/>
      <c r="E207" s="178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178"/>
      <c r="B208" s="178"/>
      <c r="C208" s="178"/>
      <c r="D208" s="178"/>
      <c r="E208" s="178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178"/>
      <c r="B209" s="178"/>
      <c r="C209" s="178"/>
      <c r="D209" s="178"/>
      <c r="E209" s="178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178"/>
      <c r="B210" s="178"/>
      <c r="C210" s="178"/>
      <c r="D210" s="178"/>
      <c r="E210" s="178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178"/>
      <c r="B211" s="178"/>
      <c r="C211" s="178"/>
      <c r="D211" s="178"/>
      <c r="E211" s="178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178"/>
      <c r="B212" s="178"/>
      <c r="C212" s="178"/>
      <c r="D212" s="178"/>
      <c r="E212" s="178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178"/>
      <c r="B213" s="178"/>
      <c r="C213" s="178"/>
      <c r="D213" s="178"/>
      <c r="E213" s="178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178"/>
      <c r="B214" s="178"/>
      <c r="C214" s="178"/>
      <c r="D214" s="178"/>
      <c r="E214" s="178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178"/>
      <c r="B215" s="178"/>
      <c r="C215" s="178"/>
      <c r="D215" s="178"/>
      <c r="E215" s="178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178"/>
      <c r="B216" s="178"/>
      <c r="C216" s="178"/>
      <c r="D216" s="178"/>
      <c r="E216" s="178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178"/>
      <c r="B217" s="178"/>
      <c r="C217" s="178"/>
      <c r="D217" s="178"/>
      <c r="E217" s="178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178"/>
      <c r="B218" s="178"/>
      <c r="C218" s="178"/>
      <c r="D218" s="178"/>
      <c r="E218" s="178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178"/>
      <c r="B219" s="178"/>
      <c r="C219" s="178"/>
      <c r="D219" s="178"/>
      <c r="E219" s="178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178"/>
      <c r="B220" s="178"/>
      <c r="C220" s="178"/>
      <c r="D220" s="178"/>
      <c r="E220" s="178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178"/>
      <c r="B221" s="178"/>
      <c r="C221" s="178"/>
      <c r="D221" s="178"/>
      <c r="E221" s="178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178"/>
      <c r="B222" s="178"/>
      <c r="C222" s="178"/>
      <c r="D222" s="178"/>
      <c r="E222" s="178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178"/>
      <c r="B223" s="178"/>
      <c r="C223" s="178"/>
      <c r="D223" s="178"/>
      <c r="E223" s="178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178"/>
      <c r="B224" s="178"/>
      <c r="C224" s="178"/>
      <c r="D224" s="178"/>
      <c r="E224" s="178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178"/>
      <c r="B225" s="178"/>
      <c r="C225" s="178"/>
      <c r="D225" s="178"/>
      <c r="E225" s="178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178"/>
      <c r="B226" s="178"/>
      <c r="C226" s="178"/>
      <c r="D226" s="178"/>
      <c r="E226" s="178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178"/>
      <c r="B227" s="178"/>
      <c r="C227" s="178"/>
      <c r="D227" s="178"/>
      <c r="E227" s="178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178"/>
      <c r="B228" s="178"/>
      <c r="C228" s="178"/>
      <c r="D228" s="178"/>
      <c r="E228" s="178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178"/>
      <c r="B229" s="178"/>
      <c r="C229" s="178"/>
      <c r="D229" s="178"/>
      <c r="E229" s="178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178"/>
      <c r="B230" s="178"/>
      <c r="C230" s="178"/>
      <c r="D230" s="178"/>
      <c r="E230" s="178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178"/>
      <c r="B231" s="178"/>
      <c r="C231" s="178"/>
      <c r="D231" s="178"/>
      <c r="E231" s="178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178"/>
      <c r="B232" s="178"/>
      <c r="C232" s="178"/>
      <c r="D232" s="178"/>
      <c r="E232" s="178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178"/>
      <c r="B233" s="178"/>
      <c r="C233" s="178"/>
      <c r="D233" s="178"/>
      <c r="E233" s="178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178"/>
      <c r="B234" s="178"/>
      <c r="C234" s="178"/>
      <c r="D234" s="178"/>
      <c r="E234" s="178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178"/>
      <c r="B235" s="178"/>
      <c r="C235" s="178"/>
      <c r="D235" s="178"/>
      <c r="E235" s="178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178"/>
      <c r="B236" s="178"/>
      <c r="C236" s="178"/>
      <c r="D236" s="178"/>
      <c r="E236" s="178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178"/>
      <c r="B237" s="178"/>
      <c r="C237" s="178"/>
      <c r="D237" s="178"/>
      <c r="E237" s="178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178"/>
      <c r="B238" s="178"/>
      <c r="C238" s="178"/>
      <c r="D238" s="178"/>
      <c r="E238" s="178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178"/>
      <c r="B239" s="178"/>
      <c r="C239" s="178"/>
      <c r="D239" s="178"/>
      <c r="E239" s="178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178"/>
      <c r="B240" s="178"/>
      <c r="C240" s="178"/>
      <c r="D240" s="178"/>
      <c r="E240" s="178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178"/>
      <c r="B241" s="178"/>
      <c r="C241" s="178"/>
      <c r="D241" s="178"/>
      <c r="E241" s="178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178"/>
      <c r="B242" s="178"/>
      <c r="C242" s="178"/>
      <c r="D242" s="178"/>
      <c r="E242" s="178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178"/>
      <c r="B243" s="178"/>
      <c r="C243" s="178"/>
      <c r="D243" s="178"/>
      <c r="E243" s="178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178"/>
      <c r="B244" s="178"/>
      <c r="C244" s="178"/>
      <c r="D244" s="178"/>
      <c r="E244" s="178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178"/>
      <c r="B245" s="178"/>
      <c r="C245" s="178"/>
      <c r="D245" s="178"/>
      <c r="E245" s="178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178"/>
      <c r="B246" s="178"/>
      <c r="C246" s="178"/>
      <c r="D246" s="178"/>
      <c r="E246" s="178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178"/>
      <c r="B247" s="178"/>
      <c r="C247" s="178"/>
      <c r="D247" s="178"/>
      <c r="E247" s="178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178"/>
      <c r="B248" s="178"/>
      <c r="C248" s="178"/>
      <c r="D248" s="178"/>
      <c r="E248" s="178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178"/>
      <c r="B249" s="178"/>
      <c r="C249" s="178"/>
      <c r="D249" s="178"/>
      <c r="E249" s="178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178"/>
      <c r="B250" s="178"/>
      <c r="C250" s="178"/>
      <c r="D250" s="178"/>
      <c r="E250" s="178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178"/>
      <c r="B251" s="178"/>
      <c r="C251" s="178"/>
      <c r="D251" s="178"/>
      <c r="E251" s="178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178"/>
      <c r="B252" s="178"/>
      <c r="C252" s="178"/>
      <c r="D252" s="178"/>
      <c r="E252" s="178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178"/>
      <c r="B253" s="178"/>
      <c r="C253" s="178"/>
      <c r="D253" s="178"/>
      <c r="E253" s="178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178"/>
      <c r="B254" s="178"/>
      <c r="C254" s="178"/>
      <c r="D254" s="178"/>
      <c r="E254" s="178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178"/>
      <c r="B255" s="178"/>
      <c r="C255" s="178"/>
      <c r="D255" s="178"/>
      <c r="E255" s="178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178"/>
      <c r="B256" s="178"/>
      <c r="C256" s="178"/>
      <c r="D256" s="178"/>
      <c r="E256" s="178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178"/>
      <c r="B257" s="178"/>
      <c r="C257" s="178"/>
      <c r="D257" s="178"/>
      <c r="E257" s="178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178"/>
      <c r="B258" s="178"/>
      <c r="C258" s="178"/>
      <c r="D258" s="178"/>
      <c r="E258" s="178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178"/>
      <c r="B259" s="178"/>
      <c r="C259" s="178"/>
      <c r="D259" s="178"/>
      <c r="E259" s="178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178"/>
      <c r="B260" s="178"/>
      <c r="C260" s="178"/>
      <c r="D260" s="178"/>
      <c r="E260" s="178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178"/>
      <c r="B261" s="178"/>
      <c r="C261" s="178"/>
      <c r="D261" s="178"/>
      <c r="E261" s="178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178"/>
      <c r="B262" s="178"/>
      <c r="C262" s="178"/>
      <c r="D262" s="178"/>
      <c r="E262" s="178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178"/>
      <c r="B263" s="178"/>
      <c r="C263" s="178"/>
      <c r="D263" s="178"/>
      <c r="E263" s="178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178"/>
      <c r="B264" s="178"/>
      <c r="C264" s="178"/>
      <c r="D264" s="178"/>
      <c r="E264" s="178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178"/>
      <c r="B265" s="178"/>
      <c r="C265" s="178"/>
      <c r="D265" s="178"/>
      <c r="E265" s="178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178"/>
      <c r="B266" s="178"/>
      <c r="C266" s="178"/>
      <c r="D266" s="178"/>
      <c r="E266" s="178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178"/>
      <c r="B267" s="178"/>
      <c r="C267" s="178"/>
      <c r="D267" s="178"/>
      <c r="E267" s="178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178"/>
      <c r="B268" s="178"/>
      <c r="C268" s="178"/>
      <c r="D268" s="178"/>
      <c r="E268" s="178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178"/>
      <c r="B269" s="178"/>
      <c r="C269" s="178"/>
      <c r="D269" s="178"/>
      <c r="E269" s="178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178"/>
      <c r="B270" s="178"/>
      <c r="C270" s="178"/>
      <c r="D270" s="178"/>
      <c r="E270" s="178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178"/>
      <c r="B271" s="178"/>
      <c r="C271" s="178"/>
      <c r="D271" s="178"/>
      <c r="E271" s="178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178"/>
      <c r="B272" s="178"/>
      <c r="C272" s="178"/>
      <c r="D272" s="178"/>
      <c r="E272" s="178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178"/>
      <c r="B273" s="178"/>
      <c r="C273" s="178"/>
      <c r="D273" s="178"/>
      <c r="E273" s="178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178"/>
      <c r="B274" s="178"/>
      <c r="C274" s="178"/>
      <c r="D274" s="178"/>
      <c r="E274" s="178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178"/>
      <c r="B275" s="178"/>
      <c r="C275" s="178"/>
      <c r="D275" s="178"/>
      <c r="E275" s="178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178"/>
      <c r="B276" s="178"/>
      <c r="C276" s="178"/>
      <c r="D276" s="178"/>
      <c r="E276" s="178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178"/>
      <c r="B277" s="178"/>
      <c r="C277" s="178"/>
      <c r="D277" s="178"/>
      <c r="E277" s="178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178"/>
      <c r="B278" s="178"/>
      <c r="C278" s="178"/>
      <c r="D278" s="178"/>
      <c r="E278" s="178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178"/>
      <c r="B279" s="178"/>
      <c r="C279" s="178"/>
      <c r="D279" s="178"/>
      <c r="E279" s="178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178"/>
      <c r="B280" s="178"/>
      <c r="C280" s="178"/>
      <c r="D280" s="178"/>
      <c r="E280" s="178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178"/>
      <c r="B281" s="178"/>
      <c r="C281" s="178"/>
      <c r="D281" s="178"/>
      <c r="E281" s="178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178"/>
      <c r="B282" s="178"/>
      <c r="C282" s="178"/>
      <c r="D282" s="178"/>
      <c r="E282" s="178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178"/>
      <c r="B283" s="178"/>
      <c r="C283" s="178"/>
      <c r="D283" s="178"/>
      <c r="E283" s="178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178"/>
      <c r="B284" s="178"/>
      <c r="C284" s="178"/>
      <c r="D284" s="178"/>
      <c r="E284" s="178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178"/>
      <c r="B285" s="178"/>
      <c r="C285" s="178"/>
      <c r="D285" s="178"/>
      <c r="E285" s="178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178"/>
      <c r="B286" s="178"/>
      <c r="C286" s="178"/>
      <c r="D286" s="178"/>
      <c r="E286" s="178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178"/>
      <c r="B287" s="178"/>
      <c r="C287" s="178"/>
      <c r="D287" s="178"/>
      <c r="E287" s="178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178"/>
      <c r="B288" s="178"/>
      <c r="C288" s="178"/>
      <c r="D288" s="178"/>
      <c r="E288" s="178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178"/>
      <c r="B289" s="178"/>
      <c r="C289" s="178"/>
      <c r="D289" s="178"/>
      <c r="E289" s="178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178"/>
      <c r="B290" s="178"/>
      <c r="C290" s="178"/>
      <c r="D290" s="178"/>
      <c r="E290" s="178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178"/>
      <c r="B291" s="178"/>
      <c r="C291" s="178"/>
      <c r="D291" s="178"/>
      <c r="E291" s="178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178"/>
      <c r="B292" s="178"/>
      <c r="C292" s="178"/>
      <c r="D292" s="178"/>
      <c r="E292" s="178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178"/>
      <c r="B293" s="178"/>
      <c r="C293" s="178"/>
      <c r="D293" s="178"/>
      <c r="E293" s="178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178"/>
      <c r="B294" s="178"/>
      <c r="C294" s="178"/>
      <c r="D294" s="178"/>
      <c r="E294" s="178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178"/>
      <c r="B295" s="178"/>
      <c r="C295" s="178"/>
      <c r="D295" s="178"/>
      <c r="E295" s="178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178"/>
      <c r="B296" s="178"/>
      <c r="C296" s="178"/>
      <c r="D296" s="178"/>
      <c r="E296" s="178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178"/>
      <c r="B297" s="178"/>
      <c r="C297" s="178"/>
      <c r="D297" s="178"/>
      <c r="E297" s="178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178"/>
      <c r="B298" s="178"/>
      <c r="C298" s="178"/>
      <c r="D298" s="178"/>
      <c r="E298" s="178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178"/>
      <c r="B299" s="178"/>
      <c r="C299" s="178"/>
      <c r="D299" s="178"/>
      <c r="E299" s="178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178"/>
      <c r="B300" s="178"/>
      <c r="C300" s="178"/>
      <c r="D300" s="178"/>
      <c r="E300" s="178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178"/>
      <c r="B301" s="178"/>
      <c r="C301" s="178"/>
      <c r="D301" s="178"/>
      <c r="E301" s="178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178"/>
      <c r="B302" s="178"/>
      <c r="C302" s="178"/>
      <c r="D302" s="178"/>
      <c r="E302" s="178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178"/>
      <c r="B303" s="178"/>
      <c r="C303" s="178"/>
      <c r="D303" s="178"/>
      <c r="E303" s="178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178"/>
      <c r="B304" s="178"/>
      <c r="C304" s="178"/>
      <c r="D304" s="178"/>
      <c r="E304" s="178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178"/>
      <c r="B305" s="178"/>
      <c r="C305" s="178"/>
      <c r="D305" s="178"/>
      <c r="E305" s="178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178"/>
      <c r="B306" s="178"/>
      <c r="C306" s="178"/>
      <c r="D306" s="178"/>
      <c r="E306" s="178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178"/>
      <c r="B307" s="178"/>
      <c r="C307" s="178"/>
      <c r="D307" s="178"/>
      <c r="E307" s="178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178"/>
      <c r="B308" s="178"/>
      <c r="C308" s="178"/>
      <c r="D308" s="178"/>
      <c r="E308" s="178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178"/>
      <c r="B309" s="178"/>
      <c r="C309" s="178"/>
      <c r="D309" s="178"/>
      <c r="E309" s="178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178"/>
      <c r="B310" s="178"/>
      <c r="C310" s="178"/>
      <c r="D310" s="178"/>
      <c r="E310" s="178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178"/>
      <c r="B311" s="178"/>
      <c r="C311" s="178"/>
      <c r="D311" s="178"/>
      <c r="E311" s="178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178"/>
      <c r="B312" s="178"/>
      <c r="C312" s="178"/>
      <c r="D312" s="178"/>
      <c r="E312" s="178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178"/>
      <c r="B313" s="178"/>
      <c r="C313" s="178"/>
      <c r="D313" s="178"/>
      <c r="E313" s="178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178"/>
      <c r="B314" s="178"/>
      <c r="C314" s="178"/>
      <c r="D314" s="178"/>
      <c r="E314" s="178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178"/>
      <c r="B315" s="178"/>
      <c r="C315" s="178"/>
      <c r="D315" s="178"/>
      <c r="E315" s="178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178"/>
      <c r="B316" s="178"/>
      <c r="C316" s="178"/>
      <c r="D316" s="178"/>
      <c r="E316" s="178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178"/>
      <c r="B317" s="178"/>
      <c r="C317" s="178"/>
      <c r="D317" s="178"/>
      <c r="E317" s="178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178"/>
      <c r="B318" s="178"/>
      <c r="C318" s="178"/>
      <c r="D318" s="178"/>
      <c r="E318" s="178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178"/>
      <c r="B319" s="178"/>
      <c r="C319" s="178"/>
      <c r="D319" s="178"/>
      <c r="E319" s="178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178"/>
      <c r="B320" s="178"/>
      <c r="C320" s="178"/>
      <c r="D320" s="178"/>
      <c r="E320" s="178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178"/>
      <c r="B321" s="178"/>
      <c r="C321" s="178"/>
      <c r="D321" s="178"/>
      <c r="E321" s="178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178"/>
      <c r="B322" s="178"/>
      <c r="C322" s="178"/>
      <c r="D322" s="178"/>
      <c r="E322" s="178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178"/>
      <c r="B323" s="178"/>
      <c r="C323" s="178"/>
      <c r="D323" s="178"/>
      <c r="E323" s="178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178"/>
      <c r="B324" s="178"/>
      <c r="C324" s="178"/>
      <c r="D324" s="178"/>
      <c r="E324" s="178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178"/>
      <c r="B325" s="178"/>
      <c r="C325" s="178"/>
      <c r="D325" s="178"/>
      <c r="E325" s="178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178"/>
      <c r="B326" s="178"/>
      <c r="C326" s="178"/>
      <c r="D326" s="178"/>
      <c r="E326" s="178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178"/>
      <c r="B327" s="178"/>
      <c r="C327" s="178"/>
      <c r="D327" s="178"/>
      <c r="E327" s="178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178"/>
      <c r="B328" s="178"/>
      <c r="C328" s="178"/>
      <c r="D328" s="178"/>
      <c r="E328" s="178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178"/>
      <c r="B329" s="178"/>
      <c r="C329" s="178"/>
      <c r="D329" s="178"/>
      <c r="E329" s="178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178"/>
      <c r="B330" s="178"/>
      <c r="C330" s="178"/>
      <c r="D330" s="178"/>
      <c r="E330" s="178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178"/>
      <c r="B331" s="178"/>
      <c r="C331" s="178"/>
      <c r="D331" s="178"/>
      <c r="E331" s="178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178"/>
      <c r="B332" s="178"/>
      <c r="C332" s="178"/>
      <c r="D332" s="178"/>
      <c r="E332" s="178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178"/>
      <c r="B333" s="178"/>
      <c r="C333" s="178"/>
      <c r="D333" s="178"/>
      <c r="E333" s="178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178"/>
      <c r="B334" s="178"/>
      <c r="C334" s="178"/>
      <c r="D334" s="178"/>
      <c r="E334" s="178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178"/>
      <c r="B335" s="178"/>
      <c r="C335" s="178"/>
      <c r="D335" s="178"/>
      <c r="E335" s="178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178"/>
      <c r="B336" s="178"/>
      <c r="C336" s="178"/>
      <c r="D336" s="178"/>
      <c r="E336" s="178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178"/>
      <c r="B337" s="178"/>
      <c r="C337" s="178"/>
      <c r="D337" s="178"/>
      <c r="E337" s="178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178"/>
      <c r="B338" s="178"/>
      <c r="C338" s="178"/>
      <c r="D338" s="178"/>
      <c r="E338" s="178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178"/>
      <c r="B339" s="178"/>
      <c r="C339" s="178"/>
      <c r="D339" s="178"/>
      <c r="E339" s="178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178"/>
      <c r="B340" s="178"/>
      <c r="C340" s="178"/>
      <c r="D340" s="178"/>
      <c r="E340" s="178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178"/>
      <c r="B341" s="178"/>
      <c r="C341" s="178"/>
      <c r="D341" s="178"/>
      <c r="E341" s="178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178"/>
      <c r="B342" s="178"/>
      <c r="C342" s="178"/>
      <c r="D342" s="178"/>
      <c r="E342" s="178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178"/>
      <c r="B343" s="178"/>
      <c r="C343" s="178"/>
      <c r="D343" s="178"/>
      <c r="E343" s="178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178"/>
      <c r="B344" s="178"/>
      <c r="C344" s="178"/>
      <c r="D344" s="178"/>
      <c r="E344" s="178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178"/>
      <c r="B345" s="178"/>
      <c r="C345" s="178"/>
      <c r="D345" s="178"/>
      <c r="E345" s="178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178"/>
      <c r="B346" s="178"/>
      <c r="C346" s="178"/>
      <c r="D346" s="178"/>
      <c r="E346" s="178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178"/>
      <c r="B347" s="178"/>
      <c r="C347" s="178"/>
      <c r="D347" s="178"/>
      <c r="E347" s="178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178"/>
      <c r="B348" s="178"/>
      <c r="C348" s="178"/>
      <c r="D348" s="178"/>
      <c r="E348" s="178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178"/>
      <c r="B349" s="178"/>
      <c r="C349" s="178"/>
      <c r="D349" s="178"/>
      <c r="E349" s="178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178"/>
      <c r="B350" s="178"/>
      <c r="C350" s="178"/>
      <c r="D350" s="178"/>
      <c r="E350" s="178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178"/>
      <c r="B351" s="178"/>
      <c r="C351" s="178"/>
      <c r="D351" s="178"/>
      <c r="E351" s="178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178"/>
      <c r="B352" s="178"/>
      <c r="C352" s="178"/>
      <c r="D352" s="178"/>
      <c r="E352" s="178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178"/>
      <c r="B353" s="178"/>
      <c r="C353" s="178"/>
      <c r="D353" s="178"/>
      <c r="E353" s="178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178"/>
      <c r="B354" s="178"/>
      <c r="C354" s="178"/>
      <c r="D354" s="178"/>
      <c r="E354" s="178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178"/>
      <c r="B355" s="178"/>
      <c r="C355" s="178"/>
      <c r="D355" s="178"/>
      <c r="E355" s="178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178"/>
      <c r="B356" s="178"/>
      <c r="C356" s="178"/>
      <c r="D356" s="178"/>
      <c r="E356" s="178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178"/>
      <c r="B357" s="178"/>
      <c r="C357" s="178"/>
      <c r="D357" s="178"/>
      <c r="E357" s="178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178"/>
      <c r="B358" s="178"/>
      <c r="C358" s="178"/>
      <c r="D358" s="178"/>
      <c r="E358" s="178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178"/>
      <c r="B359" s="178"/>
      <c r="C359" s="178"/>
      <c r="D359" s="178"/>
      <c r="E359" s="178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178"/>
      <c r="B360" s="178"/>
      <c r="C360" s="178"/>
      <c r="D360" s="178"/>
      <c r="E360" s="178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178"/>
      <c r="B361" s="178"/>
      <c r="C361" s="178"/>
      <c r="D361" s="178"/>
      <c r="E361" s="178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178"/>
      <c r="B362" s="178"/>
      <c r="C362" s="178"/>
      <c r="D362" s="178"/>
      <c r="E362" s="178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178"/>
      <c r="B363" s="178"/>
      <c r="C363" s="178"/>
      <c r="D363" s="178"/>
      <c r="E363" s="178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178"/>
      <c r="B364" s="178"/>
      <c r="C364" s="178"/>
      <c r="D364" s="178"/>
      <c r="E364" s="178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178"/>
      <c r="B365" s="178"/>
      <c r="C365" s="178"/>
      <c r="D365" s="178"/>
      <c r="E365" s="178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178"/>
      <c r="B366" s="178"/>
      <c r="C366" s="178"/>
      <c r="D366" s="178"/>
      <c r="E366" s="178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178"/>
      <c r="B367" s="178"/>
      <c r="C367" s="178"/>
      <c r="D367" s="178"/>
      <c r="E367" s="178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178"/>
      <c r="B368" s="178"/>
      <c r="C368" s="178"/>
      <c r="D368" s="178"/>
      <c r="E368" s="178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178"/>
      <c r="B369" s="178"/>
      <c r="C369" s="178"/>
      <c r="D369" s="178"/>
      <c r="E369" s="178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178"/>
      <c r="B370" s="178"/>
      <c r="C370" s="178"/>
      <c r="D370" s="178"/>
      <c r="E370" s="178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178"/>
      <c r="B371" s="178"/>
      <c r="C371" s="178"/>
      <c r="D371" s="178"/>
      <c r="E371" s="178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178"/>
      <c r="B372" s="178"/>
      <c r="C372" s="178"/>
      <c r="D372" s="178"/>
      <c r="E372" s="178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178"/>
      <c r="B373" s="178"/>
      <c r="C373" s="178"/>
      <c r="D373" s="178"/>
      <c r="E373" s="178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178"/>
      <c r="B374" s="178"/>
      <c r="C374" s="178"/>
      <c r="D374" s="178"/>
      <c r="E374" s="178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178"/>
      <c r="B375" s="178"/>
      <c r="C375" s="178"/>
      <c r="D375" s="178"/>
      <c r="E375" s="178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178"/>
      <c r="B376" s="178"/>
      <c r="C376" s="178"/>
      <c r="D376" s="178"/>
      <c r="E376" s="178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178"/>
      <c r="B377" s="178"/>
      <c r="C377" s="178"/>
      <c r="D377" s="178"/>
      <c r="E377" s="178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178"/>
      <c r="B378" s="178"/>
      <c r="C378" s="178"/>
      <c r="D378" s="178"/>
      <c r="E378" s="178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178"/>
      <c r="B379" s="178"/>
      <c r="C379" s="178"/>
      <c r="D379" s="178"/>
      <c r="E379" s="178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178"/>
      <c r="B380" s="178"/>
      <c r="C380" s="178"/>
      <c r="D380" s="178"/>
      <c r="E380" s="178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178"/>
      <c r="B381" s="178"/>
      <c r="C381" s="178"/>
      <c r="D381" s="178"/>
      <c r="E381" s="178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178"/>
      <c r="B382" s="178"/>
      <c r="C382" s="178"/>
      <c r="D382" s="178"/>
      <c r="E382" s="178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178"/>
      <c r="B383" s="178"/>
      <c r="C383" s="178"/>
      <c r="D383" s="178"/>
      <c r="E383" s="178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178"/>
      <c r="B384" s="178"/>
      <c r="C384" s="178"/>
      <c r="D384" s="178"/>
      <c r="E384" s="178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178"/>
      <c r="B385" s="178"/>
      <c r="C385" s="178"/>
      <c r="D385" s="178"/>
      <c r="E385" s="178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178"/>
      <c r="B386" s="178"/>
      <c r="C386" s="178"/>
      <c r="D386" s="178"/>
      <c r="E386" s="178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178"/>
      <c r="B387" s="178"/>
      <c r="C387" s="178"/>
      <c r="D387" s="178"/>
      <c r="E387" s="178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178"/>
      <c r="B388" s="178"/>
      <c r="C388" s="178"/>
      <c r="D388" s="178"/>
      <c r="E388" s="178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178"/>
      <c r="B389" s="178"/>
      <c r="C389" s="178"/>
      <c r="D389" s="178"/>
      <c r="E389" s="178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178"/>
      <c r="B390" s="178"/>
      <c r="C390" s="178"/>
      <c r="D390" s="178"/>
      <c r="E390" s="178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178"/>
      <c r="B391" s="178"/>
      <c r="C391" s="178"/>
      <c r="D391" s="178"/>
      <c r="E391" s="178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178"/>
      <c r="B392" s="178"/>
      <c r="C392" s="178"/>
      <c r="D392" s="178"/>
      <c r="E392" s="178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178"/>
      <c r="B393" s="178"/>
      <c r="C393" s="178"/>
      <c r="D393" s="178"/>
      <c r="E393" s="178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178"/>
      <c r="B394" s="178"/>
      <c r="C394" s="178"/>
      <c r="D394" s="178"/>
      <c r="E394" s="178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178"/>
      <c r="B395" s="178"/>
      <c r="C395" s="178"/>
      <c r="D395" s="178"/>
      <c r="E395" s="178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178"/>
      <c r="B396" s="178"/>
      <c r="C396" s="178"/>
      <c r="D396" s="178"/>
      <c r="E396" s="178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178"/>
      <c r="B397" s="178"/>
      <c r="C397" s="178"/>
      <c r="D397" s="178"/>
      <c r="E397" s="178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178"/>
      <c r="B398" s="178"/>
      <c r="C398" s="178"/>
      <c r="D398" s="178"/>
      <c r="E398" s="178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178"/>
      <c r="B399" s="178"/>
      <c r="C399" s="178"/>
      <c r="D399" s="178"/>
      <c r="E399" s="178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178"/>
      <c r="B400" s="178"/>
      <c r="C400" s="178"/>
      <c r="D400" s="178"/>
      <c r="E400" s="178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178"/>
      <c r="B401" s="178"/>
      <c r="C401" s="178"/>
      <c r="D401" s="178"/>
      <c r="E401" s="178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178"/>
      <c r="B402" s="178"/>
      <c r="C402" s="178"/>
      <c r="D402" s="178"/>
      <c r="E402" s="178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178"/>
      <c r="B403" s="178"/>
      <c r="C403" s="178"/>
      <c r="D403" s="178"/>
      <c r="E403" s="178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178"/>
      <c r="B404" s="178"/>
      <c r="C404" s="178"/>
      <c r="D404" s="178"/>
      <c r="E404" s="178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178"/>
      <c r="B405" s="178"/>
      <c r="C405" s="178"/>
      <c r="D405" s="178"/>
      <c r="E405" s="178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178"/>
      <c r="B406" s="178"/>
      <c r="C406" s="178"/>
      <c r="D406" s="178"/>
      <c r="E406" s="178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178"/>
      <c r="B407" s="178"/>
      <c r="C407" s="178"/>
      <c r="D407" s="178"/>
      <c r="E407" s="178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178"/>
      <c r="B408" s="178"/>
      <c r="C408" s="178"/>
      <c r="D408" s="178"/>
      <c r="E408" s="178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178"/>
      <c r="B409" s="178"/>
      <c r="C409" s="178"/>
      <c r="D409" s="178"/>
      <c r="E409" s="178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178"/>
      <c r="B410" s="178"/>
      <c r="C410" s="178"/>
      <c r="D410" s="178"/>
      <c r="E410" s="178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178"/>
      <c r="B411" s="178"/>
      <c r="C411" s="178"/>
      <c r="D411" s="178"/>
      <c r="E411" s="178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178"/>
      <c r="B412" s="178"/>
      <c r="C412" s="178"/>
      <c r="D412" s="178"/>
      <c r="E412" s="178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178"/>
      <c r="B413" s="178"/>
      <c r="C413" s="178"/>
      <c r="D413" s="178"/>
      <c r="E413" s="178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178"/>
      <c r="B414" s="178"/>
      <c r="C414" s="178"/>
      <c r="D414" s="178"/>
      <c r="E414" s="178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178"/>
      <c r="B415" s="178"/>
      <c r="C415" s="178"/>
      <c r="D415" s="178"/>
      <c r="E415" s="178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178"/>
      <c r="B416" s="178"/>
      <c r="C416" s="178"/>
      <c r="D416" s="178"/>
      <c r="E416" s="178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178"/>
      <c r="B417" s="178"/>
      <c r="C417" s="178"/>
      <c r="D417" s="178"/>
      <c r="E417" s="178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178"/>
      <c r="B418" s="178"/>
      <c r="C418" s="178"/>
      <c r="D418" s="178"/>
      <c r="E418" s="178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178"/>
      <c r="B419" s="178"/>
      <c r="C419" s="178"/>
      <c r="D419" s="178"/>
      <c r="E419" s="178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178"/>
      <c r="B420" s="178"/>
      <c r="C420" s="178"/>
      <c r="D420" s="178"/>
      <c r="E420" s="178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178"/>
      <c r="B421" s="178"/>
      <c r="C421" s="178"/>
      <c r="D421" s="178"/>
      <c r="E421" s="178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178"/>
      <c r="B422" s="178"/>
      <c r="C422" s="178"/>
      <c r="D422" s="178"/>
      <c r="E422" s="178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178"/>
      <c r="B423" s="178"/>
      <c r="C423" s="178"/>
      <c r="D423" s="178"/>
      <c r="E423" s="178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178"/>
      <c r="B424" s="178"/>
      <c r="C424" s="178"/>
      <c r="D424" s="178"/>
      <c r="E424" s="178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178"/>
      <c r="B425" s="178"/>
      <c r="C425" s="178"/>
      <c r="D425" s="178"/>
      <c r="E425" s="178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178"/>
      <c r="B426" s="178"/>
      <c r="C426" s="178"/>
      <c r="D426" s="178"/>
      <c r="E426" s="178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178"/>
      <c r="B427" s="178"/>
      <c r="C427" s="178"/>
      <c r="D427" s="178"/>
      <c r="E427" s="178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178"/>
      <c r="B428" s="178"/>
      <c r="C428" s="178"/>
      <c r="D428" s="178"/>
      <c r="E428" s="178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178"/>
      <c r="B429" s="178"/>
      <c r="C429" s="178"/>
      <c r="D429" s="178"/>
      <c r="E429" s="178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178"/>
      <c r="B430" s="178"/>
      <c r="C430" s="178"/>
      <c r="D430" s="178"/>
      <c r="E430" s="178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178"/>
      <c r="B431" s="178"/>
      <c r="C431" s="178"/>
      <c r="D431" s="178"/>
      <c r="E431" s="178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178"/>
      <c r="B432" s="178"/>
      <c r="C432" s="178"/>
      <c r="D432" s="178"/>
      <c r="E432" s="178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178"/>
      <c r="B433" s="178"/>
      <c r="C433" s="178"/>
      <c r="D433" s="178"/>
      <c r="E433" s="178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178"/>
      <c r="B434" s="178"/>
      <c r="C434" s="178"/>
      <c r="D434" s="178"/>
      <c r="E434" s="178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178"/>
      <c r="B435" s="178"/>
      <c r="C435" s="178"/>
      <c r="D435" s="178"/>
      <c r="E435" s="178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178"/>
      <c r="B436" s="178"/>
      <c r="C436" s="178"/>
      <c r="D436" s="178"/>
      <c r="E436" s="178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178"/>
      <c r="B437" s="178"/>
      <c r="C437" s="178"/>
      <c r="D437" s="178"/>
      <c r="E437" s="178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178"/>
      <c r="B438" s="178"/>
      <c r="C438" s="178"/>
      <c r="D438" s="178"/>
      <c r="E438" s="178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178"/>
      <c r="B439" s="178"/>
      <c r="C439" s="178"/>
      <c r="D439" s="178"/>
      <c r="E439" s="178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178"/>
      <c r="B440" s="178"/>
      <c r="C440" s="178"/>
      <c r="D440" s="178"/>
      <c r="E440" s="178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178"/>
      <c r="B441" s="178"/>
      <c r="C441" s="178"/>
      <c r="D441" s="178"/>
      <c r="E441" s="178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178"/>
      <c r="B442" s="178"/>
      <c r="C442" s="178"/>
      <c r="D442" s="178"/>
      <c r="E442" s="178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178"/>
      <c r="B443" s="178"/>
      <c r="C443" s="178"/>
      <c r="D443" s="178"/>
      <c r="E443" s="178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178"/>
      <c r="B444" s="178"/>
      <c r="C444" s="178"/>
      <c r="D444" s="178"/>
      <c r="E444" s="178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178"/>
      <c r="B445" s="178"/>
      <c r="C445" s="178"/>
      <c r="D445" s="178"/>
      <c r="E445" s="178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178"/>
      <c r="B446" s="178"/>
      <c r="C446" s="178"/>
      <c r="D446" s="178"/>
      <c r="E446" s="178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178"/>
      <c r="B447" s="178"/>
      <c r="C447" s="178"/>
      <c r="D447" s="178"/>
      <c r="E447" s="178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178"/>
      <c r="B448" s="178"/>
      <c r="C448" s="178"/>
      <c r="D448" s="178"/>
      <c r="E448" s="178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178"/>
      <c r="B449" s="178"/>
      <c r="C449" s="178"/>
      <c r="D449" s="178"/>
      <c r="E449" s="178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178"/>
      <c r="B450" s="178"/>
      <c r="C450" s="178"/>
      <c r="D450" s="178"/>
      <c r="E450" s="178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178"/>
      <c r="B451" s="178"/>
      <c r="C451" s="178"/>
      <c r="D451" s="178"/>
      <c r="E451" s="178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178"/>
      <c r="B452" s="178"/>
      <c r="C452" s="178"/>
      <c r="D452" s="178"/>
      <c r="E452" s="178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178"/>
      <c r="B453" s="178"/>
      <c r="C453" s="178"/>
      <c r="D453" s="178"/>
      <c r="E453" s="178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178"/>
      <c r="B454" s="178"/>
      <c r="C454" s="178"/>
      <c r="D454" s="178"/>
      <c r="E454" s="178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178"/>
      <c r="B455" s="178"/>
      <c r="C455" s="178"/>
      <c r="D455" s="178"/>
      <c r="E455" s="178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178"/>
      <c r="B456" s="178"/>
      <c r="C456" s="178"/>
      <c r="D456" s="178"/>
      <c r="E456" s="178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178"/>
      <c r="B457" s="178"/>
      <c r="C457" s="178"/>
      <c r="D457" s="178"/>
      <c r="E457" s="178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178"/>
      <c r="B458" s="178"/>
      <c r="C458" s="178"/>
      <c r="D458" s="178"/>
      <c r="E458" s="178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178"/>
      <c r="B459" s="178"/>
      <c r="C459" s="178"/>
      <c r="D459" s="178"/>
      <c r="E459" s="178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178"/>
      <c r="B460" s="178"/>
      <c r="C460" s="178"/>
      <c r="D460" s="178"/>
      <c r="E460" s="178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178"/>
      <c r="B461" s="178"/>
      <c r="C461" s="178"/>
      <c r="D461" s="178"/>
      <c r="E461" s="178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178"/>
      <c r="B462" s="178"/>
      <c r="C462" s="178"/>
      <c r="D462" s="178"/>
      <c r="E462" s="178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178"/>
      <c r="B463" s="178"/>
      <c r="C463" s="178"/>
      <c r="D463" s="178"/>
      <c r="E463" s="178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178"/>
      <c r="B464" s="178"/>
      <c r="C464" s="178"/>
      <c r="D464" s="178"/>
      <c r="E464" s="178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178"/>
      <c r="B465" s="178"/>
      <c r="C465" s="178"/>
      <c r="D465" s="178"/>
      <c r="E465" s="178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178"/>
      <c r="B466" s="178"/>
      <c r="C466" s="178"/>
      <c r="D466" s="178"/>
      <c r="E466" s="178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178"/>
      <c r="B467" s="178"/>
      <c r="C467" s="178"/>
      <c r="D467" s="178"/>
      <c r="E467" s="178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178"/>
      <c r="B468" s="178"/>
      <c r="C468" s="178"/>
      <c r="D468" s="178"/>
      <c r="E468" s="178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178"/>
      <c r="B469" s="178"/>
      <c r="C469" s="178"/>
      <c r="D469" s="178"/>
      <c r="E469" s="178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178"/>
      <c r="B470" s="178"/>
      <c r="C470" s="178"/>
      <c r="D470" s="178"/>
      <c r="E470" s="178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178"/>
      <c r="B471" s="178"/>
      <c r="C471" s="178"/>
      <c r="D471" s="178"/>
      <c r="E471" s="178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178"/>
      <c r="B472" s="178"/>
      <c r="C472" s="178"/>
      <c r="D472" s="178"/>
      <c r="E472" s="178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178"/>
      <c r="B473" s="178"/>
      <c r="C473" s="178"/>
      <c r="D473" s="178"/>
      <c r="E473" s="178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178"/>
      <c r="B474" s="178"/>
      <c r="C474" s="178"/>
      <c r="D474" s="178"/>
      <c r="E474" s="178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178"/>
      <c r="B475" s="178"/>
      <c r="C475" s="178"/>
      <c r="D475" s="178"/>
      <c r="E475" s="178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178"/>
      <c r="B476" s="178"/>
      <c r="C476" s="178"/>
      <c r="D476" s="178"/>
      <c r="E476" s="178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178"/>
      <c r="B477" s="178"/>
      <c r="C477" s="178"/>
      <c r="D477" s="178"/>
      <c r="E477" s="178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178"/>
      <c r="B478" s="178"/>
      <c r="C478" s="178"/>
      <c r="D478" s="178"/>
      <c r="E478" s="178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178"/>
      <c r="B479" s="178"/>
      <c r="C479" s="178"/>
      <c r="D479" s="178"/>
      <c r="E479" s="178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178"/>
      <c r="B480" s="178"/>
      <c r="C480" s="178"/>
      <c r="D480" s="178"/>
      <c r="E480" s="178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178"/>
      <c r="B481" s="178"/>
      <c r="C481" s="178"/>
      <c r="D481" s="178"/>
      <c r="E481" s="178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178"/>
      <c r="B482" s="178"/>
      <c r="C482" s="178"/>
      <c r="D482" s="178"/>
      <c r="E482" s="178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178"/>
      <c r="B483" s="178"/>
      <c r="C483" s="178"/>
      <c r="D483" s="178"/>
      <c r="E483" s="178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178"/>
      <c r="B484" s="178"/>
      <c r="C484" s="178"/>
      <c r="D484" s="178"/>
      <c r="E484" s="178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178"/>
      <c r="B485" s="178"/>
      <c r="C485" s="178"/>
      <c r="D485" s="178"/>
      <c r="E485" s="178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178"/>
      <c r="B486" s="178"/>
      <c r="C486" s="178"/>
      <c r="D486" s="178"/>
      <c r="E486" s="178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178"/>
      <c r="B487" s="178"/>
      <c r="C487" s="178"/>
      <c r="D487" s="178"/>
      <c r="E487" s="178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178"/>
      <c r="B488" s="178"/>
      <c r="C488" s="178"/>
      <c r="D488" s="178"/>
      <c r="E488" s="178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178"/>
      <c r="B489" s="178"/>
      <c r="C489" s="178"/>
      <c r="D489" s="178"/>
      <c r="E489" s="178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178"/>
      <c r="B490" s="178"/>
      <c r="C490" s="178"/>
      <c r="D490" s="178"/>
      <c r="E490" s="178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178"/>
      <c r="B491" s="178"/>
      <c r="C491" s="178"/>
      <c r="D491" s="178"/>
      <c r="E491" s="178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178"/>
      <c r="B492" s="178"/>
      <c r="C492" s="178"/>
      <c r="D492" s="178"/>
      <c r="E492" s="178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178"/>
      <c r="B493" s="178"/>
      <c r="C493" s="178"/>
      <c r="D493" s="178"/>
      <c r="E493" s="178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178"/>
      <c r="B494" s="178"/>
      <c r="C494" s="178"/>
      <c r="D494" s="178"/>
      <c r="E494" s="178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178"/>
      <c r="B495" s="178"/>
      <c r="C495" s="178"/>
      <c r="D495" s="178"/>
      <c r="E495" s="178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178"/>
      <c r="B496" s="178"/>
      <c r="C496" s="178"/>
      <c r="D496" s="178"/>
      <c r="E496" s="178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178"/>
      <c r="B497" s="178"/>
      <c r="C497" s="178"/>
      <c r="D497" s="178"/>
      <c r="E497" s="178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178"/>
      <c r="B498" s="178"/>
      <c r="C498" s="178"/>
      <c r="D498" s="178"/>
      <c r="E498" s="178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178"/>
      <c r="B499" s="178"/>
      <c r="C499" s="178"/>
      <c r="D499" s="178"/>
      <c r="E499" s="178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178"/>
      <c r="B500" s="178"/>
      <c r="C500" s="178"/>
      <c r="D500" s="178"/>
      <c r="E500" s="178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178"/>
      <c r="B501" s="178"/>
      <c r="C501" s="178"/>
      <c r="D501" s="178"/>
      <c r="E501" s="178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178"/>
      <c r="B502" s="178"/>
      <c r="C502" s="178"/>
      <c r="D502" s="178"/>
      <c r="E502" s="178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178"/>
      <c r="B503" s="178"/>
      <c r="C503" s="178"/>
      <c r="D503" s="178"/>
      <c r="E503" s="178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178"/>
      <c r="B504" s="178"/>
      <c r="C504" s="178"/>
      <c r="D504" s="178"/>
      <c r="E504" s="178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178"/>
      <c r="B505" s="178"/>
      <c r="C505" s="178"/>
      <c r="D505" s="178"/>
      <c r="E505" s="178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178"/>
      <c r="B506" s="178"/>
      <c r="C506" s="178"/>
      <c r="D506" s="178"/>
      <c r="E506" s="178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178"/>
      <c r="B507" s="178"/>
      <c r="C507" s="178"/>
      <c r="D507" s="178"/>
      <c r="E507" s="178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178"/>
      <c r="B508" s="178"/>
      <c r="C508" s="178"/>
      <c r="D508" s="178"/>
      <c r="E508" s="178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178"/>
      <c r="B509" s="178"/>
      <c r="C509" s="178"/>
      <c r="D509" s="178"/>
      <c r="E509" s="178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178"/>
      <c r="B510" s="178"/>
      <c r="C510" s="178"/>
      <c r="D510" s="178"/>
      <c r="E510" s="178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178"/>
      <c r="B511" s="178"/>
      <c r="C511" s="178"/>
      <c r="D511" s="178"/>
      <c r="E511" s="178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178"/>
      <c r="B512" s="178"/>
      <c r="C512" s="178"/>
      <c r="D512" s="178"/>
      <c r="E512" s="178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178"/>
      <c r="B513" s="178"/>
      <c r="C513" s="178"/>
      <c r="D513" s="178"/>
      <c r="E513" s="178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178"/>
      <c r="B514" s="178"/>
      <c r="C514" s="178"/>
      <c r="D514" s="178"/>
      <c r="E514" s="178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178"/>
      <c r="B515" s="178"/>
      <c r="C515" s="178"/>
      <c r="D515" s="178"/>
      <c r="E515" s="178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178"/>
      <c r="B516" s="178"/>
      <c r="C516" s="178"/>
      <c r="D516" s="178"/>
      <c r="E516" s="178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178"/>
      <c r="B517" s="178"/>
      <c r="C517" s="178"/>
      <c r="D517" s="178"/>
      <c r="E517" s="178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178"/>
      <c r="B518" s="178"/>
      <c r="C518" s="178"/>
      <c r="D518" s="178"/>
      <c r="E518" s="178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178"/>
      <c r="B519" s="178"/>
      <c r="C519" s="178"/>
      <c r="D519" s="178"/>
      <c r="E519" s="178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178"/>
      <c r="B520" s="178"/>
      <c r="C520" s="178"/>
      <c r="D520" s="178"/>
      <c r="E520" s="178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178"/>
      <c r="B521" s="178"/>
      <c r="C521" s="178"/>
      <c r="D521" s="178"/>
      <c r="E521" s="178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178"/>
      <c r="B522" s="178"/>
      <c r="C522" s="178"/>
      <c r="D522" s="178"/>
      <c r="E522" s="178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178"/>
      <c r="B523" s="178"/>
      <c r="C523" s="178"/>
      <c r="D523" s="178"/>
      <c r="E523" s="178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178"/>
      <c r="B524" s="178"/>
      <c r="C524" s="178"/>
      <c r="D524" s="178"/>
      <c r="E524" s="178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178"/>
      <c r="B525" s="178"/>
      <c r="C525" s="178"/>
      <c r="D525" s="178"/>
      <c r="E525" s="178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178"/>
      <c r="B526" s="178"/>
      <c r="C526" s="178"/>
      <c r="D526" s="178"/>
      <c r="E526" s="178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178"/>
      <c r="B527" s="178"/>
      <c r="C527" s="178"/>
      <c r="D527" s="178"/>
      <c r="E527" s="178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178"/>
      <c r="B528" s="178"/>
      <c r="C528" s="178"/>
      <c r="D528" s="178"/>
      <c r="E528" s="178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178"/>
      <c r="B529" s="178"/>
      <c r="C529" s="178"/>
      <c r="D529" s="178"/>
      <c r="E529" s="178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178"/>
      <c r="B530" s="178"/>
      <c r="C530" s="178"/>
      <c r="D530" s="178"/>
      <c r="E530" s="178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178"/>
      <c r="B531" s="178"/>
      <c r="C531" s="178"/>
      <c r="D531" s="178"/>
      <c r="E531" s="178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178"/>
      <c r="B532" s="178"/>
      <c r="C532" s="178"/>
      <c r="D532" s="178"/>
      <c r="E532" s="178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178"/>
      <c r="B533" s="178"/>
      <c r="C533" s="178"/>
      <c r="D533" s="178"/>
      <c r="E533" s="178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178"/>
      <c r="B534" s="178"/>
      <c r="C534" s="178"/>
      <c r="D534" s="178"/>
      <c r="E534" s="178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178"/>
      <c r="B535" s="178"/>
      <c r="C535" s="178"/>
      <c r="D535" s="178"/>
      <c r="E535" s="178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178"/>
      <c r="B536" s="178"/>
      <c r="C536" s="178"/>
      <c r="D536" s="178"/>
      <c r="E536" s="178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178"/>
      <c r="B537" s="178"/>
      <c r="C537" s="178"/>
      <c r="D537" s="178"/>
      <c r="E537" s="178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178"/>
      <c r="B538" s="178"/>
      <c r="C538" s="178"/>
      <c r="D538" s="178"/>
      <c r="E538" s="178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178"/>
      <c r="B539" s="178"/>
      <c r="C539" s="178"/>
      <c r="D539" s="178"/>
      <c r="E539" s="178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178"/>
      <c r="B540" s="178"/>
      <c r="C540" s="178"/>
      <c r="D540" s="178"/>
      <c r="E540" s="178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178"/>
      <c r="B541" s="178"/>
      <c r="C541" s="178"/>
      <c r="D541" s="178"/>
      <c r="E541" s="178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178"/>
      <c r="B542" s="178"/>
      <c r="C542" s="178"/>
      <c r="D542" s="178"/>
      <c r="E542" s="178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178"/>
      <c r="B543" s="178"/>
      <c r="C543" s="178"/>
      <c r="D543" s="178"/>
      <c r="E543" s="178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178"/>
      <c r="B544" s="178"/>
      <c r="C544" s="178"/>
      <c r="D544" s="178"/>
      <c r="E544" s="178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178"/>
      <c r="B545" s="178"/>
      <c r="C545" s="178"/>
      <c r="D545" s="178"/>
      <c r="E545" s="178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178"/>
      <c r="B546" s="178"/>
      <c r="C546" s="178"/>
      <c r="D546" s="178"/>
      <c r="E546" s="178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178"/>
      <c r="B547" s="178"/>
      <c r="C547" s="178"/>
      <c r="D547" s="178"/>
      <c r="E547" s="178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178"/>
      <c r="B548" s="178"/>
      <c r="C548" s="178"/>
      <c r="D548" s="178"/>
      <c r="E548" s="178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178"/>
      <c r="B549" s="178"/>
      <c r="C549" s="178"/>
      <c r="D549" s="178"/>
      <c r="E549" s="178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178"/>
      <c r="B550" s="178"/>
      <c r="C550" s="178"/>
      <c r="D550" s="178"/>
      <c r="E550" s="178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178"/>
      <c r="B551" s="178"/>
      <c r="C551" s="178"/>
      <c r="D551" s="178"/>
      <c r="E551" s="178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178"/>
      <c r="B552" s="178"/>
      <c r="C552" s="178"/>
      <c r="D552" s="178"/>
      <c r="E552" s="178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178"/>
      <c r="B553" s="178"/>
      <c r="C553" s="178"/>
      <c r="D553" s="178"/>
      <c r="E553" s="178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178"/>
      <c r="B554" s="178"/>
      <c r="C554" s="178"/>
      <c r="D554" s="178"/>
      <c r="E554" s="178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178"/>
      <c r="B555" s="178"/>
      <c r="C555" s="178"/>
      <c r="D555" s="178"/>
      <c r="E555" s="178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178"/>
      <c r="B556" s="178"/>
      <c r="C556" s="178"/>
      <c r="D556" s="178"/>
      <c r="E556" s="178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178"/>
      <c r="B557" s="178"/>
      <c r="C557" s="178"/>
      <c r="D557" s="178"/>
      <c r="E557" s="178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178"/>
      <c r="B558" s="178"/>
      <c r="C558" s="178"/>
      <c r="D558" s="178"/>
      <c r="E558" s="178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178"/>
      <c r="B559" s="178"/>
      <c r="C559" s="178"/>
      <c r="D559" s="178"/>
      <c r="E559" s="178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178"/>
      <c r="B560" s="178"/>
      <c r="C560" s="178"/>
      <c r="D560" s="178"/>
      <c r="E560" s="178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178"/>
      <c r="B561" s="178"/>
      <c r="C561" s="178"/>
      <c r="D561" s="178"/>
      <c r="E561" s="178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178"/>
      <c r="B562" s="178"/>
      <c r="C562" s="178"/>
      <c r="D562" s="178"/>
      <c r="E562" s="178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178"/>
      <c r="B563" s="178"/>
      <c r="C563" s="178"/>
      <c r="D563" s="178"/>
      <c r="E563" s="178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178"/>
      <c r="B564" s="178"/>
      <c r="C564" s="178"/>
      <c r="D564" s="178"/>
      <c r="E564" s="178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178"/>
      <c r="B565" s="178"/>
      <c r="C565" s="178"/>
      <c r="D565" s="178"/>
      <c r="E565" s="178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178"/>
      <c r="B566" s="178"/>
      <c r="C566" s="178"/>
      <c r="D566" s="178"/>
      <c r="E566" s="178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178"/>
      <c r="B567" s="178"/>
      <c r="C567" s="178"/>
      <c r="D567" s="178"/>
      <c r="E567" s="178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178"/>
      <c r="B568" s="178"/>
      <c r="C568" s="178"/>
      <c r="D568" s="178"/>
      <c r="E568" s="178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178"/>
      <c r="B569" s="178"/>
      <c r="C569" s="178"/>
      <c r="D569" s="178"/>
      <c r="E569" s="178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178"/>
      <c r="B570" s="178"/>
      <c r="C570" s="178"/>
      <c r="D570" s="178"/>
      <c r="E570" s="178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178"/>
      <c r="B571" s="178"/>
      <c r="C571" s="178"/>
      <c r="D571" s="178"/>
      <c r="E571" s="178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178"/>
      <c r="B572" s="178"/>
      <c r="C572" s="178"/>
      <c r="D572" s="178"/>
      <c r="E572" s="178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178"/>
      <c r="B573" s="178"/>
      <c r="C573" s="178"/>
      <c r="D573" s="178"/>
      <c r="E573" s="178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178"/>
      <c r="B574" s="178"/>
      <c r="C574" s="178"/>
      <c r="D574" s="178"/>
      <c r="E574" s="178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178"/>
      <c r="B575" s="178"/>
      <c r="C575" s="178"/>
      <c r="D575" s="178"/>
      <c r="E575" s="178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178"/>
      <c r="B576" s="178"/>
      <c r="C576" s="178"/>
      <c r="D576" s="178"/>
      <c r="E576" s="178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178"/>
      <c r="B577" s="178"/>
      <c r="C577" s="178"/>
      <c r="D577" s="178"/>
      <c r="E577" s="178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178"/>
      <c r="B578" s="178"/>
      <c r="C578" s="178"/>
      <c r="D578" s="178"/>
      <c r="E578" s="178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178"/>
      <c r="B579" s="178"/>
      <c r="C579" s="178"/>
      <c r="D579" s="178"/>
      <c r="E579" s="178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178"/>
      <c r="B580" s="178"/>
      <c r="C580" s="178"/>
      <c r="D580" s="178"/>
      <c r="E580" s="178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178"/>
      <c r="B581" s="178"/>
      <c r="C581" s="178"/>
      <c r="D581" s="178"/>
      <c r="E581" s="178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178"/>
      <c r="B582" s="178"/>
      <c r="C582" s="178"/>
      <c r="D582" s="178"/>
      <c r="E582" s="178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178"/>
      <c r="B583" s="178"/>
      <c r="C583" s="178"/>
      <c r="D583" s="178"/>
      <c r="E583" s="178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178"/>
      <c r="B584" s="178"/>
      <c r="C584" s="178"/>
      <c r="D584" s="178"/>
      <c r="E584" s="178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178"/>
      <c r="B585" s="178"/>
      <c r="C585" s="178"/>
      <c r="D585" s="178"/>
      <c r="E585" s="178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178"/>
      <c r="B586" s="178"/>
      <c r="C586" s="178"/>
      <c r="D586" s="178"/>
      <c r="E586" s="178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178"/>
      <c r="B587" s="178"/>
      <c r="C587" s="178"/>
      <c r="D587" s="178"/>
      <c r="E587" s="178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178"/>
      <c r="B588" s="178"/>
      <c r="C588" s="178"/>
      <c r="D588" s="178"/>
      <c r="E588" s="178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178"/>
      <c r="B589" s="178"/>
      <c r="C589" s="178"/>
      <c r="D589" s="178"/>
      <c r="E589" s="178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178"/>
      <c r="B590" s="178"/>
      <c r="C590" s="178"/>
      <c r="D590" s="178"/>
      <c r="E590" s="178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178"/>
      <c r="B591" s="178"/>
      <c r="C591" s="178"/>
      <c r="D591" s="178"/>
      <c r="E591" s="178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178"/>
      <c r="B592" s="178"/>
      <c r="C592" s="178"/>
      <c r="D592" s="178"/>
      <c r="E592" s="178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178"/>
      <c r="B593" s="178"/>
      <c r="C593" s="178"/>
      <c r="D593" s="178"/>
      <c r="E593" s="178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178"/>
      <c r="B594" s="178"/>
      <c r="C594" s="178"/>
      <c r="D594" s="178"/>
      <c r="E594" s="178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178"/>
      <c r="B595" s="178"/>
      <c r="C595" s="178"/>
      <c r="D595" s="178"/>
      <c r="E595" s="178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178"/>
      <c r="B596" s="178"/>
      <c r="C596" s="178"/>
      <c r="D596" s="178"/>
      <c r="E596" s="178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178"/>
      <c r="B597" s="178"/>
      <c r="C597" s="178"/>
      <c r="D597" s="178"/>
      <c r="E597" s="178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178"/>
      <c r="B598" s="178"/>
      <c r="C598" s="178"/>
      <c r="D598" s="178"/>
      <c r="E598" s="178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178"/>
      <c r="B599" s="178"/>
      <c r="C599" s="178"/>
      <c r="D599" s="178"/>
      <c r="E599" s="178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178"/>
      <c r="B600" s="178"/>
      <c r="C600" s="178"/>
      <c r="D600" s="178"/>
      <c r="E600" s="178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178"/>
      <c r="B601" s="178"/>
      <c r="C601" s="178"/>
      <c r="D601" s="178"/>
      <c r="E601" s="178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178"/>
      <c r="B602" s="178"/>
      <c r="C602" s="178"/>
      <c r="D602" s="178"/>
      <c r="E602" s="178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178"/>
      <c r="B603" s="178"/>
      <c r="C603" s="178"/>
      <c r="D603" s="178"/>
      <c r="E603" s="178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178"/>
      <c r="B604" s="178"/>
      <c r="C604" s="178"/>
      <c r="D604" s="178"/>
      <c r="E604" s="178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178"/>
      <c r="B605" s="178"/>
      <c r="C605" s="178"/>
      <c r="D605" s="178"/>
      <c r="E605" s="178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178"/>
      <c r="B606" s="178"/>
      <c r="C606" s="178"/>
      <c r="D606" s="178"/>
      <c r="E606" s="178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178"/>
      <c r="B607" s="178"/>
      <c r="C607" s="178"/>
      <c r="D607" s="178"/>
      <c r="E607" s="178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178"/>
      <c r="B608" s="178"/>
      <c r="C608" s="178"/>
      <c r="D608" s="178"/>
      <c r="E608" s="178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178"/>
      <c r="B609" s="178"/>
      <c r="C609" s="178"/>
      <c r="D609" s="178"/>
      <c r="E609" s="178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178"/>
      <c r="B610" s="178"/>
      <c r="C610" s="178"/>
      <c r="D610" s="178"/>
      <c r="E610" s="178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178"/>
      <c r="B611" s="178"/>
      <c r="C611" s="178"/>
      <c r="D611" s="178"/>
      <c r="E611" s="178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178"/>
      <c r="B612" s="178"/>
      <c r="C612" s="178"/>
      <c r="D612" s="178"/>
      <c r="E612" s="178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178"/>
      <c r="B613" s="178"/>
      <c r="C613" s="178"/>
      <c r="D613" s="178"/>
      <c r="E613" s="178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178"/>
      <c r="B614" s="178"/>
      <c r="C614" s="178"/>
      <c r="D614" s="178"/>
      <c r="E614" s="178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178"/>
      <c r="B615" s="178"/>
      <c r="C615" s="178"/>
      <c r="D615" s="178"/>
      <c r="E615" s="178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178"/>
      <c r="B616" s="178"/>
      <c r="C616" s="178"/>
      <c r="D616" s="178"/>
      <c r="E616" s="178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178"/>
      <c r="B617" s="178"/>
      <c r="C617" s="178"/>
      <c r="D617" s="178"/>
      <c r="E617" s="178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178"/>
      <c r="B618" s="178"/>
      <c r="C618" s="178"/>
      <c r="D618" s="178"/>
      <c r="E618" s="178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178"/>
      <c r="B619" s="178"/>
      <c r="C619" s="178"/>
      <c r="D619" s="178"/>
      <c r="E619" s="178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178"/>
      <c r="B620" s="178"/>
      <c r="C620" s="178"/>
      <c r="D620" s="178"/>
      <c r="E620" s="178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178"/>
      <c r="B621" s="178"/>
      <c r="C621" s="178"/>
      <c r="D621" s="178"/>
      <c r="E621" s="178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178"/>
      <c r="B622" s="178"/>
      <c r="C622" s="178"/>
      <c r="D622" s="178"/>
      <c r="E622" s="178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178"/>
      <c r="B623" s="178"/>
      <c r="C623" s="178"/>
      <c r="D623" s="178"/>
      <c r="E623" s="178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178"/>
      <c r="B624" s="178"/>
      <c r="C624" s="178"/>
      <c r="D624" s="178"/>
      <c r="E624" s="178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178"/>
      <c r="B625" s="178"/>
      <c r="C625" s="178"/>
      <c r="D625" s="178"/>
      <c r="E625" s="178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178"/>
      <c r="B626" s="178"/>
      <c r="C626" s="178"/>
      <c r="D626" s="178"/>
      <c r="E626" s="178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178"/>
      <c r="B627" s="178"/>
      <c r="C627" s="178"/>
      <c r="D627" s="178"/>
      <c r="E627" s="178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178"/>
      <c r="B628" s="178"/>
      <c r="C628" s="178"/>
      <c r="D628" s="178"/>
      <c r="E628" s="178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178"/>
      <c r="B629" s="178"/>
      <c r="C629" s="178"/>
      <c r="D629" s="178"/>
      <c r="E629" s="178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178"/>
      <c r="B630" s="178"/>
      <c r="C630" s="178"/>
      <c r="D630" s="178"/>
      <c r="E630" s="178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178"/>
      <c r="B631" s="178"/>
      <c r="C631" s="178"/>
      <c r="D631" s="178"/>
      <c r="E631" s="178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178"/>
      <c r="B632" s="178"/>
      <c r="C632" s="178"/>
      <c r="D632" s="178"/>
      <c r="E632" s="178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178"/>
      <c r="B633" s="178"/>
      <c r="C633" s="178"/>
      <c r="D633" s="178"/>
      <c r="E633" s="178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178"/>
      <c r="B634" s="178"/>
      <c r="C634" s="178"/>
      <c r="D634" s="178"/>
      <c r="E634" s="178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178"/>
      <c r="B635" s="178"/>
      <c r="C635" s="178"/>
      <c r="D635" s="178"/>
      <c r="E635" s="178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178"/>
      <c r="B636" s="178"/>
      <c r="C636" s="178"/>
      <c r="D636" s="178"/>
      <c r="E636" s="178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178"/>
      <c r="B637" s="178"/>
      <c r="C637" s="178"/>
      <c r="D637" s="178"/>
      <c r="E637" s="178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178"/>
      <c r="B638" s="178"/>
      <c r="C638" s="178"/>
      <c r="D638" s="178"/>
      <c r="E638" s="178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178"/>
      <c r="B639" s="178"/>
      <c r="C639" s="178"/>
      <c r="D639" s="178"/>
      <c r="E639" s="178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178"/>
      <c r="B640" s="178"/>
      <c r="C640" s="178"/>
      <c r="D640" s="178"/>
      <c r="E640" s="178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178"/>
      <c r="B641" s="178"/>
      <c r="C641" s="178"/>
      <c r="D641" s="178"/>
      <c r="E641" s="178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178"/>
      <c r="B642" s="178"/>
      <c r="C642" s="178"/>
      <c r="D642" s="178"/>
      <c r="E642" s="178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178"/>
      <c r="B643" s="178"/>
      <c r="C643" s="178"/>
      <c r="D643" s="178"/>
      <c r="E643" s="178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178"/>
      <c r="B644" s="178"/>
      <c r="C644" s="178"/>
      <c r="D644" s="178"/>
      <c r="E644" s="178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178"/>
      <c r="B645" s="178"/>
      <c r="C645" s="178"/>
      <c r="D645" s="178"/>
      <c r="E645" s="178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178"/>
      <c r="B646" s="178"/>
      <c r="C646" s="178"/>
      <c r="D646" s="178"/>
      <c r="E646" s="178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178"/>
      <c r="B647" s="178"/>
      <c r="C647" s="178"/>
      <c r="D647" s="178"/>
      <c r="E647" s="178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178"/>
      <c r="B648" s="178"/>
      <c r="C648" s="178"/>
      <c r="D648" s="178"/>
      <c r="E648" s="178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178"/>
      <c r="B649" s="178"/>
      <c r="C649" s="178"/>
      <c r="D649" s="178"/>
      <c r="E649" s="178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178"/>
      <c r="B650" s="178"/>
      <c r="C650" s="178"/>
      <c r="D650" s="178"/>
      <c r="E650" s="178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178"/>
      <c r="B651" s="178"/>
      <c r="C651" s="178"/>
      <c r="D651" s="178"/>
      <c r="E651" s="178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178"/>
      <c r="B652" s="178"/>
      <c r="C652" s="178"/>
      <c r="D652" s="178"/>
      <c r="E652" s="178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178"/>
      <c r="B653" s="178"/>
      <c r="C653" s="178"/>
      <c r="D653" s="178"/>
      <c r="E653" s="178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178"/>
      <c r="B654" s="178"/>
      <c r="C654" s="178"/>
      <c r="D654" s="178"/>
      <c r="E654" s="178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178"/>
      <c r="B655" s="178"/>
      <c r="C655" s="178"/>
      <c r="D655" s="178"/>
      <c r="E655" s="178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178"/>
      <c r="B656" s="178"/>
      <c r="C656" s="178"/>
      <c r="D656" s="178"/>
      <c r="E656" s="178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178"/>
      <c r="B657" s="178"/>
      <c r="C657" s="178"/>
      <c r="D657" s="178"/>
      <c r="E657" s="178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178"/>
      <c r="B658" s="178"/>
      <c r="C658" s="178"/>
      <c r="D658" s="178"/>
      <c r="E658" s="178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178"/>
      <c r="B659" s="178"/>
      <c r="C659" s="178"/>
      <c r="D659" s="178"/>
      <c r="E659" s="178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178"/>
      <c r="B660" s="178"/>
      <c r="C660" s="178"/>
      <c r="D660" s="178"/>
      <c r="E660" s="178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178"/>
      <c r="B661" s="178"/>
      <c r="C661" s="178"/>
      <c r="D661" s="178"/>
      <c r="E661" s="178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178"/>
      <c r="B662" s="178"/>
      <c r="C662" s="178"/>
      <c r="D662" s="178"/>
      <c r="E662" s="178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178"/>
      <c r="B663" s="178"/>
      <c r="C663" s="178"/>
      <c r="D663" s="178"/>
      <c r="E663" s="178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178"/>
      <c r="B664" s="178"/>
      <c r="C664" s="178"/>
      <c r="D664" s="178"/>
      <c r="E664" s="178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178"/>
      <c r="B665" s="178"/>
      <c r="C665" s="178"/>
      <c r="D665" s="178"/>
      <c r="E665" s="178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178"/>
      <c r="B666" s="178"/>
      <c r="C666" s="178"/>
      <c r="D666" s="178"/>
      <c r="E666" s="178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178"/>
      <c r="B667" s="178"/>
      <c r="C667" s="178"/>
      <c r="D667" s="178"/>
      <c r="E667" s="178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178"/>
      <c r="B668" s="178"/>
      <c r="C668" s="178"/>
      <c r="D668" s="178"/>
      <c r="E668" s="178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178"/>
      <c r="B669" s="178"/>
      <c r="C669" s="178"/>
      <c r="D669" s="178"/>
      <c r="E669" s="178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178"/>
      <c r="B670" s="178"/>
      <c r="C670" s="178"/>
      <c r="D670" s="178"/>
      <c r="E670" s="178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178"/>
      <c r="B671" s="178"/>
      <c r="C671" s="178"/>
      <c r="D671" s="178"/>
      <c r="E671" s="178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178"/>
      <c r="B672" s="178"/>
      <c r="C672" s="178"/>
      <c r="D672" s="178"/>
      <c r="E672" s="178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178"/>
      <c r="B673" s="178"/>
      <c r="C673" s="178"/>
      <c r="D673" s="178"/>
      <c r="E673" s="178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178"/>
      <c r="B674" s="178"/>
      <c r="C674" s="178"/>
      <c r="D674" s="178"/>
      <c r="E674" s="178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178"/>
      <c r="B675" s="178"/>
      <c r="C675" s="178"/>
      <c r="D675" s="178"/>
      <c r="E675" s="178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178"/>
      <c r="B676" s="178"/>
      <c r="C676" s="178"/>
      <c r="D676" s="178"/>
      <c r="E676" s="178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178"/>
      <c r="B677" s="178"/>
      <c r="C677" s="178"/>
      <c r="D677" s="178"/>
      <c r="E677" s="178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178"/>
      <c r="B678" s="178"/>
      <c r="C678" s="178"/>
      <c r="D678" s="178"/>
      <c r="E678" s="178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178"/>
      <c r="B679" s="178"/>
      <c r="C679" s="178"/>
      <c r="D679" s="178"/>
      <c r="E679" s="178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178"/>
      <c r="B680" s="178"/>
      <c r="C680" s="178"/>
      <c r="D680" s="178"/>
      <c r="E680" s="178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178"/>
      <c r="B681" s="178"/>
      <c r="C681" s="178"/>
      <c r="D681" s="178"/>
      <c r="E681" s="178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178"/>
      <c r="B682" s="178"/>
      <c r="C682" s="178"/>
      <c r="D682" s="178"/>
      <c r="E682" s="178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178"/>
      <c r="B683" s="178"/>
      <c r="C683" s="178"/>
      <c r="D683" s="178"/>
      <c r="E683" s="178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178"/>
      <c r="B684" s="178"/>
      <c r="C684" s="178"/>
      <c r="D684" s="178"/>
      <c r="E684" s="178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178"/>
      <c r="B685" s="178"/>
      <c r="C685" s="178"/>
      <c r="D685" s="178"/>
      <c r="E685" s="178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178"/>
      <c r="B686" s="178"/>
      <c r="C686" s="178"/>
      <c r="D686" s="178"/>
      <c r="E686" s="178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178"/>
      <c r="B687" s="178"/>
      <c r="C687" s="178"/>
      <c r="D687" s="178"/>
      <c r="E687" s="178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178"/>
      <c r="B688" s="178"/>
      <c r="C688" s="178"/>
      <c r="D688" s="178"/>
      <c r="E688" s="178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178"/>
      <c r="B689" s="178"/>
      <c r="C689" s="178"/>
      <c r="D689" s="178"/>
      <c r="E689" s="178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178"/>
      <c r="B690" s="178"/>
      <c r="C690" s="178"/>
      <c r="D690" s="178"/>
      <c r="E690" s="178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178"/>
      <c r="B691" s="178"/>
      <c r="C691" s="178"/>
      <c r="D691" s="178"/>
      <c r="E691" s="178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178"/>
      <c r="B692" s="178"/>
      <c r="C692" s="178"/>
      <c r="D692" s="178"/>
      <c r="E692" s="178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178"/>
      <c r="B693" s="178"/>
      <c r="C693" s="178"/>
      <c r="D693" s="178"/>
      <c r="E693" s="178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178"/>
      <c r="B694" s="178"/>
      <c r="C694" s="178"/>
      <c r="D694" s="178"/>
      <c r="E694" s="178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178"/>
      <c r="B695" s="178"/>
      <c r="C695" s="178"/>
      <c r="D695" s="178"/>
      <c r="E695" s="178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178"/>
      <c r="B696" s="178"/>
      <c r="C696" s="178"/>
      <c r="D696" s="178"/>
      <c r="E696" s="178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178"/>
      <c r="B697" s="178"/>
      <c r="C697" s="178"/>
      <c r="D697" s="178"/>
      <c r="E697" s="178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178"/>
      <c r="B698" s="178"/>
      <c r="C698" s="178"/>
      <c r="D698" s="178"/>
      <c r="E698" s="178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178"/>
      <c r="B699" s="178"/>
      <c r="C699" s="178"/>
      <c r="D699" s="178"/>
      <c r="E699" s="178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178"/>
      <c r="B700" s="178"/>
      <c r="C700" s="178"/>
      <c r="D700" s="178"/>
      <c r="E700" s="178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178"/>
      <c r="B701" s="178"/>
      <c r="C701" s="178"/>
      <c r="D701" s="178"/>
      <c r="E701" s="178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178"/>
      <c r="B702" s="178"/>
      <c r="C702" s="178"/>
      <c r="D702" s="178"/>
      <c r="E702" s="178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178"/>
      <c r="B703" s="178"/>
      <c r="C703" s="178"/>
      <c r="D703" s="178"/>
      <c r="E703" s="178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178"/>
      <c r="B704" s="178"/>
      <c r="C704" s="178"/>
      <c r="D704" s="178"/>
      <c r="E704" s="178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178"/>
      <c r="B705" s="178"/>
      <c r="C705" s="178"/>
      <c r="D705" s="178"/>
      <c r="E705" s="178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178"/>
      <c r="B706" s="178"/>
      <c r="C706" s="178"/>
      <c r="D706" s="178"/>
      <c r="E706" s="178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178"/>
      <c r="B707" s="178"/>
      <c r="C707" s="178"/>
      <c r="D707" s="178"/>
      <c r="E707" s="178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178"/>
      <c r="B708" s="178"/>
      <c r="C708" s="178"/>
      <c r="D708" s="178"/>
      <c r="E708" s="178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178"/>
      <c r="B709" s="178"/>
      <c r="C709" s="178"/>
      <c r="D709" s="178"/>
      <c r="E709" s="178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178"/>
      <c r="B710" s="178"/>
      <c r="C710" s="178"/>
      <c r="D710" s="178"/>
      <c r="E710" s="178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178"/>
      <c r="B711" s="178"/>
      <c r="C711" s="178"/>
      <c r="D711" s="178"/>
      <c r="E711" s="178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178"/>
      <c r="B712" s="178"/>
      <c r="C712" s="178"/>
      <c r="D712" s="178"/>
      <c r="E712" s="178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178"/>
      <c r="B713" s="178"/>
      <c r="C713" s="178"/>
      <c r="D713" s="178"/>
      <c r="E713" s="178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178"/>
      <c r="B714" s="178"/>
      <c r="C714" s="178"/>
      <c r="D714" s="178"/>
      <c r="E714" s="178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178"/>
      <c r="B715" s="178"/>
      <c r="C715" s="178"/>
      <c r="D715" s="178"/>
      <c r="E715" s="178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178"/>
      <c r="B716" s="178"/>
      <c r="C716" s="178"/>
      <c r="D716" s="178"/>
      <c r="E716" s="178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178"/>
      <c r="B717" s="178"/>
      <c r="C717" s="178"/>
      <c r="D717" s="178"/>
      <c r="E717" s="178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178"/>
      <c r="B718" s="178"/>
      <c r="C718" s="178"/>
      <c r="D718" s="178"/>
      <c r="E718" s="178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178"/>
      <c r="B719" s="178"/>
      <c r="C719" s="178"/>
      <c r="D719" s="178"/>
      <c r="E719" s="178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178"/>
      <c r="B720" s="178"/>
      <c r="C720" s="178"/>
      <c r="D720" s="178"/>
      <c r="E720" s="178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178"/>
      <c r="B721" s="178"/>
      <c r="C721" s="178"/>
      <c r="D721" s="178"/>
      <c r="E721" s="178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178"/>
      <c r="B722" s="178"/>
      <c r="C722" s="178"/>
      <c r="D722" s="178"/>
      <c r="E722" s="178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178"/>
      <c r="B723" s="178"/>
      <c r="C723" s="178"/>
      <c r="D723" s="178"/>
      <c r="E723" s="178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178"/>
      <c r="B724" s="178"/>
      <c r="C724" s="178"/>
      <c r="D724" s="178"/>
      <c r="E724" s="178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178"/>
      <c r="B725" s="178"/>
      <c r="C725" s="178"/>
      <c r="D725" s="178"/>
      <c r="E725" s="178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178"/>
      <c r="B726" s="178"/>
      <c r="C726" s="178"/>
      <c r="D726" s="178"/>
      <c r="E726" s="178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178"/>
      <c r="B727" s="178"/>
      <c r="C727" s="178"/>
      <c r="D727" s="178"/>
      <c r="E727" s="178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178"/>
      <c r="B728" s="178"/>
      <c r="C728" s="178"/>
      <c r="D728" s="178"/>
      <c r="E728" s="178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178"/>
      <c r="B729" s="178"/>
      <c r="C729" s="178"/>
      <c r="D729" s="178"/>
      <c r="E729" s="178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178"/>
      <c r="B730" s="178"/>
      <c r="C730" s="178"/>
      <c r="D730" s="178"/>
      <c r="E730" s="178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178"/>
      <c r="B731" s="178"/>
      <c r="C731" s="178"/>
      <c r="D731" s="178"/>
      <c r="E731" s="178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178"/>
      <c r="B732" s="178"/>
      <c r="C732" s="178"/>
      <c r="D732" s="178"/>
      <c r="E732" s="178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178"/>
      <c r="B733" s="178"/>
      <c r="C733" s="178"/>
      <c r="D733" s="178"/>
      <c r="E733" s="178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178"/>
      <c r="B734" s="178"/>
      <c r="C734" s="178"/>
      <c r="D734" s="178"/>
      <c r="E734" s="178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178"/>
      <c r="B735" s="178"/>
      <c r="C735" s="178"/>
      <c r="D735" s="178"/>
      <c r="E735" s="178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178"/>
      <c r="B736" s="178"/>
      <c r="C736" s="178"/>
      <c r="D736" s="178"/>
      <c r="E736" s="178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178"/>
      <c r="B737" s="178"/>
      <c r="C737" s="178"/>
      <c r="D737" s="178"/>
      <c r="E737" s="178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178"/>
      <c r="B738" s="178"/>
      <c r="C738" s="178"/>
      <c r="D738" s="178"/>
      <c r="E738" s="178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178"/>
      <c r="B739" s="178"/>
      <c r="C739" s="178"/>
      <c r="D739" s="178"/>
      <c r="E739" s="178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178"/>
      <c r="B740" s="178"/>
      <c r="C740" s="178"/>
      <c r="D740" s="178"/>
      <c r="E740" s="178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178"/>
      <c r="B741" s="178"/>
      <c r="C741" s="178"/>
      <c r="D741" s="178"/>
      <c r="E741" s="178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178"/>
      <c r="B742" s="178"/>
      <c r="C742" s="178"/>
      <c r="D742" s="178"/>
      <c r="E742" s="178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178"/>
      <c r="B743" s="178"/>
      <c r="C743" s="178"/>
      <c r="D743" s="178"/>
      <c r="E743" s="178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178"/>
      <c r="B744" s="178"/>
      <c r="C744" s="178"/>
      <c r="D744" s="178"/>
      <c r="E744" s="178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178"/>
      <c r="B745" s="178"/>
      <c r="C745" s="178"/>
      <c r="D745" s="178"/>
      <c r="E745" s="178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178"/>
      <c r="B746" s="178"/>
      <c r="C746" s="178"/>
      <c r="D746" s="178"/>
      <c r="E746" s="178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178"/>
      <c r="B747" s="178"/>
      <c r="C747" s="178"/>
      <c r="D747" s="178"/>
      <c r="E747" s="178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178"/>
      <c r="B748" s="178"/>
      <c r="C748" s="178"/>
      <c r="D748" s="178"/>
      <c r="E748" s="178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178"/>
      <c r="B749" s="178"/>
      <c r="C749" s="178"/>
      <c r="D749" s="178"/>
      <c r="E749" s="178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178"/>
      <c r="B750" s="178"/>
      <c r="C750" s="178"/>
      <c r="D750" s="178"/>
      <c r="E750" s="178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178"/>
      <c r="B751" s="178"/>
      <c r="C751" s="178"/>
      <c r="D751" s="178"/>
      <c r="E751" s="178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178"/>
      <c r="B752" s="178"/>
      <c r="C752" s="178"/>
      <c r="D752" s="178"/>
      <c r="E752" s="178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178"/>
      <c r="B753" s="178"/>
      <c r="C753" s="178"/>
      <c r="D753" s="178"/>
      <c r="E753" s="178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178"/>
      <c r="B754" s="178"/>
      <c r="C754" s="178"/>
      <c r="D754" s="178"/>
      <c r="E754" s="178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178"/>
      <c r="B755" s="178"/>
      <c r="C755" s="178"/>
      <c r="D755" s="178"/>
      <c r="E755" s="178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178"/>
      <c r="B756" s="178"/>
      <c r="C756" s="178"/>
      <c r="D756" s="178"/>
      <c r="E756" s="178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178"/>
      <c r="B757" s="178"/>
      <c r="C757" s="178"/>
      <c r="D757" s="178"/>
      <c r="E757" s="178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178"/>
      <c r="B758" s="178"/>
      <c r="C758" s="178"/>
      <c r="D758" s="178"/>
      <c r="E758" s="178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178"/>
      <c r="B759" s="178"/>
      <c r="C759" s="178"/>
      <c r="D759" s="178"/>
      <c r="E759" s="178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178"/>
      <c r="B760" s="178"/>
      <c r="C760" s="178"/>
      <c r="D760" s="178"/>
      <c r="E760" s="178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178"/>
      <c r="B761" s="178"/>
      <c r="C761" s="178"/>
      <c r="D761" s="178"/>
      <c r="E761" s="178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178"/>
      <c r="B762" s="178"/>
      <c r="C762" s="178"/>
      <c r="D762" s="178"/>
      <c r="E762" s="178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178"/>
      <c r="B763" s="178"/>
      <c r="C763" s="178"/>
      <c r="D763" s="178"/>
      <c r="E763" s="178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178"/>
      <c r="B764" s="178"/>
      <c r="C764" s="178"/>
      <c r="D764" s="178"/>
      <c r="E764" s="178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178"/>
      <c r="B765" s="178"/>
      <c r="C765" s="178"/>
      <c r="D765" s="178"/>
      <c r="E765" s="178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178"/>
      <c r="B766" s="178"/>
      <c r="C766" s="178"/>
      <c r="D766" s="178"/>
      <c r="E766" s="178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178"/>
      <c r="B767" s="178"/>
      <c r="C767" s="178"/>
      <c r="D767" s="178"/>
      <c r="E767" s="178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178"/>
      <c r="B768" s="178"/>
      <c r="C768" s="178"/>
      <c r="D768" s="178"/>
      <c r="E768" s="178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178"/>
      <c r="B769" s="178"/>
      <c r="C769" s="178"/>
      <c r="D769" s="178"/>
      <c r="E769" s="178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178"/>
      <c r="B770" s="178"/>
      <c r="C770" s="178"/>
      <c r="D770" s="178"/>
      <c r="E770" s="178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178"/>
      <c r="B771" s="178"/>
      <c r="C771" s="178"/>
      <c r="D771" s="178"/>
      <c r="E771" s="178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178"/>
      <c r="B772" s="178"/>
      <c r="C772" s="178"/>
      <c r="D772" s="178"/>
      <c r="E772" s="178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178"/>
      <c r="B773" s="178"/>
      <c r="C773" s="178"/>
      <c r="D773" s="178"/>
      <c r="E773" s="178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178"/>
      <c r="B774" s="178"/>
      <c r="C774" s="178"/>
      <c r="D774" s="178"/>
      <c r="E774" s="178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178"/>
      <c r="B775" s="178"/>
      <c r="C775" s="178"/>
      <c r="D775" s="178"/>
      <c r="E775" s="178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178"/>
      <c r="B776" s="178"/>
      <c r="C776" s="178"/>
      <c r="D776" s="178"/>
      <c r="E776" s="178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178"/>
      <c r="B777" s="178"/>
      <c r="C777" s="178"/>
      <c r="D777" s="178"/>
      <c r="E777" s="178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178"/>
      <c r="B778" s="178"/>
      <c r="C778" s="178"/>
      <c r="D778" s="178"/>
      <c r="E778" s="178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178"/>
      <c r="B779" s="178"/>
      <c r="C779" s="178"/>
      <c r="D779" s="178"/>
      <c r="E779" s="178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178"/>
      <c r="B780" s="178"/>
      <c r="C780" s="178"/>
      <c r="D780" s="178"/>
      <c r="E780" s="178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178"/>
      <c r="B781" s="178"/>
      <c r="C781" s="178"/>
      <c r="D781" s="178"/>
      <c r="E781" s="178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178"/>
      <c r="B782" s="178"/>
      <c r="C782" s="178"/>
      <c r="D782" s="178"/>
      <c r="E782" s="178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178"/>
      <c r="B783" s="178"/>
      <c r="C783" s="178"/>
      <c r="D783" s="178"/>
      <c r="E783" s="178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178"/>
      <c r="B784" s="178"/>
      <c r="C784" s="178"/>
      <c r="D784" s="178"/>
      <c r="E784" s="178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178"/>
      <c r="B785" s="178"/>
      <c r="C785" s="178"/>
      <c r="D785" s="178"/>
      <c r="E785" s="178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178"/>
      <c r="B786" s="178"/>
      <c r="C786" s="178"/>
      <c r="D786" s="178"/>
      <c r="E786" s="178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178"/>
      <c r="B787" s="178"/>
      <c r="C787" s="178"/>
      <c r="D787" s="178"/>
      <c r="E787" s="178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178"/>
      <c r="B788" s="178"/>
      <c r="C788" s="178"/>
      <c r="D788" s="178"/>
      <c r="E788" s="178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178"/>
      <c r="B789" s="178"/>
      <c r="C789" s="178"/>
      <c r="D789" s="178"/>
      <c r="E789" s="178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178"/>
      <c r="B790" s="178"/>
      <c r="C790" s="178"/>
      <c r="D790" s="178"/>
      <c r="E790" s="178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178"/>
      <c r="B791" s="178"/>
      <c r="C791" s="178"/>
      <c r="D791" s="178"/>
      <c r="E791" s="178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178"/>
      <c r="B792" s="178"/>
      <c r="C792" s="178"/>
      <c r="D792" s="178"/>
      <c r="E792" s="178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178"/>
      <c r="B793" s="178"/>
      <c r="C793" s="178"/>
      <c r="D793" s="178"/>
      <c r="E793" s="178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178"/>
      <c r="B794" s="178"/>
      <c r="C794" s="178"/>
      <c r="D794" s="178"/>
      <c r="E794" s="178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178"/>
      <c r="B795" s="178"/>
      <c r="C795" s="178"/>
      <c r="D795" s="178"/>
      <c r="E795" s="178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178"/>
      <c r="B796" s="178"/>
      <c r="C796" s="178"/>
      <c r="D796" s="178"/>
      <c r="E796" s="178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178"/>
      <c r="B797" s="178"/>
      <c r="C797" s="178"/>
      <c r="D797" s="178"/>
      <c r="E797" s="178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178"/>
      <c r="B798" s="178"/>
      <c r="C798" s="178"/>
      <c r="D798" s="178"/>
      <c r="E798" s="178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178"/>
      <c r="B799" s="178"/>
      <c r="C799" s="178"/>
      <c r="D799" s="178"/>
      <c r="E799" s="178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178"/>
      <c r="B800" s="178"/>
      <c r="C800" s="178"/>
      <c r="D800" s="178"/>
      <c r="E800" s="178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178"/>
      <c r="B801" s="178"/>
      <c r="C801" s="178"/>
      <c r="D801" s="178"/>
      <c r="E801" s="178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178"/>
      <c r="B802" s="178"/>
      <c r="C802" s="178"/>
      <c r="D802" s="178"/>
      <c r="E802" s="178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178"/>
      <c r="B803" s="178"/>
      <c r="C803" s="178"/>
      <c r="D803" s="178"/>
      <c r="E803" s="178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178"/>
      <c r="B804" s="178"/>
      <c r="C804" s="178"/>
      <c r="D804" s="178"/>
      <c r="E804" s="178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178"/>
      <c r="B805" s="178"/>
      <c r="C805" s="178"/>
      <c r="D805" s="178"/>
      <c r="E805" s="178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178"/>
      <c r="B806" s="178"/>
      <c r="C806" s="178"/>
      <c r="D806" s="178"/>
      <c r="E806" s="178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178"/>
      <c r="B807" s="178"/>
      <c r="C807" s="178"/>
      <c r="D807" s="178"/>
      <c r="E807" s="178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178"/>
      <c r="B808" s="178"/>
      <c r="C808" s="178"/>
      <c r="D808" s="178"/>
      <c r="E808" s="178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178"/>
      <c r="B809" s="178"/>
      <c r="C809" s="178"/>
      <c r="D809" s="178"/>
      <c r="E809" s="178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178"/>
      <c r="B810" s="178"/>
      <c r="C810" s="178"/>
      <c r="D810" s="178"/>
      <c r="E810" s="178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178"/>
      <c r="B811" s="178"/>
      <c r="C811" s="178"/>
      <c r="D811" s="178"/>
      <c r="E811" s="178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178"/>
      <c r="B812" s="178"/>
      <c r="C812" s="178"/>
      <c r="D812" s="178"/>
      <c r="E812" s="178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178"/>
      <c r="B813" s="178"/>
      <c r="C813" s="178"/>
      <c r="D813" s="178"/>
      <c r="E813" s="178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178"/>
      <c r="B814" s="178"/>
      <c r="C814" s="178"/>
      <c r="D814" s="178"/>
      <c r="E814" s="178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178"/>
      <c r="B815" s="178"/>
      <c r="C815" s="178"/>
      <c r="D815" s="178"/>
      <c r="E815" s="178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178"/>
      <c r="B816" s="178"/>
      <c r="C816" s="178"/>
      <c r="D816" s="178"/>
      <c r="E816" s="178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178"/>
      <c r="B817" s="178"/>
      <c r="C817" s="178"/>
      <c r="D817" s="178"/>
      <c r="E817" s="178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178"/>
      <c r="B818" s="178"/>
      <c r="C818" s="178"/>
      <c r="D818" s="178"/>
      <c r="E818" s="178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178"/>
      <c r="B819" s="178"/>
      <c r="C819" s="178"/>
      <c r="D819" s="178"/>
      <c r="E819" s="178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178"/>
      <c r="B820" s="178"/>
      <c r="C820" s="178"/>
      <c r="D820" s="178"/>
      <c r="E820" s="178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178"/>
      <c r="B821" s="178"/>
      <c r="C821" s="178"/>
      <c r="D821" s="178"/>
      <c r="E821" s="178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178"/>
      <c r="B822" s="178"/>
      <c r="C822" s="178"/>
      <c r="D822" s="178"/>
      <c r="E822" s="178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178"/>
      <c r="B823" s="178"/>
      <c r="C823" s="178"/>
      <c r="D823" s="178"/>
      <c r="E823" s="178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178"/>
      <c r="B824" s="178"/>
      <c r="C824" s="178"/>
      <c r="D824" s="178"/>
      <c r="E824" s="178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178"/>
      <c r="B825" s="178"/>
      <c r="C825" s="178"/>
      <c r="D825" s="178"/>
      <c r="E825" s="178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178"/>
      <c r="B826" s="178"/>
      <c r="C826" s="178"/>
      <c r="D826" s="178"/>
      <c r="E826" s="178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178"/>
      <c r="B827" s="178"/>
      <c r="C827" s="178"/>
      <c r="D827" s="178"/>
      <c r="E827" s="178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178"/>
      <c r="B828" s="178"/>
      <c r="C828" s="178"/>
      <c r="D828" s="178"/>
      <c r="E828" s="178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178"/>
      <c r="B829" s="178"/>
      <c r="C829" s="178"/>
      <c r="D829" s="178"/>
      <c r="E829" s="178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178"/>
      <c r="B830" s="178"/>
      <c r="C830" s="178"/>
      <c r="D830" s="178"/>
      <c r="E830" s="178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178"/>
      <c r="B831" s="178"/>
      <c r="C831" s="178"/>
      <c r="D831" s="178"/>
      <c r="E831" s="178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178"/>
      <c r="B832" s="178"/>
      <c r="C832" s="178"/>
      <c r="D832" s="178"/>
      <c r="E832" s="178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178"/>
      <c r="B833" s="178"/>
      <c r="C833" s="178"/>
      <c r="D833" s="178"/>
      <c r="E833" s="178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178"/>
      <c r="B834" s="178"/>
      <c r="C834" s="178"/>
      <c r="D834" s="178"/>
      <c r="E834" s="178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178"/>
      <c r="B835" s="178"/>
      <c r="C835" s="178"/>
      <c r="D835" s="178"/>
      <c r="E835" s="178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178"/>
      <c r="B836" s="178"/>
      <c r="C836" s="178"/>
      <c r="D836" s="178"/>
      <c r="E836" s="178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178"/>
      <c r="B837" s="178"/>
      <c r="C837" s="178"/>
      <c r="D837" s="178"/>
      <c r="E837" s="178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178"/>
      <c r="B838" s="178"/>
      <c r="C838" s="178"/>
      <c r="D838" s="178"/>
      <c r="E838" s="178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178"/>
      <c r="B839" s="178"/>
      <c r="C839" s="178"/>
      <c r="D839" s="178"/>
      <c r="E839" s="178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178"/>
      <c r="B840" s="178"/>
      <c r="C840" s="178"/>
      <c r="D840" s="178"/>
      <c r="E840" s="178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178"/>
      <c r="B841" s="178"/>
      <c r="C841" s="178"/>
      <c r="D841" s="178"/>
      <c r="E841" s="178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178"/>
      <c r="B842" s="178"/>
      <c r="C842" s="178"/>
      <c r="D842" s="178"/>
      <c r="E842" s="178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178"/>
      <c r="B843" s="178"/>
      <c r="C843" s="178"/>
      <c r="D843" s="178"/>
      <c r="E843" s="178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178"/>
      <c r="B844" s="178"/>
      <c r="C844" s="178"/>
      <c r="D844" s="178"/>
      <c r="E844" s="178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178"/>
      <c r="B845" s="178"/>
      <c r="C845" s="178"/>
      <c r="D845" s="178"/>
      <c r="E845" s="178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178"/>
      <c r="B846" s="178"/>
      <c r="C846" s="178"/>
      <c r="D846" s="178"/>
      <c r="E846" s="178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178"/>
      <c r="B847" s="178"/>
      <c r="C847" s="178"/>
      <c r="D847" s="178"/>
      <c r="E847" s="178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178"/>
      <c r="B848" s="178"/>
      <c r="C848" s="178"/>
      <c r="D848" s="178"/>
      <c r="E848" s="178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178"/>
      <c r="B849" s="178"/>
      <c r="C849" s="178"/>
      <c r="D849" s="178"/>
      <c r="E849" s="178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178"/>
      <c r="B850" s="178"/>
      <c r="C850" s="178"/>
      <c r="D850" s="178"/>
      <c r="E850" s="178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178"/>
      <c r="B851" s="178"/>
      <c r="C851" s="178"/>
      <c r="D851" s="178"/>
      <c r="E851" s="178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178"/>
      <c r="B852" s="178"/>
      <c r="C852" s="178"/>
      <c r="D852" s="178"/>
      <c r="E852" s="178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178"/>
      <c r="B853" s="178"/>
      <c r="C853" s="178"/>
      <c r="D853" s="178"/>
      <c r="E853" s="178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178"/>
      <c r="B854" s="178"/>
      <c r="C854" s="178"/>
      <c r="D854" s="178"/>
      <c r="E854" s="178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178"/>
      <c r="B855" s="178"/>
      <c r="C855" s="178"/>
      <c r="D855" s="178"/>
      <c r="E855" s="178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178"/>
      <c r="B856" s="178"/>
      <c r="C856" s="178"/>
      <c r="D856" s="178"/>
      <c r="E856" s="178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178"/>
      <c r="B857" s="178"/>
      <c r="C857" s="178"/>
      <c r="D857" s="178"/>
      <c r="E857" s="178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178"/>
      <c r="B858" s="178"/>
      <c r="C858" s="178"/>
      <c r="D858" s="178"/>
      <c r="E858" s="178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178"/>
      <c r="B859" s="178"/>
      <c r="C859" s="178"/>
      <c r="D859" s="178"/>
      <c r="E859" s="178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178"/>
      <c r="B860" s="178"/>
      <c r="C860" s="178"/>
      <c r="D860" s="178"/>
      <c r="E860" s="178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178"/>
      <c r="B861" s="178"/>
      <c r="C861" s="178"/>
      <c r="D861" s="178"/>
      <c r="E861" s="178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178"/>
      <c r="B862" s="178"/>
      <c r="C862" s="178"/>
      <c r="D862" s="178"/>
      <c r="E862" s="178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178"/>
      <c r="B863" s="178"/>
      <c r="C863" s="178"/>
      <c r="D863" s="178"/>
      <c r="E863" s="178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178"/>
      <c r="B864" s="178"/>
      <c r="C864" s="178"/>
      <c r="D864" s="178"/>
      <c r="E864" s="178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178"/>
      <c r="B865" s="178"/>
      <c r="C865" s="178"/>
      <c r="D865" s="178"/>
      <c r="E865" s="178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178"/>
      <c r="B866" s="178"/>
      <c r="C866" s="178"/>
      <c r="D866" s="178"/>
      <c r="E866" s="178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178"/>
      <c r="B867" s="178"/>
      <c r="C867" s="178"/>
      <c r="D867" s="178"/>
      <c r="E867" s="178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178"/>
      <c r="B868" s="178"/>
      <c r="C868" s="178"/>
      <c r="D868" s="178"/>
      <c r="E868" s="178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178"/>
      <c r="B869" s="178"/>
      <c r="C869" s="178"/>
      <c r="D869" s="178"/>
      <c r="E869" s="178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178"/>
      <c r="B870" s="178"/>
      <c r="C870" s="178"/>
      <c r="D870" s="178"/>
      <c r="E870" s="178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178"/>
      <c r="B871" s="178"/>
      <c r="C871" s="178"/>
      <c r="D871" s="178"/>
      <c r="E871" s="178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178"/>
      <c r="B872" s="178"/>
      <c r="C872" s="178"/>
      <c r="D872" s="178"/>
      <c r="E872" s="178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178"/>
      <c r="B873" s="178"/>
      <c r="C873" s="178"/>
      <c r="D873" s="178"/>
      <c r="E873" s="178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178"/>
      <c r="B874" s="178"/>
      <c r="C874" s="178"/>
      <c r="D874" s="178"/>
      <c r="E874" s="178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178"/>
      <c r="B875" s="178"/>
      <c r="C875" s="178"/>
      <c r="D875" s="178"/>
      <c r="E875" s="178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178"/>
      <c r="B876" s="178"/>
      <c r="C876" s="178"/>
      <c r="D876" s="178"/>
      <c r="E876" s="178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178"/>
      <c r="B877" s="178"/>
      <c r="C877" s="178"/>
      <c r="D877" s="178"/>
      <c r="E877" s="178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178"/>
      <c r="B878" s="178"/>
      <c r="C878" s="178"/>
      <c r="D878" s="178"/>
      <c r="E878" s="178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178"/>
      <c r="B879" s="178"/>
      <c r="C879" s="178"/>
      <c r="D879" s="178"/>
      <c r="E879" s="178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178"/>
      <c r="B880" s="178"/>
      <c r="C880" s="178"/>
      <c r="D880" s="178"/>
      <c r="E880" s="178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178"/>
      <c r="B881" s="178"/>
      <c r="C881" s="178"/>
      <c r="D881" s="178"/>
      <c r="E881" s="178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178"/>
      <c r="B882" s="178"/>
      <c r="C882" s="178"/>
      <c r="D882" s="178"/>
      <c r="E882" s="178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178"/>
      <c r="B883" s="178"/>
      <c r="C883" s="178"/>
      <c r="D883" s="178"/>
      <c r="E883" s="178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178"/>
      <c r="B884" s="178"/>
      <c r="C884" s="178"/>
      <c r="D884" s="178"/>
      <c r="E884" s="178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178"/>
      <c r="B885" s="178"/>
      <c r="C885" s="178"/>
      <c r="D885" s="178"/>
      <c r="E885" s="178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178"/>
      <c r="B886" s="178"/>
      <c r="C886" s="178"/>
      <c r="D886" s="178"/>
      <c r="E886" s="178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178"/>
      <c r="B887" s="178"/>
      <c r="C887" s="178"/>
      <c r="D887" s="178"/>
      <c r="E887" s="178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178"/>
      <c r="B888" s="178"/>
      <c r="C888" s="178"/>
      <c r="D888" s="178"/>
      <c r="E888" s="178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178"/>
      <c r="B889" s="178"/>
      <c r="C889" s="178"/>
      <c r="D889" s="178"/>
      <c r="E889" s="178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178"/>
      <c r="B890" s="178"/>
      <c r="C890" s="178"/>
      <c r="D890" s="178"/>
      <c r="E890" s="178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178"/>
      <c r="B891" s="178"/>
      <c r="C891" s="178"/>
      <c r="D891" s="178"/>
      <c r="E891" s="178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178"/>
      <c r="B892" s="178"/>
      <c r="C892" s="178"/>
      <c r="D892" s="178"/>
      <c r="E892" s="178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178"/>
      <c r="B893" s="178"/>
      <c r="C893" s="178"/>
      <c r="D893" s="178"/>
      <c r="E893" s="178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178"/>
      <c r="B894" s="178"/>
      <c r="C894" s="178"/>
      <c r="D894" s="178"/>
      <c r="E894" s="178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178"/>
      <c r="B895" s="178"/>
      <c r="C895" s="178"/>
      <c r="D895" s="178"/>
      <c r="E895" s="178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178"/>
      <c r="B896" s="178"/>
      <c r="C896" s="178"/>
      <c r="D896" s="178"/>
      <c r="E896" s="178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178"/>
      <c r="B897" s="178"/>
      <c r="C897" s="178"/>
      <c r="D897" s="178"/>
      <c r="E897" s="178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178"/>
      <c r="B898" s="178"/>
      <c r="C898" s="178"/>
      <c r="D898" s="178"/>
      <c r="E898" s="178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178"/>
      <c r="B899" s="178"/>
      <c r="C899" s="178"/>
      <c r="D899" s="178"/>
      <c r="E899" s="178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178"/>
      <c r="B900" s="178"/>
      <c r="C900" s="178"/>
      <c r="D900" s="178"/>
      <c r="E900" s="178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178"/>
      <c r="B901" s="178"/>
      <c r="C901" s="178"/>
      <c r="D901" s="178"/>
      <c r="E901" s="178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178"/>
      <c r="B902" s="178"/>
      <c r="C902" s="178"/>
      <c r="D902" s="178"/>
      <c r="E902" s="178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178"/>
      <c r="B903" s="178"/>
      <c r="C903" s="178"/>
      <c r="D903" s="178"/>
      <c r="E903" s="178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178"/>
      <c r="B904" s="178"/>
      <c r="C904" s="178"/>
      <c r="D904" s="178"/>
      <c r="E904" s="178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178"/>
      <c r="B905" s="178"/>
      <c r="C905" s="178"/>
      <c r="D905" s="178"/>
      <c r="E905" s="178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178"/>
      <c r="B906" s="178"/>
      <c r="C906" s="178"/>
      <c r="D906" s="178"/>
      <c r="E906" s="178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178"/>
      <c r="B907" s="178"/>
      <c r="C907" s="178"/>
      <c r="D907" s="178"/>
      <c r="E907" s="178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178"/>
      <c r="B908" s="178"/>
      <c r="C908" s="178"/>
      <c r="D908" s="178"/>
      <c r="E908" s="178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178"/>
      <c r="B909" s="178"/>
      <c r="C909" s="178"/>
      <c r="D909" s="178"/>
      <c r="E909" s="178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178"/>
      <c r="B910" s="178"/>
      <c r="C910" s="178"/>
      <c r="D910" s="178"/>
      <c r="E910" s="178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178"/>
      <c r="B911" s="178"/>
      <c r="C911" s="178"/>
      <c r="D911" s="178"/>
      <c r="E911" s="178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178"/>
      <c r="B912" s="178"/>
      <c r="C912" s="178"/>
      <c r="D912" s="178"/>
      <c r="E912" s="178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178"/>
      <c r="B913" s="178"/>
      <c r="C913" s="178"/>
      <c r="D913" s="178"/>
      <c r="E913" s="178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178"/>
      <c r="B914" s="178"/>
      <c r="C914" s="178"/>
      <c r="D914" s="178"/>
      <c r="E914" s="178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178"/>
      <c r="B915" s="178"/>
      <c r="C915" s="178"/>
      <c r="D915" s="178"/>
      <c r="E915" s="178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178"/>
      <c r="B916" s="178"/>
      <c r="C916" s="178"/>
      <c r="D916" s="178"/>
      <c r="E916" s="178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178"/>
      <c r="B917" s="178"/>
      <c r="C917" s="178"/>
      <c r="D917" s="178"/>
      <c r="E917" s="178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178"/>
      <c r="B918" s="178"/>
      <c r="C918" s="178"/>
      <c r="D918" s="178"/>
      <c r="E918" s="178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178"/>
      <c r="B919" s="178"/>
      <c r="C919" s="178"/>
      <c r="D919" s="178"/>
      <c r="E919" s="178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178"/>
      <c r="B920" s="178"/>
      <c r="C920" s="178"/>
      <c r="D920" s="178"/>
      <c r="E920" s="178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178"/>
      <c r="B921" s="178"/>
      <c r="C921" s="178"/>
      <c r="D921" s="178"/>
      <c r="E921" s="178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178"/>
      <c r="B922" s="178"/>
      <c r="C922" s="178"/>
      <c r="D922" s="178"/>
      <c r="E922" s="178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178"/>
      <c r="B923" s="178"/>
      <c r="C923" s="178"/>
      <c r="D923" s="178"/>
      <c r="E923" s="178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178"/>
      <c r="B924" s="178"/>
      <c r="C924" s="178"/>
      <c r="D924" s="178"/>
      <c r="E924" s="178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178"/>
      <c r="B925" s="178"/>
      <c r="C925" s="178"/>
      <c r="D925" s="178"/>
      <c r="E925" s="178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178"/>
      <c r="B926" s="178"/>
      <c r="C926" s="178"/>
      <c r="D926" s="178"/>
      <c r="E926" s="178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178"/>
      <c r="B927" s="178"/>
      <c r="C927" s="178"/>
      <c r="D927" s="178"/>
      <c r="E927" s="178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178"/>
      <c r="B928" s="178"/>
      <c r="C928" s="178"/>
      <c r="D928" s="178"/>
      <c r="E928" s="178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178"/>
      <c r="B929" s="178"/>
      <c r="C929" s="178"/>
      <c r="D929" s="178"/>
      <c r="E929" s="178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178"/>
      <c r="B930" s="178"/>
      <c r="C930" s="178"/>
      <c r="D930" s="178"/>
      <c r="E930" s="178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178"/>
      <c r="B931" s="178"/>
      <c r="C931" s="178"/>
      <c r="D931" s="178"/>
      <c r="E931" s="178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178"/>
      <c r="B932" s="178"/>
      <c r="C932" s="178"/>
      <c r="D932" s="178"/>
      <c r="E932" s="178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178"/>
      <c r="B933" s="178"/>
      <c r="C933" s="178"/>
      <c r="D933" s="178"/>
      <c r="E933" s="178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178"/>
      <c r="B934" s="178"/>
      <c r="C934" s="178"/>
      <c r="D934" s="178"/>
      <c r="E934" s="178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178"/>
      <c r="B935" s="178"/>
      <c r="C935" s="178"/>
      <c r="D935" s="178"/>
      <c r="E935" s="178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178"/>
      <c r="B936" s="178"/>
      <c r="C936" s="178"/>
      <c r="D936" s="178"/>
      <c r="E936" s="178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178"/>
      <c r="B937" s="178"/>
      <c r="C937" s="178"/>
      <c r="D937" s="178"/>
      <c r="E937" s="178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178"/>
      <c r="B938" s="178"/>
      <c r="C938" s="178"/>
      <c r="D938" s="178"/>
      <c r="E938" s="178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178"/>
      <c r="B939" s="178"/>
      <c r="C939" s="178"/>
      <c r="D939" s="178"/>
      <c r="E939" s="178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178"/>
      <c r="B940" s="178"/>
      <c r="C940" s="178"/>
      <c r="D940" s="178"/>
      <c r="E940" s="178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178"/>
      <c r="B941" s="178"/>
      <c r="C941" s="178"/>
      <c r="D941" s="178"/>
      <c r="E941" s="178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178"/>
      <c r="B942" s="178"/>
      <c r="C942" s="178"/>
      <c r="D942" s="178"/>
      <c r="E942" s="178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178"/>
      <c r="B943" s="178"/>
      <c r="C943" s="178"/>
      <c r="D943" s="178"/>
      <c r="E943" s="178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178"/>
      <c r="B944" s="178"/>
      <c r="C944" s="178"/>
      <c r="D944" s="178"/>
      <c r="E944" s="178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178"/>
      <c r="B945" s="178"/>
      <c r="C945" s="178"/>
      <c r="D945" s="178"/>
      <c r="E945" s="178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178"/>
      <c r="B946" s="178"/>
      <c r="C946" s="178"/>
      <c r="D946" s="178"/>
      <c r="E946" s="178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178"/>
      <c r="B947" s="178"/>
      <c r="C947" s="178"/>
      <c r="D947" s="178"/>
      <c r="E947" s="178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178"/>
      <c r="B948" s="178"/>
      <c r="C948" s="178"/>
      <c r="D948" s="178"/>
      <c r="E948" s="178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178"/>
      <c r="B949" s="178"/>
      <c r="C949" s="178"/>
      <c r="D949" s="178"/>
      <c r="E949" s="178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178"/>
      <c r="B950" s="178"/>
      <c r="C950" s="178"/>
      <c r="D950" s="178"/>
      <c r="E950" s="178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178"/>
      <c r="B951" s="178"/>
      <c r="C951" s="178"/>
      <c r="D951" s="178"/>
      <c r="E951" s="178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178"/>
      <c r="B952" s="178"/>
      <c r="C952" s="178"/>
      <c r="D952" s="178"/>
      <c r="E952" s="178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178"/>
      <c r="B953" s="178"/>
      <c r="C953" s="178"/>
      <c r="D953" s="178"/>
      <c r="E953" s="178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178"/>
      <c r="B954" s="178"/>
      <c r="C954" s="178"/>
      <c r="D954" s="178"/>
      <c r="E954" s="178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178"/>
      <c r="B955" s="178"/>
      <c r="C955" s="178"/>
      <c r="D955" s="178"/>
      <c r="E955" s="178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178"/>
      <c r="B956" s="178"/>
      <c r="C956" s="178"/>
      <c r="D956" s="178"/>
      <c r="E956" s="178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178"/>
      <c r="B957" s="178"/>
      <c r="C957" s="178"/>
      <c r="D957" s="178"/>
      <c r="E957" s="178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178"/>
      <c r="B958" s="178"/>
      <c r="C958" s="178"/>
      <c r="D958" s="178"/>
      <c r="E958" s="178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178"/>
      <c r="B959" s="178"/>
      <c r="C959" s="178"/>
      <c r="D959" s="178"/>
      <c r="E959" s="178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178"/>
      <c r="B960" s="178"/>
      <c r="C960" s="178"/>
      <c r="D960" s="178"/>
      <c r="E960" s="178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178"/>
      <c r="B961" s="178"/>
      <c r="C961" s="178"/>
      <c r="D961" s="178"/>
      <c r="E961" s="178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178"/>
      <c r="B962" s="178"/>
      <c r="C962" s="178"/>
      <c r="D962" s="178"/>
      <c r="E962" s="178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178"/>
      <c r="B963" s="178"/>
      <c r="C963" s="178"/>
      <c r="D963" s="178"/>
      <c r="E963" s="178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178"/>
      <c r="B964" s="178"/>
      <c r="C964" s="178"/>
      <c r="D964" s="178"/>
      <c r="E964" s="178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178"/>
      <c r="B965" s="178"/>
      <c r="C965" s="178"/>
      <c r="D965" s="178"/>
      <c r="E965" s="178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178"/>
      <c r="B966" s="178"/>
      <c r="C966" s="178"/>
      <c r="D966" s="178"/>
      <c r="E966" s="178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178"/>
      <c r="B967" s="178"/>
      <c r="C967" s="178"/>
      <c r="D967" s="178"/>
      <c r="E967" s="178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178"/>
      <c r="B968" s="178"/>
      <c r="C968" s="178"/>
      <c r="D968" s="178"/>
      <c r="E968" s="178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178"/>
      <c r="B969" s="178"/>
      <c r="C969" s="178"/>
      <c r="D969" s="178"/>
      <c r="E969" s="178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178"/>
      <c r="B970" s="178"/>
      <c r="C970" s="178"/>
      <c r="D970" s="178"/>
      <c r="E970" s="178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178"/>
      <c r="B971" s="178"/>
      <c r="C971" s="178"/>
      <c r="D971" s="178"/>
      <c r="E971" s="178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178"/>
      <c r="B972" s="178"/>
      <c r="C972" s="178"/>
      <c r="D972" s="178"/>
      <c r="E972" s="178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178"/>
      <c r="B973" s="178"/>
      <c r="C973" s="178"/>
      <c r="D973" s="178"/>
      <c r="E973" s="178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178"/>
      <c r="B974" s="178"/>
      <c r="C974" s="178"/>
      <c r="D974" s="178"/>
      <c r="E974" s="178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178"/>
      <c r="B975" s="178"/>
      <c r="C975" s="178"/>
      <c r="D975" s="178"/>
      <c r="E975" s="178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178"/>
      <c r="B976" s="178"/>
      <c r="C976" s="178"/>
      <c r="D976" s="178"/>
      <c r="E976" s="178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178"/>
      <c r="B977" s="178"/>
      <c r="C977" s="178"/>
      <c r="D977" s="178"/>
      <c r="E977" s="178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178"/>
      <c r="B978" s="178"/>
      <c r="C978" s="178"/>
      <c r="D978" s="178"/>
      <c r="E978" s="178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178"/>
      <c r="B979" s="178"/>
      <c r="C979" s="178"/>
      <c r="D979" s="178"/>
      <c r="E979" s="178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178"/>
      <c r="B980" s="178"/>
      <c r="C980" s="178"/>
      <c r="D980" s="178"/>
      <c r="E980" s="178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178"/>
      <c r="B981" s="178"/>
      <c r="C981" s="178"/>
      <c r="D981" s="178"/>
      <c r="E981" s="178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178"/>
      <c r="B982" s="178"/>
      <c r="C982" s="178"/>
      <c r="D982" s="178"/>
      <c r="E982" s="178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178"/>
      <c r="B983" s="178"/>
      <c r="C983" s="178"/>
      <c r="D983" s="178"/>
      <c r="E983" s="178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178"/>
      <c r="B984" s="178"/>
      <c r="C984" s="178"/>
      <c r="D984" s="178"/>
      <c r="E984" s="178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178"/>
      <c r="B985" s="178"/>
      <c r="C985" s="178"/>
      <c r="D985" s="178"/>
      <c r="E985" s="178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178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178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178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42.63"/>
    <col customWidth="1" min="3" max="3" width="16.0"/>
    <col customWidth="1" min="4" max="4" width="24.25"/>
    <col customWidth="1" min="5" max="5" width="10.38"/>
    <col customWidth="1" min="7" max="7" width="76.8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178"/>
      <c r="G1" s="80" t="s">
        <v>5</v>
      </c>
      <c r="H1" s="81">
        <f>H4</f>
        <v>26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146" t="s">
        <v>1623</v>
      </c>
      <c r="B2" s="73" t="str">
        <f t="array" ref="B2">IFERROR(XLOOKUP(A2, BASE!E:E, BASE!B:B), "")
</f>
        <v>LM Hub_SP_Guaratinguetá</v>
      </c>
      <c r="C2" s="73" t="str">
        <f t="array" ref="C2">IFERROR(XLOOKUP(A2, BASE!E:E, BASE!C:C), "")
</f>
        <v>HUB-LSP-33</v>
      </c>
      <c r="D2" s="73">
        <f t="array" ref="D2">IFERROR(XLOOKUP(A2, BASE!E:E, BASE!D:D), "")
</f>
        <v>15</v>
      </c>
      <c r="E2" s="168">
        <f t="array" ref="E2">IFERROR(XLOOKUP(A2, BASE!E:E, BASE!H:H), "")
</f>
        <v>46065.25</v>
      </c>
      <c r="F2" s="178"/>
      <c r="G2" s="82" t="s">
        <v>9</v>
      </c>
      <c r="H2" s="82">
        <f>COUNTIF(C:C,"*LSP*")
</f>
        <v>14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146" t="s">
        <v>1624</v>
      </c>
      <c r="B3" s="73" t="str">
        <f t="array" ref="B3">IFERROR(XLOOKUP(A3, BASE!E:E, BASE!B:B), "")
</f>
        <v>LM Hub_SP_Registro</v>
      </c>
      <c r="C3" s="73" t="str">
        <f t="array" ref="C3">IFERROR(XLOOKUP(A3, BASE!E:E, BASE!C:C), "")
</f>
        <v>HUB-LSP-40</v>
      </c>
      <c r="D3" s="73">
        <f t="array" ref="D3">IFERROR(XLOOKUP(A3, BASE!E:E, BASE!D:D), "")
</f>
        <v>36</v>
      </c>
      <c r="E3" s="168">
        <f t="array" ref="E3">IFERROR(XLOOKUP(A3, BASE!E:E, BASE!H:H), "")
</f>
        <v>46065.25</v>
      </c>
      <c r="F3" s="178"/>
      <c r="G3" s="82" t="s">
        <v>13</v>
      </c>
      <c r="H3" s="82">
        <f>COUNTIF(C:C,"*SOC*")
</f>
        <v>12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146" t="s">
        <v>1625</v>
      </c>
      <c r="B4" s="73" t="str">
        <f t="array" ref="B4">IFERROR(XLOOKUP(A4, BASE!E:E, BASE!B:B), "")
</f>
        <v>LM Hub_SP_São José dos Campos</v>
      </c>
      <c r="C4" s="73" t="str">
        <f t="array" ref="C4">IFERROR(XLOOKUP(A4, BASE!E:E, BASE!C:C), "")
</f>
        <v>HUB-LSP-04</v>
      </c>
      <c r="D4" s="73">
        <f t="array" ref="D4">IFERROR(XLOOKUP(A4, BASE!E:E, BASE!D:D), "")
</f>
        <v>17</v>
      </c>
      <c r="E4" s="168">
        <f t="array" ref="E4">IFERROR(XLOOKUP(A4, BASE!E:E, BASE!H:H), "")
</f>
        <v>46065.25</v>
      </c>
      <c r="F4" s="178"/>
      <c r="G4" s="82" t="s">
        <v>810</v>
      </c>
      <c r="H4" s="198">
        <f>COUNTIFS(D:D,"&gt;=5",D:D,"&lt;=117")</f>
        <v>26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46" t="s">
        <v>1626</v>
      </c>
      <c r="B5" s="73" t="str">
        <f t="array" ref="B5">IFERROR(XLOOKUP(A5, BASE!E:E, BASE!B:B), "")
</f>
        <v>SoC_PR_Curitiba</v>
      </c>
      <c r="C5" s="73" t="str">
        <f t="array" ref="C5">IFERROR(XLOOKUP(A5, BASE!E:E, BASE!C:C), "")
</f>
        <v>SOC-PR1</v>
      </c>
      <c r="D5" s="73">
        <f t="array" ref="D5">IFERROR(XLOOKUP(A5, BASE!E:E, BASE!D:D), "")
</f>
        <v>41</v>
      </c>
      <c r="E5" s="168">
        <f t="array" ref="E5">IFERROR(XLOOKUP(A5, BASE!E:E, BASE!H:H), "")
</f>
        <v>46065.25</v>
      </c>
      <c r="F5" s="178"/>
      <c r="G5" s="82" t="s">
        <v>20</v>
      </c>
      <c r="H5" s="82">
        <f>COUNTIF(D:D,"*NÃO DOCOU*")</f>
        <v>0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146" t="s">
        <v>1627</v>
      </c>
      <c r="B6" s="73" t="str">
        <f t="array" ref="B6">IFERROR(XLOOKUP(A6, BASE!E:E, BASE!B:B), "")
</f>
        <v>LM Hub_SP_Atibaia_Ponte_Alta</v>
      </c>
      <c r="C6" s="73" t="str">
        <f t="array" ref="C6">IFERROR(XLOOKUP(A6, BASE!E:E, BASE!C:C), "")
</f>
        <v>HUB-LSP-87</v>
      </c>
      <c r="D6" s="73">
        <f t="array" ref="D6">IFERROR(XLOOKUP(A6, BASE!E:E, BASE!D:D), "")
</f>
        <v>25</v>
      </c>
      <c r="E6" s="168">
        <f t="array" ref="E6">IFERROR(XLOOKUP(A6, BASE!E:E, BASE!H:H), "")
</f>
        <v>46065.27083</v>
      </c>
      <c r="F6" s="178"/>
      <c r="G6" s="198" t="s">
        <v>25</v>
      </c>
      <c r="H6" s="199">
        <f>COUNTIF(D:D,"*NÃO CHEGOU*")
</f>
        <v>0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146" t="s">
        <v>1628</v>
      </c>
      <c r="B7" s="73" t="str">
        <f t="array" ref="B7">IFERROR(XLOOKUP(A7, BASE!E:E, BASE!B:B), "")
</f>
        <v>LM Hub_SP_Taubaté</v>
      </c>
      <c r="C7" s="73" t="str">
        <f t="array" ref="C7">IFERROR(XLOOKUP(A7, BASE!E:E, BASE!C:C), "")
</f>
        <v>HUB-LSP-08</v>
      </c>
      <c r="D7" s="73">
        <f t="array" ref="D7">IFERROR(XLOOKUP(A7, BASE!E:E, BASE!D:D), "")
</f>
        <v>35</v>
      </c>
      <c r="E7" s="168">
        <f t="array" ref="E7">IFERROR(XLOOKUP(A7, BASE!E:E, BASE!H:H), "")
</f>
        <v>46065.27083</v>
      </c>
      <c r="F7" s="178"/>
      <c r="G7" s="82" t="s">
        <v>815</v>
      </c>
      <c r="H7" s="82">
        <f>COUNTIF(D:D,"*DRIVER DUPLICADO*")</f>
        <v>0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146" t="s">
        <v>1629</v>
      </c>
      <c r="B8" s="73" t="str">
        <f t="array" ref="B8">IFERROR(XLOOKUP(A8, BASE!E:E, BASE!B:B), "")
</f>
        <v>LM Hub_SP_Sorocaba_Região Norte</v>
      </c>
      <c r="C8" s="73" t="str">
        <f t="array" ref="C8">IFERROR(XLOOKUP(A8, BASE!E:E, BASE!C:C), "")
</f>
        <v>HUB-LSP-10</v>
      </c>
      <c r="D8" s="73">
        <f t="array" ref="D8">IFERROR(XLOOKUP(A8, BASE!E:E, BASE!D:D), "")
</f>
        <v>27</v>
      </c>
      <c r="E8" s="168">
        <f t="array" ref="E8">IFERROR(XLOOKUP(A8, BASE!E:E, BASE!H:H), "")
</f>
        <v>46065.27083</v>
      </c>
      <c r="F8" s="178"/>
      <c r="G8" s="82" t="s">
        <v>1429</v>
      </c>
      <c r="H8" s="198">
        <v>8.0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146" t="s">
        <v>1630</v>
      </c>
      <c r="B9" s="73" t="str">
        <f t="array" ref="B9">IFERROR(XLOOKUP(A9, BASE!E:E, BASE!B:B), "")
</f>
        <v>LM Hub_SP_Jundiaí</v>
      </c>
      <c r="C9" s="73" t="str">
        <f t="array" ref="C9">IFERROR(XLOOKUP(A9, BASE!E:E, BASE!C:C), "")
</f>
        <v>HUB-LSP-100</v>
      </c>
      <c r="D9" s="73">
        <f t="array" ref="D9">IFERROR(XLOOKUP(A9, BASE!E:E, BASE!D:D), "")
</f>
        <v>13</v>
      </c>
      <c r="E9" s="168">
        <f t="array" ref="E9">IFERROR(XLOOKUP(A9, BASE!E:E, BASE!H:H), "")
</f>
        <v>46065.29167</v>
      </c>
      <c r="F9" s="178"/>
      <c r="G9" s="82" t="s">
        <v>1431</v>
      </c>
      <c r="H9" s="198">
        <v>15.0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146" t="s">
        <v>1631</v>
      </c>
      <c r="B10" s="73" t="str">
        <f t="array" ref="B10">IFERROR(XLOOKUP(A10, BASE!E:E, BASE!B:B), "")
</f>
        <v>LM Hub_SP_Barueri_01</v>
      </c>
      <c r="C10" s="73" t="str">
        <f t="array" ref="C10">IFERROR(XLOOKUP(A10, BASE!E:E, BASE!C:C), "")
</f>
        <v>HUB-LSP-81</v>
      </c>
      <c r="D10" s="73">
        <f t="array" ref="D10">IFERROR(XLOOKUP(A10, BASE!E:E, BASE!D:D), "")
</f>
        <v>23</v>
      </c>
      <c r="E10" s="168">
        <f t="array" ref="E10">IFERROR(XLOOKUP(A10, BASE!E:E, BASE!H:H), "")
</f>
        <v>46065.29167</v>
      </c>
      <c r="F10" s="178"/>
      <c r="G10" s="9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146" t="s">
        <v>1632</v>
      </c>
      <c r="B11" s="73" t="str">
        <f t="array" ref="B11">IFERROR(XLOOKUP(A11, BASE!E:E, BASE!B:B), "")
</f>
        <v>LM Hub_SP_Santos_PraiaGrande_02</v>
      </c>
      <c r="C11" s="73" t="str">
        <f t="array" ref="C11">IFERROR(XLOOKUP(A11, BASE!E:E, BASE!C:C), "")
</f>
        <v>HUB-LSP-63</v>
      </c>
      <c r="D11" s="73">
        <f t="array" ref="D11">IFERROR(XLOOKUP(A11, BASE!E:E, BASE!D:D), "")
</f>
        <v>16</v>
      </c>
      <c r="E11" s="168">
        <f t="array" ref="E11">IFERROR(XLOOKUP(A11, BASE!E:E, BASE!H:H), "")
</f>
        <v>46065.29167</v>
      </c>
      <c r="F11" s="9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146" t="s">
        <v>1633</v>
      </c>
      <c r="B12" s="73" t="str">
        <f t="array" ref="B12">IFERROR(XLOOKUP(A12, BASE!E:E, BASE!B:B), "")
</f>
        <v>LM Hub_SP_Guarujá</v>
      </c>
      <c r="C12" s="73" t="str">
        <f t="array" ref="C12">IFERROR(XLOOKUP(A12, BASE!E:E, BASE!C:C), "")
</f>
        <v>HUB-LSP-06</v>
      </c>
      <c r="D12" s="73">
        <f t="array" ref="D12">IFERROR(XLOOKUP(A12, BASE!E:E, BASE!D:D), "")
</f>
        <v>37</v>
      </c>
      <c r="E12" s="168">
        <f t="array" ref="E12">IFERROR(XLOOKUP(A12, BASE!E:E, BASE!H:H), "")
</f>
        <v>46065.3125</v>
      </c>
      <c r="F12" s="178"/>
      <c r="G12" s="84" t="s">
        <v>1548</v>
      </c>
      <c r="H12" s="9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20.25" customHeight="1">
      <c r="A13" s="146" t="s">
        <v>1634</v>
      </c>
      <c r="B13" s="73" t="str">
        <f t="array" ref="B13">IFERROR(XLOOKUP(A13, BASE!E:E, BASE!B:B), "")
</f>
        <v>LM Hub_SP_Itapevi</v>
      </c>
      <c r="C13" s="73" t="str">
        <f t="array" ref="C13">IFERROR(XLOOKUP(A13, BASE!E:E, BASE!C:C), "")
</f>
        <v>HUB-LSP-41</v>
      </c>
      <c r="D13" s="73">
        <f t="array" ref="D13">IFERROR(XLOOKUP(A13, BASE!E:E, BASE!D:D), "")
</f>
        <v>18</v>
      </c>
      <c r="E13" s="168">
        <f t="array" ref="E13">IFERROR(XLOOKUP(A13, BASE!E:E, BASE!H:H), "")
</f>
        <v>46065.3125</v>
      </c>
      <c r="F13" s="178"/>
      <c r="G13" s="187" t="s">
        <v>653</v>
      </c>
      <c r="H13" s="178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146" t="s">
        <v>1635</v>
      </c>
      <c r="B14" s="73" t="str">
        <f t="array" ref="B14">IFERROR(XLOOKUP(A14, BASE!E:E, BASE!B:B), "")
</f>
        <v>LM Hub_SP_Várzea Paulista</v>
      </c>
      <c r="C14" s="73" t="str">
        <f t="array" ref="C14">IFERROR(XLOOKUP(A14, BASE!E:E, BASE!C:C), "")
</f>
        <v>HUB-LSP-20</v>
      </c>
      <c r="D14" s="73">
        <f t="array" ref="D14">IFERROR(XLOOKUP(A14, BASE!E:E, BASE!D:D), "")
</f>
        <v>19</v>
      </c>
      <c r="E14" s="168">
        <f t="array" ref="E14">IFERROR(XLOOKUP(A14, BASE!E:E, BASE!H:H), "")
</f>
        <v>46065.3125</v>
      </c>
      <c r="F14" s="178"/>
      <c r="G14" s="178"/>
      <c r="H14" s="178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146" t="s">
        <v>1636</v>
      </c>
      <c r="B15" s="73" t="str">
        <f t="array" ref="B15">IFERROR(XLOOKUP(A15, BASE!E:E, BASE!B:B), "")
</f>
        <v>SoC_MG_Betim</v>
      </c>
      <c r="C15" s="73" t="str">
        <f t="array" ref="C15">IFERROR(XLOOKUP(A15, BASE!E:E, BASE!C:C), "")
</f>
        <v>SOC-MG2</v>
      </c>
      <c r="D15" s="73">
        <f t="array" ref="D15">IFERROR(XLOOKUP(A15, BASE!E:E, BASE!D:D), "")
</f>
        <v>12</v>
      </c>
      <c r="E15" s="168">
        <f t="array" ref="E15">IFERROR(XLOOKUP(A15, BASE!E:E, BASE!H:H), "")
</f>
        <v>46065.41667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146" t="s">
        <v>1637</v>
      </c>
      <c r="B16" s="73" t="str">
        <f t="array" ref="B16">IFERROR(XLOOKUP(A16, BASE!E:E, BASE!B:B), "")
</f>
        <v>SoC_RJ_Duque de Caxias</v>
      </c>
      <c r="C16" s="73" t="str">
        <f t="array" ref="C16">IFERROR(XLOOKUP(A16, BASE!E:E, BASE!C:C), "")
</f>
        <v>SOC-RJ2</v>
      </c>
      <c r="D16" s="73">
        <f t="array" ref="D16">IFERROR(XLOOKUP(A16, BASE!E:E, BASE!D:D), "")
</f>
        <v>14</v>
      </c>
      <c r="E16" s="168">
        <f t="array" ref="E16">IFERROR(XLOOKUP(A16, BASE!E:E, BASE!H:H), "")
</f>
        <v>46065.5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146" t="s">
        <v>1638</v>
      </c>
      <c r="B17" s="73" t="str">
        <f t="array" ref="B17">IFERROR(XLOOKUP(A17, BASE!E:E, BASE!B:B), "")
</f>
        <v>SoC_PR_Curitiba</v>
      </c>
      <c r="C17" s="73" t="str">
        <f t="array" ref="C17">IFERROR(XLOOKUP(A17, BASE!E:E, BASE!C:C), "")
</f>
        <v>SOC-PR1</v>
      </c>
      <c r="D17" s="73">
        <f t="array" ref="D17">IFERROR(XLOOKUP(A17, BASE!E:E, BASE!D:D), "")
</f>
        <v>42</v>
      </c>
      <c r="E17" s="168">
        <f t="array" ref="E17">IFERROR(XLOOKUP(A17, BASE!E:E, BASE!H:H), "")
</f>
        <v>46065.30556</v>
      </c>
      <c r="F17" s="178"/>
      <c r="G17" s="178"/>
      <c r="H17" s="178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102" t="s">
        <v>1639</v>
      </c>
      <c r="B18" s="73" t="str">
        <f t="array" ref="B18">IFERROR(XLOOKUP(A18, BASE!E:E, BASE!B:B), "")
</f>
        <v>LM Hub_SP_Santos_Praia Grande</v>
      </c>
      <c r="C18" s="73" t="str">
        <f t="array" ref="C18">IFERROR(XLOOKUP(A18, BASE!E:E, BASE!C:C), "")
</f>
        <v>HUB-LSP-09</v>
      </c>
      <c r="D18" s="73">
        <f t="array" ref="D18">IFERROR(XLOOKUP(A18, BASE!E:E, BASE!D:D), "")
</f>
        <v>21</v>
      </c>
      <c r="E18" s="168">
        <f t="array" ref="E18">IFERROR(XLOOKUP(A18, BASE!E:E, BASE!H:H), "")
</f>
        <v>46065.3125</v>
      </c>
      <c r="F18" s="178"/>
      <c r="G18" s="178"/>
      <c r="H18" s="178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146" t="s">
        <v>1640</v>
      </c>
      <c r="B19" s="73" t="str">
        <f t="array" ref="B19">IFERROR(XLOOKUP(A19, BASE!E:E, BASE!B:B), "")
</f>
        <v>LM Hub_SP_São Paulo_Mooca</v>
      </c>
      <c r="C19" s="73" t="str">
        <f t="array" ref="C19">IFERROR(XLOOKUP(A19, BASE!E:E, BASE!C:C), "")
</f>
        <v>HUB-LSP-13</v>
      </c>
      <c r="D19" s="73">
        <f t="array" ref="D19">IFERROR(XLOOKUP(A19, BASE!E:E, BASE!D:D), "")
</f>
        <v>32</v>
      </c>
      <c r="E19" s="168">
        <f t="array" ref="E19">IFERROR(XLOOKUP(A19, BASE!E:E, BASE!H:H), "")
</f>
        <v>46065.3125</v>
      </c>
      <c r="F19" s="178"/>
      <c r="G19" s="178"/>
      <c r="H19" s="178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146" t="s">
        <v>1641</v>
      </c>
      <c r="B20" s="73" t="str">
        <f t="array" ref="B20">IFERROR(XLOOKUP(A20, BASE!E:E, BASE!B:B), "")
</f>
        <v>SoC_RS_Gravataí_02</v>
      </c>
      <c r="C20" s="73" t="str">
        <f t="array" ref="C20">IFERROR(XLOOKUP(A20, BASE!E:E, BASE!C:C), "")
</f>
        <v>SOC-RS2</v>
      </c>
      <c r="D20" s="73">
        <v>93.0</v>
      </c>
      <c r="E20" s="168">
        <f t="array" ref="E20">IFERROR(XLOOKUP(A20, BASE!E:E, BASE!H:H), "")
</f>
        <v>46065.29167</v>
      </c>
      <c r="F20" s="178"/>
      <c r="G20" s="178"/>
      <c r="H20" s="178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146" t="s">
        <v>1642</v>
      </c>
      <c r="B21" s="73" t="str">
        <f t="array" ref="B21">IFERROR(XLOOKUP(A21, BASE!E:E, BASE!B:B), "")
</f>
        <v>SoC_SP_Cravinhos</v>
      </c>
      <c r="C21" s="73" t="str">
        <f t="array" ref="C21">IFERROR(XLOOKUP(A21, BASE!E:E, BASE!C:C), "")
</f>
        <v>SOC-SP5</v>
      </c>
      <c r="D21" s="73">
        <f t="array" ref="D21">IFERROR(XLOOKUP(A21, BASE!E:E, BASE!D:D), "")
</f>
        <v>94</v>
      </c>
      <c r="E21" s="168">
        <f t="array" ref="E21">IFERROR(XLOOKUP(A21, BASE!E:E, BASE!H:H), "")
</f>
        <v>46065.29167</v>
      </c>
      <c r="F21" s="178"/>
      <c r="G21" s="178"/>
      <c r="H21" s="178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146" t="s">
        <v>1643</v>
      </c>
      <c r="B22" s="73" t="str">
        <f t="array" ref="B22">IFERROR(XLOOKUP(A22, BASE!E:E, BASE!B:B), "")
</f>
        <v>SoC_MG_Betim</v>
      </c>
      <c r="C22" s="73" t="str">
        <f t="array" ref="C22">IFERROR(XLOOKUP(A22, BASE!E:E, BASE!C:C), "")
</f>
        <v>SOC-MG2</v>
      </c>
      <c r="D22" s="73">
        <f t="array" ref="D22">IFERROR(XLOOKUP(A22, BASE!E:E, BASE!D:D), "")
</f>
        <v>91</v>
      </c>
      <c r="E22" s="168">
        <f t="array" ref="E22">IFERROR(XLOOKUP(A22, BASE!E:E, BASE!H:H), "")
</f>
        <v>46065.29167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146" t="s">
        <v>1644</v>
      </c>
      <c r="B23" s="73" t="str">
        <f t="array" ref="B23">IFERROR(XLOOKUP(A23, BASE!E:E, BASE!B:B), "")
</f>
        <v>SoC_MG_Betim</v>
      </c>
      <c r="C23" s="73" t="str">
        <f t="array" ref="C23">IFERROR(XLOOKUP(A23, BASE!E:E, BASE!C:C), "")
</f>
        <v>SOC-MG2</v>
      </c>
      <c r="D23" s="73">
        <f t="array" ref="D23">IFERROR(XLOOKUP(A23, BASE!E:E, BASE!D:D), "")
</f>
        <v>90</v>
      </c>
      <c r="E23" s="168">
        <f t="array" ref="E23">IFERROR(XLOOKUP(A23, BASE!E:E, BASE!H:H), "")
</f>
        <v>46065.41667</v>
      </c>
      <c r="F23" s="178"/>
      <c r="G23" s="178"/>
      <c r="H23" s="178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102" t="s">
        <v>1645</v>
      </c>
      <c r="B24" s="73" t="str">
        <f t="array" ref="B24">IFERROR(XLOOKUP(A24, BASE!E:E, BASE!B:B), "")
</f>
        <v>SoC_BA_Simoes Filho</v>
      </c>
      <c r="C24" s="73" t="str">
        <f t="array" ref="C24">IFERROR(XLOOKUP(A24, BASE!E:E, BASE!C:C), "")
</f>
        <v>SOC-BA2</v>
      </c>
      <c r="D24" s="73">
        <f t="array" ref="D24">IFERROR(XLOOKUP(A24, BASE!E:E, BASE!D:D), "")
</f>
        <v>88</v>
      </c>
      <c r="E24" s="168">
        <f t="array" ref="E24">IFERROR(XLOOKUP(A24, BASE!E:E, BASE!H:H), "")
</f>
        <v>46065.5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146" t="s">
        <v>1646</v>
      </c>
      <c r="B25" s="73" t="str">
        <f t="array" ref="B25">IFERROR(XLOOKUP(A25, BASE!E:E, BASE!B:B), "")
</f>
        <v>SoC_GO_Goiânia_02</v>
      </c>
      <c r="C25" s="73" t="str">
        <f t="array" ref="C25">IFERROR(XLOOKUP(A25, BASE!E:E, BASE!C:C), "")
</f>
        <v>SOC-GO2</v>
      </c>
      <c r="D25" s="73">
        <f t="array" ref="D25">IFERROR(XLOOKUP(A25, BASE!E:E, BASE!D:D), "")
</f>
        <v>87</v>
      </c>
      <c r="E25" s="168">
        <f t="array" ref="E25">IFERROR(XLOOKUP(A25, BASE!E:E, BASE!H:H), "")
</f>
        <v>46065.66667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102" t="s">
        <v>1647</v>
      </c>
      <c r="B26" s="73" t="str">
        <f t="array" ref="B26">IFERROR(XLOOKUP(A26, BASE!E:E, BASE!B:B), "")
</f>
        <v>SoC_PE_Jaboatão dos Guararapes</v>
      </c>
      <c r="C26" s="73" t="str">
        <f t="array" ref="C26">IFERROR(XLOOKUP(A26, BASE!E:E, BASE!C:C), "")
</f>
        <v>SOC-PE2</v>
      </c>
      <c r="D26" s="73">
        <f t="array" ref="D26">IFERROR(XLOOKUP(A26, BASE!E:E, BASE!D:D), "")
</f>
        <v>98</v>
      </c>
      <c r="E26" s="168">
        <f t="array" ref="E26">IFERROR(XLOOKUP(A26, BASE!E:E, BASE!H:H), "")
</f>
        <v>46065.66667</v>
      </c>
      <c r="F26" s="178"/>
      <c r="G26" s="178"/>
      <c r="H26" s="178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146" t="s">
        <v>1648</v>
      </c>
      <c r="B27" s="73" t="str">
        <f t="array" ref="B27">IFERROR(XLOOKUP(A27, BASE!E:E, BASE!B:B), "")
</f>
        <v>SoC_SP_Cravinhos</v>
      </c>
      <c r="C27" s="73" t="str">
        <f t="array" ref="C27">IFERROR(XLOOKUP(A27, BASE!E:E, BASE!C:C), "")
</f>
        <v>SOC-SP5</v>
      </c>
      <c r="D27" s="73">
        <f t="array" ref="D27">IFERROR(XLOOKUP(A27, BASE!E:E, BASE!D:D), "")
</f>
        <v>94</v>
      </c>
      <c r="E27" s="168">
        <f t="array" ref="E27">IFERROR(XLOOKUP(A27, BASE!E:E, BASE!H:H), "")
</f>
        <v>46065.75</v>
      </c>
      <c r="F27" s="178"/>
      <c r="G27" s="178"/>
      <c r="H27" s="178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146"/>
      <c r="B28" s="73" t="str">
        <f t="array" ref="B28">IFERROR(XLOOKUP(A28, BASE!E:E, BASE!B:B), "")
</f>
        <v/>
      </c>
      <c r="C28" s="73" t="str">
        <f t="array" ref="C28">IFERROR(XLOOKUP(A28, BASE!E:E, BASE!C:C), "")
</f>
        <v/>
      </c>
      <c r="D28" s="73" t="str">
        <f t="array" ref="D28">IFERROR(XLOOKUP(A28, BASE!E:E, BASE!D:D), "")
</f>
        <v/>
      </c>
      <c r="E28" s="168" t="str">
        <f t="array" ref="E28">IFERROR(XLOOKUP(A28, BASE!E:E, BASE!H:H), "")
</f>
        <v/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146"/>
      <c r="B29" s="73" t="str">
        <f t="array" ref="B29">IFERROR(XLOOKUP(A29, BASE!E:E, BASE!B:B), "")
</f>
        <v/>
      </c>
      <c r="C29" s="73" t="str">
        <f t="array" ref="C29">IFERROR(XLOOKUP(A29, BASE!E:E, BASE!C:C), "")
</f>
        <v/>
      </c>
      <c r="D29" s="73" t="str">
        <f t="array" ref="D29">IFERROR(XLOOKUP(A29, BASE!E:E, BASE!D:D), "")
</f>
        <v/>
      </c>
      <c r="E29" s="168" t="str">
        <f t="array" ref="E29">IFERROR(XLOOKUP(A29, BASE!E:E, BASE!H:H), "")
</f>
        <v/>
      </c>
      <c r="F29" s="178"/>
      <c r="G29" s="178"/>
      <c r="H29" s="178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146"/>
      <c r="B30" s="73" t="str">
        <f t="array" ref="B30">IFERROR(XLOOKUP(A30, BASE!E:E, BASE!B:B), "")
</f>
        <v/>
      </c>
      <c r="C30" s="73" t="str">
        <f t="array" ref="C30">IFERROR(XLOOKUP(A30, BASE!E:E, BASE!C:C), "")
</f>
        <v/>
      </c>
      <c r="D30" s="73" t="str">
        <f t="array" ref="D30">IFERROR(XLOOKUP(A30, BASE!E:E, BASE!D:D), "")
</f>
        <v/>
      </c>
      <c r="E30" s="168" t="str">
        <f t="array" ref="E30">IFERROR(XLOOKUP(A30, BASE!E:E, BASE!H:H), "")
</f>
        <v/>
      </c>
      <c r="F30" s="178"/>
      <c r="G30" s="178"/>
      <c r="H30" s="178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32"/>
      <c r="B31" s="73" t="str">
        <f t="array" ref="B31">IFERROR(XLOOKUP(A31, BASE!E:E, BASE!B:B), "")
</f>
        <v/>
      </c>
      <c r="C31" s="73" t="str">
        <f t="array" ref="C31">IFERROR(XLOOKUP(A31, BASE!E:E, BASE!C:C), "")
</f>
        <v/>
      </c>
      <c r="D31" s="73" t="str">
        <f t="array" ref="D31">IFERROR(XLOOKUP(A31, BASE!E:E, BASE!D:D), "")
</f>
        <v/>
      </c>
      <c r="E31" s="168" t="str">
        <f t="array" ref="E31">IFERROR(XLOOKUP(A31, BASE!E:E, BASE!H:H), "")
</f>
        <v/>
      </c>
      <c r="F31" s="178"/>
      <c r="G31" s="178"/>
      <c r="H31" s="178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146"/>
      <c r="B32" s="73" t="str">
        <f t="array" ref="B32">IFERROR(XLOOKUP(A32, BASE!E:E, BASE!B:B), "")
</f>
        <v/>
      </c>
      <c r="C32" s="73" t="str">
        <f t="array" ref="C32">IFERROR(XLOOKUP(A32, BASE!E:E, BASE!C:C), "")
</f>
        <v/>
      </c>
      <c r="D32" s="73" t="str">
        <f t="array" ref="D32">IFERROR(XLOOKUP(A32, BASE!E:E, BASE!D:D), "")
</f>
        <v/>
      </c>
      <c r="E32" s="168" t="str">
        <f t="array" ref="E32">IFERROR(XLOOKUP(A32, BASE!E:E, BASE!H:H), "")
</f>
        <v/>
      </c>
      <c r="F32" s="178"/>
      <c r="G32" s="178"/>
      <c r="H32" s="178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146"/>
      <c r="B33" s="73" t="str">
        <f t="array" ref="B33">IFERROR(XLOOKUP(A33, BASE!E:E, BASE!B:B), "")
</f>
        <v/>
      </c>
      <c r="C33" s="73" t="str">
        <f t="array" ref="C33">IFERROR(XLOOKUP(A33, BASE!E:E, BASE!C:C), "")
</f>
        <v/>
      </c>
      <c r="D33" s="73" t="str">
        <f t="array" ref="D33">IFERROR(XLOOKUP(A33, BASE!E:E, BASE!D:D), "")
</f>
        <v/>
      </c>
      <c r="E33" s="168" t="str">
        <f t="array" ref="E33">IFERROR(XLOOKUP(A33, BASE!E:E, BASE!H:H), "")
</f>
        <v/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102"/>
      <c r="B34" s="73" t="str">
        <f t="array" ref="B34">IFERROR(XLOOKUP(A34, BASE!E:E, BASE!B:B), "")
</f>
        <v/>
      </c>
      <c r="C34" s="73" t="str">
        <f t="array" ref="C34">IFERROR(XLOOKUP(A34, BASE!E:E, BASE!C:C), "")
</f>
        <v/>
      </c>
      <c r="D34" s="73" t="str">
        <f t="array" ref="D34">IFERROR(XLOOKUP(A34, BASE!E:E, BASE!D:D), "")
</f>
        <v/>
      </c>
      <c r="E34" s="168" t="str">
        <f t="array" ref="E34">IFERROR(XLOOKUP(A34, BASE!E:E, BASE!H:H), "")
</f>
        <v/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95"/>
      <c r="B35" s="73" t="str">
        <f t="array" ref="B35">IFERROR(XLOOKUP(A35, BASE!E:E, BASE!B:B), "")
</f>
        <v/>
      </c>
      <c r="C35" s="73" t="str">
        <f t="array" ref="C35">IFERROR(XLOOKUP(A35, BASE!E:E, BASE!C:C), "")
</f>
        <v/>
      </c>
      <c r="D35" s="73" t="str">
        <f t="array" ref="D35">IFERROR(XLOOKUP(A35, BASE!E:E, BASE!D:D), "")
</f>
        <v/>
      </c>
      <c r="E35" s="168" t="str">
        <f t="array" ref="E35">IFERROR(XLOOKUP(A35, BASE!E:E, BASE!H:H), "")
</f>
        <v/>
      </c>
      <c r="F35" s="178"/>
      <c r="G35" s="178"/>
      <c r="H35" s="178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95"/>
      <c r="B36" s="73" t="str">
        <f t="array" ref="B36">IFERROR(XLOOKUP(A36, BASE!E:E, BASE!B:B), "")
</f>
        <v/>
      </c>
      <c r="C36" s="73" t="str">
        <f t="array" ref="C36">IFERROR(XLOOKUP(A36, BASE!E:E, BASE!C:C), "")
</f>
        <v/>
      </c>
      <c r="D36" s="73" t="str">
        <f t="array" ref="D36">IFERROR(XLOOKUP(A36, BASE!E:E, BASE!D:D), "")
</f>
        <v/>
      </c>
      <c r="E36" s="168" t="str">
        <f t="array" ref="E36">IFERROR(XLOOKUP(A36, BASE!E:E, BASE!H:H), "")
</f>
        <v/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146"/>
      <c r="B37" s="73" t="str">
        <f t="array" ref="B37">IFERROR(XLOOKUP(A37, BASE!E:E, BASE!B:B), "")
</f>
        <v/>
      </c>
      <c r="C37" s="73" t="str">
        <f t="array" ref="C37">IFERROR(XLOOKUP(A37, BASE!E:E, BASE!C:C), "")
</f>
        <v/>
      </c>
      <c r="D37" s="73" t="str">
        <f t="array" ref="D37">IFERROR(XLOOKUP(A37, BASE!E:E, BASE!D:D), "")
</f>
        <v/>
      </c>
      <c r="E37" s="168" t="str">
        <f t="array" ref="E37">IFERROR(XLOOKUP(A37, BASE!E:E, BASE!H:H), "")
</f>
        <v/>
      </c>
      <c r="F37" s="178"/>
      <c r="G37" s="178"/>
      <c r="H37" s="178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146"/>
      <c r="B38" s="73" t="str">
        <f t="array" ref="B38">IFERROR(XLOOKUP(A38, BASE!E:E, BASE!B:B), "")
</f>
        <v/>
      </c>
      <c r="C38" s="73" t="str">
        <f t="array" ref="C38">IFERROR(XLOOKUP(A38, BASE!E:E, BASE!C:C), "")
</f>
        <v/>
      </c>
      <c r="D38" s="73" t="str">
        <f t="array" ref="D38">IFERROR(XLOOKUP(A38, BASE!E:E, BASE!D:D), "")
</f>
        <v/>
      </c>
      <c r="E38" s="168" t="str">
        <f t="array" ref="E38">IFERROR(XLOOKUP(A38, BASE!E:E, BASE!H:H), "")
</f>
        <v/>
      </c>
      <c r="F38" s="178"/>
      <c r="G38" s="178"/>
      <c r="H38" s="178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146"/>
      <c r="B39" s="73" t="str">
        <f t="array" ref="B39">IFERROR(XLOOKUP(A39, BASE!E:E, BASE!B:B), "")
</f>
        <v/>
      </c>
      <c r="C39" s="73" t="str">
        <f t="array" ref="C39">IFERROR(XLOOKUP(A39, BASE!E:E, BASE!C:C), "")
</f>
        <v/>
      </c>
      <c r="D39" s="73" t="str">
        <f t="array" ref="D39">IFERROR(XLOOKUP(A39, BASE!E:E, BASE!D:D), "")
</f>
        <v/>
      </c>
      <c r="E39" s="168" t="str">
        <f t="array" ref="E39">IFERROR(XLOOKUP(A39, BASE!E:E, BASE!H:H), "")
</f>
        <v/>
      </c>
      <c r="F39" s="178"/>
      <c r="G39" s="178"/>
      <c r="H39" s="178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146"/>
      <c r="B40" s="73" t="str">
        <f t="array" ref="B40">IFERROR(XLOOKUP(A40, BASE!E:E, BASE!B:B), "")
</f>
        <v/>
      </c>
      <c r="C40" s="73" t="str">
        <f t="array" ref="C40">IFERROR(XLOOKUP(A40, BASE!E:E, BASE!C:C), "")
</f>
        <v/>
      </c>
      <c r="D40" s="73" t="str">
        <f t="array" ref="D40">IFERROR(XLOOKUP(A40, BASE!E:E, BASE!D:D), "")
</f>
        <v/>
      </c>
      <c r="E40" s="168" t="str">
        <f t="array" ref="E40">IFERROR(XLOOKUP(A40, BASE!E:E, BASE!H:H), "")
</f>
        <v/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24"/>
      <c r="B41" s="73" t="str">
        <f t="array" ref="B41">IFERROR(XLOOKUP(A41, BASE!E:E, BASE!B:B), "")
</f>
        <v/>
      </c>
      <c r="C41" s="73" t="str">
        <f t="array" ref="C41">IFERROR(XLOOKUP(A41, BASE!E:E, BASE!C:C), "")
</f>
        <v/>
      </c>
      <c r="D41" s="73" t="str">
        <f t="array" ref="D41">IFERROR(XLOOKUP(A41, BASE!E:E, BASE!D:D), "")
</f>
        <v/>
      </c>
      <c r="E41" s="168" t="str">
        <f t="array" ref="E41">IFERROR(XLOOKUP(A41, BASE!E:E, BASE!H:H), "")
</f>
        <v/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24"/>
      <c r="B42" s="73" t="str">
        <f t="array" ref="B42">IFERROR(XLOOKUP(A42, BASE!E:E, BASE!B:B), "")
</f>
        <v/>
      </c>
      <c r="C42" s="73" t="str">
        <f t="array" ref="C42">IFERROR(XLOOKUP(A42, BASE!E:E, BASE!C:C), "")
</f>
        <v/>
      </c>
      <c r="D42" s="73" t="str">
        <f t="array" ref="D42">IFERROR(XLOOKUP(A42, BASE!E:E, BASE!D:D), "")
</f>
        <v/>
      </c>
      <c r="E42" s="168" t="str">
        <f t="array" ref="E42">IFERROR(XLOOKUP(A42, BASE!E:E, BASE!H:H), "")
</f>
        <v/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24"/>
      <c r="B43" s="73" t="str">
        <f t="array" ref="B43">IFERROR(XLOOKUP(A43, BASE!E:E, BASE!B:B), "")
</f>
        <v/>
      </c>
      <c r="C43" s="73" t="str">
        <f t="array" ref="C43">IFERROR(XLOOKUP(A43, BASE!E:E, BASE!C:C), "")
</f>
        <v/>
      </c>
      <c r="D43" s="73" t="str">
        <f t="array" ref="D43">IFERROR(XLOOKUP(A43, BASE!E:E, BASE!D:D), "")
</f>
        <v/>
      </c>
      <c r="E43" s="168" t="str">
        <f t="array" ref="E43">IFERROR(XLOOKUP(A43, BASE!E:E, BASE!H:H), "")
</f>
        <v/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24"/>
      <c r="B44" s="73" t="str">
        <f t="array" ref="B44">IFERROR(XLOOKUP(A44, BASE!E:E, BASE!B:B), "")
</f>
        <v/>
      </c>
      <c r="C44" s="73" t="str">
        <f t="array" ref="C44">IFERROR(XLOOKUP(A44, BASE!E:E, BASE!C:C), "")
</f>
        <v/>
      </c>
      <c r="D44" s="73" t="str">
        <f t="array" ref="D44">IFERROR(XLOOKUP(A44, BASE!E:E, BASE!D:D), "")
</f>
        <v/>
      </c>
      <c r="E44" s="168" t="str">
        <f t="array" ref="E44">IFERROR(XLOOKUP(A44, BASE!E:E, BASE!H:H), "")
</f>
        <v/>
      </c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24"/>
      <c r="B45" s="73" t="str">
        <f t="array" ref="B45">IFERROR(XLOOKUP(A45, BASE!E:E, BASE!B:B), "")
</f>
        <v/>
      </c>
      <c r="C45" s="73" t="str">
        <f t="array" ref="C45">IFERROR(XLOOKUP(A45, BASE!E:E, BASE!C:C), "")
</f>
        <v/>
      </c>
      <c r="D45" s="73" t="str">
        <f t="array" ref="D45">IFERROR(XLOOKUP(A45, BASE!E:E, BASE!D:D), "")
</f>
        <v/>
      </c>
      <c r="E45" s="168" t="str">
        <f t="array" ref="E45">IFERROR(XLOOKUP(A45, BASE!E:E, BASE!H:H), "")
</f>
        <v/>
      </c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24"/>
      <c r="B46" s="73" t="str">
        <f t="array" ref="B46">IFERROR(XLOOKUP(A46, BASE!E:E, BASE!B:B), "")
</f>
        <v/>
      </c>
      <c r="C46" s="73" t="str">
        <f t="array" ref="C46">IFERROR(XLOOKUP(A46, BASE!E:E, BASE!C:C), "")
</f>
        <v/>
      </c>
      <c r="D46" s="73" t="str">
        <f t="array" ref="D46">IFERROR(XLOOKUP(A46, BASE!E:E, BASE!D:D), "")
</f>
        <v/>
      </c>
      <c r="E46" s="168" t="str">
        <f t="array" ref="E46">IFERROR(XLOOKUP(A46, BASE!E:E, BASE!H:H), "")
</f>
        <v/>
      </c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24"/>
      <c r="B47" s="73" t="str">
        <f t="array" ref="B47">IFERROR(XLOOKUP(A47, BASE!E:E, BASE!B:B), "")
</f>
        <v/>
      </c>
      <c r="C47" s="73" t="str">
        <f t="array" ref="C47">IFERROR(XLOOKUP(A47, BASE!E:E, BASE!C:C), "")
</f>
        <v/>
      </c>
      <c r="D47" s="73" t="str">
        <f t="array" ref="D47">IFERROR(XLOOKUP(A47, BASE!E:E, BASE!D:D), "")
</f>
        <v/>
      </c>
      <c r="E47" s="168" t="str">
        <f t="array" ref="E47">IFERROR(XLOOKUP(A47, BASE!E:E, BASE!H:H), "")
</f>
        <v/>
      </c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178"/>
      <c r="B48" s="178"/>
      <c r="C48" s="178"/>
      <c r="D48" s="178"/>
      <c r="E48" s="178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178"/>
      <c r="B49" s="178"/>
      <c r="C49" s="178"/>
      <c r="D49" s="178"/>
      <c r="E49" s="178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178"/>
      <c r="B50" s="178"/>
      <c r="C50" s="178"/>
      <c r="D50" s="178"/>
      <c r="E50" s="178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178"/>
      <c r="B51" s="178"/>
      <c r="C51" s="178"/>
      <c r="D51" s="178"/>
      <c r="E51" s="178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178"/>
      <c r="B52" s="178"/>
      <c r="C52" s="178"/>
      <c r="D52" s="178"/>
      <c r="E52" s="178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178"/>
      <c r="B53" s="178"/>
      <c r="C53" s="178"/>
      <c r="D53" s="178"/>
      <c r="E53" s="178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178"/>
      <c r="B54" s="178"/>
      <c r="C54" s="178"/>
      <c r="D54" s="178"/>
      <c r="E54" s="178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178"/>
      <c r="B55" s="178"/>
      <c r="C55" s="178"/>
      <c r="D55" s="178"/>
      <c r="E55" s="178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178"/>
      <c r="B56" s="178"/>
      <c r="C56" s="178"/>
      <c r="D56" s="178"/>
      <c r="E56" s="178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178"/>
      <c r="B57" s="178"/>
      <c r="C57" s="178"/>
      <c r="D57" s="178"/>
      <c r="E57" s="178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178"/>
      <c r="B58" s="178"/>
      <c r="C58" s="178"/>
      <c r="D58" s="178"/>
      <c r="E58" s="178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178"/>
      <c r="B59" s="178"/>
      <c r="C59" s="178"/>
      <c r="D59" s="178"/>
      <c r="E59" s="178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178"/>
      <c r="B60" s="178"/>
      <c r="C60" s="178"/>
      <c r="D60" s="178"/>
      <c r="E60" s="178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178"/>
      <c r="B61" s="178"/>
      <c r="C61" s="178"/>
      <c r="D61" s="178"/>
      <c r="E61" s="178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178"/>
      <c r="B62" s="178"/>
      <c r="C62" s="178"/>
      <c r="D62" s="178"/>
      <c r="E62" s="178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178"/>
      <c r="B63" s="178"/>
      <c r="C63" s="178"/>
      <c r="D63" s="178"/>
      <c r="E63" s="178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178"/>
      <c r="B64" s="178"/>
      <c r="C64" s="178"/>
      <c r="D64" s="178"/>
      <c r="E64" s="178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178"/>
      <c r="B65" s="178"/>
      <c r="C65" s="178"/>
      <c r="D65" s="178"/>
      <c r="E65" s="178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178"/>
      <c r="B66" s="178"/>
      <c r="C66" s="178"/>
      <c r="D66" s="178"/>
      <c r="E66" s="178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178"/>
      <c r="B67" s="178"/>
      <c r="C67" s="178"/>
      <c r="D67" s="178"/>
      <c r="E67" s="178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178"/>
      <c r="B68" s="178"/>
      <c r="C68" s="178"/>
      <c r="D68" s="178"/>
      <c r="E68" s="178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178"/>
      <c r="B69" s="178"/>
      <c r="C69" s="178"/>
      <c r="D69" s="178"/>
      <c r="E69" s="178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178"/>
      <c r="B70" s="178"/>
      <c r="C70" s="178"/>
      <c r="D70" s="178"/>
      <c r="E70" s="178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178"/>
      <c r="B71" s="178"/>
      <c r="C71" s="178"/>
      <c r="D71" s="178"/>
      <c r="E71" s="178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178"/>
      <c r="B72" s="178"/>
      <c r="C72" s="178"/>
      <c r="D72" s="178"/>
      <c r="E72" s="178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178"/>
      <c r="B73" s="178"/>
      <c r="C73" s="178"/>
      <c r="D73" s="178"/>
      <c r="E73" s="178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178"/>
      <c r="B74" s="178"/>
      <c r="C74" s="178"/>
      <c r="D74" s="178"/>
      <c r="E74" s="178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178"/>
      <c r="B75" s="178"/>
      <c r="C75" s="178"/>
      <c r="D75" s="178"/>
      <c r="E75" s="178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178"/>
      <c r="B76" s="178"/>
      <c r="C76" s="178"/>
      <c r="D76" s="178"/>
      <c r="E76" s="178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178"/>
      <c r="B77" s="178"/>
      <c r="C77" s="178"/>
      <c r="D77" s="178"/>
      <c r="E77" s="178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178"/>
      <c r="B78" s="178"/>
      <c r="C78" s="178"/>
      <c r="D78" s="178"/>
      <c r="E78" s="178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178"/>
      <c r="B79" s="178"/>
      <c r="C79" s="178"/>
      <c r="D79" s="178"/>
      <c r="E79" s="178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178"/>
      <c r="B80" s="178"/>
      <c r="C80" s="178"/>
      <c r="D80" s="178"/>
      <c r="E80" s="178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178"/>
      <c r="B81" s="178"/>
      <c r="C81" s="178"/>
      <c r="D81" s="178"/>
      <c r="E81" s="178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178"/>
      <c r="B82" s="178"/>
      <c r="C82" s="178"/>
      <c r="D82" s="178"/>
      <c r="E82" s="178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178"/>
      <c r="B83" s="178"/>
      <c r="C83" s="178"/>
      <c r="D83" s="178"/>
      <c r="E83" s="178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178"/>
      <c r="B84" s="178"/>
      <c r="C84" s="178"/>
      <c r="D84" s="178"/>
      <c r="E84" s="178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178"/>
      <c r="B85" s="178"/>
      <c r="C85" s="178"/>
      <c r="D85" s="178"/>
      <c r="E85" s="178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178"/>
      <c r="B86" s="178"/>
      <c r="C86" s="178"/>
      <c r="D86" s="178"/>
      <c r="E86" s="178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178"/>
      <c r="B87" s="178"/>
      <c r="C87" s="178"/>
      <c r="D87" s="178"/>
      <c r="E87" s="178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178"/>
      <c r="B88" s="178"/>
      <c r="C88" s="178"/>
      <c r="D88" s="178"/>
      <c r="E88" s="178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178"/>
      <c r="B89" s="178"/>
      <c r="C89" s="178"/>
      <c r="D89" s="178"/>
      <c r="E89" s="178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178"/>
      <c r="B90" s="178"/>
      <c r="C90" s="178"/>
      <c r="D90" s="178"/>
      <c r="E90" s="178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178"/>
      <c r="B91" s="178"/>
      <c r="C91" s="178"/>
      <c r="D91" s="178"/>
      <c r="E91" s="178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178"/>
      <c r="B92" s="178"/>
      <c r="C92" s="178"/>
      <c r="D92" s="178"/>
      <c r="E92" s="178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178"/>
      <c r="B93" s="178"/>
      <c r="C93" s="178"/>
      <c r="D93" s="178"/>
      <c r="E93" s="178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178"/>
      <c r="B94" s="178"/>
      <c r="C94" s="178"/>
      <c r="D94" s="178"/>
      <c r="E94" s="178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178"/>
      <c r="B95" s="178"/>
      <c r="C95" s="178"/>
      <c r="D95" s="178"/>
      <c r="E95" s="178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178"/>
      <c r="B96" s="178"/>
      <c r="C96" s="178"/>
      <c r="D96" s="178"/>
      <c r="E96" s="178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178"/>
      <c r="B97" s="178"/>
      <c r="C97" s="178"/>
      <c r="D97" s="178"/>
      <c r="E97" s="178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178"/>
      <c r="B98" s="178"/>
      <c r="C98" s="178"/>
      <c r="D98" s="178"/>
      <c r="E98" s="178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178"/>
      <c r="B99" s="178"/>
      <c r="C99" s="178"/>
      <c r="D99" s="178"/>
      <c r="E99" s="178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178"/>
      <c r="B100" s="178"/>
      <c r="C100" s="178"/>
      <c r="D100" s="178"/>
      <c r="E100" s="178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178"/>
      <c r="B101" s="178"/>
      <c r="C101" s="178"/>
      <c r="D101" s="178"/>
      <c r="E101" s="178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178"/>
      <c r="B102" s="178"/>
      <c r="C102" s="178"/>
      <c r="D102" s="178"/>
      <c r="E102" s="178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178"/>
      <c r="B103" s="178"/>
      <c r="C103" s="178"/>
      <c r="D103" s="178"/>
      <c r="E103" s="178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178"/>
      <c r="B104" s="178"/>
      <c r="C104" s="178"/>
      <c r="D104" s="178"/>
      <c r="E104" s="178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178"/>
      <c r="B105" s="178"/>
      <c r="C105" s="178"/>
      <c r="D105" s="178"/>
      <c r="E105" s="178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178"/>
      <c r="B106" s="178"/>
      <c r="C106" s="178"/>
      <c r="D106" s="178"/>
      <c r="E106" s="178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178"/>
      <c r="B107" s="178"/>
      <c r="C107" s="178"/>
      <c r="D107" s="178"/>
      <c r="E107" s="178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178"/>
      <c r="B108" s="178"/>
      <c r="C108" s="178"/>
      <c r="D108" s="178"/>
      <c r="E108" s="178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178"/>
      <c r="B109" s="178"/>
      <c r="C109" s="178"/>
      <c r="D109" s="178"/>
      <c r="E109" s="178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178"/>
      <c r="B110" s="178"/>
      <c r="C110" s="178"/>
      <c r="D110" s="178"/>
      <c r="E110" s="178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178"/>
      <c r="B111" s="178"/>
      <c r="C111" s="178"/>
      <c r="D111" s="178"/>
      <c r="E111" s="178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178"/>
      <c r="B112" s="178"/>
      <c r="C112" s="178"/>
      <c r="D112" s="178"/>
      <c r="E112" s="178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178"/>
      <c r="B113" s="178"/>
      <c r="C113" s="178"/>
      <c r="D113" s="178"/>
      <c r="E113" s="178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178"/>
      <c r="B114" s="178"/>
      <c r="C114" s="178"/>
      <c r="D114" s="178"/>
      <c r="E114" s="178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178"/>
      <c r="B115" s="178"/>
      <c r="C115" s="178"/>
      <c r="D115" s="178"/>
      <c r="E115" s="178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178"/>
      <c r="B116" s="178"/>
      <c r="C116" s="178"/>
      <c r="D116" s="178"/>
      <c r="E116" s="178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178"/>
      <c r="B117" s="178"/>
      <c r="C117" s="178"/>
      <c r="D117" s="178"/>
      <c r="E117" s="178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178"/>
      <c r="B118" s="178"/>
      <c r="C118" s="178"/>
      <c r="D118" s="178"/>
      <c r="E118" s="178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178"/>
      <c r="B119" s="178"/>
      <c r="C119" s="178"/>
      <c r="D119" s="178"/>
      <c r="E119" s="178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178"/>
      <c r="B120" s="178"/>
      <c r="C120" s="178"/>
      <c r="D120" s="178"/>
      <c r="E120" s="178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178"/>
      <c r="B121" s="178"/>
      <c r="C121" s="178"/>
      <c r="D121" s="178"/>
      <c r="E121" s="178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178"/>
      <c r="B122" s="178"/>
      <c r="C122" s="178"/>
      <c r="D122" s="178"/>
      <c r="E122" s="178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178"/>
      <c r="B123" s="178"/>
      <c r="C123" s="178"/>
      <c r="D123" s="178"/>
      <c r="E123" s="178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178"/>
      <c r="B124" s="178"/>
      <c r="C124" s="178"/>
      <c r="D124" s="178"/>
      <c r="E124" s="178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178"/>
      <c r="B125" s="178"/>
      <c r="C125" s="178"/>
      <c r="D125" s="178"/>
      <c r="E125" s="178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178"/>
      <c r="B126" s="178"/>
      <c r="C126" s="178"/>
      <c r="D126" s="178"/>
      <c r="E126" s="178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178"/>
      <c r="B127" s="178"/>
      <c r="C127" s="178"/>
      <c r="D127" s="178"/>
      <c r="E127" s="178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178"/>
      <c r="B128" s="178"/>
      <c r="C128" s="178"/>
      <c r="D128" s="178"/>
      <c r="E128" s="178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178"/>
      <c r="B129" s="178"/>
      <c r="C129" s="178"/>
      <c r="D129" s="178"/>
      <c r="E129" s="178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178"/>
      <c r="B130" s="178"/>
      <c r="C130" s="178"/>
      <c r="D130" s="178"/>
      <c r="E130" s="178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178"/>
      <c r="B131" s="178"/>
      <c r="C131" s="178"/>
      <c r="D131" s="178"/>
      <c r="E131" s="178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178"/>
      <c r="B132" s="178"/>
      <c r="C132" s="178"/>
      <c r="D132" s="178"/>
      <c r="E132" s="178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178"/>
      <c r="B133" s="178"/>
      <c r="C133" s="178"/>
      <c r="D133" s="178"/>
      <c r="E133" s="178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178"/>
      <c r="B134" s="178"/>
      <c r="C134" s="178"/>
      <c r="D134" s="178"/>
      <c r="E134" s="178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178"/>
      <c r="B135" s="178"/>
      <c r="C135" s="178"/>
      <c r="D135" s="178"/>
      <c r="E135" s="178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178"/>
      <c r="B136" s="178"/>
      <c r="C136" s="178"/>
      <c r="D136" s="178"/>
      <c r="E136" s="178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178"/>
      <c r="B137" s="178"/>
      <c r="C137" s="178"/>
      <c r="D137" s="178"/>
      <c r="E137" s="178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178"/>
      <c r="B138" s="178"/>
      <c r="C138" s="178"/>
      <c r="D138" s="178"/>
      <c r="E138" s="178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178"/>
      <c r="B139" s="178"/>
      <c r="C139" s="178"/>
      <c r="D139" s="178"/>
      <c r="E139" s="178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178"/>
      <c r="B140" s="178"/>
      <c r="C140" s="178"/>
      <c r="D140" s="178"/>
      <c r="E140" s="178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178"/>
      <c r="B141" s="178"/>
      <c r="C141" s="178"/>
      <c r="D141" s="178"/>
      <c r="E141" s="178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178"/>
      <c r="B142" s="178"/>
      <c r="C142" s="178"/>
      <c r="D142" s="178"/>
      <c r="E142" s="178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178"/>
      <c r="B143" s="178"/>
      <c r="C143" s="178"/>
      <c r="D143" s="178"/>
      <c r="E143" s="178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178"/>
      <c r="B144" s="178"/>
      <c r="C144" s="178"/>
      <c r="D144" s="178"/>
      <c r="E144" s="178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178"/>
      <c r="B145" s="178"/>
      <c r="C145" s="178"/>
      <c r="D145" s="178"/>
      <c r="E145" s="178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178"/>
      <c r="B146" s="178"/>
      <c r="C146" s="178"/>
      <c r="D146" s="178"/>
      <c r="E146" s="178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178"/>
      <c r="B147" s="178"/>
      <c r="C147" s="178"/>
      <c r="D147" s="178"/>
      <c r="E147" s="178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178"/>
      <c r="B148" s="178"/>
      <c r="C148" s="178"/>
      <c r="D148" s="178"/>
      <c r="E148" s="178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178"/>
      <c r="B149" s="178"/>
      <c r="C149" s="178"/>
      <c r="D149" s="178"/>
      <c r="E149" s="178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178"/>
      <c r="B150" s="178"/>
      <c r="C150" s="178"/>
      <c r="D150" s="178"/>
      <c r="E150" s="178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178"/>
      <c r="B151" s="178"/>
      <c r="C151" s="178"/>
      <c r="D151" s="178"/>
      <c r="E151" s="178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178"/>
      <c r="B152" s="178"/>
      <c r="C152" s="178"/>
      <c r="D152" s="178"/>
      <c r="E152" s="178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178"/>
      <c r="B153" s="178"/>
      <c r="C153" s="178"/>
      <c r="D153" s="178"/>
      <c r="E153" s="178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178"/>
      <c r="B154" s="178"/>
      <c r="C154" s="178"/>
      <c r="D154" s="178"/>
      <c r="E154" s="178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178"/>
      <c r="B155" s="178"/>
      <c r="C155" s="178"/>
      <c r="D155" s="178"/>
      <c r="E155" s="178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178"/>
      <c r="B156" s="178"/>
      <c r="C156" s="178"/>
      <c r="D156" s="178"/>
      <c r="E156" s="178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178"/>
      <c r="B157" s="178"/>
      <c r="C157" s="178"/>
      <c r="D157" s="178"/>
      <c r="E157" s="178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178"/>
      <c r="B158" s="178"/>
      <c r="C158" s="178"/>
      <c r="D158" s="178"/>
      <c r="E158" s="178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178"/>
      <c r="B159" s="178"/>
      <c r="C159" s="178"/>
      <c r="D159" s="178"/>
      <c r="E159" s="178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178"/>
      <c r="B160" s="178"/>
      <c r="C160" s="178"/>
      <c r="D160" s="178"/>
      <c r="E160" s="178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178"/>
      <c r="B161" s="178"/>
      <c r="C161" s="178"/>
      <c r="D161" s="178"/>
      <c r="E161" s="178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178"/>
      <c r="B162" s="178"/>
      <c r="C162" s="178"/>
      <c r="D162" s="178"/>
      <c r="E162" s="178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178"/>
      <c r="B163" s="178"/>
      <c r="C163" s="178"/>
      <c r="D163" s="178"/>
      <c r="E163" s="178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178"/>
      <c r="B164" s="178"/>
      <c r="C164" s="178"/>
      <c r="D164" s="178"/>
      <c r="E164" s="178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178"/>
      <c r="B165" s="178"/>
      <c r="C165" s="178"/>
      <c r="D165" s="178"/>
      <c r="E165" s="178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178"/>
      <c r="B166" s="178"/>
      <c r="C166" s="178"/>
      <c r="D166" s="178"/>
      <c r="E166" s="178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178"/>
      <c r="B167" s="178"/>
      <c r="C167" s="178"/>
      <c r="D167" s="178"/>
      <c r="E167" s="178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178"/>
      <c r="B168" s="178"/>
      <c r="C168" s="178"/>
      <c r="D168" s="178"/>
      <c r="E168" s="178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178"/>
      <c r="B169" s="178"/>
      <c r="C169" s="178"/>
      <c r="D169" s="178"/>
      <c r="E169" s="178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178"/>
      <c r="B170" s="178"/>
      <c r="C170" s="178"/>
      <c r="D170" s="178"/>
      <c r="E170" s="178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178"/>
      <c r="B171" s="178"/>
      <c r="C171" s="178"/>
      <c r="D171" s="178"/>
      <c r="E171" s="178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178"/>
      <c r="B172" s="178"/>
      <c r="C172" s="178"/>
      <c r="D172" s="178"/>
      <c r="E172" s="178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178"/>
      <c r="B173" s="178"/>
      <c r="C173" s="178"/>
      <c r="D173" s="178"/>
      <c r="E173" s="178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178"/>
      <c r="B174" s="178"/>
      <c r="C174" s="178"/>
      <c r="D174" s="178"/>
      <c r="E174" s="178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178"/>
      <c r="B175" s="178"/>
      <c r="C175" s="178"/>
      <c r="D175" s="178"/>
      <c r="E175" s="178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178"/>
      <c r="B176" s="178"/>
      <c r="C176" s="178"/>
      <c r="D176" s="178"/>
      <c r="E176" s="178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178"/>
      <c r="B177" s="178"/>
      <c r="C177" s="178"/>
      <c r="D177" s="178"/>
      <c r="E177" s="178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178"/>
      <c r="B178" s="178"/>
      <c r="C178" s="178"/>
      <c r="D178" s="178"/>
      <c r="E178" s="178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178"/>
      <c r="B179" s="178"/>
      <c r="C179" s="178"/>
      <c r="D179" s="178"/>
      <c r="E179" s="178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178"/>
      <c r="B180" s="178"/>
      <c r="C180" s="178"/>
      <c r="D180" s="178"/>
      <c r="E180" s="178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178"/>
      <c r="B181" s="178"/>
      <c r="C181" s="178"/>
      <c r="D181" s="178"/>
      <c r="E181" s="178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178"/>
      <c r="B182" s="178"/>
      <c r="C182" s="178"/>
      <c r="D182" s="178"/>
      <c r="E182" s="178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178"/>
      <c r="B183" s="178"/>
      <c r="C183" s="178"/>
      <c r="D183" s="178"/>
      <c r="E183" s="178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178"/>
      <c r="B184" s="178"/>
      <c r="C184" s="178"/>
      <c r="D184" s="178"/>
      <c r="E184" s="178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178"/>
      <c r="B185" s="178"/>
      <c r="C185" s="178"/>
      <c r="D185" s="178"/>
      <c r="E185" s="178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178"/>
      <c r="B186" s="178"/>
      <c r="C186" s="178"/>
      <c r="D186" s="178"/>
      <c r="E186" s="178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178"/>
      <c r="B187" s="178"/>
      <c r="C187" s="178"/>
      <c r="D187" s="178"/>
      <c r="E187" s="178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178"/>
      <c r="B188" s="178"/>
      <c r="C188" s="178"/>
      <c r="D188" s="178"/>
      <c r="E188" s="178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178"/>
      <c r="B189" s="178"/>
      <c r="C189" s="178"/>
      <c r="D189" s="178"/>
      <c r="E189" s="178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178"/>
      <c r="B190" s="178"/>
      <c r="C190" s="178"/>
      <c r="D190" s="178"/>
      <c r="E190" s="178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178"/>
      <c r="B191" s="178"/>
      <c r="C191" s="178"/>
      <c r="D191" s="178"/>
      <c r="E191" s="178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178"/>
      <c r="B192" s="178"/>
      <c r="C192" s="178"/>
      <c r="D192" s="178"/>
      <c r="E192" s="178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178"/>
      <c r="B193" s="178"/>
      <c r="C193" s="178"/>
      <c r="D193" s="178"/>
      <c r="E193" s="178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178"/>
      <c r="B194" s="178"/>
      <c r="C194" s="178"/>
      <c r="D194" s="178"/>
      <c r="E194" s="178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178"/>
      <c r="B195" s="178"/>
      <c r="C195" s="178"/>
      <c r="D195" s="178"/>
      <c r="E195" s="178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178"/>
      <c r="B196" s="178"/>
      <c r="C196" s="178"/>
      <c r="D196" s="178"/>
      <c r="E196" s="178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178"/>
      <c r="B197" s="178"/>
      <c r="C197" s="178"/>
      <c r="D197" s="178"/>
      <c r="E197" s="178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178"/>
      <c r="B198" s="178"/>
      <c r="C198" s="178"/>
      <c r="D198" s="178"/>
      <c r="E198" s="178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178"/>
      <c r="B199" s="178"/>
      <c r="C199" s="178"/>
      <c r="D199" s="178"/>
      <c r="E199" s="178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178"/>
      <c r="B200" s="178"/>
      <c r="C200" s="178"/>
      <c r="D200" s="178"/>
      <c r="E200" s="178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178"/>
      <c r="B201" s="178"/>
      <c r="C201" s="178"/>
      <c r="D201" s="178"/>
      <c r="E201" s="178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178"/>
      <c r="B202" s="178"/>
      <c r="C202" s="178"/>
      <c r="D202" s="178"/>
      <c r="E202" s="178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178"/>
      <c r="B203" s="178"/>
      <c r="C203" s="178"/>
      <c r="D203" s="178"/>
      <c r="E203" s="178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178"/>
      <c r="B204" s="178"/>
      <c r="C204" s="178"/>
      <c r="D204" s="178"/>
      <c r="E204" s="178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178"/>
      <c r="B205" s="178"/>
      <c r="C205" s="178"/>
      <c r="D205" s="178"/>
      <c r="E205" s="178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178"/>
      <c r="B206" s="178"/>
      <c r="C206" s="178"/>
      <c r="D206" s="178"/>
      <c r="E206" s="178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178"/>
      <c r="B207" s="178"/>
      <c r="C207" s="178"/>
      <c r="D207" s="178"/>
      <c r="E207" s="178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178"/>
      <c r="B208" s="178"/>
      <c r="C208" s="178"/>
      <c r="D208" s="178"/>
      <c r="E208" s="178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178"/>
      <c r="B209" s="178"/>
      <c r="C209" s="178"/>
      <c r="D209" s="178"/>
      <c r="E209" s="178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178"/>
      <c r="B210" s="178"/>
      <c r="C210" s="178"/>
      <c r="D210" s="178"/>
      <c r="E210" s="178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178"/>
      <c r="B211" s="178"/>
      <c r="C211" s="178"/>
      <c r="D211" s="178"/>
      <c r="E211" s="178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178"/>
      <c r="B212" s="178"/>
      <c r="C212" s="178"/>
      <c r="D212" s="178"/>
      <c r="E212" s="178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178"/>
      <c r="B213" s="178"/>
      <c r="C213" s="178"/>
      <c r="D213" s="178"/>
      <c r="E213" s="178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178"/>
      <c r="B214" s="178"/>
      <c r="C214" s="178"/>
      <c r="D214" s="178"/>
      <c r="E214" s="178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178"/>
      <c r="B215" s="178"/>
      <c r="C215" s="178"/>
      <c r="D215" s="178"/>
      <c r="E215" s="178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178"/>
      <c r="B216" s="178"/>
      <c r="C216" s="178"/>
      <c r="D216" s="178"/>
      <c r="E216" s="178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178"/>
      <c r="B217" s="178"/>
      <c r="C217" s="178"/>
      <c r="D217" s="178"/>
      <c r="E217" s="178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178"/>
      <c r="B218" s="178"/>
      <c r="C218" s="178"/>
      <c r="D218" s="178"/>
      <c r="E218" s="178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178"/>
      <c r="B219" s="178"/>
      <c r="C219" s="178"/>
      <c r="D219" s="178"/>
      <c r="E219" s="178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178"/>
      <c r="B220" s="178"/>
      <c r="C220" s="178"/>
      <c r="D220" s="178"/>
      <c r="E220" s="178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178"/>
      <c r="B221" s="178"/>
      <c r="C221" s="178"/>
      <c r="D221" s="178"/>
      <c r="E221" s="178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178"/>
      <c r="B222" s="178"/>
      <c r="C222" s="178"/>
      <c r="D222" s="178"/>
      <c r="E222" s="178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178"/>
      <c r="B223" s="178"/>
      <c r="C223" s="178"/>
      <c r="D223" s="178"/>
      <c r="E223" s="178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178"/>
      <c r="B224" s="178"/>
      <c r="C224" s="178"/>
      <c r="D224" s="178"/>
      <c r="E224" s="178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178"/>
      <c r="B225" s="178"/>
      <c r="C225" s="178"/>
      <c r="D225" s="178"/>
      <c r="E225" s="178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178"/>
      <c r="B226" s="178"/>
      <c r="C226" s="178"/>
      <c r="D226" s="178"/>
      <c r="E226" s="178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178"/>
      <c r="B227" s="178"/>
      <c r="C227" s="178"/>
      <c r="D227" s="178"/>
      <c r="E227" s="178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178"/>
      <c r="B228" s="178"/>
      <c r="C228" s="178"/>
      <c r="D228" s="178"/>
      <c r="E228" s="178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178"/>
      <c r="B229" s="178"/>
      <c r="C229" s="178"/>
      <c r="D229" s="178"/>
      <c r="E229" s="178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178"/>
      <c r="B230" s="178"/>
      <c r="C230" s="178"/>
      <c r="D230" s="178"/>
      <c r="E230" s="178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178"/>
      <c r="B231" s="178"/>
      <c r="C231" s="178"/>
      <c r="D231" s="178"/>
      <c r="E231" s="178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178"/>
      <c r="B232" s="178"/>
      <c r="C232" s="178"/>
      <c r="D232" s="178"/>
      <c r="E232" s="178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178"/>
      <c r="B233" s="178"/>
      <c r="C233" s="178"/>
      <c r="D233" s="178"/>
      <c r="E233" s="178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178"/>
      <c r="B234" s="178"/>
      <c r="C234" s="178"/>
      <c r="D234" s="178"/>
      <c r="E234" s="178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178"/>
      <c r="B235" s="178"/>
      <c r="C235" s="178"/>
      <c r="D235" s="178"/>
      <c r="E235" s="178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178"/>
      <c r="B236" s="178"/>
      <c r="C236" s="178"/>
      <c r="D236" s="178"/>
      <c r="E236" s="178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178"/>
      <c r="B237" s="178"/>
      <c r="C237" s="178"/>
      <c r="D237" s="178"/>
      <c r="E237" s="178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178"/>
      <c r="B238" s="178"/>
      <c r="C238" s="178"/>
      <c r="D238" s="178"/>
      <c r="E238" s="178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178"/>
      <c r="B239" s="178"/>
      <c r="C239" s="178"/>
      <c r="D239" s="178"/>
      <c r="E239" s="178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178"/>
      <c r="B240" s="178"/>
      <c r="C240" s="178"/>
      <c r="D240" s="178"/>
      <c r="E240" s="178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178"/>
      <c r="B241" s="178"/>
      <c r="C241" s="178"/>
      <c r="D241" s="178"/>
      <c r="E241" s="178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178"/>
      <c r="B242" s="178"/>
      <c r="C242" s="178"/>
      <c r="D242" s="178"/>
      <c r="E242" s="178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178"/>
      <c r="B243" s="178"/>
      <c r="C243" s="178"/>
      <c r="D243" s="178"/>
      <c r="E243" s="178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178"/>
      <c r="B244" s="178"/>
      <c r="C244" s="178"/>
      <c r="D244" s="178"/>
      <c r="E244" s="178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178"/>
      <c r="B245" s="178"/>
      <c r="C245" s="178"/>
      <c r="D245" s="178"/>
      <c r="E245" s="178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178"/>
      <c r="B246" s="178"/>
      <c r="C246" s="178"/>
      <c r="D246" s="178"/>
      <c r="E246" s="178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178"/>
      <c r="B247" s="178"/>
      <c r="C247" s="178"/>
      <c r="D247" s="178"/>
      <c r="E247" s="178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178"/>
      <c r="B248" s="178"/>
      <c r="C248" s="178"/>
      <c r="D248" s="178"/>
      <c r="E248" s="178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178"/>
      <c r="B249" s="178"/>
      <c r="C249" s="178"/>
      <c r="D249" s="178"/>
      <c r="E249" s="178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178"/>
      <c r="B250" s="178"/>
      <c r="C250" s="178"/>
      <c r="D250" s="178"/>
      <c r="E250" s="178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178"/>
      <c r="B251" s="178"/>
      <c r="C251" s="178"/>
      <c r="D251" s="178"/>
      <c r="E251" s="178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178"/>
      <c r="B252" s="178"/>
      <c r="C252" s="178"/>
      <c r="D252" s="178"/>
      <c r="E252" s="178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178"/>
      <c r="B253" s="178"/>
      <c r="C253" s="178"/>
      <c r="D253" s="178"/>
      <c r="E253" s="178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178"/>
      <c r="B254" s="178"/>
      <c r="C254" s="178"/>
      <c r="D254" s="178"/>
      <c r="E254" s="178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178"/>
      <c r="B255" s="178"/>
      <c r="C255" s="178"/>
      <c r="D255" s="178"/>
      <c r="E255" s="178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178"/>
      <c r="B256" s="178"/>
      <c r="C256" s="178"/>
      <c r="D256" s="178"/>
      <c r="E256" s="178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178"/>
      <c r="B257" s="178"/>
      <c r="C257" s="178"/>
      <c r="D257" s="178"/>
      <c r="E257" s="178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178"/>
      <c r="B258" s="178"/>
      <c r="C258" s="178"/>
      <c r="D258" s="178"/>
      <c r="E258" s="178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178"/>
      <c r="B259" s="178"/>
      <c r="C259" s="178"/>
      <c r="D259" s="178"/>
      <c r="E259" s="178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178"/>
      <c r="B260" s="178"/>
      <c r="C260" s="178"/>
      <c r="D260" s="178"/>
      <c r="E260" s="178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178"/>
      <c r="B261" s="178"/>
      <c r="C261" s="178"/>
      <c r="D261" s="178"/>
      <c r="E261" s="178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178"/>
      <c r="B262" s="178"/>
      <c r="C262" s="178"/>
      <c r="D262" s="178"/>
      <c r="E262" s="178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178"/>
      <c r="B263" s="178"/>
      <c r="C263" s="178"/>
      <c r="D263" s="178"/>
      <c r="E263" s="178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178"/>
      <c r="B264" s="178"/>
      <c r="C264" s="178"/>
      <c r="D264" s="178"/>
      <c r="E264" s="178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178"/>
      <c r="B265" s="178"/>
      <c r="C265" s="178"/>
      <c r="D265" s="178"/>
      <c r="E265" s="178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178"/>
      <c r="B266" s="178"/>
      <c r="C266" s="178"/>
      <c r="D266" s="178"/>
      <c r="E266" s="178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178"/>
      <c r="B267" s="178"/>
      <c r="C267" s="178"/>
      <c r="D267" s="178"/>
      <c r="E267" s="178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178"/>
      <c r="B268" s="178"/>
      <c r="C268" s="178"/>
      <c r="D268" s="178"/>
      <c r="E268" s="178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178"/>
      <c r="B269" s="178"/>
      <c r="C269" s="178"/>
      <c r="D269" s="178"/>
      <c r="E269" s="178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178"/>
      <c r="B270" s="178"/>
      <c r="C270" s="178"/>
      <c r="D270" s="178"/>
      <c r="E270" s="178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178"/>
      <c r="B271" s="178"/>
      <c r="C271" s="178"/>
      <c r="D271" s="178"/>
      <c r="E271" s="178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178"/>
      <c r="B272" s="178"/>
      <c r="C272" s="178"/>
      <c r="D272" s="178"/>
      <c r="E272" s="178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178"/>
      <c r="B273" s="178"/>
      <c r="C273" s="178"/>
      <c r="D273" s="178"/>
      <c r="E273" s="178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178"/>
      <c r="B274" s="178"/>
      <c r="C274" s="178"/>
      <c r="D274" s="178"/>
      <c r="E274" s="178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178"/>
      <c r="B275" s="178"/>
      <c r="C275" s="178"/>
      <c r="D275" s="178"/>
      <c r="E275" s="178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178"/>
      <c r="B276" s="178"/>
      <c r="C276" s="178"/>
      <c r="D276" s="178"/>
      <c r="E276" s="178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178"/>
      <c r="B277" s="178"/>
      <c r="C277" s="178"/>
      <c r="D277" s="178"/>
      <c r="E277" s="178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178"/>
      <c r="B278" s="178"/>
      <c r="C278" s="178"/>
      <c r="D278" s="178"/>
      <c r="E278" s="178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178"/>
      <c r="B279" s="178"/>
      <c r="C279" s="178"/>
      <c r="D279" s="178"/>
      <c r="E279" s="178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178"/>
      <c r="B280" s="178"/>
      <c r="C280" s="178"/>
      <c r="D280" s="178"/>
      <c r="E280" s="178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178"/>
      <c r="B281" s="178"/>
      <c r="C281" s="178"/>
      <c r="D281" s="178"/>
      <c r="E281" s="178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178"/>
      <c r="B282" s="178"/>
      <c r="C282" s="178"/>
      <c r="D282" s="178"/>
      <c r="E282" s="178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178"/>
      <c r="B283" s="178"/>
      <c r="C283" s="178"/>
      <c r="D283" s="178"/>
      <c r="E283" s="178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178"/>
      <c r="B284" s="178"/>
      <c r="C284" s="178"/>
      <c r="D284" s="178"/>
      <c r="E284" s="178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178"/>
      <c r="B285" s="178"/>
      <c r="C285" s="178"/>
      <c r="D285" s="178"/>
      <c r="E285" s="178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178"/>
      <c r="B286" s="178"/>
      <c r="C286" s="178"/>
      <c r="D286" s="178"/>
      <c r="E286" s="178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178"/>
      <c r="B287" s="178"/>
      <c r="C287" s="178"/>
      <c r="D287" s="178"/>
      <c r="E287" s="178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178"/>
      <c r="B288" s="178"/>
      <c r="C288" s="178"/>
      <c r="D288" s="178"/>
      <c r="E288" s="178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178"/>
      <c r="B289" s="178"/>
      <c r="C289" s="178"/>
      <c r="D289" s="178"/>
      <c r="E289" s="178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178"/>
      <c r="B290" s="178"/>
      <c r="C290" s="178"/>
      <c r="D290" s="178"/>
      <c r="E290" s="178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178"/>
      <c r="B291" s="178"/>
      <c r="C291" s="178"/>
      <c r="D291" s="178"/>
      <c r="E291" s="178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178"/>
      <c r="B292" s="178"/>
      <c r="C292" s="178"/>
      <c r="D292" s="178"/>
      <c r="E292" s="178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178"/>
      <c r="B293" s="178"/>
      <c r="C293" s="178"/>
      <c r="D293" s="178"/>
      <c r="E293" s="178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178"/>
      <c r="B294" s="178"/>
      <c r="C294" s="178"/>
      <c r="D294" s="178"/>
      <c r="E294" s="178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178"/>
      <c r="B295" s="178"/>
      <c r="C295" s="178"/>
      <c r="D295" s="178"/>
      <c r="E295" s="178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178"/>
      <c r="B296" s="178"/>
      <c r="C296" s="178"/>
      <c r="D296" s="178"/>
      <c r="E296" s="178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178"/>
      <c r="B297" s="178"/>
      <c r="C297" s="178"/>
      <c r="D297" s="178"/>
      <c r="E297" s="178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178"/>
      <c r="B298" s="178"/>
      <c r="C298" s="178"/>
      <c r="D298" s="178"/>
      <c r="E298" s="178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178"/>
      <c r="B299" s="178"/>
      <c r="C299" s="178"/>
      <c r="D299" s="178"/>
      <c r="E299" s="178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178"/>
      <c r="B300" s="178"/>
      <c r="C300" s="178"/>
      <c r="D300" s="178"/>
      <c r="E300" s="178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178"/>
      <c r="B301" s="178"/>
      <c r="C301" s="178"/>
      <c r="D301" s="178"/>
      <c r="E301" s="178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178"/>
      <c r="B302" s="178"/>
      <c r="C302" s="178"/>
      <c r="D302" s="178"/>
      <c r="E302" s="178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178"/>
      <c r="B303" s="178"/>
      <c r="C303" s="178"/>
      <c r="D303" s="178"/>
      <c r="E303" s="178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178"/>
      <c r="B304" s="178"/>
      <c r="C304" s="178"/>
      <c r="D304" s="178"/>
      <c r="E304" s="178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178"/>
      <c r="B305" s="178"/>
      <c r="C305" s="178"/>
      <c r="D305" s="178"/>
      <c r="E305" s="178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178"/>
      <c r="B306" s="178"/>
      <c r="C306" s="178"/>
      <c r="D306" s="178"/>
      <c r="E306" s="178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178"/>
      <c r="B307" s="178"/>
      <c r="C307" s="178"/>
      <c r="D307" s="178"/>
      <c r="E307" s="178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178"/>
      <c r="B308" s="178"/>
      <c r="C308" s="178"/>
      <c r="D308" s="178"/>
      <c r="E308" s="178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178"/>
      <c r="B309" s="178"/>
      <c r="C309" s="178"/>
      <c r="D309" s="178"/>
      <c r="E309" s="178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178"/>
      <c r="B310" s="178"/>
      <c r="C310" s="178"/>
      <c r="D310" s="178"/>
      <c r="E310" s="178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178"/>
      <c r="B311" s="178"/>
      <c r="C311" s="178"/>
      <c r="D311" s="178"/>
      <c r="E311" s="178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178"/>
      <c r="B312" s="178"/>
      <c r="C312" s="178"/>
      <c r="D312" s="178"/>
      <c r="E312" s="178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178"/>
      <c r="B313" s="178"/>
      <c r="C313" s="178"/>
      <c r="D313" s="178"/>
      <c r="E313" s="178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178"/>
      <c r="B314" s="178"/>
      <c r="C314" s="178"/>
      <c r="D314" s="178"/>
      <c r="E314" s="178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178"/>
      <c r="B315" s="178"/>
      <c r="C315" s="178"/>
      <c r="D315" s="178"/>
      <c r="E315" s="178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178"/>
      <c r="B316" s="178"/>
      <c r="C316" s="178"/>
      <c r="D316" s="178"/>
      <c r="E316" s="178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178"/>
      <c r="B317" s="178"/>
      <c r="C317" s="178"/>
      <c r="D317" s="178"/>
      <c r="E317" s="178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178"/>
      <c r="B318" s="178"/>
      <c r="C318" s="178"/>
      <c r="D318" s="178"/>
      <c r="E318" s="178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178"/>
      <c r="B319" s="178"/>
      <c r="C319" s="178"/>
      <c r="D319" s="178"/>
      <c r="E319" s="178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178"/>
      <c r="B320" s="178"/>
      <c r="C320" s="178"/>
      <c r="D320" s="178"/>
      <c r="E320" s="178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178"/>
      <c r="B321" s="178"/>
      <c r="C321" s="178"/>
      <c r="D321" s="178"/>
      <c r="E321" s="178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178"/>
      <c r="B322" s="178"/>
      <c r="C322" s="178"/>
      <c r="D322" s="178"/>
      <c r="E322" s="178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178"/>
      <c r="B323" s="178"/>
      <c r="C323" s="178"/>
      <c r="D323" s="178"/>
      <c r="E323" s="178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178"/>
      <c r="B324" s="178"/>
      <c r="C324" s="178"/>
      <c r="D324" s="178"/>
      <c r="E324" s="178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178"/>
      <c r="B325" s="178"/>
      <c r="C325" s="178"/>
      <c r="D325" s="178"/>
      <c r="E325" s="178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178"/>
      <c r="B326" s="178"/>
      <c r="C326" s="178"/>
      <c r="D326" s="178"/>
      <c r="E326" s="178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178"/>
      <c r="B327" s="178"/>
      <c r="C327" s="178"/>
      <c r="D327" s="178"/>
      <c r="E327" s="178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178"/>
      <c r="B328" s="178"/>
      <c r="C328" s="178"/>
      <c r="D328" s="178"/>
      <c r="E328" s="178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178"/>
      <c r="B329" s="178"/>
      <c r="C329" s="178"/>
      <c r="D329" s="178"/>
      <c r="E329" s="178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178"/>
      <c r="B330" s="178"/>
      <c r="C330" s="178"/>
      <c r="D330" s="178"/>
      <c r="E330" s="178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178"/>
      <c r="B331" s="178"/>
      <c r="C331" s="178"/>
      <c r="D331" s="178"/>
      <c r="E331" s="178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178"/>
      <c r="B332" s="178"/>
      <c r="C332" s="178"/>
      <c r="D332" s="178"/>
      <c r="E332" s="178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178"/>
      <c r="B333" s="178"/>
      <c r="C333" s="178"/>
      <c r="D333" s="178"/>
      <c r="E333" s="178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178"/>
      <c r="B334" s="178"/>
      <c r="C334" s="178"/>
      <c r="D334" s="178"/>
      <c r="E334" s="178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178"/>
      <c r="B335" s="178"/>
      <c r="C335" s="178"/>
      <c r="D335" s="178"/>
      <c r="E335" s="178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178"/>
      <c r="B336" s="178"/>
      <c r="C336" s="178"/>
      <c r="D336" s="178"/>
      <c r="E336" s="178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178"/>
      <c r="B337" s="178"/>
      <c r="C337" s="178"/>
      <c r="D337" s="178"/>
      <c r="E337" s="178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178"/>
      <c r="B338" s="178"/>
      <c r="C338" s="178"/>
      <c r="D338" s="178"/>
      <c r="E338" s="178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178"/>
      <c r="B339" s="178"/>
      <c r="C339" s="178"/>
      <c r="D339" s="178"/>
      <c r="E339" s="178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178"/>
      <c r="B340" s="178"/>
      <c r="C340" s="178"/>
      <c r="D340" s="178"/>
      <c r="E340" s="178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178"/>
      <c r="B341" s="178"/>
      <c r="C341" s="178"/>
      <c r="D341" s="178"/>
      <c r="E341" s="178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178"/>
      <c r="B342" s="178"/>
      <c r="C342" s="178"/>
      <c r="D342" s="178"/>
      <c r="E342" s="178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178"/>
      <c r="B343" s="178"/>
      <c r="C343" s="178"/>
      <c r="D343" s="178"/>
      <c r="E343" s="178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178"/>
      <c r="B344" s="178"/>
      <c r="C344" s="178"/>
      <c r="D344" s="178"/>
      <c r="E344" s="178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178"/>
      <c r="B345" s="178"/>
      <c r="C345" s="178"/>
      <c r="D345" s="178"/>
      <c r="E345" s="178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178"/>
      <c r="B346" s="178"/>
      <c r="C346" s="178"/>
      <c r="D346" s="178"/>
      <c r="E346" s="178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178"/>
      <c r="B347" s="178"/>
      <c r="C347" s="178"/>
      <c r="D347" s="178"/>
      <c r="E347" s="178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178"/>
      <c r="B348" s="178"/>
      <c r="C348" s="178"/>
      <c r="D348" s="178"/>
      <c r="E348" s="178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178"/>
      <c r="B349" s="178"/>
      <c r="C349" s="178"/>
      <c r="D349" s="178"/>
      <c r="E349" s="178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178"/>
      <c r="B350" s="178"/>
      <c r="C350" s="178"/>
      <c r="D350" s="178"/>
      <c r="E350" s="178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178"/>
      <c r="B351" s="178"/>
      <c r="C351" s="178"/>
      <c r="D351" s="178"/>
      <c r="E351" s="178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178"/>
      <c r="B352" s="178"/>
      <c r="C352" s="178"/>
      <c r="D352" s="178"/>
      <c r="E352" s="178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178"/>
      <c r="B353" s="178"/>
      <c r="C353" s="178"/>
      <c r="D353" s="178"/>
      <c r="E353" s="178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178"/>
      <c r="B354" s="178"/>
      <c r="C354" s="178"/>
      <c r="D354" s="178"/>
      <c r="E354" s="178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178"/>
      <c r="B355" s="178"/>
      <c r="C355" s="178"/>
      <c r="D355" s="178"/>
      <c r="E355" s="178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178"/>
      <c r="B356" s="178"/>
      <c r="C356" s="178"/>
      <c r="D356" s="178"/>
      <c r="E356" s="178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178"/>
      <c r="B357" s="178"/>
      <c r="C357" s="178"/>
      <c r="D357" s="178"/>
      <c r="E357" s="178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178"/>
      <c r="B358" s="178"/>
      <c r="C358" s="178"/>
      <c r="D358" s="178"/>
      <c r="E358" s="178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178"/>
      <c r="B359" s="178"/>
      <c r="C359" s="178"/>
      <c r="D359" s="178"/>
      <c r="E359" s="178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178"/>
      <c r="B360" s="178"/>
      <c r="C360" s="178"/>
      <c r="D360" s="178"/>
      <c r="E360" s="178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178"/>
      <c r="B361" s="178"/>
      <c r="C361" s="178"/>
      <c r="D361" s="178"/>
      <c r="E361" s="178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178"/>
      <c r="B362" s="178"/>
      <c r="C362" s="178"/>
      <c r="D362" s="178"/>
      <c r="E362" s="178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178"/>
      <c r="B363" s="178"/>
      <c r="C363" s="178"/>
      <c r="D363" s="178"/>
      <c r="E363" s="178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178"/>
      <c r="B364" s="178"/>
      <c r="C364" s="178"/>
      <c r="D364" s="178"/>
      <c r="E364" s="178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178"/>
      <c r="B365" s="178"/>
      <c r="C365" s="178"/>
      <c r="D365" s="178"/>
      <c r="E365" s="178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178"/>
      <c r="B366" s="178"/>
      <c r="C366" s="178"/>
      <c r="D366" s="178"/>
      <c r="E366" s="178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178"/>
      <c r="B367" s="178"/>
      <c r="C367" s="178"/>
      <c r="D367" s="178"/>
      <c r="E367" s="178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178"/>
      <c r="B368" s="178"/>
      <c r="C368" s="178"/>
      <c r="D368" s="178"/>
      <c r="E368" s="178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178"/>
      <c r="B369" s="178"/>
      <c r="C369" s="178"/>
      <c r="D369" s="178"/>
      <c r="E369" s="178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178"/>
      <c r="B370" s="178"/>
      <c r="C370" s="178"/>
      <c r="D370" s="178"/>
      <c r="E370" s="178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178"/>
      <c r="B371" s="178"/>
      <c r="C371" s="178"/>
      <c r="D371" s="178"/>
      <c r="E371" s="178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178"/>
      <c r="B372" s="178"/>
      <c r="C372" s="178"/>
      <c r="D372" s="178"/>
      <c r="E372" s="178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178"/>
      <c r="B373" s="178"/>
      <c r="C373" s="178"/>
      <c r="D373" s="178"/>
      <c r="E373" s="178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178"/>
      <c r="B374" s="178"/>
      <c r="C374" s="178"/>
      <c r="D374" s="178"/>
      <c r="E374" s="178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178"/>
      <c r="B375" s="178"/>
      <c r="C375" s="178"/>
      <c r="D375" s="178"/>
      <c r="E375" s="178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178"/>
      <c r="B376" s="178"/>
      <c r="C376" s="178"/>
      <c r="D376" s="178"/>
      <c r="E376" s="178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178"/>
      <c r="B377" s="178"/>
      <c r="C377" s="178"/>
      <c r="D377" s="178"/>
      <c r="E377" s="178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178"/>
      <c r="B378" s="178"/>
      <c r="C378" s="178"/>
      <c r="D378" s="178"/>
      <c r="E378" s="178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178"/>
      <c r="B379" s="178"/>
      <c r="C379" s="178"/>
      <c r="D379" s="178"/>
      <c r="E379" s="178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178"/>
      <c r="B380" s="178"/>
      <c r="C380" s="178"/>
      <c r="D380" s="178"/>
      <c r="E380" s="178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178"/>
      <c r="B381" s="178"/>
      <c r="C381" s="178"/>
      <c r="D381" s="178"/>
      <c r="E381" s="178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178"/>
      <c r="B382" s="178"/>
      <c r="C382" s="178"/>
      <c r="D382" s="178"/>
      <c r="E382" s="178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178"/>
      <c r="B383" s="178"/>
      <c r="C383" s="178"/>
      <c r="D383" s="178"/>
      <c r="E383" s="178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178"/>
      <c r="B384" s="178"/>
      <c r="C384" s="178"/>
      <c r="D384" s="178"/>
      <c r="E384" s="178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178"/>
      <c r="B385" s="178"/>
      <c r="C385" s="178"/>
      <c r="D385" s="178"/>
      <c r="E385" s="178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178"/>
      <c r="B386" s="178"/>
      <c r="C386" s="178"/>
      <c r="D386" s="178"/>
      <c r="E386" s="178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178"/>
      <c r="B387" s="178"/>
      <c r="C387" s="178"/>
      <c r="D387" s="178"/>
      <c r="E387" s="178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178"/>
      <c r="B388" s="178"/>
      <c r="C388" s="178"/>
      <c r="D388" s="178"/>
      <c r="E388" s="178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178"/>
      <c r="B389" s="178"/>
      <c r="C389" s="178"/>
      <c r="D389" s="178"/>
      <c r="E389" s="178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178"/>
      <c r="B390" s="178"/>
      <c r="C390" s="178"/>
      <c r="D390" s="178"/>
      <c r="E390" s="178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178"/>
      <c r="B391" s="178"/>
      <c r="C391" s="178"/>
      <c r="D391" s="178"/>
      <c r="E391" s="178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178"/>
      <c r="B392" s="178"/>
      <c r="C392" s="178"/>
      <c r="D392" s="178"/>
      <c r="E392" s="178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178"/>
      <c r="B393" s="178"/>
      <c r="C393" s="178"/>
      <c r="D393" s="178"/>
      <c r="E393" s="178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178"/>
      <c r="B394" s="178"/>
      <c r="C394" s="178"/>
      <c r="D394" s="178"/>
      <c r="E394" s="178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178"/>
      <c r="B395" s="178"/>
      <c r="C395" s="178"/>
      <c r="D395" s="178"/>
      <c r="E395" s="178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178"/>
      <c r="B396" s="178"/>
      <c r="C396" s="178"/>
      <c r="D396" s="178"/>
      <c r="E396" s="178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178"/>
      <c r="B397" s="178"/>
      <c r="C397" s="178"/>
      <c r="D397" s="178"/>
      <c r="E397" s="178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178"/>
      <c r="B398" s="178"/>
      <c r="C398" s="178"/>
      <c r="D398" s="178"/>
      <c r="E398" s="178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178"/>
      <c r="B399" s="178"/>
      <c r="C399" s="178"/>
      <c r="D399" s="178"/>
      <c r="E399" s="178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178"/>
      <c r="B400" s="178"/>
      <c r="C400" s="178"/>
      <c r="D400" s="178"/>
      <c r="E400" s="178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178"/>
      <c r="B401" s="178"/>
      <c r="C401" s="178"/>
      <c r="D401" s="178"/>
      <c r="E401" s="178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178"/>
      <c r="B402" s="178"/>
      <c r="C402" s="178"/>
      <c r="D402" s="178"/>
      <c r="E402" s="178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178"/>
      <c r="B403" s="178"/>
      <c r="C403" s="178"/>
      <c r="D403" s="178"/>
      <c r="E403" s="178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178"/>
      <c r="B404" s="178"/>
      <c r="C404" s="178"/>
      <c r="D404" s="178"/>
      <c r="E404" s="178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178"/>
      <c r="B405" s="178"/>
      <c r="C405" s="178"/>
      <c r="D405" s="178"/>
      <c r="E405" s="178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178"/>
      <c r="B406" s="178"/>
      <c r="C406" s="178"/>
      <c r="D406" s="178"/>
      <c r="E406" s="178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178"/>
      <c r="B407" s="178"/>
      <c r="C407" s="178"/>
      <c r="D407" s="178"/>
      <c r="E407" s="178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178"/>
      <c r="B408" s="178"/>
      <c r="C408" s="178"/>
      <c r="D408" s="178"/>
      <c r="E408" s="178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178"/>
      <c r="B409" s="178"/>
      <c r="C409" s="178"/>
      <c r="D409" s="178"/>
      <c r="E409" s="178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178"/>
      <c r="B410" s="178"/>
      <c r="C410" s="178"/>
      <c r="D410" s="178"/>
      <c r="E410" s="178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178"/>
      <c r="B411" s="178"/>
      <c r="C411" s="178"/>
      <c r="D411" s="178"/>
      <c r="E411" s="178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178"/>
      <c r="B412" s="178"/>
      <c r="C412" s="178"/>
      <c r="D412" s="178"/>
      <c r="E412" s="178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178"/>
      <c r="B413" s="178"/>
      <c r="C413" s="178"/>
      <c r="D413" s="178"/>
      <c r="E413" s="178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178"/>
      <c r="B414" s="178"/>
      <c r="C414" s="178"/>
      <c r="D414" s="178"/>
      <c r="E414" s="178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178"/>
      <c r="B415" s="178"/>
      <c r="C415" s="178"/>
      <c r="D415" s="178"/>
      <c r="E415" s="178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178"/>
      <c r="B416" s="178"/>
      <c r="C416" s="178"/>
      <c r="D416" s="178"/>
      <c r="E416" s="178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178"/>
      <c r="B417" s="178"/>
      <c r="C417" s="178"/>
      <c r="D417" s="178"/>
      <c r="E417" s="178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178"/>
      <c r="B418" s="178"/>
      <c r="C418" s="178"/>
      <c r="D418" s="178"/>
      <c r="E418" s="178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178"/>
      <c r="B419" s="178"/>
      <c r="C419" s="178"/>
      <c r="D419" s="178"/>
      <c r="E419" s="178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178"/>
      <c r="B420" s="178"/>
      <c r="C420" s="178"/>
      <c r="D420" s="178"/>
      <c r="E420" s="178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178"/>
      <c r="B421" s="178"/>
      <c r="C421" s="178"/>
      <c r="D421" s="178"/>
      <c r="E421" s="178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178"/>
      <c r="B422" s="178"/>
      <c r="C422" s="178"/>
      <c r="D422" s="178"/>
      <c r="E422" s="178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178"/>
      <c r="B423" s="178"/>
      <c r="C423" s="178"/>
      <c r="D423" s="178"/>
      <c r="E423" s="178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178"/>
      <c r="B424" s="178"/>
      <c r="C424" s="178"/>
      <c r="D424" s="178"/>
      <c r="E424" s="178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178"/>
      <c r="B425" s="178"/>
      <c r="C425" s="178"/>
      <c r="D425" s="178"/>
      <c r="E425" s="178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178"/>
      <c r="B426" s="178"/>
      <c r="C426" s="178"/>
      <c r="D426" s="178"/>
      <c r="E426" s="178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178"/>
      <c r="B427" s="178"/>
      <c r="C427" s="178"/>
      <c r="D427" s="178"/>
      <c r="E427" s="178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178"/>
      <c r="B428" s="178"/>
      <c r="C428" s="178"/>
      <c r="D428" s="178"/>
      <c r="E428" s="178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178"/>
      <c r="B429" s="178"/>
      <c r="C429" s="178"/>
      <c r="D429" s="178"/>
      <c r="E429" s="178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178"/>
      <c r="B430" s="178"/>
      <c r="C430" s="178"/>
      <c r="D430" s="178"/>
      <c r="E430" s="178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178"/>
      <c r="B431" s="178"/>
      <c r="C431" s="178"/>
      <c r="D431" s="178"/>
      <c r="E431" s="178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178"/>
      <c r="B432" s="178"/>
      <c r="C432" s="178"/>
      <c r="D432" s="178"/>
      <c r="E432" s="178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178"/>
      <c r="B433" s="178"/>
      <c r="C433" s="178"/>
      <c r="D433" s="178"/>
      <c r="E433" s="178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178"/>
      <c r="B434" s="178"/>
      <c r="C434" s="178"/>
      <c r="D434" s="178"/>
      <c r="E434" s="178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178"/>
      <c r="B435" s="178"/>
      <c r="C435" s="178"/>
      <c r="D435" s="178"/>
      <c r="E435" s="178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178"/>
      <c r="B436" s="178"/>
      <c r="C436" s="178"/>
      <c r="D436" s="178"/>
      <c r="E436" s="178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178"/>
      <c r="B437" s="178"/>
      <c r="C437" s="178"/>
      <c r="D437" s="178"/>
      <c r="E437" s="178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178"/>
      <c r="B438" s="178"/>
      <c r="C438" s="178"/>
      <c r="D438" s="178"/>
      <c r="E438" s="178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178"/>
      <c r="B439" s="178"/>
      <c r="C439" s="178"/>
      <c r="D439" s="178"/>
      <c r="E439" s="178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178"/>
      <c r="B440" s="178"/>
      <c r="C440" s="178"/>
      <c r="D440" s="178"/>
      <c r="E440" s="178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178"/>
      <c r="B441" s="178"/>
      <c r="C441" s="178"/>
      <c r="D441" s="178"/>
      <c r="E441" s="178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178"/>
      <c r="B442" s="178"/>
      <c r="C442" s="178"/>
      <c r="D442" s="178"/>
      <c r="E442" s="178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178"/>
      <c r="B443" s="178"/>
      <c r="C443" s="178"/>
      <c r="D443" s="178"/>
      <c r="E443" s="178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178"/>
      <c r="B444" s="178"/>
      <c r="C444" s="178"/>
      <c r="D444" s="178"/>
      <c r="E444" s="178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178"/>
      <c r="B445" s="178"/>
      <c r="C445" s="178"/>
      <c r="D445" s="178"/>
      <c r="E445" s="178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178"/>
      <c r="B446" s="178"/>
      <c r="C446" s="178"/>
      <c r="D446" s="178"/>
      <c r="E446" s="178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178"/>
      <c r="B447" s="178"/>
      <c r="C447" s="178"/>
      <c r="D447" s="178"/>
      <c r="E447" s="178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178"/>
      <c r="B448" s="178"/>
      <c r="C448" s="178"/>
      <c r="D448" s="178"/>
      <c r="E448" s="178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178"/>
      <c r="B449" s="178"/>
      <c r="C449" s="178"/>
      <c r="D449" s="178"/>
      <c r="E449" s="178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178"/>
      <c r="B450" s="178"/>
      <c r="C450" s="178"/>
      <c r="D450" s="178"/>
      <c r="E450" s="178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178"/>
      <c r="B451" s="178"/>
      <c r="C451" s="178"/>
      <c r="D451" s="178"/>
      <c r="E451" s="178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178"/>
      <c r="B452" s="178"/>
      <c r="C452" s="178"/>
      <c r="D452" s="178"/>
      <c r="E452" s="178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178"/>
      <c r="B453" s="178"/>
      <c r="C453" s="178"/>
      <c r="D453" s="178"/>
      <c r="E453" s="178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178"/>
      <c r="B454" s="178"/>
      <c r="C454" s="178"/>
      <c r="D454" s="178"/>
      <c r="E454" s="178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178"/>
      <c r="B455" s="178"/>
      <c r="C455" s="178"/>
      <c r="D455" s="178"/>
      <c r="E455" s="178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178"/>
      <c r="B456" s="178"/>
      <c r="C456" s="178"/>
      <c r="D456" s="178"/>
      <c r="E456" s="178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178"/>
      <c r="B457" s="178"/>
      <c r="C457" s="178"/>
      <c r="D457" s="178"/>
      <c r="E457" s="178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178"/>
      <c r="B458" s="178"/>
      <c r="C458" s="178"/>
      <c r="D458" s="178"/>
      <c r="E458" s="178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178"/>
      <c r="B459" s="178"/>
      <c r="C459" s="178"/>
      <c r="D459" s="178"/>
      <c r="E459" s="178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178"/>
      <c r="B460" s="178"/>
      <c r="C460" s="178"/>
      <c r="D460" s="178"/>
      <c r="E460" s="178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178"/>
      <c r="B461" s="178"/>
      <c r="C461" s="178"/>
      <c r="D461" s="178"/>
      <c r="E461" s="178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178"/>
      <c r="B462" s="178"/>
      <c r="C462" s="178"/>
      <c r="D462" s="178"/>
      <c r="E462" s="178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178"/>
      <c r="B463" s="178"/>
      <c r="C463" s="178"/>
      <c r="D463" s="178"/>
      <c r="E463" s="178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178"/>
      <c r="B464" s="178"/>
      <c r="C464" s="178"/>
      <c r="D464" s="178"/>
      <c r="E464" s="178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178"/>
      <c r="B465" s="178"/>
      <c r="C465" s="178"/>
      <c r="D465" s="178"/>
      <c r="E465" s="178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178"/>
      <c r="B466" s="178"/>
      <c r="C466" s="178"/>
      <c r="D466" s="178"/>
      <c r="E466" s="178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178"/>
      <c r="B467" s="178"/>
      <c r="C467" s="178"/>
      <c r="D467" s="178"/>
      <c r="E467" s="178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178"/>
      <c r="B468" s="178"/>
      <c r="C468" s="178"/>
      <c r="D468" s="178"/>
      <c r="E468" s="178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178"/>
      <c r="B469" s="178"/>
      <c r="C469" s="178"/>
      <c r="D469" s="178"/>
      <c r="E469" s="178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178"/>
      <c r="B470" s="178"/>
      <c r="C470" s="178"/>
      <c r="D470" s="178"/>
      <c r="E470" s="178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178"/>
      <c r="B471" s="178"/>
      <c r="C471" s="178"/>
      <c r="D471" s="178"/>
      <c r="E471" s="178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178"/>
      <c r="B472" s="178"/>
      <c r="C472" s="178"/>
      <c r="D472" s="178"/>
      <c r="E472" s="178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178"/>
      <c r="B473" s="178"/>
      <c r="C473" s="178"/>
      <c r="D473" s="178"/>
      <c r="E473" s="178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178"/>
      <c r="B474" s="178"/>
      <c r="C474" s="178"/>
      <c r="D474" s="178"/>
      <c r="E474" s="178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178"/>
      <c r="B475" s="178"/>
      <c r="C475" s="178"/>
      <c r="D475" s="178"/>
      <c r="E475" s="178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178"/>
      <c r="B476" s="178"/>
      <c r="C476" s="178"/>
      <c r="D476" s="178"/>
      <c r="E476" s="178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178"/>
      <c r="B477" s="178"/>
      <c r="C477" s="178"/>
      <c r="D477" s="178"/>
      <c r="E477" s="178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178"/>
      <c r="B478" s="178"/>
      <c r="C478" s="178"/>
      <c r="D478" s="178"/>
      <c r="E478" s="178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178"/>
      <c r="B479" s="178"/>
      <c r="C479" s="178"/>
      <c r="D479" s="178"/>
      <c r="E479" s="178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178"/>
      <c r="B480" s="178"/>
      <c r="C480" s="178"/>
      <c r="D480" s="178"/>
      <c r="E480" s="178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178"/>
      <c r="B481" s="178"/>
      <c r="C481" s="178"/>
      <c r="D481" s="178"/>
      <c r="E481" s="178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178"/>
      <c r="B482" s="178"/>
      <c r="C482" s="178"/>
      <c r="D482" s="178"/>
      <c r="E482" s="178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178"/>
      <c r="B483" s="178"/>
      <c r="C483" s="178"/>
      <c r="D483" s="178"/>
      <c r="E483" s="178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178"/>
      <c r="B484" s="178"/>
      <c r="C484" s="178"/>
      <c r="D484" s="178"/>
      <c r="E484" s="178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178"/>
      <c r="B485" s="178"/>
      <c r="C485" s="178"/>
      <c r="D485" s="178"/>
      <c r="E485" s="178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178"/>
      <c r="B486" s="178"/>
      <c r="C486" s="178"/>
      <c r="D486" s="178"/>
      <c r="E486" s="178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178"/>
      <c r="B487" s="178"/>
      <c r="C487" s="178"/>
      <c r="D487" s="178"/>
      <c r="E487" s="178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178"/>
      <c r="B488" s="178"/>
      <c r="C488" s="178"/>
      <c r="D488" s="178"/>
      <c r="E488" s="178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178"/>
      <c r="B489" s="178"/>
      <c r="C489" s="178"/>
      <c r="D489" s="178"/>
      <c r="E489" s="178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178"/>
      <c r="B490" s="178"/>
      <c r="C490" s="178"/>
      <c r="D490" s="178"/>
      <c r="E490" s="178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178"/>
      <c r="B491" s="178"/>
      <c r="C491" s="178"/>
      <c r="D491" s="178"/>
      <c r="E491" s="178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178"/>
      <c r="B492" s="178"/>
      <c r="C492" s="178"/>
      <c r="D492" s="178"/>
      <c r="E492" s="178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178"/>
      <c r="B493" s="178"/>
      <c r="C493" s="178"/>
      <c r="D493" s="178"/>
      <c r="E493" s="178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178"/>
      <c r="B494" s="178"/>
      <c r="C494" s="178"/>
      <c r="D494" s="178"/>
      <c r="E494" s="178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178"/>
      <c r="B495" s="178"/>
      <c r="C495" s="178"/>
      <c r="D495" s="178"/>
      <c r="E495" s="178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178"/>
      <c r="B496" s="178"/>
      <c r="C496" s="178"/>
      <c r="D496" s="178"/>
      <c r="E496" s="178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178"/>
      <c r="B497" s="178"/>
      <c r="C497" s="178"/>
      <c r="D497" s="178"/>
      <c r="E497" s="178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178"/>
      <c r="B498" s="178"/>
      <c r="C498" s="178"/>
      <c r="D498" s="178"/>
      <c r="E498" s="178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178"/>
      <c r="B499" s="178"/>
      <c r="C499" s="178"/>
      <c r="D499" s="178"/>
      <c r="E499" s="178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178"/>
      <c r="B500" s="178"/>
      <c r="C500" s="178"/>
      <c r="D500" s="178"/>
      <c r="E500" s="178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178"/>
      <c r="B501" s="178"/>
      <c r="C501" s="178"/>
      <c r="D501" s="178"/>
      <c r="E501" s="178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178"/>
      <c r="B502" s="178"/>
      <c r="C502" s="178"/>
      <c r="D502" s="178"/>
      <c r="E502" s="178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178"/>
      <c r="B503" s="178"/>
      <c r="C503" s="178"/>
      <c r="D503" s="178"/>
      <c r="E503" s="178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178"/>
      <c r="B504" s="178"/>
      <c r="C504" s="178"/>
      <c r="D504" s="178"/>
      <c r="E504" s="178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178"/>
      <c r="B505" s="178"/>
      <c r="C505" s="178"/>
      <c r="D505" s="178"/>
      <c r="E505" s="178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178"/>
      <c r="B506" s="178"/>
      <c r="C506" s="178"/>
      <c r="D506" s="178"/>
      <c r="E506" s="178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178"/>
      <c r="B507" s="178"/>
      <c r="C507" s="178"/>
      <c r="D507" s="178"/>
      <c r="E507" s="178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178"/>
      <c r="B508" s="178"/>
      <c r="C508" s="178"/>
      <c r="D508" s="178"/>
      <c r="E508" s="178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178"/>
      <c r="B509" s="178"/>
      <c r="C509" s="178"/>
      <c r="D509" s="178"/>
      <c r="E509" s="178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178"/>
      <c r="B510" s="178"/>
      <c r="C510" s="178"/>
      <c r="D510" s="178"/>
      <c r="E510" s="178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178"/>
      <c r="B511" s="178"/>
      <c r="C511" s="178"/>
      <c r="D511" s="178"/>
      <c r="E511" s="178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178"/>
      <c r="B512" s="178"/>
      <c r="C512" s="178"/>
      <c r="D512" s="178"/>
      <c r="E512" s="178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178"/>
      <c r="B513" s="178"/>
      <c r="C513" s="178"/>
      <c r="D513" s="178"/>
      <c r="E513" s="178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178"/>
      <c r="B514" s="178"/>
      <c r="C514" s="178"/>
      <c r="D514" s="178"/>
      <c r="E514" s="178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178"/>
      <c r="B515" s="178"/>
      <c r="C515" s="178"/>
      <c r="D515" s="178"/>
      <c r="E515" s="178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178"/>
      <c r="B516" s="178"/>
      <c r="C516" s="178"/>
      <c r="D516" s="178"/>
      <c r="E516" s="178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178"/>
      <c r="B517" s="178"/>
      <c r="C517" s="178"/>
      <c r="D517" s="178"/>
      <c r="E517" s="178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178"/>
      <c r="B518" s="178"/>
      <c r="C518" s="178"/>
      <c r="D518" s="178"/>
      <c r="E518" s="178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178"/>
      <c r="B519" s="178"/>
      <c r="C519" s="178"/>
      <c r="D519" s="178"/>
      <c r="E519" s="178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178"/>
      <c r="B520" s="178"/>
      <c r="C520" s="178"/>
      <c r="D520" s="178"/>
      <c r="E520" s="178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178"/>
      <c r="B521" s="178"/>
      <c r="C521" s="178"/>
      <c r="D521" s="178"/>
      <c r="E521" s="178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178"/>
      <c r="B522" s="178"/>
      <c r="C522" s="178"/>
      <c r="D522" s="178"/>
      <c r="E522" s="178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178"/>
      <c r="B523" s="178"/>
      <c r="C523" s="178"/>
      <c r="D523" s="178"/>
      <c r="E523" s="178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178"/>
      <c r="B524" s="178"/>
      <c r="C524" s="178"/>
      <c r="D524" s="178"/>
      <c r="E524" s="178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178"/>
      <c r="B525" s="178"/>
      <c r="C525" s="178"/>
      <c r="D525" s="178"/>
      <c r="E525" s="178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178"/>
      <c r="B526" s="178"/>
      <c r="C526" s="178"/>
      <c r="D526" s="178"/>
      <c r="E526" s="178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178"/>
      <c r="B527" s="178"/>
      <c r="C527" s="178"/>
      <c r="D527" s="178"/>
      <c r="E527" s="178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178"/>
      <c r="B528" s="178"/>
      <c r="C528" s="178"/>
      <c r="D528" s="178"/>
      <c r="E528" s="178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178"/>
      <c r="B529" s="178"/>
      <c r="C529" s="178"/>
      <c r="D529" s="178"/>
      <c r="E529" s="178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178"/>
      <c r="B530" s="178"/>
      <c r="C530" s="178"/>
      <c r="D530" s="178"/>
      <c r="E530" s="178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178"/>
      <c r="B531" s="178"/>
      <c r="C531" s="178"/>
      <c r="D531" s="178"/>
      <c r="E531" s="178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178"/>
      <c r="B532" s="178"/>
      <c r="C532" s="178"/>
      <c r="D532" s="178"/>
      <c r="E532" s="178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178"/>
      <c r="B533" s="178"/>
      <c r="C533" s="178"/>
      <c r="D533" s="178"/>
      <c r="E533" s="178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178"/>
      <c r="B534" s="178"/>
      <c r="C534" s="178"/>
      <c r="D534" s="178"/>
      <c r="E534" s="178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178"/>
      <c r="B535" s="178"/>
      <c r="C535" s="178"/>
      <c r="D535" s="178"/>
      <c r="E535" s="178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178"/>
      <c r="B536" s="178"/>
      <c r="C536" s="178"/>
      <c r="D536" s="178"/>
      <c r="E536" s="178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178"/>
      <c r="B537" s="178"/>
      <c r="C537" s="178"/>
      <c r="D537" s="178"/>
      <c r="E537" s="178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178"/>
      <c r="B538" s="178"/>
      <c r="C538" s="178"/>
      <c r="D538" s="178"/>
      <c r="E538" s="178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178"/>
      <c r="B539" s="178"/>
      <c r="C539" s="178"/>
      <c r="D539" s="178"/>
      <c r="E539" s="178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178"/>
      <c r="B540" s="178"/>
      <c r="C540" s="178"/>
      <c r="D540" s="178"/>
      <c r="E540" s="178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178"/>
      <c r="B541" s="178"/>
      <c r="C541" s="178"/>
      <c r="D541" s="178"/>
      <c r="E541" s="178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178"/>
      <c r="B542" s="178"/>
      <c r="C542" s="178"/>
      <c r="D542" s="178"/>
      <c r="E542" s="178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178"/>
      <c r="B543" s="178"/>
      <c r="C543" s="178"/>
      <c r="D543" s="178"/>
      <c r="E543" s="178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178"/>
      <c r="B544" s="178"/>
      <c r="C544" s="178"/>
      <c r="D544" s="178"/>
      <c r="E544" s="178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178"/>
      <c r="B545" s="178"/>
      <c r="C545" s="178"/>
      <c r="D545" s="178"/>
      <c r="E545" s="178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178"/>
      <c r="B546" s="178"/>
      <c r="C546" s="178"/>
      <c r="D546" s="178"/>
      <c r="E546" s="178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178"/>
      <c r="B547" s="178"/>
      <c r="C547" s="178"/>
      <c r="D547" s="178"/>
      <c r="E547" s="178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178"/>
      <c r="B548" s="178"/>
      <c r="C548" s="178"/>
      <c r="D548" s="178"/>
      <c r="E548" s="178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178"/>
      <c r="B549" s="178"/>
      <c r="C549" s="178"/>
      <c r="D549" s="178"/>
      <c r="E549" s="178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178"/>
      <c r="B550" s="178"/>
      <c r="C550" s="178"/>
      <c r="D550" s="178"/>
      <c r="E550" s="178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178"/>
      <c r="B551" s="178"/>
      <c r="C551" s="178"/>
      <c r="D551" s="178"/>
      <c r="E551" s="178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178"/>
      <c r="B552" s="178"/>
      <c r="C552" s="178"/>
      <c r="D552" s="178"/>
      <c r="E552" s="178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178"/>
      <c r="B553" s="178"/>
      <c r="C553" s="178"/>
      <c r="D553" s="178"/>
      <c r="E553" s="178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178"/>
      <c r="B554" s="178"/>
      <c r="C554" s="178"/>
      <c r="D554" s="178"/>
      <c r="E554" s="178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178"/>
      <c r="B555" s="178"/>
      <c r="C555" s="178"/>
      <c r="D555" s="178"/>
      <c r="E555" s="178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178"/>
      <c r="B556" s="178"/>
      <c r="C556" s="178"/>
      <c r="D556" s="178"/>
      <c r="E556" s="178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178"/>
      <c r="B557" s="178"/>
      <c r="C557" s="178"/>
      <c r="D557" s="178"/>
      <c r="E557" s="178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178"/>
      <c r="B558" s="178"/>
      <c r="C558" s="178"/>
      <c r="D558" s="178"/>
      <c r="E558" s="178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178"/>
      <c r="B559" s="178"/>
      <c r="C559" s="178"/>
      <c r="D559" s="178"/>
      <c r="E559" s="178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178"/>
      <c r="B560" s="178"/>
      <c r="C560" s="178"/>
      <c r="D560" s="178"/>
      <c r="E560" s="178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178"/>
      <c r="B561" s="178"/>
      <c r="C561" s="178"/>
      <c r="D561" s="178"/>
      <c r="E561" s="178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178"/>
      <c r="B562" s="178"/>
      <c r="C562" s="178"/>
      <c r="D562" s="178"/>
      <c r="E562" s="178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178"/>
      <c r="B563" s="178"/>
      <c r="C563" s="178"/>
      <c r="D563" s="178"/>
      <c r="E563" s="178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178"/>
      <c r="B564" s="178"/>
      <c r="C564" s="178"/>
      <c r="D564" s="178"/>
      <c r="E564" s="178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178"/>
      <c r="B565" s="178"/>
      <c r="C565" s="178"/>
      <c r="D565" s="178"/>
      <c r="E565" s="178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178"/>
      <c r="B566" s="178"/>
      <c r="C566" s="178"/>
      <c r="D566" s="178"/>
      <c r="E566" s="178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178"/>
      <c r="B567" s="178"/>
      <c r="C567" s="178"/>
      <c r="D567" s="178"/>
      <c r="E567" s="178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178"/>
      <c r="B568" s="178"/>
      <c r="C568" s="178"/>
      <c r="D568" s="178"/>
      <c r="E568" s="178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178"/>
      <c r="B569" s="178"/>
      <c r="C569" s="178"/>
      <c r="D569" s="178"/>
      <c r="E569" s="178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178"/>
      <c r="B570" s="178"/>
      <c r="C570" s="178"/>
      <c r="D570" s="178"/>
      <c r="E570" s="178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178"/>
      <c r="B571" s="178"/>
      <c r="C571" s="178"/>
      <c r="D571" s="178"/>
      <c r="E571" s="178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178"/>
      <c r="B572" s="178"/>
      <c r="C572" s="178"/>
      <c r="D572" s="178"/>
      <c r="E572" s="178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178"/>
      <c r="B573" s="178"/>
      <c r="C573" s="178"/>
      <c r="D573" s="178"/>
      <c r="E573" s="178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178"/>
      <c r="B574" s="178"/>
      <c r="C574" s="178"/>
      <c r="D574" s="178"/>
      <c r="E574" s="178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178"/>
      <c r="B575" s="178"/>
      <c r="C575" s="178"/>
      <c r="D575" s="178"/>
      <c r="E575" s="178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178"/>
      <c r="B576" s="178"/>
      <c r="C576" s="178"/>
      <c r="D576" s="178"/>
      <c r="E576" s="178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178"/>
      <c r="B577" s="178"/>
      <c r="C577" s="178"/>
      <c r="D577" s="178"/>
      <c r="E577" s="178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178"/>
      <c r="B578" s="178"/>
      <c r="C578" s="178"/>
      <c r="D578" s="178"/>
      <c r="E578" s="178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178"/>
      <c r="B579" s="178"/>
      <c r="C579" s="178"/>
      <c r="D579" s="178"/>
      <c r="E579" s="178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178"/>
      <c r="B580" s="178"/>
      <c r="C580" s="178"/>
      <c r="D580" s="178"/>
      <c r="E580" s="178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178"/>
      <c r="B581" s="178"/>
      <c r="C581" s="178"/>
      <c r="D581" s="178"/>
      <c r="E581" s="178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178"/>
      <c r="B582" s="178"/>
      <c r="C582" s="178"/>
      <c r="D582" s="178"/>
      <c r="E582" s="178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178"/>
      <c r="B583" s="178"/>
      <c r="C583" s="178"/>
      <c r="D583" s="178"/>
      <c r="E583" s="178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178"/>
      <c r="B584" s="178"/>
      <c r="C584" s="178"/>
      <c r="D584" s="178"/>
      <c r="E584" s="178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178"/>
      <c r="B585" s="178"/>
      <c r="C585" s="178"/>
      <c r="D585" s="178"/>
      <c r="E585" s="178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178"/>
      <c r="B586" s="178"/>
      <c r="C586" s="178"/>
      <c r="D586" s="178"/>
      <c r="E586" s="178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178"/>
      <c r="B587" s="178"/>
      <c r="C587" s="178"/>
      <c r="D587" s="178"/>
      <c r="E587" s="178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178"/>
      <c r="B588" s="178"/>
      <c r="C588" s="178"/>
      <c r="D588" s="178"/>
      <c r="E588" s="178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178"/>
      <c r="B589" s="178"/>
      <c r="C589" s="178"/>
      <c r="D589" s="178"/>
      <c r="E589" s="178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178"/>
      <c r="B590" s="178"/>
      <c r="C590" s="178"/>
      <c r="D590" s="178"/>
      <c r="E590" s="178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178"/>
      <c r="B591" s="178"/>
      <c r="C591" s="178"/>
      <c r="D591" s="178"/>
      <c r="E591" s="178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178"/>
      <c r="B592" s="178"/>
      <c r="C592" s="178"/>
      <c r="D592" s="178"/>
      <c r="E592" s="178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178"/>
      <c r="B593" s="178"/>
      <c r="C593" s="178"/>
      <c r="D593" s="178"/>
      <c r="E593" s="178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178"/>
      <c r="B594" s="178"/>
      <c r="C594" s="178"/>
      <c r="D594" s="178"/>
      <c r="E594" s="178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178"/>
      <c r="B595" s="178"/>
      <c r="C595" s="178"/>
      <c r="D595" s="178"/>
      <c r="E595" s="178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178"/>
      <c r="B596" s="178"/>
      <c r="C596" s="178"/>
      <c r="D596" s="178"/>
      <c r="E596" s="178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178"/>
      <c r="B597" s="178"/>
      <c r="C597" s="178"/>
      <c r="D597" s="178"/>
      <c r="E597" s="178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178"/>
      <c r="B598" s="178"/>
      <c r="C598" s="178"/>
      <c r="D598" s="178"/>
      <c r="E598" s="178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178"/>
      <c r="B599" s="178"/>
      <c r="C599" s="178"/>
      <c r="D599" s="178"/>
      <c r="E599" s="178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178"/>
      <c r="B600" s="178"/>
      <c r="C600" s="178"/>
      <c r="D600" s="178"/>
      <c r="E600" s="178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178"/>
      <c r="B601" s="178"/>
      <c r="C601" s="178"/>
      <c r="D601" s="178"/>
      <c r="E601" s="178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178"/>
      <c r="B602" s="178"/>
      <c r="C602" s="178"/>
      <c r="D602" s="178"/>
      <c r="E602" s="178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178"/>
      <c r="B603" s="178"/>
      <c r="C603" s="178"/>
      <c r="D603" s="178"/>
      <c r="E603" s="178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178"/>
      <c r="B604" s="178"/>
      <c r="C604" s="178"/>
      <c r="D604" s="178"/>
      <c r="E604" s="178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178"/>
      <c r="B605" s="178"/>
      <c r="C605" s="178"/>
      <c r="D605" s="178"/>
      <c r="E605" s="178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178"/>
      <c r="B606" s="178"/>
      <c r="C606" s="178"/>
      <c r="D606" s="178"/>
      <c r="E606" s="178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178"/>
      <c r="B607" s="178"/>
      <c r="C607" s="178"/>
      <c r="D607" s="178"/>
      <c r="E607" s="178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178"/>
      <c r="B608" s="178"/>
      <c r="C608" s="178"/>
      <c r="D608" s="178"/>
      <c r="E608" s="178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178"/>
      <c r="B609" s="178"/>
      <c r="C609" s="178"/>
      <c r="D609" s="178"/>
      <c r="E609" s="178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178"/>
      <c r="B610" s="178"/>
      <c r="C610" s="178"/>
      <c r="D610" s="178"/>
      <c r="E610" s="178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178"/>
      <c r="B611" s="178"/>
      <c r="C611" s="178"/>
      <c r="D611" s="178"/>
      <c r="E611" s="178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178"/>
      <c r="B612" s="178"/>
      <c r="C612" s="178"/>
      <c r="D612" s="178"/>
      <c r="E612" s="178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178"/>
      <c r="B613" s="178"/>
      <c r="C613" s="178"/>
      <c r="D613" s="178"/>
      <c r="E613" s="178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178"/>
      <c r="B614" s="178"/>
      <c r="C614" s="178"/>
      <c r="D614" s="178"/>
      <c r="E614" s="178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178"/>
      <c r="B615" s="178"/>
      <c r="C615" s="178"/>
      <c r="D615" s="178"/>
      <c r="E615" s="178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178"/>
      <c r="B616" s="178"/>
      <c r="C616" s="178"/>
      <c r="D616" s="178"/>
      <c r="E616" s="178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178"/>
      <c r="B617" s="178"/>
      <c r="C617" s="178"/>
      <c r="D617" s="178"/>
      <c r="E617" s="178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178"/>
      <c r="B618" s="178"/>
      <c r="C618" s="178"/>
      <c r="D618" s="178"/>
      <c r="E618" s="178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178"/>
      <c r="B619" s="178"/>
      <c r="C619" s="178"/>
      <c r="D619" s="178"/>
      <c r="E619" s="178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178"/>
      <c r="B620" s="178"/>
      <c r="C620" s="178"/>
      <c r="D620" s="178"/>
      <c r="E620" s="178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178"/>
      <c r="B621" s="178"/>
      <c r="C621" s="178"/>
      <c r="D621" s="178"/>
      <c r="E621" s="178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178"/>
      <c r="B622" s="178"/>
      <c r="C622" s="178"/>
      <c r="D622" s="178"/>
      <c r="E622" s="178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178"/>
      <c r="B623" s="178"/>
      <c r="C623" s="178"/>
      <c r="D623" s="178"/>
      <c r="E623" s="178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178"/>
      <c r="B624" s="178"/>
      <c r="C624" s="178"/>
      <c r="D624" s="178"/>
      <c r="E624" s="178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178"/>
      <c r="B625" s="178"/>
      <c r="C625" s="178"/>
      <c r="D625" s="178"/>
      <c r="E625" s="178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178"/>
      <c r="B626" s="178"/>
      <c r="C626" s="178"/>
      <c r="D626" s="178"/>
      <c r="E626" s="178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178"/>
      <c r="B627" s="178"/>
      <c r="C627" s="178"/>
      <c r="D627" s="178"/>
      <c r="E627" s="178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178"/>
      <c r="B628" s="178"/>
      <c r="C628" s="178"/>
      <c r="D628" s="178"/>
      <c r="E628" s="178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178"/>
      <c r="B629" s="178"/>
      <c r="C629" s="178"/>
      <c r="D629" s="178"/>
      <c r="E629" s="178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178"/>
      <c r="B630" s="178"/>
      <c r="C630" s="178"/>
      <c r="D630" s="178"/>
      <c r="E630" s="178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178"/>
      <c r="B631" s="178"/>
      <c r="C631" s="178"/>
      <c r="D631" s="178"/>
      <c r="E631" s="178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178"/>
      <c r="B632" s="178"/>
      <c r="C632" s="178"/>
      <c r="D632" s="178"/>
      <c r="E632" s="178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178"/>
      <c r="B633" s="178"/>
      <c r="C633" s="178"/>
      <c r="D633" s="178"/>
      <c r="E633" s="178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178"/>
      <c r="B634" s="178"/>
      <c r="C634" s="178"/>
      <c r="D634" s="178"/>
      <c r="E634" s="178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178"/>
      <c r="B635" s="178"/>
      <c r="C635" s="178"/>
      <c r="D635" s="178"/>
      <c r="E635" s="178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178"/>
      <c r="B636" s="178"/>
      <c r="C636" s="178"/>
      <c r="D636" s="178"/>
      <c r="E636" s="178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178"/>
      <c r="B637" s="178"/>
      <c r="C637" s="178"/>
      <c r="D637" s="178"/>
      <c r="E637" s="178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178"/>
      <c r="B638" s="178"/>
      <c r="C638" s="178"/>
      <c r="D638" s="178"/>
      <c r="E638" s="178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178"/>
      <c r="B639" s="178"/>
      <c r="C639" s="178"/>
      <c r="D639" s="178"/>
      <c r="E639" s="178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178"/>
      <c r="B640" s="178"/>
      <c r="C640" s="178"/>
      <c r="D640" s="178"/>
      <c r="E640" s="178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178"/>
      <c r="B641" s="178"/>
      <c r="C641" s="178"/>
      <c r="D641" s="178"/>
      <c r="E641" s="178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178"/>
      <c r="B642" s="178"/>
      <c r="C642" s="178"/>
      <c r="D642" s="178"/>
      <c r="E642" s="178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178"/>
      <c r="B643" s="178"/>
      <c r="C643" s="178"/>
      <c r="D643" s="178"/>
      <c r="E643" s="178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178"/>
      <c r="B644" s="178"/>
      <c r="C644" s="178"/>
      <c r="D644" s="178"/>
      <c r="E644" s="178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178"/>
      <c r="B645" s="178"/>
      <c r="C645" s="178"/>
      <c r="D645" s="178"/>
      <c r="E645" s="178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178"/>
      <c r="B646" s="178"/>
      <c r="C646" s="178"/>
      <c r="D646" s="178"/>
      <c r="E646" s="178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178"/>
      <c r="B647" s="178"/>
      <c r="C647" s="178"/>
      <c r="D647" s="178"/>
      <c r="E647" s="178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178"/>
      <c r="B648" s="178"/>
      <c r="C648" s="178"/>
      <c r="D648" s="178"/>
      <c r="E648" s="178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178"/>
      <c r="B649" s="178"/>
      <c r="C649" s="178"/>
      <c r="D649" s="178"/>
      <c r="E649" s="178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178"/>
      <c r="B650" s="178"/>
      <c r="C650" s="178"/>
      <c r="D650" s="178"/>
      <c r="E650" s="178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178"/>
      <c r="B651" s="178"/>
      <c r="C651" s="178"/>
      <c r="D651" s="178"/>
      <c r="E651" s="178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178"/>
      <c r="B652" s="178"/>
      <c r="C652" s="178"/>
      <c r="D652" s="178"/>
      <c r="E652" s="178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178"/>
      <c r="B653" s="178"/>
      <c r="C653" s="178"/>
      <c r="D653" s="178"/>
      <c r="E653" s="178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178"/>
      <c r="B654" s="178"/>
      <c r="C654" s="178"/>
      <c r="D654" s="178"/>
      <c r="E654" s="178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178"/>
      <c r="B655" s="178"/>
      <c r="C655" s="178"/>
      <c r="D655" s="178"/>
      <c r="E655" s="178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178"/>
      <c r="B656" s="178"/>
      <c r="C656" s="178"/>
      <c r="D656" s="178"/>
      <c r="E656" s="178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178"/>
      <c r="B657" s="178"/>
      <c r="C657" s="178"/>
      <c r="D657" s="178"/>
      <c r="E657" s="178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178"/>
      <c r="B658" s="178"/>
      <c r="C658" s="178"/>
      <c r="D658" s="178"/>
      <c r="E658" s="178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178"/>
      <c r="B659" s="178"/>
      <c r="C659" s="178"/>
      <c r="D659" s="178"/>
      <c r="E659" s="178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178"/>
      <c r="B660" s="178"/>
      <c r="C660" s="178"/>
      <c r="D660" s="178"/>
      <c r="E660" s="178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178"/>
      <c r="B661" s="178"/>
      <c r="C661" s="178"/>
      <c r="D661" s="178"/>
      <c r="E661" s="178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178"/>
      <c r="B662" s="178"/>
      <c r="C662" s="178"/>
      <c r="D662" s="178"/>
      <c r="E662" s="178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178"/>
      <c r="B663" s="178"/>
      <c r="C663" s="178"/>
      <c r="D663" s="178"/>
      <c r="E663" s="178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178"/>
      <c r="B664" s="178"/>
      <c r="C664" s="178"/>
      <c r="D664" s="178"/>
      <c r="E664" s="178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178"/>
      <c r="B665" s="178"/>
      <c r="C665" s="178"/>
      <c r="D665" s="178"/>
      <c r="E665" s="178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178"/>
      <c r="B666" s="178"/>
      <c r="C666" s="178"/>
      <c r="D666" s="178"/>
      <c r="E666" s="178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178"/>
      <c r="B667" s="178"/>
      <c r="C667" s="178"/>
      <c r="D667" s="178"/>
      <c r="E667" s="178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178"/>
      <c r="B668" s="178"/>
      <c r="C668" s="178"/>
      <c r="D668" s="178"/>
      <c r="E668" s="178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178"/>
      <c r="B669" s="178"/>
      <c r="C669" s="178"/>
      <c r="D669" s="178"/>
      <c r="E669" s="178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178"/>
      <c r="B670" s="178"/>
      <c r="C670" s="178"/>
      <c r="D670" s="178"/>
      <c r="E670" s="178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178"/>
      <c r="B671" s="178"/>
      <c r="C671" s="178"/>
      <c r="D671" s="178"/>
      <c r="E671" s="178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178"/>
      <c r="B672" s="178"/>
      <c r="C672" s="178"/>
      <c r="D672" s="178"/>
      <c r="E672" s="178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178"/>
      <c r="B673" s="178"/>
      <c r="C673" s="178"/>
      <c r="D673" s="178"/>
      <c r="E673" s="178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178"/>
      <c r="B674" s="178"/>
      <c r="C674" s="178"/>
      <c r="D674" s="178"/>
      <c r="E674" s="178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178"/>
      <c r="B675" s="178"/>
      <c r="C675" s="178"/>
      <c r="D675" s="178"/>
      <c r="E675" s="178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178"/>
      <c r="B676" s="178"/>
      <c r="C676" s="178"/>
      <c r="D676" s="178"/>
      <c r="E676" s="178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178"/>
      <c r="B677" s="178"/>
      <c r="C677" s="178"/>
      <c r="D677" s="178"/>
      <c r="E677" s="178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178"/>
      <c r="B678" s="178"/>
      <c r="C678" s="178"/>
      <c r="D678" s="178"/>
      <c r="E678" s="178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178"/>
      <c r="B679" s="178"/>
      <c r="C679" s="178"/>
      <c r="D679" s="178"/>
      <c r="E679" s="178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178"/>
      <c r="B680" s="178"/>
      <c r="C680" s="178"/>
      <c r="D680" s="178"/>
      <c r="E680" s="178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178"/>
      <c r="B681" s="178"/>
      <c r="C681" s="178"/>
      <c r="D681" s="178"/>
      <c r="E681" s="178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178"/>
      <c r="B682" s="178"/>
      <c r="C682" s="178"/>
      <c r="D682" s="178"/>
      <c r="E682" s="178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178"/>
      <c r="B683" s="178"/>
      <c r="C683" s="178"/>
      <c r="D683" s="178"/>
      <c r="E683" s="178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178"/>
      <c r="B684" s="178"/>
      <c r="C684" s="178"/>
      <c r="D684" s="178"/>
      <c r="E684" s="178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178"/>
      <c r="B685" s="178"/>
      <c r="C685" s="178"/>
      <c r="D685" s="178"/>
      <c r="E685" s="178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178"/>
      <c r="B686" s="178"/>
      <c r="C686" s="178"/>
      <c r="D686" s="178"/>
      <c r="E686" s="178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178"/>
      <c r="B687" s="178"/>
      <c r="C687" s="178"/>
      <c r="D687" s="178"/>
      <c r="E687" s="178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178"/>
      <c r="B688" s="178"/>
      <c r="C688" s="178"/>
      <c r="D688" s="178"/>
      <c r="E688" s="178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178"/>
      <c r="B689" s="178"/>
      <c r="C689" s="178"/>
      <c r="D689" s="178"/>
      <c r="E689" s="178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178"/>
      <c r="B690" s="178"/>
      <c r="C690" s="178"/>
      <c r="D690" s="178"/>
      <c r="E690" s="178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178"/>
      <c r="B691" s="178"/>
      <c r="C691" s="178"/>
      <c r="D691" s="178"/>
      <c r="E691" s="178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178"/>
      <c r="B692" s="178"/>
      <c r="C692" s="178"/>
      <c r="D692" s="178"/>
      <c r="E692" s="178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178"/>
      <c r="B693" s="178"/>
      <c r="C693" s="178"/>
      <c r="D693" s="178"/>
      <c r="E693" s="178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178"/>
      <c r="B694" s="178"/>
      <c r="C694" s="178"/>
      <c r="D694" s="178"/>
      <c r="E694" s="178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178"/>
      <c r="B695" s="178"/>
      <c r="C695" s="178"/>
      <c r="D695" s="178"/>
      <c r="E695" s="178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178"/>
      <c r="B696" s="178"/>
      <c r="C696" s="178"/>
      <c r="D696" s="178"/>
      <c r="E696" s="178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178"/>
      <c r="B697" s="178"/>
      <c r="C697" s="178"/>
      <c r="D697" s="178"/>
      <c r="E697" s="178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178"/>
      <c r="B698" s="178"/>
      <c r="C698" s="178"/>
      <c r="D698" s="178"/>
      <c r="E698" s="178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178"/>
      <c r="B699" s="178"/>
      <c r="C699" s="178"/>
      <c r="D699" s="178"/>
      <c r="E699" s="178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178"/>
      <c r="B700" s="178"/>
      <c r="C700" s="178"/>
      <c r="D700" s="178"/>
      <c r="E700" s="178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178"/>
      <c r="B701" s="178"/>
      <c r="C701" s="178"/>
      <c r="D701" s="178"/>
      <c r="E701" s="178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178"/>
      <c r="B702" s="178"/>
      <c r="C702" s="178"/>
      <c r="D702" s="178"/>
      <c r="E702" s="178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178"/>
      <c r="B703" s="178"/>
      <c r="C703" s="178"/>
      <c r="D703" s="178"/>
      <c r="E703" s="178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178"/>
      <c r="B704" s="178"/>
      <c r="C704" s="178"/>
      <c r="D704" s="178"/>
      <c r="E704" s="178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178"/>
      <c r="B705" s="178"/>
      <c r="C705" s="178"/>
      <c r="D705" s="178"/>
      <c r="E705" s="178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178"/>
      <c r="B706" s="178"/>
      <c r="C706" s="178"/>
      <c r="D706" s="178"/>
      <c r="E706" s="178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178"/>
      <c r="B707" s="178"/>
      <c r="C707" s="178"/>
      <c r="D707" s="178"/>
      <c r="E707" s="178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178"/>
      <c r="B708" s="178"/>
      <c r="C708" s="178"/>
      <c r="D708" s="178"/>
      <c r="E708" s="178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178"/>
      <c r="B709" s="178"/>
      <c r="C709" s="178"/>
      <c r="D709" s="178"/>
      <c r="E709" s="178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178"/>
      <c r="B710" s="178"/>
      <c r="C710" s="178"/>
      <c r="D710" s="178"/>
      <c r="E710" s="178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178"/>
      <c r="B711" s="178"/>
      <c r="C711" s="178"/>
      <c r="D711" s="178"/>
      <c r="E711" s="178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178"/>
      <c r="B712" s="178"/>
      <c r="C712" s="178"/>
      <c r="D712" s="178"/>
      <c r="E712" s="178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178"/>
      <c r="B713" s="178"/>
      <c r="C713" s="178"/>
      <c r="D713" s="178"/>
      <c r="E713" s="178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178"/>
      <c r="B714" s="178"/>
      <c r="C714" s="178"/>
      <c r="D714" s="178"/>
      <c r="E714" s="178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178"/>
      <c r="B715" s="178"/>
      <c r="C715" s="178"/>
      <c r="D715" s="178"/>
      <c r="E715" s="178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178"/>
      <c r="B716" s="178"/>
      <c r="C716" s="178"/>
      <c r="D716" s="178"/>
      <c r="E716" s="178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178"/>
      <c r="B717" s="178"/>
      <c r="C717" s="178"/>
      <c r="D717" s="178"/>
      <c r="E717" s="178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178"/>
      <c r="B718" s="178"/>
      <c r="C718" s="178"/>
      <c r="D718" s="178"/>
      <c r="E718" s="178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178"/>
      <c r="B719" s="178"/>
      <c r="C719" s="178"/>
      <c r="D719" s="178"/>
      <c r="E719" s="178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178"/>
      <c r="B720" s="178"/>
      <c r="C720" s="178"/>
      <c r="D720" s="178"/>
      <c r="E720" s="178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178"/>
      <c r="B721" s="178"/>
      <c r="C721" s="178"/>
      <c r="D721" s="178"/>
      <c r="E721" s="178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178"/>
      <c r="B722" s="178"/>
      <c r="C722" s="178"/>
      <c r="D722" s="178"/>
      <c r="E722" s="178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178"/>
      <c r="B723" s="178"/>
      <c r="C723" s="178"/>
      <c r="D723" s="178"/>
      <c r="E723" s="178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178"/>
      <c r="B724" s="178"/>
      <c r="C724" s="178"/>
      <c r="D724" s="178"/>
      <c r="E724" s="178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178"/>
      <c r="B725" s="178"/>
      <c r="C725" s="178"/>
      <c r="D725" s="178"/>
      <c r="E725" s="178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178"/>
      <c r="B726" s="178"/>
      <c r="C726" s="178"/>
      <c r="D726" s="178"/>
      <c r="E726" s="178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178"/>
      <c r="B727" s="178"/>
      <c r="C727" s="178"/>
      <c r="D727" s="178"/>
      <c r="E727" s="178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178"/>
      <c r="B728" s="178"/>
      <c r="C728" s="178"/>
      <c r="D728" s="178"/>
      <c r="E728" s="178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178"/>
      <c r="B729" s="178"/>
      <c r="C729" s="178"/>
      <c r="D729" s="178"/>
      <c r="E729" s="178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178"/>
      <c r="B730" s="178"/>
      <c r="C730" s="178"/>
      <c r="D730" s="178"/>
      <c r="E730" s="178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178"/>
      <c r="B731" s="178"/>
      <c r="C731" s="178"/>
      <c r="D731" s="178"/>
      <c r="E731" s="178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178"/>
      <c r="B732" s="178"/>
      <c r="C732" s="178"/>
      <c r="D732" s="178"/>
      <c r="E732" s="178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178"/>
      <c r="B733" s="178"/>
      <c r="C733" s="178"/>
      <c r="D733" s="178"/>
      <c r="E733" s="178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178"/>
      <c r="B734" s="178"/>
      <c r="C734" s="178"/>
      <c r="D734" s="178"/>
      <c r="E734" s="178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178"/>
      <c r="B735" s="178"/>
      <c r="C735" s="178"/>
      <c r="D735" s="178"/>
      <c r="E735" s="178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178"/>
      <c r="B736" s="178"/>
      <c r="C736" s="178"/>
      <c r="D736" s="178"/>
      <c r="E736" s="178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178"/>
      <c r="B737" s="178"/>
      <c r="C737" s="178"/>
      <c r="D737" s="178"/>
      <c r="E737" s="178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178"/>
      <c r="B738" s="178"/>
      <c r="C738" s="178"/>
      <c r="D738" s="178"/>
      <c r="E738" s="178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178"/>
      <c r="B739" s="178"/>
      <c r="C739" s="178"/>
      <c r="D739" s="178"/>
      <c r="E739" s="178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178"/>
      <c r="B740" s="178"/>
      <c r="C740" s="178"/>
      <c r="D740" s="178"/>
      <c r="E740" s="178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178"/>
      <c r="B741" s="178"/>
      <c r="C741" s="178"/>
      <c r="D741" s="178"/>
      <c r="E741" s="178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178"/>
      <c r="B742" s="178"/>
      <c r="C742" s="178"/>
      <c r="D742" s="178"/>
      <c r="E742" s="178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178"/>
      <c r="B743" s="178"/>
      <c r="C743" s="178"/>
      <c r="D743" s="178"/>
      <c r="E743" s="178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178"/>
      <c r="B744" s="178"/>
      <c r="C744" s="178"/>
      <c r="D744" s="178"/>
      <c r="E744" s="178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178"/>
      <c r="B745" s="178"/>
      <c r="C745" s="178"/>
      <c r="D745" s="178"/>
      <c r="E745" s="178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178"/>
      <c r="B746" s="178"/>
      <c r="C746" s="178"/>
      <c r="D746" s="178"/>
      <c r="E746" s="178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178"/>
      <c r="B747" s="178"/>
      <c r="C747" s="178"/>
      <c r="D747" s="178"/>
      <c r="E747" s="178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178"/>
      <c r="B748" s="178"/>
      <c r="C748" s="178"/>
      <c r="D748" s="178"/>
      <c r="E748" s="178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178"/>
      <c r="B749" s="178"/>
      <c r="C749" s="178"/>
      <c r="D749" s="178"/>
      <c r="E749" s="178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178"/>
      <c r="B750" s="178"/>
      <c r="C750" s="178"/>
      <c r="D750" s="178"/>
      <c r="E750" s="178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178"/>
      <c r="B751" s="178"/>
      <c r="C751" s="178"/>
      <c r="D751" s="178"/>
      <c r="E751" s="178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178"/>
      <c r="B752" s="178"/>
      <c r="C752" s="178"/>
      <c r="D752" s="178"/>
      <c r="E752" s="178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178"/>
      <c r="B753" s="178"/>
      <c r="C753" s="178"/>
      <c r="D753" s="178"/>
      <c r="E753" s="178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178"/>
      <c r="B754" s="178"/>
      <c r="C754" s="178"/>
      <c r="D754" s="178"/>
      <c r="E754" s="178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178"/>
      <c r="B755" s="178"/>
      <c r="C755" s="178"/>
      <c r="D755" s="178"/>
      <c r="E755" s="178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178"/>
      <c r="B756" s="178"/>
      <c r="C756" s="178"/>
      <c r="D756" s="178"/>
      <c r="E756" s="178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178"/>
      <c r="B757" s="178"/>
      <c r="C757" s="178"/>
      <c r="D757" s="178"/>
      <c r="E757" s="178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178"/>
      <c r="B758" s="178"/>
      <c r="C758" s="178"/>
      <c r="D758" s="178"/>
      <c r="E758" s="178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178"/>
      <c r="B759" s="178"/>
      <c r="C759" s="178"/>
      <c r="D759" s="178"/>
      <c r="E759" s="178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178"/>
      <c r="B760" s="178"/>
      <c r="C760" s="178"/>
      <c r="D760" s="178"/>
      <c r="E760" s="178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178"/>
      <c r="B761" s="178"/>
      <c r="C761" s="178"/>
      <c r="D761" s="178"/>
      <c r="E761" s="178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178"/>
      <c r="B762" s="178"/>
      <c r="C762" s="178"/>
      <c r="D762" s="178"/>
      <c r="E762" s="178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178"/>
      <c r="B763" s="178"/>
      <c r="C763" s="178"/>
      <c r="D763" s="178"/>
      <c r="E763" s="178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178"/>
      <c r="B764" s="178"/>
      <c r="C764" s="178"/>
      <c r="D764" s="178"/>
      <c r="E764" s="178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178"/>
      <c r="B765" s="178"/>
      <c r="C765" s="178"/>
      <c r="D765" s="178"/>
      <c r="E765" s="178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178"/>
      <c r="B766" s="178"/>
      <c r="C766" s="178"/>
      <c r="D766" s="178"/>
      <c r="E766" s="178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178"/>
      <c r="B767" s="178"/>
      <c r="C767" s="178"/>
      <c r="D767" s="178"/>
      <c r="E767" s="178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178"/>
      <c r="B768" s="178"/>
      <c r="C768" s="178"/>
      <c r="D768" s="178"/>
      <c r="E768" s="178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178"/>
      <c r="B769" s="178"/>
      <c r="C769" s="178"/>
      <c r="D769" s="178"/>
      <c r="E769" s="178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178"/>
      <c r="B770" s="178"/>
      <c r="C770" s="178"/>
      <c r="D770" s="178"/>
      <c r="E770" s="178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178"/>
      <c r="B771" s="178"/>
      <c r="C771" s="178"/>
      <c r="D771" s="178"/>
      <c r="E771" s="178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178"/>
      <c r="B772" s="178"/>
      <c r="C772" s="178"/>
      <c r="D772" s="178"/>
      <c r="E772" s="178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178"/>
      <c r="B773" s="178"/>
      <c r="C773" s="178"/>
      <c r="D773" s="178"/>
      <c r="E773" s="178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178"/>
      <c r="B774" s="178"/>
      <c r="C774" s="178"/>
      <c r="D774" s="178"/>
      <c r="E774" s="178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178"/>
      <c r="B775" s="178"/>
      <c r="C775" s="178"/>
      <c r="D775" s="178"/>
      <c r="E775" s="178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178"/>
      <c r="B776" s="178"/>
      <c r="C776" s="178"/>
      <c r="D776" s="178"/>
      <c r="E776" s="178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178"/>
      <c r="B777" s="178"/>
      <c r="C777" s="178"/>
      <c r="D777" s="178"/>
      <c r="E777" s="178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178"/>
      <c r="B778" s="178"/>
      <c r="C778" s="178"/>
      <c r="D778" s="178"/>
      <c r="E778" s="178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178"/>
      <c r="B779" s="178"/>
      <c r="C779" s="178"/>
      <c r="D779" s="178"/>
      <c r="E779" s="178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178"/>
      <c r="B780" s="178"/>
      <c r="C780" s="178"/>
      <c r="D780" s="178"/>
      <c r="E780" s="178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178"/>
      <c r="B781" s="178"/>
      <c r="C781" s="178"/>
      <c r="D781" s="178"/>
      <c r="E781" s="178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178"/>
      <c r="B782" s="178"/>
      <c r="C782" s="178"/>
      <c r="D782" s="178"/>
      <c r="E782" s="178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178"/>
      <c r="B783" s="178"/>
      <c r="C783" s="178"/>
      <c r="D783" s="178"/>
      <c r="E783" s="178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178"/>
      <c r="B784" s="178"/>
      <c r="C784" s="178"/>
      <c r="D784" s="178"/>
      <c r="E784" s="178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178"/>
      <c r="B785" s="178"/>
      <c r="C785" s="178"/>
      <c r="D785" s="178"/>
      <c r="E785" s="178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178"/>
      <c r="B786" s="178"/>
      <c r="C786" s="178"/>
      <c r="D786" s="178"/>
      <c r="E786" s="178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178"/>
      <c r="B787" s="178"/>
      <c r="C787" s="178"/>
      <c r="D787" s="178"/>
      <c r="E787" s="178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178"/>
      <c r="B788" s="178"/>
      <c r="C788" s="178"/>
      <c r="D788" s="178"/>
      <c r="E788" s="178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178"/>
      <c r="B789" s="178"/>
      <c r="C789" s="178"/>
      <c r="D789" s="178"/>
      <c r="E789" s="178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178"/>
      <c r="B790" s="178"/>
      <c r="C790" s="178"/>
      <c r="D790" s="178"/>
      <c r="E790" s="178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178"/>
      <c r="B791" s="178"/>
      <c r="C791" s="178"/>
      <c r="D791" s="178"/>
      <c r="E791" s="178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178"/>
      <c r="B792" s="178"/>
      <c r="C792" s="178"/>
      <c r="D792" s="178"/>
      <c r="E792" s="178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178"/>
      <c r="B793" s="178"/>
      <c r="C793" s="178"/>
      <c r="D793" s="178"/>
      <c r="E793" s="178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178"/>
      <c r="B794" s="178"/>
      <c r="C794" s="178"/>
      <c r="D794" s="178"/>
      <c r="E794" s="178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178"/>
      <c r="B795" s="178"/>
      <c r="C795" s="178"/>
      <c r="D795" s="178"/>
      <c r="E795" s="178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178"/>
      <c r="B796" s="178"/>
      <c r="C796" s="178"/>
      <c r="D796" s="178"/>
      <c r="E796" s="178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178"/>
      <c r="B797" s="178"/>
      <c r="C797" s="178"/>
      <c r="D797" s="178"/>
      <c r="E797" s="178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178"/>
      <c r="B798" s="178"/>
      <c r="C798" s="178"/>
      <c r="D798" s="178"/>
      <c r="E798" s="178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178"/>
      <c r="B799" s="178"/>
      <c r="C799" s="178"/>
      <c r="D799" s="178"/>
      <c r="E799" s="178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178"/>
      <c r="B800" s="178"/>
      <c r="C800" s="178"/>
      <c r="D800" s="178"/>
      <c r="E800" s="178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178"/>
      <c r="B801" s="178"/>
      <c r="C801" s="178"/>
      <c r="D801" s="178"/>
      <c r="E801" s="178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178"/>
      <c r="B802" s="178"/>
      <c r="C802" s="178"/>
      <c r="D802" s="178"/>
      <c r="E802" s="178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178"/>
      <c r="B803" s="178"/>
      <c r="C803" s="178"/>
      <c r="D803" s="178"/>
      <c r="E803" s="178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178"/>
      <c r="B804" s="178"/>
      <c r="C804" s="178"/>
      <c r="D804" s="178"/>
      <c r="E804" s="178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178"/>
      <c r="B805" s="178"/>
      <c r="C805" s="178"/>
      <c r="D805" s="178"/>
      <c r="E805" s="178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178"/>
      <c r="B806" s="178"/>
      <c r="C806" s="178"/>
      <c r="D806" s="178"/>
      <c r="E806" s="178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178"/>
      <c r="B807" s="178"/>
      <c r="C807" s="178"/>
      <c r="D807" s="178"/>
      <c r="E807" s="178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178"/>
      <c r="B808" s="178"/>
      <c r="C808" s="178"/>
      <c r="D808" s="178"/>
      <c r="E808" s="178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178"/>
      <c r="B809" s="178"/>
      <c r="C809" s="178"/>
      <c r="D809" s="178"/>
      <c r="E809" s="178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178"/>
      <c r="B810" s="178"/>
      <c r="C810" s="178"/>
      <c r="D810" s="178"/>
      <c r="E810" s="178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178"/>
      <c r="B811" s="178"/>
      <c r="C811" s="178"/>
      <c r="D811" s="178"/>
      <c r="E811" s="178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178"/>
      <c r="B812" s="178"/>
      <c r="C812" s="178"/>
      <c r="D812" s="178"/>
      <c r="E812" s="178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178"/>
      <c r="B813" s="178"/>
      <c r="C813" s="178"/>
      <c r="D813" s="178"/>
      <c r="E813" s="178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178"/>
      <c r="B814" s="178"/>
      <c r="C814" s="178"/>
      <c r="D814" s="178"/>
      <c r="E814" s="178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178"/>
      <c r="B815" s="178"/>
      <c r="C815" s="178"/>
      <c r="D815" s="178"/>
      <c r="E815" s="178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178"/>
      <c r="B816" s="178"/>
      <c r="C816" s="178"/>
      <c r="D816" s="178"/>
      <c r="E816" s="178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178"/>
      <c r="B817" s="178"/>
      <c r="C817" s="178"/>
      <c r="D817" s="178"/>
      <c r="E817" s="178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178"/>
      <c r="B818" s="178"/>
      <c r="C818" s="178"/>
      <c r="D818" s="178"/>
      <c r="E818" s="178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178"/>
      <c r="B819" s="178"/>
      <c r="C819" s="178"/>
      <c r="D819" s="178"/>
      <c r="E819" s="178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178"/>
      <c r="B820" s="178"/>
      <c r="C820" s="178"/>
      <c r="D820" s="178"/>
      <c r="E820" s="178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178"/>
      <c r="B821" s="178"/>
      <c r="C821" s="178"/>
      <c r="D821" s="178"/>
      <c r="E821" s="178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178"/>
      <c r="B822" s="178"/>
      <c r="C822" s="178"/>
      <c r="D822" s="178"/>
      <c r="E822" s="178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178"/>
      <c r="B823" s="178"/>
      <c r="C823" s="178"/>
      <c r="D823" s="178"/>
      <c r="E823" s="178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178"/>
      <c r="B824" s="178"/>
      <c r="C824" s="178"/>
      <c r="D824" s="178"/>
      <c r="E824" s="178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178"/>
      <c r="B825" s="178"/>
      <c r="C825" s="178"/>
      <c r="D825" s="178"/>
      <c r="E825" s="178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178"/>
      <c r="B826" s="178"/>
      <c r="C826" s="178"/>
      <c r="D826" s="178"/>
      <c r="E826" s="178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178"/>
      <c r="B827" s="178"/>
      <c r="C827" s="178"/>
      <c r="D827" s="178"/>
      <c r="E827" s="178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178"/>
      <c r="B828" s="178"/>
      <c r="C828" s="178"/>
      <c r="D828" s="178"/>
      <c r="E828" s="178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178"/>
      <c r="B829" s="178"/>
      <c r="C829" s="178"/>
      <c r="D829" s="178"/>
      <c r="E829" s="178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178"/>
      <c r="B830" s="178"/>
      <c r="C830" s="178"/>
      <c r="D830" s="178"/>
      <c r="E830" s="178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178"/>
      <c r="B831" s="178"/>
      <c r="C831" s="178"/>
      <c r="D831" s="178"/>
      <c r="E831" s="178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178"/>
      <c r="B832" s="178"/>
      <c r="C832" s="178"/>
      <c r="D832" s="178"/>
      <c r="E832" s="178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178"/>
      <c r="B833" s="178"/>
      <c r="C833" s="178"/>
      <c r="D833" s="178"/>
      <c r="E833" s="178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178"/>
      <c r="B834" s="178"/>
      <c r="C834" s="178"/>
      <c r="D834" s="178"/>
      <c r="E834" s="178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178"/>
      <c r="B835" s="178"/>
      <c r="C835" s="178"/>
      <c r="D835" s="178"/>
      <c r="E835" s="178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178"/>
      <c r="B836" s="178"/>
      <c r="C836" s="178"/>
      <c r="D836" s="178"/>
      <c r="E836" s="178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178"/>
      <c r="B837" s="178"/>
      <c r="C837" s="178"/>
      <c r="D837" s="178"/>
      <c r="E837" s="178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178"/>
      <c r="B838" s="178"/>
      <c r="C838" s="178"/>
      <c r="D838" s="178"/>
      <c r="E838" s="178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178"/>
      <c r="B839" s="178"/>
      <c r="C839" s="178"/>
      <c r="D839" s="178"/>
      <c r="E839" s="178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178"/>
      <c r="B840" s="178"/>
      <c r="C840" s="178"/>
      <c r="D840" s="178"/>
      <c r="E840" s="178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178"/>
      <c r="B841" s="178"/>
      <c r="C841" s="178"/>
      <c r="D841" s="178"/>
      <c r="E841" s="178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178"/>
      <c r="B842" s="178"/>
      <c r="C842" s="178"/>
      <c r="D842" s="178"/>
      <c r="E842" s="178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178"/>
      <c r="B843" s="178"/>
      <c r="C843" s="178"/>
      <c r="D843" s="178"/>
      <c r="E843" s="178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178"/>
      <c r="B844" s="178"/>
      <c r="C844" s="178"/>
      <c r="D844" s="178"/>
      <c r="E844" s="178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178"/>
      <c r="B845" s="178"/>
      <c r="C845" s="178"/>
      <c r="D845" s="178"/>
      <c r="E845" s="178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178"/>
      <c r="B846" s="178"/>
      <c r="C846" s="178"/>
      <c r="D846" s="178"/>
      <c r="E846" s="178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178"/>
      <c r="B847" s="178"/>
      <c r="C847" s="178"/>
      <c r="D847" s="178"/>
      <c r="E847" s="178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178"/>
      <c r="B848" s="178"/>
      <c r="C848" s="178"/>
      <c r="D848" s="178"/>
      <c r="E848" s="178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178"/>
      <c r="B849" s="178"/>
      <c r="C849" s="178"/>
      <c r="D849" s="178"/>
      <c r="E849" s="178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178"/>
      <c r="B850" s="178"/>
      <c r="C850" s="178"/>
      <c r="D850" s="178"/>
      <c r="E850" s="178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178"/>
      <c r="B851" s="178"/>
      <c r="C851" s="178"/>
      <c r="D851" s="178"/>
      <c r="E851" s="178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178"/>
      <c r="B852" s="178"/>
      <c r="C852" s="178"/>
      <c r="D852" s="178"/>
      <c r="E852" s="178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178"/>
      <c r="B853" s="178"/>
      <c r="C853" s="178"/>
      <c r="D853" s="178"/>
      <c r="E853" s="178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178"/>
      <c r="B854" s="178"/>
      <c r="C854" s="178"/>
      <c r="D854" s="178"/>
      <c r="E854" s="178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178"/>
      <c r="B855" s="178"/>
      <c r="C855" s="178"/>
      <c r="D855" s="178"/>
      <c r="E855" s="178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178"/>
      <c r="B856" s="178"/>
      <c r="C856" s="178"/>
      <c r="D856" s="178"/>
      <c r="E856" s="178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178"/>
      <c r="B857" s="178"/>
      <c r="C857" s="178"/>
      <c r="D857" s="178"/>
      <c r="E857" s="178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178"/>
      <c r="B858" s="178"/>
      <c r="C858" s="178"/>
      <c r="D858" s="178"/>
      <c r="E858" s="178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178"/>
      <c r="B859" s="178"/>
      <c r="C859" s="178"/>
      <c r="D859" s="178"/>
      <c r="E859" s="178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178"/>
      <c r="B860" s="178"/>
      <c r="C860" s="178"/>
      <c r="D860" s="178"/>
      <c r="E860" s="178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178"/>
      <c r="B861" s="178"/>
      <c r="C861" s="178"/>
      <c r="D861" s="178"/>
      <c r="E861" s="178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178"/>
      <c r="B862" s="178"/>
      <c r="C862" s="178"/>
      <c r="D862" s="178"/>
      <c r="E862" s="178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178"/>
      <c r="B863" s="178"/>
      <c r="C863" s="178"/>
      <c r="D863" s="178"/>
      <c r="E863" s="178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178"/>
      <c r="B864" s="178"/>
      <c r="C864" s="178"/>
      <c r="D864" s="178"/>
      <c r="E864" s="178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178"/>
      <c r="B865" s="178"/>
      <c r="C865" s="178"/>
      <c r="D865" s="178"/>
      <c r="E865" s="178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178"/>
      <c r="B866" s="178"/>
      <c r="C866" s="178"/>
      <c r="D866" s="178"/>
      <c r="E866" s="178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178"/>
      <c r="B867" s="178"/>
      <c r="C867" s="178"/>
      <c r="D867" s="178"/>
      <c r="E867" s="178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178"/>
      <c r="B868" s="178"/>
      <c r="C868" s="178"/>
      <c r="D868" s="178"/>
      <c r="E868" s="178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178"/>
      <c r="B869" s="178"/>
      <c r="C869" s="178"/>
      <c r="D869" s="178"/>
      <c r="E869" s="178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178"/>
      <c r="B870" s="178"/>
      <c r="C870" s="178"/>
      <c r="D870" s="178"/>
      <c r="E870" s="178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178"/>
      <c r="B871" s="178"/>
      <c r="C871" s="178"/>
      <c r="D871" s="178"/>
      <c r="E871" s="178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178"/>
      <c r="B872" s="178"/>
      <c r="C872" s="178"/>
      <c r="D872" s="178"/>
      <c r="E872" s="178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178"/>
      <c r="B873" s="178"/>
      <c r="C873" s="178"/>
      <c r="D873" s="178"/>
      <c r="E873" s="178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178"/>
      <c r="B874" s="178"/>
      <c r="C874" s="178"/>
      <c r="D874" s="178"/>
      <c r="E874" s="178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178"/>
      <c r="B875" s="178"/>
      <c r="C875" s="178"/>
      <c r="D875" s="178"/>
      <c r="E875" s="178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178"/>
      <c r="B876" s="178"/>
      <c r="C876" s="178"/>
      <c r="D876" s="178"/>
      <c r="E876" s="178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178"/>
      <c r="B877" s="178"/>
      <c r="C877" s="178"/>
      <c r="D877" s="178"/>
      <c r="E877" s="178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178"/>
      <c r="B878" s="178"/>
      <c r="C878" s="178"/>
      <c r="D878" s="178"/>
      <c r="E878" s="178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178"/>
      <c r="B879" s="178"/>
      <c r="C879" s="178"/>
      <c r="D879" s="178"/>
      <c r="E879" s="178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178"/>
      <c r="B880" s="178"/>
      <c r="C880" s="178"/>
      <c r="D880" s="178"/>
      <c r="E880" s="178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178"/>
      <c r="B881" s="178"/>
      <c r="C881" s="178"/>
      <c r="D881" s="178"/>
      <c r="E881" s="178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178"/>
      <c r="B882" s="178"/>
      <c r="C882" s="178"/>
      <c r="D882" s="178"/>
      <c r="E882" s="178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178"/>
      <c r="B883" s="178"/>
      <c r="C883" s="178"/>
      <c r="D883" s="178"/>
      <c r="E883" s="178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178"/>
      <c r="B884" s="178"/>
      <c r="C884" s="178"/>
      <c r="D884" s="178"/>
      <c r="E884" s="178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178"/>
      <c r="B885" s="178"/>
      <c r="C885" s="178"/>
      <c r="D885" s="178"/>
      <c r="E885" s="178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178"/>
      <c r="B886" s="178"/>
      <c r="C886" s="178"/>
      <c r="D886" s="178"/>
      <c r="E886" s="178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178"/>
      <c r="B887" s="178"/>
      <c r="C887" s="178"/>
      <c r="D887" s="178"/>
      <c r="E887" s="178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178"/>
      <c r="B888" s="178"/>
      <c r="C888" s="178"/>
      <c r="D888" s="178"/>
      <c r="E888" s="178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178"/>
      <c r="B889" s="178"/>
      <c r="C889" s="178"/>
      <c r="D889" s="178"/>
      <c r="E889" s="178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178"/>
      <c r="B890" s="178"/>
      <c r="C890" s="178"/>
      <c r="D890" s="178"/>
      <c r="E890" s="178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178"/>
      <c r="B891" s="178"/>
      <c r="C891" s="178"/>
      <c r="D891" s="178"/>
      <c r="E891" s="178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178"/>
      <c r="B892" s="178"/>
      <c r="C892" s="178"/>
      <c r="D892" s="178"/>
      <c r="E892" s="178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178"/>
      <c r="B893" s="178"/>
      <c r="C893" s="178"/>
      <c r="D893" s="178"/>
      <c r="E893" s="178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178"/>
      <c r="B894" s="178"/>
      <c r="C894" s="178"/>
      <c r="D894" s="178"/>
      <c r="E894" s="178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178"/>
      <c r="B895" s="178"/>
      <c r="C895" s="178"/>
      <c r="D895" s="178"/>
      <c r="E895" s="178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178"/>
      <c r="B896" s="178"/>
      <c r="C896" s="178"/>
      <c r="D896" s="178"/>
      <c r="E896" s="178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178"/>
      <c r="B897" s="178"/>
      <c r="C897" s="178"/>
      <c r="D897" s="178"/>
      <c r="E897" s="178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178"/>
      <c r="B898" s="178"/>
      <c r="C898" s="178"/>
      <c r="D898" s="178"/>
      <c r="E898" s="178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178"/>
      <c r="B899" s="178"/>
      <c r="C899" s="178"/>
      <c r="D899" s="178"/>
      <c r="E899" s="178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178"/>
      <c r="B900" s="178"/>
      <c r="C900" s="178"/>
      <c r="D900" s="178"/>
      <c r="E900" s="178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178"/>
      <c r="B901" s="178"/>
      <c r="C901" s="178"/>
      <c r="D901" s="178"/>
      <c r="E901" s="178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178"/>
      <c r="B902" s="178"/>
      <c r="C902" s="178"/>
      <c r="D902" s="178"/>
      <c r="E902" s="178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178"/>
      <c r="B903" s="178"/>
      <c r="C903" s="178"/>
      <c r="D903" s="178"/>
      <c r="E903" s="178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178"/>
      <c r="B904" s="178"/>
      <c r="C904" s="178"/>
      <c r="D904" s="178"/>
      <c r="E904" s="178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178"/>
      <c r="B905" s="178"/>
      <c r="C905" s="178"/>
      <c r="D905" s="178"/>
      <c r="E905" s="178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178"/>
      <c r="B906" s="178"/>
      <c r="C906" s="178"/>
      <c r="D906" s="178"/>
      <c r="E906" s="178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178"/>
      <c r="B907" s="178"/>
      <c r="C907" s="178"/>
      <c r="D907" s="178"/>
      <c r="E907" s="178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178"/>
      <c r="B908" s="178"/>
      <c r="C908" s="178"/>
      <c r="D908" s="178"/>
      <c r="E908" s="178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178"/>
      <c r="B909" s="178"/>
      <c r="C909" s="178"/>
      <c r="D909" s="178"/>
      <c r="E909" s="178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178"/>
      <c r="B910" s="178"/>
      <c r="C910" s="178"/>
      <c r="D910" s="178"/>
      <c r="E910" s="178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178"/>
      <c r="B911" s="178"/>
      <c r="C911" s="178"/>
      <c r="D911" s="178"/>
      <c r="E911" s="178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178"/>
      <c r="B912" s="178"/>
      <c r="C912" s="178"/>
      <c r="D912" s="178"/>
      <c r="E912" s="178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178"/>
      <c r="B913" s="178"/>
      <c r="C913" s="178"/>
      <c r="D913" s="178"/>
      <c r="E913" s="178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178"/>
      <c r="B914" s="178"/>
      <c r="C914" s="178"/>
      <c r="D914" s="178"/>
      <c r="E914" s="178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178"/>
      <c r="B915" s="178"/>
      <c r="C915" s="178"/>
      <c r="D915" s="178"/>
      <c r="E915" s="178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178"/>
      <c r="B916" s="178"/>
      <c r="C916" s="178"/>
      <c r="D916" s="178"/>
      <c r="E916" s="178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178"/>
      <c r="B917" s="178"/>
      <c r="C917" s="178"/>
      <c r="D917" s="178"/>
      <c r="E917" s="178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178"/>
      <c r="B918" s="178"/>
      <c r="C918" s="178"/>
      <c r="D918" s="178"/>
      <c r="E918" s="178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178"/>
      <c r="B919" s="178"/>
      <c r="C919" s="178"/>
      <c r="D919" s="178"/>
      <c r="E919" s="178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178"/>
      <c r="B920" s="178"/>
      <c r="C920" s="178"/>
      <c r="D920" s="178"/>
      <c r="E920" s="178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178"/>
      <c r="B921" s="178"/>
      <c r="C921" s="178"/>
      <c r="D921" s="178"/>
      <c r="E921" s="178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178"/>
      <c r="B922" s="178"/>
      <c r="C922" s="178"/>
      <c r="D922" s="178"/>
      <c r="E922" s="178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178"/>
      <c r="B923" s="178"/>
      <c r="C923" s="178"/>
      <c r="D923" s="178"/>
      <c r="E923" s="178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178"/>
      <c r="B924" s="178"/>
      <c r="C924" s="178"/>
      <c r="D924" s="178"/>
      <c r="E924" s="178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178"/>
      <c r="B925" s="178"/>
      <c r="C925" s="178"/>
      <c r="D925" s="178"/>
      <c r="E925" s="178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178"/>
      <c r="B926" s="178"/>
      <c r="C926" s="178"/>
      <c r="D926" s="178"/>
      <c r="E926" s="178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178"/>
      <c r="B927" s="178"/>
      <c r="C927" s="178"/>
      <c r="D927" s="178"/>
      <c r="E927" s="178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178"/>
      <c r="B928" s="178"/>
      <c r="C928" s="178"/>
      <c r="D928" s="178"/>
      <c r="E928" s="178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178"/>
      <c r="B929" s="178"/>
      <c r="C929" s="178"/>
      <c r="D929" s="178"/>
      <c r="E929" s="178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178"/>
      <c r="B930" s="178"/>
      <c r="C930" s="178"/>
      <c r="D930" s="178"/>
      <c r="E930" s="178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178"/>
      <c r="B931" s="178"/>
      <c r="C931" s="178"/>
      <c r="D931" s="178"/>
      <c r="E931" s="178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178"/>
      <c r="B932" s="178"/>
      <c r="C932" s="178"/>
      <c r="D932" s="178"/>
      <c r="E932" s="178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178"/>
      <c r="B933" s="178"/>
      <c r="C933" s="178"/>
      <c r="D933" s="178"/>
      <c r="E933" s="178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178"/>
      <c r="B934" s="178"/>
      <c r="C934" s="178"/>
      <c r="D934" s="178"/>
      <c r="E934" s="178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178"/>
      <c r="B935" s="178"/>
      <c r="C935" s="178"/>
      <c r="D935" s="178"/>
      <c r="E935" s="178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178"/>
      <c r="B936" s="178"/>
      <c r="C936" s="178"/>
      <c r="D936" s="178"/>
      <c r="E936" s="178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178"/>
      <c r="B937" s="178"/>
      <c r="C937" s="178"/>
      <c r="D937" s="178"/>
      <c r="E937" s="178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178"/>
      <c r="B938" s="178"/>
      <c r="C938" s="178"/>
      <c r="D938" s="178"/>
      <c r="E938" s="178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178"/>
      <c r="B939" s="178"/>
      <c r="C939" s="178"/>
      <c r="D939" s="178"/>
      <c r="E939" s="178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178"/>
      <c r="B940" s="178"/>
      <c r="C940" s="178"/>
      <c r="D940" s="178"/>
      <c r="E940" s="178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178"/>
      <c r="B941" s="178"/>
      <c r="C941" s="178"/>
      <c r="D941" s="178"/>
      <c r="E941" s="178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178"/>
      <c r="B942" s="178"/>
      <c r="C942" s="178"/>
      <c r="D942" s="178"/>
      <c r="E942" s="178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178"/>
      <c r="B943" s="178"/>
      <c r="C943" s="178"/>
      <c r="D943" s="178"/>
      <c r="E943" s="178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178"/>
      <c r="B944" s="178"/>
      <c r="C944" s="178"/>
      <c r="D944" s="178"/>
      <c r="E944" s="178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178"/>
      <c r="B945" s="178"/>
      <c r="C945" s="178"/>
      <c r="D945" s="178"/>
      <c r="E945" s="178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178"/>
      <c r="B946" s="178"/>
      <c r="C946" s="178"/>
      <c r="D946" s="178"/>
      <c r="E946" s="178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178"/>
      <c r="B947" s="178"/>
      <c r="C947" s="178"/>
      <c r="D947" s="178"/>
      <c r="E947" s="178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178"/>
      <c r="B948" s="178"/>
      <c r="C948" s="178"/>
      <c r="D948" s="178"/>
      <c r="E948" s="178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178"/>
      <c r="B949" s="178"/>
      <c r="C949" s="178"/>
      <c r="D949" s="178"/>
      <c r="E949" s="178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178"/>
      <c r="B950" s="178"/>
      <c r="C950" s="178"/>
      <c r="D950" s="178"/>
      <c r="E950" s="178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178"/>
      <c r="B951" s="178"/>
      <c r="C951" s="178"/>
      <c r="D951" s="178"/>
      <c r="E951" s="178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178"/>
      <c r="B952" s="178"/>
      <c r="C952" s="178"/>
      <c r="D952" s="178"/>
      <c r="E952" s="178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178"/>
      <c r="B953" s="178"/>
      <c r="C953" s="178"/>
      <c r="D953" s="178"/>
      <c r="E953" s="178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178"/>
      <c r="B954" s="178"/>
      <c r="C954" s="178"/>
      <c r="D954" s="178"/>
      <c r="E954" s="178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178"/>
      <c r="B955" s="178"/>
      <c r="C955" s="178"/>
      <c r="D955" s="178"/>
      <c r="E955" s="178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178"/>
      <c r="B956" s="178"/>
      <c r="C956" s="178"/>
      <c r="D956" s="178"/>
      <c r="E956" s="178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178"/>
      <c r="B957" s="178"/>
      <c r="C957" s="178"/>
      <c r="D957" s="178"/>
      <c r="E957" s="178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178"/>
      <c r="B958" s="178"/>
      <c r="C958" s="178"/>
      <c r="D958" s="178"/>
      <c r="E958" s="178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178"/>
      <c r="B959" s="178"/>
      <c r="C959" s="178"/>
      <c r="D959" s="178"/>
      <c r="E959" s="178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178"/>
      <c r="B960" s="178"/>
      <c r="C960" s="178"/>
      <c r="D960" s="178"/>
      <c r="E960" s="178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178"/>
      <c r="B961" s="178"/>
      <c r="C961" s="178"/>
      <c r="D961" s="178"/>
      <c r="E961" s="178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178"/>
      <c r="B962" s="178"/>
      <c r="C962" s="178"/>
      <c r="D962" s="178"/>
      <c r="E962" s="178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178"/>
      <c r="B963" s="178"/>
      <c r="C963" s="178"/>
      <c r="D963" s="178"/>
      <c r="E963" s="178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178"/>
      <c r="B964" s="178"/>
      <c r="C964" s="178"/>
      <c r="D964" s="178"/>
      <c r="E964" s="178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178"/>
      <c r="B965" s="178"/>
      <c r="C965" s="178"/>
      <c r="D965" s="178"/>
      <c r="E965" s="178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178"/>
      <c r="B966" s="178"/>
      <c r="C966" s="178"/>
      <c r="D966" s="178"/>
      <c r="E966" s="178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178"/>
      <c r="B967" s="178"/>
      <c r="C967" s="178"/>
      <c r="D967" s="178"/>
      <c r="E967" s="178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178"/>
      <c r="B968" s="178"/>
      <c r="C968" s="178"/>
      <c r="D968" s="178"/>
      <c r="E968" s="178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178"/>
      <c r="B969" s="178"/>
      <c r="C969" s="178"/>
      <c r="D969" s="178"/>
      <c r="E969" s="178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178"/>
      <c r="B970" s="178"/>
      <c r="C970" s="178"/>
      <c r="D970" s="178"/>
      <c r="E970" s="178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178"/>
      <c r="B971" s="178"/>
      <c r="C971" s="178"/>
      <c r="D971" s="178"/>
      <c r="E971" s="178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178"/>
      <c r="B972" s="178"/>
      <c r="C972" s="178"/>
      <c r="D972" s="178"/>
      <c r="E972" s="178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178"/>
      <c r="B973" s="178"/>
      <c r="C973" s="178"/>
      <c r="D973" s="178"/>
      <c r="E973" s="178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178"/>
      <c r="B974" s="178"/>
      <c r="C974" s="178"/>
      <c r="D974" s="178"/>
      <c r="E974" s="178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178"/>
      <c r="B975" s="178"/>
      <c r="C975" s="178"/>
      <c r="D975" s="178"/>
      <c r="E975" s="178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178"/>
      <c r="B976" s="178"/>
      <c r="C976" s="178"/>
      <c r="D976" s="178"/>
      <c r="E976" s="178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178"/>
      <c r="B977" s="178"/>
      <c r="C977" s="178"/>
      <c r="D977" s="178"/>
      <c r="E977" s="178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178"/>
      <c r="B978" s="178"/>
      <c r="C978" s="178"/>
      <c r="D978" s="178"/>
      <c r="E978" s="178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178"/>
      <c r="B979" s="178"/>
      <c r="C979" s="178"/>
      <c r="D979" s="178"/>
      <c r="E979" s="178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178"/>
      <c r="B980" s="178"/>
      <c r="C980" s="178"/>
      <c r="D980" s="178"/>
      <c r="E980" s="178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178"/>
      <c r="B981" s="178"/>
      <c r="C981" s="178"/>
      <c r="D981" s="178"/>
      <c r="E981" s="178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178"/>
      <c r="B982" s="178"/>
      <c r="C982" s="178"/>
      <c r="D982" s="178"/>
      <c r="E982" s="178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178"/>
      <c r="B983" s="178"/>
      <c r="C983" s="178"/>
      <c r="D983" s="178"/>
      <c r="E983" s="178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178"/>
      <c r="B984" s="178"/>
      <c r="C984" s="178"/>
      <c r="D984" s="178"/>
      <c r="E984" s="178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178"/>
      <c r="B985" s="178"/>
      <c r="C985" s="178"/>
      <c r="D985" s="178"/>
      <c r="E985" s="178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178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178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178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42.63"/>
    <col customWidth="1" min="3" max="3" width="16.0"/>
    <col customWidth="1" min="4" max="4" width="24.25"/>
    <col customWidth="1" min="5" max="5" width="10.38"/>
    <col customWidth="1" min="7" max="7" width="76.8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178"/>
      <c r="G1" s="80" t="s">
        <v>5</v>
      </c>
      <c r="H1" s="81">
        <f>H4</f>
        <v>31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146" t="s">
        <v>1649</v>
      </c>
      <c r="B2" s="73" t="str">
        <f t="array" ref="B2">IFERROR(XLOOKUP(A2, BASE!E:E, BASE!B:B), "")
</f>
        <v>LM Hub_SP_Guaratinguetá</v>
      </c>
      <c r="C2" s="73" t="str">
        <f t="array" ref="C2">IFERROR(XLOOKUP(A2, BASE!E:E, BASE!C:C), "")
</f>
        <v>HUB-LSP-33</v>
      </c>
      <c r="D2" s="73">
        <f t="array" ref="D2">IFERROR(XLOOKUP(A2, BASE!E:E, BASE!D:D), "")
</f>
        <v>21</v>
      </c>
      <c r="E2" s="168">
        <f t="array" ref="E2">IFERROR(XLOOKUP(A2, BASE!E:E, BASE!H:H), "")
</f>
        <v>46066.25</v>
      </c>
      <c r="F2" s="178"/>
      <c r="G2" s="82" t="s">
        <v>9</v>
      </c>
      <c r="H2" s="82">
        <f>COUNTIF(C:C,"*LSP*")
</f>
        <v>22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146" t="s">
        <v>1650</v>
      </c>
      <c r="B3" s="73" t="str">
        <f t="array" ref="B3">IFERROR(XLOOKUP(A3, BASE!E:E, BASE!B:B), "")
</f>
        <v>LM Hub_SP_São José dos Campos</v>
      </c>
      <c r="C3" s="73" t="str">
        <f t="array" ref="C3">IFERROR(XLOOKUP(A3, BASE!E:E, BASE!C:C), "")
</f>
        <v>HUB-LSP-04</v>
      </c>
      <c r="D3" s="73">
        <f t="array" ref="D3">IFERROR(XLOOKUP(A3, BASE!E:E, BASE!D:D), "")
</f>
        <v>18</v>
      </c>
      <c r="E3" s="168">
        <f t="array" ref="E3">IFERROR(XLOOKUP(A3, BASE!E:E, BASE!H:H), "")
</f>
        <v>46066.25</v>
      </c>
      <c r="F3" s="178"/>
      <c r="G3" s="82" t="s">
        <v>13</v>
      </c>
      <c r="H3" s="82">
        <f>COUNTIF(C:C,"*SOC*")
</f>
        <v>9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146" t="s">
        <v>1651</v>
      </c>
      <c r="B4" s="73" t="str">
        <f t="array" ref="B4">IFERROR(XLOOKUP(A4, BASE!E:E, BASE!B:B), "")
</f>
        <v>LM Hub_SP_Registro</v>
      </c>
      <c r="C4" s="73" t="str">
        <f t="array" ref="C4">IFERROR(XLOOKUP(A4, BASE!E:E, BASE!C:C), "")
</f>
        <v>HUB-LSP-40</v>
      </c>
      <c r="D4" s="73">
        <f t="array" ref="D4">IFERROR(XLOOKUP(A4, BASE!E:E, BASE!D:D), "")
</f>
        <v>32</v>
      </c>
      <c r="E4" s="168">
        <f t="array" ref="E4">IFERROR(XLOOKUP(A4, BASE!E:E, BASE!H:H), "")
</f>
        <v>46066.25</v>
      </c>
      <c r="F4" s="178"/>
      <c r="G4" s="82" t="s">
        <v>810</v>
      </c>
      <c r="H4" s="198">
        <f>COUNTIFS(D:D,"&gt;=5",D:D,"&lt;=117")</f>
        <v>31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46" t="s">
        <v>1652</v>
      </c>
      <c r="B5" s="73" t="str">
        <f t="array" ref="B5">IFERROR(XLOOKUP(A5, BASE!E:E, BASE!B:B), "")
</f>
        <v>LM Hub_SP_Taubaté</v>
      </c>
      <c r="C5" s="73" t="str">
        <f t="array" ref="C5">IFERROR(XLOOKUP(A5, BASE!E:E, BASE!C:C), "")
</f>
        <v>HUB-LSP-08</v>
      </c>
      <c r="D5" s="73">
        <f t="array" ref="D5">IFERROR(XLOOKUP(A5, BASE!E:E, BASE!D:D), "")
</f>
        <v>33</v>
      </c>
      <c r="E5" s="168">
        <f t="array" ref="E5">IFERROR(XLOOKUP(A5, BASE!E:E, BASE!H:H), "")
</f>
        <v>46066.27083</v>
      </c>
      <c r="F5" s="178"/>
      <c r="G5" s="82" t="s">
        <v>20</v>
      </c>
      <c r="H5" s="82">
        <f>COUNTIF(D:D,"*NÃO DOCOU*")</f>
        <v>0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146" t="s">
        <v>1653</v>
      </c>
      <c r="B6" s="73" t="str">
        <f t="array" ref="B6">IFERROR(XLOOKUP(A6, BASE!E:E, BASE!B:B), "")
</f>
        <v>LM Hub_SP_Atibaia_Ponte_Alta</v>
      </c>
      <c r="C6" s="73" t="str">
        <f t="array" ref="C6">IFERROR(XLOOKUP(A6, BASE!E:E, BASE!C:C), "")
</f>
        <v>HUB-LSP-87</v>
      </c>
      <c r="D6" s="73">
        <f t="array" ref="D6">IFERROR(XLOOKUP(A6, BASE!E:E, BASE!D:D), "")
</f>
        <v>24</v>
      </c>
      <c r="E6" s="168">
        <f t="array" ref="E6">IFERROR(XLOOKUP(A6, BASE!E:E, BASE!H:H), "")
</f>
        <v>46066.27083</v>
      </c>
      <c r="F6" s="178"/>
      <c r="G6" s="198" t="s">
        <v>25</v>
      </c>
      <c r="H6" s="199">
        <f>COUNTIF(D:D,"*NÃO CHEGOU*")
</f>
        <v>0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146" t="s">
        <v>1654</v>
      </c>
      <c r="B7" s="73" t="str">
        <f t="array" ref="B7">IFERROR(XLOOKUP(A7, BASE!E:E, BASE!B:B), "")
</f>
        <v>LM Hub_SP_Sorocaba_Região Norte</v>
      </c>
      <c r="C7" s="73" t="str">
        <f t="array" ref="C7">IFERROR(XLOOKUP(A7, BASE!E:E, BASE!C:C), "")
</f>
        <v>HUB-LSP-10</v>
      </c>
      <c r="D7" s="73">
        <f t="array" ref="D7">IFERROR(XLOOKUP(A7, BASE!E:E, BASE!D:D), "")
</f>
        <v>25</v>
      </c>
      <c r="E7" s="168">
        <f t="array" ref="E7">IFERROR(XLOOKUP(A7, BASE!E:E, BASE!H:H), "")
</f>
        <v>46066.27083</v>
      </c>
      <c r="F7" s="178"/>
      <c r="G7" s="82" t="s">
        <v>815</v>
      </c>
      <c r="H7" s="82">
        <f>COUNTIF(D:D,"*DRIVER DUPLICADO*")</f>
        <v>0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146" t="s">
        <v>1655</v>
      </c>
      <c r="B8" s="73" t="str">
        <f t="array" ref="B8">IFERROR(XLOOKUP(A8, BASE!E:E, BASE!B:B), "")
</f>
        <v>LM Hub_SP_Jundiaí</v>
      </c>
      <c r="C8" s="73" t="str">
        <f t="array" ref="C8">IFERROR(XLOOKUP(A8, BASE!E:E, BASE!C:C), "")
</f>
        <v>HUB-LSP-100</v>
      </c>
      <c r="D8" s="73">
        <f t="array" ref="D8">IFERROR(XLOOKUP(A8, BASE!E:E, BASE!D:D), "")
</f>
        <v>15</v>
      </c>
      <c r="E8" s="168">
        <f t="array" ref="E8">IFERROR(XLOOKUP(A8, BASE!E:E, BASE!H:H), "")
</f>
        <v>46066.29167</v>
      </c>
      <c r="F8" s="178"/>
      <c r="G8" s="82" t="s">
        <v>1429</v>
      </c>
      <c r="H8" s="198">
        <v>9.0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146" t="s">
        <v>1656</v>
      </c>
      <c r="B9" s="73" t="str">
        <f t="array" ref="B9">IFERROR(XLOOKUP(A9, BASE!E:E, BASE!B:B), "")
</f>
        <v>LM Hub_SP_Santos_PraiaGrande_02</v>
      </c>
      <c r="C9" s="73" t="str">
        <f t="array" ref="C9">IFERROR(XLOOKUP(A9, BASE!E:E, BASE!C:C), "")
</f>
        <v>HUB-LSP-63</v>
      </c>
      <c r="D9" s="73">
        <f t="array" ref="D9">IFERROR(XLOOKUP(A9, BASE!E:E, BASE!D:D), "")
</f>
        <v>17</v>
      </c>
      <c r="E9" s="168">
        <f t="array" ref="E9">IFERROR(XLOOKUP(A9, BASE!E:E, BASE!H:H), "")
</f>
        <v>46066.29167</v>
      </c>
      <c r="F9" s="178"/>
      <c r="G9" s="82" t="s">
        <v>1431</v>
      </c>
      <c r="H9" s="198">
        <v>22.0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146" t="s">
        <v>1657</v>
      </c>
      <c r="B10" s="73" t="str">
        <f t="array" ref="B10">IFERROR(XLOOKUP(A10, BASE!E:E, BASE!B:B), "")
</f>
        <v>LM Hub_SP_Barueri_01</v>
      </c>
      <c r="C10" s="73" t="str">
        <f t="array" ref="C10">IFERROR(XLOOKUP(A10, BASE!E:E, BASE!C:C), "")
</f>
        <v>HUB-LSP-81</v>
      </c>
      <c r="D10" s="73">
        <f t="array" ref="D10">IFERROR(XLOOKUP(A10, BASE!E:E, BASE!D:D), "")
</f>
        <v>23</v>
      </c>
      <c r="E10" s="168">
        <f t="array" ref="E10">IFERROR(XLOOKUP(A10, BASE!E:E, BASE!H:H), "")
</f>
        <v>46066.29167</v>
      </c>
      <c r="F10" s="178"/>
      <c r="G10" s="9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146" t="s">
        <v>1658</v>
      </c>
      <c r="B11" s="73" t="str">
        <f t="array" ref="B11">IFERROR(XLOOKUP(A11, BASE!E:E, BASE!B:B), "")
</f>
        <v>LM Hub_SP_Piracicaba</v>
      </c>
      <c r="C11" s="73" t="str">
        <f t="array" ref="C11">IFERROR(XLOOKUP(A11, BASE!E:E, BASE!C:C), "")
</f>
        <v>HUB-LSP-62</v>
      </c>
      <c r="D11" s="73">
        <f t="array" ref="D11">IFERROR(XLOOKUP(A11, BASE!E:E, BASE!D:D), "")
</f>
        <v>27</v>
      </c>
      <c r="E11" s="168">
        <f t="array" ref="E11">IFERROR(XLOOKUP(A11, BASE!E:E, BASE!H:H), "")
</f>
        <v>46066.29167</v>
      </c>
      <c r="F11" s="9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146" t="s">
        <v>1659</v>
      </c>
      <c r="B12" s="73" t="str">
        <f t="array" ref="B12">IFERROR(XLOOKUP(A12, BASE!E:E, BASE!B:B), "")
</f>
        <v>LM Hub_SP_Itapevi</v>
      </c>
      <c r="C12" s="73" t="str">
        <f t="array" ref="C12">IFERROR(XLOOKUP(A12, BASE!E:E, BASE!C:C), "")
</f>
        <v>HUB-LSP-41</v>
      </c>
      <c r="D12" s="73">
        <f t="array" ref="D12">IFERROR(XLOOKUP(A12, BASE!E:E, BASE!D:D), "")
</f>
        <v>14</v>
      </c>
      <c r="E12" s="168">
        <f t="array" ref="E12">IFERROR(XLOOKUP(A12, BASE!E:E, BASE!H:H), "")
</f>
        <v>46066.3125</v>
      </c>
      <c r="F12" s="178"/>
      <c r="G12" s="84" t="s">
        <v>1548</v>
      </c>
      <c r="H12" s="9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146" t="s">
        <v>1660</v>
      </c>
      <c r="B13" s="73" t="str">
        <f t="array" ref="B13">IFERROR(XLOOKUP(A13, BASE!E:E, BASE!B:B), "")
</f>
        <v>LM Hub_SP_Santos_Praia Grande</v>
      </c>
      <c r="C13" s="73" t="str">
        <f t="array" ref="C13">IFERROR(XLOOKUP(A13, BASE!E:E, BASE!C:C), "")
</f>
        <v>HUB-LSP-09</v>
      </c>
      <c r="D13" s="73">
        <f t="array" ref="D13">IFERROR(XLOOKUP(A13, BASE!E:E, BASE!D:D), "")
</f>
        <v>13</v>
      </c>
      <c r="E13" s="168">
        <f t="array" ref="E13">IFERROR(XLOOKUP(A13, BASE!E:E, BASE!H:H), "")
</f>
        <v>46066.3125</v>
      </c>
      <c r="F13" s="178"/>
      <c r="G13" s="178"/>
      <c r="H13" s="178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20.25" customHeight="1">
      <c r="A14" s="146" t="s">
        <v>1661</v>
      </c>
      <c r="B14" s="73" t="str">
        <f t="array" ref="B14">IFERROR(XLOOKUP(A14, BASE!E:E, BASE!B:B), "")
</f>
        <v>LM Hub_SP_Várzea Paulista</v>
      </c>
      <c r="C14" s="73" t="str">
        <f t="array" ref="C14">IFERROR(XLOOKUP(A14, BASE!E:E, BASE!C:C), "")
</f>
        <v>HUB-LSP-20</v>
      </c>
      <c r="D14" s="73">
        <f t="array" ref="D14">IFERROR(XLOOKUP(A14, BASE!E:E, BASE!D:D), "")
</f>
        <v>19</v>
      </c>
      <c r="E14" s="168">
        <f t="array" ref="E14">IFERROR(XLOOKUP(A14, BASE!E:E, BASE!H:H), "")
</f>
        <v>46066.3125</v>
      </c>
      <c r="F14" s="178"/>
      <c r="G14" s="187" t="s">
        <v>653</v>
      </c>
      <c r="H14" s="178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146" t="s">
        <v>1662</v>
      </c>
      <c r="B15" s="73" t="str">
        <f t="array" ref="B15">IFERROR(XLOOKUP(A15, BASE!E:E, BASE!B:B), "")
</f>
        <v>LM Hub_SP_São Paulo_Mooca</v>
      </c>
      <c r="C15" s="73" t="str">
        <f t="array" ref="C15">IFERROR(XLOOKUP(A15, BASE!E:E, BASE!C:C), "")
</f>
        <v>HUB-LSP-13</v>
      </c>
      <c r="D15" s="73">
        <f t="array" ref="D15">IFERROR(XLOOKUP(A15, BASE!E:E, BASE!D:D), "")
</f>
        <v>37</v>
      </c>
      <c r="E15" s="168">
        <f t="array" ref="E15">IFERROR(XLOOKUP(A15, BASE!E:E, BASE!H:H), "")
</f>
        <v>46066.3125</v>
      </c>
      <c r="F15" s="178"/>
      <c r="G15" s="178"/>
      <c r="H15" s="178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146" t="s">
        <v>1663</v>
      </c>
      <c r="B16" s="73" t="str">
        <f t="array" ref="B16">IFERROR(XLOOKUP(A16, BASE!E:E, BASE!B:B), "")
</f>
        <v>LM Hub_SP_Osasco_02</v>
      </c>
      <c r="C16" s="73" t="str">
        <f t="array" ref="C16">IFERROR(XLOOKUP(A16, BASE!E:E, BASE!C:C), "")
</f>
        <v>HUB-LSP-60</v>
      </c>
      <c r="D16" s="73">
        <f t="array" ref="D16">IFERROR(XLOOKUP(A16, BASE!E:E, BASE!D:D), "")
</f>
        <v>28</v>
      </c>
      <c r="E16" s="168">
        <f t="array" ref="E16">IFERROR(XLOOKUP(A16, BASE!E:E, BASE!H:H), "")
</f>
        <v>46066.33333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146" t="s">
        <v>1664</v>
      </c>
      <c r="B17" s="73" t="str">
        <f t="array" ref="B17">IFERROR(XLOOKUP(A17, BASE!E:E, BASE!B:B), "")
</f>
        <v>LM Hub_SP_São Paulo_Lapa</v>
      </c>
      <c r="C17" s="73" t="str">
        <f t="array" ref="C17">IFERROR(XLOOKUP(A17, BASE!E:E, BASE!C:C), "")
</f>
        <v>HUB-LSP-15</v>
      </c>
      <c r="D17" s="73">
        <f t="array" ref="D17">IFERROR(XLOOKUP(A17, BASE!E:E, BASE!D:D), "")
</f>
        <v>22</v>
      </c>
      <c r="E17" s="168">
        <f t="array" ref="E17">IFERROR(XLOOKUP(A17, BASE!E:E, BASE!H:H), "")
</f>
        <v>46066.33333</v>
      </c>
      <c r="F17" s="178"/>
      <c r="G17" s="178"/>
      <c r="H17" s="178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102" t="s">
        <v>1665</v>
      </c>
      <c r="B18" s="73" t="str">
        <f t="array" ref="B18">IFERROR(XLOOKUP(A18, BASE!E:E, BASE!B:B), "")
</f>
        <v>LM Hub_SP_Itaqua_Zimba</v>
      </c>
      <c r="C18" s="73" t="str">
        <f t="array" ref="C18">IFERROR(XLOOKUP(A18, BASE!E:E, BASE!C:C), "")
</f>
        <v>HUB-LSP-74</v>
      </c>
      <c r="D18" s="73">
        <f t="array" ref="D18">IFERROR(XLOOKUP(A18, BASE!E:E, BASE!D:D), "")
</f>
        <v>12</v>
      </c>
      <c r="E18" s="168">
        <f t="array" ref="E18">IFERROR(XLOOKUP(A18, BASE!E:E, BASE!H:H), "")
</f>
        <v>46066.33333</v>
      </c>
      <c r="F18" s="178"/>
      <c r="G18" s="178"/>
      <c r="H18" s="178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146" t="s">
        <v>1666</v>
      </c>
      <c r="B19" s="73" t="str">
        <f t="array" ref="B19">IFERROR(XLOOKUP(A19, BASE!E:E, BASE!B:B), "")
</f>
        <v>LM Hub_SP_Embu das Artes</v>
      </c>
      <c r="C19" s="73" t="str">
        <f t="array" ref="C19">IFERROR(XLOOKUP(A19, BASE!E:E, BASE!C:C), "")
</f>
        <v>HUB-LSP-36</v>
      </c>
      <c r="D19" s="73">
        <f t="array" ref="D19">IFERROR(XLOOKUP(A19, BASE!E:E, BASE!D:D), "")
</f>
        <v>34</v>
      </c>
      <c r="E19" s="168">
        <f t="array" ref="E19">IFERROR(XLOOKUP(A19, BASE!E:E, BASE!H:H), "")
</f>
        <v>46066.33333</v>
      </c>
      <c r="F19" s="178"/>
      <c r="G19" s="178"/>
      <c r="H19" s="178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146" t="s">
        <v>1667</v>
      </c>
      <c r="B20" s="73" t="str">
        <f t="array" ref="B20">IFERROR(XLOOKUP(A20, BASE!E:E, BASE!B:B), "")
</f>
        <v>LM Hub_SP_Parque Novo Mundo</v>
      </c>
      <c r="C20" s="73" t="str">
        <f t="array" ref="C20">IFERROR(XLOOKUP(A20, BASE!E:E, BASE!C:C), "")
</f>
        <v>HUB-LSP-89</v>
      </c>
      <c r="D20" s="73">
        <v>9.0</v>
      </c>
      <c r="E20" s="168">
        <f t="array" ref="E20">IFERROR(XLOOKUP(A20, BASE!E:E, BASE!H:H), "")
</f>
        <v>46066.35417</v>
      </c>
      <c r="F20" s="178"/>
      <c r="G20" s="178"/>
      <c r="H20" s="178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146" t="s">
        <v>1668</v>
      </c>
      <c r="B21" s="73" t="str">
        <f t="array" ref="B21">IFERROR(XLOOKUP(A21, BASE!E:E, BASE!B:B), "")
</f>
        <v>LM Hub_SP_São Bernardo do Campo</v>
      </c>
      <c r="C21" s="73" t="str">
        <f t="array" ref="C21">IFERROR(XLOOKUP(A21, BASE!E:E, BASE!C:C), "")
</f>
        <v>HUB-LSP-79</v>
      </c>
      <c r="D21" s="73">
        <f t="array" ref="D21">IFERROR(XLOOKUP(A21, BASE!E:E, BASE!D:D), "")
</f>
        <v>41</v>
      </c>
      <c r="E21" s="168">
        <f t="array" ref="E21">IFERROR(XLOOKUP(A21, BASE!E:E, BASE!H:H), "")
</f>
        <v>46066.35417</v>
      </c>
      <c r="F21" s="178"/>
      <c r="G21" s="178"/>
      <c r="H21" s="178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146" t="s">
        <v>1669</v>
      </c>
      <c r="B22" s="73" t="str">
        <f t="array" ref="B22">IFERROR(XLOOKUP(A22, BASE!E:E, BASE!B:B), "")
</f>
        <v>LM Hub_SP_Mauá</v>
      </c>
      <c r="C22" s="73" t="str">
        <f t="array" ref="C22">IFERROR(XLOOKUP(A22, BASE!E:E, BASE!C:C), "")
</f>
        <v>HUB-LSP-64</v>
      </c>
      <c r="D22" s="73">
        <f t="array" ref="D22">IFERROR(XLOOKUP(A22, BASE!E:E, BASE!D:D), "")
</f>
        <v>35</v>
      </c>
      <c r="E22" s="168">
        <f t="array" ref="E22">IFERROR(XLOOKUP(A22, BASE!E:E, BASE!H:H), "")
</f>
        <v>46066.35417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146" t="s">
        <v>1670</v>
      </c>
      <c r="B23" s="73" t="str">
        <f t="array" ref="B23">IFERROR(XLOOKUP(A23, BASE!E:E, BASE!B:B), "")
</f>
        <v>LM Hub_SP_Embu das Artes_02</v>
      </c>
      <c r="C23" s="73" t="str">
        <f t="array" ref="C23">IFERROR(XLOOKUP(A23, BASE!E:E, BASE!C:C), "")
</f>
        <v>HUB-LSP-96</v>
      </c>
      <c r="D23" s="73">
        <f t="array" ref="D23">IFERROR(XLOOKUP(A23, BASE!E:E, BASE!D:D), "")
</f>
        <v>16</v>
      </c>
      <c r="E23" s="168">
        <f t="array" ref="E23">IFERROR(XLOOKUP(A23, BASE!E:E, BASE!H:H), "")
</f>
        <v>46066.375</v>
      </c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102" t="s">
        <v>1671</v>
      </c>
      <c r="B24" s="73" t="str">
        <f t="array" ref="B24">IFERROR(XLOOKUP(A24, BASE!E:E, BASE!B:B), "")
</f>
        <v>SoC_MG_Betim</v>
      </c>
      <c r="C24" s="73" t="str">
        <f t="array" ref="C24">IFERROR(XLOOKUP(A24, BASE!E:E, BASE!C:C), "")
</f>
        <v>SOC-MG2</v>
      </c>
      <c r="D24" s="73">
        <f t="array" ref="D24">IFERROR(XLOOKUP(A24, BASE!E:E, BASE!D:D), "")
</f>
        <v>90</v>
      </c>
      <c r="E24" s="168">
        <f t="array" ref="E24">IFERROR(XLOOKUP(A24, BASE!E:E, BASE!H:H), "")
</f>
        <v>46066.375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146" t="s">
        <v>1672</v>
      </c>
      <c r="B25" s="73" t="str">
        <f t="array" ref="B25">IFERROR(XLOOKUP(A25, BASE!E:E, BASE!B:B), "")
</f>
        <v>SoC_MG_Betim</v>
      </c>
      <c r="C25" s="73" t="str">
        <f t="array" ref="C25">IFERROR(XLOOKUP(A25, BASE!E:E, BASE!C:C), "")
</f>
        <v>SOC-MG2</v>
      </c>
      <c r="D25" s="73">
        <f t="array" ref="D25">IFERROR(XLOOKUP(A25, BASE!E:E, BASE!D:D), "")
</f>
        <v>91</v>
      </c>
      <c r="E25" s="168">
        <f t="array" ref="E25">IFERROR(XLOOKUP(A25, BASE!E:E, BASE!H:H), "")
</f>
        <v>46066.375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102" t="s">
        <v>1673</v>
      </c>
      <c r="B26" s="73" t="str">
        <f t="array" ref="B26">IFERROR(XLOOKUP(A26, BASE!E:E, BASE!B:B), "")
</f>
        <v>SoC_PE_Jaboatão dos Guararapes</v>
      </c>
      <c r="C26" s="73" t="str">
        <f t="array" ref="C26">IFERROR(XLOOKUP(A26, BASE!E:E, BASE!C:C), "")
</f>
        <v>SOC-PE2</v>
      </c>
      <c r="D26" s="73">
        <f t="array" ref="D26">IFERROR(XLOOKUP(A26, BASE!E:E, BASE!D:D), "")
</f>
        <v>98</v>
      </c>
      <c r="E26" s="168">
        <f t="array" ref="E26">IFERROR(XLOOKUP(A26, BASE!E:E, BASE!H:H), "")
</f>
        <v>46066.375</v>
      </c>
      <c r="F26" s="178"/>
      <c r="G26" s="178"/>
      <c r="H26" s="178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146" t="s">
        <v>1674</v>
      </c>
      <c r="B27" s="73" t="str">
        <f t="array" ref="B27">IFERROR(XLOOKUP(A27, BASE!E:E, BASE!B:B), "")
</f>
        <v>SoC_BA_Simoes Filho</v>
      </c>
      <c r="C27" s="73" t="str">
        <f t="array" ref="C27">IFERROR(XLOOKUP(A27, BASE!E:E, BASE!C:C), "")
</f>
        <v>SOC-BA2</v>
      </c>
      <c r="D27" s="73">
        <f t="array" ref="D27">IFERROR(XLOOKUP(A27, BASE!E:E, BASE!D:D), "")
</f>
        <v>88</v>
      </c>
      <c r="E27" s="168">
        <f t="array" ref="E27">IFERROR(XLOOKUP(A27, BASE!E:E, BASE!H:H), "")
</f>
        <v>46066.375</v>
      </c>
      <c r="F27" s="178"/>
      <c r="G27" s="178"/>
      <c r="H27" s="178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146" t="s">
        <v>1675</v>
      </c>
      <c r="B28" s="73" t="str">
        <f t="array" ref="B28">IFERROR(XLOOKUP(A28, BASE!E:E, BASE!B:B), "")
</f>
        <v>SoC_SP_Cravinhos</v>
      </c>
      <c r="C28" s="73" t="str">
        <f t="array" ref="C28">IFERROR(XLOOKUP(A28, BASE!E:E, BASE!C:C), "")
</f>
        <v>SOC-SP5</v>
      </c>
      <c r="D28" s="73">
        <f t="array" ref="D28">IFERROR(XLOOKUP(A28, BASE!E:E, BASE!D:D), "")
</f>
        <v>95</v>
      </c>
      <c r="E28" s="168">
        <f t="array" ref="E28">IFERROR(XLOOKUP(A28, BASE!E:E, BASE!H:H), "")
</f>
        <v>46066.375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146" t="s">
        <v>1676</v>
      </c>
      <c r="B29" s="73" t="str">
        <f t="array" ref="B29">IFERROR(XLOOKUP(A29, BASE!E:E, BASE!B:B), "")
</f>
        <v>SoC_MG_Betim</v>
      </c>
      <c r="C29" s="73" t="str">
        <f t="array" ref="C29">IFERROR(XLOOKUP(A29, BASE!E:E, BASE!C:C), "")
</f>
        <v>SOC-MG2</v>
      </c>
      <c r="D29" s="73">
        <f t="array" ref="D29">IFERROR(XLOOKUP(A29, BASE!E:E, BASE!D:D), "")
</f>
        <v>90</v>
      </c>
      <c r="E29" s="168">
        <f t="array" ref="E29">IFERROR(XLOOKUP(A29, BASE!E:E, BASE!H:H), "")
</f>
        <v>46066.45833</v>
      </c>
      <c r="F29" s="178"/>
      <c r="G29" s="178"/>
      <c r="H29" s="178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146" t="s">
        <v>1677</v>
      </c>
      <c r="B30" s="73" t="str">
        <f t="array" ref="B30">IFERROR(XLOOKUP(A30, BASE!E:E, BASE!B:B), "")
</f>
        <v>SoC_RS_Gravataí_02</v>
      </c>
      <c r="C30" s="73" t="str">
        <f t="array" ref="C30">IFERROR(XLOOKUP(A30, BASE!E:E, BASE!C:C), "")
</f>
        <v>SOC-RS2</v>
      </c>
      <c r="D30" s="73">
        <f t="array" ref="D30">IFERROR(XLOOKUP(A30, BASE!E:E, BASE!D:D), "")
</f>
        <v>93</v>
      </c>
      <c r="E30" s="168">
        <f t="array" ref="E30">IFERROR(XLOOKUP(A30, BASE!E:E, BASE!H:H), "")
</f>
        <v>46066.45833</v>
      </c>
      <c r="F30" s="178"/>
      <c r="G30" s="178"/>
      <c r="H30" s="178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32" t="s">
        <v>1678</v>
      </c>
      <c r="B31" s="73" t="str">
        <f t="array" ref="B31">IFERROR(XLOOKUP(A31, BASE!E:E, BASE!B:B), "")
</f>
        <v>SoC_GO_Goiânia_02</v>
      </c>
      <c r="C31" s="73" t="str">
        <f t="array" ref="C31">IFERROR(XLOOKUP(A31, BASE!E:E, BASE!C:C), "")
</f>
        <v>SOC-GO2</v>
      </c>
      <c r="D31" s="73">
        <f t="array" ref="D31">IFERROR(XLOOKUP(A31, BASE!E:E, BASE!D:D), "")
</f>
        <v>87</v>
      </c>
      <c r="E31" s="168">
        <f t="array" ref="E31">IFERROR(XLOOKUP(A31, BASE!E:E, BASE!H:H), "")
</f>
        <v>46066.66667</v>
      </c>
      <c r="F31" s="178"/>
      <c r="G31" s="178"/>
      <c r="H31" s="178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146" t="s">
        <v>1679</v>
      </c>
      <c r="B32" s="73" t="str">
        <f t="array" ref="B32">IFERROR(XLOOKUP(A32, BASE!E:E, BASE!B:B), "")
</f>
        <v>SoC_SC_Itajaí</v>
      </c>
      <c r="C32" s="73" t="str">
        <f t="array" ref="C32">IFERROR(XLOOKUP(A32, BASE!E:E, BASE!C:C), "")
</f>
        <v>SOC-SC1</v>
      </c>
      <c r="D32" s="73">
        <f t="array" ref="D32">IFERROR(XLOOKUP(A32, BASE!E:E, BASE!D:D), "")
</f>
        <v>100</v>
      </c>
      <c r="E32" s="168">
        <f t="array" ref="E32">IFERROR(XLOOKUP(A32, BASE!E:E, BASE!H:H), "")
</f>
        <v>46066.66667</v>
      </c>
      <c r="F32" s="178"/>
      <c r="G32" s="178"/>
      <c r="H32" s="178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146"/>
      <c r="B33" s="73" t="str">
        <f t="array" ref="B33">IFERROR(XLOOKUP(A33, BASE!E:E, BASE!B:B), "")
</f>
        <v/>
      </c>
      <c r="C33" s="73" t="str">
        <f t="array" ref="C33">IFERROR(XLOOKUP(A33, BASE!E:E, BASE!C:C), "")
</f>
        <v/>
      </c>
      <c r="D33" s="73" t="str">
        <f t="array" ref="D33">IFERROR(XLOOKUP(A33, BASE!E:E, BASE!D:D), "")
</f>
        <v/>
      </c>
      <c r="E33" s="168" t="str">
        <f t="array" ref="E33">IFERROR(XLOOKUP(A33, BASE!E:E, BASE!H:H), "")
</f>
        <v/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102"/>
      <c r="B34" s="73" t="str">
        <f t="array" ref="B34">IFERROR(XLOOKUP(A34, BASE!E:E, BASE!B:B), "")
</f>
        <v/>
      </c>
      <c r="C34" s="73" t="str">
        <f t="array" ref="C34">IFERROR(XLOOKUP(A34, BASE!E:E, BASE!C:C), "")
</f>
        <v/>
      </c>
      <c r="D34" s="73" t="str">
        <f t="array" ref="D34">IFERROR(XLOOKUP(A34, BASE!E:E, BASE!D:D), "")
</f>
        <v/>
      </c>
      <c r="E34" s="168" t="str">
        <f t="array" ref="E34">IFERROR(XLOOKUP(A34, BASE!E:E, BASE!H:H), "")
</f>
        <v/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95"/>
      <c r="B35" s="73" t="str">
        <f t="array" ref="B35">IFERROR(XLOOKUP(A35, BASE!E:E, BASE!B:B), "")
</f>
        <v/>
      </c>
      <c r="C35" s="73" t="str">
        <f t="array" ref="C35">IFERROR(XLOOKUP(A35, BASE!E:E, BASE!C:C), "")
</f>
        <v/>
      </c>
      <c r="D35" s="73" t="str">
        <f t="array" ref="D35">IFERROR(XLOOKUP(A35, BASE!E:E, BASE!D:D), "")
</f>
        <v/>
      </c>
      <c r="E35" s="168" t="str">
        <f t="array" ref="E35">IFERROR(XLOOKUP(A35, BASE!E:E, BASE!H:H), "")
</f>
        <v/>
      </c>
      <c r="F35" s="178"/>
      <c r="G35" s="178"/>
      <c r="H35" s="178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95"/>
      <c r="B36" s="73" t="str">
        <f t="array" ref="B36">IFERROR(XLOOKUP(A36, BASE!E:E, BASE!B:B), "")
</f>
        <v/>
      </c>
      <c r="C36" s="73" t="str">
        <f t="array" ref="C36">IFERROR(XLOOKUP(A36, BASE!E:E, BASE!C:C), "")
</f>
        <v/>
      </c>
      <c r="D36" s="73" t="str">
        <f t="array" ref="D36">IFERROR(XLOOKUP(A36, BASE!E:E, BASE!D:D), "")
</f>
        <v/>
      </c>
      <c r="E36" s="168" t="str">
        <f t="array" ref="E36">IFERROR(XLOOKUP(A36, BASE!E:E, BASE!H:H), "")
</f>
        <v/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146"/>
      <c r="B37" s="73" t="str">
        <f t="array" ref="B37">IFERROR(XLOOKUP(A37, BASE!E:E, BASE!B:B), "")
</f>
        <v/>
      </c>
      <c r="C37" s="73" t="str">
        <f t="array" ref="C37">IFERROR(XLOOKUP(A37, BASE!E:E, BASE!C:C), "")
</f>
        <v/>
      </c>
      <c r="D37" s="73" t="str">
        <f t="array" ref="D37">IFERROR(XLOOKUP(A37, BASE!E:E, BASE!D:D), "")
</f>
        <v/>
      </c>
      <c r="E37" s="168" t="str">
        <f t="array" ref="E37">IFERROR(XLOOKUP(A37, BASE!E:E, BASE!H:H), "")
</f>
        <v/>
      </c>
      <c r="F37" s="178"/>
      <c r="G37" s="178"/>
      <c r="H37" s="178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146"/>
      <c r="B38" s="73" t="str">
        <f t="array" ref="B38">IFERROR(XLOOKUP(A38, BASE!E:E, BASE!B:B), "")
</f>
        <v/>
      </c>
      <c r="C38" s="73" t="str">
        <f t="array" ref="C38">IFERROR(XLOOKUP(A38, BASE!E:E, BASE!C:C), "")
</f>
        <v/>
      </c>
      <c r="D38" s="73" t="str">
        <f t="array" ref="D38">IFERROR(XLOOKUP(A38, BASE!E:E, BASE!D:D), "")
</f>
        <v/>
      </c>
      <c r="E38" s="168" t="str">
        <f t="array" ref="E38">IFERROR(XLOOKUP(A38, BASE!E:E, BASE!H:H), "")
</f>
        <v/>
      </c>
      <c r="F38" s="178"/>
      <c r="G38" s="178"/>
      <c r="H38" s="178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146"/>
      <c r="B39" s="73" t="str">
        <f t="array" ref="B39">IFERROR(XLOOKUP(A39, BASE!E:E, BASE!B:B), "")
</f>
        <v/>
      </c>
      <c r="C39" s="73" t="str">
        <f t="array" ref="C39">IFERROR(XLOOKUP(A39, BASE!E:E, BASE!C:C), "")
</f>
        <v/>
      </c>
      <c r="D39" s="73" t="str">
        <f t="array" ref="D39">IFERROR(XLOOKUP(A39, BASE!E:E, BASE!D:D), "")
</f>
        <v/>
      </c>
      <c r="E39" s="168" t="str">
        <f t="array" ref="E39">IFERROR(XLOOKUP(A39, BASE!E:E, BASE!H:H), "")
</f>
        <v/>
      </c>
      <c r="F39" s="178"/>
      <c r="G39" s="178"/>
      <c r="H39" s="178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146"/>
      <c r="B40" s="73" t="str">
        <f t="array" ref="B40">IFERROR(XLOOKUP(A40, BASE!E:E, BASE!B:B), "")
</f>
        <v/>
      </c>
      <c r="C40" s="73" t="str">
        <f t="array" ref="C40">IFERROR(XLOOKUP(A40, BASE!E:E, BASE!C:C), "")
</f>
        <v/>
      </c>
      <c r="D40" s="73" t="str">
        <f t="array" ref="D40">IFERROR(XLOOKUP(A40, BASE!E:E, BASE!D:D), "")
</f>
        <v/>
      </c>
      <c r="E40" s="168" t="str">
        <f t="array" ref="E40">IFERROR(XLOOKUP(A40, BASE!E:E, BASE!H:H), "")
</f>
        <v/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24"/>
      <c r="B41" s="73" t="str">
        <f t="array" ref="B41">IFERROR(XLOOKUP(A41, BASE!E:E, BASE!B:B), "")
</f>
        <v/>
      </c>
      <c r="C41" s="73" t="str">
        <f t="array" ref="C41">IFERROR(XLOOKUP(A41, BASE!E:E, BASE!C:C), "")
</f>
        <v/>
      </c>
      <c r="D41" s="73" t="str">
        <f t="array" ref="D41">IFERROR(XLOOKUP(A41, BASE!E:E, BASE!D:D), "")
</f>
        <v/>
      </c>
      <c r="E41" s="168" t="str">
        <f t="array" ref="E41">IFERROR(XLOOKUP(A41, BASE!E:E, BASE!H:H), "")
</f>
        <v/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24"/>
      <c r="B42" s="73" t="str">
        <f t="array" ref="B42">IFERROR(XLOOKUP(A42, BASE!E:E, BASE!B:B), "")
</f>
        <v/>
      </c>
      <c r="C42" s="73" t="str">
        <f t="array" ref="C42">IFERROR(XLOOKUP(A42, BASE!E:E, BASE!C:C), "")
</f>
        <v/>
      </c>
      <c r="D42" s="73" t="str">
        <f t="array" ref="D42">IFERROR(XLOOKUP(A42, BASE!E:E, BASE!D:D), "")
</f>
        <v/>
      </c>
      <c r="E42" s="168" t="str">
        <f t="array" ref="E42">IFERROR(XLOOKUP(A42, BASE!E:E, BASE!H:H), "")
</f>
        <v/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24"/>
      <c r="B43" s="73" t="str">
        <f t="array" ref="B43">IFERROR(XLOOKUP(A43, BASE!E:E, BASE!B:B), "")
</f>
        <v/>
      </c>
      <c r="C43" s="73" t="str">
        <f t="array" ref="C43">IFERROR(XLOOKUP(A43, BASE!E:E, BASE!C:C), "")
</f>
        <v/>
      </c>
      <c r="D43" s="73" t="str">
        <f t="array" ref="D43">IFERROR(XLOOKUP(A43, BASE!E:E, BASE!D:D), "")
</f>
        <v/>
      </c>
      <c r="E43" s="168" t="str">
        <f t="array" ref="E43">IFERROR(XLOOKUP(A43, BASE!E:E, BASE!H:H), "")
</f>
        <v/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24"/>
      <c r="B44" s="73" t="str">
        <f t="array" ref="B44">IFERROR(XLOOKUP(A44, BASE!E:E, BASE!B:B), "")
</f>
        <v/>
      </c>
      <c r="C44" s="73" t="str">
        <f t="array" ref="C44">IFERROR(XLOOKUP(A44, BASE!E:E, BASE!C:C), "")
</f>
        <v/>
      </c>
      <c r="D44" s="73" t="str">
        <f t="array" ref="D44">IFERROR(XLOOKUP(A44, BASE!E:E, BASE!D:D), "")
</f>
        <v/>
      </c>
      <c r="E44" s="168" t="str">
        <f t="array" ref="E44">IFERROR(XLOOKUP(A44, BASE!E:E, BASE!H:H), "")
</f>
        <v/>
      </c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24"/>
      <c r="B45" s="73" t="str">
        <f t="array" ref="B45">IFERROR(XLOOKUP(A45, BASE!E:E, BASE!B:B), "")
</f>
        <v/>
      </c>
      <c r="C45" s="73" t="str">
        <f t="array" ref="C45">IFERROR(XLOOKUP(A45, BASE!E:E, BASE!C:C), "")
</f>
        <v/>
      </c>
      <c r="D45" s="73" t="str">
        <f t="array" ref="D45">IFERROR(XLOOKUP(A45, BASE!E:E, BASE!D:D), "")
</f>
        <v/>
      </c>
      <c r="E45" s="168" t="str">
        <f t="array" ref="E45">IFERROR(XLOOKUP(A45, BASE!E:E, BASE!H:H), "")
</f>
        <v/>
      </c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24"/>
      <c r="B46" s="73" t="str">
        <f t="array" ref="B46">IFERROR(XLOOKUP(A46, BASE!E:E, BASE!B:B), "")
</f>
        <v/>
      </c>
      <c r="C46" s="73" t="str">
        <f t="array" ref="C46">IFERROR(XLOOKUP(A46, BASE!E:E, BASE!C:C), "")
</f>
        <v/>
      </c>
      <c r="D46" s="73" t="str">
        <f t="array" ref="D46">IFERROR(XLOOKUP(A46, BASE!E:E, BASE!D:D), "")
</f>
        <v/>
      </c>
      <c r="E46" s="168" t="str">
        <f t="array" ref="E46">IFERROR(XLOOKUP(A46, BASE!E:E, BASE!H:H), "")
</f>
        <v/>
      </c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24"/>
      <c r="B47" s="73" t="str">
        <f t="array" ref="B47">IFERROR(XLOOKUP(A47, BASE!E:E, BASE!B:B), "")
</f>
        <v/>
      </c>
      <c r="C47" s="73" t="str">
        <f t="array" ref="C47">IFERROR(XLOOKUP(A47, BASE!E:E, BASE!C:C), "")
</f>
        <v/>
      </c>
      <c r="D47" s="73" t="str">
        <f t="array" ref="D47">IFERROR(XLOOKUP(A47, BASE!E:E, BASE!D:D), "")
</f>
        <v/>
      </c>
      <c r="E47" s="168" t="str">
        <f t="array" ref="E47">IFERROR(XLOOKUP(A47, BASE!E:E, BASE!H:H), "")
</f>
        <v/>
      </c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178"/>
      <c r="B48" s="178"/>
      <c r="C48" s="178"/>
      <c r="D48" s="178"/>
      <c r="E48" s="178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178"/>
      <c r="B49" s="178"/>
      <c r="C49" s="178"/>
      <c r="D49" s="178"/>
      <c r="E49" s="178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178"/>
      <c r="B50" s="178"/>
      <c r="C50" s="178"/>
      <c r="D50" s="178"/>
      <c r="E50" s="178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178"/>
      <c r="B51" s="178"/>
      <c r="C51" s="178"/>
      <c r="D51" s="178"/>
      <c r="E51" s="178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178"/>
      <c r="B52" s="178"/>
      <c r="C52" s="178"/>
      <c r="D52" s="178"/>
      <c r="E52" s="178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178"/>
      <c r="B53" s="178"/>
      <c r="C53" s="178"/>
      <c r="D53" s="178"/>
      <c r="E53" s="178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178"/>
      <c r="B54" s="178"/>
      <c r="C54" s="178"/>
      <c r="D54" s="178"/>
      <c r="E54" s="178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178"/>
      <c r="B55" s="178"/>
      <c r="C55" s="178"/>
      <c r="D55" s="178"/>
      <c r="E55" s="178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178"/>
      <c r="B56" s="178"/>
      <c r="C56" s="178"/>
      <c r="D56" s="178"/>
      <c r="E56" s="178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178"/>
      <c r="B57" s="178"/>
      <c r="C57" s="178"/>
      <c r="D57" s="178"/>
      <c r="E57" s="178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178"/>
      <c r="B58" s="178"/>
      <c r="C58" s="178"/>
      <c r="D58" s="178"/>
      <c r="E58" s="178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178"/>
      <c r="B59" s="178"/>
      <c r="C59" s="178"/>
      <c r="D59" s="178"/>
      <c r="E59" s="178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178"/>
      <c r="B60" s="178"/>
      <c r="C60" s="178"/>
      <c r="D60" s="178"/>
      <c r="E60" s="178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178"/>
      <c r="B61" s="178"/>
      <c r="C61" s="178"/>
      <c r="D61" s="178"/>
      <c r="E61" s="178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178"/>
      <c r="B62" s="178"/>
      <c r="C62" s="178"/>
      <c r="D62" s="178"/>
      <c r="E62" s="178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178"/>
      <c r="B63" s="178"/>
      <c r="C63" s="178"/>
      <c r="D63" s="178"/>
      <c r="E63" s="178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178"/>
      <c r="B64" s="178"/>
      <c r="C64" s="178"/>
      <c r="D64" s="178"/>
      <c r="E64" s="178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178"/>
      <c r="B65" s="178"/>
      <c r="C65" s="178"/>
      <c r="D65" s="178"/>
      <c r="E65" s="178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178"/>
      <c r="B66" s="178"/>
      <c r="C66" s="178"/>
      <c r="D66" s="178"/>
      <c r="E66" s="178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178"/>
      <c r="B67" s="178"/>
      <c r="C67" s="178"/>
      <c r="D67" s="178"/>
      <c r="E67" s="178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178"/>
      <c r="B68" s="178"/>
      <c r="C68" s="178"/>
      <c r="D68" s="178"/>
      <c r="E68" s="178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178"/>
      <c r="B69" s="178"/>
      <c r="C69" s="178"/>
      <c r="D69" s="178"/>
      <c r="E69" s="178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178"/>
      <c r="B70" s="178"/>
      <c r="C70" s="178"/>
      <c r="D70" s="178"/>
      <c r="E70" s="178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178"/>
      <c r="B71" s="178"/>
      <c r="C71" s="178"/>
      <c r="D71" s="178"/>
      <c r="E71" s="178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178"/>
      <c r="B72" s="178"/>
      <c r="C72" s="178"/>
      <c r="D72" s="178"/>
      <c r="E72" s="178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178"/>
      <c r="B73" s="178"/>
      <c r="C73" s="178"/>
      <c r="D73" s="178"/>
      <c r="E73" s="178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178"/>
      <c r="B74" s="178"/>
      <c r="C74" s="178"/>
      <c r="D74" s="178"/>
      <c r="E74" s="178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178"/>
      <c r="B75" s="178"/>
      <c r="C75" s="178"/>
      <c r="D75" s="178"/>
      <c r="E75" s="178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178"/>
      <c r="B76" s="178"/>
      <c r="C76" s="178"/>
      <c r="D76" s="178"/>
      <c r="E76" s="178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178"/>
      <c r="B77" s="178"/>
      <c r="C77" s="178"/>
      <c r="D77" s="178"/>
      <c r="E77" s="178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178"/>
      <c r="B78" s="178"/>
      <c r="C78" s="178"/>
      <c r="D78" s="178"/>
      <c r="E78" s="178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178"/>
      <c r="B79" s="178"/>
      <c r="C79" s="178"/>
      <c r="D79" s="178"/>
      <c r="E79" s="178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178"/>
      <c r="B80" s="178"/>
      <c r="C80" s="178"/>
      <c r="D80" s="178"/>
      <c r="E80" s="178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178"/>
      <c r="B81" s="178"/>
      <c r="C81" s="178"/>
      <c r="D81" s="178"/>
      <c r="E81" s="178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178"/>
      <c r="B82" s="178"/>
      <c r="C82" s="178"/>
      <c r="D82" s="178"/>
      <c r="E82" s="178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178"/>
      <c r="B83" s="178"/>
      <c r="C83" s="178"/>
      <c r="D83" s="178"/>
      <c r="E83" s="178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178"/>
      <c r="B84" s="178"/>
      <c r="C84" s="178"/>
      <c r="D84" s="178"/>
      <c r="E84" s="178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178"/>
      <c r="B85" s="178"/>
      <c r="C85" s="178"/>
      <c r="D85" s="178"/>
      <c r="E85" s="178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178"/>
      <c r="B86" s="178"/>
      <c r="C86" s="178"/>
      <c r="D86" s="178"/>
      <c r="E86" s="178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178"/>
      <c r="B87" s="178"/>
      <c r="C87" s="178"/>
      <c r="D87" s="178"/>
      <c r="E87" s="178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178"/>
      <c r="B88" s="178"/>
      <c r="C88" s="178"/>
      <c r="D88" s="178"/>
      <c r="E88" s="178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178"/>
      <c r="B89" s="178"/>
      <c r="C89" s="178"/>
      <c r="D89" s="178"/>
      <c r="E89" s="178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178"/>
      <c r="B90" s="178"/>
      <c r="C90" s="178"/>
      <c r="D90" s="178"/>
      <c r="E90" s="178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178"/>
      <c r="B91" s="178"/>
      <c r="C91" s="178"/>
      <c r="D91" s="178"/>
      <c r="E91" s="178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178"/>
      <c r="B92" s="178"/>
      <c r="C92" s="178"/>
      <c r="D92" s="178"/>
      <c r="E92" s="178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178"/>
      <c r="B93" s="178"/>
      <c r="C93" s="178"/>
      <c r="D93" s="178"/>
      <c r="E93" s="178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178"/>
      <c r="B94" s="178"/>
      <c r="C94" s="178"/>
      <c r="D94" s="178"/>
      <c r="E94" s="178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178"/>
      <c r="B95" s="178"/>
      <c r="C95" s="178"/>
      <c r="D95" s="178"/>
      <c r="E95" s="178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178"/>
      <c r="B96" s="178"/>
      <c r="C96" s="178"/>
      <c r="D96" s="178"/>
      <c r="E96" s="178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178"/>
      <c r="B97" s="178"/>
      <c r="C97" s="178"/>
      <c r="D97" s="178"/>
      <c r="E97" s="178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178"/>
      <c r="B98" s="178"/>
      <c r="C98" s="178"/>
      <c r="D98" s="178"/>
      <c r="E98" s="178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178"/>
      <c r="B99" s="178"/>
      <c r="C99" s="178"/>
      <c r="D99" s="178"/>
      <c r="E99" s="178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178"/>
      <c r="B100" s="178"/>
      <c r="C100" s="178"/>
      <c r="D100" s="178"/>
      <c r="E100" s="178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178"/>
      <c r="B101" s="178"/>
      <c r="C101" s="178"/>
      <c r="D101" s="178"/>
      <c r="E101" s="178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178"/>
      <c r="B102" s="178"/>
      <c r="C102" s="178"/>
      <c r="D102" s="178"/>
      <c r="E102" s="178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178"/>
      <c r="B103" s="178"/>
      <c r="C103" s="178"/>
      <c r="D103" s="178"/>
      <c r="E103" s="178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178"/>
      <c r="B104" s="178"/>
      <c r="C104" s="178"/>
      <c r="D104" s="178"/>
      <c r="E104" s="178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178"/>
      <c r="B105" s="178"/>
      <c r="C105" s="178"/>
      <c r="D105" s="178"/>
      <c r="E105" s="178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178"/>
      <c r="B106" s="178"/>
      <c r="C106" s="178"/>
      <c r="D106" s="178"/>
      <c r="E106" s="178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178"/>
      <c r="B107" s="178"/>
      <c r="C107" s="178"/>
      <c r="D107" s="178"/>
      <c r="E107" s="178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178"/>
      <c r="B108" s="178"/>
      <c r="C108" s="178"/>
      <c r="D108" s="178"/>
      <c r="E108" s="178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178"/>
      <c r="B109" s="178"/>
      <c r="C109" s="178"/>
      <c r="D109" s="178"/>
      <c r="E109" s="178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178"/>
      <c r="B110" s="178"/>
      <c r="C110" s="178"/>
      <c r="D110" s="178"/>
      <c r="E110" s="178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178"/>
      <c r="B111" s="178"/>
      <c r="C111" s="178"/>
      <c r="D111" s="178"/>
      <c r="E111" s="178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178"/>
      <c r="B112" s="178"/>
      <c r="C112" s="178"/>
      <c r="D112" s="178"/>
      <c r="E112" s="178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178"/>
      <c r="B113" s="178"/>
      <c r="C113" s="178"/>
      <c r="D113" s="178"/>
      <c r="E113" s="178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178"/>
      <c r="B114" s="178"/>
      <c r="C114" s="178"/>
      <c r="D114" s="178"/>
      <c r="E114" s="178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178"/>
      <c r="B115" s="178"/>
      <c r="C115" s="178"/>
      <c r="D115" s="178"/>
      <c r="E115" s="178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178"/>
      <c r="B116" s="178"/>
      <c r="C116" s="178"/>
      <c r="D116" s="178"/>
      <c r="E116" s="178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178"/>
      <c r="B117" s="178"/>
      <c r="C117" s="178"/>
      <c r="D117" s="178"/>
      <c r="E117" s="178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178"/>
      <c r="B118" s="178"/>
      <c r="C118" s="178"/>
      <c r="D118" s="178"/>
      <c r="E118" s="178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178"/>
      <c r="B119" s="178"/>
      <c r="C119" s="178"/>
      <c r="D119" s="178"/>
      <c r="E119" s="178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178"/>
      <c r="B120" s="178"/>
      <c r="C120" s="178"/>
      <c r="D120" s="178"/>
      <c r="E120" s="178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178"/>
      <c r="B121" s="178"/>
      <c r="C121" s="178"/>
      <c r="D121" s="178"/>
      <c r="E121" s="178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178"/>
      <c r="B122" s="178"/>
      <c r="C122" s="178"/>
      <c r="D122" s="178"/>
      <c r="E122" s="178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178"/>
      <c r="B123" s="178"/>
      <c r="C123" s="178"/>
      <c r="D123" s="178"/>
      <c r="E123" s="178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178"/>
      <c r="B124" s="178"/>
      <c r="C124" s="178"/>
      <c r="D124" s="178"/>
      <c r="E124" s="178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178"/>
      <c r="B125" s="178"/>
      <c r="C125" s="178"/>
      <c r="D125" s="178"/>
      <c r="E125" s="178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178"/>
      <c r="B126" s="178"/>
      <c r="C126" s="178"/>
      <c r="D126" s="178"/>
      <c r="E126" s="178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178"/>
      <c r="B127" s="178"/>
      <c r="C127" s="178"/>
      <c r="D127" s="178"/>
      <c r="E127" s="178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178"/>
      <c r="B128" s="178"/>
      <c r="C128" s="178"/>
      <c r="D128" s="178"/>
      <c r="E128" s="178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178"/>
      <c r="B129" s="178"/>
      <c r="C129" s="178"/>
      <c r="D129" s="178"/>
      <c r="E129" s="178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178"/>
      <c r="B130" s="178"/>
      <c r="C130" s="178"/>
      <c r="D130" s="178"/>
      <c r="E130" s="178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178"/>
      <c r="B131" s="178"/>
      <c r="C131" s="178"/>
      <c r="D131" s="178"/>
      <c r="E131" s="178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178"/>
      <c r="B132" s="178"/>
      <c r="C132" s="178"/>
      <c r="D132" s="178"/>
      <c r="E132" s="178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178"/>
      <c r="B133" s="178"/>
      <c r="C133" s="178"/>
      <c r="D133" s="178"/>
      <c r="E133" s="178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178"/>
      <c r="B134" s="178"/>
      <c r="C134" s="178"/>
      <c r="D134" s="178"/>
      <c r="E134" s="178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178"/>
      <c r="B135" s="178"/>
      <c r="C135" s="178"/>
      <c r="D135" s="178"/>
      <c r="E135" s="178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178"/>
      <c r="B136" s="178"/>
      <c r="C136" s="178"/>
      <c r="D136" s="178"/>
      <c r="E136" s="178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178"/>
      <c r="B137" s="178"/>
      <c r="C137" s="178"/>
      <c r="D137" s="178"/>
      <c r="E137" s="178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178"/>
      <c r="B138" s="178"/>
      <c r="C138" s="178"/>
      <c r="D138" s="178"/>
      <c r="E138" s="178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178"/>
      <c r="B139" s="178"/>
      <c r="C139" s="178"/>
      <c r="D139" s="178"/>
      <c r="E139" s="178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178"/>
      <c r="B140" s="178"/>
      <c r="C140" s="178"/>
      <c r="D140" s="178"/>
      <c r="E140" s="178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178"/>
      <c r="B141" s="178"/>
      <c r="C141" s="178"/>
      <c r="D141" s="178"/>
      <c r="E141" s="178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178"/>
      <c r="B142" s="178"/>
      <c r="C142" s="178"/>
      <c r="D142" s="178"/>
      <c r="E142" s="178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178"/>
      <c r="B143" s="178"/>
      <c r="C143" s="178"/>
      <c r="D143" s="178"/>
      <c r="E143" s="178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178"/>
      <c r="B144" s="178"/>
      <c r="C144" s="178"/>
      <c r="D144" s="178"/>
      <c r="E144" s="178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178"/>
      <c r="B145" s="178"/>
      <c r="C145" s="178"/>
      <c r="D145" s="178"/>
      <c r="E145" s="178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178"/>
      <c r="B146" s="178"/>
      <c r="C146" s="178"/>
      <c r="D146" s="178"/>
      <c r="E146" s="178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178"/>
      <c r="B147" s="178"/>
      <c r="C147" s="178"/>
      <c r="D147" s="178"/>
      <c r="E147" s="178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178"/>
      <c r="B148" s="178"/>
      <c r="C148" s="178"/>
      <c r="D148" s="178"/>
      <c r="E148" s="178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178"/>
      <c r="B149" s="178"/>
      <c r="C149" s="178"/>
      <c r="D149" s="178"/>
      <c r="E149" s="178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178"/>
      <c r="B150" s="178"/>
      <c r="C150" s="178"/>
      <c r="D150" s="178"/>
      <c r="E150" s="178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178"/>
      <c r="B151" s="178"/>
      <c r="C151" s="178"/>
      <c r="D151" s="178"/>
      <c r="E151" s="178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178"/>
      <c r="B152" s="178"/>
      <c r="C152" s="178"/>
      <c r="D152" s="178"/>
      <c r="E152" s="178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178"/>
      <c r="B153" s="178"/>
      <c r="C153" s="178"/>
      <c r="D153" s="178"/>
      <c r="E153" s="178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178"/>
      <c r="B154" s="178"/>
      <c r="C154" s="178"/>
      <c r="D154" s="178"/>
      <c r="E154" s="178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178"/>
      <c r="B155" s="178"/>
      <c r="C155" s="178"/>
      <c r="D155" s="178"/>
      <c r="E155" s="178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178"/>
      <c r="B156" s="178"/>
      <c r="C156" s="178"/>
      <c r="D156" s="178"/>
      <c r="E156" s="178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178"/>
      <c r="B157" s="178"/>
      <c r="C157" s="178"/>
      <c r="D157" s="178"/>
      <c r="E157" s="178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178"/>
      <c r="B158" s="178"/>
      <c r="C158" s="178"/>
      <c r="D158" s="178"/>
      <c r="E158" s="178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178"/>
      <c r="B159" s="178"/>
      <c r="C159" s="178"/>
      <c r="D159" s="178"/>
      <c r="E159" s="178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178"/>
      <c r="B160" s="178"/>
      <c r="C160" s="178"/>
      <c r="D160" s="178"/>
      <c r="E160" s="178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178"/>
      <c r="B161" s="178"/>
      <c r="C161" s="178"/>
      <c r="D161" s="178"/>
      <c r="E161" s="178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178"/>
      <c r="B162" s="178"/>
      <c r="C162" s="178"/>
      <c r="D162" s="178"/>
      <c r="E162" s="178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178"/>
      <c r="B163" s="178"/>
      <c r="C163" s="178"/>
      <c r="D163" s="178"/>
      <c r="E163" s="178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178"/>
      <c r="B164" s="178"/>
      <c r="C164" s="178"/>
      <c r="D164" s="178"/>
      <c r="E164" s="178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178"/>
      <c r="B165" s="178"/>
      <c r="C165" s="178"/>
      <c r="D165" s="178"/>
      <c r="E165" s="178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178"/>
      <c r="B166" s="178"/>
      <c r="C166" s="178"/>
      <c r="D166" s="178"/>
      <c r="E166" s="178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178"/>
      <c r="B167" s="178"/>
      <c r="C167" s="178"/>
      <c r="D167" s="178"/>
      <c r="E167" s="178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178"/>
      <c r="B168" s="178"/>
      <c r="C168" s="178"/>
      <c r="D168" s="178"/>
      <c r="E168" s="178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178"/>
      <c r="B169" s="178"/>
      <c r="C169" s="178"/>
      <c r="D169" s="178"/>
      <c r="E169" s="178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178"/>
      <c r="B170" s="178"/>
      <c r="C170" s="178"/>
      <c r="D170" s="178"/>
      <c r="E170" s="178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178"/>
      <c r="B171" s="178"/>
      <c r="C171" s="178"/>
      <c r="D171" s="178"/>
      <c r="E171" s="178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178"/>
      <c r="B172" s="178"/>
      <c r="C172" s="178"/>
      <c r="D172" s="178"/>
      <c r="E172" s="178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178"/>
      <c r="B173" s="178"/>
      <c r="C173" s="178"/>
      <c r="D173" s="178"/>
      <c r="E173" s="178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178"/>
      <c r="B174" s="178"/>
      <c r="C174" s="178"/>
      <c r="D174" s="178"/>
      <c r="E174" s="178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178"/>
      <c r="B175" s="178"/>
      <c r="C175" s="178"/>
      <c r="D175" s="178"/>
      <c r="E175" s="178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178"/>
      <c r="B176" s="178"/>
      <c r="C176" s="178"/>
      <c r="D176" s="178"/>
      <c r="E176" s="178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178"/>
      <c r="B177" s="178"/>
      <c r="C177" s="178"/>
      <c r="D177" s="178"/>
      <c r="E177" s="178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178"/>
      <c r="B178" s="178"/>
      <c r="C178" s="178"/>
      <c r="D178" s="178"/>
      <c r="E178" s="178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178"/>
      <c r="B179" s="178"/>
      <c r="C179" s="178"/>
      <c r="D179" s="178"/>
      <c r="E179" s="178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178"/>
      <c r="B180" s="178"/>
      <c r="C180" s="178"/>
      <c r="D180" s="178"/>
      <c r="E180" s="178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178"/>
      <c r="B181" s="178"/>
      <c r="C181" s="178"/>
      <c r="D181" s="178"/>
      <c r="E181" s="178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178"/>
      <c r="B182" s="178"/>
      <c r="C182" s="178"/>
      <c r="D182" s="178"/>
      <c r="E182" s="178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178"/>
      <c r="B183" s="178"/>
      <c r="C183" s="178"/>
      <c r="D183" s="178"/>
      <c r="E183" s="178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178"/>
      <c r="B184" s="178"/>
      <c r="C184" s="178"/>
      <c r="D184" s="178"/>
      <c r="E184" s="178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178"/>
      <c r="B185" s="178"/>
      <c r="C185" s="178"/>
      <c r="D185" s="178"/>
      <c r="E185" s="178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178"/>
      <c r="B186" s="178"/>
      <c r="C186" s="178"/>
      <c r="D186" s="178"/>
      <c r="E186" s="178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178"/>
      <c r="B187" s="178"/>
      <c r="C187" s="178"/>
      <c r="D187" s="178"/>
      <c r="E187" s="178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178"/>
      <c r="B188" s="178"/>
      <c r="C188" s="178"/>
      <c r="D188" s="178"/>
      <c r="E188" s="178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178"/>
      <c r="B189" s="178"/>
      <c r="C189" s="178"/>
      <c r="D189" s="178"/>
      <c r="E189" s="178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178"/>
      <c r="B190" s="178"/>
      <c r="C190" s="178"/>
      <c r="D190" s="178"/>
      <c r="E190" s="178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178"/>
      <c r="B191" s="178"/>
      <c r="C191" s="178"/>
      <c r="D191" s="178"/>
      <c r="E191" s="178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178"/>
      <c r="B192" s="178"/>
      <c r="C192" s="178"/>
      <c r="D192" s="178"/>
      <c r="E192" s="178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178"/>
      <c r="B193" s="178"/>
      <c r="C193" s="178"/>
      <c r="D193" s="178"/>
      <c r="E193" s="178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178"/>
      <c r="B194" s="178"/>
      <c r="C194" s="178"/>
      <c r="D194" s="178"/>
      <c r="E194" s="178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178"/>
      <c r="B195" s="178"/>
      <c r="C195" s="178"/>
      <c r="D195" s="178"/>
      <c r="E195" s="178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178"/>
      <c r="B196" s="178"/>
      <c r="C196" s="178"/>
      <c r="D196" s="178"/>
      <c r="E196" s="178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178"/>
      <c r="B197" s="178"/>
      <c r="C197" s="178"/>
      <c r="D197" s="178"/>
      <c r="E197" s="178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178"/>
      <c r="B198" s="178"/>
      <c r="C198" s="178"/>
      <c r="D198" s="178"/>
      <c r="E198" s="178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178"/>
      <c r="B199" s="178"/>
      <c r="C199" s="178"/>
      <c r="D199" s="178"/>
      <c r="E199" s="178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178"/>
      <c r="B200" s="178"/>
      <c r="C200" s="178"/>
      <c r="D200" s="178"/>
      <c r="E200" s="178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178"/>
      <c r="B201" s="178"/>
      <c r="C201" s="178"/>
      <c r="D201" s="178"/>
      <c r="E201" s="178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178"/>
      <c r="B202" s="178"/>
      <c r="C202" s="178"/>
      <c r="D202" s="178"/>
      <c r="E202" s="178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178"/>
      <c r="B203" s="178"/>
      <c r="C203" s="178"/>
      <c r="D203" s="178"/>
      <c r="E203" s="178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178"/>
      <c r="B204" s="178"/>
      <c r="C204" s="178"/>
      <c r="D204" s="178"/>
      <c r="E204" s="178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178"/>
      <c r="B205" s="178"/>
      <c r="C205" s="178"/>
      <c r="D205" s="178"/>
      <c r="E205" s="178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178"/>
      <c r="B206" s="178"/>
      <c r="C206" s="178"/>
      <c r="D206" s="178"/>
      <c r="E206" s="178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178"/>
      <c r="B207" s="178"/>
      <c r="C207" s="178"/>
      <c r="D207" s="178"/>
      <c r="E207" s="178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178"/>
      <c r="B208" s="178"/>
      <c r="C208" s="178"/>
      <c r="D208" s="178"/>
      <c r="E208" s="178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178"/>
      <c r="B209" s="178"/>
      <c r="C209" s="178"/>
      <c r="D209" s="178"/>
      <c r="E209" s="178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178"/>
      <c r="B210" s="178"/>
      <c r="C210" s="178"/>
      <c r="D210" s="178"/>
      <c r="E210" s="178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178"/>
      <c r="B211" s="178"/>
      <c r="C211" s="178"/>
      <c r="D211" s="178"/>
      <c r="E211" s="178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178"/>
      <c r="B212" s="178"/>
      <c r="C212" s="178"/>
      <c r="D212" s="178"/>
      <c r="E212" s="178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178"/>
      <c r="B213" s="178"/>
      <c r="C213" s="178"/>
      <c r="D213" s="178"/>
      <c r="E213" s="178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178"/>
      <c r="B214" s="178"/>
      <c r="C214" s="178"/>
      <c r="D214" s="178"/>
      <c r="E214" s="178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178"/>
      <c r="B215" s="178"/>
      <c r="C215" s="178"/>
      <c r="D215" s="178"/>
      <c r="E215" s="178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178"/>
      <c r="B216" s="178"/>
      <c r="C216" s="178"/>
      <c r="D216" s="178"/>
      <c r="E216" s="178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178"/>
      <c r="B217" s="178"/>
      <c r="C217" s="178"/>
      <c r="D217" s="178"/>
      <c r="E217" s="178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178"/>
      <c r="B218" s="178"/>
      <c r="C218" s="178"/>
      <c r="D218" s="178"/>
      <c r="E218" s="178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178"/>
      <c r="B219" s="178"/>
      <c r="C219" s="178"/>
      <c r="D219" s="178"/>
      <c r="E219" s="178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178"/>
      <c r="B220" s="178"/>
      <c r="C220" s="178"/>
      <c r="D220" s="178"/>
      <c r="E220" s="178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178"/>
      <c r="B221" s="178"/>
      <c r="C221" s="178"/>
      <c r="D221" s="178"/>
      <c r="E221" s="178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178"/>
      <c r="B222" s="178"/>
      <c r="C222" s="178"/>
      <c r="D222" s="178"/>
      <c r="E222" s="178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178"/>
      <c r="B223" s="178"/>
      <c r="C223" s="178"/>
      <c r="D223" s="178"/>
      <c r="E223" s="178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178"/>
      <c r="B224" s="178"/>
      <c r="C224" s="178"/>
      <c r="D224" s="178"/>
      <c r="E224" s="178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178"/>
      <c r="B225" s="178"/>
      <c r="C225" s="178"/>
      <c r="D225" s="178"/>
      <c r="E225" s="178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178"/>
      <c r="B226" s="178"/>
      <c r="C226" s="178"/>
      <c r="D226" s="178"/>
      <c r="E226" s="178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178"/>
      <c r="B227" s="178"/>
      <c r="C227" s="178"/>
      <c r="D227" s="178"/>
      <c r="E227" s="178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178"/>
      <c r="B228" s="178"/>
      <c r="C228" s="178"/>
      <c r="D228" s="178"/>
      <c r="E228" s="178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178"/>
      <c r="B229" s="178"/>
      <c r="C229" s="178"/>
      <c r="D229" s="178"/>
      <c r="E229" s="178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178"/>
      <c r="B230" s="178"/>
      <c r="C230" s="178"/>
      <c r="D230" s="178"/>
      <c r="E230" s="178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178"/>
      <c r="B231" s="178"/>
      <c r="C231" s="178"/>
      <c r="D231" s="178"/>
      <c r="E231" s="178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178"/>
      <c r="B232" s="178"/>
      <c r="C232" s="178"/>
      <c r="D232" s="178"/>
      <c r="E232" s="178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178"/>
      <c r="B233" s="178"/>
      <c r="C233" s="178"/>
      <c r="D233" s="178"/>
      <c r="E233" s="178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178"/>
      <c r="B234" s="178"/>
      <c r="C234" s="178"/>
      <c r="D234" s="178"/>
      <c r="E234" s="178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178"/>
      <c r="B235" s="178"/>
      <c r="C235" s="178"/>
      <c r="D235" s="178"/>
      <c r="E235" s="178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178"/>
      <c r="B236" s="178"/>
      <c r="C236" s="178"/>
      <c r="D236" s="178"/>
      <c r="E236" s="178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178"/>
      <c r="B237" s="178"/>
      <c r="C237" s="178"/>
      <c r="D237" s="178"/>
      <c r="E237" s="178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178"/>
      <c r="B238" s="178"/>
      <c r="C238" s="178"/>
      <c r="D238" s="178"/>
      <c r="E238" s="178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178"/>
      <c r="B239" s="178"/>
      <c r="C239" s="178"/>
      <c r="D239" s="178"/>
      <c r="E239" s="178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178"/>
      <c r="B240" s="178"/>
      <c r="C240" s="178"/>
      <c r="D240" s="178"/>
      <c r="E240" s="178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178"/>
      <c r="B241" s="178"/>
      <c r="C241" s="178"/>
      <c r="D241" s="178"/>
      <c r="E241" s="178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178"/>
      <c r="B242" s="178"/>
      <c r="C242" s="178"/>
      <c r="D242" s="178"/>
      <c r="E242" s="178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178"/>
      <c r="B243" s="178"/>
      <c r="C243" s="178"/>
      <c r="D243" s="178"/>
      <c r="E243" s="178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178"/>
      <c r="B244" s="178"/>
      <c r="C244" s="178"/>
      <c r="D244" s="178"/>
      <c r="E244" s="178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178"/>
      <c r="B245" s="178"/>
      <c r="C245" s="178"/>
      <c r="D245" s="178"/>
      <c r="E245" s="178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178"/>
      <c r="B246" s="178"/>
      <c r="C246" s="178"/>
      <c r="D246" s="178"/>
      <c r="E246" s="178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178"/>
      <c r="B247" s="178"/>
      <c r="C247" s="178"/>
      <c r="D247" s="178"/>
      <c r="E247" s="178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178"/>
      <c r="B248" s="178"/>
      <c r="C248" s="178"/>
      <c r="D248" s="178"/>
      <c r="E248" s="178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178"/>
      <c r="B249" s="178"/>
      <c r="C249" s="178"/>
      <c r="D249" s="178"/>
      <c r="E249" s="178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178"/>
      <c r="B250" s="178"/>
      <c r="C250" s="178"/>
      <c r="D250" s="178"/>
      <c r="E250" s="178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178"/>
      <c r="B251" s="178"/>
      <c r="C251" s="178"/>
      <c r="D251" s="178"/>
      <c r="E251" s="178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178"/>
      <c r="B252" s="178"/>
      <c r="C252" s="178"/>
      <c r="D252" s="178"/>
      <c r="E252" s="178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178"/>
      <c r="B253" s="178"/>
      <c r="C253" s="178"/>
      <c r="D253" s="178"/>
      <c r="E253" s="178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178"/>
      <c r="B254" s="178"/>
      <c r="C254" s="178"/>
      <c r="D254" s="178"/>
      <c r="E254" s="178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178"/>
      <c r="B255" s="178"/>
      <c r="C255" s="178"/>
      <c r="D255" s="178"/>
      <c r="E255" s="178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178"/>
      <c r="B256" s="178"/>
      <c r="C256" s="178"/>
      <c r="D256" s="178"/>
      <c r="E256" s="178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178"/>
      <c r="B257" s="178"/>
      <c r="C257" s="178"/>
      <c r="D257" s="178"/>
      <c r="E257" s="178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178"/>
      <c r="B258" s="178"/>
      <c r="C258" s="178"/>
      <c r="D258" s="178"/>
      <c r="E258" s="178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178"/>
      <c r="B259" s="178"/>
      <c r="C259" s="178"/>
      <c r="D259" s="178"/>
      <c r="E259" s="178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178"/>
      <c r="B260" s="178"/>
      <c r="C260" s="178"/>
      <c r="D260" s="178"/>
      <c r="E260" s="178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178"/>
      <c r="B261" s="178"/>
      <c r="C261" s="178"/>
      <c r="D261" s="178"/>
      <c r="E261" s="178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178"/>
      <c r="B262" s="178"/>
      <c r="C262" s="178"/>
      <c r="D262" s="178"/>
      <c r="E262" s="178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178"/>
      <c r="B263" s="178"/>
      <c r="C263" s="178"/>
      <c r="D263" s="178"/>
      <c r="E263" s="178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178"/>
      <c r="B264" s="178"/>
      <c r="C264" s="178"/>
      <c r="D264" s="178"/>
      <c r="E264" s="178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178"/>
      <c r="B265" s="178"/>
      <c r="C265" s="178"/>
      <c r="D265" s="178"/>
      <c r="E265" s="178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178"/>
      <c r="B266" s="178"/>
      <c r="C266" s="178"/>
      <c r="D266" s="178"/>
      <c r="E266" s="178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178"/>
      <c r="B267" s="178"/>
      <c r="C267" s="178"/>
      <c r="D267" s="178"/>
      <c r="E267" s="178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178"/>
      <c r="B268" s="178"/>
      <c r="C268" s="178"/>
      <c r="D268" s="178"/>
      <c r="E268" s="178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178"/>
      <c r="B269" s="178"/>
      <c r="C269" s="178"/>
      <c r="D269" s="178"/>
      <c r="E269" s="178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178"/>
      <c r="B270" s="178"/>
      <c r="C270" s="178"/>
      <c r="D270" s="178"/>
      <c r="E270" s="178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178"/>
      <c r="B271" s="178"/>
      <c r="C271" s="178"/>
      <c r="D271" s="178"/>
      <c r="E271" s="178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178"/>
      <c r="B272" s="178"/>
      <c r="C272" s="178"/>
      <c r="D272" s="178"/>
      <c r="E272" s="178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178"/>
      <c r="B273" s="178"/>
      <c r="C273" s="178"/>
      <c r="D273" s="178"/>
      <c r="E273" s="178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178"/>
      <c r="B274" s="178"/>
      <c r="C274" s="178"/>
      <c r="D274" s="178"/>
      <c r="E274" s="178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178"/>
      <c r="B275" s="178"/>
      <c r="C275" s="178"/>
      <c r="D275" s="178"/>
      <c r="E275" s="178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178"/>
      <c r="B276" s="178"/>
      <c r="C276" s="178"/>
      <c r="D276" s="178"/>
      <c r="E276" s="178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178"/>
      <c r="B277" s="178"/>
      <c r="C277" s="178"/>
      <c r="D277" s="178"/>
      <c r="E277" s="178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178"/>
      <c r="B278" s="178"/>
      <c r="C278" s="178"/>
      <c r="D278" s="178"/>
      <c r="E278" s="178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178"/>
      <c r="B279" s="178"/>
      <c r="C279" s="178"/>
      <c r="D279" s="178"/>
      <c r="E279" s="178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178"/>
      <c r="B280" s="178"/>
      <c r="C280" s="178"/>
      <c r="D280" s="178"/>
      <c r="E280" s="178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178"/>
      <c r="B281" s="178"/>
      <c r="C281" s="178"/>
      <c r="D281" s="178"/>
      <c r="E281" s="178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178"/>
      <c r="B282" s="178"/>
      <c r="C282" s="178"/>
      <c r="D282" s="178"/>
      <c r="E282" s="178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178"/>
      <c r="B283" s="178"/>
      <c r="C283" s="178"/>
      <c r="D283" s="178"/>
      <c r="E283" s="178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178"/>
      <c r="B284" s="178"/>
      <c r="C284" s="178"/>
      <c r="D284" s="178"/>
      <c r="E284" s="178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178"/>
      <c r="B285" s="178"/>
      <c r="C285" s="178"/>
      <c r="D285" s="178"/>
      <c r="E285" s="178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178"/>
      <c r="B286" s="178"/>
      <c r="C286" s="178"/>
      <c r="D286" s="178"/>
      <c r="E286" s="178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178"/>
      <c r="B287" s="178"/>
      <c r="C287" s="178"/>
      <c r="D287" s="178"/>
      <c r="E287" s="178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178"/>
      <c r="B288" s="178"/>
      <c r="C288" s="178"/>
      <c r="D288" s="178"/>
      <c r="E288" s="178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178"/>
      <c r="B289" s="178"/>
      <c r="C289" s="178"/>
      <c r="D289" s="178"/>
      <c r="E289" s="178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178"/>
      <c r="B290" s="178"/>
      <c r="C290" s="178"/>
      <c r="D290" s="178"/>
      <c r="E290" s="178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178"/>
      <c r="B291" s="178"/>
      <c r="C291" s="178"/>
      <c r="D291" s="178"/>
      <c r="E291" s="178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178"/>
      <c r="B292" s="178"/>
      <c r="C292" s="178"/>
      <c r="D292" s="178"/>
      <c r="E292" s="178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178"/>
      <c r="B293" s="178"/>
      <c r="C293" s="178"/>
      <c r="D293" s="178"/>
      <c r="E293" s="178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178"/>
      <c r="B294" s="178"/>
      <c r="C294" s="178"/>
      <c r="D294" s="178"/>
      <c r="E294" s="178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178"/>
      <c r="B295" s="178"/>
      <c r="C295" s="178"/>
      <c r="D295" s="178"/>
      <c r="E295" s="178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178"/>
      <c r="B296" s="178"/>
      <c r="C296" s="178"/>
      <c r="D296" s="178"/>
      <c r="E296" s="178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178"/>
      <c r="B297" s="178"/>
      <c r="C297" s="178"/>
      <c r="D297" s="178"/>
      <c r="E297" s="178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178"/>
      <c r="B298" s="178"/>
      <c r="C298" s="178"/>
      <c r="D298" s="178"/>
      <c r="E298" s="178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178"/>
      <c r="B299" s="178"/>
      <c r="C299" s="178"/>
      <c r="D299" s="178"/>
      <c r="E299" s="178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178"/>
      <c r="B300" s="178"/>
      <c r="C300" s="178"/>
      <c r="D300" s="178"/>
      <c r="E300" s="178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178"/>
      <c r="B301" s="178"/>
      <c r="C301" s="178"/>
      <c r="D301" s="178"/>
      <c r="E301" s="178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178"/>
      <c r="B302" s="178"/>
      <c r="C302" s="178"/>
      <c r="D302" s="178"/>
      <c r="E302" s="178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178"/>
      <c r="B303" s="178"/>
      <c r="C303" s="178"/>
      <c r="D303" s="178"/>
      <c r="E303" s="178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178"/>
      <c r="B304" s="178"/>
      <c r="C304" s="178"/>
      <c r="D304" s="178"/>
      <c r="E304" s="178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178"/>
      <c r="B305" s="178"/>
      <c r="C305" s="178"/>
      <c r="D305" s="178"/>
      <c r="E305" s="178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178"/>
      <c r="B306" s="178"/>
      <c r="C306" s="178"/>
      <c r="D306" s="178"/>
      <c r="E306" s="178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178"/>
      <c r="B307" s="178"/>
      <c r="C307" s="178"/>
      <c r="D307" s="178"/>
      <c r="E307" s="178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178"/>
      <c r="B308" s="178"/>
      <c r="C308" s="178"/>
      <c r="D308" s="178"/>
      <c r="E308" s="178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178"/>
      <c r="B309" s="178"/>
      <c r="C309" s="178"/>
      <c r="D309" s="178"/>
      <c r="E309" s="178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178"/>
      <c r="B310" s="178"/>
      <c r="C310" s="178"/>
      <c r="D310" s="178"/>
      <c r="E310" s="178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178"/>
      <c r="B311" s="178"/>
      <c r="C311" s="178"/>
      <c r="D311" s="178"/>
      <c r="E311" s="178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178"/>
      <c r="B312" s="178"/>
      <c r="C312" s="178"/>
      <c r="D312" s="178"/>
      <c r="E312" s="178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178"/>
      <c r="B313" s="178"/>
      <c r="C313" s="178"/>
      <c r="D313" s="178"/>
      <c r="E313" s="178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178"/>
      <c r="B314" s="178"/>
      <c r="C314" s="178"/>
      <c r="D314" s="178"/>
      <c r="E314" s="178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178"/>
      <c r="B315" s="178"/>
      <c r="C315" s="178"/>
      <c r="D315" s="178"/>
      <c r="E315" s="178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178"/>
      <c r="B316" s="178"/>
      <c r="C316" s="178"/>
      <c r="D316" s="178"/>
      <c r="E316" s="178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178"/>
      <c r="B317" s="178"/>
      <c r="C317" s="178"/>
      <c r="D317" s="178"/>
      <c r="E317" s="178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178"/>
      <c r="B318" s="178"/>
      <c r="C318" s="178"/>
      <c r="D318" s="178"/>
      <c r="E318" s="178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178"/>
      <c r="B319" s="178"/>
      <c r="C319" s="178"/>
      <c r="D319" s="178"/>
      <c r="E319" s="178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178"/>
      <c r="B320" s="178"/>
      <c r="C320" s="178"/>
      <c r="D320" s="178"/>
      <c r="E320" s="178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178"/>
      <c r="B321" s="178"/>
      <c r="C321" s="178"/>
      <c r="D321" s="178"/>
      <c r="E321" s="178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178"/>
      <c r="B322" s="178"/>
      <c r="C322" s="178"/>
      <c r="D322" s="178"/>
      <c r="E322" s="178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178"/>
      <c r="B323" s="178"/>
      <c r="C323" s="178"/>
      <c r="D323" s="178"/>
      <c r="E323" s="178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178"/>
      <c r="B324" s="178"/>
      <c r="C324" s="178"/>
      <c r="D324" s="178"/>
      <c r="E324" s="178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178"/>
      <c r="B325" s="178"/>
      <c r="C325" s="178"/>
      <c r="D325" s="178"/>
      <c r="E325" s="178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178"/>
      <c r="B326" s="178"/>
      <c r="C326" s="178"/>
      <c r="D326" s="178"/>
      <c r="E326" s="178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178"/>
      <c r="B327" s="178"/>
      <c r="C327" s="178"/>
      <c r="D327" s="178"/>
      <c r="E327" s="178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178"/>
      <c r="B328" s="178"/>
      <c r="C328" s="178"/>
      <c r="D328" s="178"/>
      <c r="E328" s="178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178"/>
      <c r="B329" s="178"/>
      <c r="C329" s="178"/>
      <c r="D329" s="178"/>
      <c r="E329" s="178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178"/>
      <c r="B330" s="178"/>
      <c r="C330" s="178"/>
      <c r="D330" s="178"/>
      <c r="E330" s="178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178"/>
      <c r="B331" s="178"/>
      <c r="C331" s="178"/>
      <c r="D331" s="178"/>
      <c r="E331" s="178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178"/>
      <c r="B332" s="178"/>
      <c r="C332" s="178"/>
      <c r="D332" s="178"/>
      <c r="E332" s="178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178"/>
      <c r="B333" s="178"/>
      <c r="C333" s="178"/>
      <c r="D333" s="178"/>
      <c r="E333" s="178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178"/>
      <c r="B334" s="178"/>
      <c r="C334" s="178"/>
      <c r="D334" s="178"/>
      <c r="E334" s="178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178"/>
      <c r="B335" s="178"/>
      <c r="C335" s="178"/>
      <c r="D335" s="178"/>
      <c r="E335" s="178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178"/>
      <c r="B336" s="178"/>
      <c r="C336" s="178"/>
      <c r="D336" s="178"/>
      <c r="E336" s="178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178"/>
      <c r="B337" s="178"/>
      <c r="C337" s="178"/>
      <c r="D337" s="178"/>
      <c r="E337" s="178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178"/>
      <c r="B338" s="178"/>
      <c r="C338" s="178"/>
      <c r="D338" s="178"/>
      <c r="E338" s="178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178"/>
      <c r="B339" s="178"/>
      <c r="C339" s="178"/>
      <c r="D339" s="178"/>
      <c r="E339" s="178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178"/>
      <c r="B340" s="178"/>
      <c r="C340" s="178"/>
      <c r="D340" s="178"/>
      <c r="E340" s="178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178"/>
      <c r="B341" s="178"/>
      <c r="C341" s="178"/>
      <c r="D341" s="178"/>
      <c r="E341" s="178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178"/>
      <c r="B342" s="178"/>
      <c r="C342" s="178"/>
      <c r="D342" s="178"/>
      <c r="E342" s="178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178"/>
      <c r="B343" s="178"/>
      <c r="C343" s="178"/>
      <c r="D343" s="178"/>
      <c r="E343" s="178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178"/>
      <c r="B344" s="178"/>
      <c r="C344" s="178"/>
      <c r="D344" s="178"/>
      <c r="E344" s="178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178"/>
      <c r="B345" s="178"/>
      <c r="C345" s="178"/>
      <c r="D345" s="178"/>
      <c r="E345" s="178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178"/>
      <c r="B346" s="178"/>
      <c r="C346" s="178"/>
      <c r="D346" s="178"/>
      <c r="E346" s="178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178"/>
      <c r="B347" s="178"/>
      <c r="C347" s="178"/>
      <c r="D347" s="178"/>
      <c r="E347" s="178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178"/>
      <c r="B348" s="178"/>
      <c r="C348" s="178"/>
      <c r="D348" s="178"/>
      <c r="E348" s="178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178"/>
      <c r="B349" s="178"/>
      <c r="C349" s="178"/>
      <c r="D349" s="178"/>
      <c r="E349" s="178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178"/>
      <c r="B350" s="178"/>
      <c r="C350" s="178"/>
      <c r="D350" s="178"/>
      <c r="E350" s="178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178"/>
      <c r="B351" s="178"/>
      <c r="C351" s="178"/>
      <c r="D351" s="178"/>
      <c r="E351" s="178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178"/>
      <c r="B352" s="178"/>
      <c r="C352" s="178"/>
      <c r="D352" s="178"/>
      <c r="E352" s="178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178"/>
      <c r="B353" s="178"/>
      <c r="C353" s="178"/>
      <c r="D353" s="178"/>
      <c r="E353" s="178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178"/>
      <c r="B354" s="178"/>
      <c r="C354" s="178"/>
      <c r="D354" s="178"/>
      <c r="E354" s="178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178"/>
      <c r="B355" s="178"/>
      <c r="C355" s="178"/>
      <c r="D355" s="178"/>
      <c r="E355" s="178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178"/>
      <c r="B356" s="178"/>
      <c r="C356" s="178"/>
      <c r="D356" s="178"/>
      <c r="E356" s="178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178"/>
      <c r="B357" s="178"/>
      <c r="C357" s="178"/>
      <c r="D357" s="178"/>
      <c r="E357" s="178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178"/>
      <c r="B358" s="178"/>
      <c r="C358" s="178"/>
      <c r="D358" s="178"/>
      <c r="E358" s="178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178"/>
      <c r="B359" s="178"/>
      <c r="C359" s="178"/>
      <c r="D359" s="178"/>
      <c r="E359" s="178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178"/>
      <c r="B360" s="178"/>
      <c r="C360" s="178"/>
      <c r="D360" s="178"/>
      <c r="E360" s="178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178"/>
      <c r="B361" s="178"/>
      <c r="C361" s="178"/>
      <c r="D361" s="178"/>
      <c r="E361" s="178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178"/>
      <c r="B362" s="178"/>
      <c r="C362" s="178"/>
      <c r="D362" s="178"/>
      <c r="E362" s="178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178"/>
      <c r="B363" s="178"/>
      <c r="C363" s="178"/>
      <c r="D363" s="178"/>
      <c r="E363" s="178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178"/>
      <c r="B364" s="178"/>
      <c r="C364" s="178"/>
      <c r="D364" s="178"/>
      <c r="E364" s="178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178"/>
      <c r="B365" s="178"/>
      <c r="C365" s="178"/>
      <c r="D365" s="178"/>
      <c r="E365" s="178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178"/>
      <c r="B366" s="178"/>
      <c r="C366" s="178"/>
      <c r="D366" s="178"/>
      <c r="E366" s="178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178"/>
      <c r="B367" s="178"/>
      <c r="C367" s="178"/>
      <c r="D367" s="178"/>
      <c r="E367" s="178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178"/>
      <c r="B368" s="178"/>
      <c r="C368" s="178"/>
      <c r="D368" s="178"/>
      <c r="E368" s="178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178"/>
      <c r="B369" s="178"/>
      <c r="C369" s="178"/>
      <c r="D369" s="178"/>
      <c r="E369" s="178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178"/>
      <c r="B370" s="178"/>
      <c r="C370" s="178"/>
      <c r="D370" s="178"/>
      <c r="E370" s="178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178"/>
      <c r="B371" s="178"/>
      <c r="C371" s="178"/>
      <c r="D371" s="178"/>
      <c r="E371" s="178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178"/>
      <c r="B372" s="178"/>
      <c r="C372" s="178"/>
      <c r="D372" s="178"/>
      <c r="E372" s="178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178"/>
      <c r="B373" s="178"/>
      <c r="C373" s="178"/>
      <c r="D373" s="178"/>
      <c r="E373" s="178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178"/>
      <c r="B374" s="178"/>
      <c r="C374" s="178"/>
      <c r="D374" s="178"/>
      <c r="E374" s="178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178"/>
      <c r="B375" s="178"/>
      <c r="C375" s="178"/>
      <c r="D375" s="178"/>
      <c r="E375" s="178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178"/>
      <c r="B376" s="178"/>
      <c r="C376" s="178"/>
      <c r="D376" s="178"/>
      <c r="E376" s="178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178"/>
      <c r="B377" s="178"/>
      <c r="C377" s="178"/>
      <c r="D377" s="178"/>
      <c r="E377" s="178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178"/>
      <c r="B378" s="178"/>
      <c r="C378" s="178"/>
      <c r="D378" s="178"/>
      <c r="E378" s="178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178"/>
      <c r="B379" s="178"/>
      <c r="C379" s="178"/>
      <c r="D379" s="178"/>
      <c r="E379" s="178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178"/>
      <c r="B380" s="178"/>
      <c r="C380" s="178"/>
      <c r="D380" s="178"/>
      <c r="E380" s="178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178"/>
      <c r="B381" s="178"/>
      <c r="C381" s="178"/>
      <c r="D381" s="178"/>
      <c r="E381" s="178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178"/>
      <c r="B382" s="178"/>
      <c r="C382" s="178"/>
      <c r="D382" s="178"/>
      <c r="E382" s="178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178"/>
      <c r="B383" s="178"/>
      <c r="C383" s="178"/>
      <c r="D383" s="178"/>
      <c r="E383" s="178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178"/>
      <c r="B384" s="178"/>
      <c r="C384" s="178"/>
      <c r="D384" s="178"/>
      <c r="E384" s="178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178"/>
      <c r="B385" s="178"/>
      <c r="C385" s="178"/>
      <c r="D385" s="178"/>
      <c r="E385" s="178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178"/>
      <c r="B386" s="178"/>
      <c r="C386" s="178"/>
      <c r="D386" s="178"/>
      <c r="E386" s="178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178"/>
      <c r="B387" s="178"/>
      <c r="C387" s="178"/>
      <c r="D387" s="178"/>
      <c r="E387" s="178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178"/>
      <c r="B388" s="178"/>
      <c r="C388" s="178"/>
      <c r="D388" s="178"/>
      <c r="E388" s="178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178"/>
      <c r="B389" s="178"/>
      <c r="C389" s="178"/>
      <c r="D389" s="178"/>
      <c r="E389" s="178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178"/>
      <c r="B390" s="178"/>
      <c r="C390" s="178"/>
      <c r="D390" s="178"/>
      <c r="E390" s="178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178"/>
      <c r="B391" s="178"/>
      <c r="C391" s="178"/>
      <c r="D391" s="178"/>
      <c r="E391" s="178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178"/>
      <c r="B392" s="178"/>
      <c r="C392" s="178"/>
      <c r="D392" s="178"/>
      <c r="E392" s="178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178"/>
      <c r="B393" s="178"/>
      <c r="C393" s="178"/>
      <c r="D393" s="178"/>
      <c r="E393" s="178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178"/>
      <c r="B394" s="178"/>
      <c r="C394" s="178"/>
      <c r="D394" s="178"/>
      <c r="E394" s="178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178"/>
      <c r="B395" s="178"/>
      <c r="C395" s="178"/>
      <c r="D395" s="178"/>
      <c r="E395" s="178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178"/>
      <c r="B396" s="178"/>
      <c r="C396" s="178"/>
      <c r="D396" s="178"/>
      <c r="E396" s="178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178"/>
      <c r="B397" s="178"/>
      <c r="C397" s="178"/>
      <c r="D397" s="178"/>
      <c r="E397" s="178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178"/>
      <c r="B398" s="178"/>
      <c r="C398" s="178"/>
      <c r="D398" s="178"/>
      <c r="E398" s="178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178"/>
      <c r="B399" s="178"/>
      <c r="C399" s="178"/>
      <c r="D399" s="178"/>
      <c r="E399" s="178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178"/>
      <c r="B400" s="178"/>
      <c r="C400" s="178"/>
      <c r="D400" s="178"/>
      <c r="E400" s="178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178"/>
      <c r="B401" s="178"/>
      <c r="C401" s="178"/>
      <c r="D401" s="178"/>
      <c r="E401" s="178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178"/>
      <c r="B402" s="178"/>
      <c r="C402" s="178"/>
      <c r="D402" s="178"/>
      <c r="E402" s="178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178"/>
      <c r="B403" s="178"/>
      <c r="C403" s="178"/>
      <c r="D403" s="178"/>
      <c r="E403" s="178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178"/>
      <c r="B404" s="178"/>
      <c r="C404" s="178"/>
      <c r="D404" s="178"/>
      <c r="E404" s="178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178"/>
      <c r="B405" s="178"/>
      <c r="C405" s="178"/>
      <c r="D405" s="178"/>
      <c r="E405" s="178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178"/>
      <c r="B406" s="178"/>
      <c r="C406" s="178"/>
      <c r="D406" s="178"/>
      <c r="E406" s="178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178"/>
      <c r="B407" s="178"/>
      <c r="C407" s="178"/>
      <c r="D407" s="178"/>
      <c r="E407" s="178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178"/>
      <c r="B408" s="178"/>
      <c r="C408" s="178"/>
      <c r="D408" s="178"/>
      <c r="E408" s="178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178"/>
      <c r="B409" s="178"/>
      <c r="C409" s="178"/>
      <c r="D409" s="178"/>
      <c r="E409" s="178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178"/>
      <c r="B410" s="178"/>
      <c r="C410" s="178"/>
      <c r="D410" s="178"/>
      <c r="E410" s="178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178"/>
      <c r="B411" s="178"/>
      <c r="C411" s="178"/>
      <c r="D411" s="178"/>
      <c r="E411" s="178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178"/>
      <c r="B412" s="178"/>
      <c r="C412" s="178"/>
      <c r="D412" s="178"/>
      <c r="E412" s="178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178"/>
      <c r="B413" s="178"/>
      <c r="C413" s="178"/>
      <c r="D413" s="178"/>
      <c r="E413" s="178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178"/>
      <c r="B414" s="178"/>
      <c r="C414" s="178"/>
      <c r="D414" s="178"/>
      <c r="E414" s="178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178"/>
      <c r="B415" s="178"/>
      <c r="C415" s="178"/>
      <c r="D415" s="178"/>
      <c r="E415" s="178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178"/>
      <c r="B416" s="178"/>
      <c r="C416" s="178"/>
      <c r="D416" s="178"/>
      <c r="E416" s="178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178"/>
      <c r="B417" s="178"/>
      <c r="C417" s="178"/>
      <c r="D417" s="178"/>
      <c r="E417" s="178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178"/>
      <c r="B418" s="178"/>
      <c r="C418" s="178"/>
      <c r="D418" s="178"/>
      <c r="E418" s="178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178"/>
      <c r="B419" s="178"/>
      <c r="C419" s="178"/>
      <c r="D419" s="178"/>
      <c r="E419" s="178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178"/>
      <c r="B420" s="178"/>
      <c r="C420" s="178"/>
      <c r="D420" s="178"/>
      <c r="E420" s="178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178"/>
      <c r="B421" s="178"/>
      <c r="C421" s="178"/>
      <c r="D421" s="178"/>
      <c r="E421" s="178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178"/>
      <c r="B422" s="178"/>
      <c r="C422" s="178"/>
      <c r="D422" s="178"/>
      <c r="E422" s="178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178"/>
      <c r="B423" s="178"/>
      <c r="C423" s="178"/>
      <c r="D423" s="178"/>
      <c r="E423" s="178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178"/>
      <c r="B424" s="178"/>
      <c r="C424" s="178"/>
      <c r="D424" s="178"/>
      <c r="E424" s="178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178"/>
      <c r="B425" s="178"/>
      <c r="C425" s="178"/>
      <c r="D425" s="178"/>
      <c r="E425" s="178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178"/>
      <c r="B426" s="178"/>
      <c r="C426" s="178"/>
      <c r="D426" s="178"/>
      <c r="E426" s="178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178"/>
      <c r="B427" s="178"/>
      <c r="C427" s="178"/>
      <c r="D427" s="178"/>
      <c r="E427" s="178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178"/>
      <c r="B428" s="178"/>
      <c r="C428" s="178"/>
      <c r="D428" s="178"/>
      <c r="E428" s="178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178"/>
      <c r="B429" s="178"/>
      <c r="C429" s="178"/>
      <c r="D429" s="178"/>
      <c r="E429" s="178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178"/>
      <c r="B430" s="178"/>
      <c r="C430" s="178"/>
      <c r="D430" s="178"/>
      <c r="E430" s="178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178"/>
      <c r="B431" s="178"/>
      <c r="C431" s="178"/>
      <c r="D431" s="178"/>
      <c r="E431" s="178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178"/>
      <c r="B432" s="178"/>
      <c r="C432" s="178"/>
      <c r="D432" s="178"/>
      <c r="E432" s="178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178"/>
      <c r="B433" s="178"/>
      <c r="C433" s="178"/>
      <c r="D433" s="178"/>
      <c r="E433" s="178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178"/>
      <c r="B434" s="178"/>
      <c r="C434" s="178"/>
      <c r="D434" s="178"/>
      <c r="E434" s="178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178"/>
      <c r="B435" s="178"/>
      <c r="C435" s="178"/>
      <c r="D435" s="178"/>
      <c r="E435" s="178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178"/>
      <c r="B436" s="178"/>
      <c r="C436" s="178"/>
      <c r="D436" s="178"/>
      <c r="E436" s="178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178"/>
      <c r="B437" s="178"/>
      <c r="C437" s="178"/>
      <c r="D437" s="178"/>
      <c r="E437" s="178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178"/>
      <c r="B438" s="178"/>
      <c r="C438" s="178"/>
      <c r="D438" s="178"/>
      <c r="E438" s="178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178"/>
      <c r="B439" s="178"/>
      <c r="C439" s="178"/>
      <c r="D439" s="178"/>
      <c r="E439" s="178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178"/>
      <c r="B440" s="178"/>
      <c r="C440" s="178"/>
      <c r="D440" s="178"/>
      <c r="E440" s="178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178"/>
      <c r="B441" s="178"/>
      <c r="C441" s="178"/>
      <c r="D441" s="178"/>
      <c r="E441" s="178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178"/>
      <c r="B442" s="178"/>
      <c r="C442" s="178"/>
      <c r="D442" s="178"/>
      <c r="E442" s="178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178"/>
      <c r="B443" s="178"/>
      <c r="C443" s="178"/>
      <c r="D443" s="178"/>
      <c r="E443" s="178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178"/>
      <c r="B444" s="178"/>
      <c r="C444" s="178"/>
      <c r="D444" s="178"/>
      <c r="E444" s="178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178"/>
      <c r="B445" s="178"/>
      <c r="C445" s="178"/>
      <c r="D445" s="178"/>
      <c r="E445" s="178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178"/>
      <c r="B446" s="178"/>
      <c r="C446" s="178"/>
      <c r="D446" s="178"/>
      <c r="E446" s="178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178"/>
      <c r="B447" s="178"/>
      <c r="C447" s="178"/>
      <c r="D447" s="178"/>
      <c r="E447" s="178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178"/>
      <c r="B448" s="178"/>
      <c r="C448" s="178"/>
      <c r="D448" s="178"/>
      <c r="E448" s="178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178"/>
      <c r="B449" s="178"/>
      <c r="C449" s="178"/>
      <c r="D449" s="178"/>
      <c r="E449" s="178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178"/>
      <c r="B450" s="178"/>
      <c r="C450" s="178"/>
      <c r="D450" s="178"/>
      <c r="E450" s="178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178"/>
      <c r="B451" s="178"/>
      <c r="C451" s="178"/>
      <c r="D451" s="178"/>
      <c r="E451" s="178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178"/>
      <c r="B452" s="178"/>
      <c r="C452" s="178"/>
      <c r="D452" s="178"/>
      <c r="E452" s="178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178"/>
      <c r="B453" s="178"/>
      <c r="C453" s="178"/>
      <c r="D453" s="178"/>
      <c r="E453" s="178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178"/>
      <c r="B454" s="178"/>
      <c r="C454" s="178"/>
      <c r="D454" s="178"/>
      <c r="E454" s="178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178"/>
      <c r="B455" s="178"/>
      <c r="C455" s="178"/>
      <c r="D455" s="178"/>
      <c r="E455" s="178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178"/>
      <c r="B456" s="178"/>
      <c r="C456" s="178"/>
      <c r="D456" s="178"/>
      <c r="E456" s="178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178"/>
      <c r="B457" s="178"/>
      <c r="C457" s="178"/>
      <c r="D457" s="178"/>
      <c r="E457" s="178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178"/>
      <c r="B458" s="178"/>
      <c r="C458" s="178"/>
      <c r="D458" s="178"/>
      <c r="E458" s="178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178"/>
      <c r="B459" s="178"/>
      <c r="C459" s="178"/>
      <c r="D459" s="178"/>
      <c r="E459" s="178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178"/>
      <c r="B460" s="178"/>
      <c r="C460" s="178"/>
      <c r="D460" s="178"/>
      <c r="E460" s="178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178"/>
      <c r="B461" s="178"/>
      <c r="C461" s="178"/>
      <c r="D461" s="178"/>
      <c r="E461" s="178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178"/>
      <c r="B462" s="178"/>
      <c r="C462" s="178"/>
      <c r="D462" s="178"/>
      <c r="E462" s="178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178"/>
      <c r="B463" s="178"/>
      <c r="C463" s="178"/>
      <c r="D463" s="178"/>
      <c r="E463" s="178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178"/>
      <c r="B464" s="178"/>
      <c r="C464" s="178"/>
      <c r="D464" s="178"/>
      <c r="E464" s="178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178"/>
      <c r="B465" s="178"/>
      <c r="C465" s="178"/>
      <c r="D465" s="178"/>
      <c r="E465" s="178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178"/>
      <c r="B466" s="178"/>
      <c r="C466" s="178"/>
      <c r="D466" s="178"/>
      <c r="E466" s="178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178"/>
      <c r="B467" s="178"/>
      <c r="C467" s="178"/>
      <c r="D467" s="178"/>
      <c r="E467" s="178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178"/>
      <c r="B468" s="178"/>
      <c r="C468" s="178"/>
      <c r="D468" s="178"/>
      <c r="E468" s="178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178"/>
      <c r="B469" s="178"/>
      <c r="C469" s="178"/>
      <c r="D469" s="178"/>
      <c r="E469" s="178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178"/>
      <c r="B470" s="178"/>
      <c r="C470" s="178"/>
      <c r="D470" s="178"/>
      <c r="E470" s="178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178"/>
      <c r="B471" s="178"/>
      <c r="C471" s="178"/>
      <c r="D471" s="178"/>
      <c r="E471" s="178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178"/>
      <c r="B472" s="178"/>
      <c r="C472" s="178"/>
      <c r="D472" s="178"/>
      <c r="E472" s="178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178"/>
      <c r="B473" s="178"/>
      <c r="C473" s="178"/>
      <c r="D473" s="178"/>
      <c r="E473" s="178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178"/>
      <c r="B474" s="178"/>
      <c r="C474" s="178"/>
      <c r="D474" s="178"/>
      <c r="E474" s="178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178"/>
      <c r="B475" s="178"/>
      <c r="C475" s="178"/>
      <c r="D475" s="178"/>
      <c r="E475" s="178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178"/>
      <c r="B476" s="178"/>
      <c r="C476" s="178"/>
      <c r="D476" s="178"/>
      <c r="E476" s="178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178"/>
      <c r="B477" s="178"/>
      <c r="C477" s="178"/>
      <c r="D477" s="178"/>
      <c r="E477" s="178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178"/>
      <c r="B478" s="178"/>
      <c r="C478" s="178"/>
      <c r="D478" s="178"/>
      <c r="E478" s="178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178"/>
      <c r="B479" s="178"/>
      <c r="C479" s="178"/>
      <c r="D479" s="178"/>
      <c r="E479" s="178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178"/>
      <c r="B480" s="178"/>
      <c r="C480" s="178"/>
      <c r="D480" s="178"/>
      <c r="E480" s="178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178"/>
      <c r="B481" s="178"/>
      <c r="C481" s="178"/>
      <c r="D481" s="178"/>
      <c r="E481" s="178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178"/>
      <c r="B482" s="178"/>
      <c r="C482" s="178"/>
      <c r="D482" s="178"/>
      <c r="E482" s="178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178"/>
      <c r="B483" s="178"/>
      <c r="C483" s="178"/>
      <c r="D483" s="178"/>
      <c r="E483" s="178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178"/>
      <c r="B484" s="178"/>
      <c r="C484" s="178"/>
      <c r="D484" s="178"/>
      <c r="E484" s="178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178"/>
      <c r="B485" s="178"/>
      <c r="C485" s="178"/>
      <c r="D485" s="178"/>
      <c r="E485" s="178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178"/>
      <c r="B486" s="178"/>
      <c r="C486" s="178"/>
      <c r="D486" s="178"/>
      <c r="E486" s="178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178"/>
      <c r="B487" s="178"/>
      <c r="C487" s="178"/>
      <c r="D487" s="178"/>
      <c r="E487" s="178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178"/>
      <c r="B488" s="178"/>
      <c r="C488" s="178"/>
      <c r="D488" s="178"/>
      <c r="E488" s="178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178"/>
      <c r="B489" s="178"/>
      <c r="C489" s="178"/>
      <c r="D489" s="178"/>
      <c r="E489" s="178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178"/>
      <c r="B490" s="178"/>
      <c r="C490" s="178"/>
      <c r="D490" s="178"/>
      <c r="E490" s="178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178"/>
      <c r="B491" s="178"/>
      <c r="C491" s="178"/>
      <c r="D491" s="178"/>
      <c r="E491" s="178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178"/>
      <c r="B492" s="178"/>
      <c r="C492" s="178"/>
      <c r="D492" s="178"/>
      <c r="E492" s="178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178"/>
      <c r="B493" s="178"/>
      <c r="C493" s="178"/>
      <c r="D493" s="178"/>
      <c r="E493" s="178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178"/>
      <c r="B494" s="178"/>
      <c r="C494" s="178"/>
      <c r="D494" s="178"/>
      <c r="E494" s="178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178"/>
      <c r="B495" s="178"/>
      <c r="C495" s="178"/>
      <c r="D495" s="178"/>
      <c r="E495" s="178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178"/>
      <c r="B496" s="178"/>
      <c r="C496" s="178"/>
      <c r="D496" s="178"/>
      <c r="E496" s="178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178"/>
      <c r="B497" s="178"/>
      <c r="C497" s="178"/>
      <c r="D497" s="178"/>
      <c r="E497" s="178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178"/>
      <c r="B498" s="178"/>
      <c r="C498" s="178"/>
      <c r="D498" s="178"/>
      <c r="E498" s="178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178"/>
      <c r="B499" s="178"/>
      <c r="C499" s="178"/>
      <c r="D499" s="178"/>
      <c r="E499" s="178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178"/>
      <c r="B500" s="178"/>
      <c r="C500" s="178"/>
      <c r="D500" s="178"/>
      <c r="E500" s="178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178"/>
      <c r="B501" s="178"/>
      <c r="C501" s="178"/>
      <c r="D501" s="178"/>
      <c r="E501" s="178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178"/>
      <c r="B502" s="178"/>
      <c r="C502" s="178"/>
      <c r="D502" s="178"/>
      <c r="E502" s="178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178"/>
      <c r="B503" s="178"/>
      <c r="C503" s="178"/>
      <c r="D503" s="178"/>
      <c r="E503" s="178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178"/>
      <c r="B504" s="178"/>
      <c r="C504" s="178"/>
      <c r="D504" s="178"/>
      <c r="E504" s="178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178"/>
      <c r="B505" s="178"/>
      <c r="C505" s="178"/>
      <c r="D505" s="178"/>
      <c r="E505" s="178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178"/>
      <c r="B506" s="178"/>
      <c r="C506" s="178"/>
      <c r="D506" s="178"/>
      <c r="E506" s="178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178"/>
      <c r="B507" s="178"/>
      <c r="C507" s="178"/>
      <c r="D507" s="178"/>
      <c r="E507" s="178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178"/>
      <c r="B508" s="178"/>
      <c r="C508" s="178"/>
      <c r="D508" s="178"/>
      <c r="E508" s="178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178"/>
      <c r="B509" s="178"/>
      <c r="C509" s="178"/>
      <c r="D509" s="178"/>
      <c r="E509" s="178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178"/>
      <c r="B510" s="178"/>
      <c r="C510" s="178"/>
      <c r="D510" s="178"/>
      <c r="E510" s="178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178"/>
      <c r="B511" s="178"/>
      <c r="C511" s="178"/>
      <c r="D511" s="178"/>
      <c r="E511" s="178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178"/>
      <c r="B512" s="178"/>
      <c r="C512" s="178"/>
      <c r="D512" s="178"/>
      <c r="E512" s="178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178"/>
      <c r="B513" s="178"/>
      <c r="C513" s="178"/>
      <c r="D513" s="178"/>
      <c r="E513" s="178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178"/>
      <c r="B514" s="178"/>
      <c r="C514" s="178"/>
      <c r="D514" s="178"/>
      <c r="E514" s="178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178"/>
      <c r="B515" s="178"/>
      <c r="C515" s="178"/>
      <c r="D515" s="178"/>
      <c r="E515" s="178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178"/>
      <c r="B516" s="178"/>
      <c r="C516" s="178"/>
      <c r="D516" s="178"/>
      <c r="E516" s="178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178"/>
      <c r="B517" s="178"/>
      <c r="C517" s="178"/>
      <c r="D517" s="178"/>
      <c r="E517" s="178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178"/>
      <c r="B518" s="178"/>
      <c r="C518" s="178"/>
      <c r="D518" s="178"/>
      <c r="E518" s="178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178"/>
      <c r="B519" s="178"/>
      <c r="C519" s="178"/>
      <c r="D519" s="178"/>
      <c r="E519" s="178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178"/>
      <c r="B520" s="178"/>
      <c r="C520" s="178"/>
      <c r="D520" s="178"/>
      <c r="E520" s="178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178"/>
      <c r="B521" s="178"/>
      <c r="C521" s="178"/>
      <c r="D521" s="178"/>
      <c r="E521" s="178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178"/>
      <c r="B522" s="178"/>
      <c r="C522" s="178"/>
      <c r="D522" s="178"/>
      <c r="E522" s="178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178"/>
      <c r="B523" s="178"/>
      <c r="C523" s="178"/>
      <c r="D523" s="178"/>
      <c r="E523" s="178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178"/>
      <c r="B524" s="178"/>
      <c r="C524" s="178"/>
      <c r="D524" s="178"/>
      <c r="E524" s="178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178"/>
      <c r="B525" s="178"/>
      <c r="C525" s="178"/>
      <c r="D525" s="178"/>
      <c r="E525" s="178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178"/>
      <c r="B526" s="178"/>
      <c r="C526" s="178"/>
      <c r="D526" s="178"/>
      <c r="E526" s="178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178"/>
      <c r="B527" s="178"/>
      <c r="C527" s="178"/>
      <c r="D527" s="178"/>
      <c r="E527" s="178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178"/>
      <c r="B528" s="178"/>
      <c r="C528" s="178"/>
      <c r="D528" s="178"/>
      <c r="E528" s="178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178"/>
      <c r="B529" s="178"/>
      <c r="C529" s="178"/>
      <c r="D529" s="178"/>
      <c r="E529" s="178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178"/>
      <c r="B530" s="178"/>
      <c r="C530" s="178"/>
      <c r="D530" s="178"/>
      <c r="E530" s="178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178"/>
      <c r="B531" s="178"/>
      <c r="C531" s="178"/>
      <c r="D531" s="178"/>
      <c r="E531" s="178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178"/>
      <c r="B532" s="178"/>
      <c r="C532" s="178"/>
      <c r="D532" s="178"/>
      <c r="E532" s="178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178"/>
      <c r="B533" s="178"/>
      <c r="C533" s="178"/>
      <c r="D533" s="178"/>
      <c r="E533" s="178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178"/>
      <c r="B534" s="178"/>
      <c r="C534" s="178"/>
      <c r="D534" s="178"/>
      <c r="E534" s="178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178"/>
      <c r="B535" s="178"/>
      <c r="C535" s="178"/>
      <c r="D535" s="178"/>
      <c r="E535" s="178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178"/>
      <c r="B536" s="178"/>
      <c r="C536" s="178"/>
      <c r="D536" s="178"/>
      <c r="E536" s="178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178"/>
      <c r="B537" s="178"/>
      <c r="C537" s="178"/>
      <c r="D537" s="178"/>
      <c r="E537" s="178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178"/>
      <c r="B538" s="178"/>
      <c r="C538" s="178"/>
      <c r="D538" s="178"/>
      <c r="E538" s="178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178"/>
      <c r="B539" s="178"/>
      <c r="C539" s="178"/>
      <c r="D539" s="178"/>
      <c r="E539" s="178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178"/>
      <c r="B540" s="178"/>
      <c r="C540" s="178"/>
      <c r="D540" s="178"/>
      <c r="E540" s="178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178"/>
      <c r="B541" s="178"/>
      <c r="C541" s="178"/>
      <c r="D541" s="178"/>
      <c r="E541" s="178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178"/>
      <c r="B542" s="178"/>
      <c r="C542" s="178"/>
      <c r="D542" s="178"/>
      <c r="E542" s="178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178"/>
      <c r="B543" s="178"/>
      <c r="C543" s="178"/>
      <c r="D543" s="178"/>
      <c r="E543" s="178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178"/>
      <c r="B544" s="178"/>
      <c r="C544" s="178"/>
      <c r="D544" s="178"/>
      <c r="E544" s="178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178"/>
      <c r="B545" s="178"/>
      <c r="C545" s="178"/>
      <c r="D545" s="178"/>
      <c r="E545" s="178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178"/>
      <c r="B546" s="178"/>
      <c r="C546" s="178"/>
      <c r="D546" s="178"/>
      <c r="E546" s="178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178"/>
      <c r="B547" s="178"/>
      <c r="C547" s="178"/>
      <c r="D547" s="178"/>
      <c r="E547" s="178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178"/>
      <c r="B548" s="178"/>
      <c r="C548" s="178"/>
      <c r="D548" s="178"/>
      <c r="E548" s="178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178"/>
      <c r="B549" s="178"/>
      <c r="C549" s="178"/>
      <c r="D549" s="178"/>
      <c r="E549" s="178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178"/>
      <c r="B550" s="178"/>
      <c r="C550" s="178"/>
      <c r="D550" s="178"/>
      <c r="E550" s="178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178"/>
      <c r="B551" s="178"/>
      <c r="C551" s="178"/>
      <c r="D551" s="178"/>
      <c r="E551" s="178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178"/>
      <c r="B552" s="178"/>
      <c r="C552" s="178"/>
      <c r="D552" s="178"/>
      <c r="E552" s="178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178"/>
      <c r="B553" s="178"/>
      <c r="C553" s="178"/>
      <c r="D553" s="178"/>
      <c r="E553" s="178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178"/>
      <c r="B554" s="178"/>
      <c r="C554" s="178"/>
      <c r="D554" s="178"/>
      <c r="E554" s="178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178"/>
      <c r="B555" s="178"/>
      <c r="C555" s="178"/>
      <c r="D555" s="178"/>
      <c r="E555" s="178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178"/>
      <c r="B556" s="178"/>
      <c r="C556" s="178"/>
      <c r="D556" s="178"/>
      <c r="E556" s="178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178"/>
      <c r="B557" s="178"/>
      <c r="C557" s="178"/>
      <c r="D557" s="178"/>
      <c r="E557" s="178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178"/>
      <c r="B558" s="178"/>
      <c r="C558" s="178"/>
      <c r="D558" s="178"/>
      <c r="E558" s="178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178"/>
      <c r="B559" s="178"/>
      <c r="C559" s="178"/>
      <c r="D559" s="178"/>
      <c r="E559" s="178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178"/>
      <c r="B560" s="178"/>
      <c r="C560" s="178"/>
      <c r="D560" s="178"/>
      <c r="E560" s="178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178"/>
      <c r="B561" s="178"/>
      <c r="C561" s="178"/>
      <c r="D561" s="178"/>
      <c r="E561" s="178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178"/>
      <c r="B562" s="178"/>
      <c r="C562" s="178"/>
      <c r="D562" s="178"/>
      <c r="E562" s="178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178"/>
      <c r="B563" s="178"/>
      <c r="C563" s="178"/>
      <c r="D563" s="178"/>
      <c r="E563" s="178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178"/>
      <c r="B564" s="178"/>
      <c r="C564" s="178"/>
      <c r="D564" s="178"/>
      <c r="E564" s="178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178"/>
      <c r="B565" s="178"/>
      <c r="C565" s="178"/>
      <c r="D565" s="178"/>
      <c r="E565" s="178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178"/>
      <c r="B566" s="178"/>
      <c r="C566" s="178"/>
      <c r="D566" s="178"/>
      <c r="E566" s="178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178"/>
      <c r="B567" s="178"/>
      <c r="C567" s="178"/>
      <c r="D567" s="178"/>
      <c r="E567" s="178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178"/>
      <c r="B568" s="178"/>
      <c r="C568" s="178"/>
      <c r="D568" s="178"/>
      <c r="E568" s="178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178"/>
      <c r="B569" s="178"/>
      <c r="C569" s="178"/>
      <c r="D569" s="178"/>
      <c r="E569" s="178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178"/>
      <c r="B570" s="178"/>
      <c r="C570" s="178"/>
      <c r="D570" s="178"/>
      <c r="E570" s="178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178"/>
      <c r="B571" s="178"/>
      <c r="C571" s="178"/>
      <c r="D571" s="178"/>
      <c r="E571" s="178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178"/>
      <c r="B572" s="178"/>
      <c r="C572" s="178"/>
      <c r="D572" s="178"/>
      <c r="E572" s="178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178"/>
      <c r="B573" s="178"/>
      <c r="C573" s="178"/>
      <c r="D573" s="178"/>
      <c r="E573" s="178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178"/>
      <c r="B574" s="178"/>
      <c r="C574" s="178"/>
      <c r="D574" s="178"/>
      <c r="E574" s="178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178"/>
      <c r="B575" s="178"/>
      <c r="C575" s="178"/>
      <c r="D575" s="178"/>
      <c r="E575" s="178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178"/>
      <c r="B576" s="178"/>
      <c r="C576" s="178"/>
      <c r="D576" s="178"/>
      <c r="E576" s="178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178"/>
      <c r="B577" s="178"/>
      <c r="C577" s="178"/>
      <c r="D577" s="178"/>
      <c r="E577" s="178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178"/>
      <c r="B578" s="178"/>
      <c r="C578" s="178"/>
      <c r="D578" s="178"/>
      <c r="E578" s="178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178"/>
      <c r="B579" s="178"/>
      <c r="C579" s="178"/>
      <c r="D579" s="178"/>
      <c r="E579" s="178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178"/>
      <c r="B580" s="178"/>
      <c r="C580" s="178"/>
      <c r="D580" s="178"/>
      <c r="E580" s="178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178"/>
      <c r="B581" s="178"/>
      <c r="C581" s="178"/>
      <c r="D581" s="178"/>
      <c r="E581" s="178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178"/>
      <c r="B582" s="178"/>
      <c r="C582" s="178"/>
      <c r="D582" s="178"/>
      <c r="E582" s="178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178"/>
      <c r="B583" s="178"/>
      <c r="C583" s="178"/>
      <c r="D583" s="178"/>
      <c r="E583" s="178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178"/>
      <c r="B584" s="178"/>
      <c r="C584" s="178"/>
      <c r="D584" s="178"/>
      <c r="E584" s="178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178"/>
      <c r="B585" s="178"/>
      <c r="C585" s="178"/>
      <c r="D585" s="178"/>
      <c r="E585" s="178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178"/>
      <c r="B586" s="178"/>
      <c r="C586" s="178"/>
      <c r="D586" s="178"/>
      <c r="E586" s="178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178"/>
      <c r="B587" s="178"/>
      <c r="C587" s="178"/>
      <c r="D587" s="178"/>
      <c r="E587" s="178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178"/>
      <c r="B588" s="178"/>
      <c r="C588" s="178"/>
      <c r="D588" s="178"/>
      <c r="E588" s="178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178"/>
      <c r="B589" s="178"/>
      <c r="C589" s="178"/>
      <c r="D589" s="178"/>
      <c r="E589" s="178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178"/>
      <c r="B590" s="178"/>
      <c r="C590" s="178"/>
      <c r="D590" s="178"/>
      <c r="E590" s="178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178"/>
      <c r="B591" s="178"/>
      <c r="C591" s="178"/>
      <c r="D591" s="178"/>
      <c r="E591" s="178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178"/>
      <c r="B592" s="178"/>
      <c r="C592" s="178"/>
      <c r="D592" s="178"/>
      <c r="E592" s="178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178"/>
      <c r="B593" s="178"/>
      <c r="C593" s="178"/>
      <c r="D593" s="178"/>
      <c r="E593" s="178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178"/>
      <c r="B594" s="178"/>
      <c r="C594" s="178"/>
      <c r="D594" s="178"/>
      <c r="E594" s="178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178"/>
      <c r="B595" s="178"/>
      <c r="C595" s="178"/>
      <c r="D595" s="178"/>
      <c r="E595" s="178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178"/>
      <c r="B596" s="178"/>
      <c r="C596" s="178"/>
      <c r="D596" s="178"/>
      <c r="E596" s="178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178"/>
      <c r="B597" s="178"/>
      <c r="C597" s="178"/>
      <c r="D597" s="178"/>
      <c r="E597" s="178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178"/>
      <c r="B598" s="178"/>
      <c r="C598" s="178"/>
      <c r="D598" s="178"/>
      <c r="E598" s="178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178"/>
      <c r="B599" s="178"/>
      <c r="C599" s="178"/>
      <c r="D599" s="178"/>
      <c r="E599" s="178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178"/>
      <c r="B600" s="178"/>
      <c r="C600" s="178"/>
      <c r="D600" s="178"/>
      <c r="E600" s="178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178"/>
      <c r="B601" s="178"/>
      <c r="C601" s="178"/>
      <c r="D601" s="178"/>
      <c r="E601" s="178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178"/>
      <c r="B602" s="178"/>
      <c r="C602" s="178"/>
      <c r="D602" s="178"/>
      <c r="E602" s="178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178"/>
      <c r="B603" s="178"/>
      <c r="C603" s="178"/>
      <c r="D603" s="178"/>
      <c r="E603" s="178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178"/>
      <c r="B604" s="178"/>
      <c r="C604" s="178"/>
      <c r="D604" s="178"/>
      <c r="E604" s="178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178"/>
      <c r="B605" s="178"/>
      <c r="C605" s="178"/>
      <c r="D605" s="178"/>
      <c r="E605" s="178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178"/>
      <c r="B606" s="178"/>
      <c r="C606" s="178"/>
      <c r="D606" s="178"/>
      <c r="E606" s="178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178"/>
      <c r="B607" s="178"/>
      <c r="C607" s="178"/>
      <c r="D607" s="178"/>
      <c r="E607" s="178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178"/>
      <c r="B608" s="178"/>
      <c r="C608" s="178"/>
      <c r="D608" s="178"/>
      <c r="E608" s="178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178"/>
      <c r="B609" s="178"/>
      <c r="C609" s="178"/>
      <c r="D609" s="178"/>
      <c r="E609" s="178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178"/>
      <c r="B610" s="178"/>
      <c r="C610" s="178"/>
      <c r="D610" s="178"/>
      <c r="E610" s="178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178"/>
      <c r="B611" s="178"/>
      <c r="C611" s="178"/>
      <c r="D611" s="178"/>
      <c r="E611" s="178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178"/>
      <c r="B612" s="178"/>
      <c r="C612" s="178"/>
      <c r="D612" s="178"/>
      <c r="E612" s="178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178"/>
      <c r="B613" s="178"/>
      <c r="C613" s="178"/>
      <c r="D613" s="178"/>
      <c r="E613" s="178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178"/>
      <c r="B614" s="178"/>
      <c r="C614" s="178"/>
      <c r="D614" s="178"/>
      <c r="E614" s="178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178"/>
      <c r="B615" s="178"/>
      <c r="C615" s="178"/>
      <c r="D615" s="178"/>
      <c r="E615" s="178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178"/>
      <c r="B616" s="178"/>
      <c r="C616" s="178"/>
      <c r="D616" s="178"/>
      <c r="E616" s="178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178"/>
      <c r="B617" s="178"/>
      <c r="C617" s="178"/>
      <c r="D617" s="178"/>
      <c r="E617" s="178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178"/>
      <c r="B618" s="178"/>
      <c r="C618" s="178"/>
      <c r="D618" s="178"/>
      <c r="E618" s="178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178"/>
      <c r="B619" s="178"/>
      <c r="C619" s="178"/>
      <c r="D619" s="178"/>
      <c r="E619" s="178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178"/>
      <c r="B620" s="178"/>
      <c r="C620" s="178"/>
      <c r="D620" s="178"/>
      <c r="E620" s="178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178"/>
      <c r="B621" s="178"/>
      <c r="C621" s="178"/>
      <c r="D621" s="178"/>
      <c r="E621" s="178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178"/>
      <c r="B622" s="178"/>
      <c r="C622" s="178"/>
      <c r="D622" s="178"/>
      <c r="E622" s="178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178"/>
      <c r="B623" s="178"/>
      <c r="C623" s="178"/>
      <c r="D623" s="178"/>
      <c r="E623" s="178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178"/>
      <c r="B624" s="178"/>
      <c r="C624" s="178"/>
      <c r="D624" s="178"/>
      <c r="E624" s="178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178"/>
      <c r="B625" s="178"/>
      <c r="C625" s="178"/>
      <c r="D625" s="178"/>
      <c r="E625" s="178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178"/>
      <c r="B626" s="178"/>
      <c r="C626" s="178"/>
      <c r="D626" s="178"/>
      <c r="E626" s="178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178"/>
      <c r="B627" s="178"/>
      <c r="C627" s="178"/>
      <c r="D627" s="178"/>
      <c r="E627" s="178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178"/>
      <c r="B628" s="178"/>
      <c r="C628" s="178"/>
      <c r="D628" s="178"/>
      <c r="E628" s="178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178"/>
      <c r="B629" s="178"/>
      <c r="C629" s="178"/>
      <c r="D629" s="178"/>
      <c r="E629" s="178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178"/>
      <c r="B630" s="178"/>
      <c r="C630" s="178"/>
      <c r="D630" s="178"/>
      <c r="E630" s="178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178"/>
      <c r="B631" s="178"/>
      <c r="C631" s="178"/>
      <c r="D631" s="178"/>
      <c r="E631" s="178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178"/>
      <c r="B632" s="178"/>
      <c r="C632" s="178"/>
      <c r="D632" s="178"/>
      <c r="E632" s="178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178"/>
      <c r="B633" s="178"/>
      <c r="C633" s="178"/>
      <c r="D633" s="178"/>
      <c r="E633" s="178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178"/>
      <c r="B634" s="178"/>
      <c r="C634" s="178"/>
      <c r="D634" s="178"/>
      <c r="E634" s="178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178"/>
      <c r="B635" s="178"/>
      <c r="C635" s="178"/>
      <c r="D635" s="178"/>
      <c r="E635" s="178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178"/>
      <c r="B636" s="178"/>
      <c r="C636" s="178"/>
      <c r="D636" s="178"/>
      <c r="E636" s="178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178"/>
      <c r="B637" s="178"/>
      <c r="C637" s="178"/>
      <c r="D637" s="178"/>
      <c r="E637" s="178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178"/>
      <c r="B638" s="178"/>
      <c r="C638" s="178"/>
      <c r="D638" s="178"/>
      <c r="E638" s="178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178"/>
      <c r="B639" s="178"/>
      <c r="C639" s="178"/>
      <c r="D639" s="178"/>
      <c r="E639" s="178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178"/>
      <c r="B640" s="178"/>
      <c r="C640" s="178"/>
      <c r="D640" s="178"/>
      <c r="E640" s="178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178"/>
      <c r="B641" s="178"/>
      <c r="C641" s="178"/>
      <c r="D641" s="178"/>
      <c r="E641" s="178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178"/>
      <c r="B642" s="178"/>
      <c r="C642" s="178"/>
      <c r="D642" s="178"/>
      <c r="E642" s="178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178"/>
      <c r="B643" s="178"/>
      <c r="C643" s="178"/>
      <c r="D643" s="178"/>
      <c r="E643" s="178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178"/>
      <c r="B644" s="178"/>
      <c r="C644" s="178"/>
      <c r="D644" s="178"/>
      <c r="E644" s="178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178"/>
      <c r="B645" s="178"/>
      <c r="C645" s="178"/>
      <c r="D645" s="178"/>
      <c r="E645" s="178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178"/>
      <c r="B646" s="178"/>
      <c r="C646" s="178"/>
      <c r="D646" s="178"/>
      <c r="E646" s="178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178"/>
      <c r="B647" s="178"/>
      <c r="C647" s="178"/>
      <c r="D647" s="178"/>
      <c r="E647" s="178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178"/>
      <c r="B648" s="178"/>
      <c r="C648" s="178"/>
      <c r="D648" s="178"/>
      <c r="E648" s="178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178"/>
      <c r="B649" s="178"/>
      <c r="C649" s="178"/>
      <c r="D649" s="178"/>
      <c r="E649" s="178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178"/>
      <c r="B650" s="178"/>
      <c r="C650" s="178"/>
      <c r="D650" s="178"/>
      <c r="E650" s="178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178"/>
      <c r="B651" s="178"/>
      <c r="C651" s="178"/>
      <c r="D651" s="178"/>
      <c r="E651" s="178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178"/>
      <c r="B652" s="178"/>
      <c r="C652" s="178"/>
      <c r="D652" s="178"/>
      <c r="E652" s="178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178"/>
      <c r="B653" s="178"/>
      <c r="C653" s="178"/>
      <c r="D653" s="178"/>
      <c r="E653" s="178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178"/>
      <c r="B654" s="178"/>
      <c r="C654" s="178"/>
      <c r="D654" s="178"/>
      <c r="E654" s="178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178"/>
      <c r="B655" s="178"/>
      <c r="C655" s="178"/>
      <c r="D655" s="178"/>
      <c r="E655" s="178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178"/>
      <c r="B656" s="178"/>
      <c r="C656" s="178"/>
      <c r="D656" s="178"/>
      <c r="E656" s="178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178"/>
      <c r="B657" s="178"/>
      <c r="C657" s="178"/>
      <c r="D657" s="178"/>
      <c r="E657" s="178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178"/>
      <c r="B658" s="178"/>
      <c r="C658" s="178"/>
      <c r="D658" s="178"/>
      <c r="E658" s="178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178"/>
      <c r="B659" s="178"/>
      <c r="C659" s="178"/>
      <c r="D659" s="178"/>
      <c r="E659" s="178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178"/>
      <c r="B660" s="178"/>
      <c r="C660" s="178"/>
      <c r="D660" s="178"/>
      <c r="E660" s="178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178"/>
      <c r="B661" s="178"/>
      <c r="C661" s="178"/>
      <c r="D661" s="178"/>
      <c r="E661" s="178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178"/>
      <c r="B662" s="178"/>
      <c r="C662" s="178"/>
      <c r="D662" s="178"/>
      <c r="E662" s="178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178"/>
      <c r="B663" s="178"/>
      <c r="C663" s="178"/>
      <c r="D663" s="178"/>
      <c r="E663" s="178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178"/>
      <c r="B664" s="178"/>
      <c r="C664" s="178"/>
      <c r="D664" s="178"/>
      <c r="E664" s="178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178"/>
      <c r="B665" s="178"/>
      <c r="C665" s="178"/>
      <c r="D665" s="178"/>
      <c r="E665" s="178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178"/>
      <c r="B666" s="178"/>
      <c r="C666" s="178"/>
      <c r="D666" s="178"/>
      <c r="E666" s="178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178"/>
      <c r="B667" s="178"/>
      <c r="C667" s="178"/>
      <c r="D667" s="178"/>
      <c r="E667" s="178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178"/>
      <c r="B668" s="178"/>
      <c r="C668" s="178"/>
      <c r="D668" s="178"/>
      <c r="E668" s="178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178"/>
      <c r="B669" s="178"/>
      <c r="C669" s="178"/>
      <c r="D669" s="178"/>
      <c r="E669" s="178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178"/>
      <c r="B670" s="178"/>
      <c r="C670" s="178"/>
      <c r="D670" s="178"/>
      <c r="E670" s="178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178"/>
      <c r="B671" s="178"/>
      <c r="C671" s="178"/>
      <c r="D671" s="178"/>
      <c r="E671" s="178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178"/>
      <c r="B672" s="178"/>
      <c r="C672" s="178"/>
      <c r="D672" s="178"/>
      <c r="E672" s="178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178"/>
      <c r="B673" s="178"/>
      <c r="C673" s="178"/>
      <c r="D673" s="178"/>
      <c r="E673" s="178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178"/>
      <c r="B674" s="178"/>
      <c r="C674" s="178"/>
      <c r="D674" s="178"/>
      <c r="E674" s="178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178"/>
      <c r="B675" s="178"/>
      <c r="C675" s="178"/>
      <c r="D675" s="178"/>
      <c r="E675" s="178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178"/>
      <c r="B676" s="178"/>
      <c r="C676" s="178"/>
      <c r="D676" s="178"/>
      <c r="E676" s="178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178"/>
      <c r="B677" s="178"/>
      <c r="C677" s="178"/>
      <c r="D677" s="178"/>
      <c r="E677" s="178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178"/>
      <c r="B678" s="178"/>
      <c r="C678" s="178"/>
      <c r="D678" s="178"/>
      <c r="E678" s="178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178"/>
      <c r="B679" s="178"/>
      <c r="C679" s="178"/>
      <c r="D679" s="178"/>
      <c r="E679" s="178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178"/>
      <c r="B680" s="178"/>
      <c r="C680" s="178"/>
      <c r="D680" s="178"/>
      <c r="E680" s="178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178"/>
      <c r="B681" s="178"/>
      <c r="C681" s="178"/>
      <c r="D681" s="178"/>
      <c r="E681" s="178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178"/>
      <c r="B682" s="178"/>
      <c r="C682" s="178"/>
      <c r="D682" s="178"/>
      <c r="E682" s="178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178"/>
      <c r="B683" s="178"/>
      <c r="C683" s="178"/>
      <c r="D683" s="178"/>
      <c r="E683" s="178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178"/>
      <c r="B684" s="178"/>
      <c r="C684" s="178"/>
      <c r="D684" s="178"/>
      <c r="E684" s="178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178"/>
      <c r="B685" s="178"/>
      <c r="C685" s="178"/>
      <c r="D685" s="178"/>
      <c r="E685" s="178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178"/>
      <c r="B686" s="178"/>
      <c r="C686" s="178"/>
      <c r="D686" s="178"/>
      <c r="E686" s="178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178"/>
      <c r="B687" s="178"/>
      <c r="C687" s="178"/>
      <c r="D687" s="178"/>
      <c r="E687" s="178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178"/>
      <c r="B688" s="178"/>
      <c r="C688" s="178"/>
      <c r="D688" s="178"/>
      <c r="E688" s="178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178"/>
      <c r="B689" s="178"/>
      <c r="C689" s="178"/>
      <c r="D689" s="178"/>
      <c r="E689" s="178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178"/>
      <c r="B690" s="178"/>
      <c r="C690" s="178"/>
      <c r="D690" s="178"/>
      <c r="E690" s="178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178"/>
      <c r="B691" s="178"/>
      <c r="C691" s="178"/>
      <c r="D691" s="178"/>
      <c r="E691" s="178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178"/>
      <c r="B692" s="178"/>
      <c r="C692" s="178"/>
      <c r="D692" s="178"/>
      <c r="E692" s="178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178"/>
      <c r="B693" s="178"/>
      <c r="C693" s="178"/>
      <c r="D693" s="178"/>
      <c r="E693" s="178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178"/>
      <c r="B694" s="178"/>
      <c r="C694" s="178"/>
      <c r="D694" s="178"/>
      <c r="E694" s="178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178"/>
      <c r="B695" s="178"/>
      <c r="C695" s="178"/>
      <c r="D695" s="178"/>
      <c r="E695" s="178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178"/>
      <c r="B696" s="178"/>
      <c r="C696" s="178"/>
      <c r="D696" s="178"/>
      <c r="E696" s="178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178"/>
      <c r="B697" s="178"/>
      <c r="C697" s="178"/>
      <c r="D697" s="178"/>
      <c r="E697" s="178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178"/>
      <c r="B698" s="178"/>
      <c r="C698" s="178"/>
      <c r="D698" s="178"/>
      <c r="E698" s="178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178"/>
      <c r="B699" s="178"/>
      <c r="C699" s="178"/>
      <c r="D699" s="178"/>
      <c r="E699" s="178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178"/>
      <c r="B700" s="178"/>
      <c r="C700" s="178"/>
      <c r="D700" s="178"/>
      <c r="E700" s="178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178"/>
      <c r="B701" s="178"/>
      <c r="C701" s="178"/>
      <c r="D701" s="178"/>
      <c r="E701" s="178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178"/>
      <c r="B702" s="178"/>
      <c r="C702" s="178"/>
      <c r="D702" s="178"/>
      <c r="E702" s="178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178"/>
      <c r="B703" s="178"/>
      <c r="C703" s="178"/>
      <c r="D703" s="178"/>
      <c r="E703" s="178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178"/>
      <c r="B704" s="178"/>
      <c r="C704" s="178"/>
      <c r="D704" s="178"/>
      <c r="E704" s="178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178"/>
      <c r="B705" s="178"/>
      <c r="C705" s="178"/>
      <c r="D705" s="178"/>
      <c r="E705" s="178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178"/>
      <c r="B706" s="178"/>
      <c r="C706" s="178"/>
      <c r="D706" s="178"/>
      <c r="E706" s="178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178"/>
      <c r="B707" s="178"/>
      <c r="C707" s="178"/>
      <c r="D707" s="178"/>
      <c r="E707" s="178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178"/>
      <c r="B708" s="178"/>
      <c r="C708" s="178"/>
      <c r="D708" s="178"/>
      <c r="E708" s="178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178"/>
      <c r="B709" s="178"/>
      <c r="C709" s="178"/>
      <c r="D709" s="178"/>
      <c r="E709" s="178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178"/>
      <c r="B710" s="178"/>
      <c r="C710" s="178"/>
      <c r="D710" s="178"/>
      <c r="E710" s="178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178"/>
      <c r="B711" s="178"/>
      <c r="C711" s="178"/>
      <c r="D711" s="178"/>
      <c r="E711" s="178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178"/>
      <c r="B712" s="178"/>
      <c r="C712" s="178"/>
      <c r="D712" s="178"/>
      <c r="E712" s="178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178"/>
      <c r="B713" s="178"/>
      <c r="C713" s="178"/>
      <c r="D713" s="178"/>
      <c r="E713" s="178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178"/>
      <c r="B714" s="178"/>
      <c r="C714" s="178"/>
      <c r="D714" s="178"/>
      <c r="E714" s="178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178"/>
      <c r="B715" s="178"/>
      <c r="C715" s="178"/>
      <c r="D715" s="178"/>
      <c r="E715" s="178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178"/>
      <c r="B716" s="178"/>
      <c r="C716" s="178"/>
      <c r="D716" s="178"/>
      <c r="E716" s="178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178"/>
      <c r="B717" s="178"/>
      <c r="C717" s="178"/>
      <c r="D717" s="178"/>
      <c r="E717" s="178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178"/>
      <c r="B718" s="178"/>
      <c r="C718" s="178"/>
      <c r="D718" s="178"/>
      <c r="E718" s="178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178"/>
      <c r="B719" s="178"/>
      <c r="C719" s="178"/>
      <c r="D719" s="178"/>
      <c r="E719" s="178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178"/>
      <c r="B720" s="178"/>
      <c r="C720" s="178"/>
      <c r="D720" s="178"/>
      <c r="E720" s="178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178"/>
      <c r="B721" s="178"/>
      <c r="C721" s="178"/>
      <c r="D721" s="178"/>
      <c r="E721" s="178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178"/>
      <c r="B722" s="178"/>
      <c r="C722" s="178"/>
      <c r="D722" s="178"/>
      <c r="E722" s="178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178"/>
      <c r="B723" s="178"/>
      <c r="C723" s="178"/>
      <c r="D723" s="178"/>
      <c r="E723" s="178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178"/>
      <c r="B724" s="178"/>
      <c r="C724" s="178"/>
      <c r="D724" s="178"/>
      <c r="E724" s="178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178"/>
      <c r="B725" s="178"/>
      <c r="C725" s="178"/>
      <c r="D725" s="178"/>
      <c r="E725" s="178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178"/>
      <c r="B726" s="178"/>
      <c r="C726" s="178"/>
      <c r="D726" s="178"/>
      <c r="E726" s="178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178"/>
      <c r="B727" s="178"/>
      <c r="C727" s="178"/>
      <c r="D727" s="178"/>
      <c r="E727" s="178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178"/>
      <c r="B728" s="178"/>
      <c r="C728" s="178"/>
      <c r="D728" s="178"/>
      <c r="E728" s="178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178"/>
      <c r="B729" s="178"/>
      <c r="C729" s="178"/>
      <c r="D729" s="178"/>
      <c r="E729" s="178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178"/>
      <c r="B730" s="178"/>
      <c r="C730" s="178"/>
      <c r="D730" s="178"/>
      <c r="E730" s="178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178"/>
      <c r="B731" s="178"/>
      <c r="C731" s="178"/>
      <c r="D731" s="178"/>
      <c r="E731" s="178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178"/>
      <c r="B732" s="178"/>
      <c r="C732" s="178"/>
      <c r="D732" s="178"/>
      <c r="E732" s="178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178"/>
      <c r="B733" s="178"/>
      <c r="C733" s="178"/>
      <c r="D733" s="178"/>
      <c r="E733" s="178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178"/>
      <c r="B734" s="178"/>
      <c r="C734" s="178"/>
      <c r="D734" s="178"/>
      <c r="E734" s="178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178"/>
      <c r="B735" s="178"/>
      <c r="C735" s="178"/>
      <c r="D735" s="178"/>
      <c r="E735" s="178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178"/>
      <c r="B736" s="178"/>
      <c r="C736" s="178"/>
      <c r="D736" s="178"/>
      <c r="E736" s="178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178"/>
      <c r="B737" s="178"/>
      <c r="C737" s="178"/>
      <c r="D737" s="178"/>
      <c r="E737" s="178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178"/>
      <c r="B738" s="178"/>
      <c r="C738" s="178"/>
      <c r="D738" s="178"/>
      <c r="E738" s="178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178"/>
      <c r="B739" s="178"/>
      <c r="C739" s="178"/>
      <c r="D739" s="178"/>
      <c r="E739" s="178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178"/>
      <c r="B740" s="178"/>
      <c r="C740" s="178"/>
      <c r="D740" s="178"/>
      <c r="E740" s="178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178"/>
      <c r="B741" s="178"/>
      <c r="C741" s="178"/>
      <c r="D741" s="178"/>
      <c r="E741" s="178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178"/>
      <c r="B742" s="178"/>
      <c r="C742" s="178"/>
      <c r="D742" s="178"/>
      <c r="E742" s="178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178"/>
      <c r="B743" s="178"/>
      <c r="C743" s="178"/>
      <c r="D743" s="178"/>
      <c r="E743" s="178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178"/>
      <c r="B744" s="178"/>
      <c r="C744" s="178"/>
      <c r="D744" s="178"/>
      <c r="E744" s="178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178"/>
      <c r="B745" s="178"/>
      <c r="C745" s="178"/>
      <c r="D745" s="178"/>
      <c r="E745" s="178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178"/>
      <c r="B746" s="178"/>
      <c r="C746" s="178"/>
      <c r="D746" s="178"/>
      <c r="E746" s="178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178"/>
      <c r="B747" s="178"/>
      <c r="C747" s="178"/>
      <c r="D747" s="178"/>
      <c r="E747" s="178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178"/>
      <c r="B748" s="178"/>
      <c r="C748" s="178"/>
      <c r="D748" s="178"/>
      <c r="E748" s="178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178"/>
      <c r="B749" s="178"/>
      <c r="C749" s="178"/>
      <c r="D749" s="178"/>
      <c r="E749" s="178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178"/>
      <c r="B750" s="178"/>
      <c r="C750" s="178"/>
      <c r="D750" s="178"/>
      <c r="E750" s="178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178"/>
      <c r="B751" s="178"/>
      <c r="C751" s="178"/>
      <c r="D751" s="178"/>
      <c r="E751" s="178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178"/>
      <c r="B752" s="178"/>
      <c r="C752" s="178"/>
      <c r="D752" s="178"/>
      <c r="E752" s="178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178"/>
      <c r="B753" s="178"/>
      <c r="C753" s="178"/>
      <c r="D753" s="178"/>
      <c r="E753" s="178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178"/>
      <c r="B754" s="178"/>
      <c r="C754" s="178"/>
      <c r="D754" s="178"/>
      <c r="E754" s="178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178"/>
      <c r="B755" s="178"/>
      <c r="C755" s="178"/>
      <c r="D755" s="178"/>
      <c r="E755" s="178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178"/>
      <c r="B756" s="178"/>
      <c r="C756" s="178"/>
      <c r="D756" s="178"/>
      <c r="E756" s="178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178"/>
      <c r="B757" s="178"/>
      <c r="C757" s="178"/>
      <c r="D757" s="178"/>
      <c r="E757" s="178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178"/>
      <c r="B758" s="178"/>
      <c r="C758" s="178"/>
      <c r="D758" s="178"/>
      <c r="E758" s="178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178"/>
      <c r="B759" s="178"/>
      <c r="C759" s="178"/>
      <c r="D759" s="178"/>
      <c r="E759" s="178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178"/>
      <c r="B760" s="178"/>
      <c r="C760" s="178"/>
      <c r="D760" s="178"/>
      <c r="E760" s="178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178"/>
      <c r="B761" s="178"/>
      <c r="C761" s="178"/>
      <c r="D761" s="178"/>
      <c r="E761" s="178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178"/>
      <c r="B762" s="178"/>
      <c r="C762" s="178"/>
      <c r="D762" s="178"/>
      <c r="E762" s="178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178"/>
      <c r="B763" s="178"/>
      <c r="C763" s="178"/>
      <c r="D763" s="178"/>
      <c r="E763" s="178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178"/>
      <c r="B764" s="178"/>
      <c r="C764" s="178"/>
      <c r="D764" s="178"/>
      <c r="E764" s="178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178"/>
      <c r="B765" s="178"/>
      <c r="C765" s="178"/>
      <c r="D765" s="178"/>
      <c r="E765" s="178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178"/>
      <c r="B766" s="178"/>
      <c r="C766" s="178"/>
      <c r="D766" s="178"/>
      <c r="E766" s="178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178"/>
      <c r="B767" s="178"/>
      <c r="C767" s="178"/>
      <c r="D767" s="178"/>
      <c r="E767" s="178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178"/>
      <c r="B768" s="178"/>
      <c r="C768" s="178"/>
      <c r="D768" s="178"/>
      <c r="E768" s="178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178"/>
      <c r="B769" s="178"/>
      <c r="C769" s="178"/>
      <c r="D769" s="178"/>
      <c r="E769" s="178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178"/>
      <c r="B770" s="178"/>
      <c r="C770" s="178"/>
      <c r="D770" s="178"/>
      <c r="E770" s="178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178"/>
      <c r="B771" s="178"/>
      <c r="C771" s="178"/>
      <c r="D771" s="178"/>
      <c r="E771" s="178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178"/>
      <c r="B772" s="178"/>
      <c r="C772" s="178"/>
      <c r="D772" s="178"/>
      <c r="E772" s="178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178"/>
      <c r="B773" s="178"/>
      <c r="C773" s="178"/>
      <c r="D773" s="178"/>
      <c r="E773" s="178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178"/>
      <c r="B774" s="178"/>
      <c r="C774" s="178"/>
      <c r="D774" s="178"/>
      <c r="E774" s="178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178"/>
      <c r="B775" s="178"/>
      <c r="C775" s="178"/>
      <c r="D775" s="178"/>
      <c r="E775" s="178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178"/>
      <c r="B776" s="178"/>
      <c r="C776" s="178"/>
      <c r="D776" s="178"/>
      <c r="E776" s="178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178"/>
      <c r="B777" s="178"/>
      <c r="C777" s="178"/>
      <c r="D777" s="178"/>
      <c r="E777" s="178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178"/>
      <c r="B778" s="178"/>
      <c r="C778" s="178"/>
      <c r="D778" s="178"/>
      <c r="E778" s="178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178"/>
      <c r="B779" s="178"/>
      <c r="C779" s="178"/>
      <c r="D779" s="178"/>
      <c r="E779" s="178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178"/>
      <c r="B780" s="178"/>
      <c r="C780" s="178"/>
      <c r="D780" s="178"/>
      <c r="E780" s="178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178"/>
      <c r="B781" s="178"/>
      <c r="C781" s="178"/>
      <c r="D781" s="178"/>
      <c r="E781" s="178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178"/>
      <c r="B782" s="178"/>
      <c r="C782" s="178"/>
      <c r="D782" s="178"/>
      <c r="E782" s="178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178"/>
      <c r="B783" s="178"/>
      <c r="C783" s="178"/>
      <c r="D783" s="178"/>
      <c r="E783" s="178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178"/>
      <c r="B784" s="178"/>
      <c r="C784" s="178"/>
      <c r="D784" s="178"/>
      <c r="E784" s="178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178"/>
      <c r="B785" s="178"/>
      <c r="C785" s="178"/>
      <c r="D785" s="178"/>
      <c r="E785" s="178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178"/>
      <c r="B786" s="178"/>
      <c r="C786" s="178"/>
      <c r="D786" s="178"/>
      <c r="E786" s="178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178"/>
      <c r="B787" s="178"/>
      <c r="C787" s="178"/>
      <c r="D787" s="178"/>
      <c r="E787" s="178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178"/>
      <c r="B788" s="178"/>
      <c r="C788" s="178"/>
      <c r="D788" s="178"/>
      <c r="E788" s="178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178"/>
      <c r="B789" s="178"/>
      <c r="C789" s="178"/>
      <c r="D789" s="178"/>
      <c r="E789" s="178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178"/>
      <c r="B790" s="178"/>
      <c r="C790" s="178"/>
      <c r="D790" s="178"/>
      <c r="E790" s="178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178"/>
      <c r="B791" s="178"/>
      <c r="C791" s="178"/>
      <c r="D791" s="178"/>
      <c r="E791" s="178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178"/>
      <c r="B792" s="178"/>
      <c r="C792" s="178"/>
      <c r="D792" s="178"/>
      <c r="E792" s="178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178"/>
      <c r="B793" s="178"/>
      <c r="C793" s="178"/>
      <c r="D793" s="178"/>
      <c r="E793" s="178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178"/>
      <c r="B794" s="178"/>
      <c r="C794" s="178"/>
      <c r="D794" s="178"/>
      <c r="E794" s="178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178"/>
      <c r="B795" s="178"/>
      <c r="C795" s="178"/>
      <c r="D795" s="178"/>
      <c r="E795" s="178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178"/>
      <c r="B796" s="178"/>
      <c r="C796" s="178"/>
      <c r="D796" s="178"/>
      <c r="E796" s="178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178"/>
      <c r="B797" s="178"/>
      <c r="C797" s="178"/>
      <c r="D797" s="178"/>
      <c r="E797" s="178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178"/>
      <c r="B798" s="178"/>
      <c r="C798" s="178"/>
      <c r="D798" s="178"/>
      <c r="E798" s="178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178"/>
      <c r="B799" s="178"/>
      <c r="C799" s="178"/>
      <c r="D799" s="178"/>
      <c r="E799" s="178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178"/>
      <c r="B800" s="178"/>
      <c r="C800" s="178"/>
      <c r="D800" s="178"/>
      <c r="E800" s="178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178"/>
      <c r="B801" s="178"/>
      <c r="C801" s="178"/>
      <c r="D801" s="178"/>
      <c r="E801" s="178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178"/>
      <c r="B802" s="178"/>
      <c r="C802" s="178"/>
      <c r="D802" s="178"/>
      <c r="E802" s="178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178"/>
      <c r="B803" s="178"/>
      <c r="C803" s="178"/>
      <c r="D803" s="178"/>
      <c r="E803" s="178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178"/>
      <c r="B804" s="178"/>
      <c r="C804" s="178"/>
      <c r="D804" s="178"/>
      <c r="E804" s="178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178"/>
      <c r="B805" s="178"/>
      <c r="C805" s="178"/>
      <c r="D805" s="178"/>
      <c r="E805" s="178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178"/>
      <c r="B806" s="178"/>
      <c r="C806" s="178"/>
      <c r="D806" s="178"/>
      <c r="E806" s="178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178"/>
      <c r="B807" s="178"/>
      <c r="C807" s="178"/>
      <c r="D807" s="178"/>
      <c r="E807" s="178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178"/>
      <c r="B808" s="178"/>
      <c r="C808" s="178"/>
      <c r="D808" s="178"/>
      <c r="E808" s="178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178"/>
      <c r="B809" s="178"/>
      <c r="C809" s="178"/>
      <c r="D809" s="178"/>
      <c r="E809" s="178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178"/>
      <c r="B810" s="178"/>
      <c r="C810" s="178"/>
      <c r="D810" s="178"/>
      <c r="E810" s="178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178"/>
      <c r="B811" s="178"/>
      <c r="C811" s="178"/>
      <c r="D811" s="178"/>
      <c r="E811" s="178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178"/>
      <c r="B812" s="178"/>
      <c r="C812" s="178"/>
      <c r="D812" s="178"/>
      <c r="E812" s="178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178"/>
      <c r="B813" s="178"/>
      <c r="C813" s="178"/>
      <c r="D813" s="178"/>
      <c r="E813" s="178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178"/>
      <c r="B814" s="178"/>
      <c r="C814" s="178"/>
      <c r="D814" s="178"/>
      <c r="E814" s="178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178"/>
      <c r="B815" s="178"/>
      <c r="C815" s="178"/>
      <c r="D815" s="178"/>
      <c r="E815" s="178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178"/>
      <c r="B816" s="178"/>
      <c r="C816" s="178"/>
      <c r="D816" s="178"/>
      <c r="E816" s="178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178"/>
      <c r="B817" s="178"/>
      <c r="C817" s="178"/>
      <c r="D817" s="178"/>
      <c r="E817" s="178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178"/>
      <c r="B818" s="178"/>
      <c r="C818" s="178"/>
      <c r="D818" s="178"/>
      <c r="E818" s="178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178"/>
      <c r="B819" s="178"/>
      <c r="C819" s="178"/>
      <c r="D819" s="178"/>
      <c r="E819" s="178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178"/>
      <c r="B820" s="178"/>
      <c r="C820" s="178"/>
      <c r="D820" s="178"/>
      <c r="E820" s="178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178"/>
      <c r="B821" s="178"/>
      <c r="C821" s="178"/>
      <c r="D821" s="178"/>
      <c r="E821" s="178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178"/>
      <c r="B822" s="178"/>
      <c r="C822" s="178"/>
      <c r="D822" s="178"/>
      <c r="E822" s="178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178"/>
      <c r="B823" s="178"/>
      <c r="C823" s="178"/>
      <c r="D823" s="178"/>
      <c r="E823" s="178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178"/>
      <c r="B824" s="178"/>
      <c r="C824" s="178"/>
      <c r="D824" s="178"/>
      <c r="E824" s="178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178"/>
      <c r="B825" s="178"/>
      <c r="C825" s="178"/>
      <c r="D825" s="178"/>
      <c r="E825" s="178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178"/>
      <c r="B826" s="178"/>
      <c r="C826" s="178"/>
      <c r="D826" s="178"/>
      <c r="E826" s="178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178"/>
      <c r="B827" s="178"/>
      <c r="C827" s="178"/>
      <c r="D827" s="178"/>
      <c r="E827" s="178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178"/>
      <c r="B828" s="178"/>
      <c r="C828" s="178"/>
      <c r="D828" s="178"/>
      <c r="E828" s="178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178"/>
      <c r="B829" s="178"/>
      <c r="C829" s="178"/>
      <c r="D829" s="178"/>
      <c r="E829" s="178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178"/>
      <c r="B830" s="178"/>
      <c r="C830" s="178"/>
      <c r="D830" s="178"/>
      <c r="E830" s="178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178"/>
      <c r="B831" s="178"/>
      <c r="C831" s="178"/>
      <c r="D831" s="178"/>
      <c r="E831" s="178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178"/>
      <c r="B832" s="178"/>
      <c r="C832" s="178"/>
      <c r="D832" s="178"/>
      <c r="E832" s="178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178"/>
      <c r="B833" s="178"/>
      <c r="C833" s="178"/>
      <c r="D833" s="178"/>
      <c r="E833" s="178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178"/>
      <c r="B834" s="178"/>
      <c r="C834" s="178"/>
      <c r="D834" s="178"/>
      <c r="E834" s="178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178"/>
      <c r="B835" s="178"/>
      <c r="C835" s="178"/>
      <c r="D835" s="178"/>
      <c r="E835" s="178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178"/>
      <c r="B836" s="178"/>
      <c r="C836" s="178"/>
      <c r="D836" s="178"/>
      <c r="E836" s="178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178"/>
      <c r="B837" s="178"/>
      <c r="C837" s="178"/>
      <c r="D837" s="178"/>
      <c r="E837" s="178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178"/>
      <c r="B838" s="178"/>
      <c r="C838" s="178"/>
      <c r="D838" s="178"/>
      <c r="E838" s="178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178"/>
      <c r="B839" s="178"/>
      <c r="C839" s="178"/>
      <c r="D839" s="178"/>
      <c r="E839" s="178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178"/>
      <c r="B840" s="178"/>
      <c r="C840" s="178"/>
      <c r="D840" s="178"/>
      <c r="E840" s="178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178"/>
      <c r="B841" s="178"/>
      <c r="C841" s="178"/>
      <c r="D841" s="178"/>
      <c r="E841" s="178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178"/>
      <c r="B842" s="178"/>
      <c r="C842" s="178"/>
      <c r="D842" s="178"/>
      <c r="E842" s="178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178"/>
      <c r="B843" s="178"/>
      <c r="C843" s="178"/>
      <c r="D843" s="178"/>
      <c r="E843" s="178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178"/>
      <c r="B844" s="178"/>
      <c r="C844" s="178"/>
      <c r="D844" s="178"/>
      <c r="E844" s="178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178"/>
      <c r="B845" s="178"/>
      <c r="C845" s="178"/>
      <c r="D845" s="178"/>
      <c r="E845" s="178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178"/>
      <c r="B846" s="178"/>
      <c r="C846" s="178"/>
      <c r="D846" s="178"/>
      <c r="E846" s="178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178"/>
      <c r="B847" s="178"/>
      <c r="C847" s="178"/>
      <c r="D847" s="178"/>
      <c r="E847" s="178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178"/>
      <c r="B848" s="178"/>
      <c r="C848" s="178"/>
      <c r="D848" s="178"/>
      <c r="E848" s="178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178"/>
      <c r="B849" s="178"/>
      <c r="C849" s="178"/>
      <c r="D849" s="178"/>
      <c r="E849" s="178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178"/>
      <c r="B850" s="178"/>
      <c r="C850" s="178"/>
      <c r="D850" s="178"/>
      <c r="E850" s="178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178"/>
      <c r="B851" s="178"/>
      <c r="C851" s="178"/>
      <c r="D851" s="178"/>
      <c r="E851" s="178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178"/>
      <c r="B852" s="178"/>
      <c r="C852" s="178"/>
      <c r="D852" s="178"/>
      <c r="E852" s="178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178"/>
      <c r="B853" s="178"/>
      <c r="C853" s="178"/>
      <c r="D853" s="178"/>
      <c r="E853" s="178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178"/>
      <c r="B854" s="178"/>
      <c r="C854" s="178"/>
      <c r="D854" s="178"/>
      <c r="E854" s="178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178"/>
      <c r="B855" s="178"/>
      <c r="C855" s="178"/>
      <c r="D855" s="178"/>
      <c r="E855" s="178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178"/>
      <c r="B856" s="178"/>
      <c r="C856" s="178"/>
      <c r="D856" s="178"/>
      <c r="E856" s="178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178"/>
      <c r="B857" s="178"/>
      <c r="C857" s="178"/>
      <c r="D857" s="178"/>
      <c r="E857" s="178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178"/>
      <c r="B858" s="178"/>
      <c r="C858" s="178"/>
      <c r="D858" s="178"/>
      <c r="E858" s="178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178"/>
      <c r="B859" s="178"/>
      <c r="C859" s="178"/>
      <c r="D859" s="178"/>
      <c r="E859" s="178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178"/>
      <c r="B860" s="178"/>
      <c r="C860" s="178"/>
      <c r="D860" s="178"/>
      <c r="E860" s="178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178"/>
      <c r="B861" s="178"/>
      <c r="C861" s="178"/>
      <c r="D861" s="178"/>
      <c r="E861" s="178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178"/>
      <c r="B862" s="178"/>
      <c r="C862" s="178"/>
      <c r="D862" s="178"/>
      <c r="E862" s="178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178"/>
      <c r="B863" s="178"/>
      <c r="C863" s="178"/>
      <c r="D863" s="178"/>
      <c r="E863" s="178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178"/>
      <c r="B864" s="178"/>
      <c r="C864" s="178"/>
      <c r="D864" s="178"/>
      <c r="E864" s="178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178"/>
      <c r="B865" s="178"/>
      <c r="C865" s="178"/>
      <c r="D865" s="178"/>
      <c r="E865" s="178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178"/>
      <c r="B866" s="178"/>
      <c r="C866" s="178"/>
      <c r="D866" s="178"/>
      <c r="E866" s="178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178"/>
      <c r="B867" s="178"/>
      <c r="C867" s="178"/>
      <c r="D867" s="178"/>
      <c r="E867" s="178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178"/>
      <c r="B868" s="178"/>
      <c r="C868" s="178"/>
      <c r="D868" s="178"/>
      <c r="E868" s="178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178"/>
      <c r="B869" s="178"/>
      <c r="C869" s="178"/>
      <c r="D869" s="178"/>
      <c r="E869" s="178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178"/>
      <c r="B870" s="178"/>
      <c r="C870" s="178"/>
      <c r="D870" s="178"/>
      <c r="E870" s="178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178"/>
      <c r="B871" s="178"/>
      <c r="C871" s="178"/>
      <c r="D871" s="178"/>
      <c r="E871" s="178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178"/>
      <c r="B872" s="178"/>
      <c r="C872" s="178"/>
      <c r="D872" s="178"/>
      <c r="E872" s="178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178"/>
      <c r="B873" s="178"/>
      <c r="C873" s="178"/>
      <c r="D873" s="178"/>
      <c r="E873" s="178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178"/>
      <c r="B874" s="178"/>
      <c r="C874" s="178"/>
      <c r="D874" s="178"/>
      <c r="E874" s="178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178"/>
      <c r="B875" s="178"/>
      <c r="C875" s="178"/>
      <c r="D875" s="178"/>
      <c r="E875" s="178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178"/>
      <c r="B876" s="178"/>
      <c r="C876" s="178"/>
      <c r="D876" s="178"/>
      <c r="E876" s="178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178"/>
      <c r="B877" s="178"/>
      <c r="C877" s="178"/>
      <c r="D877" s="178"/>
      <c r="E877" s="178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178"/>
      <c r="B878" s="178"/>
      <c r="C878" s="178"/>
      <c r="D878" s="178"/>
      <c r="E878" s="178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178"/>
      <c r="B879" s="178"/>
      <c r="C879" s="178"/>
      <c r="D879" s="178"/>
      <c r="E879" s="178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178"/>
      <c r="B880" s="178"/>
      <c r="C880" s="178"/>
      <c r="D880" s="178"/>
      <c r="E880" s="178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178"/>
      <c r="B881" s="178"/>
      <c r="C881" s="178"/>
      <c r="D881" s="178"/>
      <c r="E881" s="178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178"/>
      <c r="B882" s="178"/>
      <c r="C882" s="178"/>
      <c r="D882" s="178"/>
      <c r="E882" s="178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178"/>
      <c r="B883" s="178"/>
      <c r="C883" s="178"/>
      <c r="D883" s="178"/>
      <c r="E883" s="178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178"/>
      <c r="B884" s="178"/>
      <c r="C884" s="178"/>
      <c r="D884" s="178"/>
      <c r="E884" s="178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178"/>
      <c r="B885" s="178"/>
      <c r="C885" s="178"/>
      <c r="D885" s="178"/>
      <c r="E885" s="178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178"/>
      <c r="B886" s="178"/>
      <c r="C886" s="178"/>
      <c r="D886" s="178"/>
      <c r="E886" s="178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178"/>
      <c r="B887" s="178"/>
      <c r="C887" s="178"/>
      <c r="D887" s="178"/>
      <c r="E887" s="178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178"/>
      <c r="B888" s="178"/>
      <c r="C888" s="178"/>
      <c r="D888" s="178"/>
      <c r="E888" s="178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178"/>
      <c r="B889" s="178"/>
      <c r="C889" s="178"/>
      <c r="D889" s="178"/>
      <c r="E889" s="178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178"/>
      <c r="B890" s="178"/>
      <c r="C890" s="178"/>
      <c r="D890" s="178"/>
      <c r="E890" s="178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178"/>
      <c r="B891" s="178"/>
      <c r="C891" s="178"/>
      <c r="D891" s="178"/>
      <c r="E891" s="178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178"/>
      <c r="B892" s="178"/>
      <c r="C892" s="178"/>
      <c r="D892" s="178"/>
      <c r="E892" s="178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178"/>
      <c r="B893" s="178"/>
      <c r="C893" s="178"/>
      <c r="D893" s="178"/>
      <c r="E893" s="178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178"/>
      <c r="B894" s="178"/>
      <c r="C894" s="178"/>
      <c r="D894" s="178"/>
      <c r="E894" s="178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178"/>
      <c r="B895" s="178"/>
      <c r="C895" s="178"/>
      <c r="D895" s="178"/>
      <c r="E895" s="178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178"/>
      <c r="B896" s="178"/>
      <c r="C896" s="178"/>
      <c r="D896" s="178"/>
      <c r="E896" s="178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178"/>
      <c r="B897" s="178"/>
      <c r="C897" s="178"/>
      <c r="D897" s="178"/>
      <c r="E897" s="178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178"/>
      <c r="B898" s="178"/>
      <c r="C898" s="178"/>
      <c r="D898" s="178"/>
      <c r="E898" s="178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178"/>
      <c r="B899" s="178"/>
      <c r="C899" s="178"/>
      <c r="D899" s="178"/>
      <c r="E899" s="178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178"/>
      <c r="B900" s="178"/>
      <c r="C900" s="178"/>
      <c r="D900" s="178"/>
      <c r="E900" s="178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178"/>
      <c r="B901" s="178"/>
      <c r="C901" s="178"/>
      <c r="D901" s="178"/>
      <c r="E901" s="178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178"/>
      <c r="B902" s="178"/>
      <c r="C902" s="178"/>
      <c r="D902" s="178"/>
      <c r="E902" s="178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178"/>
      <c r="B903" s="178"/>
      <c r="C903" s="178"/>
      <c r="D903" s="178"/>
      <c r="E903" s="178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178"/>
      <c r="B904" s="178"/>
      <c r="C904" s="178"/>
      <c r="D904" s="178"/>
      <c r="E904" s="178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178"/>
      <c r="B905" s="178"/>
      <c r="C905" s="178"/>
      <c r="D905" s="178"/>
      <c r="E905" s="178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178"/>
      <c r="B906" s="178"/>
      <c r="C906" s="178"/>
      <c r="D906" s="178"/>
      <c r="E906" s="178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178"/>
      <c r="B907" s="178"/>
      <c r="C907" s="178"/>
      <c r="D907" s="178"/>
      <c r="E907" s="178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178"/>
      <c r="B908" s="178"/>
      <c r="C908" s="178"/>
      <c r="D908" s="178"/>
      <c r="E908" s="178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178"/>
      <c r="B909" s="178"/>
      <c r="C909" s="178"/>
      <c r="D909" s="178"/>
      <c r="E909" s="178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178"/>
      <c r="B910" s="178"/>
      <c r="C910" s="178"/>
      <c r="D910" s="178"/>
      <c r="E910" s="178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178"/>
      <c r="B911" s="178"/>
      <c r="C911" s="178"/>
      <c r="D911" s="178"/>
      <c r="E911" s="178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178"/>
      <c r="B912" s="178"/>
      <c r="C912" s="178"/>
      <c r="D912" s="178"/>
      <c r="E912" s="178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178"/>
      <c r="B913" s="178"/>
      <c r="C913" s="178"/>
      <c r="D913" s="178"/>
      <c r="E913" s="178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178"/>
      <c r="B914" s="178"/>
      <c r="C914" s="178"/>
      <c r="D914" s="178"/>
      <c r="E914" s="178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178"/>
      <c r="B915" s="178"/>
      <c r="C915" s="178"/>
      <c r="D915" s="178"/>
      <c r="E915" s="178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178"/>
      <c r="B916" s="178"/>
      <c r="C916" s="178"/>
      <c r="D916" s="178"/>
      <c r="E916" s="178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178"/>
      <c r="B917" s="178"/>
      <c r="C917" s="178"/>
      <c r="D917" s="178"/>
      <c r="E917" s="178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178"/>
      <c r="B918" s="178"/>
      <c r="C918" s="178"/>
      <c r="D918" s="178"/>
      <c r="E918" s="178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178"/>
      <c r="B919" s="178"/>
      <c r="C919" s="178"/>
      <c r="D919" s="178"/>
      <c r="E919" s="178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178"/>
      <c r="B920" s="178"/>
      <c r="C920" s="178"/>
      <c r="D920" s="178"/>
      <c r="E920" s="178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178"/>
      <c r="B921" s="178"/>
      <c r="C921" s="178"/>
      <c r="D921" s="178"/>
      <c r="E921" s="178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178"/>
      <c r="B922" s="178"/>
      <c r="C922" s="178"/>
      <c r="D922" s="178"/>
      <c r="E922" s="178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178"/>
      <c r="B923" s="178"/>
      <c r="C923" s="178"/>
      <c r="D923" s="178"/>
      <c r="E923" s="178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178"/>
      <c r="B924" s="178"/>
      <c r="C924" s="178"/>
      <c r="D924" s="178"/>
      <c r="E924" s="178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178"/>
      <c r="B925" s="178"/>
      <c r="C925" s="178"/>
      <c r="D925" s="178"/>
      <c r="E925" s="178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178"/>
      <c r="B926" s="178"/>
      <c r="C926" s="178"/>
      <c r="D926" s="178"/>
      <c r="E926" s="178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178"/>
      <c r="B927" s="178"/>
      <c r="C927" s="178"/>
      <c r="D927" s="178"/>
      <c r="E927" s="178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178"/>
      <c r="B928" s="178"/>
      <c r="C928" s="178"/>
      <c r="D928" s="178"/>
      <c r="E928" s="178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178"/>
      <c r="B929" s="178"/>
      <c r="C929" s="178"/>
      <c r="D929" s="178"/>
      <c r="E929" s="178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178"/>
      <c r="B930" s="178"/>
      <c r="C930" s="178"/>
      <c r="D930" s="178"/>
      <c r="E930" s="178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178"/>
      <c r="B931" s="178"/>
      <c r="C931" s="178"/>
      <c r="D931" s="178"/>
      <c r="E931" s="178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178"/>
      <c r="B932" s="178"/>
      <c r="C932" s="178"/>
      <c r="D932" s="178"/>
      <c r="E932" s="178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178"/>
      <c r="B933" s="178"/>
      <c r="C933" s="178"/>
      <c r="D933" s="178"/>
      <c r="E933" s="178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178"/>
      <c r="B934" s="178"/>
      <c r="C934" s="178"/>
      <c r="D934" s="178"/>
      <c r="E934" s="178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178"/>
      <c r="B935" s="178"/>
      <c r="C935" s="178"/>
      <c r="D935" s="178"/>
      <c r="E935" s="178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178"/>
      <c r="B936" s="178"/>
      <c r="C936" s="178"/>
      <c r="D936" s="178"/>
      <c r="E936" s="178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178"/>
      <c r="B937" s="178"/>
      <c r="C937" s="178"/>
      <c r="D937" s="178"/>
      <c r="E937" s="178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178"/>
      <c r="B938" s="178"/>
      <c r="C938" s="178"/>
      <c r="D938" s="178"/>
      <c r="E938" s="178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178"/>
      <c r="B939" s="178"/>
      <c r="C939" s="178"/>
      <c r="D939" s="178"/>
      <c r="E939" s="178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178"/>
      <c r="B940" s="178"/>
      <c r="C940" s="178"/>
      <c r="D940" s="178"/>
      <c r="E940" s="178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178"/>
      <c r="B941" s="178"/>
      <c r="C941" s="178"/>
      <c r="D941" s="178"/>
      <c r="E941" s="178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178"/>
      <c r="B942" s="178"/>
      <c r="C942" s="178"/>
      <c r="D942" s="178"/>
      <c r="E942" s="178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178"/>
      <c r="B943" s="178"/>
      <c r="C943" s="178"/>
      <c r="D943" s="178"/>
      <c r="E943" s="178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178"/>
      <c r="B944" s="178"/>
      <c r="C944" s="178"/>
      <c r="D944" s="178"/>
      <c r="E944" s="178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178"/>
      <c r="B945" s="178"/>
      <c r="C945" s="178"/>
      <c r="D945" s="178"/>
      <c r="E945" s="178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178"/>
      <c r="B946" s="178"/>
      <c r="C946" s="178"/>
      <c r="D946" s="178"/>
      <c r="E946" s="178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178"/>
      <c r="B947" s="178"/>
      <c r="C947" s="178"/>
      <c r="D947" s="178"/>
      <c r="E947" s="178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178"/>
      <c r="B948" s="178"/>
      <c r="C948" s="178"/>
      <c r="D948" s="178"/>
      <c r="E948" s="178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178"/>
      <c r="B949" s="178"/>
      <c r="C949" s="178"/>
      <c r="D949" s="178"/>
      <c r="E949" s="178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178"/>
      <c r="B950" s="178"/>
      <c r="C950" s="178"/>
      <c r="D950" s="178"/>
      <c r="E950" s="178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178"/>
      <c r="B951" s="178"/>
      <c r="C951" s="178"/>
      <c r="D951" s="178"/>
      <c r="E951" s="178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178"/>
      <c r="B952" s="178"/>
      <c r="C952" s="178"/>
      <c r="D952" s="178"/>
      <c r="E952" s="178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178"/>
      <c r="B953" s="178"/>
      <c r="C953" s="178"/>
      <c r="D953" s="178"/>
      <c r="E953" s="178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178"/>
      <c r="B954" s="178"/>
      <c r="C954" s="178"/>
      <c r="D954" s="178"/>
      <c r="E954" s="178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178"/>
      <c r="B955" s="178"/>
      <c r="C955" s="178"/>
      <c r="D955" s="178"/>
      <c r="E955" s="178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178"/>
      <c r="B956" s="178"/>
      <c r="C956" s="178"/>
      <c r="D956" s="178"/>
      <c r="E956" s="178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178"/>
      <c r="B957" s="178"/>
      <c r="C957" s="178"/>
      <c r="D957" s="178"/>
      <c r="E957" s="178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178"/>
      <c r="B958" s="178"/>
      <c r="C958" s="178"/>
      <c r="D958" s="178"/>
      <c r="E958" s="178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178"/>
      <c r="B959" s="178"/>
      <c r="C959" s="178"/>
      <c r="D959" s="178"/>
      <c r="E959" s="178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178"/>
      <c r="B960" s="178"/>
      <c r="C960" s="178"/>
      <c r="D960" s="178"/>
      <c r="E960" s="178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178"/>
      <c r="B961" s="178"/>
      <c r="C961" s="178"/>
      <c r="D961" s="178"/>
      <c r="E961" s="178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178"/>
      <c r="B962" s="178"/>
      <c r="C962" s="178"/>
      <c r="D962" s="178"/>
      <c r="E962" s="178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178"/>
      <c r="B963" s="178"/>
      <c r="C963" s="178"/>
      <c r="D963" s="178"/>
      <c r="E963" s="178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178"/>
      <c r="B964" s="178"/>
      <c r="C964" s="178"/>
      <c r="D964" s="178"/>
      <c r="E964" s="178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178"/>
      <c r="B965" s="178"/>
      <c r="C965" s="178"/>
      <c r="D965" s="178"/>
      <c r="E965" s="178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178"/>
      <c r="B966" s="178"/>
      <c r="C966" s="178"/>
      <c r="D966" s="178"/>
      <c r="E966" s="178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178"/>
      <c r="B967" s="178"/>
      <c r="C967" s="178"/>
      <c r="D967" s="178"/>
      <c r="E967" s="178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178"/>
      <c r="B968" s="178"/>
      <c r="C968" s="178"/>
      <c r="D968" s="178"/>
      <c r="E968" s="178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178"/>
      <c r="B969" s="178"/>
      <c r="C969" s="178"/>
      <c r="D969" s="178"/>
      <c r="E969" s="178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178"/>
      <c r="B970" s="178"/>
      <c r="C970" s="178"/>
      <c r="D970" s="178"/>
      <c r="E970" s="178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178"/>
      <c r="B971" s="178"/>
      <c r="C971" s="178"/>
      <c r="D971" s="178"/>
      <c r="E971" s="178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178"/>
      <c r="B972" s="178"/>
      <c r="C972" s="178"/>
      <c r="D972" s="178"/>
      <c r="E972" s="178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178"/>
      <c r="B973" s="178"/>
      <c r="C973" s="178"/>
      <c r="D973" s="178"/>
      <c r="E973" s="178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178"/>
      <c r="B974" s="178"/>
      <c r="C974" s="178"/>
      <c r="D974" s="178"/>
      <c r="E974" s="178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178"/>
      <c r="B975" s="178"/>
      <c r="C975" s="178"/>
      <c r="D975" s="178"/>
      <c r="E975" s="178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178"/>
      <c r="B976" s="178"/>
      <c r="C976" s="178"/>
      <c r="D976" s="178"/>
      <c r="E976" s="178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178"/>
      <c r="B977" s="178"/>
      <c r="C977" s="178"/>
      <c r="D977" s="178"/>
      <c r="E977" s="178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178"/>
      <c r="B978" s="178"/>
      <c r="C978" s="178"/>
      <c r="D978" s="178"/>
      <c r="E978" s="178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178"/>
      <c r="B979" s="178"/>
      <c r="C979" s="178"/>
      <c r="D979" s="178"/>
      <c r="E979" s="178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178"/>
      <c r="B980" s="178"/>
      <c r="C980" s="178"/>
      <c r="D980" s="178"/>
      <c r="E980" s="178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178"/>
      <c r="B981" s="178"/>
      <c r="C981" s="178"/>
      <c r="D981" s="178"/>
      <c r="E981" s="178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178"/>
      <c r="B982" s="178"/>
      <c r="C982" s="178"/>
      <c r="D982" s="178"/>
      <c r="E982" s="178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178"/>
      <c r="B983" s="178"/>
      <c r="C983" s="178"/>
      <c r="D983" s="178"/>
      <c r="E983" s="178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178"/>
      <c r="B984" s="178"/>
      <c r="C984" s="178"/>
      <c r="D984" s="178"/>
      <c r="E984" s="178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178"/>
      <c r="B985" s="178"/>
      <c r="C985" s="178"/>
      <c r="D985" s="178"/>
      <c r="E985" s="178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178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178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178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42.63"/>
    <col customWidth="1" min="3" max="3" width="16.0"/>
    <col customWidth="1" min="4" max="4" width="24.25"/>
    <col customWidth="1" min="5" max="5" width="10.38"/>
    <col customWidth="1" min="7" max="7" width="76.8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178"/>
      <c r="G1" s="80" t="s">
        <v>5</v>
      </c>
      <c r="H1" s="81">
        <f>H4</f>
        <v>31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146" t="s">
        <v>1680</v>
      </c>
      <c r="B2" s="73" t="str">
        <f t="array" ref="B2">IFERROR(XLOOKUP(A2, BASE!E:E, BASE!B:B), "")
</f>
        <v>LM Hub_SP_Guaratinguetá</v>
      </c>
      <c r="C2" s="73" t="str">
        <f t="array" ref="C2">IFERROR(XLOOKUP(A2, BASE!E:E, BASE!C:C), "")
</f>
        <v>HUB-LSP-33</v>
      </c>
      <c r="D2" s="73">
        <f t="array" ref="D2">IFERROR(XLOOKUP(A2, BASE!E:E, BASE!D:D), "")
</f>
        <v>15</v>
      </c>
      <c r="E2" s="168">
        <f t="array" ref="E2">IFERROR(XLOOKUP(A2, BASE!E:E, BASE!H:H), "")
</f>
        <v>46067.25</v>
      </c>
      <c r="F2" s="178"/>
      <c r="G2" s="82" t="s">
        <v>9</v>
      </c>
      <c r="H2" s="82">
        <f>COUNTIF(C:C,"*LSP*")
</f>
        <v>22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146" t="s">
        <v>1681</v>
      </c>
      <c r="B3" s="73" t="str">
        <f t="array" ref="B3">IFERROR(XLOOKUP(A3, BASE!E:E, BASE!B:B), "")
</f>
        <v>LM Hub_SP_Registro</v>
      </c>
      <c r="C3" s="73" t="str">
        <f t="array" ref="C3">IFERROR(XLOOKUP(A3, BASE!E:E, BASE!C:C), "")
</f>
        <v>HUB-LSP-40</v>
      </c>
      <c r="D3" s="73">
        <f t="array" ref="D3">IFERROR(XLOOKUP(A3, BASE!E:E, BASE!D:D), "")
</f>
        <v>29</v>
      </c>
      <c r="E3" s="168">
        <f t="array" ref="E3">IFERROR(XLOOKUP(A3, BASE!E:E, BASE!H:H), "")
</f>
        <v>46067.25</v>
      </c>
      <c r="F3" s="178"/>
      <c r="G3" s="82" t="s">
        <v>13</v>
      </c>
      <c r="H3" s="82">
        <f>COUNTIF(C:C,"*SOC*")
</f>
        <v>10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146" t="s">
        <v>1682</v>
      </c>
      <c r="B4" s="73" t="str">
        <f t="array" ref="B4">IFERROR(XLOOKUP(A4, BASE!E:E, BASE!B:B), "")
</f>
        <v>LM Hub_SP_São José dos Campos</v>
      </c>
      <c r="C4" s="73" t="str">
        <f t="array" ref="C4">IFERROR(XLOOKUP(A4, BASE!E:E, BASE!C:C), "")
</f>
        <v>HUB-LSP-04</v>
      </c>
      <c r="D4" s="73">
        <f t="array" ref="D4">IFERROR(XLOOKUP(A4, BASE!E:E, BASE!D:D), "")
</f>
        <v>18</v>
      </c>
      <c r="E4" s="168">
        <f t="array" ref="E4">IFERROR(XLOOKUP(A4, BASE!E:E, BASE!H:H), "")
</f>
        <v>46067.25</v>
      </c>
      <c r="F4" s="178"/>
      <c r="G4" s="82" t="s">
        <v>810</v>
      </c>
      <c r="H4" s="198">
        <f>COUNTIFS(D:D,"&gt;=5",D:D,"&lt;=117")</f>
        <v>31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46" t="s">
        <v>1683</v>
      </c>
      <c r="B5" s="73" t="str">
        <f t="array" ref="B5">IFERROR(XLOOKUP(A5, BASE!E:E, BASE!B:B), "")
</f>
        <v>LM Hub_SP_Atibaia_Ponte_Alta</v>
      </c>
      <c r="C5" s="73" t="str">
        <f t="array" ref="C5">IFERROR(XLOOKUP(A5, BASE!E:E, BASE!C:C), "")
</f>
        <v>HUB-LSP-87</v>
      </c>
      <c r="D5" s="73">
        <f t="array" ref="D5">IFERROR(XLOOKUP(A5, BASE!E:E, BASE!D:D), "")
</f>
        <v>40</v>
      </c>
      <c r="E5" s="168">
        <f t="array" ref="E5">IFERROR(XLOOKUP(A5, BASE!E:E, BASE!H:H), "")
</f>
        <v>46067.27083</v>
      </c>
      <c r="F5" s="178"/>
      <c r="G5" s="82" t="s">
        <v>20</v>
      </c>
      <c r="H5" s="82">
        <f>COUNTIF(D:D,"*NÃO DOCOU*")</f>
        <v>0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146" t="s">
        <v>1684</v>
      </c>
      <c r="B6" s="73" t="str">
        <f t="array" ref="B6">IFERROR(XLOOKUP(A6, BASE!E:E, BASE!B:B), "")
</f>
        <v>LM Hub_SP_Taubaté</v>
      </c>
      <c r="C6" s="73" t="str">
        <f t="array" ref="C6">IFERROR(XLOOKUP(A6, BASE!E:E, BASE!C:C), "")
</f>
        <v>HUB-LSP-08</v>
      </c>
      <c r="D6" s="73">
        <f t="array" ref="D6">IFERROR(XLOOKUP(A6, BASE!E:E, BASE!D:D), "")
</f>
        <v>36</v>
      </c>
      <c r="E6" s="168">
        <f t="array" ref="E6">IFERROR(XLOOKUP(A6, BASE!E:E, BASE!H:H), "")
</f>
        <v>46067.27083</v>
      </c>
      <c r="F6" s="178"/>
      <c r="G6" s="198" t="s">
        <v>25</v>
      </c>
      <c r="H6" s="199">
        <f>COUNTIF(D:D,"*NÃO CHEGOU*")
</f>
        <v>0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146" t="s">
        <v>1685</v>
      </c>
      <c r="B7" s="73" t="str">
        <f t="array" ref="B7">IFERROR(XLOOKUP(A7, BASE!E:E, BASE!B:B), "")
</f>
        <v>LM Hub_SP_Sorocaba_Região Norte</v>
      </c>
      <c r="C7" s="73" t="str">
        <f t="array" ref="C7">IFERROR(XLOOKUP(A7, BASE!E:E, BASE!C:C), "")
</f>
        <v>HUB-LSP-10</v>
      </c>
      <c r="D7" s="73">
        <f t="array" ref="D7">IFERROR(XLOOKUP(A7, BASE!E:E, BASE!D:D), "")
</f>
        <v>26</v>
      </c>
      <c r="E7" s="168">
        <f t="array" ref="E7">IFERROR(XLOOKUP(A7, BASE!E:E, BASE!H:H), "")
</f>
        <v>46067.27083</v>
      </c>
      <c r="F7" s="178"/>
      <c r="G7" s="82" t="s">
        <v>815</v>
      </c>
      <c r="H7" s="82">
        <f>COUNTIF(D:D,"*DRIVER DUPLICADO*")</f>
        <v>0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146" t="s">
        <v>1686</v>
      </c>
      <c r="B8" s="73" t="str">
        <f t="array" ref="B8">IFERROR(XLOOKUP(A8, BASE!E:E, BASE!B:B), "")
</f>
        <v>SoC_RJ_Duque de Caxias</v>
      </c>
      <c r="C8" s="73" t="str">
        <f t="array" ref="C8">IFERROR(XLOOKUP(A8, BASE!E:E, BASE!C:C), "")
</f>
        <v>SOC-RJ2</v>
      </c>
      <c r="D8" s="73" t="str">
        <f t="array" ref="D8">IFERROR(XLOOKUP(A8, BASE!E:E, BASE!D:D), "")
</f>
        <v>97/12</v>
      </c>
      <c r="E8" s="168">
        <f t="array" ref="E8">IFERROR(XLOOKUP(A8, BASE!E:E, BASE!H:H), "")
</f>
        <v>46067.29167</v>
      </c>
      <c r="F8" s="178"/>
      <c r="G8" s="82" t="s">
        <v>1429</v>
      </c>
      <c r="H8" s="198">
        <f>COUNTIFS(D:D,"&gt;=86",D:D,"&lt;=109")</f>
        <v>9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146" t="s">
        <v>1687</v>
      </c>
      <c r="B9" s="73" t="str">
        <f t="array" ref="B9">IFERROR(XLOOKUP(A9, BASE!E:E, BASE!B:B), "")
</f>
        <v>LM Hub_SP_Barueri_01</v>
      </c>
      <c r="C9" s="73" t="str">
        <f t="array" ref="C9">IFERROR(XLOOKUP(A9, BASE!E:E, BASE!C:C), "")
</f>
        <v>HUB-LSP-81</v>
      </c>
      <c r="D9" s="73">
        <f t="array" ref="D9">IFERROR(XLOOKUP(A9, BASE!E:E, BASE!D:D), "")
</f>
        <v>28</v>
      </c>
      <c r="E9" s="168">
        <f t="array" ref="E9">IFERROR(XLOOKUP(A9, BASE!E:E, BASE!H:H), "")
</f>
        <v>46067.29167</v>
      </c>
      <c r="F9" s="178"/>
      <c r="G9" s="82" t="s">
        <v>1431</v>
      </c>
      <c r="H9" s="198">
        <f>COUNTIFS(D:D,"&gt;=5",D:D,"&lt;=57") + COUNTIFS(D:D,"&gt;=110",D:D,"&lt;=117")</f>
        <v>22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146" t="s">
        <v>1688</v>
      </c>
      <c r="B10" s="73" t="str">
        <f t="array" ref="B10">IFERROR(XLOOKUP(A10, BASE!E:E, BASE!B:B), "")
</f>
        <v>LM Hub_SP_Jundiaí</v>
      </c>
      <c r="C10" s="73" t="str">
        <f t="array" ref="C10">IFERROR(XLOOKUP(A10, BASE!E:E, BASE!C:C), "")
</f>
        <v>HUB-LSP-100</v>
      </c>
      <c r="D10" s="73">
        <f t="array" ref="D10">IFERROR(XLOOKUP(A10, BASE!E:E, BASE!D:D), "")
</f>
        <v>13</v>
      </c>
      <c r="E10" s="168">
        <f t="array" ref="E10">IFERROR(XLOOKUP(A10, BASE!E:E, BASE!H:H), "")
</f>
        <v>46067.29167</v>
      </c>
      <c r="F10" s="178"/>
      <c r="G10" s="9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146" t="s">
        <v>1689</v>
      </c>
      <c r="B11" s="73" t="str">
        <f t="array" ref="B11">IFERROR(XLOOKUP(A11, BASE!E:E, BASE!B:B), "")
</f>
        <v>LM Hub_SP_Piracicaba</v>
      </c>
      <c r="C11" s="73" t="str">
        <f t="array" ref="C11">IFERROR(XLOOKUP(A11, BASE!E:E, BASE!C:C), "")
</f>
        <v>HUB-LSP-62</v>
      </c>
      <c r="D11" s="73">
        <f t="array" ref="D11">IFERROR(XLOOKUP(A11, BASE!E:E, BASE!D:D), "")
</f>
        <v>24</v>
      </c>
      <c r="E11" s="168">
        <f t="array" ref="E11">IFERROR(XLOOKUP(A11, BASE!E:E, BASE!H:H), "")
</f>
        <v>46067.29167</v>
      </c>
      <c r="F11" s="9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146" t="s">
        <v>1690</v>
      </c>
      <c r="B12" s="73" t="str">
        <f t="array" ref="B12">IFERROR(XLOOKUP(A12, BASE!E:E, BASE!B:B), "")
</f>
        <v>LM Hub_SP_Santos_PraiaGrande_02</v>
      </c>
      <c r="C12" s="73" t="str">
        <f t="array" ref="C12">IFERROR(XLOOKUP(A12, BASE!E:E, BASE!C:C), "")
</f>
        <v>HUB-LSP-63</v>
      </c>
      <c r="D12" s="73">
        <f t="array" ref="D12">IFERROR(XLOOKUP(A12, BASE!E:E, BASE!D:D), "")
</f>
        <v>16</v>
      </c>
      <c r="E12" s="168">
        <f t="array" ref="E12">IFERROR(XLOOKUP(A12, BASE!E:E, BASE!H:H), "")
</f>
        <v>46067.29167</v>
      </c>
      <c r="F12" s="178"/>
      <c r="G12" s="84" t="s">
        <v>1548</v>
      </c>
      <c r="H12" s="9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146" t="s">
        <v>1691</v>
      </c>
      <c r="B13" s="73" t="str">
        <f t="array" ref="B13">IFERROR(XLOOKUP(A13, BASE!E:E, BASE!B:B), "")
</f>
        <v>LM Hub_SP_Guarujá</v>
      </c>
      <c r="C13" s="73" t="str">
        <f t="array" ref="C13">IFERROR(XLOOKUP(A13, BASE!E:E, BASE!C:C), "")
</f>
        <v>HUB-LSP-06</v>
      </c>
      <c r="D13" s="73">
        <f t="array" ref="D13">IFERROR(XLOOKUP(A13, BASE!E:E, BASE!D:D), "")
</f>
        <v>35</v>
      </c>
      <c r="E13" s="168">
        <f t="array" ref="E13">IFERROR(XLOOKUP(A13, BASE!E:E, BASE!H:H), "")
</f>
        <v>46067.3125</v>
      </c>
      <c r="F13" s="178"/>
      <c r="G13" s="178"/>
      <c r="H13" s="178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20.25" customHeight="1">
      <c r="A14" s="146" t="s">
        <v>1692</v>
      </c>
      <c r="B14" s="73" t="str">
        <f t="array" ref="B14">IFERROR(XLOOKUP(A14, BASE!E:E, BASE!B:B), "")
</f>
        <v>LM Hub_SP_Itapevi</v>
      </c>
      <c r="C14" s="73" t="str">
        <f t="array" ref="C14">IFERROR(XLOOKUP(A14, BASE!E:E, BASE!C:C), "")
</f>
        <v>HUB-LSP-41</v>
      </c>
      <c r="D14" s="73">
        <f t="array" ref="D14">IFERROR(XLOOKUP(A14, BASE!E:E, BASE!D:D), "")
</f>
        <v>34</v>
      </c>
      <c r="E14" s="168">
        <f t="array" ref="E14">IFERROR(XLOOKUP(A14, BASE!E:E, BASE!H:H), "")
</f>
        <v>46067.3125</v>
      </c>
      <c r="F14" s="178"/>
      <c r="G14" s="187" t="s">
        <v>653</v>
      </c>
      <c r="H14" s="178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32" t="s">
        <v>1693</v>
      </c>
      <c r="B15" s="73" t="str">
        <f t="array" ref="B15">IFERROR(XLOOKUP(A15, BASE!E:E, BASE!B:B), "")
</f>
        <v>LM Hub_SP_Várzea Paulista</v>
      </c>
      <c r="C15" s="73" t="str">
        <f t="array" ref="C15">IFERROR(XLOOKUP(A15, BASE!E:E, BASE!C:C), "")
</f>
        <v>HUB-LSP-20</v>
      </c>
      <c r="D15" s="73">
        <f t="array" ref="D15">IFERROR(XLOOKUP(A15, BASE!E:E, BASE!D:D), "")
</f>
        <v>17</v>
      </c>
      <c r="E15" s="168">
        <f t="array" ref="E15">IFERROR(XLOOKUP(A15, BASE!E:E, BASE!H:H), "")
</f>
        <v>46067.3125</v>
      </c>
      <c r="F15" s="178"/>
      <c r="G15" s="178"/>
      <c r="H15" s="178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146" t="s">
        <v>1694</v>
      </c>
      <c r="B16" s="73" t="str">
        <f t="array" ref="B16">IFERROR(XLOOKUP(A16, BASE!E:E, BASE!B:B), "")
</f>
        <v>LM Hub_SP_Santos_Praia Grande</v>
      </c>
      <c r="C16" s="73" t="str">
        <f t="array" ref="C16">IFERROR(XLOOKUP(A16, BASE!E:E, BASE!C:C), "")
</f>
        <v>HUB-LSP-09</v>
      </c>
      <c r="D16" s="73">
        <f t="array" ref="D16">IFERROR(XLOOKUP(A16, BASE!E:E, BASE!D:D), "")
</f>
        <v>14</v>
      </c>
      <c r="E16" s="168">
        <f t="array" ref="E16">IFERROR(XLOOKUP(A16, BASE!E:E, BASE!H:H), "")
</f>
        <v>46067.3125</v>
      </c>
      <c r="F16" s="178"/>
      <c r="G16" s="178"/>
      <c r="H16" s="178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146" t="s">
        <v>1695</v>
      </c>
      <c r="B17" s="73" t="str">
        <f t="array" ref="B17">IFERROR(XLOOKUP(A17, BASE!E:E, BASE!B:B), "")
</f>
        <v>LM Hub_SP_São Paulo_Mooca</v>
      </c>
      <c r="C17" s="73" t="str">
        <f t="array" ref="C17">IFERROR(XLOOKUP(A17, BASE!E:E, BASE!C:C), "")
</f>
        <v>HUB-LSP-13</v>
      </c>
      <c r="D17" s="73">
        <f t="array" ref="D17">IFERROR(XLOOKUP(A17, BASE!E:E, BASE!D:D), "")
</f>
        <v>27</v>
      </c>
      <c r="E17" s="168">
        <f t="array" ref="E17">IFERROR(XLOOKUP(A17, BASE!E:E, BASE!H:H), "")
</f>
        <v>46067.3125</v>
      </c>
      <c r="F17" s="178"/>
      <c r="G17" s="178"/>
      <c r="H17" s="178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146" t="s">
        <v>1696</v>
      </c>
      <c r="B18" s="73" t="str">
        <f t="array" ref="B18">IFERROR(XLOOKUP(A18, BASE!E:E, BASE!B:B), "")
</f>
        <v>LM Hub_SP_Artur Alvim</v>
      </c>
      <c r="C18" s="73" t="str">
        <f t="array" ref="C18">IFERROR(XLOOKUP(A18, BASE!E:E, BASE!C:C), "")
</f>
        <v>HUB-LSP-07</v>
      </c>
      <c r="D18" s="73">
        <f t="array" ref="D18">IFERROR(XLOOKUP(A18, BASE!E:E, BASE!D:D), "")
</f>
        <v>19</v>
      </c>
      <c r="E18" s="168">
        <f t="array" ref="E18">IFERROR(XLOOKUP(A18, BASE!E:E, BASE!H:H), "")
</f>
        <v>46067.33333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146" t="s">
        <v>1697</v>
      </c>
      <c r="B19" s="73" t="str">
        <f t="array" ref="B19">IFERROR(XLOOKUP(A19, BASE!E:E, BASE!B:B), "")
</f>
        <v>LM Hub_SP_Osasco_02</v>
      </c>
      <c r="C19" s="73" t="str">
        <f t="array" ref="C19">IFERROR(XLOOKUP(A19, BASE!E:E, BASE!C:C), "")
</f>
        <v>HUB-LSP-60</v>
      </c>
      <c r="D19" s="73">
        <f t="array" ref="D19">IFERROR(XLOOKUP(A19, BASE!E:E, BASE!D:D), "")
</f>
        <v>23</v>
      </c>
      <c r="E19" s="168">
        <f t="array" ref="E19">IFERROR(XLOOKUP(A19, BASE!E:E, BASE!H:H), "")
</f>
        <v>46067.33333</v>
      </c>
      <c r="F19" s="178"/>
      <c r="G19" s="178"/>
      <c r="H19" s="178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102" t="s">
        <v>1698</v>
      </c>
      <c r="B20" s="73" t="str">
        <f t="array" ref="B20">IFERROR(XLOOKUP(A20, BASE!E:E, BASE!B:B), "")
</f>
        <v>LM Hub_SP_São Paulo_Lapa</v>
      </c>
      <c r="C20" s="73" t="str">
        <f t="array" ref="C20">IFERROR(XLOOKUP(A20, BASE!E:E, BASE!C:C), "")
</f>
        <v>HUB-LSP-15</v>
      </c>
      <c r="D20" s="73">
        <f t="array" ref="D20">IFERROR(XLOOKUP(A20, BASE!E:E, BASE!D:D), "")
</f>
        <v>21</v>
      </c>
      <c r="E20" s="168">
        <f t="array" ref="E20">IFERROR(XLOOKUP(A20, BASE!E:E, BASE!H:H), "")
</f>
        <v>46067.33333</v>
      </c>
      <c r="F20" s="178"/>
      <c r="G20" s="178"/>
      <c r="H20" s="178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146" t="s">
        <v>1699</v>
      </c>
      <c r="B21" s="73" t="str">
        <f t="array" ref="B21">IFERROR(XLOOKUP(A21, BASE!E:E, BASE!B:B), "")
</f>
        <v>LM Hub_SP_VilaGuilherme</v>
      </c>
      <c r="C21" s="73" t="str">
        <f t="array" ref="C21">IFERROR(XLOOKUP(A21, BASE!E:E, BASE!C:C), "")
</f>
        <v>HUB-LSP-68</v>
      </c>
      <c r="D21" s="73">
        <f t="array" ref="D21">IFERROR(XLOOKUP(A21, BASE!E:E, BASE!D:D), "")
</f>
        <v>32</v>
      </c>
      <c r="E21" s="168">
        <f t="array" ref="E21">IFERROR(XLOOKUP(A21, BASE!E:E, BASE!H:H), "")
</f>
        <v>46067.33333</v>
      </c>
      <c r="F21" s="178"/>
      <c r="G21" s="178"/>
      <c r="H21" s="178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146" t="s">
        <v>1700</v>
      </c>
      <c r="B22" s="73" t="str">
        <f t="array" ref="B22">IFERROR(XLOOKUP(A22, BASE!E:E, BASE!B:B), "")
</f>
        <v>LM Hub_SP_Guarulhos</v>
      </c>
      <c r="C22" s="73" t="str">
        <f t="array" ref="C22">IFERROR(XLOOKUP(A22, BASE!E:E, BASE!C:C), "")
</f>
        <v>HUB-LSP-77</v>
      </c>
      <c r="D22" s="73">
        <v>22.0</v>
      </c>
      <c r="E22" s="168">
        <f t="array" ref="E22">IFERROR(XLOOKUP(A22, BASE!E:E, BASE!H:H), "")
</f>
        <v>46067.33333</v>
      </c>
      <c r="F22" s="178"/>
      <c r="G22" s="178"/>
      <c r="H22" s="178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146" t="s">
        <v>1701</v>
      </c>
      <c r="B23" s="73" t="str">
        <f t="array" ref="B23">IFERROR(XLOOKUP(A23, BASE!E:E, BASE!B:B), "")
</f>
        <v>LM Hub_SP_Embu das Artes</v>
      </c>
      <c r="C23" s="73" t="str">
        <f t="array" ref="C23">IFERROR(XLOOKUP(A23, BASE!E:E, BASE!C:C), "")
</f>
        <v>HUB-LSP-36</v>
      </c>
      <c r="D23" s="73">
        <f t="array" ref="D23">IFERROR(XLOOKUP(A23, BASE!E:E, BASE!D:D), "")
</f>
        <v>25</v>
      </c>
      <c r="E23" s="168">
        <f t="array" ref="E23">IFERROR(XLOOKUP(A23, BASE!E:E, BASE!H:H), "")
</f>
        <v>46067.33333</v>
      </c>
      <c r="F23" s="178"/>
      <c r="G23" s="178"/>
      <c r="H23" s="178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146" t="s">
        <v>1702</v>
      </c>
      <c r="B24" s="73" t="str">
        <f t="array" ref="B24">IFERROR(XLOOKUP(A24, BASE!E:E, BASE!B:B), "")
</f>
        <v>SoC_RS_Gravataí_02</v>
      </c>
      <c r="C24" s="73" t="str">
        <f t="array" ref="C24">IFERROR(XLOOKUP(A24, BASE!E:E, BASE!C:C), "")
</f>
        <v>SOC-RS2</v>
      </c>
      <c r="D24" s="73">
        <f t="array" ref="D24">IFERROR(XLOOKUP(A24, BASE!E:E, BASE!D:D), "")
</f>
        <v>93</v>
      </c>
      <c r="E24" s="168">
        <f t="array" ref="E24">IFERROR(XLOOKUP(A24, BASE!E:E, BASE!H:H), "")
</f>
        <v>46067.375</v>
      </c>
      <c r="F24" s="178"/>
      <c r="G24" s="178"/>
      <c r="H24" s="178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146" t="s">
        <v>1703</v>
      </c>
      <c r="B25" s="73" t="str">
        <f t="array" ref="B25">IFERROR(XLOOKUP(A25, BASE!E:E, BASE!B:B), "")
</f>
        <v>SoC_MG_Betim</v>
      </c>
      <c r="C25" s="73" t="str">
        <f t="array" ref="C25">IFERROR(XLOOKUP(A25, BASE!E:E, BASE!C:C), "")
</f>
        <v>SOC-MG2</v>
      </c>
      <c r="D25" s="73">
        <f t="array" ref="D25">IFERROR(XLOOKUP(A25, BASE!E:E, BASE!D:D), "")
</f>
        <v>90</v>
      </c>
      <c r="E25" s="168">
        <f t="array" ref="E25">IFERROR(XLOOKUP(A25, BASE!E:E, BASE!H:H), "")
</f>
        <v>46067.41667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146" t="s">
        <v>1704</v>
      </c>
      <c r="B26" s="73" t="str">
        <f t="array" ref="B26">IFERROR(XLOOKUP(A26, BASE!E:E, BASE!B:B), "")
</f>
        <v>SoC_GO_Goiânia_02</v>
      </c>
      <c r="C26" s="73" t="str">
        <f t="array" ref="C26">IFERROR(XLOOKUP(A26, BASE!E:E, BASE!C:C), "")
</f>
        <v>SOC-GO2</v>
      </c>
      <c r="D26" s="73">
        <f t="array" ref="D26">IFERROR(XLOOKUP(A26, BASE!E:E, BASE!D:D), "")
</f>
        <v>87</v>
      </c>
      <c r="E26" s="168">
        <f t="array" ref="E26">IFERROR(XLOOKUP(A26, BASE!E:E, BASE!H:H), "")
</f>
        <v>46067.45833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102" t="s">
        <v>1705</v>
      </c>
      <c r="B27" s="73" t="str">
        <f t="array" ref="B27">IFERROR(XLOOKUP(A27, BASE!E:E, BASE!B:B), "")
</f>
        <v>SoC_PE_Jaboatão dos Guararapes</v>
      </c>
      <c r="C27" s="73" t="str">
        <f t="array" ref="C27">IFERROR(XLOOKUP(A27, BASE!E:E, BASE!C:C), "")
</f>
        <v>SOC-PE2</v>
      </c>
      <c r="D27" s="73">
        <f t="array" ref="D27">IFERROR(XLOOKUP(A27, BASE!E:E, BASE!D:D), "")
</f>
        <v>99</v>
      </c>
      <c r="E27" s="168">
        <f t="array" ref="E27">IFERROR(XLOOKUP(A27, BASE!E:E, BASE!H:H), "")
</f>
        <v>46067.45833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146" t="s">
        <v>1706</v>
      </c>
      <c r="B28" s="73" t="str">
        <f t="array" ref="B28">IFERROR(XLOOKUP(A28, BASE!E:E, BASE!B:B), "")
</f>
        <v>SoC_SC_Itajaí</v>
      </c>
      <c r="C28" s="73" t="str">
        <f t="array" ref="C28">IFERROR(XLOOKUP(A28, BASE!E:E, BASE!C:C), "")
</f>
        <v>SOC-SC1</v>
      </c>
      <c r="D28" s="73">
        <f t="array" ref="D28">IFERROR(XLOOKUP(A28, BASE!E:E, BASE!D:D), "")
</f>
        <v>100</v>
      </c>
      <c r="E28" s="168">
        <f t="array" ref="E28">IFERROR(XLOOKUP(A28, BASE!E:E, BASE!H:H), "")
</f>
        <v>46067.29167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102" t="s">
        <v>1707</v>
      </c>
      <c r="B29" s="73" t="str">
        <f t="array" ref="B29">IFERROR(XLOOKUP(A29, BASE!E:E, BASE!B:B), "")
</f>
        <v>SoC_PE_Jaboatão dos Guararapes</v>
      </c>
      <c r="C29" s="73" t="str">
        <f t="array" ref="C29">IFERROR(XLOOKUP(A29, BASE!E:E, BASE!C:C), "")
</f>
        <v>SOC-PE2</v>
      </c>
      <c r="D29" s="73">
        <f t="array" ref="D29">IFERROR(XLOOKUP(A29, BASE!E:E, BASE!D:D), "")
</f>
        <v>98</v>
      </c>
      <c r="E29" s="168">
        <f t="array" ref="E29">IFERROR(XLOOKUP(A29, BASE!E:E, BASE!H:H), "")
</f>
        <v>46067.29167</v>
      </c>
      <c r="F29" s="178"/>
      <c r="G29" s="178"/>
      <c r="H29" s="178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146" t="s">
        <v>1708</v>
      </c>
      <c r="B30" s="73" t="str">
        <f t="array" ref="B30">IFERROR(XLOOKUP(A30, BASE!E:E, BASE!B:B), "")
</f>
        <v>SoC_BA_Simoes Filho</v>
      </c>
      <c r="C30" s="73" t="str">
        <f t="array" ref="C30">IFERROR(XLOOKUP(A30, BASE!E:E, BASE!C:C), "")
</f>
        <v>SOC-BA2</v>
      </c>
      <c r="D30" s="73">
        <f t="array" ref="D30">IFERROR(XLOOKUP(A30, BASE!E:E, BASE!D:D), "")
</f>
        <v>89</v>
      </c>
      <c r="E30" s="168">
        <f t="array" ref="E30">IFERROR(XLOOKUP(A30, BASE!E:E, BASE!H:H), "")
</f>
        <v>46067.29167</v>
      </c>
      <c r="F30" s="178"/>
      <c r="G30" s="178"/>
      <c r="H30" s="178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146" t="s">
        <v>1709</v>
      </c>
      <c r="B31" s="73" t="str">
        <f t="array" ref="B31">IFERROR(XLOOKUP(A31, BASE!E:E, BASE!B:B), "")
</f>
        <v>SoC_MG_Betim</v>
      </c>
      <c r="C31" s="73" t="str">
        <f t="array" ref="C31">IFERROR(XLOOKUP(A31, BASE!E:E, BASE!C:C), "")
</f>
        <v>SOC-MG2</v>
      </c>
      <c r="D31" s="73">
        <f t="array" ref="D31">IFERROR(XLOOKUP(A31, BASE!E:E, BASE!D:D), "")
</f>
        <v>91</v>
      </c>
      <c r="E31" s="168">
        <f t="array" ref="E31">IFERROR(XLOOKUP(A31, BASE!E:E, BASE!H:H), "")
</f>
        <v>46067.29167</v>
      </c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146" t="s">
        <v>1710</v>
      </c>
      <c r="B32" s="73" t="str">
        <f t="array" ref="B32">IFERROR(XLOOKUP(A32, BASE!E:E, BASE!B:B), "")
</f>
        <v>SoC_RJ_Duque de Caxias</v>
      </c>
      <c r="C32" s="73" t="str">
        <f t="array" ref="C32">IFERROR(XLOOKUP(A32, BASE!E:E, BASE!C:C), "")
</f>
        <v>SOC-RJ2</v>
      </c>
      <c r="D32" s="73">
        <f t="array" ref="D32">IFERROR(XLOOKUP(A32, BASE!E:E, BASE!D:D), "")
</f>
        <v>96</v>
      </c>
      <c r="E32" s="168">
        <f t="array" ref="E32">IFERROR(XLOOKUP(A32, BASE!E:E, BASE!H:H), "")
</f>
        <v>46067.29167</v>
      </c>
      <c r="F32" s="178"/>
      <c r="G32" s="178"/>
      <c r="H32" s="178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146" t="s">
        <v>1711</v>
      </c>
      <c r="B33" s="73" t="str">
        <f t="array" ref="B33">IFERROR(XLOOKUP(A33, BASE!E:E, BASE!B:B), "")
</f>
        <v>LM Hub_SP_Jardim Adriana</v>
      </c>
      <c r="C33" s="73" t="str">
        <f t="array" ref="C33">IFERROR(XLOOKUP(A33, BASE!E:E, BASE!C:C), "")
</f>
        <v>HUB-LSP-12</v>
      </c>
      <c r="D33" s="73">
        <f t="array" ref="D33">IFERROR(XLOOKUP(A33, BASE!E:E, BASE!D:D), "")
</f>
        <v>9</v>
      </c>
      <c r="E33" s="168">
        <f t="array" ref="E33">IFERROR(XLOOKUP(A33, BASE!E:E, BASE!H:H), "")
</f>
        <v>46067.33333</v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102"/>
      <c r="B34" s="73" t="str">
        <f t="array" ref="B34">IFERROR(XLOOKUP(A34, BASE!E:E, BASE!B:B), "")
</f>
        <v/>
      </c>
      <c r="C34" s="73" t="str">
        <f t="array" ref="C34">IFERROR(XLOOKUP(A34, BASE!E:E, BASE!C:C), "")
</f>
        <v/>
      </c>
      <c r="D34" s="73" t="str">
        <f t="array" ref="D34">IFERROR(XLOOKUP(A34, BASE!E:E, BASE!D:D), "")
</f>
        <v/>
      </c>
      <c r="E34" s="168" t="str">
        <f t="array" ref="E34">IFERROR(XLOOKUP(A34, BASE!E:E, BASE!H:H), "")
</f>
        <v/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95"/>
      <c r="B35" s="73" t="str">
        <f t="array" ref="B35">IFERROR(XLOOKUP(A35, BASE!E:E, BASE!B:B), "")
</f>
        <v/>
      </c>
      <c r="C35" s="73" t="str">
        <f t="array" ref="C35">IFERROR(XLOOKUP(A35, BASE!E:E, BASE!C:C), "")
</f>
        <v/>
      </c>
      <c r="D35" s="73" t="str">
        <f t="array" ref="D35">IFERROR(XLOOKUP(A35, BASE!E:E, BASE!D:D), "")
</f>
        <v/>
      </c>
      <c r="E35" s="168" t="str">
        <f t="array" ref="E35">IFERROR(XLOOKUP(A35, BASE!E:E, BASE!H:H), "")
</f>
        <v/>
      </c>
      <c r="F35" s="178"/>
      <c r="G35" s="178"/>
      <c r="H35" s="178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95"/>
      <c r="B36" s="73" t="str">
        <f t="array" ref="B36">IFERROR(XLOOKUP(A36, BASE!E:E, BASE!B:B), "")
</f>
        <v/>
      </c>
      <c r="C36" s="73" t="str">
        <f t="array" ref="C36">IFERROR(XLOOKUP(A36, BASE!E:E, BASE!C:C), "")
</f>
        <v/>
      </c>
      <c r="D36" s="73" t="str">
        <f t="array" ref="D36">IFERROR(XLOOKUP(A36, BASE!E:E, BASE!D:D), "")
</f>
        <v/>
      </c>
      <c r="E36" s="168" t="str">
        <f t="array" ref="E36">IFERROR(XLOOKUP(A36, BASE!E:E, BASE!H:H), "")
</f>
        <v/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146"/>
      <c r="B37" s="73" t="str">
        <f t="array" ref="B37">IFERROR(XLOOKUP(A37, BASE!E:E, BASE!B:B), "")
</f>
        <v/>
      </c>
      <c r="C37" s="73" t="str">
        <f t="array" ref="C37">IFERROR(XLOOKUP(A37, BASE!E:E, BASE!C:C), "")
</f>
        <v/>
      </c>
      <c r="D37" s="73" t="str">
        <f t="array" ref="D37">IFERROR(XLOOKUP(A37, BASE!E:E, BASE!D:D), "")
</f>
        <v/>
      </c>
      <c r="E37" s="168" t="str">
        <f t="array" ref="E37">IFERROR(XLOOKUP(A37, BASE!E:E, BASE!H:H), "")
</f>
        <v/>
      </c>
      <c r="F37" s="178"/>
      <c r="G37" s="178"/>
      <c r="H37" s="178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146"/>
      <c r="B38" s="73" t="str">
        <f t="array" ref="B38">IFERROR(XLOOKUP(A38, BASE!E:E, BASE!B:B), "")
</f>
        <v/>
      </c>
      <c r="C38" s="73" t="str">
        <f t="array" ref="C38">IFERROR(XLOOKUP(A38, BASE!E:E, BASE!C:C), "")
</f>
        <v/>
      </c>
      <c r="D38" s="73" t="str">
        <f t="array" ref="D38">IFERROR(XLOOKUP(A38, BASE!E:E, BASE!D:D), "")
</f>
        <v/>
      </c>
      <c r="E38" s="168" t="str">
        <f t="array" ref="E38">IFERROR(XLOOKUP(A38, BASE!E:E, BASE!H:H), "")
</f>
        <v/>
      </c>
      <c r="F38" s="178"/>
      <c r="G38" s="178"/>
      <c r="H38" s="178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146"/>
      <c r="B39" s="73" t="str">
        <f t="array" ref="B39">IFERROR(XLOOKUP(A39, BASE!E:E, BASE!B:B), "")
</f>
        <v/>
      </c>
      <c r="C39" s="73" t="str">
        <f t="array" ref="C39">IFERROR(XLOOKUP(A39, BASE!E:E, BASE!C:C), "")
</f>
        <v/>
      </c>
      <c r="D39" s="73" t="str">
        <f t="array" ref="D39">IFERROR(XLOOKUP(A39, BASE!E:E, BASE!D:D), "")
</f>
        <v/>
      </c>
      <c r="E39" s="168" t="str">
        <f t="array" ref="E39">IFERROR(XLOOKUP(A39, BASE!E:E, BASE!H:H), "")
</f>
        <v/>
      </c>
      <c r="F39" s="178"/>
      <c r="G39" s="178"/>
      <c r="H39" s="178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146"/>
      <c r="B40" s="73" t="str">
        <f t="array" ref="B40">IFERROR(XLOOKUP(A40, BASE!E:E, BASE!B:B), "")
</f>
        <v/>
      </c>
      <c r="C40" s="73" t="str">
        <f t="array" ref="C40">IFERROR(XLOOKUP(A40, BASE!E:E, BASE!C:C), "")
</f>
        <v/>
      </c>
      <c r="D40" s="73" t="str">
        <f t="array" ref="D40">IFERROR(XLOOKUP(A40, BASE!E:E, BASE!D:D), "")
</f>
        <v/>
      </c>
      <c r="E40" s="168" t="str">
        <f t="array" ref="E40">IFERROR(XLOOKUP(A40, BASE!E:E, BASE!H:H), "")
</f>
        <v/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24"/>
      <c r="B41" s="73" t="str">
        <f t="array" ref="B41">IFERROR(XLOOKUP(A41, BASE!E:E, BASE!B:B), "")
</f>
        <v/>
      </c>
      <c r="C41" s="73" t="str">
        <f t="array" ref="C41">IFERROR(XLOOKUP(A41, BASE!E:E, BASE!C:C), "")
</f>
        <v/>
      </c>
      <c r="D41" s="73" t="str">
        <f t="array" ref="D41">IFERROR(XLOOKUP(A41, BASE!E:E, BASE!D:D), "")
</f>
        <v/>
      </c>
      <c r="E41" s="168" t="str">
        <f t="array" ref="E41">IFERROR(XLOOKUP(A41, BASE!E:E, BASE!H:H), "")
</f>
        <v/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24"/>
      <c r="B42" s="73" t="str">
        <f t="array" ref="B42">IFERROR(XLOOKUP(A42, BASE!E:E, BASE!B:B), "")
</f>
        <v/>
      </c>
      <c r="C42" s="73" t="str">
        <f t="array" ref="C42">IFERROR(XLOOKUP(A42, BASE!E:E, BASE!C:C), "")
</f>
        <v/>
      </c>
      <c r="D42" s="73" t="str">
        <f t="array" ref="D42">IFERROR(XLOOKUP(A42, BASE!E:E, BASE!D:D), "")
</f>
        <v/>
      </c>
      <c r="E42" s="168" t="str">
        <f t="array" ref="E42">IFERROR(XLOOKUP(A42, BASE!E:E, BASE!H:H), "")
</f>
        <v/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24"/>
      <c r="B43" s="73" t="str">
        <f t="array" ref="B43">IFERROR(XLOOKUP(A43, BASE!E:E, BASE!B:B), "")
</f>
        <v/>
      </c>
      <c r="C43" s="73" t="str">
        <f t="array" ref="C43">IFERROR(XLOOKUP(A43, BASE!E:E, BASE!C:C), "")
</f>
        <v/>
      </c>
      <c r="D43" s="73" t="str">
        <f t="array" ref="D43">IFERROR(XLOOKUP(A43, BASE!E:E, BASE!D:D), "")
</f>
        <v/>
      </c>
      <c r="E43" s="168" t="str">
        <f t="array" ref="E43">IFERROR(XLOOKUP(A43, BASE!E:E, BASE!H:H), "")
</f>
        <v/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24"/>
      <c r="B44" s="73" t="str">
        <f t="array" ref="B44">IFERROR(XLOOKUP(A44, BASE!E:E, BASE!B:B), "")
</f>
        <v/>
      </c>
      <c r="C44" s="73" t="str">
        <f t="array" ref="C44">IFERROR(XLOOKUP(A44, BASE!E:E, BASE!C:C), "")
</f>
        <v/>
      </c>
      <c r="D44" s="73" t="str">
        <f t="array" ref="D44">IFERROR(XLOOKUP(A44, BASE!E:E, BASE!D:D), "")
</f>
        <v/>
      </c>
      <c r="E44" s="168" t="str">
        <f t="array" ref="E44">IFERROR(XLOOKUP(A44, BASE!E:E, BASE!H:H), "")
</f>
        <v/>
      </c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24"/>
      <c r="B45" s="73" t="str">
        <f t="array" ref="B45">IFERROR(XLOOKUP(A45, BASE!E:E, BASE!B:B), "")
</f>
        <v/>
      </c>
      <c r="C45" s="73" t="str">
        <f t="array" ref="C45">IFERROR(XLOOKUP(A45, BASE!E:E, BASE!C:C), "")
</f>
        <v/>
      </c>
      <c r="D45" s="73" t="str">
        <f t="array" ref="D45">IFERROR(XLOOKUP(A45, BASE!E:E, BASE!D:D), "")
</f>
        <v/>
      </c>
      <c r="E45" s="168" t="str">
        <f t="array" ref="E45">IFERROR(XLOOKUP(A45, BASE!E:E, BASE!H:H), "")
</f>
        <v/>
      </c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24"/>
      <c r="B46" s="73" t="str">
        <f t="array" ref="B46">IFERROR(XLOOKUP(A46, BASE!E:E, BASE!B:B), "")
</f>
        <v/>
      </c>
      <c r="C46" s="73" t="str">
        <f t="array" ref="C46">IFERROR(XLOOKUP(A46, BASE!E:E, BASE!C:C), "")
</f>
        <v/>
      </c>
      <c r="D46" s="73" t="str">
        <f t="array" ref="D46">IFERROR(XLOOKUP(A46, BASE!E:E, BASE!D:D), "")
</f>
        <v/>
      </c>
      <c r="E46" s="168" t="str">
        <f t="array" ref="E46">IFERROR(XLOOKUP(A46, BASE!E:E, BASE!H:H), "")
</f>
        <v/>
      </c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24"/>
      <c r="B47" s="73" t="str">
        <f t="array" ref="B47">IFERROR(XLOOKUP(A47, BASE!E:E, BASE!B:B), "")
</f>
        <v/>
      </c>
      <c r="C47" s="73" t="str">
        <f t="array" ref="C47">IFERROR(XLOOKUP(A47, BASE!E:E, BASE!C:C), "")
</f>
        <v/>
      </c>
      <c r="D47" s="73" t="str">
        <f t="array" ref="D47">IFERROR(XLOOKUP(A47, BASE!E:E, BASE!D:D), "")
</f>
        <v/>
      </c>
      <c r="E47" s="168" t="str">
        <f t="array" ref="E47">IFERROR(XLOOKUP(A47, BASE!E:E, BASE!H:H), "")
</f>
        <v/>
      </c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178"/>
      <c r="B48" s="178"/>
      <c r="C48" s="178"/>
      <c r="D48" s="178"/>
      <c r="E48" s="178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178"/>
      <c r="B49" s="178"/>
      <c r="C49" s="178"/>
      <c r="D49" s="178"/>
      <c r="E49" s="178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178"/>
      <c r="B50" s="178"/>
      <c r="C50" s="178"/>
      <c r="D50" s="178"/>
      <c r="E50" s="178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178"/>
      <c r="B51" s="178"/>
      <c r="C51" s="178"/>
      <c r="D51" s="178"/>
      <c r="E51" s="178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178"/>
      <c r="B52" s="178"/>
      <c r="C52" s="178"/>
      <c r="D52" s="178"/>
      <c r="E52" s="178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178"/>
      <c r="B53" s="178"/>
      <c r="C53" s="178"/>
      <c r="D53" s="178"/>
      <c r="E53" s="178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178"/>
      <c r="B54" s="178"/>
      <c r="C54" s="178"/>
      <c r="D54" s="178"/>
      <c r="E54" s="178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178"/>
      <c r="B55" s="178"/>
      <c r="C55" s="178"/>
      <c r="D55" s="178"/>
      <c r="E55" s="178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178"/>
      <c r="B56" s="178"/>
      <c r="C56" s="178"/>
      <c r="D56" s="178"/>
      <c r="E56" s="178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178"/>
      <c r="B57" s="178"/>
      <c r="C57" s="178"/>
      <c r="D57" s="178"/>
      <c r="E57" s="178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178"/>
      <c r="B58" s="178"/>
      <c r="C58" s="178"/>
      <c r="D58" s="178"/>
      <c r="E58" s="178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178"/>
      <c r="B59" s="178"/>
      <c r="C59" s="178"/>
      <c r="D59" s="178"/>
      <c r="E59" s="178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178"/>
      <c r="B60" s="178"/>
      <c r="C60" s="178"/>
      <c r="D60" s="178"/>
      <c r="E60" s="178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178"/>
      <c r="B61" s="178"/>
      <c r="C61" s="178"/>
      <c r="D61" s="178"/>
      <c r="E61" s="178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178"/>
      <c r="B62" s="178"/>
      <c r="C62" s="178"/>
      <c r="D62" s="178"/>
      <c r="E62" s="178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178"/>
      <c r="B63" s="178"/>
      <c r="C63" s="178"/>
      <c r="D63" s="178"/>
      <c r="E63" s="178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178"/>
      <c r="B64" s="178"/>
      <c r="C64" s="178"/>
      <c r="D64" s="178"/>
      <c r="E64" s="178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178"/>
      <c r="B65" s="178"/>
      <c r="C65" s="178"/>
      <c r="D65" s="178"/>
      <c r="E65" s="178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178"/>
      <c r="B66" s="178"/>
      <c r="C66" s="178"/>
      <c r="D66" s="178"/>
      <c r="E66" s="178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178"/>
      <c r="B67" s="178"/>
      <c r="C67" s="178"/>
      <c r="D67" s="178"/>
      <c r="E67" s="178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178"/>
      <c r="B68" s="178"/>
      <c r="C68" s="178"/>
      <c r="D68" s="178"/>
      <c r="E68" s="178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178"/>
      <c r="B69" s="178"/>
      <c r="C69" s="178"/>
      <c r="D69" s="178"/>
      <c r="E69" s="178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178"/>
      <c r="B70" s="178"/>
      <c r="C70" s="178"/>
      <c r="D70" s="178"/>
      <c r="E70" s="178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178"/>
      <c r="B71" s="178"/>
      <c r="C71" s="178"/>
      <c r="D71" s="178"/>
      <c r="E71" s="178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178"/>
      <c r="B72" s="178"/>
      <c r="C72" s="178"/>
      <c r="D72" s="178"/>
      <c r="E72" s="178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178"/>
      <c r="B73" s="178"/>
      <c r="C73" s="178"/>
      <c r="D73" s="178"/>
      <c r="E73" s="178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178"/>
      <c r="B74" s="178"/>
      <c r="C74" s="178"/>
      <c r="D74" s="178"/>
      <c r="E74" s="178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178"/>
      <c r="B75" s="178"/>
      <c r="C75" s="178"/>
      <c r="D75" s="178"/>
      <c r="E75" s="178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178"/>
      <c r="B76" s="178"/>
      <c r="C76" s="178"/>
      <c r="D76" s="178"/>
      <c r="E76" s="178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178"/>
      <c r="B77" s="178"/>
      <c r="C77" s="178"/>
      <c r="D77" s="178"/>
      <c r="E77" s="178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178"/>
      <c r="B78" s="178"/>
      <c r="C78" s="178"/>
      <c r="D78" s="178"/>
      <c r="E78" s="178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178"/>
      <c r="B79" s="178"/>
      <c r="C79" s="178"/>
      <c r="D79" s="178"/>
      <c r="E79" s="178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178"/>
      <c r="B80" s="178"/>
      <c r="C80" s="178"/>
      <c r="D80" s="178"/>
      <c r="E80" s="178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178"/>
      <c r="B81" s="178"/>
      <c r="C81" s="178"/>
      <c r="D81" s="178"/>
      <c r="E81" s="178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178"/>
      <c r="B82" s="178"/>
      <c r="C82" s="178"/>
      <c r="D82" s="178"/>
      <c r="E82" s="178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178"/>
      <c r="B83" s="178"/>
      <c r="C83" s="178"/>
      <c r="D83" s="178"/>
      <c r="E83" s="178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178"/>
      <c r="B84" s="178"/>
      <c r="C84" s="178"/>
      <c r="D84" s="178"/>
      <c r="E84" s="178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178"/>
      <c r="B85" s="178"/>
      <c r="C85" s="178"/>
      <c r="D85" s="178"/>
      <c r="E85" s="178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178"/>
      <c r="B86" s="178"/>
      <c r="C86" s="178"/>
      <c r="D86" s="178"/>
      <c r="E86" s="178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178"/>
      <c r="B87" s="178"/>
      <c r="C87" s="178"/>
      <c r="D87" s="178"/>
      <c r="E87" s="178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178"/>
      <c r="B88" s="178"/>
      <c r="C88" s="178"/>
      <c r="D88" s="178"/>
      <c r="E88" s="178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178"/>
      <c r="B89" s="178"/>
      <c r="C89" s="178"/>
      <c r="D89" s="178"/>
      <c r="E89" s="178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178"/>
      <c r="B90" s="178"/>
      <c r="C90" s="178"/>
      <c r="D90" s="178"/>
      <c r="E90" s="178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178"/>
      <c r="B91" s="178"/>
      <c r="C91" s="178"/>
      <c r="D91" s="178"/>
      <c r="E91" s="178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178"/>
      <c r="B92" s="178"/>
      <c r="C92" s="178"/>
      <c r="D92" s="178"/>
      <c r="E92" s="178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178"/>
      <c r="B93" s="178"/>
      <c r="C93" s="178"/>
      <c r="D93" s="178"/>
      <c r="E93" s="178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178"/>
      <c r="B94" s="178"/>
      <c r="C94" s="178"/>
      <c r="D94" s="178"/>
      <c r="E94" s="178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178"/>
      <c r="B95" s="178"/>
      <c r="C95" s="178"/>
      <c r="D95" s="178"/>
      <c r="E95" s="178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178"/>
      <c r="B96" s="178"/>
      <c r="C96" s="178"/>
      <c r="D96" s="178"/>
      <c r="E96" s="178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178"/>
      <c r="B97" s="178"/>
      <c r="C97" s="178"/>
      <c r="D97" s="178"/>
      <c r="E97" s="178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178"/>
      <c r="B98" s="178"/>
      <c r="C98" s="178"/>
      <c r="D98" s="178"/>
      <c r="E98" s="178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178"/>
      <c r="B99" s="178"/>
      <c r="C99" s="178"/>
      <c r="D99" s="178"/>
      <c r="E99" s="178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178"/>
      <c r="B100" s="178"/>
      <c r="C100" s="178"/>
      <c r="D100" s="178"/>
      <c r="E100" s="178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178"/>
      <c r="B101" s="178"/>
      <c r="C101" s="178"/>
      <c r="D101" s="178"/>
      <c r="E101" s="178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178"/>
      <c r="B102" s="178"/>
      <c r="C102" s="178"/>
      <c r="D102" s="178"/>
      <c r="E102" s="178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178"/>
      <c r="B103" s="178"/>
      <c r="C103" s="178"/>
      <c r="D103" s="178"/>
      <c r="E103" s="178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178"/>
      <c r="B104" s="178"/>
      <c r="C104" s="178"/>
      <c r="D104" s="178"/>
      <c r="E104" s="178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178"/>
      <c r="B105" s="178"/>
      <c r="C105" s="178"/>
      <c r="D105" s="178"/>
      <c r="E105" s="178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178"/>
      <c r="B106" s="178"/>
      <c r="C106" s="178"/>
      <c r="D106" s="178"/>
      <c r="E106" s="178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178"/>
      <c r="B107" s="178"/>
      <c r="C107" s="178"/>
      <c r="D107" s="178"/>
      <c r="E107" s="178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178"/>
      <c r="B108" s="178"/>
      <c r="C108" s="178"/>
      <c r="D108" s="178"/>
      <c r="E108" s="178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178"/>
      <c r="B109" s="178"/>
      <c r="C109" s="178"/>
      <c r="D109" s="178"/>
      <c r="E109" s="178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178"/>
      <c r="B110" s="178"/>
      <c r="C110" s="178"/>
      <c r="D110" s="178"/>
      <c r="E110" s="178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178"/>
      <c r="B111" s="178"/>
      <c r="C111" s="178"/>
      <c r="D111" s="178"/>
      <c r="E111" s="178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178"/>
      <c r="B112" s="178"/>
      <c r="C112" s="178"/>
      <c r="D112" s="178"/>
      <c r="E112" s="178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178"/>
      <c r="B113" s="178"/>
      <c r="C113" s="178"/>
      <c r="D113" s="178"/>
      <c r="E113" s="178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178"/>
      <c r="B114" s="178"/>
      <c r="C114" s="178"/>
      <c r="D114" s="178"/>
      <c r="E114" s="178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178"/>
      <c r="B115" s="178"/>
      <c r="C115" s="178"/>
      <c r="D115" s="178"/>
      <c r="E115" s="178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178"/>
      <c r="B116" s="178"/>
      <c r="C116" s="178"/>
      <c r="D116" s="178"/>
      <c r="E116" s="178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178"/>
      <c r="B117" s="178"/>
      <c r="C117" s="178"/>
      <c r="D117" s="178"/>
      <c r="E117" s="178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178"/>
      <c r="B118" s="178"/>
      <c r="C118" s="178"/>
      <c r="D118" s="178"/>
      <c r="E118" s="178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178"/>
      <c r="B119" s="178"/>
      <c r="C119" s="178"/>
      <c r="D119" s="178"/>
      <c r="E119" s="178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178"/>
      <c r="B120" s="178"/>
      <c r="C120" s="178"/>
      <c r="D120" s="178"/>
      <c r="E120" s="178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178"/>
      <c r="B121" s="178"/>
      <c r="C121" s="178"/>
      <c r="D121" s="178"/>
      <c r="E121" s="178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178"/>
      <c r="B122" s="178"/>
      <c r="C122" s="178"/>
      <c r="D122" s="178"/>
      <c r="E122" s="178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178"/>
      <c r="B123" s="178"/>
      <c r="C123" s="178"/>
      <c r="D123" s="178"/>
      <c r="E123" s="178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178"/>
      <c r="B124" s="178"/>
      <c r="C124" s="178"/>
      <c r="D124" s="178"/>
      <c r="E124" s="178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178"/>
      <c r="B125" s="178"/>
      <c r="C125" s="178"/>
      <c r="D125" s="178"/>
      <c r="E125" s="178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178"/>
      <c r="B126" s="178"/>
      <c r="C126" s="178"/>
      <c r="D126" s="178"/>
      <c r="E126" s="178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178"/>
      <c r="B127" s="178"/>
      <c r="C127" s="178"/>
      <c r="D127" s="178"/>
      <c r="E127" s="178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178"/>
      <c r="B128" s="178"/>
      <c r="C128" s="178"/>
      <c r="D128" s="178"/>
      <c r="E128" s="178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178"/>
      <c r="B129" s="178"/>
      <c r="C129" s="178"/>
      <c r="D129" s="178"/>
      <c r="E129" s="178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178"/>
      <c r="B130" s="178"/>
      <c r="C130" s="178"/>
      <c r="D130" s="178"/>
      <c r="E130" s="178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178"/>
      <c r="B131" s="178"/>
      <c r="C131" s="178"/>
      <c r="D131" s="178"/>
      <c r="E131" s="178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178"/>
      <c r="B132" s="178"/>
      <c r="C132" s="178"/>
      <c r="D132" s="178"/>
      <c r="E132" s="178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178"/>
      <c r="B133" s="178"/>
      <c r="C133" s="178"/>
      <c r="D133" s="178"/>
      <c r="E133" s="178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178"/>
      <c r="B134" s="178"/>
      <c r="C134" s="178"/>
      <c r="D134" s="178"/>
      <c r="E134" s="178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178"/>
      <c r="B135" s="178"/>
      <c r="C135" s="178"/>
      <c r="D135" s="178"/>
      <c r="E135" s="178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178"/>
      <c r="B136" s="178"/>
      <c r="C136" s="178"/>
      <c r="D136" s="178"/>
      <c r="E136" s="178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178"/>
      <c r="B137" s="178"/>
      <c r="C137" s="178"/>
      <c r="D137" s="178"/>
      <c r="E137" s="178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178"/>
      <c r="B138" s="178"/>
      <c r="C138" s="178"/>
      <c r="D138" s="178"/>
      <c r="E138" s="178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178"/>
      <c r="B139" s="178"/>
      <c r="C139" s="178"/>
      <c r="D139" s="178"/>
      <c r="E139" s="178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178"/>
      <c r="B140" s="178"/>
      <c r="C140" s="178"/>
      <c r="D140" s="178"/>
      <c r="E140" s="178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178"/>
      <c r="B141" s="178"/>
      <c r="C141" s="178"/>
      <c r="D141" s="178"/>
      <c r="E141" s="178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178"/>
      <c r="B142" s="178"/>
      <c r="C142" s="178"/>
      <c r="D142" s="178"/>
      <c r="E142" s="178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178"/>
      <c r="B143" s="178"/>
      <c r="C143" s="178"/>
      <c r="D143" s="178"/>
      <c r="E143" s="178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178"/>
      <c r="B144" s="178"/>
      <c r="C144" s="178"/>
      <c r="D144" s="178"/>
      <c r="E144" s="178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178"/>
      <c r="B145" s="178"/>
      <c r="C145" s="178"/>
      <c r="D145" s="178"/>
      <c r="E145" s="178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178"/>
      <c r="B146" s="178"/>
      <c r="C146" s="178"/>
      <c r="D146" s="178"/>
      <c r="E146" s="178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178"/>
      <c r="B147" s="178"/>
      <c r="C147" s="178"/>
      <c r="D147" s="178"/>
      <c r="E147" s="178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178"/>
      <c r="B148" s="178"/>
      <c r="C148" s="178"/>
      <c r="D148" s="178"/>
      <c r="E148" s="178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178"/>
      <c r="B149" s="178"/>
      <c r="C149" s="178"/>
      <c r="D149" s="178"/>
      <c r="E149" s="178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178"/>
      <c r="B150" s="178"/>
      <c r="C150" s="178"/>
      <c r="D150" s="178"/>
      <c r="E150" s="178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178"/>
      <c r="B151" s="178"/>
      <c r="C151" s="178"/>
      <c r="D151" s="178"/>
      <c r="E151" s="178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178"/>
      <c r="B152" s="178"/>
      <c r="C152" s="178"/>
      <c r="D152" s="178"/>
      <c r="E152" s="178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178"/>
      <c r="B153" s="178"/>
      <c r="C153" s="178"/>
      <c r="D153" s="178"/>
      <c r="E153" s="178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178"/>
      <c r="B154" s="178"/>
      <c r="C154" s="178"/>
      <c r="D154" s="178"/>
      <c r="E154" s="178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178"/>
      <c r="B155" s="178"/>
      <c r="C155" s="178"/>
      <c r="D155" s="178"/>
      <c r="E155" s="178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178"/>
      <c r="B156" s="178"/>
      <c r="C156" s="178"/>
      <c r="D156" s="178"/>
      <c r="E156" s="178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178"/>
      <c r="B157" s="178"/>
      <c r="C157" s="178"/>
      <c r="D157" s="178"/>
      <c r="E157" s="178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178"/>
      <c r="B158" s="178"/>
      <c r="C158" s="178"/>
      <c r="D158" s="178"/>
      <c r="E158" s="178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178"/>
      <c r="B159" s="178"/>
      <c r="C159" s="178"/>
      <c r="D159" s="178"/>
      <c r="E159" s="178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178"/>
      <c r="B160" s="178"/>
      <c r="C160" s="178"/>
      <c r="D160" s="178"/>
      <c r="E160" s="178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178"/>
      <c r="B161" s="178"/>
      <c r="C161" s="178"/>
      <c r="D161" s="178"/>
      <c r="E161" s="178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178"/>
      <c r="B162" s="178"/>
      <c r="C162" s="178"/>
      <c r="D162" s="178"/>
      <c r="E162" s="178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178"/>
      <c r="B163" s="178"/>
      <c r="C163" s="178"/>
      <c r="D163" s="178"/>
      <c r="E163" s="178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178"/>
      <c r="B164" s="178"/>
      <c r="C164" s="178"/>
      <c r="D164" s="178"/>
      <c r="E164" s="178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178"/>
      <c r="B165" s="178"/>
      <c r="C165" s="178"/>
      <c r="D165" s="178"/>
      <c r="E165" s="178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178"/>
      <c r="B166" s="178"/>
      <c r="C166" s="178"/>
      <c r="D166" s="178"/>
      <c r="E166" s="178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178"/>
      <c r="B167" s="178"/>
      <c r="C167" s="178"/>
      <c r="D167" s="178"/>
      <c r="E167" s="178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178"/>
      <c r="B168" s="178"/>
      <c r="C168" s="178"/>
      <c r="D168" s="178"/>
      <c r="E168" s="178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178"/>
      <c r="B169" s="178"/>
      <c r="C169" s="178"/>
      <c r="D169" s="178"/>
      <c r="E169" s="178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178"/>
      <c r="B170" s="178"/>
      <c r="C170" s="178"/>
      <c r="D170" s="178"/>
      <c r="E170" s="178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178"/>
      <c r="B171" s="178"/>
      <c r="C171" s="178"/>
      <c r="D171" s="178"/>
      <c r="E171" s="178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178"/>
      <c r="B172" s="178"/>
      <c r="C172" s="178"/>
      <c r="D172" s="178"/>
      <c r="E172" s="178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178"/>
      <c r="B173" s="178"/>
      <c r="C173" s="178"/>
      <c r="D173" s="178"/>
      <c r="E173" s="178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178"/>
      <c r="B174" s="178"/>
      <c r="C174" s="178"/>
      <c r="D174" s="178"/>
      <c r="E174" s="178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178"/>
      <c r="B175" s="178"/>
      <c r="C175" s="178"/>
      <c r="D175" s="178"/>
      <c r="E175" s="178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178"/>
      <c r="B176" s="178"/>
      <c r="C176" s="178"/>
      <c r="D176" s="178"/>
      <c r="E176" s="178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178"/>
      <c r="B177" s="178"/>
      <c r="C177" s="178"/>
      <c r="D177" s="178"/>
      <c r="E177" s="178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178"/>
      <c r="B178" s="178"/>
      <c r="C178" s="178"/>
      <c r="D178" s="178"/>
      <c r="E178" s="178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178"/>
      <c r="B179" s="178"/>
      <c r="C179" s="178"/>
      <c r="D179" s="178"/>
      <c r="E179" s="178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178"/>
      <c r="B180" s="178"/>
      <c r="C180" s="178"/>
      <c r="D180" s="178"/>
      <c r="E180" s="178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178"/>
      <c r="B181" s="178"/>
      <c r="C181" s="178"/>
      <c r="D181" s="178"/>
      <c r="E181" s="178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178"/>
      <c r="B182" s="178"/>
      <c r="C182" s="178"/>
      <c r="D182" s="178"/>
      <c r="E182" s="178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178"/>
      <c r="B183" s="178"/>
      <c r="C183" s="178"/>
      <c r="D183" s="178"/>
      <c r="E183" s="178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178"/>
      <c r="B184" s="178"/>
      <c r="C184" s="178"/>
      <c r="D184" s="178"/>
      <c r="E184" s="178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178"/>
      <c r="B185" s="178"/>
      <c r="C185" s="178"/>
      <c r="D185" s="178"/>
      <c r="E185" s="178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178"/>
      <c r="B186" s="178"/>
      <c r="C186" s="178"/>
      <c r="D186" s="178"/>
      <c r="E186" s="178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178"/>
      <c r="B187" s="178"/>
      <c r="C187" s="178"/>
      <c r="D187" s="178"/>
      <c r="E187" s="178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178"/>
      <c r="B188" s="178"/>
      <c r="C188" s="178"/>
      <c r="D188" s="178"/>
      <c r="E188" s="178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178"/>
      <c r="B189" s="178"/>
      <c r="C189" s="178"/>
      <c r="D189" s="178"/>
      <c r="E189" s="178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178"/>
      <c r="B190" s="178"/>
      <c r="C190" s="178"/>
      <c r="D190" s="178"/>
      <c r="E190" s="178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178"/>
      <c r="B191" s="178"/>
      <c r="C191" s="178"/>
      <c r="D191" s="178"/>
      <c r="E191" s="178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178"/>
      <c r="B192" s="178"/>
      <c r="C192" s="178"/>
      <c r="D192" s="178"/>
      <c r="E192" s="178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178"/>
      <c r="B193" s="178"/>
      <c r="C193" s="178"/>
      <c r="D193" s="178"/>
      <c r="E193" s="178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178"/>
      <c r="B194" s="178"/>
      <c r="C194" s="178"/>
      <c r="D194" s="178"/>
      <c r="E194" s="178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178"/>
      <c r="B195" s="178"/>
      <c r="C195" s="178"/>
      <c r="D195" s="178"/>
      <c r="E195" s="178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178"/>
      <c r="B196" s="178"/>
      <c r="C196" s="178"/>
      <c r="D196" s="178"/>
      <c r="E196" s="178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178"/>
      <c r="B197" s="178"/>
      <c r="C197" s="178"/>
      <c r="D197" s="178"/>
      <c r="E197" s="178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178"/>
      <c r="B198" s="178"/>
      <c r="C198" s="178"/>
      <c r="D198" s="178"/>
      <c r="E198" s="178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178"/>
      <c r="B199" s="178"/>
      <c r="C199" s="178"/>
      <c r="D199" s="178"/>
      <c r="E199" s="178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178"/>
      <c r="B200" s="178"/>
      <c r="C200" s="178"/>
      <c r="D200" s="178"/>
      <c r="E200" s="178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178"/>
      <c r="B201" s="178"/>
      <c r="C201" s="178"/>
      <c r="D201" s="178"/>
      <c r="E201" s="178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178"/>
      <c r="B202" s="178"/>
      <c r="C202" s="178"/>
      <c r="D202" s="178"/>
      <c r="E202" s="178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178"/>
      <c r="B203" s="178"/>
      <c r="C203" s="178"/>
      <c r="D203" s="178"/>
      <c r="E203" s="178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178"/>
      <c r="B204" s="178"/>
      <c r="C204" s="178"/>
      <c r="D204" s="178"/>
      <c r="E204" s="178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178"/>
      <c r="B205" s="178"/>
      <c r="C205" s="178"/>
      <c r="D205" s="178"/>
      <c r="E205" s="178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178"/>
      <c r="B206" s="178"/>
      <c r="C206" s="178"/>
      <c r="D206" s="178"/>
      <c r="E206" s="178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178"/>
      <c r="B207" s="178"/>
      <c r="C207" s="178"/>
      <c r="D207" s="178"/>
      <c r="E207" s="178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178"/>
      <c r="B208" s="178"/>
      <c r="C208" s="178"/>
      <c r="D208" s="178"/>
      <c r="E208" s="178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178"/>
      <c r="B209" s="178"/>
      <c r="C209" s="178"/>
      <c r="D209" s="178"/>
      <c r="E209" s="178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178"/>
      <c r="B210" s="178"/>
      <c r="C210" s="178"/>
      <c r="D210" s="178"/>
      <c r="E210" s="178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178"/>
      <c r="B211" s="178"/>
      <c r="C211" s="178"/>
      <c r="D211" s="178"/>
      <c r="E211" s="178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178"/>
      <c r="B212" s="178"/>
      <c r="C212" s="178"/>
      <c r="D212" s="178"/>
      <c r="E212" s="178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178"/>
      <c r="B213" s="178"/>
      <c r="C213" s="178"/>
      <c r="D213" s="178"/>
      <c r="E213" s="178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178"/>
      <c r="B214" s="178"/>
      <c r="C214" s="178"/>
      <c r="D214" s="178"/>
      <c r="E214" s="178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178"/>
      <c r="B215" s="178"/>
      <c r="C215" s="178"/>
      <c r="D215" s="178"/>
      <c r="E215" s="178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178"/>
      <c r="B216" s="178"/>
      <c r="C216" s="178"/>
      <c r="D216" s="178"/>
      <c r="E216" s="178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178"/>
      <c r="B217" s="178"/>
      <c r="C217" s="178"/>
      <c r="D217" s="178"/>
      <c r="E217" s="178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178"/>
      <c r="B218" s="178"/>
      <c r="C218" s="178"/>
      <c r="D218" s="178"/>
      <c r="E218" s="178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178"/>
      <c r="B219" s="178"/>
      <c r="C219" s="178"/>
      <c r="D219" s="178"/>
      <c r="E219" s="178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178"/>
      <c r="B220" s="178"/>
      <c r="C220" s="178"/>
      <c r="D220" s="178"/>
      <c r="E220" s="178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178"/>
      <c r="B221" s="178"/>
      <c r="C221" s="178"/>
      <c r="D221" s="178"/>
      <c r="E221" s="178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178"/>
      <c r="B222" s="178"/>
      <c r="C222" s="178"/>
      <c r="D222" s="178"/>
      <c r="E222" s="178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178"/>
      <c r="B223" s="178"/>
      <c r="C223" s="178"/>
      <c r="D223" s="178"/>
      <c r="E223" s="178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178"/>
      <c r="B224" s="178"/>
      <c r="C224" s="178"/>
      <c r="D224" s="178"/>
      <c r="E224" s="178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178"/>
      <c r="B225" s="178"/>
      <c r="C225" s="178"/>
      <c r="D225" s="178"/>
      <c r="E225" s="178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178"/>
      <c r="B226" s="178"/>
      <c r="C226" s="178"/>
      <c r="D226" s="178"/>
      <c r="E226" s="178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178"/>
      <c r="B227" s="178"/>
      <c r="C227" s="178"/>
      <c r="D227" s="178"/>
      <c r="E227" s="178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178"/>
      <c r="B228" s="178"/>
      <c r="C228" s="178"/>
      <c r="D228" s="178"/>
      <c r="E228" s="178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178"/>
      <c r="B229" s="178"/>
      <c r="C229" s="178"/>
      <c r="D229" s="178"/>
      <c r="E229" s="178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178"/>
      <c r="B230" s="178"/>
      <c r="C230" s="178"/>
      <c r="D230" s="178"/>
      <c r="E230" s="178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178"/>
      <c r="B231" s="178"/>
      <c r="C231" s="178"/>
      <c r="D231" s="178"/>
      <c r="E231" s="178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178"/>
      <c r="B232" s="178"/>
      <c r="C232" s="178"/>
      <c r="D232" s="178"/>
      <c r="E232" s="178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178"/>
      <c r="B233" s="178"/>
      <c r="C233" s="178"/>
      <c r="D233" s="178"/>
      <c r="E233" s="178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178"/>
      <c r="B234" s="178"/>
      <c r="C234" s="178"/>
      <c r="D234" s="178"/>
      <c r="E234" s="178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178"/>
      <c r="B235" s="178"/>
      <c r="C235" s="178"/>
      <c r="D235" s="178"/>
      <c r="E235" s="178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178"/>
      <c r="B236" s="178"/>
      <c r="C236" s="178"/>
      <c r="D236" s="178"/>
      <c r="E236" s="178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178"/>
      <c r="B237" s="178"/>
      <c r="C237" s="178"/>
      <c r="D237" s="178"/>
      <c r="E237" s="178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178"/>
      <c r="B238" s="178"/>
      <c r="C238" s="178"/>
      <c r="D238" s="178"/>
      <c r="E238" s="178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178"/>
      <c r="B239" s="178"/>
      <c r="C239" s="178"/>
      <c r="D239" s="178"/>
      <c r="E239" s="178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178"/>
      <c r="B240" s="178"/>
      <c r="C240" s="178"/>
      <c r="D240" s="178"/>
      <c r="E240" s="178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178"/>
      <c r="B241" s="178"/>
      <c r="C241" s="178"/>
      <c r="D241" s="178"/>
      <c r="E241" s="178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178"/>
      <c r="B242" s="178"/>
      <c r="C242" s="178"/>
      <c r="D242" s="178"/>
      <c r="E242" s="178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178"/>
      <c r="B243" s="178"/>
      <c r="C243" s="178"/>
      <c r="D243" s="178"/>
      <c r="E243" s="178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178"/>
      <c r="B244" s="178"/>
      <c r="C244" s="178"/>
      <c r="D244" s="178"/>
      <c r="E244" s="178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178"/>
      <c r="B245" s="178"/>
      <c r="C245" s="178"/>
      <c r="D245" s="178"/>
      <c r="E245" s="178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178"/>
      <c r="B246" s="178"/>
      <c r="C246" s="178"/>
      <c r="D246" s="178"/>
      <c r="E246" s="178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178"/>
      <c r="B247" s="178"/>
      <c r="C247" s="178"/>
      <c r="D247" s="178"/>
      <c r="E247" s="178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178"/>
      <c r="B248" s="178"/>
      <c r="C248" s="178"/>
      <c r="D248" s="178"/>
      <c r="E248" s="178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178"/>
      <c r="B249" s="178"/>
      <c r="C249" s="178"/>
      <c r="D249" s="178"/>
      <c r="E249" s="178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178"/>
      <c r="B250" s="178"/>
      <c r="C250" s="178"/>
      <c r="D250" s="178"/>
      <c r="E250" s="178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178"/>
      <c r="B251" s="178"/>
      <c r="C251" s="178"/>
      <c r="D251" s="178"/>
      <c r="E251" s="178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178"/>
      <c r="B252" s="178"/>
      <c r="C252" s="178"/>
      <c r="D252" s="178"/>
      <c r="E252" s="178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178"/>
      <c r="B253" s="178"/>
      <c r="C253" s="178"/>
      <c r="D253" s="178"/>
      <c r="E253" s="178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178"/>
      <c r="B254" s="178"/>
      <c r="C254" s="178"/>
      <c r="D254" s="178"/>
      <c r="E254" s="178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178"/>
      <c r="B255" s="178"/>
      <c r="C255" s="178"/>
      <c r="D255" s="178"/>
      <c r="E255" s="178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178"/>
      <c r="B256" s="178"/>
      <c r="C256" s="178"/>
      <c r="D256" s="178"/>
      <c r="E256" s="178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178"/>
      <c r="B257" s="178"/>
      <c r="C257" s="178"/>
      <c r="D257" s="178"/>
      <c r="E257" s="178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178"/>
      <c r="B258" s="178"/>
      <c r="C258" s="178"/>
      <c r="D258" s="178"/>
      <c r="E258" s="178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178"/>
      <c r="B259" s="178"/>
      <c r="C259" s="178"/>
      <c r="D259" s="178"/>
      <c r="E259" s="178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178"/>
      <c r="B260" s="178"/>
      <c r="C260" s="178"/>
      <c r="D260" s="178"/>
      <c r="E260" s="178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178"/>
      <c r="B261" s="178"/>
      <c r="C261" s="178"/>
      <c r="D261" s="178"/>
      <c r="E261" s="178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178"/>
      <c r="B262" s="178"/>
      <c r="C262" s="178"/>
      <c r="D262" s="178"/>
      <c r="E262" s="178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178"/>
      <c r="B263" s="178"/>
      <c r="C263" s="178"/>
      <c r="D263" s="178"/>
      <c r="E263" s="178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178"/>
      <c r="B264" s="178"/>
      <c r="C264" s="178"/>
      <c r="D264" s="178"/>
      <c r="E264" s="178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178"/>
      <c r="B265" s="178"/>
      <c r="C265" s="178"/>
      <c r="D265" s="178"/>
      <c r="E265" s="178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178"/>
      <c r="B266" s="178"/>
      <c r="C266" s="178"/>
      <c r="D266" s="178"/>
      <c r="E266" s="178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178"/>
      <c r="B267" s="178"/>
      <c r="C267" s="178"/>
      <c r="D267" s="178"/>
      <c r="E267" s="178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178"/>
      <c r="B268" s="178"/>
      <c r="C268" s="178"/>
      <c r="D268" s="178"/>
      <c r="E268" s="178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178"/>
      <c r="B269" s="178"/>
      <c r="C269" s="178"/>
      <c r="D269" s="178"/>
      <c r="E269" s="178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178"/>
      <c r="B270" s="178"/>
      <c r="C270" s="178"/>
      <c r="D270" s="178"/>
      <c r="E270" s="178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178"/>
      <c r="B271" s="178"/>
      <c r="C271" s="178"/>
      <c r="D271" s="178"/>
      <c r="E271" s="178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178"/>
      <c r="B272" s="178"/>
      <c r="C272" s="178"/>
      <c r="D272" s="178"/>
      <c r="E272" s="178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178"/>
      <c r="B273" s="178"/>
      <c r="C273" s="178"/>
      <c r="D273" s="178"/>
      <c r="E273" s="178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178"/>
      <c r="B274" s="178"/>
      <c r="C274" s="178"/>
      <c r="D274" s="178"/>
      <c r="E274" s="178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178"/>
      <c r="B275" s="178"/>
      <c r="C275" s="178"/>
      <c r="D275" s="178"/>
      <c r="E275" s="178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178"/>
      <c r="B276" s="178"/>
      <c r="C276" s="178"/>
      <c r="D276" s="178"/>
      <c r="E276" s="178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178"/>
      <c r="B277" s="178"/>
      <c r="C277" s="178"/>
      <c r="D277" s="178"/>
      <c r="E277" s="178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178"/>
      <c r="B278" s="178"/>
      <c r="C278" s="178"/>
      <c r="D278" s="178"/>
      <c r="E278" s="178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178"/>
      <c r="B279" s="178"/>
      <c r="C279" s="178"/>
      <c r="D279" s="178"/>
      <c r="E279" s="178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178"/>
      <c r="B280" s="178"/>
      <c r="C280" s="178"/>
      <c r="D280" s="178"/>
      <c r="E280" s="178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178"/>
      <c r="B281" s="178"/>
      <c r="C281" s="178"/>
      <c r="D281" s="178"/>
      <c r="E281" s="178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178"/>
      <c r="B282" s="178"/>
      <c r="C282" s="178"/>
      <c r="D282" s="178"/>
      <c r="E282" s="178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178"/>
      <c r="B283" s="178"/>
      <c r="C283" s="178"/>
      <c r="D283" s="178"/>
      <c r="E283" s="178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178"/>
      <c r="B284" s="178"/>
      <c r="C284" s="178"/>
      <c r="D284" s="178"/>
      <c r="E284" s="178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178"/>
      <c r="B285" s="178"/>
      <c r="C285" s="178"/>
      <c r="D285" s="178"/>
      <c r="E285" s="178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178"/>
      <c r="B286" s="178"/>
      <c r="C286" s="178"/>
      <c r="D286" s="178"/>
      <c r="E286" s="178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178"/>
      <c r="B287" s="178"/>
      <c r="C287" s="178"/>
      <c r="D287" s="178"/>
      <c r="E287" s="178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178"/>
      <c r="B288" s="178"/>
      <c r="C288" s="178"/>
      <c r="D288" s="178"/>
      <c r="E288" s="178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178"/>
      <c r="B289" s="178"/>
      <c r="C289" s="178"/>
      <c r="D289" s="178"/>
      <c r="E289" s="178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178"/>
      <c r="B290" s="178"/>
      <c r="C290" s="178"/>
      <c r="D290" s="178"/>
      <c r="E290" s="178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178"/>
      <c r="B291" s="178"/>
      <c r="C291" s="178"/>
      <c r="D291" s="178"/>
      <c r="E291" s="178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178"/>
      <c r="B292" s="178"/>
      <c r="C292" s="178"/>
      <c r="D292" s="178"/>
      <c r="E292" s="178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178"/>
      <c r="B293" s="178"/>
      <c r="C293" s="178"/>
      <c r="D293" s="178"/>
      <c r="E293" s="178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178"/>
      <c r="B294" s="178"/>
      <c r="C294" s="178"/>
      <c r="D294" s="178"/>
      <c r="E294" s="178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178"/>
      <c r="B295" s="178"/>
      <c r="C295" s="178"/>
      <c r="D295" s="178"/>
      <c r="E295" s="178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178"/>
      <c r="B296" s="178"/>
      <c r="C296" s="178"/>
      <c r="D296" s="178"/>
      <c r="E296" s="178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178"/>
      <c r="B297" s="178"/>
      <c r="C297" s="178"/>
      <c r="D297" s="178"/>
      <c r="E297" s="178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178"/>
      <c r="B298" s="178"/>
      <c r="C298" s="178"/>
      <c r="D298" s="178"/>
      <c r="E298" s="178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178"/>
      <c r="B299" s="178"/>
      <c r="C299" s="178"/>
      <c r="D299" s="178"/>
      <c r="E299" s="178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178"/>
      <c r="B300" s="178"/>
      <c r="C300" s="178"/>
      <c r="D300" s="178"/>
      <c r="E300" s="178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178"/>
      <c r="B301" s="178"/>
      <c r="C301" s="178"/>
      <c r="D301" s="178"/>
      <c r="E301" s="178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178"/>
      <c r="B302" s="178"/>
      <c r="C302" s="178"/>
      <c r="D302" s="178"/>
      <c r="E302" s="178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178"/>
      <c r="B303" s="178"/>
      <c r="C303" s="178"/>
      <c r="D303" s="178"/>
      <c r="E303" s="178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178"/>
      <c r="B304" s="178"/>
      <c r="C304" s="178"/>
      <c r="D304" s="178"/>
      <c r="E304" s="178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178"/>
      <c r="B305" s="178"/>
      <c r="C305" s="178"/>
      <c r="D305" s="178"/>
      <c r="E305" s="178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178"/>
      <c r="B306" s="178"/>
      <c r="C306" s="178"/>
      <c r="D306" s="178"/>
      <c r="E306" s="178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178"/>
      <c r="B307" s="178"/>
      <c r="C307" s="178"/>
      <c r="D307" s="178"/>
      <c r="E307" s="178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178"/>
      <c r="B308" s="178"/>
      <c r="C308" s="178"/>
      <c r="D308" s="178"/>
      <c r="E308" s="178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178"/>
      <c r="B309" s="178"/>
      <c r="C309" s="178"/>
      <c r="D309" s="178"/>
      <c r="E309" s="178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178"/>
      <c r="B310" s="178"/>
      <c r="C310" s="178"/>
      <c r="D310" s="178"/>
      <c r="E310" s="178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178"/>
      <c r="B311" s="178"/>
      <c r="C311" s="178"/>
      <c r="D311" s="178"/>
      <c r="E311" s="178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178"/>
      <c r="B312" s="178"/>
      <c r="C312" s="178"/>
      <c r="D312" s="178"/>
      <c r="E312" s="178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178"/>
      <c r="B313" s="178"/>
      <c r="C313" s="178"/>
      <c r="D313" s="178"/>
      <c r="E313" s="178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178"/>
      <c r="B314" s="178"/>
      <c r="C314" s="178"/>
      <c r="D314" s="178"/>
      <c r="E314" s="178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178"/>
      <c r="B315" s="178"/>
      <c r="C315" s="178"/>
      <c r="D315" s="178"/>
      <c r="E315" s="178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178"/>
      <c r="B316" s="178"/>
      <c r="C316" s="178"/>
      <c r="D316" s="178"/>
      <c r="E316" s="178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178"/>
      <c r="B317" s="178"/>
      <c r="C317" s="178"/>
      <c r="D317" s="178"/>
      <c r="E317" s="178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178"/>
      <c r="B318" s="178"/>
      <c r="C318" s="178"/>
      <c r="D318" s="178"/>
      <c r="E318" s="178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178"/>
      <c r="B319" s="178"/>
      <c r="C319" s="178"/>
      <c r="D319" s="178"/>
      <c r="E319" s="178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178"/>
      <c r="B320" s="178"/>
      <c r="C320" s="178"/>
      <c r="D320" s="178"/>
      <c r="E320" s="178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178"/>
      <c r="B321" s="178"/>
      <c r="C321" s="178"/>
      <c r="D321" s="178"/>
      <c r="E321" s="178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178"/>
      <c r="B322" s="178"/>
      <c r="C322" s="178"/>
      <c r="D322" s="178"/>
      <c r="E322" s="178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178"/>
      <c r="B323" s="178"/>
      <c r="C323" s="178"/>
      <c r="D323" s="178"/>
      <c r="E323" s="178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178"/>
      <c r="B324" s="178"/>
      <c r="C324" s="178"/>
      <c r="D324" s="178"/>
      <c r="E324" s="178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178"/>
      <c r="B325" s="178"/>
      <c r="C325" s="178"/>
      <c r="D325" s="178"/>
      <c r="E325" s="178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178"/>
      <c r="B326" s="178"/>
      <c r="C326" s="178"/>
      <c r="D326" s="178"/>
      <c r="E326" s="178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178"/>
      <c r="B327" s="178"/>
      <c r="C327" s="178"/>
      <c r="D327" s="178"/>
      <c r="E327" s="178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178"/>
      <c r="B328" s="178"/>
      <c r="C328" s="178"/>
      <c r="D328" s="178"/>
      <c r="E328" s="178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178"/>
      <c r="B329" s="178"/>
      <c r="C329" s="178"/>
      <c r="D329" s="178"/>
      <c r="E329" s="178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178"/>
      <c r="B330" s="178"/>
      <c r="C330" s="178"/>
      <c r="D330" s="178"/>
      <c r="E330" s="178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178"/>
      <c r="B331" s="178"/>
      <c r="C331" s="178"/>
      <c r="D331" s="178"/>
      <c r="E331" s="178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178"/>
      <c r="B332" s="178"/>
      <c r="C332" s="178"/>
      <c r="D332" s="178"/>
      <c r="E332" s="178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178"/>
      <c r="B333" s="178"/>
      <c r="C333" s="178"/>
      <c r="D333" s="178"/>
      <c r="E333" s="178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178"/>
      <c r="B334" s="178"/>
      <c r="C334" s="178"/>
      <c r="D334" s="178"/>
      <c r="E334" s="178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178"/>
      <c r="B335" s="178"/>
      <c r="C335" s="178"/>
      <c r="D335" s="178"/>
      <c r="E335" s="178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178"/>
      <c r="B336" s="178"/>
      <c r="C336" s="178"/>
      <c r="D336" s="178"/>
      <c r="E336" s="178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178"/>
      <c r="B337" s="178"/>
      <c r="C337" s="178"/>
      <c r="D337" s="178"/>
      <c r="E337" s="178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178"/>
      <c r="B338" s="178"/>
      <c r="C338" s="178"/>
      <c r="D338" s="178"/>
      <c r="E338" s="178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178"/>
      <c r="B339" s="178"/>
      <c r="C339" s="178"/>
      <c r="D339" s="178"/>
      <c r="E339" s="178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178"/>
      <c r="B340" s="178"/>
      <c r="C340" s="178"/>
      <c r="D340" s="178"/>
      <c r="E340" s="178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178"/>
      <c r="B341" s="178"/>
      <c r="C341" s="178"/>
      <c r="D341" s="178"/>
      <c r="E341" s="178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178"/>
      <c r="B342" s="178"/>
      <c r="C342" s="178"/>
      <c r="D342" s="178"/>
      <c r="E342" s="178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178"/>
      <c r="B343" s="178"/>
      <c r="C343" s="178"/>
      <c r="D343" s="178"/>
      <c r="E343" s="178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178"/>
      <c r="B344" s="178"/>
      <c r="C344" s="178"/>
      <c r="D344" s="178"/>
      <c r="E344" s="178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178"/>
      <c r="B345" s="178"/>
      <c r="C345" s="178"/>
      <c r="D345" s="178"/>
      <c r="E345" s="178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178"/>
      <c r="B346" s="178"/>
      <c r="C346" s="178"/>
      <c r="D346" s="178"/>
      <c r="E346" s="178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178"/>
      <c r="B347" s="178"/>
      <c r="C347" s="178"/>
      <c r="D347" s="178"/>
      <c r="E347" s="178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178"/>
      <c r="B348" s="178"/>
      <c r="C348" s="178"/>
      <c r="D348" s="178"/>
      <c r="E348" s="178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178"/>
      <c r="B349" s="178"/>
      <c r="C349" s="178"/>
      <c r="D349" s="178"/>
      <c r="E349" s="178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178"/>
      <c r="B350" s="178"/>
      <c r="C350" s="178"/>
      <c r="D350" s="178"/>
      <c r="E350" s="178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178"/>
      <c r="B351" s="178"/>
      <c r="C351" s="178"/>
      <c r="D351" s="178"/>
      <c r="E351" s="178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178"/>
      <c r="B352" s="178"/>
      <c r="C352" s="178"/>
      <c r="D352" s="178"/>
      <c r="E352" s="178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178"/>
      <c r="B353" s="178"/>
      <c r="C353" s="178"/>
      <c r="D353" s="178"/>
      <c r="E353" s="178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178"/>
      <c r="B354" s="178"/>
      <c r="C354" s="178"/>
      <c r="D354" s="178"/>
      <c r="E354" s="178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178"/>
      <c r="B355" s="178"/>
      <c r="C355" s="178"/>
      <c r="D355" s="178"/>
      <c r="E355" s="178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178"/>
      <c r="B356" s="178"/>
      <c r="C356" s="178"/>
      <c r="D356" s="178"/>
      <c r="E356" s="178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178"/>
      <c r="B357" s="178"/>
      <c r="C357" s="178"/>
      <c r="D357" s="178"/>
      <c r="E357" s="178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178"/>
      <c r="B358" s="178"/>
      <c r="C358" s="178"/>
      <c r="D358" s="178"/>
      <c r="E358" s="178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178"/>
      <c r="B359" s="178"/>
      <c r="C359" s="178"/>
      <c r="D359" s="178"/>
      <c r="E359" s="178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178"/>
      <c r="B360" s="178"/>
      <c r="C360" s="178"/>
      <c r="D360" s="178"/>
      <c r="E360" s="178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178"/>
      <c r="B361" s="178"/>
      <c r="C361" s="178"/>
      <c r="D361" s="178"/>
      <c r="E361" s="178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178"/>
      <c r="B362" s="178"/>
      <c r="C362" s="178"/>
      <c r="D362" s="178"/>
      <c r="E362" s="178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178"/>
      <c r="B363" s="178"/>
      <c r="C363" s="178"/>
      <c r="D363" s="178"/>
      <c r="E363" s="178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178"/>
      <c r="B364" s="178"/>
      <c r="C364" s="178"/>
      <c r="D364" s="178"/>
      <c r="E364" s="178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178"/>
      <c r="B365" s="178"/>
      <c r="C365" s="178"/>
      <c r="D365" s="178"/>
      <c r="E365" s="178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178"/>
      <c r="B366" s="178"/>
      <c r="C366" s="178"/>
      <c r="D366" s="178"/>
      <c r="E366" s="178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178"/>
      <c r="B367" s="178"/>
      <c r="C367" s="178"/>
      <c r="D367" s="178"/>
      <c r="E367" s="178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178"/>
      <c r="B368" s="178"/>
      <c r="C368" s="178"/>
      <c r="D368" s="178"/>
      <c r="E368" s="178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178"/>
      <c r="B369" s="178"/>
      <c r="C369" s="178"/>
      <c r="D369" s="178"/>
      <c r="E369" s="178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178"/>
      <c r="B370" s="178"/>
      <c r="C370" s="178"/>
      <c r="D370" s="178"/>
      <c r="E370" s="178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178"/>
      <c r="B371" s="178"/>
      <c r="C371" s="178"/>
      <c r="D371" s="178"/>
      <c r="E371" s="178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178"/>
      <c r="B372" s="178"/>
      <c r="C372" s="178"/>
      <c r="D372" s="178"/>
      <c r="E372" s="178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178"/>
      <c r="B373" s="178"/>
      <c r="C373" s="178"/>
      <c r="D373" s="178"/>
      <c r="E373" s="178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178"/>
      <c r="B374" s="178"/>
      <c r="C374" s="178"/>
      <c r="D374" s="178"/>
      <c r="E374" s="178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178"/>
      <c r="B375" s="178"/>
      <c r="C375" s="178"/>
      <c r="D375" s="178"/>
      <c r="E375" s="178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178"/>
      <c r="B376" s="178"/>
      <c r="C376" s="178"/>
      <c r="D376" s="178"/>
      <c r="E376" s="178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178"/>
      <c r="B377" s="178"/>
      <c r="C377" s="178"/>
      <c r="D377" s="178"/>
      <c r="E377" s="178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178"/>
      <c r="B378" s="178"/>
      <c r="C378" s="178"/>
      <c r="D378" s="178"/>
      <c r="E378" s="178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178"/>
      <c r="B379" s="178"/>
      <c r="C379" s="178"/>
      <c r="D379" s="178"/>
      <c r="E379" s="178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178"/>
      <c r="B380" s="178"/>
      <c r="C380" s="178"/>
      <c r="D380" s="178"/>
      <c r="E380" s="178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178"/>
      <c r="B381" s="178"/>
      <c r="C381" s="178"/>
      <c r="D381" s="178"/>
      <c r="E381" s="178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178"/>
      <c r="B382" s="178"/>
      <c r="C382" s="178"/>
      <c r="D382" s="178"/>
      <c r="E382" s="178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178"/>
      <c r="B383" s="178"/>
      <c r="C383" s="178"/>
      <c r="D383" s="178"/>
      <c r="E383" s="178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178"/>
      <c r="B384" s="178"/>
      <c r="C384" s="178"/>
      <c r="D384" s="178"/>
      <c r="E384" s="178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178"/>
      <c r="B385" s="178"/>
      <c r="C385" s="178"/>
      <c r="D385" s="178"/>
      <c r="E385" s="178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178"/>
      <c r="B386" s="178"/>
      <c r="C386" s="178"/>
      <c r="D386" s="178"/>
      <c r="E386" s="178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178"/>
      <c r="B387" s="178"/>
      <c r="C387" s="178"/>
      <c r="D387" s="178"/>
      <c r="E387" s="178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178"/>
      <c r="B388" s="178"/>
      <c r="C388" s="178"/>
      <c r="D388" s="178"/>
      <c r="E388" s="178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178"/>
      <c r="B389" s="178"/>
      <c r="C389" s="178"/>
      <c r="D389" s="178"/>
      <c r="E389" s="178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178"/>
      <c r="B390" s="178"/>
      <c r="C390" s="178"/>
      <c r="D390" s="178"/>
      <c r="E390" s="178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178"/>
      <c r="B391" s="178"/>
      <c r="C391" s="178"/>
      <c r="D391" s="178"/>
      <c r="E391" s="178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178"/>
      <c r="B392" s="178"/>
      <c r="C392" s="178"/>
      <c r="D392" s="178"/>
      <c r="E392" s="178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178"/>
      <c r="B393" s="178"/>
      <c r="C393" s="178"/>
      <c r="D393" s="178"/>
      <c r="E393" s="178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178"/>
      <c r="B394" s="178"/>
      <c r="C394" s="178"/>
      <c r="D394" s="178"/>
      <c r="E394" s="178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178"/>
      <c r="B395" s="178"/>
      <c r="C395" s="178"/>
      <c r="D395" s="178"/>
      <c r="E395" s="178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178"/>
      <c r="B396" s="178"/>
      <c r="C396" s="178"/>
      <c r="D396" s="178"/>
      <c r="E396" s="178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178"/>
      <c r="B397" s="178"/>
      <c r="C397" s="178"/>
      <c r="D397" s="178"/>
      <c r="E397" s="178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178"/>
      <c r="B398" s="178"/>
      <c r="C398" s="178"/>
      <c r="D398" s="178"/>
      <c r="E398" s="178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178"/>
      <c r="B399" s="178"/>
      <c r="C399" s="178"/>
      <c r="D399" s="178"/>
      <c r="E399" s="178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178"/>
      <c r="B400" s="178"/>
      <c r="C400" s="178"/>
      <c r="D400" s="178"/>
      <c r="E400" s="178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178"/>
      <c r="B401" s="178"/>
      <c r="C401" s="178"/>
      <c r="D401" s="178"/>
      <c r="E401" s="178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178"/>
      <c r="B402" s="178"/>
      <c r="C402" s="178"/>
      <c r="D402" s="178"/>
      <c r="E402" s="178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178"/>
      <c r="B403" s="178"/>
      <c r="C403" s="178"/>
      <c r="D403" s="178"/>
      <c r="E403" s="178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178"/>
      <c r="B404" s="178"/>
      <c r="C404" s="178"/>
      <c r="D404" s="178"/>
      <c r="E404" s="178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178"/>
      <c r="B405" s="178"/>
      <c r="C405" s="178"/>
      <c r="D405" s="178"/>
      <c r="E405" s="178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178"/>
      <c r="B406" s="178"/>
      <c r="C406" s="178"/>
      <c r="D406" s="178"/>
      <c r="E406" s="178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178"/>
      <c r="B407" s="178"/>
      <c r="C407" s="178"/>
      <c r="D407" s="178"/>
      <c r="E407" s="178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178"/>
      <c r="B408" s="178"/>
      <c r="C408" s="178"/>
      <c r="D408" s="178"/>
      <c r="E408" s="178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178"/>
      <c r="B409" s="178"/>
      <c r="C409" s="178"/>
      <c r="D409" s="178"/>
      <c r="E409" s="178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178"/>
      <c r="B410" s="178"/>
      <c r="C410" s="178"/>
      <c r="D410" s="178"/>
      <c r="E410" s="178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178"/>
      <c r="B411" s="178"/>
      <c r="C411" s="178"/>
      <c r="D411" s="178"/>
      <c r="E411" s="178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178"/>
      <c r="B412" s="178"/>
      <c r="C412" s="178"/>
      <c r="D412" s="178"/>
      <c r="E412" s="178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178"/>
      <c r="B413" s="178"/>
      <c r="C413" s="178"/>
      <c r="D413" s="178"/>
      <c r="E413" s="178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178"/>
      <c r="B414" s="178"/>
      <c r="C414" s="178"/>
      <c r="D414" s="178"/>
      <c r="E414" s="178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178"/>
      <c r="B415" s="178"/>
      <c r="C415" s="178"/>
      <c r="D415" s="178"/>
      <c r="E415" s="178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178"/>
      <c r="B416" s="178"/>
      <c r="C416" s="178"/>
      <c r="D416" s="178"/>
      <c r="E416" s="178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178"/>
      <c r="B417" s="178"/>
      <c r="C417" s="178"/>
      <c r="D417" s="178"/>
      <c r="E417" s="178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178"/>
      <c r="B418" s="178"/>
      <c r="C418" s="178"/>
      <c r="D418" s="178"/>
      <c r="E418" s="178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178"/>
      <c r="B419" s="178"/>
      <c r="C419" s="178"/>
      <c r="D419" s="178"/>
      <c r="E419" s="178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178"/>
      <c r="B420" s="178"/>
      <c r="C420" s="178"/>
      <c r="D420" s="178"/>
      <c r="E420" s="178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178"/>
      <c r="B421" s="178"/>
      <c r="C421" s="178"/>
      <c r="D421" s="178"/>
      <c r="E421" s="178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178"/>
      <c r="B422" s="178"/>
      <c r="C422" s="178"/>
      <c r="D422" s="178"/>
      <c r="E422" s="178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178"/>
      <c r="B423" s="178"/>
      <c r="C423" s="178"/>
      <c r="D423" s="178"/>
      <c r="E423" s="178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178"/>
      <c r="B424" s="178"/>
      <c r="C424" s="178"/>
      <c r="D424" s="178"/>
      <c r="E424" s="178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178"/>
      <c r="B425" s="178"/>
      <c r="C425" s="178"/>
      <c r="D425" s="178"/>
      <c r="E425" s="178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178"/>
      <c r="B426" s="178"/>
      <c r="C426" s="178"/>
      <c r="D426" s="178"/>
      <c r="E426" s="178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178"/>
      <c r="B427" s="178"/>
      <c r="C427" s="178"/>
      <c r="D427" s="178"/>
      <c r="E427" s="178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178"/>
      <c r="B428" s="178"/>
      <c r="C428" s="178"/>
      <c r="D428" s="178"/>
      <c r="E428" s="178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178"/>
      <c r="B429" s="178"/>
      <c r="C429" s="178"/>
      <c r="D429" s="178"/>
      <c r="E429" s="178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178"/>
      <c r="B430" s="178"/>
      <c r="C430" s="178"/>
      <c r="D430" s="178"/>
      <c r="E430" s="178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178"/>
      <c r="B431" s="178"/>
      <c r="C431" s="178"/>
      <c r="D431" s="178"/>
      <c r="E431" s="178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178"/>
      <c r="B432" s="178"/>
      <c r="C432" s="178"/>
      <c r="D432" s="178"/>
      <c r="E432" s="178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178"/>
      <c r="B433" s="178"/>
      <c r="C433" s="178"/>
      <c r="D433" s="178"/>
      <c r="E433" s="178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178"/>
      <c r="B434" s="178"/>
      <c r="C434" s="178"/>
      <c r="D434" s="178"/>
      <c r="E434" s="178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178"/>
      <c r="B435" s="178"/>
      <c r="C435" s="178"/>
      <c r="D435" s="178"/>
      <c r="E435" s="178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178"/>
      <c r="B436" s="178"/>
      <c r="C436" s="178"/>
      <c r="D436" s="178"/>
      <c r="E436" s="178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178"/>
      <c r="B437" s="178"/>
      <c r="C437" s="178"/>
      <c r="D437" s="178"/>
      <c r="E437" s="178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178"/>
      <c r="B438" s="178"/>
      <c r="C438" s="178"/>
      <c r="D438" s="178"/>
      <c r="E438" s="178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178"/>
      <c r="B439" s="178"/>
      <c r="C439" s="178"/>
      <c r="D439" s="178"/>
      <c r="E439" s="178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178"/>
      <c r="B440" s="178"/>
      <c r="C440" s="178"/>
      <c r="D440" s="178"/>
      <c r="E440" s="178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178"/>
      <c r="B441" s="178"/>
      <c r="C441" s="178"/>
      <c r="D441" s="178"/>
      <c r="E441" s="178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178"/>
      <c r="B442" s="178"/>
      <c r="C442" s="178"/>
      <c r="D442" s="178"/>
      <c r="E442" s="178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178"/>
      <c r="B443" s="178"/>
      <c r="C443" s="178"/>
      <c r="D443" s="178"/>
      <c r="E443" s="178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178"/>
      <c r="B444" s="178"/>
      <c r="C444" s="178"/>
      <c r="D444" s="178"/>
      <c r="E444" s="178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178"/>
      <c r="B445" s="178"/>
      <c r="C445" s="178"/>
      <c r="D445" s="178"/>
      <c r="E445" s="178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178"/>
      <c r="B446" s="178"/>
      <c r="C446" s="178"/>
      <c r="D446" s="178"/>
      <c r="E446" s="178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178"/>
      <c r="B447" s="178"/>
      <c r="C447" s="178"/>
      <c r="D447" s="178"/>
      <c r="E447" s="178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178"/>
      <c r="B448" s="178"/>
      <c r="C448" s="178"/>
      <c r="D448" s="178"/>
      <c r="E448" s="178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178"/>
      <c r="B449" s="178"/>
      <c r="C449" s="178"/>
      <c r="D449" s="178"/>
      <c r="E449" s="178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178"/>
      <c r="B450" s="178"/>
      <c r="C450" s="178"/>
      <c r="D450" s="178"/>
      <c r="E450" s="178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178"/>
      <c r="B451" s="178"/>
      <c r="C451" s="178"/>
      <c r="D451" s="178"/>
      <c r="E451" s="178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178"/>
      <c r="B452" s="178"/>
      <c r="C452" s="178"/>
      <c r="D452" s="178"/>
      <c r="E452" s="178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178"/>
      <c r="B453" s="178"/>
      <c r="C453" s="178"/>
      <c r="D453" s="178"/>
      <c r="E453" s="178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178"/>
      <c r="B454" s="178"/>
      <c r="C454" s="178"/>
      <c r="D454" s="178"/>
      <c r="E454" s="178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178"/>
      <c r="B455" s="178"/>
      <c r="C455" s="178"/>
      <c r="D455" s="178"/>
      <c r="E455" s="178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178"/>
      <c r="B456" s="178"/>
      <c r="C456" s="178"/>
      <c r="D456" s="178"/>
      <c r="E456" s="178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178"/>
      <c r="B457" s="178"/>
      <c r="C457" s="178"/>
      <c r="D457" s="178"/>
      <c r="E457" s="178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178"/>
      <c r="B458" s="178"/>
      <c r="C458" s="178"/>
      <c r="D458" s="178"/>
      <c r="E458" s="178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178"/>
      <c r="B459" s="178"/>
      <c r="C459" s="178"/>
      <c r="D459" s="178"/>
      <c r="E459" s="178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178"/>
      <c r="B460" s="178"/>
      <c r="C460" s="178"/>
      <c r="D460" s="178"/>
      <c r="E460" s="178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178"/>
      <c r="B461" s="178"/>
      <c r="C461" s="178"/>
      <c r="D461" s="178"/>
      <c r="E461" s="178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178"/>
      <c r="B462" s="178"/>
      <c r="C462" s="178"/>
      <c r="D462" s="178"/>
      <c r="E462" s="178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178"/>
      <c r="B463" s="178"/>
      <c r="C463" s="178"/>
      <c r="D463" s="178"/>
      <c r="E463" s="178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178"/>
      <c r="B464" s="178"/>
      <c r="C464" s="178"/>
      <c r="D464" s="178"/>
      <c r="E464" s="178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178"/>
      <c r="B465" s="178"/>
      <c r="C465" s="178"/>
      <c r="D465" s="178"/>
      <c r="E465" s="178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178"/>
      <c r="B466" s="178"/>
      <c r="C466" s="178"/>
      <c r="D466" s="178"/>
      <c r="E466" s="178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178"/>
      <c r="B467" s="178"/>
      <c r="C467" s="178"/>
      <c r="D467" s="178"/>
      <c r="E467" s="178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178"/>
      <c r="B468" s="178"/>
      <c r="C468" s="178"/>
      <c r="D468" s="178"/>
      <c r="E468" s="178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178"/>
      <c r="B469" s="178"/>
      <c r="C469" s="178"/>
      <c r="D469" s="178"/>
      <c r="E469" s="178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178"/>
      <c r="B470" s="178"/>
      <c r="C470" s="178"/>
      <c r="D470" s="178"/>
      <c r="E470" s="178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178"/>
      <c r="B471" s="178"/>
      <c r="C471" s="178"/>
      <c r="D471" s="178"/>
      <c r="E471" s="178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178"/>
      <c r="B472" s="178"/>
      <c r="C472" s="178"/>
      <c r="D472" s="178"/>
      <c r="E472" s="178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178"/>
      <c r="B473" s="178"/>
      <c r="C473" s="178"/>
      <c r="D473" s="178"/>
      <c r="E473" s="178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178"/>
      <c r="B474" s="178"/>
      <c r="C474" s="178"/>
      <c r="D474" s="178"/>
      <c r="E474" s="178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178"/>
      <c r="B475" s="178"/>
      <c r="C475" s="178"/>
      <c r="D475" s="178"/>
      <c r="E475" s="178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178"/>
      <c r="B476" s="178"/>
      <c r="C476" s="178"/>
      <c r="D476" s="178"/>
      <c r="E476" s="178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178"/>
      <c r="B477" s="178"/>
      <c r="C477" s="178"/>
      <c r="D477" s="178"/>
      <c r="E477" s="178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178"/>
      <c r="B478" s="178"/>
      <c r="C478" s="178"/>
      <c r="D478" s="178"/>
      <c r="E478" s="178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178"/>
      <c r="B479" s="178"/>
      <c r="C479" s="178"/>
      <c r="D479" s="178"/>
      <c r="E479" s="178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178"/>
      <c r="B480" s="178"/>
      <c r="C480" s="178"/>
      <c r="D480" s="178"/>
      <c r="E480" s="178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178"/>
      <c r="B481" s="178"/>
      <c r="C481" s="178"/>
      <c r="D481" s="178"/>
      <c r="E481" s="178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178"/>
      <c r="B482" s="178"/>
      <c r="C482" s="178"/>
      <c r="D482" s="178"/>
      <c r="E482" s="178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178"/>
      <c r="B483" s="178"/>
      <c r="C483" s="178"/>
      <c r="D483" s="178"/>
      <c r="E483" s="178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178"/>
      <c r="B484" s="178"/>
      <c r="C484" s="178"/>
      <c r="D484" s="178"/>
      <c r="E484" s="178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178"/>
      <c r="B485" s="178"/>
      <c r="C485" s="178"/>
      <c r="D485" s="178"/>
      <c r="E485" s="178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178"/>
      <c r="B486" s="178"/>
      <c r="C486" s="178"/>
      <c r="D486" s="178"/>
      <c r="E486" s="178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178"/>
      <c r="B487" s="178"/>
      <c r="C487" s="178"/>
      <c r="D487" s="178"/>
      <c r="E487" s="178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178"/>
      <c r="B488" s="178"/>
      <c r="C488" s="178"/>
      <c r="D488" s="178"/>
      <c r="E488" s="178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178"/>
      <c r="B489" s="178"/>
      <c r="C489" s="178"/>
      <c r="D489" s="178"/>
      <c r="E489" s="178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178"/>
      <c r="B490" s="178"/>
      <c r="C490" s="178"/>
      <c r="D490" s="178"/>
      <c r="E490" s="178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178"/>
      <c r="B491" s="178"/>
      <c r="C491" s="178"/>
      <c r="D491" s="178"/>
      <c r="E491" s="178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178"/>
      <c r="B492" s="178"/>
      <c r="C492" s="178"/>
      <c r="D492" s="178"/>
      <c r="E492" s="178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178"/>
      <c r="B493" s="178"/>
      <c r="C493" s="178"/>
      <c r="D493" s="178"/>
      <c r="E493" s="178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178"/>
      <c r="B494" s="178"/>
      <c r="C494" s="178"/>
      <c r="D494" s="178"/>
      <c r="E494" s="178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178"/>
      <c r="B495" s="178"/>
      <c r="C495" s="178"/>
      <c r="D495" s="178"/>
      <c r="E495" s="178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178"/>
      <c r="B496" s="178"/>
      <c r="C496" s="178"/>
      <c r="D496" s="178"/>
      <c r="E496" s="178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178"/>
      <c r="B497" s="178"/>
      <c r="C497" s="178"/>
      <c r="D497" s="178"/>
      <c r="E497" s="178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178"/>
      <c r="B498" s="178"/>
      <c r="C498" s="178"/>
      <c r="D498" s="178"/>
      <c r="E498" s="178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178"/>
      <c r="B499" s="178"/>
      <c r="C499" s="178"/>
      <c r="D499" s="178"/>
      <c r="E499" s="178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178"/>
      <c r="B500" s="178"/>
      <c r="C500" s="178"/>
      <c r="D500" s="178"/>
      <c r="E500" s="178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178"/>
      <c r="B501" s="178"/>
      <c r="C501" s="178"/>
      <c r="D501" s="178"/>
      <c r="E501" s="178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178"/>
      <c r="B502" s="178"/>
      <c r="C502" s="178"/>
      <c r="D502" s="178"/>
      <c r="E502" s="178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178"/>
      <c r="B503" s="178"/>
      <c r="C503" s="178"/>
      <c r="D503" s="178"/>
      <c r="E503" s="178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178"/>
      <c r="B504" s="178"/>
      <c r="C504" s="178"/>
      <c r="D504" s="178"/>
      <c r="E504" s="178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178"/>
      <c r="B505" s="178"/>
      <c r="C505" s="178"/>
      <c r="D505" s="178"/>
      <c r="E505" s="178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178"/>
      <c r="B506" s="178"/>
      <c r="C506" s="178"/>
      <c r="D506" s="178"/>
      <c r="E506" s="178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178"/>
      <c r="B507" s="178"/>
      <c r="C507" s="178"/>
      <c r="D507" s="178"/>
      <c r="E507" s="178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178"/>
      <c r="B508" s="178"/>
      <c r="C508" s="178"/>
      <c r="D508" s="178"/>
      <c r="E508" s="178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178"/>
      <c r="B509" s="178"/>
      <c r="C509" s="178"/>
      <c r="D509" s="178"/>
      <c r="E509" s="178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178"/>
      <c r="B510" s="178"/>
      <c r="C510" s="178"/>
      <c r="D510" s="178"/>
      <c r="E510" s="178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178"/>
      <c r="B511" s="178"/>
      <c r="C511" s="178"/>
      <c r="D511" s="178"/>
      <c r="E511" s="178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178"/>
      <c r="B512" s="178"/>
      <c r="C512" s="178"/>
      <c r="D512" s="178"/>
      <c r="E512" s="178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178"/>
      <c r="B513" s="178"/>
      <c r="C513" s="178"/>
      <c r="D513" s="178"/>
      <c r="E513" s="178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178"/>
      <c r="B514" s="178"/>
      <c r="C514" s="178"/>
      <c r="D514" s="178"/>
      <c r="E514" s="178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178"/>
      <c r="B515" s="178"/>
      <c r="C515" s="178"/>
      <c r="D515" s="178"/>
      <c r="E515" s="178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178"/>
      <c r="B516" s="178"/>
      <c r="C516" s="178"/>
      <c r="D516" s="178"/>
      <c r="E516" s="178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178"/>
      <c r="B517" s="178"/>
      <c r="C517" s="178"/>
      <c r="D517" s="178"/>
      <c r="E517" s="178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178"/>
      <c r="B518" s="178"/>
      <c r="C518" s="178"/>
      <c r="D518" s="178"/>
      <c r="E518" s="178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178"/>
      <c r="B519" s="178"/>
      <c r="C519" s="178"/>
      <c r="D519" s="178"/>
      <c r="E519" s="178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178"/>
      <c r="B520" s="178"/>
      <c r="C520" s="178"/>
      <c r="D520" s="178"/>
      <c r="E520" s="178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178"/>
      <c r="B521" s="178"/>
      <c r="C521" s="178"/>
      <c r="D521" s="178"/>
      <c r="E521" s="178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178"/>
      <c r="B522" s="178"/>
      <c r="C522" s="178"/>
      <c r="D522" s="178"/>
      <c r="E522" s="178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178"/>
      <c r="B523" s="178"/>
      <c r="C523" s="178"/>
      <c r="D523" s="178"/>
      <c r="E523" s="178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178"/>
      <c r="B524" s="178"/>
      <c r="C524" s="178"/>
      <c r="D524" s="178"/>
      <c r="E524" s="178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178"/>
      <c r="B525" s="178"/>
      <c r="C525" s="178"/>
      <c r="D525" s="178"/>
      <c r="E525" s="178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178"/>
      <c r="B526" s="178"/>
      <c r="C526" s="178"/>
      <c r="D526" s="178"/>
      <c r="E526" s="178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178"/>
      <c r="B527" s="178"/>
      <c r="C527" s="178"/>
      <c r="D527" s="178"/>
      <c r="E527" s="178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178"/>
      <c r="B528" s="178"/>
      <c r="C528" s="178"/>
      <c r="D528" s="178"/>
      <c r="E528" s="178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178"/>
      <c r="B529" s="178"/>
      <c r="C529" s="178"/>
      <c r="D529" s="178"/>
      <c r="E529" s="178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178"/>
      <c r="B530" s="178"/>
      <c r="C530" s="178"/>
      <c r="D530" s="178"/>
      <c r="E530" s="178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178"/>
      <c r="B531" s="178"/>
      <c r="C531" s="178"/>
      <c r="D531" s="178"/>
      <c r="E531" s="178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178"/>
      <c r="B532" s="178"/>
      <c r="C532" s="178"/>
      <c r="D532" s="178"/>
      <c r="E532" s="178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178"/>
      <c r="B533" s="178"/>
      <c r="C533" s="178"/>
      <c r="D533" s="178"/>
      <c r="E533" s="178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178"/>
      <c r="B534" s="178"/>
      <c r="C534" s="178"/>
      <c r="D534" s="178"/>
      <c r="E534" s="178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178"/>
      <c r="B535" s="178"/>
      <c r="C535" s="178"/>
      <c r="D535" s="178"/>
      <c r="E535" s="178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178"/>
      <c r="B536" s="178"/>
      <c r="C536" s="178"/>
      <c r="D536" s="178"/>
      <c r="E536" s="178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178"/>
      <c r="B537" s="178"/>
      <c r="C537" s="178"/>
      <c r="D537" s="178"/>
      <c r="E537" s="178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178"/>
      <c r="B538" s="178"/>
      <c r="C538" s="178"/>
      <c r="D538" s="178"/>
      <c r="E538" s="178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178"/>
      <c r="B539" s="178"/>
      <c r="C539" s="178"/>
      <c r="D539" s="178"/>
      <c r="E539" s="178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178"/>
      <c r="B540" s="178"/>
      <c r="C540" s="178"/>
      <c r="D540" s="178"/>
      <c r="E540" s="178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178"/>
      <c r="B541" s="178"/>
      <c r="C541" s="178"/>
      <c r="D541" s="178"/>
      <c r="E541" s="178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178"/>
      <c r="B542" s="178"/>
      <c r="C542" s="178"/>
      <c r="D542" s="178"/>
      <c r="E542" s="178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178"/>
      <c r="B543" s="178"/>
      <c r="C543" s="178"/>
      <c r="D543" s="178"/>
      <c r="E543" s="178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178"/>
      <c r="B544" s="178"/>
      <c r="C544" s="178"/>
      <c r="D544" s="178"/>
      <c r="E544" s="178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178"/>
      <c r="B545" s="178"/>
      <c r="C545" s="178"/>
      <c r="D545" s="178"/>
      <c r="E545" s="178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178"/>
      <c r="B546" s="178"/>
      <c r="C546" s="178"/>
      <c r="D546" s="178"/>
      <c r="E546" s="178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178"/>
      <c r="B547" s="178"/>
      <c r="C547" s="178"/>
      <c r="D547" s="178"/>
      <c r="E547" s="178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178"/>
      <c r="B548" s="178"/>
      <c r="C548" s="178"/>
      <c r="D548" s="178"/>
      <c r="E548" s="178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178"/>
      <c r="B549" s="178"/>
      <c r="C549" s="178"/>
      <c r="D549" s="178"/>
      <c r="E549" s="178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178"/>
      <c r="B550" s="178"/>
      <c r="C550" s="178"/>
      <c r="D550" s="178"/>
      <c r="E550" s="178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178"/>
      <c r="B551" s="178"/>
      <c r="C551" s="178"/>
      <c r="D551" s="178"/>
      <c r="E551" s="178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178"/>
      <c r="B552" s="178"/>
      <c r="C552" s="178"/>
      <c r="D552" s="178"/>
      <c r="E552" s="178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178"/>
      <c r="B553" s="178"/>
      <c r="C553" s="178"/>
      <c r="D553" s="178"/>
      <c r="E553" s="178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178"/>
      <c r="B554" s="178"/>
      <c r="C554" s="178"/>
      <c r="D554" s="178"/>
      <c r="E554" s="178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178"/>
      <c r="B555" s="178"/>
      <c r="C555" s="178"/>
      <c r="D555" s="178"/>
      <c r="E555" s="178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178"/>
      <c r="B556" s="178"/>
      <c r="C556" s="178"/>
      <c r="D556" s="178"/>
      <c r="E556" s="178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178"/>
      <c r="B557" s="178"/>
      <c r="C557" s="178"/>
      <c r="D557" s="178"/>
      <c r="E557" s="178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178"/>
      <c r="B558" s="178"/>
      <c r="C558" s="178"/>
      <c r="D558" s="178"/>
      <c r="E558" s="178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178"/>
      <c r="B559" s="178"/>
      <c r="C559" s="178"/>
      <c r="D559" s="178"/>
      <c r="E559" s="178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178"/>
      <c r="B560" s="178"/>
      <c r="C560" s="178"/>
      <c r="D560" s="178"/>
      <c r="E560" s="178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178"/>
      <c r="B561" s="178"/>
      <c r="C561" s="178"/>
      <c r="D561" s="178"/>
      <c r="E561" s="178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178"/>
      <c r="B562" s="178"/>
      <c r="C562" s="178"/>
      <c r="D562" s="178"/>
      <c r="E562" s="178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178"/>
      <c r="B563" s="178"/>
      <c r="C563" s="178"/>
      <c r="D563" s="178"/>
      <c r="E563" s="178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178"/>
      <c r="B564" s="178"/>
      <c r="C564" s="178"/>
      <c r="D564" s="178"/>
      <c r="E564" s="178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178"/>
      <c r="B565" s="178"/>
      <c r="C565" s="178"/>
      <c r="D565" s="178"/>
      <c r="E565" s="178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178"/>
      <c r="B566" s="178"/>
      <c r="C566" s="178"/>
      <c r="D566" s="178"/>
      <c r="E566" s="178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178"/>
      <c r="B567" s="178"/>
      <c r="C567" s="178"/>
      <c r="D567" s="178"/>
      <c r="E567" s="178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178"/>
      <c r="B568" s="178"/>
      <c r="C568" s="178"/>
      <c r="D568" s="178"/>
      <c r="E568" s="178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178"/>
      <c r="B569" s="178"/>
      <c r="C569" s="178"/>
      <c r="D569" s="178"/>
      <c r="E569" s="178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178"/>
      <c r="B570" s="178"/>
      <c r="C570" s="178"/>
      <c r="D570" s="178"/>
      <c r="E570" s="178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178"/>
      <c r="B571" s="178"/>
      <c r="C571" s="178"/>
      <c r="D571" s="178"/>
      <c r="E571" s="178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178"/>
      <c r="B572" s="178"/>
      <c r="C572" s="178"/>
      <c r="D572" s="178"/>
      <c r="E572" s="178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178"/>
      <c r="B573" s="178"/>
      <c r="C573" s="178"/>
      <c r="D573" s="178"/>
      <c r="E573" s="178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178"/>
      <c r="B574" s="178"/>
      <c r="C574" s="178"/>
      <c r="D574" s="178"/>
      <c r="E574" s="178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178"/>
      <c r="B575" s="178"/>
      <c r="C575" s="178"/>
      <c r="D575" s="178"/>
      <c r="E575" s="178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178"/>
      <c r="B576" s="178"/>
      <c r="C576" s="178"/>
      <c r="D576" s="178"/>
      <c r="E576" s="178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178"/>
      <c r="B577" s="178"/>
      <c r="C577" s="178"/>
      <c r="D577" s="178"/>
      <c r="E577" s="178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178"/>
      <c r="B578" s="178"/>
      <c r="C578" s="178"/>
      <c r="D578" s="178"/>
      <c r="E578" s="178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178"/>
      <c r="B579" s="178"/>
      <c r="C579" s="178"/>
      <c r="D579" s="178"/>
      <c r="E579" s="178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178"/>
      <c r="B580" s="178"/>
      <c r="C580" s="178"/>
      <c r="D580" s="178"/>
      <c r="E580" s="178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178"/>
      <c r="B581" s="178"/>
      <c r="C581" s="178"/>
      <c r="D581" s="178"/>
      <c r="E581" s="178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178"/>
      <c r="B582" s="178"/>
      <c r="C582" s="178"/>
      <c r="D582" s="178"/>
      <c r="E582" s="178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178"/>
      <c r="B583" s="178"/>
      <c r="C583" s="178"/>
      <c r="D583" s="178"/>
      <c r="E583" s="178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178"/>
      <c r="B584" s="178"/>
      <c r="C584" s="178"/>
      <c r="D584" s="178"/>
      <c r="E584" s="178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178"/>
      <c r="B585" s="178"/>
      <c r="C585" s="178"/>
      <c r="D585" s="178"/>
      <c r="E585" s="178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178"/>
      <c r="B586" s="178"/>
      <c r="C586" s="178"/>
      <c r="D586" s="178"/>
      <c r="E586" s="178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178"/>
      <c r="B587" s="178"/>
      <c r="C587" s="178"/>
      <c r="D587" s="178"/>
      <c r="E587" s="178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178"/>
      <c r="B588" s="178"/>
      <c r="C588" s="178"/>
      <c r="D588" s="178"/>
      <c r="E588" s="178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178"/>
      <c r="B589" s="178"/>
      <c r="C589" s="178"/>
      <c r="D589" s="178"/>
      <c r="E589" s="178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178"/>
      <c r="B590" s="178"/>
      <c r="C590" s="178"/>
      <c r="D590" s="178"/>
      <c r="E590" s="178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178"/>
      <c r="B591" s="178"/>
      <c r="C591" s="178"/>
      <c r="D591" s="178"/>
      <c r="E591" s="178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178"/>
      <c r="B592" s="178"/>
      <c r="C592" s="178"/>
      <c r="D592" s="178"/>
      <c r="E592" s="178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178"/>
      <c r="B593" s="178"/>
      <c r="C593" s="178"/>
      <c r="D593" s="178"/>
      <c r="E593" s="178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178"/>
      <c r="B594" s="178"/>
      <c r="C594" s="178"/>
      <c r="D594" s="178"/>
      <c r="E594" s="178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178"/>
      <c r="B595" s="178"/>
      <c r="C595" s="178"/>
      <c r="D595" s="178"/>
      <c r="E595" s="178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178"/>
      <c r="B596" s="178"/>
      <c r="C596" s="178"/>
      <c r="D596" s="178"/>
      <c r="E596" s="178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178"/>
      <c r="B597" s="178"/>
      <c r="C597" s="178"/>
      <c r="D597" s="178"/>
      <c r="E597" s="178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178"/>
      <c r="B598" s="178"/>
      <c r="C598" s="178"/>
      <c r="D598" s="178"/>
      <c r="E598" s="178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178"/>
      <c r="B599" s="178"/>
      <c r="C599" s="178"/>
      <c r="D599" s="178"/>
      <c r="E599" s="178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178"/>
      <c r="B600" s="178"/>
      <c r="C600" s="178"/>
      <c r="D600" s="178"/>
      <c r="E600" s="178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178"/>
      <c r="B601" s="178"/>
      <c r="C601" s="178"/>
      <c r="D601" s="178"/>
      <c r="E601" s="178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178"/>
      <c r="B602" s="178"/>
      <c r="C602" s="178"/>
      <c r="D602" s="178"/>
      <c r="E602" s="178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178"/>
      <c r="B603" s="178"/>
      <c r="C603" s="178"/>
      <c r="D603" s="178"/>
      <c r="E603" s="178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178"/>
      <c r="B604" s="178"/>
      <c r="C604" s="178"/>
      <c r="D604" s="178"/>
      <c r="E604" s="178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178"/>
      <c r="B605" s="178"/>
      <c r="C605" s="178"/>
      <c r="D605" s="178"/>
      <c r="E605" s="178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178"/>
      <c r="B606" s="178"/>
      <c r="C606" s="178"/>
      <c r="D606" s="178"/>
      <c r="E606" s="178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178"/>
      <c r="B607" s="178"/>
      <c r="C607" s="178"/>
      <c r="D607" s="178"/>
      <c r="E607" s="178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178"/>
      <c r="B608" s="178"/>
      <c r="C608" s="178"/>
      <c r="D608" s="178"/>
      <c r="E608" s="178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178"/>
      <c r="B609" s="178"/>
      <c r="C609" s="178"/>
      <c r="D609" s="178"/>
      <c r="E609" s="178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178"/>
      <c r="B610" s="178"/>
      <c r="C610" s="178"/>
      <c r="D610" s="178"/>
      <c r="E610" s="178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178"/>
      <c r="B611" s="178"/>
      <c r="C611" s="178"/>
      <c r="D611" s="178"/>
      <c r="E611" s="178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178"/>
      <c r="B612" s="178"/>
      <c r="C612" s="178"/>
      <c r="D612" s="178"/>
      <c r="E612" s="178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178"/>
      <c r="B613" s="178"/>
      <c r="C613" s="178"/>
      <c r="D613" s="178"/>
      <c r="E613" s="178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178"/>
      <c r="B614" s="178"/>
      <c r="C614" s="178"/>
      <c r="D614" s="178"/>
      <c r="E614" s="178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178"/>
      <c r="B615" s="178"/>
      <c r="C615" s="178"/>
      <c r="D615" s="178"/>
      <c r="E615" s="178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178"/>
      <c r="B616" s="178"/>
      <c r="C616" s="178"/>
      <c r="D616" s="178"/>
      <c r="E616" s="178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178"/>
      <c r="B617" s="178"/>
      <c r="C617" s="178"/>
      <c r="D617" s="178"/>
      <c r="E617" s="178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178"/>
      <c r="B618" s="178"/>
      <c r="C618" s="178"/>
      <c r="D618" s="178"/>
      <c r="E618" s="178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178"/>
      <c r="B619" s="178"/>
      <c r="C619" s="178"/>
      <c r="D619" s="178"/>
      <c r="E619" s="178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178"/>
      <c r="B620" s="178"/>
      <c r="C620" s="178"/>
      <c r="D620" s="178"/>
      <c r="E620" s="178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178"/>
      <c r="B621" s="178"/>
      <c r="C621" s="178"/>
      <c r="D621" s="178"/>
      <c r="E621" s="178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178"/>
      <c r="B622" s="178"/>
      <c r="C622" s="178"/>
      <c r="D622" s="178"/>
      <c r="E622" s="178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178"/>
      <c r="B623" s="178"/>
      <c r="C623" s="178"/>
      <c r="D623" s="178"/>
      <c r="E623" s="178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178"/>
      <c r="B624" s="178"/>
      <c r="C624" s="178"/>
      <c r="D624" s="178"/>
      <c r="E624" s="178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178"/>
      <c r="B625" s="178"/>
      <c r="C625" s="178"/>
      <c r="D625" s="178"/>
      <c r="E625" s="178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178"/>
      <c r="B626" s="178"/>
      <c r="C626" s="178"/>
      <c r="D626" s="178"/>
      <c r="E626" s="178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178"/>
      <c r="B627" s="178"/>
      <c r="C627" s="178"/>
      <c r="D627" s="178"/>
      <c r="E627" s="178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178"/>
      <c r="B628" s="178"/>
      <c r="C628" s="178"/>
      <c r="D628" s="178"/>
      <c r="E628" s="178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178"/>
      <c r="B629" s="178"/>
      <c r="C629" s="178"/>
      <c r="D629" s="178"/>
      <c r="E629" s="178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178"/>
      <c r="B630" s="178"/>
      <c r="C630" s="178"/>
      <c r="D630" s="178"/>
      <c r="E630" s="178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178"/>
      <c r="B631" s="178"/>
      <c r="C631" s="178"/>
      <c r="D631" s="178"/>
      <c r="E631" s="178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178"/>
      <c r="B632" s="178"/>
      <c r="C632" s="178"/>
      <c r="D632" s="178"/>
      <c r="E632" s="178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178"/>
      <c r="B633" s="178"/>
      <c r="C633" s="178"/>
      <c r="D633" s="178"/>
      <c r="E633" s="178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178"/>
      <c r="B634" s="178"/>
      <c r="C634" s="178"/>
      <c r="D634" s="178"/>
      <c r="E634" s="178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178"/>
      <c r="B635" s="178"/>
      <c r="C635" s="178"/>
      <c r="D635" s="178"/>
      <c r="E635" s="178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178"/>
      <c r="B636" s="178"/>
      <c r="C636" s="178"/>
      <c r="D636" s="178"/>
      <c r="E636" s="178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178"/>
      <c r="B637" s="178"/>
      <c r="C637" s="178"/>
      <c r="D637" s="178"/>
      <c r="E637" s="178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178"/>
      <c r="B638" s="178"/>
      <c r="C638" s="178"/>
      <c r="D638" s="178"/>
      <c r="E638" s="178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178"/>
      <c r="B639" s="178"/>
      <c r="C639" s="178"/>
      <c r="D639" s="178"/>
      <c r="E639" s="178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178"/>
      <c r="B640" s="178"/>
      <c r="C640" s="178"/>
      <c r="D640" s="178"/>
      <c r="E640" s="178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178"/>
      <c r="B641" s="178"/>
      <c r="C641" s="178"/>
      <c r="D641" s="178"/>
      <c r="E641" s="178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178"/>
      <c r="B642" s="178"/>
      <c r="C642" s="178"/>
      <c r="D642" s="178"/>
      <c r="E642" s="178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178"/>
      <c r="B643" s="178"/>
      <c r="C643" s="178"/>
      <c r="D643" s="178"/>
      <c r="E643" s="178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178"/>
      <c r="B644" s="178"/>
      <c r="C644" s="178"/>
      <c r="D644" s="178"/>
      <c r="E644" s="178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178"/>
      <c r="B645" s="178"/>
      <c r="C645" s="178"/>
      <c r="D645" s="178"/>
      <c r="E645" s="178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178"/>
      <c r="B646" s="178"/>
      <c r="C646" s="178"/>
      <c r="D646" s="178"/>
      <c r="E646" s="178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178"/>
      <c r="B647" s="178"/>
      <c r="C647" s="178"/>
      <c r="D647" s="178"/>
      <c r="E647" s="178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178"/>
      <c r="B648" s="178"/>
      <c r="C648" s="178"/>
      <c r="D648" s="178"/>
      <c r="E648" s="178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178"/>
      <c r="B649" s="178"/>
      <c r="C649" s="178"/>
      <c r="D649" s="178"/>
      <c r="E649" s="178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178"/>
      <c r="B650" s="178"/>
      <c r="C650" s="178"/>
      <c r="D650" s="178"/>
      <c r="E650" s="178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178"/>
      <c r="B651" s="178"/>
      <c r="C651" s="178"/>
      <c r="D651" s="178"/>
      <c r="E651" s="178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178"/>
      <c r="B652" s="178"/>
      <c r="C652" s="178"/>
      <c r="D652" s="178"/>
      <c r="E652" s="178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178"/>
      <c r="B653" s="178"/>
      <c r="C653" s="178"/>
      <c r="D653" s="178"/>
      <c r="E653" s="178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178"/>
      <c r="B654" s="178"/>
      <c r="C654" s="178"/>
      <c r="D654" s="178"/>
      <c r="E654" s="178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178"/>
      <c r="B655" s="178"/>
      <c r="C655" s="178"/>
      <c r="D655" s="178"/>
      <c r="E655" s="178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178"/>
      <c r="B656" s="178"/>
      <c r="C656" s="178"/>
      <c r="D656" s="178"/>
      <c r="E656" s="178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178"/>
      <c r="B657" s="178"/>
      <c r="C657" s="178"/>
      <c r="D657" s="178"/>
      <c r="E657" s="178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178"/>
      <c r="B658" s="178"/>
      <c r="C658" s="178"/>
      <c r="D658" s="178"/>
      <c r="E658" s="178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178"/>
      <c r="B659" s="178"/>
      <c r="C659" s="178"/>
      <c r="D659" s="178"/>
      <c r="E659" s="178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178"/>
      <c r="B660" s="178"/>
      <c r="C660" s="178"/>
      <c r="D660" s="178"/>
      <c r="E660" s="178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178"/>
      <c r="B661" s="178"/>
      <c r="C661" s="178"/>
      <c r="D661" s="178"/>
      <c r="E661" s="178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178"/>
      <c r="B662" s="178"/>
      <c r="C662" s="178"/>
      <c r="D662" s="178"/>
      <c r="E662" s="178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178"/>
      <c r="B663" s="178"/>
      <c r="C663" s="178"/>
      <c r="D663" s="178"/>
      <c r="E663" s="178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178"/>
      <c r="B664" s="178"/>
      <c r="C664" s="178"/>
      <c r="D664" s="178"/>
      <c r="E664" s="178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178"/>
      <c r="B665" s="178"/>
      <c r="C665" s="178"/>
      <c r="D665" s="178"/>
      <c r="E665" s="178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178"/>
      <c r="B666" s="178"/>
      <c r="C666" s="178"/>
      <c r="D666" s="178"/>
      <c r="E666" s="178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178"/>
      <c r="B667" s="178"/>
      <c r="C667" s="178"/>
      <c r="D667" s="178"/>
      <c r="E667" s="178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178"/>
      <c r="B668" s="178"/>
      <c r="C668" s="178"/>
      <c r="D668" s="178"/>
      <c r="E668" s="178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178"/>
      <c r="B669" s="178"/>
      <c r="C669" s="178"/>
      <c r="D669" s="178"/>
      <c r="E669" s="178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178"/>
      <c r="B670" s="178"/>
      <c r="C670" s="178"/>
      <c r="D670" s="178"/>
      <c r="E670" s="178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178"/>
      <c r="B671" s="178"/>
      <c r="C671" s="178"/>
      <c r="D671" s="178"/>
      <c r="E671" s="178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178"/>
      <c r="B672" s="178"/>
      <c r="C672" s="178"/>
      <c r="D672" s="178"/>
      <c r="E672" s="178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178"/>
      <c r="B673" s="178"/>
      <c r="C673" s="178"/>
      <c r="D673" s="178"/>
      <c r="E673" s="178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178"/>
      <c r="B674" s="178"/>
      <c r="C674" s="178"/>
      <c r="D674" s="178"/>
      <c r="E674" s="178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178"/>
      <c r="B675" s="178"/>
      <c r="C675" s="178"/>
      <c r="D675" s="178"/>
      <c r="E675" s="178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178"/>
      <c r="B676" s="178"/>
      <c r="C676" s="178"/>
      <c r="D676" s="178"/>
      <c r="E676" s="178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178"/>
      <c r="B677" s="178"/>
      <c r="C677" s="178"/>
      <c r="D677" s="178"/>
      <c r="E677" s="178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178"/>
      <c r="B678" s="178"/>
      <c r="C678" s="178"/>
      <c r="D678" s="178"/>
      <c r="E678" s="178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178"/>
      <c r="B679" s="178"/>
      <c r="C679" s="178"/>
      <c r="D679" s="178"/>
      <c r="E679" s="178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178"/>
      <c r="B680" s="178"/>
      <c r="C680" s="178"/>
      <c r="D680" s="178"/>
      <c r="E680" s="178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178"/>
      <c r="B681" s="178"/>
      <c r="C681" s="178"/>
      <c r="D681" s="178"/>
      <c r="E681" s="178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178"/>
      <c r="B682" s="178"/>
      <c r="C682" s="178"/>
      <c r="D682" s="178"/>
      <c r="E682" s="178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178"/>
      <c r="B683" s="178"/>
      <c r="C683" s="178"/>
      <c r="D683" s="178"/>
      <c r="E683" s="178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178"/>
      <c r="B684" s="178"/>
      <c r="C684" s="178"/>
      <c r="D684" s="178"/>
      <c r="E684" s="178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178"/>
      <c r="B685" s="178"/>
      <c r="C685" s="178"/>
      <c r="D685" s="178"/>
      <c r="E685" s="178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178"/>
      <c r="B686" s="178"/>
      <c r="C686" s="178"/>
      <c r="D686" s="178"/>
      <c r="E686" s="178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178"/>
      <c r="B687" s="178"/>
      <c r="C687" s="178"/>
      <c r="D687" s="178"/>
      <c r="E687" s="178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178"/>
      <c r="B688" s="178"/>
      <c r="C688" s="178"/>
      <c r="D688" s="178"/>
      <c r="E688" s="178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178"/>
      <c r="B689" s="178"/>
      <c r="C689" s="178"/>
      <c r="D689" s="178"/>
      <c r="E689" s="178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178"/>
      <c r="B690" s="178"/>
      <c r="C690" s="178"/>
      <c r="D690" s="178"/>
      <c r="E690" s="178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178"/>
      <c r="B691" s="178"/>
      <c r="C691" s="178"/>
      <c r="D691" s="178"/>
      <c r="E691" s="178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178"/>
      <c r="B692" s="178"/>
      <c r="C692" s="178"/>
      <c r="D692" s="178"/>
      <c r="E692" s="178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178"/>
      <c r="B693" s="178"/>
      <c r="C693" s="178"/>
      <c r="D693" s="178"/>
      <c r="E693" s="178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178"/>
      <c r="B694" s="178"/>
      <c r="C694" s="178"/>
      <c r="D694" s="178"/>
      <c r="E694" s="178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178"/>
      <c r="B695" s="178"/>
      <c r="C695" s="178"/>
      <c r="D695" s="178"/>
      <c r="E695" s="178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178"/>
      <c r="B696" s="178"/>
      <c r="C696" s="178"/>
      <c r="D696" s="178"/>
      <c r="E696" s="178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178"/>
      <c r="B697" s="178"/>
      <c r="C697" s="178"/>
      <c r="D697" s="178"/>
      <c r="E697" s="178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178"/>
      <c r="B698" s="178"/>
      <c r="C698" s="178"/>
      <c r="D698" s="178"/>
      <c r="E698" s="178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178"/>
      <c r="B699" s="178"/>
      <c r="C699" s="178"/>
      <c r="D699" s="178"/>
      <c r="E699" s="178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178"/>
      <c r="B700" s="178"/>
      <c r="C700" s="178"/>
      <c r="D700" s="178"/>
      <c r="E700" s="178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178"/>
      <c r="B701" s="178"/>
      <c r="C701" s="178"/>
      <c r="D701" s="178"/>
      <c r="E701" s="178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178"/>
      <c r="B702" s="178"/>
      <c r="C702" s="178"/>
      <c r="D702" s="178"/>
      <c r="E702" s="178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178"/>
      <c r="B703" s="178"/>
      <c r="C703" s="178"/>
      <c r="D703" s="178"/>
      <c r="E703" s="178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178"/>
      <c r="B704" s="178"/>
      <c r="C704" s="178"/>
      <c r="D704" s="178"/>
      <c r="E704" s="178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178"/>
      <c r="B705" s="178"/>
      <c r="C705" s="178"/>
      <c r="D705" s="178"/>
      <c r="E705" s="178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178"/>
      <c r="B706" s="178"/>
      <c r="C706" s="178"/>
      <c r="D706" s="178"/>
      <c r="E706" s="178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178"/>
      <c r="B707" s="178"/>
      <c r="C707" s="178"/>
      <c r="D707" s="178"/>
      <c r="E707" s="178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178"/>
      <c r="B708" s="178"/>
      <c r="C708" s="178"/>
      <c r="D708" s="178"/>
      <c r="E708" s="178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178"/>
      <c r="B709" s="178"/>
      <c r="C709" s="178"/>
      <c r="D709" s="178"/>
      <c r="E709" s="178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178"/>
      <c r="B710" s="178"/>
      <c r="C710" s="178"/>
      <c r="D710" s="178"/>
      <c r="E710" s="178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178"/>
      <c r="B711" s="178"/>
      <c r="C711" s="178"/>
      <c r="D711" s="178"/>
      <c r="E711" s="178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178"/>
      <c r="B712" s="178"/>
      <c r="C712" s="178"/>
      <c r="D712" s="178"/>
      <c r="E712" s="178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178"/>
      <c r="B713" s="178"/>
      <c r="C713" s="178"/>
      <c r="D713" s="178"/>
      <c r="E713" s="178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178"/>
      <c r="B714" s="178"/>
      <c r="C714" s="178"/>
      <c r="D714" s="178"/>
      <c r="E714" s="178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178"/>
      <c r="B715" s="178"/>
      <c r="C715" s="178"/>
      <c r="D715" s="178"/>
      <c r="E715" s="178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178"/>
      <c r="B716" s="178"/>
      <c r="C716" s="178"/>
      <c r="D716" s="178"/>
      <c r="E716" s="178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178"/>
      <c r="B717" s="178"/>
      <c r="C717" s="178"/>
      <c r="D717" s="178"/>
      <c r="E717" s="178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178"/>
      <c r="B718" s="178"/>
      <c r="C718" s="178"/>
      <c r="D718" s="178"/>
      <c r="E718" s="178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178"/>
      <c r="B719" s="178"/>
      <c r="C719" s="178"/>
      <c r="D719" s="178"/>
      <c r="E719" s="178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178"/>
      <c r="B720" s="178"/>
      <c r="C720" s="178"/>
      <c r="D720" s="178"/>
      <c r="E720" s="178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178"/>
      <c r="B721" s="178"/>
      <c r="C721" s="178"/>
      <c r="D721" s="178"/>
      <c r="E721" s="178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178"/>
      <c r="B722" s="178"/>
      <c r="C722" s="178"/>
      <c r="D722" s="178"/>
      <c r="E722" s="178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178"/>
      <c r="B723" s="178"/>
      <c r="C723" s="178"/>
      <c r="D723" s="178"/>
      <c r="E723" s="178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178"/>
      <c r="B724" s="178"/>
      <c r="C724" s="178"/>
      <c r="D724" s="178"/>
      <c r="E724" s="178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178"/>
      <c r="B725" s="178"/>
      <c r="C725" s="178"/>
      <c r="D725" s="178"/>
      <c r="E725" s="178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178"/>
      <c r="B726" s="178"/>
      <c r="C726" s="178"/>
      <c r="D726" s="178"/>
      <c r="E726" s="178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178"/>
      <c r="B727" s="178"/>
      <c r="C727" s="178"/>
      <c r="D727" s="178"/>
      <c r="E727" s="178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178"/>
      <c r="B728" s="178"/>
      <c r="C728" s="178"/>
      <c r="D728" s="178"/>
      <c r="E728" s="178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178"/>
      <c r="B729" s="178"/>
      <c r="C729" s="178"/>
      <c r="D729" s="178"/>
      <c r="E729" s="178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178"/>
      <c r="B730" s="178"/>
      <c r="C730" s="178"/>
      <c r="D730" s="178"/>
      <c r="E730" s="178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178"/>
      <c r="B731" s="178"/>
      <c r="C731" s="178"/>
      <c r="D731" s="178"/>
      <c r="E731" s="178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178"/>
      <c r="B732" s="178"/>
      <c r="C732" s="178"/>
      <c r="D732" s="178"/>
      <c r="E732" s="178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178"/>
      <c r="B733" s="178"/>
      <c r="C733" s="178"/>
      <c r="D733" s="178"/>
      <c r="E733" s="178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178"/>
      <c r="B734" s="178"/>
      <c r="C734" s="178"/>
      <c r="D734" s="178"/>
      <c r="E734" s="178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178"/>
      <c r="B735" s="178"/>
      <c r="C735" s="178"/>
      <c r="D735" s="178"/>
      <c r="E735" s="178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178"/>
      <c r="B736" s="178"/>
      <c r="C736" s="178"/>
      <c r="D736" s="178"/>
      <c r="E736" s="178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178"/>
      <c r="B737" s="178"/>
      <c r="C737" s="178"/>
      <c r="D737" s="178"/>
      <c r="E737" s="178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178"/>
      <c r="B738" s="178"/>
      <c r="C738" s="178"/>
      <c r="D738" s="178"/>
      <c r="E738" s="178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178"/>
      <c r="B739" s="178"/>
      <c r="C739" s="178"/>
      <c r="D739" s="178"/>
      <c r="E739" s="178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178"/>
      <c r="B740" s="178"/>
      <c r="C740" s="178"/>
      <c r="D740" s="178"/>
      <c r="E740" s="178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178"/>
      <c r="B741" s="178"/>
      <c r="C741" s="178"/>
      <c r="D741" s="178"/>
      <c r="E741" s="178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178"/>
      <c r="B742" s="178"/>
      <c r="C742" s="178"/>
      <c r="D742" s="178"/>
      <c r="E742" s="178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178"/>
      <c r="B743" s="178"/>
      <c r="C743" s="178"/>
      <c r="D743" s="178"/>
      <c r="E743" s="178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178"/>
      <c r="B744" s="178"/>
      <c r="C744" s="178"/>
      <c r="D744" s="178"/>
      <c r="E744" s="178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178"/>
      <c r="B745" s="178"/>
      <c r="C745" s="178"/>
      <c r="D745" s="178"/>
      <c r="E745" s="178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178"/>
      <c r="B746" s="178"/>
      <c r="C746" s="178"/>
      <c r="D746" s="178"/>
      <c r="E746" s="178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178"/>
      <c r="B747" s="178"/>
      <c r="C747" s="178"/>
      <c r="D747" s="178"/>
      <c r="E747" s="178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178"/>
      <c r="B748" s="178"/>
      <c r="C748" s="178"/>
      <c r="D748" s="178"/>
      <c r="E748" s="178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178"/>
      <c r="B749" s="178"/>
      <c r="C749" s="178"/>
      <c r="D749" s="178"/>
      <c r="E749" s="178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178"/>
      <c r="B750" s="178"/>
      <c r="C750" s="178"/>
      <c r="D750" s="178"/>
      <c r="E750" s="178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178"/>
      <c r="B751" s="178"/>
      <c r="C751" s="178"/>
      <c r="D751" s="178"/>
      <c r="E751" s="178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178"/>
      <c r="B752" s="178"/>
      <c r="C752" s="178"/>
      <c r="D752" s="178"/>
      <c r="E752" s="178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178"/>
      <c r="B753" s="178"/>
      <c r="C753" s="178"/>
      <c r="D753" s="178"/>
      <c r="E753" s="178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178"/>
      <c r="B754" s="178"/>
      <c r="C754" s="178"/>
      <c r="D754" s="178"/>
      <c r="E754" s="178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178"/>
      <c r="B755" s="178"/>
      <c r="C755" s="178"/>
      <c r="D755" s="178"/>
      <c r="E755" s="178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178"/>
      <c r="B756" s="178"/>
      <c r="C756" s="178"/>
      <c r="D756" s="178"/>
      <c r="E756" s="178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178"/>
      <c r="B757" s="178"/>
      <c r="C757" s="178"/>
      <c r="D757" s="178"/>
      <c r="E757" s="178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178"/>
      <c r="B758" s="178"/>
      <c r="C758" s="178"/>
      <c r="D758" s="178"/>
      <c r="E758" s="178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178"/>
      <c r="B759" s="178"/>
      <c r="C759" s="178"/>
      <c r="D759" s="178"/>
      <c r="E759" s="178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178"/>
      <c r="B760" s="178"/>
      <c r="C760" s="178"/>
      <c r="D760" s="178"/>
      <c r="E760" s="178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178"/>
      <c r="B761" s="178"/>
      <c r="C761" s="178"/>
      <c r="D761" s="178"/>
      <c r="E761" s="178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178"/>
      <c r="B762" s="178"/>
      <c r="C762" s="178"/>
      <c r="D762" s="178"/>
      <c r="E762" s="178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178"/>
      <c r="B763" s="178"/>
      <c r="C763" s="178"/>
      <c r="D763" s="178"/>
      <c r="E763" s="178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178"/>
      <c r="B764" s="178"/>
      <c r="C764" s="178"/>
      <c r="D764" s="178"/>
      <c r="E764" s="178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178"/>
      <c r="B765" s="178"/>
      <c r="C765" s="178"/>
      <c r="D765" s="178"/>
      <c r="E765" s="178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178"/>
      <c r="B766" s="178"/>
      <c r="C766" s="178"/>
      <c r="D766" s="178"/>
      <c r="E766" s="178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178"/>
      <c r="B767" s="178"/>
      <c r="C767" s="178"/>
      <c r="D767" s="178"/>
      <c r="E767" s="178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178"/>
      <c r="B768" s="178"/>
      <c r="C768" s="178"/>
      <c r="D768" s="178"/>
      <c r="E768" s="178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178"/>
      <c r="B769" s="178"/>
      <c r="C769" s="178"/>
      <c r="D769" s="178"/>
      <c r="E769" s="178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178"/>
      <c r="B770" s="178"/>
      <c r="C770" s="178"/>
      <c r="D770" s="178"/>
      <c r="E770" s="178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178"/>
      <c r="B771" s="178"/>
      <c r="C771" s="178"/>
      <c r="D771" s="178"/>
      <c r="E771" s="178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178"/>
      <c r="B772" s="178"/>
      <c r="C772" s="178"/>
      <c r="D772" s="178"/>
      <c r="E772" s="178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178"/>
      <c r="B773" s="178"/>
      <c r="C773" s="178"/>
      <c r="D773" s="178"/>
      <c r="E773" s="178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178"/>
      <c r="B774" s="178"/>
      <c r="C774" s="178"/>
      <c r="D774" s="178"/>
      <c r="E774" s="178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178"/>
      <c r="B775" s="178"/>
      <c r="C775" s="178"/>
      <c r="D775" s="178"/>
      <c r="E775" s="178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178"/>
      <c r="B776" s="178"/>
      <c r="C776" s="178"/>
      <c r="D776" s="178"/>
      <c r="E776" s="178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178"/>
      <c r="B777" s="178"/>
      <c r="C777" s="178"/>
      <c r="D777" s="178"/>
      <c r="E777" s="178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178"/>
      <c r="B778" s="178"/>
      <c r="C778" s="178"/>
      <c r="D778" s="178"/>
      <c r="E778" s="178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178"/>
      <c r="B779" s="178"/>
      <c r="C779" s="178"/>
      <c r="D779" s="178"/>
      <c r="E779" s="178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178"/>
      <c r="B780" s="178"/>
      <c r="C780" s="178"/>
      <c r="D780" s="178"/>
      <c r="E780" s="178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178"/>
      <c r="B781" s="178"/>
      <c r="C781" s="178"/>
      <c r="D781" s="178"/>
      <c r="E781" s="178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178"/>
      <c r="B782" s="178"/>
      <c r="C782" s="178"/>
      <c r="D782" s="178"/>
      <c r="E782" s="178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178"/>
      <c r="B783" s="178"/>
      <c r="C783" s="178"/>
      <c r="D783" s="178"/>
      <c r="E783" s="178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178"/>
      <c r="B784" s="178"/>
      <c r="C784" s="178"/>
      <c r="D784" s="178"/>
      <c r="E784" s="178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178"/>
      <c r="B785" s="178"/>
      <c r="C785" s="178"/>
      <c r="D785" s="178"/>
      <c r="E785" s="178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178"/>
      <c r="B786" s="178"/>
      <c r="C786" s="178"/>
      <c r="D786" s="178"/>
      <c r="E786" s="178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178"/>
      <c r="B787" s="178"/>
      <c r="C787" s="178"/>
      <c r="D787" s="178"/>
      <c r="E787" s="178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178"/>
      <c r="B788" s="178"/>
      <c r="C788" s="178"/>
      <c r="D788" s="178"/>
      <c r="E788" s="178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178"/>
      <c r="B789" s="178"/>
      <c r="C789" s="178"/>
      <c r="D789" s="178"/>
      <c r="E789" s="178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178"/>
      <c r="B790" s="178"/>
      <c r="C790" s="178"/>
      <c r="D790" s="178"/>
      <c r="E790" s="178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178"/>
      <c r="B791" s="178"/>
      <c r="C791" s="178"/>
      <c r="D791" s="178"/>
      <c r="E791" s="178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178"/>
      <c r="B792" s="178"/>
      <c r="C792" s="178"/>
      <c r="D792" s="178"/>
      <c r="E792" s="178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178"/>
      <c r="B793" s="178"/>
      <c r="C793" s="178"/>
      <c r="D793" s="178"/>
      <c r="E793" s="178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178"/>
      <c r="B794" s="178"/>
      <c r="C794" s="178"/>
      <c r="D794" s="178"/>
      <c r="E794" s="178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178"/>
      <c r="B795" s="178"/>
      <c r="C795" s="178"/>
      <c r="D795" s="178"/>
      <c r="E795" s="178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178"/>
      <c r="B796" s="178"/>
      <c r="C796" s="178"/>
      <c r="D796" s="178"/>
      <c r="E796" s="178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178"/>
      <c r="B797" s="178"/>
      <c r="C797" s="178"/>
      <c r="D797" s="178"/>
      <c r="E797" s="178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178"/>
      <c r="B798" s="178"/>
      <c r="C798" s="178"/>
      <c r="D798" s="178"/>
      <c r="E798" s="178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178"/>
      <c r="B799" s="178"/>
      <c r="C799" s="178"/>
      <c r="D799" s="178"/>
      <c r="E799" s="178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178"/>
      <c r="B800" s="178"/>
      <c r="C800" s="178"/>
      <c r="D800" s="178"/>
      <c r="E800" s="178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178"/>
      <c r="B801" s="178"/>
      <c r="C801" s="178"/>
      <c r="D801" s="178"/>
      <c r="E801" s="178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178"/>
      <c r="B802" s="178"/>
      <c r="C802" s="178"/>
      <c r="D802" s="178"/>
      <c r="E802" s="178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178"/>
      <c r="B803" s="178"/>
      <c r="C803" s="178"/>
      <c r="D803" s="178"/>
      <c r="E803" s="178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178"/>
      <c r="B804" s="178"/>
      <c r="C804" s="178"/>
      <c r="D804" s="178"/>
      <c r="E804" s="178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178"/>
      <c r="B805" s="178"/>
      <c r="C805" s="178"/>
      <c r="D805" s="178"/>
      <c r="E805" s="178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178"/>
      <c r="B806" s="178"/>
      <c r="C806" s="178"/>
      <c r="D806" s="178"/>
      <c r="E806" s="178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178"/>
      <c r="B807" s="178"/>
      <c r="C807" s="178"/>
      <c r="D807" s="178"/>
      <c r="E807" s="178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178"/>
      <c r="B808" s="178"/>
      <c r="C808" s="178"/>
      <c r="D808" s="178"/>
      <c r="E808" s="178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178"/>
      <c r="B809" s="178"/>
      <c r="C809" s="178"/>
      <c r="D809" s="178"/>
      <c r="E809" s="178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178"/>
      <c r="B810" s="178"/>
      <c r="C810" s="178"/>
      <c r="D810" s="178"/>
      <c r="E810" s="178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178"/>
      <c r="B811" s="178"/>
      <c r="C811" s="178"/>
      <c r="D811" s="178"/>
      <c r="E811" s="178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178"/>
      <c r="B812" s="178"/>
      <c r="C812" s="178"/>
      <c r="D812" s="178"/>
      <c r="E812" s="178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178"/>
      <c r="B813" s="178"/>
      <c r="C813" s="178"/>
      <c r="D813" s="178"/>
      <c r="E813" s="178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178"/>
      <c r="B814" s="178"/>
      <c r="C814" s="178"/>
      <c r="D814" s="178"/>
      <c r="E814" s="178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178"/>
      <c r="B815" s="178"/>
      <c r="C815" s="178"/>
      <c r="D815" s="178"/>
      <c r="E815" s="178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178"/>
      <c r="B816" s="178"/>
      <c r="C816" s="178"/>
      <c r="D816" s="178"/>
      <c r="E816" s="178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178"/>
      <c r="B817" s="178"/>
      <c r="C817" s="178"/>
      <c r="D817" s="178"/>
      <c r="E817" s="178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178"/>
      <c r="B818" s="178"/>
      <c r="C818" s="178"/>
      <c r="D818" s="178"/>
      <c r="E818" s="178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178"/>
      <c r="B819" s="178"/>
      <c r="C819" s="178"/>
      <c r="D819" s="178"/>
      <c r="E819" s="178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178"/>
      <c r="B820" s="178"/>
      <c r="C820" s="178"/>
      <c r="D820" s="178"/>
      <c r="E820" s="178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178"/>
      <c r="B821" s="178"/>
      <c r="C821" s="178"/>
      <c r="D821" s="178"/>
      <c r="E821" s="178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178"/>
      <c r="B822" s="178"/>
      <c r="C822" s="178"/>
      <c r="D822" s="178"/>
      <c r="E822" s="178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178"/>
      <c r="B823" s="178"/>
      <c r="C823" s="178"/>
      <c r="D823" s="178"/>
      <c r="E823" s="178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178"/>
      <c r="B824" s="178"/>
      <c r="C824" s="178"/>
      <c r="D824" s="178"/>
      <c r="E824" s="178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178"/>
      <c r="B825" s="178"/>
      <c r="C825" s="178"/>
      <c r="D825" s="178"/>
      <c r="E825" s="178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178"/>
      <c r="B826" s="178"/>
      <c r="C826" s="178"/>
      <c r="D826" s="178"/>
      <c r="E826" s="178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178"/>
      <c r="B827" s="178"/>
      <c r="C827" s="178"/>
      <c r="D827" s="178"/>
      <c r="E827" s="178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178"/>
      <c r="B828" s="178"/>
      <c r="C828" s="178"/>
      <c r="D828" s="178"/>
      <c r="E828" s="178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178"/>
      <c r="B829" s="178"/>
      <c r="C829" s="178"/>
      <c r="D829" s="178"/>
      <c r="E829" s="178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178"/>
      <c r="B830" s="178"/>
      <c r="C830" s="178"/>
      <c r="D830" s="178"/>
      <c r="E830" s="178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178"/>
      <c r="B831" s="178"/>
      <c r="C831" s="178"/>
      <c r="D831" s="178"/>
      <c r="E831" s="178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178"/>
      <c r="B832" s="178"/>
      <c r="C832" s="178"/>
      <c r="D832" s="178"/>
      <c r="E832" s="178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178"/>
      <c r="B833" s="178"/>
      <c r="C833" s="178"/>
      <c r="D833" s="178"/>
      <c r="E833" s="178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178"/>
      <c r="B834" s="178"/>
      <c r="C834" s="178"/>
      <c r="D834" s="178"/>
      <c r="E834" s="178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178"/>
      <c r="B835" s="178"/>
      <c r="C835" s="178"/>
      <c r="D835" s="178"/>
      <c r="E835" s="178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178"/>
      <c r="B836" s="178"/>
      <c r="C836" s="178"/>
      <c r="D836" s="178"/>
      <c r="E836" s="178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178"/>
      <c r="B837" s="178"/>
      <c r="C837" s="178"/>
      <c r="D837" s="178"/>
      <c r="E837" s="178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178"/>
      <c r="B838" s="178"/>
      <c r="C838" s="178"/>
      <c r="D838" s="178"/>
      <c r="E838" s="178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178"/>
      <c r="B839" s="178"/>
      <c r="C839" s="178"/>
      <c r="D839" s="178"/>
      <c r="E839" s="178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178"/>
      <c r="B840" s="178"/>
      <c r="C840" s="178"/>
      <c r="D840" s="178"/>
      <c r="E840" s="178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178"/>
      <c r="B841" s="178"/>
      <c r="C841" s="178"/>
      <c r="D841" s="178"/>
      <c r="E841" s="178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178"/>
      <c r="B842" s="178"/>
      <c r="C842" s="178"/>
      <c r="D842" s="178"/>
      <c r="E842" s="178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178"/>
      <c r="B843" s="178"/>
      <c r="C843" s="178"/>
      <c r="D843" s="178"/>
      <c r="E843" s="178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178"/>
      <c r="B844" s="178"/>
      <c r="C844" s="178"/>
      <c r="D844" s="178"/>
      <c r="E844" s="178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178"/>
      <c r="B845" s="178"/>
      <c r="C845" s="178"/>
      <c r="D845" s="178"/>
      <c r="E845" s="178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178"/>
      <c r="B846" s="178"/>
      <c r="C846" s="178"/>
      <c r="D846" s="178"/>
      <c r="E846" s="178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178"/>
      <c r="B847" s="178"/>
      <c r="C847" s="178"/>
      <c r="D847" s="178"/>
      <c r="E847" s="178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178"/>
      <c r="B848" s="178"/>
      <c r="C848" s="178"/>
      <c r="D848" s="178"/>
      <c r="E848" s="178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178"/>
      <c r="B849" s="178"/>
      <c r="C849" s="178"/>
      <c r="D849" s="178"/>
      <c r="E849" s="178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178"/>
      <c r="B850" s="178"/>
      <c r="C850" s="178"/>
      <c r="D850" s="178"/>
      <c r="E850" s="178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178"/>
      <c r="B851" s="178"/>
      <c r="C851" s="178"/>
      <c r="D851" s="178"/>
      <c r="E851" s="178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178"/>
      <c r="B852" s="178"/>
      <c r="C852" s="178"/>
      <c r="D852" s="178"/>
      <c r="E852" s="178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178"/>
      <c r="B853" s="178"/>
      <c r="C853" s="178"/>
      <c r="D853" s="178"/>
      <c r="E853" s="178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178"/>
      <c r="B854" s="178"/>
      <c r="C854" s="178"/>
      <c r="D854" s="178"/>
      <c r="E854" s="178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178"/>
      <c r="B855" s="178"/>
      <c r="C855" s="178"/>
      <c r="D855" s="178"/>
      <c r="E855" s="178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178"/>
      <c r="B856" s="178"/>
      <c r="C856" s="178"/>
      <c r="D856" s="178"/>
      <c r="E856" s="178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178"/>
      <c r="B857" s="178"/>
      <c r="C857" s="178"/>
      <c r="D857" s="178"/>
      <c r="E857" s="178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178"/>
      <c r="B858" s="178"/>
      <c r="C858" s="178"/>
      <c r="D858" s="178"/>
      <c r="E858" s="178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178"/>
      <c r="B859" s="178"/>
      <c r="C859" s="178"/>
      <c r="D859" s="178"/>
      <c r="E859" s="178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178"/>
      <c r="B860" s="178"/>
      <c r="C860" s="178"/>
      <c r="D860" s="178"/>
      <c r="E860" s="178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178"/>
      <c r="B861" s="178"/>
      <c r="C861" s="178"/>
      <c r="D861" s="178"/>
      <c r="E861" s="178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178"/>
      <c r="B862" s="178"/>
      <c r="C862" s="178"/>
      <c r="D862" s="178"/>
      <c r="E862" s="178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178"/>
      <c r="B863" s="178"/>
      <c r="C863" s="178"/>
      <c r="D863" s="178"/>
      <c r="E863" s="178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178"/>
      <c r="B864" s="178"/>
      <c r="C864" s="178"/>
      <c r="D864" s="178"/>
      <c r="E864" s="178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178"/>
      <c r="B865" s="178"/>
      <c r="C865" s="178"/>
      <c r="D865" s="178"/>
      <c r="E865" s="178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178"/>
      <c r="B866" s="178"/>
      <c r="C866" s="178"/>
      <c r="D866" s="178"/>
      <c r="E866" s="178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178"/>
      <c r="B867" s="178"/>
      <c r="C867" s="178"/>
      <c r="D867" s="178"/>
      <c r="E867" s="178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178"/>
      <c r="B868" s="178"/>
      <c r="C868" s="178"/>
      <c r="D868" s="178"/>
      <c r="E868" s="178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178"/>
      <c r="B869" s="178"/>
      <c r="C869" s="178"/>
      <c r="D869" s="178"/>
      <c r="E869" s="178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178"/>
      <c r="B870" s="178"/>
      <c r="C870" s="178"/>
      <c r="D870" s="178"/>
      <c r="E870" s="178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178"/>
      <c r="B871" s="178"/>
      <c r="C871" s="178"/>
      <c r="D871" s="178"/>
      <c r="E871" s="178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178"/>
      <c r="B872" s="178"/>
      <c r="C872" s="178"/>
      <c r="D872" s="178"/>
      <c r="E872" s="178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178"/>
      <c r="B873" s="178"/>
      <c r="C873" s="178"/>
      <c r="D873" s="178"/>
      <c r="E873" s="178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178"/>
      <c r="B874" s="178"/>
      <c r="C874" s="178"/>
      <c r="D874" s="178"/>
      <c r="E874" s="178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178"/>
      <c r="B875" s="178"/>
      <c r="C875" s="178"/>
      <c r="D875" s="178"/>
      <c r="E875" s="178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178"/>
      <c r="B876" s="178"/>
      <c r="C876" s="178"/>
      <c r="D876" s="178"/>
      <c r="E876" s="178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178"/>
      <c r="B877" s="178"/>
      <c r="C877" s="178"/>
      <c r="D877" s="178"/>
      <c r="E877" s="178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178"/>
      <c r="B878" s="178"/>
      <c r="C878" s="178"/>
      <c r="D878" s="178"/>
      <c r="E878" s="178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178"/>
      <c r="B879" s="178"/>
      <c r="C879" s="178"/>
      <c r="D879" s="178"/>
      <c r="E879" s="178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178"/>
      <c r="B880" s="178"/>
      <c r="C880" s="178"/>
      <c r="D880" s="178"/>
      <c r="E880" s="178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178"/>
      <c r="B881" s="178"/>
      <c r="C881" s="178"/>
      <c r="D881" s="178"/>
      <c r="E881" s="178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178"/>
      <c r="B882" s="178"/>
      <c r="C882" s="178"/>
      <c r="D882" s="178"/>
      <c r="E882" s="178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178"/>
      <c r="B883" s="178"/>
      <c r="C883" s="178"/>
      <c r="D883" s="178"/>
      <c r="E883" s="178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178"/>
      <c r="B884" s="178"/>
      <c r="C884" s="178"/>
      <c r="D884" s="178"/>
      <c r="E884" s="178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178"/>
      <c r="B885" s="178"/>
      <c r="C885" s="178"/>
      <c r="D885" s="178"/>
      <c r="E885" s="178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178"/>
      <c r="B886" s="178"/>
      <c r="C886" s="178"/>
      <c r="D886" s="178"/>
      <c r="E886" s="178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178"/>
      <c r="B887" s="178"/>
      <c r="C887" s="178"/>
      <c r="D887" s="178"/>
      <c r="E887" s="178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178"/>
      <c r="B888" s="178"/>
      <c r="C888" s="178"/>
      <c r="D888" s="178"/>
      <c r="E888" s="178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178"/>
      <c r="B889" s="178"/>
      <c r="C889" s="178"/>
      <c r="D889" s="178"/>
      <c r="E889" s="178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178"/>
      <c r="B890" s="178"/>
      <c r="C890" s="178"/>
      <c r="D890" s="178"/>
      <c r="E890" s="178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178"/>
      <c r="B891" s="178"/>
      <c r="C891" s="178"/>
      <c r="D891" s="178"/>
      <c r="E891" s="178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178"/>
      <c r="B892" s="178"/>
      <c r="C892" s="178"/>
      <c r="D892" s="178"/>
      <c r="E892" s="178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178"/>
      <c r="B893" s="178"/>
      <c r="C893" s="178"/>
      <c r="D893" s="178"/>
      <c r="E893" s="178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178"/>
      <c r="B894" s="178"/>
      <c r="C894" s="178"/>
      <c r="D894" s="178"/>
      <c r="E894" s="178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178"/>
      <c r="B895" s="178"/>
      <c r="C895" s="178"/>
      <c r="D895" s="178"/>
      <c r="E895" s="178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178"/>
      <c r="B896" s="178"/>
      <c r="C896" s="178"/>
      <c r="D896" s="178"/>
      <c r="E896" s="178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178"/>
      <c r="B897" s="178"/>
      <c r="C897" s="178"/>
      <c r="D897" s="178"/>
      <c r="E897" s="178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178"/>
      <c r="B898" s="178"/>
      <c r="C898" s="178"/>
      <c r="D898" s="178"/>
      <c r="E898" s="178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178"/>
      <c r="B899" s="178"/>
      <c r="C899" s="178"/>
      <c r="D899" s="178"/>
      <c r="E899" s="178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178"/>
      <c r="B900" s="178"/>
      <c r="C900" s="178"/>
      <c r="D900" s="178"/>
      <c r="E900" s="178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178"/>
      <c r="B901" s="178"/>
      <c r="C901" s="178"/>
      <c r="D901" s="178"/>
      <c r="E901" s="178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178"/>
      <c r="B902" s="178"/>
      <c r="C902" s="178"/>
      <c r="D902" s="178"/>
      <c r="E902" s="178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178"/>
      <c r="B903" s="178"/>
      <c r="C903" s="178"/>
      <c r="D903" s="178"/>
      <c r="E903" s="178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178"/>
      <c r="B904" s="178"/>
      <c r="C904" s="178"/>
      <c r="D904" s="178"/>
      <c r="E904" s="178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178"/>
      <c r="B905" s="178"/>
      <c r="C905" s="178"/>
      <c r="D905" s="178"/>
      <c r="E905" s="178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178"/>
      <c r="B906" s="178"/>
      <c r="C906" s="178"/>
      <c r="D906" s="178"/>
      <c r="E906" s="178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178"/>
      <c r="B907" s="178"/>
      <c r="C907" s="178"/>
      <c r="D907" s="178"/>
      <c r="E907" s="178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178"/>
      <c r="B908" s="178"/>
      <c r="C908" s="178"/>
      <c r="D908" s="178"/>
      <c r="E908" s="178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178"/>
      <c r="B909" s="178"/>
      <c r="C909" s="178"/>
      <c r="D909" s="178"/>
      <c r="E909" s="178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178"/>
      <c r="B910" s="178"/>
      <c r="C910" s="178"/>
      <c r="D910" s="178"/>
      <c r="E910" s="178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178"/>
      <c r="B911" s="178"/>
      <c r="C911" s="178"/>
      <c r="D911" s="178"/>
      <c r="E911" s="178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178"/>
      <c r="B912" s="178"/>
      <c r="C912" s="178"/>
      <c r="D912" s="178"/>
      <c r="E912" s="178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178"/>
      <c r="B913" s="178"/>
      <c r="C913" s="178"/>
      <c r="D913" s="178"/>
      <c r="E913" s="178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178"/>
      <c r="B914" s="178"/>
      <c r="C914" s="178"/>
      <c r="D914" s="178"/>
      <c r="E914" s="178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178"/>
      <c r="B915" s="178"/>
      <c r="C915" s="178"/>
      <c r="D915" s="178"/>
      <c r="E915" s="178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178"/>
      <c r="B916" s="178"/>
      <c r="C916" s="178"/>
      <c r="D916" s="178"/>
      <c r="E916" s="178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178"/>
      <c r="B917" s="178"/>
      <c r="C917" s="178"/>
      <c r="D917" s="178"/>
      <c r="E917" s="178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178"/>
      <c r="B918" s="178"/>
      <c r="C918" s="178"/>
      <c r="D918" s="178"/>
      <c r="E918" s="178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178"/>
      <c r="B919" s="178"/>
      <c r="C919" s="178"/>
      <c r="D919" s="178"/>
      <c r="E919" s="178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178"/>
      <c r="B920" s="178"/>
      <c r="C920" s="178"/>
      <c r="D920" s="178"/>
      <c r="E920" s="178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178"/>
      <c r="B921" s="178"/>
      <c r="C921" s="178"/>
      <c r="D921" s="178"/>
      <c r="E921" s="178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178"/>
      <c r="B922" s="178"/>
      <c r="C922" s="178"/>
      <c r="D922" s="178"/>
      <c r="E922" s="178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178"/>
      <c r="B923" s="178"/>
      <c r="C923" s="178"/>
      <c r="D923" s="178"/>
      <c r="E923" s="178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178"/>
      <c r="B924" s="178"/>
      <c r="C924" s="178"/>
      <c r="D924" s="178"/>
      <c r="E924" s="178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178"/>
      <c r="B925" s="178"/>
      <c r="C925" s="178"/>
      <c r="D925" s="178"/>
      <c r="E925" s="178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178"/>
      <c r="B926" s="178"/>
      <c r="C926" s="178"/>
      <c r="D926" s="178"/>
      <c r="E926" s="178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178"/>
      <c r="B927" s="178"/>
      <c r="C927" s="178"/>
      <c r="D927" s="178"/>
      <c r="E927" s="178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178"/>
      <c r="B928" s="178"/>
      <c r="C928" s="178"/>
      <c r="D928" s="178"/>
      <c r="E928" s="178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178"/>
      <c r="B929" s="178"/>
      <c r="C929" s="178"/>
      <c r="D929" s="178"/>
      <c r="E929" s="178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178"/>
      <c r="B930" s="178"/>
      <c r="C930" s="178"/>
      <c r="D930" s="178"/>
      <c r="E930" s="178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178"/>
      <c r="B931" s="178"/>
      <c r="C931" s="178"/>
      <c r="D931" s="178"/>
      <c r="E931" s="178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178"/>
      <c r="B932" s="178"/>
      <c r="C932" s="178"/>
      <c r="D932" s="178"/>
      <c r="E932" s="178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178"/>
      <c r="B933" s="178"/>
      <c r="C933" s="178"/>
      <c r="D933" s="178"/>
      <c r="E933" s="178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178"/>
      <c r="B934" s="178"/>
      <c r="C934" s="178"/>
      <c r="D934" s="178"/>
      <c r="E934" s="178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178"/>
      <c r="B935" s="178"/>
      <c r="C935" s="178"/>
      <c r="D935" s="178"/>
      <c r="E935" s="178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178"/>
      <c r="B936" s="178"/>
      <c r="C936" s="178"/>
      <c r="D936" s="178"/>
      <c r="E936" s="178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178"/>
      <c r="B937" s="178"/>
      <c r="C937" s="178"/>
      <c r="D937" s="178"/>
      <c r="E937" s="178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178"/>
      <c r="B938" s="178"/>
      <c r="C938" s="178"/>
      <c r="D938" s="178"/>
      <c r="E938" s="178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178"/>
      <c r="B939" s="178"/>
      <c r="C939" s="178"/>
      <c r="D939" s="178"/>
      <c r="E939" s="178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178"/>
      <c r="B940" s="178"/>
      <c r="C940" s="178"/>
      <c r="D940" s="178"/>
      <c r="E940" s="178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178"/>
      <c r="B941" s="178"/>
      <c r="C941" s="178"/>
      <c r="D941" s="178"/>
      <c r="E941" s="178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178"/>
      <c r="B942" s="178"/>
      <c r="C942" s="178"/>
      <c r="D942" s="178"/>
      <c r="E942" s="178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178"/>
      <c r="B943" s="178"/>
      <c r="C943" s="178"/>
      <c r="D943" s="178"/>
      <c r="E943" s="178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178"/>
      <c r="B944" s="178"/>
      <c r="C944" s="178"/>
      <c r="D944" s="178"/>
      <c r="E944" s="178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178"/>
      <c r="B945" s="178"/>
      <c r="C945" s="178"/>
      <c r="D945" s="178"/>
      <c r="E945" s="178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178"/>
      <c r="B946" s="178"/>
      <c r="C946" s="178"/>
      <c r="D946" s="178"/>
      <c r="E946" s="178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178"/>
      <c r="B947" s="178"/>
      <c r="C947" s="178"/>
      <c r="D947" s="178"/>
      <c r="E947" s="178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178"/>
      <c r="B948" s="178"/>
      <c r="C948" s="178"/>
      <c r="D948" s="178"/>
      <c r="E948" s="178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178"/>
      <c r="B949" s="178"/>
      <c r="C949" s="178"/>
      <c r="D949" s="178"/>
      <c r="E949" s="178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178"/>
      <c r="B950" s="178"/>
      <c r="C950" s="178"/>
      <c r="D950" s="178"/>
      <c r="E950" s="178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178"/>
      <c r="B951" s="178"/>
      <c r="C951" s="178"/>
      <c r="D951" s="178"/>
      <c r="E951" s="178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178"/>
      <c r="B952" s="178"/>
      <c r="C952" s="178"/>
      <c r="D952" s="178"/>
      <c r="E952" s="178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178"/>
      <c r="B953" s="178"/>
      <c r="C953" s="178"/>
      <c r="D953" s="178"/>
      <c r="E953" s="178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178"/>
      <c r="B954" s="178"/>
      <c r="C954" s="178"/>
      <c r="D954" s="178"/>
      <c r="E954" s="178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178"/>
      <c r="B955" s="178"/>
      <c r="C955" s="178"/>
      <c r="D955" s="178"/>
      <c r="E955" s="178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178"/>
      <c r="B956" s="178"/>
      <c r="C956" s="178"/>
      <c r="D956" s="178"/>
      <c r="E956" s="178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178"/>
      <c r="B957" s="178"/>
      <c r="C957" s="178"/>
      <c r="D957" s="178"/>
      <c r="E957" s="178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178"/>
      <c r="B958" s="178"/>
      <c r="C958" s="178"/>
      <c r="D958" s="178"/>
      <c r="E958" s="178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178"/>
      <c r="B959" s="178"/>
      <c r="C959" s="178"/>
      <c r="D959" s="178"/>
      <c r="E959" s="178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178"/>
      <c r="B960" s="178"/>
      <c r="C960" s="178"/>
      <c r="D960" s="178"/>
      <c r="E960" s="178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178"/>
      <c r="B961" s="178"/>
      <c r="C961" s="178"/>
      <c r="D961" s="178"/>
      <c r="E961" s="178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178"/>
      <c r="B962" s="178"/>
      <c r="C962" s="178"/>
      <c r="D962" s="178"/>
      <c r="E962" s="178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178"/>
      <c r="B963" s="178"/>
      <c r="C963" s="178"/>
      <c r="D963" s="178"/>
      <c r="E963" s="178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178"/>
      <c r="B964" s="178"/>
      <c r="C964" s="178"/>
      <c r="D964" s="178"/>
      <c r="E964" s="178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178"/>
      <c r="B965" s="178"/>
      <c r="C965" s="178"/>
      <c r="D965" s="178"/>
      <c r="E965" s="178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178"/>
      <c r="B966" s="178"/>
      <c r="C966" s="178"/>
      <c r="D966" s="178"/>
      <c r="E966" s="178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178"/>
      <c r="B967" s="178"/>
      <c r="C967" s="178"/>
      <c r="D967" s="178"/>
      <c r="E967" s="178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178"/>
      <c r="B968" s="178"/>
      <c r="C968" s="178"/>
      <c r="D968" s="178"/>
      <c r="E968" s="178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178"/>
      <c r="B969" s="178"/>
      <c r="C969" s="178"/>
      <c r="D969" s="178"/>
      <c r="E969" s="178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178"/>
      <c r="B970" s="178"/>
      <c r="C970" s="178"/>
      <c r="D970" s="178"/>
      <c r="E970" s="178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178"/>
      <c r="B971" s="178"/>
      <c r="C971" s="178"/>
      <c r="D971" s="178"/>
      <c r="E971" s="178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178"/>
      <c r="B972" s="178"/>
      <c r="C972" s="178"/>
      <c r="D972" s="178"/>
      <c r="E972" s="178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178"/>
      <c r="B973" s="178"/>
      <c r="C973" s="178"/>
      <c r="D973" s="178"/>
      <c r="E973" s="178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178"/>
      <c r="B974" s="178"/>
      <c r="C974" s="178"/>
      <c r="D974" s="178"/>
      <c r="E974" s="178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178"/>
      <c r="B975" s="178"/>
      <c r="C975" s="178"/>
      <c r="D975" s="178"/>
      <c r="E975" s="178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178"/>
      <c r="B976" s="178"/>
      <c r="C976" s="178"/>
      <c r="D976" s="178"/>
      <c r="E976" s="178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178"/>
      <c r="B977" s="178"/>
      <c r="C977" s="178"/>
      <c r="D977" s="178"/>
      <c r="E977" s="178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178"/>
      <c r="B978" s="178"/>
      <c r="C978" s="178"/>
      <c r="D978" s="178"/>
      <c r="E978" s="178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178"/>
      <c r="B979" s="178"/>
      <c r="C979" s="178"/>
      <c r="D979" s="178"/>
      <c r="E979" s="178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178"/>
      <c r="B980" s="178"/>
      <c r="C980" s="178"/>
      <c r="D980" s="178"/>
      <c r="E980" s="178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178"/>
      <c r="B981" s="178"/>
      <c r="C981" s="178"/>
      <c r="D981" s="178"/>
      <c r="E981" s="178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178"/>
      <c r="B982" s="178"/>
      <c r="C982" s="178"/>
      <c r="D982" s="178"/>
      <c r="E982" s="178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178"/>
      <c r="B983" s="178"/>
      <c r="C983" s="178"/>
      <c r="D983" s="178"/>
      <c r="E983" s="178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178"/>
      <c r="B984" s="178"/>
      <c r="C984" s="178"/>
      <c r="D984" s="178"/>
      <c r="E984" s="178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178"/>
      <c r="B985" s="178"/>
      <c r="C985" s="178"/>
      <c r="D985" s="178"/>
      <c r="E985" s="178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178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178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178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42.63"/>
    <col customWidth="1" min="3" max="3" width="16.0"/>
    <col customWidth="1" min="4" max="4" width="24.25"/>
    <col customWidth="1" min="5" max="5" width="10.38"/>
    <col customWidth="1" min="7" max="7" width="76.88"/>
    <col customWidth="1" min="8" max="8" width="19.5"/>
  </cols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9" t="s">
        <v>4</v>
      </c>
      <c r="F1" s="178"/>
      <c r="G1" s="80" t="s">
        <v>5</v>
      </c>
      <c r="H1" s="81">
        <f>H4</f>
        <v>0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146"/>
      <c r="B2" s="73" t="str">
        <f t="array" ref="B2">IFERROR(XLOOKUP(A2, BASE!E:E, BASE!B:B), "")
</f>
        <v/>
      </c>
      <c r="C2" s="73" t="str">
        <f t="array" ref="C2">IFERROR(XLOOKUP(A2, BASE!E:E, BASE!C:C), "")
</f>
        <v/>
      </c>
      <c r="D2" s="73" t="str">
        <f t="array" ref="D2">IFERROR(XLOOKUP(A2, BASE!E:E, BASE!D:D), "")
</f>
        <v/>
      </c>
      <c r="E2" s="168" t="str">
        <f t="array" ref="E2">IFERROR(XLOOKUP(A2, BASE!E:E, BASE!H:H), "")
</f>
        <v/>
      </c>
      <c r="F2" s="178"/>
      <c r="G2" s="82" t="s">
        <v>9</v>
      </c>
      <c r="H2" s="82">
        <f>COUNTIF(C:C,"*LSP*")
</f>
        <v>0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146"/>
      <c r="B3" s="73" t="str">
        <f t="array" ref="B3">IFERROR(XLOOKUP(A3, BASE!E:E, BASE!B:B), "")
</f>
        <v/>
      </c>
      <c r="C3" s="73" t="str">
        <f t="array" ref="C3">IFERROR(XLOOKUP(A3, BASE!E:E, BASE!C:C), "")
</f>
        <v/>
      </c>
      <c r="D3" s="73" t="str">
        <f t="array" ref="D3">IFERROR(XLOOKUP(A3, BASE!E:E, BASE!D:D), "")
</f>
        <v/>
      </c>
      <c r="E3" s="168" t="str">
        <f t="array" ref="E3">IFERROR(XLOOKUP(A3, BASE!E:E, BASE!H:H), "")
</f>
        <v/>
      </c>
      <c r="F3" s="178"/>
      <c r="G3" s="82" t="s">
        <v>13</v>
      </c>
      <c r="H3" s="82">
        <f>COUNTIF(C:C,"*SOC*")
</f>
        <v>0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146"/>
      <c r="B4" s="73" t="str">
        <f t="array" ref="B4">IFERROR(XLOOKUP(A4, BASE!E:E, BASE!B:B), "")
</f>
        <v/>
      </c>
      <c r="C4" s="73" t="str">
        <f t="array" ref="C4">IFERROR(XLOOKUP(A4, BASE!E:E, BASE!C:C), "")
</f>
        <v/>
      </c>
      <c r="D4" s="73" t="str">
        <f t="array" ref="D4">IFERROR(XLOOKUP(A4, BASE!E:E, BASE!D:D), "")
</f>
        <v/>
      </c>
      <c r="E4" s="168" t="str">
        <f t="array" ref="E4">IFERROR(XLOOKUP(A4, BASE!E:E, BASE!H:H), "")
</f>
        <v/>
      </c>
      <c r="F4" s="178"/>
      <c r="G4" s="82" t="s">
        <v>810</v>
      </c>
      <c r="H4" s="198">
        <f>COUNTIFS(D:D,"&gt;=5",D:D,"&lt;=117")</f>
        <v>0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46"/>
      <c r="B5" s="73" t="str">
        <f t="array" ref="B5">IFERROR(XLOOKUP(A5, BASE!E:E, BASE!B:B), "")
</f>
        <v/>
      </c>
      <c r="C5" s="73" t="str">
        <f t="array" ref="C5">IFERROR(XLOOKUP(A5, BASE!E:E, BASE!C:C), "")
</f>
        <v/>
      </c>
      <c r="D5" s="73" t="str">
        <f t="array" ref="D5">IFERROR(XLOOKUP(A5, BASE!E:E, BASE!D:D), "")
</f>
        <v/>
      </c>
      <c r="E5" s="168" t="str">
        <f t="array" ref="E5">IFERROR(XLOOKUP(A5, BASE!E:E, BASE!H:H), "")
</f>
        <v/>
      </c>
      <c r="F5" s="178"/>
      <c r="G5" s="82" t="s">
        <v>20</v>
      </c>
      <c r="H5" s="82">
        <f>COUNTIF(D:D,"*NÃO DOCOU*")</f>
        <v>0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146"/>
      <c r="B6" s="73" t="str">
        <f t="array" ref="B6">IFERROR(XLOOKUP(A6, BASE!E:E, BASE!B:B), "")
</f>
        <v/>
      </c>
      <c r="C6" s="73" t="str">
        <f t="array" ref="C6">IFERROR(XLOOKUP(A6, BASE!E:E, BASE!C:C), "")
</f>
        <v/>
      </c>
      <c r="D6" s="73" t="str">
        <f t="array" ref="D6">IFERROR(XLOOKUP(A6, BASE!E:E, BASE!D:D), "")
</f>
        <v/>
      </c>
      <c r="E6" s="168" t="str">
        <f t="array" ref="E6">IFERROR(XLOOKUP(A6, BASE!E:E, BASE!H:H), "")
</f>
        <v/>
      </c>
      <c r="F6" s="178"/>
      <c r="G6" s="198" t="s">
        <v>25</v>
      </c>
      <c r="H6" s="199">
        <f>COUNTIF(D:D,"*NÃO CHEGOU*")
</f>
        <v>0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146"/>
      <c r="B7" s="73" t="str">
        <f t="array" ref="B7">IFERROR(XLOOKUP(A7, BASE!E:E, BASE!B:B), "")
</f>
        <v/>
      </c>
      <c r="C7" s="73" t="str">
        <f t="array" ref="C7">IFERROR(XLOOKUP(A7, BASE!E:E, BASE!C:C), "")
</f>
        <v/>
      </c>
      <c r="D7" s="73" t="str">
        <f t="array" ref="D7">IFERROR(XLOOKUP(A7, BASE!E:E, BASE!D:D), "")
</f>
        <v/>
      </c>
      <c r="E7" s="168" t="str">
        <f t="array" ref="E7">IFERROR(XLOOKUP(A7, BASE!E:E, BASE!H:H), "")
</f>
        <v/>
      </c>
      <c r="F7" s="178"/>
      <c r="G7" s="82" t="s">
        <v>815</v>
      </c>
      <c r="H7" s="82">
        <f>COUNTIF(D:D,"*DRIVER DUPLICADO*")</f>
        <v>0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146"/>
      <c r="B8" s="73" t="str">
        <f t="array" ref="B8">IFERROR(XLOOKUP(A8, BASE!E:E, BASE!B:B), "")
</f>
        <v/>
      </c>
      <c r="C8" s="73" t="str">
        <f t="array" ref="C8">IFERROR(XLOOKUP(A8, BASE!E:E, BASE!C:C), "")
</f>
        <v/>
      </c>
      <c r="D8" s="73" t="str">
        <f t="array" ref="D8">IFERROR(XLOOKUP(A8, BASE!E:E, BASE!D:D), "")
</f>
        <v/>
      </c>
      <c r="E8" s="168" t="str">
        <f t="array" ref="E8">IFERROR(XLOOKUP(A8, BASE!E:E, BASE!H:H), "")
</f>
        <v/>
      </c>
      <c r="F8" s="178"/>
      <c r="G8" s="82" t="s">
        <v>1429</v>
      </c>
      <c r="H8" s="198">
        <f>COUNTIFS(D:D,"&gt;=86",D:D,"&lt;=109")</f>
        <v>0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146"/>
      <c r="B9" s="73" t="str">
        <f t="array" ref="B9">IFERROR(XLOOKUP(A9, BASE!E:E, BASE!B:B), "")
</f>
        <v/>
      </c>
      <c r="C9" s="73" t="str">
        <f t="array" ref="C9">IFERROR(XLOOKUP(A9, BASE!E:E, BASE!C:C), "")
</f>
        <v/>
      </c>
      <c r="D9" s="73" t="str">
        <f t="array" ref="D9">IFERROR(XLOOKUP(A9, BASE!E:E, BASE!D:D), "")
</f>
        <v/>
      </c>
      <c r="E9" s="168" t="str">
        <f t="array" ref="E9">IFERROR(XLOOKUP(A9, BASE!E:E, BASE!H:H), "")
</f>
        <v/>
      </c>
      <c r="F9" s="178"/>
      <c r="G9" s="82" t="s">
        <v>1431</v>
      </c>
      <c r="H9" s="198">
        <f>COUNTIFS(D:D,"&gt;=5",D:D,"&lt;=57") + COUNTIFS(D:D,"&gt;=110",D:D,"&lt;=117")</f>
        <v>0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146"/>
      <c r="B10" s="73" t="str">
        <f t="array" ref="B10">IFERROR(XLOOKUP(A10, BASE!E:E, BASE!B:B), "")
</f>
        <v/>
      </c>
      <c r="C10" s="73" t="str">
        <f t="array" ref="C10">IFERROR(XLOOKUP(A10, BASE!E:E, BASE!C:C), "")
</f>
        <v/>
      </c>
      <c r="D10" s="73" t="str">
        <f t="array" ref="D10">IFERROR(XLOOKUP(A10, BASE!E:E, BASE!D:D), "")
</f>
        <v/>
      </c>
      <c r="E10" s="168" t="str">
        <f t="array" ref="E10">IFERROR(XLOOKUP(A10, BASE!E:E, BASE!H:H), "")
</f>
        <v/>
      </c>
      <c r="F10" s="178"/>
      <c r="G10" s="9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146"/>
      <c r="B11" s="73" t="str">
        <f t="array" ref="B11">IFERROR(XLOOKUP(A11, BASE!E:E, BASE!B:B), "")
</f>
        <v/>
      </c>
      <c r="C11" s="73" t="str">
        <f t="array" ref="C11">IFERROR(XLOOKUP(A11, BASE!E:E, BASE!C:C), "")
</f>
        <v/>
      </c>
      <c r="D11" s="73" t="str">
        <f t="array" ref="D11">IFERROR(XLOOKUP(A11, BASE!E:E, BASE!D:D), "")
</f>
        <v/>
      </c>
      <c r="E11" s="168" t="str">
        <f t="array" ref="E11">IFERROR(XLOOKUP(A11, BASE!E:E, BASE!H:H), "")
</f>
        <v/>
      </c>
      <c r="F11" s="9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146"/>
      <c r="B12" s="73" t="str">
        <f t="array" ref="B12">IFERROR(XLOOKUP(A12, BASE!E:E, BASE!B:B), "")
</f>
        <v/>
      </c>
      <c r="C12" s="73" t="str">
        <f t="array" ref="C12">IFERROR(XLOOKUP(A12, BASE!E:E, BASE!C:C), "")
</f>
        <v/>
      </c>
      <c r="D12" s="73" t="str">
        <f t="array" ref="D12">IFERROR(XLOOKUP(A12, BASE!E:E, BASE!D:D), "")
</f>
        <v/>
      </c>
      <c r="E12" s="168" t="str">
        <f t="array" ref="E12">IFERROR(XLOOKUP(A12, BASE!E:E, BASE!H:H), "")
</f>
        <v/>
      </c>
      <c r="F12" s="178"/>
      <c r="G12" s="84" t="s">
        <v>1548</v>
      </c>
      <c r="H12" s="9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146"/>
      <c r="B13" s="73" t="str">
        <f t="array" ref="B13">IFERROR(XLOOKUP(A13, BASE!E:E, BASE!B:B), "")
</f>
        <v/>
      </c>
      <c r="C13" s="73" t="str">
        <f t="array" ref="C13">IFERROR(XLOOKUP(A13, BASE!E:E, BASE!C:C), "")
</f>
        <v/>
      </c>
      <c r="D13" s="73" t="str">
        <f t="array" ref="D13">IFERROR(XLOOKUP(A13, BASE!E:E, BASE!D:D), "")
</f>
        <v/>
      </c>
      <c r="E13" s="168" t="str">
        <f t="array" ref="E13">IFERROR(XLOOKUP(A13, BASE!E:E, BASE!H:H), "")
</f>
        <v/>
      </c>
      <c r="F13" s="178"/>
      <c r="G13" s="178"/>
      <c r="H13" s="178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20.25" customHeight="1">
      <c r="A14" s="146"/>
      <c r="B14" s="73" t="str">
        <f t="array" ref="B14">IFERROR(XLOOKUP(A14, BASE!E:E, BASE!B:B), "")
</f>
        <v/>
      </c>
      <c r="C14" s="73" t="str">
        <f t="array" ref="C14">IFERROR(XLOOKUP(A14, BASE!E:E, BASE!C:C), "")
</f>
        <v/>
      </c>
      <c r="D14" s="73" t="str">
        <f t="array" ref="D14">IFERROR(XLOOKUP(A14, BASE!E:E, BASE!D:D), "")
</f>
        <v/>
      </c>
      <c r="E14" s="168" t="str">
        <f t="array" ref="E14">IFERROR(XLOOKUP(A14, BASE!E:E, BASE!H:H), "")
</f>
        <v/>
      </c>
      <c r="F14" s="178"/>
      <c r="G14" s="187" t="s">
        <v>653</v>
      </c>
      <c r="H14" s="178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32"/>
      <c r="B15" s="73" t="str">
        <f t="array" ref="B15">IFERROR(XLOOKUP(A15, BASE!E:E, BASE!B:B), "")
</f>
        <v/>
      </c>
      <c r="C15" s="73" t="str">
        <f t="array" ref="C15">IFERROR(XLOOKUP(A15, BASE!E:E, BASE!C:C), "")
</f>
        <v/>
      </c>
      <c r="D15" s="73" t="str">
        <f t="array" ref="D15">IFERROR(XLOOKUP(A15, BASE!E:E, BASE!D:D), "")
</f>
        <v/>
      </c>
      <c r="E15" s="168" t="str">
        <f t="array" ref="E15">IFERROR(XLOOKUP(A15, BASE!E:E, BASE!H:H), "")
</f>
        <v/>
      </c>
      <c r="F15" s="178"/>
      <c r="G15" s="178"/>
      <c r="H15" s="178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146"/>
      <c r="B16" s="73" t="str">
        <f t="array" ref="B16">IFERROR(XLOOKUP(A16, BASE!E:E, BASE!B:B), "")
</f>
        <v/>
      </c>
      <c r="C16" s="73" t="str">
        <f t="array" ref="C16">IFERROR(XLOOKUP(A16, BASE!E:E, BASE!C:C), "")
</f>
        <v/>
      </c>
      <c r="D16" s="73" t="str">
        <f t="array" ref="D16">IFERROR(XLOOKUP(A16, BASE!E:E, BASE!D:D), "")
</f>
        <v/>
      </c>
      <c r="E16" s="168" t="str">
        <f t="array" ref="E16">IFERROR(XLOOKUP(A16, BASE!E:E, BASE!H:H), "")
</f>
        <v/>
      </c>
      <c r="F16" s="178"/>
      <c r="G16" s="178"/>
      <c r="H16" s="178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146"/>
      <c r="B17" s="73" t="str">
        <f t="array" ref="B17">IFERROR(XLOOKUP(A17, BASE!E:E, BASE!B:B), "")
</f>
        <v/>
      </c>
      <c r="C17" s="73" t="str">
        <f t="array" ref="C17">IFERROR(XLOOKUP(A17, BASE!E:E, BASE!C:C), "")
</f>
        <v/>
      </c>
      <c r="D17" s="73" t="str">
        <f t="array" ref="D17">IFERROR(XLOOKUP(A17, BASE!E:E, BASE!D:D), "")
</f>
        <v/>
      </c>
      <c r="E17" s="168" t="str">
        <f t="array" ref="E17">IFERROR(XLOOKUP(A17, BASE!E:E, BASE!H:H), "")
</f>
        <v/>
      </c>
      <c r="F17" s="178"/>
      <c r="G17" s="178"/>
      <c r="H17" s="178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146"/>
      <c r="B18" s="73" t="str">
        <f t="array" ref="B18">IFERROR(XLOOKUP(A18, BASE!E:E, BASE!B:B), "")
</f>
        <v/>
      </c>
      <c r="C18" s="73" t="str">
        <f t="array" ref="C18">IFERROR(XLOOKUP(A18, BASE!E:E, BASE!C:C), "")
</f>
        <v/>
      </c>
      <c r="D18" s="73" t="str">
        <f t="array" ref="D18">IFERROR(XLOOKUP(A18, BASE!E:E, BASE!D:D), "")
</f>
        <v/>
      </c>
      <c r="E18" s="168" t="str">
        <f t="array" ref="E18">IFERROR(XLOOKUP(A18, BASE!E:E, BASE!H:H), "")
</f>
        <v/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146"/>
      <c r="B19" s="73" t="str">
        <f t="array" ref="B19">IFERROR(XLOOKUP(A19, BASE!E:E, BASE!B:B), "")
</f>
        <v/>
      </c>
      <c r="C19" s="73" t="str">
        <f t="array" ref="C19">IFERROR(XLOOKUP(A19, BASE!E:E, BASE!C:C), "")
</f>
        <v/>
      </c>
      <c r="D19" s="73" t="str">
        <f t="array" ref="D19">IFERROR(XLOOKUP(A19, BASE!E:E, BASE!D:D), "")
</f>
        <v/>
      </c>
      <c r="E19" s="168" t="str">
        <f t="array" ref="E19">IFERROR(XLOOKUP(A19, BASE!E:E, BASE!H:H), "")
</f>
        <v/>
      </c>
      <c r="F19" s="178"/>
      <c r="G19" s="178"/>
      <c r="H19" s="178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102"/>
      <c r="B20" s="73" t="str">
        <f t="array" ref="B20">IFERROR(XLOOKUP(A20, BASE!E:E, BASE!B:B), "")
</f>
        <v/>
      </c>
      <c r="C20" s="73" t="str">
        <f t="array" ref="C20">IFERROR(XLOOKUP(A20, BASE!E:E, BASE!C:C), "")
</f>
        <v/>
      </c>
      <c r="D20" s="73" t="str">
        <f t="array" ref="D20">IFERROR(XLOOKUP(A20, BASE!E:E, BASE!D:D), "")
</f>
        <v/>
      </c>
      <c r="E20" s="168" t="str">
        <f t="array" ref="E20">IFERROR(XLOOKUP(A20, BASE!E:E, BASE!H:H), "")
</f>
        <v/>
      </c>
      <c r="F20" s="178"/>
      <c r="G20" s="178"/>
      <c r="H20" s="178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146"/>
      <c r="B21" s="73" t="str">
        <f t="array" ref="B21">IFERROR(XLOOKUP(A21, BASE!E:E, BASE!B:B), "")
</f>
        <v/>
      </c>
      <c r="C21" s="73" t="str">
        <f t="array" ref="C21">IFERROR(XLOOKUP(A21, BASE!E:E, BASE!C:C), "")
</f>
        <v/>
      </c>
      <c r="D21" s="73" t="str">
        <f t="array" ref="D21">IFERROR(XLOOKUP(A21, BASE!E:E, BASE!D:D), "")
</f>
        <v/>
      </c>
      <c r="E21" s="168" t="str">
        <f t="array" ref="E21">IFERROR(XLOOKUP(A21, BASE!E:E, BASE!H:H), "")
</f>
        <v/>
      </c>
      <c r="F21" s="178"/>
      <c r="G21" s="178"/>
      <c r="H21" s="178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146"/>
      <c r="B22" s="73" t="str">
        <f t="array" ref="B22">IFERROR(XLOOKUP(A22, BASE!E:E, BASE!B:B), "")
</f>
        <v/>
      </c>
      <c r="C22" s="73" t="str">
        <f t="array" ref="C22">IFERROR(XLOOKUP(A22, BASE!E:E, BASE!C:C), "")
</f>
        <v/>
      </c>
      <c r="D22" s="73" t="str">
        <f t="array" ref="D22">IFERROR(XLOOKUP(A22, BASE!E:E, BASE!D:D), "")
</f>
        <v/>
      </c>
      <c r="E22" s="168" t="str">
        <f t="array" ref="E22">IFERROR(XLOOKUP(A22, BASE!E:E, BASE!H:H), "")
</f>
        <v/>
      </c>
      <c r="F22" s="178"/>
      <c r="G22" s="178"/>
      <c r="H22" s="178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146"/>
      <c r="B23" s="73" t="str">
        <f t="array" ref="B23">IFERROR(XLOOKUP(A23, BASE!E:E, BASE!B:B), "")
</f>
        <v/>
      </c>
      <c r="C23" s="73" t="str">
        <f t="array" ref="C23">IFERROR(XLOOKUP(A23, BASE!E:E, BASE!C:C), "")
</f>
        <v/>
      </c>
      <c r="D23" s="73" t="str">
        <f t="array" ref="D23">IFERROR(XLOOKUP(A23, BASE!E:E, BASE!D:D), "")
</f>
        <v/>
      </c>
      <c r="E23" s="168" t="str">
        <f t="array" ref="E23">IFERROR(XLOOKUP(A23, BASE!E:E, BASE!H:H), "")
</f>
        <v/>
      </c>
      <c r="F23" s="178"/>
      <c r="G23" s="178"/>
      <c r="H23" s="178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146"/>
      <c r="B24" s="73" t="str">
        <f t="array" ref="B24">IFERROR(XLOOKUP(A24, BASE!E:E, BASE!B:B), "")
</f>
        <v/>
      </c>
      <c r="C24" s="73" t="str">
        <f t="array" ref="C24">IFERROR(XLOOKUP(A24, BASE!E:E, BASE!C:C), "")
</f>
        <v/>
      </c>
      <c r="D24" s="73" t="str">
        <f t="array" ref="D24">IFERROR(XLOOKUP(A24, BASE!E:E, BASE!D:D), "")
</f>
        <v/>
      </c>
      <c r="E24" s="168" t="str">
        <f t="array" ref="E24">IFERROR(XLOOKUP(A24, BASE!E:E, BASE!H:H), "")
</f>
        <v/>
      </c>
      <c r="F24" s="178"/>
      <c r="G24" s="178"/>
      <c r="H24" s="178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146"/>
      <c r="B25" s="73" t="str">
        <f t="array" ref="B25">IFERROR(XLOOKUP(A25, BASE!E:E, BASE!B:B), "")
</f>
        <v/>
      </c>
      <c r="C25" s="73" t="str">
        <f t="array" ref="C25">IFERROR(XLOOKUP(A25, BASE!E:E, BASE!C:C), "")
</f>
        <v/>
      </c>
      <c r="D25" s="73" t="str">
        <f t="array" ref="D25">IFERROR(XLOOKUP(A25, BASE!E:E, BASE!D:D), "")
</f>
        <v/>
      </c>
      <c r="E25" s="168" t="str">
        <f t="array" ref="E25">IFERROR(XLOOKUP(A25, BASE!E:E, BASE!H:H), "")
</f>
        <v/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146"/>
      <c r="B26" s="73" t="str">
        <f t="array" ref="B26">IFERROR(XLOOKUP(A26, BASE!E:E, BASE!B:B), "")
</f>
        <v/>
      </c>
      <c r="C26" s="73" t="str">
        <f t="array" ref="C26">IFERROR(XLOOKUP(A26, BASE!E:E, BASE!C:C), "")
</f>
        <v/>
      </c>
      <c r="D26" s="73" t="str">
        <f t="array" ref="D26">IFERROR(XLOOKUP(A26, BASE!E:E, BASE!D:D), "")
</f>
        <v/>
      </c>
      <c r="E26" s="168" t="str">
        <f t="array" ref="E26">IFERROR(XLOOKUP(A26, BASE!E:E, BASE!H:H), "")
</f>
        <v/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102"/>
      <c r="B27" s="73" t="str">
        <f t="array" ref="B27">IFERROR(XLOOKUP(A27, BASE!E:E, BASE!B:B), "")
</f>
        <v/>
      </c>
      <c r="C27" s="73" t="str">
        <f t="array" ref="C27">IFERROR(XLOOKUP(A27, BASE!E:E, BASE!C:C), "")
</f>
        <v/>
      </c>
      <c r="D27" s="73" t="str">
        <f t="array" ref="D27">IFERROR(XLOOKUP(A27, BASE!E:E, BASE!D:D), "")
</f>
        <v/>
      </c>
      <c r="E27" s="168" t="str">
        <f t="array" ref="E27">IFERROR(XLOOKUP(A27, BASE!E:E, BASE!H:H), "")
</f>
        <v/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146"/>
      <c r="B28" s="73" t="str">
        <f t="array" ref="B28">IFERROR(XLOOKUP(A28, BASE!E:E, BASE!B:B), "")
</f>
        <v/>
      </c>
      <c r="C28" s="73" t="str">
        <f t="array" ref="C28">IFERROR(XLOOKUP(A28, BASE!E:E, BASE!C:C), "")
</f>
        <v/>
      </c>
      <c r="D28" s="73" t="str">
        <f t="array" ref="D28">IFERROR(XLOOKUP(A28, BASE!E:E, BASE!D:D), "")
</f>
        <v/>
      </c>
      <c r="E28" s="168" t="str">
        <f t="array" ref="E28">IFERROR(XLOOKUP(A28, BASE!E:E, BASE!H:H), "")
</f>
        <v/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102"/>
      <c r="B29" s="73" t="str">
        <f t="array" ref="B29">IFERROR(XLOOKUP(A29, BASE!E:E, BASE!B:B), "")
</f>
        <v/>
      </c>
      <c r="C29" s="73" t="str">
        <f t="array" ref="C29">IFERROR(XLOOKUP(A29, BASE!E:E, BASE!C:C), "")
</f>
        <v/>
      </c>
      <c r="D29" s="73" t="str">
        <f t="array" ref="D29">IFERROR(XLOOKUP(A29, BASE!E:E, BASE!D:D), "")
</f>
        <v/>
      </c>
      <c r="E29" s="168" t="str">
        <f t="array" ref="E29">IFERROR(XLOOKUP(A29, BASE!E:E, BASE!H:H), "")
</f>
        <v/>
      </c>
      <c r="F29" s="178"/>
      <c r="G29" s="178"/>
      <c r="H29" s="178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146"/>
      <c r="B30" s="73" t="str">
        <f t="array" ref="B30">IFERROR(XLOOKUP(A30, BASE!E:E, BASE!B:B), "")
</f>
        <v/>
      </c>
      <c r="C30" s="73" t="str">
        <f t="array" ref="C30">IFERROR(XLOOKUP(A30, BASE!E:E, BASE!C:C), "")
</f>
        <v/>
      </c>
      <c r="D30" s="73" t="str">
        <f t="array" ref="D30">IFERROR(XLOOKUP(A30, BASE!E:E, BASE!D:D), "")
</f>
        <v/>
      </c>
      <c r="E30" s="168" t="str">
        <f t="array" ref="E30">IFERROR(XLOOKUP(A30, BASE!E:E, BASE!H:H), "")
</f>
        <v/>
      </c>
      <c r="F30" s="178"/>
      <c r="G30" s="178"/>
      <c r="H30" s="178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146"/>
      <c r="B31" s="73" t="str">
        <f t="array" ref="B31">IFERROR(XLOOKUP(A31, BASE!E:E, BASE!B:B), "")
</f>
        <v/>
      </c>
      <c r="C31" s="73" t="str">
        <f t="array" ref="C31">IFERROR(XLOOKUP(A31, BASE!E:E, BASE!C:C), "")
</f>
        <v/>
      </c>
      <c r="D31" s="73" t="str">
        <f t="array" ref="D31">IFERROR(XLOOKUP(A31, BASE!E:E, BASE!D:D), "")
</f>
        <v/>
      </c>
      <c r="E31" s="168" t="str">
        <f t="array" ref="E31">IFERROR(XLOOKUP(A31, BASE!E:E, BASE!H:H), "")
</f>
        <v/>
      </c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146"/>
      <c r="B32" s="73" t="str">
        <f t="array" ref="B32">IFERROR(XLOOKUP(A32, BASE!E:E, BASE!B:B), "")
</f>
        <v/>
      </c>
      <c r="C32" s="73" t="str">
        <f t="array" ref="C32">IFERROR(XLOOKUP(A32, BASE!E:E, BASE!C:C), "")
</f>
        <v/>
      </c>
      <c r="D32" s="73" t="str">
        <f t="array" ref="D32">IFERROR(XLOOKUP(A32, BASE!E:E, BASE!D:D), "")
</f>
        <v/>
      </c>
      <c r="E32" s="168" t="str">
        <f t="array" ref="E32">IFERROR(XLOOKUP(A32, BASE!E:E, BASE!H:H), "")
</f>
        <v/>
      </c>
      <c r="F32" s="178"/>
      <c r="G32" s="178"/>
      <c r="H32" s="178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146"/>
      <c r="B33" s="73" t="str">
        <f t="array" ref="B33">IFERROR(XLOOKUP(A33, BASE!E:E, BASE!B:B), "")
</f>
        <v/>
      </c>
      <c r="C33" s="73" t="str">
        <f t="array" ref="C33">IFERROR(XLOOKUP(A33, BASE!E:E, BASE!C:C), "")
</f>
        <v/>
      </c>
      <c r="D33" s="73" t="str">
        <f t="array" ref="D33">IFERROR(XLOOKUP(A33, BASE!E:E, BASE!D:D), "")
</f>
        <v/>
      </c>
      <c r="E33" s="168" t="str">
        <f t="array" ref="E33">IFERROR(XLOOKUP(A33, BASE!E:E, BASE!H:H), "")
</f>
        <v/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102"/>
      <c r="B34" s="73" t="str">
        <f t="array" ref="B34">IFERROR(XLOOKUP(A34, BASE!E:E, BASE!B:B), "")
</f>
        <v/>
      </c>
      <c r="C34" s="73" t="str">
        <f t="array" ref="C34">IFERROR(XLOOKUP(A34, BASE!E:E, BASE!C:C), "")
</f>
        <v/>
      </c>
      <c r="D34" s="73" t="str">
        <f t="array" ref="D34">IFERROR(XLOOKUP(A34, BASE!E:E, BASE!D:D), "")
</f>
        <v/>
      </c>
      <c r="E34" s="168" t="str">
        <f t="array" ref="E34">IFERROR(XLOOKUP(A34, BASE!E:E, BASE!H:H), "")
</f>
        <v/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95"/>
      <c r="B35" s="73" t="str">
        <f t="array" ref="B35">IFERROR(XLOOKUP(A35, BASE!E:E, BASE!B:B), "")
</f>
        <v/>
      </c>
      <c r="C35" s="73" t="str">
        <f t="array" ref="C35">IFERROR(XLOOKUP(A35, BASE!E:E, BASE!C:C), "")
</f>
        <v/>
      </c>
      <c r="D35" s="73" t="str">
        <f t="array" ref="D35">IFERROR(XLOOKUP(A35, BASE!E:E, BASE!D:D), "")
</f>
        <v/>
      </c>
      <c r="E35" s="168" t="str">
        <f t="array" ref="E35">IFERROR(XLOOKUP(A35, BASE!E:E, BASE!H:H), "")
</f>
        <v/>
      </c>
      <c r="F35" s="178"/>
      <c r="G35" s="178"/>
      <c r="H35" s="178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95"/>
      <c r="B36" s="73" t="str">
        <f t="array" ref="B36">IFERROR(XLOOKUP(A36, BASE!E:E, BASE!B:B), "")
</f>
        <v/>
      </c>
      <c r="C36" s="73" t="str">
        <f t="array" ref="C36">IFERROR(XLOOKUP(A36, BASE!E:E, BASE!C:C), "")
</f>
        <v/>
      </c>
      <c r="D36" s="73" t="str">
        <f t="array" ref="D36">IFERROR(XLOOKUP(A36, BASE!E:E, BASE!D:D), "")
</f>
        <v/>
      </c>
      <c r="E36" s="168" t="str">
        <f t="array" ref="E36">IFERROR(XLOOKUP(A36, BASE!E:E, BASE!H:H), "")
</f>
        <v/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146"/>
      <c r="B37" s="73" t="str">
        <f t="array" ref="B37">IFERROR(XLOOKUP(A37, BASE!E:E, BASE!B:B), "")
</f>
        <v/>
      </c>
      <c r="C37" s="73" t="str">
        <f t="array" ref="C37">IFERROR(XLOOKUP(A37, BASE!E:E, BASE!C:C), "")
</f>
        <v/>
      </c>
      <c r="D37" s="73" t="str">
        <f t="array" ref="D37">IFERROR(XLOOKUP(A37, BASE!E:E, BASE!D:D), "")
</f>
        <v/>
      </c>
      <c r="E37" s="168" t="str">
        <f t="array" ref="E37">IFERROR(XLOOKUP(A37, BASE!E:E, BASE!H:H), "")
</f>
        <v/>
      </c>
      <c r="F37" s="178"/>
      <c r="G37" s="178"/>
      <c r="H37" s="178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146"/>
      <c r="B38" s="73" t="str">
        <f t="array" ref="B38">IFERROR(XLOOKUP(A38, BASE!E:E, BASE!B:B), "")
</f>
        <v/>
      </c>
      <c r="C38" s="73" t="str">
        <f t="array" ref="C38">IFERROR(XLOOKUP(A38, BASE!E:E, BASE!C:C), "")
</f>
        <v/>
      </c>
      <c r="D38" s="73" t="str">
        <f t="array" ref="D38">IFERROR(XLOOKUP(A38, BASE!E:E, BASE!D:D), "")
</f>
        <v/>
      </c>
      <c r="E38" s="168" t="str">
        <f t="array" ref="E38">IFERROR(XLOOKUP(A38, BASE!E:E, BASE!H:H), "")
</f>
        <v/>
      </c>
      <c r="F38" s="178"/>
      <c r="G38" s="178"/>
      <c r="H38" s="178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146"/>
      <c r="B39" s="73" t="str">
        <f t="array" ref="B39">IFERROR(XLOOKUP(A39, BASE!E:E, BASE!B:B), "")
</f>
        <v/>
      </c>
      <c r="C39" s="73" t="str">
        <f t="array" ref="C39">IFERROR(XLOOKUP(A39, BASE!E:E, BASE!C:C), "")
</f>
        <v/>
      </c>
      <c r="D39" s="73" t="str">
        <f t="array" ref="D39">IFERROR(XLOOKUP(A39, BASE!E:E, BASE!D:D), "")
</f>
        <v/>
      </c>
      <c r="E39" s="168" t="str">
        <f t="array" ref="E39">IFERROR(XLOOKUP(A39, BASE!E:E, BASE!H:H), "")
</f>
        <v/>
      </c>
      <c r="F39" s="178"/>
      <c r="G39" s="178"/>
      <c r="H39" s="178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146"/>
      <c r="B40" s="73" t="str">
        <f t="array" ref="B40">IFERROR(XLOOKUP(A40, BASE!E:E, BASE!B:B), "")
</f>
        <v/>
      </c>
      <c r="C40" s="73" t="str">
        <f t="array" ref="C40">IFERROR(XLOOKUP(A40, BASE!E:E, BASE!C:C), "")
</f>
        <v/>
      </c>
      <c r="D40" s="73" t="str">
        <f t="array" ref="D40">IFERROR(XLOOKUP(A40, BASE!E:E, BASE!D:D), "")
</f>
        <v/>
      </c>
      <c r="E40" s="168" t="str">
        <f t="array" ref="E40">IFERROR(XLOOKUP(A40, BASE!E:E, BASE!H:H), "")
</f>
        <v/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24"/>
      <c r="B41" s="73" t="str">
        <f t="array" ref="B41">IFERROR(XLOOKUP(A41, BASE!E:E, BASE!B:B), "")
</f>
        <v/>
      </c>
      <c r="C41" s="73" t="str">
        <f t="array" ref="C41">IFERROR(XLOOKUP(A41, BASE!E:E, BASE!C:C), "")
</f>
        <v/>
      </c>
      <c r="D41" s="73" t="str">
        <f t="array" ref="D41">IFERROR(XLOOKUP(A41, BASE!E:E, BASE!D:D), "")
</f>
        <v/>
      </c>
      <c r="E41" s="168" t="str">
        <f t="array" ref="E41">IFERROR(XLOOKUP(A41, BASE!E:E, BASE!H:H), "")
</f>
        <v/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24"/>
      <c r="B42" s="73" t="str">
        <f t="array" ref="B42">IFERROR(XLOOKUP(A42, BASE!E:E, BASE!B:B), "")
</f>
        <v/>
      </c>
      <c r="C42" s="73" t="str">
        <f t="array" ref="C42">IFERROR(XLOOKUP(A42, BASE!E:E, BASE!C:C), "")
</f>
        <v/>
      </c>
      <c r="D42" s="73" t="str">
        <f t="array" ref="D42">IFERROR(XLOOKUP(A42, BASE!E:E, BASE!D:D), "")
</f>
        <v/>
      </c>
      <c r="E42" s="168" t="str">
        <f t="array" ref="E42">IFERROR(XLOOKUP(A42, BASE!E:E, BASE!H:H), "")
</f>
        <v/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24"/>
      <c r="B43" s="73" t="str">
        <f t="array" ref="B43">IFERROR(XLOOKUP(A43, BASE!E:E, BASE!B:B), "")
</f>
        <v/>
      </c>
      <c r="C43" s="73" t="str">
        <f t="array" ref="C43">IFERROR(XLOOKUP(A43, BASE!E:E, BASE!C:C), "")
</f>
        <v/>
      </c>
      <c r="D43" s="73" t="str">
        <f t="array" ref="D43">IFERROR(XLOOKUP(A43, BASE!E:E, BASE!D:D), "")
</f>
        <v/>
      </c>
      <c r="E43" s="168" t="str">
        <f t="array" ref="E43">IFERROR(XLOOKUP(A43, BASE!E:E, BASE!H:H), "")
</f>
        <v/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24"/>
      <c r="B44" s="73" t="str">
        <f t="array" ref="B44">IFERROR(XLOOKUP(A44, BASE!E:E, BASE!B:B), "")
</f>
        <v/>
      </c>
      <c r="C44" s="73" t="str">
        <f t="array" ref="C44">IFERROR(XLOOKUP(A44, BASE!E:E, BASE!C:C), "")
</f>
        <v/>
      </c>
      <c r="D44" s="73" t="str">
        <f t="array" ref="D44">IFERROR(XLOOKUP(A44, BASE!E:E, BASE!D:D), "")
</f>
        <v/>
      </c>
      <c r="E44" s="168" t="str">
        <f t="array" ref="E44">IFERROR(XLOOKUP(A44, BASE!E:E, BASE!H:H), "")
</f>
        <v/>
      </c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24"/>
      <c r="B45" s="73" t="str">
        <f t="array" ref="B45">IFERROR(XLOOKUP(A45, BASE!E:E, BASE!B:B), "")
</f>
        <v/>
      </c>
      <c r="C45" s="73" t="str">
        <f t="array" ref="C45">IFERROR(XLOOKUP(A45, BASE!E:E, BASE!C:C), "")
</f>
        <v/>
      </c>
      <c r="D45" s="73" t="str">
        <f t="array" ref="D45">IFERROR(XLOOKUP(A45, BASE!E:E, BASE!D:D), "")
</f>
        <v/>
      </c>
      <c r="E45" s="168" t="str">
        <f t="array" ref="E45">IFERROR(XLOOKUP(A45, BASE!E:E, BASE!H:H), "")
</f>
        <v/>
      </c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24"/>
      <c r="B46" s="73" t="str">
        <f t="array" ref="B46">IFERROR(XLOOKUP(A46, BASE!E:E, BASE!B:B), "")
</f>
        <v/>
      </c>
      <c r="C46" s="73" t="str">
        <f t="array" ref="C46">IFERROR(XLOOKUP(A46, BASE!E:E, BASE!C:C), "")
</f>
        <v/>
      </c>
      <c r="D46" s="73" t="str">
        <f t="array" ref="D46">IFERROR(XLOOKUP(A46, BASE!E:E, BASE!D:D), "")
</f>
        <v/>
      </c>
      <c r="E46" s="168" t="str">
        <f t="array" ref="E46">IFERROR(XLOOKUP(A46, BASE!E:E, BASE!H:H), "")
</f>
        <v/>
      </c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24"/>
      <c r="B47" s="73" t="str">
        <f t="array" ref="B47">IFERROR(XLOOKUP(A47, BASE!E:E, BASE!B:B), "")
</f>
        <v/>
      </c>
      <c r="C47" s="73" t="str">
        <f t="array" ref="C47">IFERROR(XLOOKUP(A47, BASE!E:E, BASE!C:C), "")
</f>
        <v/>
      </c>
      <c r="D47" s="73" t="str">
        <f t="array" ref="D47">IFERROR(XLOOKUP(A47, BASE!E:E, BASE!D:D), "")
</f>
        <v/>
      </c>
      <c r="E47" s="168" t="str">
        <f t="array" ref="E47">IFERROR(XLOOKUP(A47, BASE!E:E, BASE!H:H), "")
</f>
        <v/>
      </c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178"/>
      <c r="B48" s="178"/>
      <c r="C48" s="178"/>
      <c r="D48" s="178"/>
      <c r="E48" s="178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178"/>
      <c r="B49" s="178"/>
      <c r="C49" s="178"/>
      <c r="D49" s="178"/>
      <c r="E49" s="178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178"/>
      <c r="B50" s="178"/>
      <c r="C50" s="178"/>
      <c r="D50" s="178"/>
      <c r="E50" s="178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178"/>
      <c r="B51" s="178"/>
      <c r="C51" s="178"/>
      <c r="D51" s="178"/>
      <c r="E51" s="178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178"/>
      <c r="B52" s="178"/>
      <c r="C52" s="178"/>
      <c r="D52" s="178"/>
      <c r="E52" s="178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178"/>
      <c r="B53" s="178"/>
      <c r="C53" s="178"/>
      <c r="D53" s="178"/>
      <c r="E53" s="178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178"/>
      <c r="B54" s="178"/>
      <c r="C54" s="178"/>
      <c r="D54" s="178"/>
      <c r="E54" s="178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178"/>
      <c r="B55" s="178"/>
      <c r="C55" s="178"/>
      <c r="D55" s="178"/>
      <c r="E55" s="178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178"/>
      <c r="B56" s="178"/>
      <c r="C56" s="178"/>
      <c r="D56" s="178"/>
      <c r="E56" s="178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178"/>
      <c r="B57" s="178"/>
      <c r="C57" s="178"/>
      <c r="D57" s="178"/>
      <c r="E57" s="178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178"/>
      <c r="B58" s="178"/>
      <c r="C58" s="178"/>
      <c r="D58" s="178"/>
      <c r="E58" s="178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178"/>
      <c r="B59" s="178"/>
      <c r="C59" s="178"/>
      <c r="D59" s="178"/>
      <c r="E59" s="178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178"/>
      <c r="B60" s="178"/>
      <c r="C60" s="178"/>
      <c r="D60" s="178"/>
      <c r="E60" s="178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178"/>
      <c r="B61" s="178"/>
      <c r="C61" s="178"/>
      <c r="D61" s="178"/>
      <c r="E61" s="178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178"/>
      <c r="B62" s="178"/>
      <c r="C62" s="178"/>
      <c r="D62" s="178"/>
      <c r="E62" s="178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178"/>
      <c r="B63" s="178"/>
      <c r="C63" s="178"/>
      <c r="D63" s="178"/>
      <c r="E63" s="178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178"/>
      <c r="B64" s="178"/>
      <c r="C64" s="178"/>
      <c r="D64" s="178"/>
      <c r="E64" s="178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178"/>
      <c r="B65" s="178"/>
      <c r="C65" s="178"/>
      <c r="D65" s="178"/>
      <c r="E65" s="178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178"/>
      <c r="B66" s="178"/>
      <c r="C66" s="178"/>
      <c r="D66" s="178"/>
      <c r="E66" s="178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178"/>
      <c r="B67" s="178"/>
      <c r="C67" s="178"/>
      <c r="D67" s="178"/>
      <c r="E67" s="178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178"/>
      <c r="B68" s="178"/>
      <c r="C68" s="178"/>
      <c r="D68" s="178"/>
      <c r="E68" s="178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178"/>
      <c r="B69" s="178"/>
      <c r="C69" s="178"/>
      <c r="D69" s="178"/>
      <c r="E69" s="178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178"/>
      <c r="B70" s="178"/>
      <c r="C70" s="178"/>
      <c r="D70" s="178"/>
      <c r="E70" s="178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178"/>
      <c r="B71" s="178"/>
      <c r="C71" s="178"/>
      <c r="D71" s="178"/>
      <c r="E71" s="178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178"/>
      <c r="B72" s="178"/>
      <c r="C72" s="178"/>
      <c r="D72" s="178"/>
      <c r="E72" s="178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178"/>
      <c r="B73" s="178"/>
      <c r="C73" s="178"/>
      <c r="D73" s="178"/>
      <c r="E73" s="178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178"/>
      <c r="B74" s="178"/>
      <c r="C74" s="178"/>
      <c r="D74" s="178"/>
      <c r="E74" s="178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178"/>
      <c r="B75" s="178"/>
      <c r="C75" s="178"/>
      <c r="D75" s="178"/>
      <c r="E75" s="178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178"/>
      <c r="B76" s="178"/>
      <c r="C76" s="178"/>
      <c r="D76" s="178"/>
      <c r="E76" s="178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178"/>
      <c r="B77" s="178"/>
      <c r="C77" s="178"/>
      <c r="D77" s="178"/>
      <c r="E77" s="178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178"/>
      <c r="B78" s="178"/>
      <c r="C78" s="178"/>
      <c r="D78" s="178"/>
      <c r="E78" s="178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178"/>
      <c r="B79" s="178"/>
      <c r="C79" s="178"/>
      <c r="D79" s="178"/>
      <c r="E79" s="178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178"/>
      <c r="B80" s="178"/>
      <c r="C80" s="178"/>
      <c r="D80" s="178"/>
      <c r="E80" s="178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178"/>
      <c r="B81" s="178"/>
      <c r="C81" s="178"/>
      <c r="D81" s="178"/>
      <c r="E81" s="178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178"/>
      <c r="B82" s="178"/>
      <c r="C82" s="178"/>
      <c r="D82" s="178"/>
      <c r="E82" s="178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178"/>
      <c r="B83" s="178"/>
      <c r="C83" s="178"/>
      <c r="D83" s="178"/>
      <c r="E83" s="178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178"/>
      <c r="B84" s="178"/>
      <c r="C84" s="178"/>
      <c r="D84" s="178"/>
      <c r="E84" s="178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178"/>
      <c r="B85" s="178"/>
      <c r="C85" s="178"/>
      <c r="D85" s="178"/>
      <c r="E85" s="178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178"/>
      <c r="B86" s="178"/>
      <c r="C86" s="178"/>
      <c r="D86" s="178"/>
      <c r="E86" s="178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178"/>
      <c r="B87" s="178"/>
      <c r="C87" s="178"/>
      <c r="D87" s="178"/>
      <c r="E87" s="178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178"/>
      <c r="B88" s="178"/>
      <c r="C88" s="178"/>
      <c r="D88" s="178"/>
      <c r="E88" s="178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178"/>
      <c r="B89" s="178"/>
      <c r="C89" s="178"/>
      <c r="D89" s="178"/>
      <c r="E89" s="178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178"/>
      <c r="B90" s="178"/>
      <c r="C90" s="178"/>
      <c r="D90" s="178"/>
      <c r="E90" s="178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178"/>
      <c r="B91" s="178"/>
      <c r="C91" s="178"/>
      <c r="D91" s="178"/>
      <c r="E91" s="178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178"/>
      <c r="B92" s="178"/>
      <c r="C92" s="178"/>
      <c r="D92" s="178"/>
      <c r="E92" s="178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178"/>
      <c r="B93" s="178"/>
      <c r="C93" s="178"/>
      <c r="D93" s="178"/>
      <c r="E93" s="178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178"/>
      <c r="B94" s="178"/>
      <c r="C94" s="178"/>
      <c r="D94" s="178"/>
      <c r="E94" s="178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178"/>
      <c r="B95" s="178"/>
      <c r="C95" s="178"/>
      <c r="D95" s="178"/>
      <c r="E95" s="178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178"/>
      <c r="B96" s="178"/>
      <c r="C96" s="178"/>
      <c r="D96" s="178"/>
      <c r="E96" s="178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178"/>
      <c r="B97" s="178"/>
      <c r="C97" s="178"/>
      <c r="D97" s="178"/>
      <c r="E97" s="178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178"/>
      <c r="B98" s="178"/>
      <c r="C98" s="178"/>
      <c r="D98" s="178"/>
      <c r="E98" s="178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178"/>
      <c r="B99" s="178"/>
      <c r="C99" s="178"/>
      <c r="D99" s="178"/>
      <c r="E99" s="178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178"/>
      <c r="B100" s="178"/>
      <c r="C100" s="178"/>
      <c r="D100" s="178"/>
      <c r="E100" s="178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178"/>
      <c r="B101" s="178"/>
      <c r="C101" s="178"/>
      <c r="D101" s="178"/>
      <c r="E101" s="178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178"/>
      <c r="B102" s="178"/>
      <c r="C102" s="178"/>
      <c r="D102" s="178"/>
      <c r="E102" s="178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178"/>
      <c r="B103" s="178"/>
      <c r="C103" s="178"/>
      <c r="D103" s="178"/>
      <c r="E103" s="178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178"/>
      <c r="B104" s="178"/>
      <c r="C104" s="178"/>
      <c r="D104" s="178"/>
      <c r="E104" s="178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178"/>
      <c r="B105" s="178"/>
      <c r="C105" s="178"/>
      <c r="D105" s="178"/>
      <c r="E105" s="178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178"/>
      <c r="B106" s="178"/>
      <c r="C106" s="178"/>
      <c r="D106" s="178"/>
      <c r="E106" s="178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178"/>
      <c r="B107" s="178"/>
      <c r="C107" s="178"/>
      <c r="D107" s="178"/>
      <c r="E107" s="178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178"/>
      <c r="B108" s="178"/>
      <c r="C108" s="178"/>
      <c r="D108" s="178"/>
      <c r="E108" s="178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178"/>
      <c r="B109" s="178"/>
      <c r="C109" s="178"/>
      <c r="D109" s="178"/>
      <c r="E109" s="178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178"/>
      <c r="B110" s="178"/>
      <c r="C110" s="178"/>
      <c r="D110" s="178"/>
      <c r="E110" s="178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178"/>
      <c r="B111" s="178"/>
      <c r="C111" s="178"/>
      <c r="D111" s="178"/>
      <c r="E111" s="178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178"/>
      <c r="B112" s="178"/>
      <c r="C112" s="178"/>
      <c r="D112" s="178"/>
      <c r="E112" s="178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178"/>
      <c r="B113" s="178"/>
      <c r="C113" s="178"/>
      <c r="D113" s="178"/>
      <c r="E113" s="178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178"/>
      <c r="B114" s="178"/>
      <c r="C114" s="178"/>
      <c r="D114" s="178"/>
      <c r="E114" s="178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178"/>
      <c r="B115" s="178"/>
      <c r="C115" s="178"/>
      <c r="D115" s="178"/>
      <c r="E115" s="178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178"/>
      <c r="B116" s="178"/>
      <c r="C116" s="178"/>
      <c r="D116" s="178"/>
      <c r="E116" s="178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178"/>
      <c r="B117" s="178"/>
      <c r="C117" s="178"/>
      <c r="D117" s="178"/>
      <c r="E117" s="178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178"/>
      <c r="B118" s="178"/>
      <c r="C118" s="178"/>
      <c r="D118" s="178"/>
      <c r="E118" s="178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178"/>
      <c r="B119" s="178"/>
      <c r="C119" s="178"/>
      <c r="D119" s="178"/>
      <c r="E119" s="178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178"/>
      <c r="B120" s="178"/>
      <c r="C120" s="178"/>
      <c r="D120" s="178"/>
      <c r="E120" s="178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178"/>
      <c r="B121" s="178"/>
      <c r="C121" s="178"/>
      <c r="D121" s="178"/>
      <c r="E121" s="178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178"/>
      <c r="B122" s="178"/>
      <c r="C122" s="178"/>
      <c r="D122" s="178"/>
      <c r="E122" s="178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178"/>
      <c r="B123" s="178"/>
      <c r="C123" s="178"/>
      <c r="D123" s="178"/>
      <c r="E123" s="178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178"/>
      <c r="B124" s="178"/>
      <c r="C124" s="178"/>
      <c r="D124" s="178"/>
      <c r="E124" s="178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178"/>
      <c r="B125" s="178"/>
      <c r="C125" s="178"/>
      <c r="D125" s="178"/>
      <c r="E125" s="178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178"/>
      <c r="B126" s="178"/>
      <c r="C126" s="178"/>
      <c r="D126" s="178"/>
      <c r="E126" s="178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178"/>
      <c r="B127" s="178"/>
      <c r="C127" s="178"/>
      <c r="D127" s="178"/>
      <c r="E127" s="178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178"/>
      <c r="B128" s="178"/>
      <c r="C128" s="178"/>
      <c r="D128" s="178"/>
      <c r="E128" s="178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178"/>
      <c r="B129" s="178"/>
      <c r="C129" s="178"/>
      <c r="D129" s="178"/>
      <c r="E129" s="178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178"/>
      <c r="B130" s="178"/>
      <c r="C130" s="178"/>
      <c r="D130" s="178"/>
      <c r="E130" s="178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178"/>
      <c r="B131" s="178"/>
      <c r="C131" s="178"/>
      <c r="D131" s="178"/>
      <c r="E131" s="178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178"/>
      <c r="B132" s="178"/>
      <c r="C132" s="178"/>
      <c r="D132" s="178"/>
      <c r="E132" s="178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178"/>
      <c r="B133" s="178"/>
      <c r="C133" s="178"/>
      <c r="D133" s="178"/>
      <c r="E133" s="178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178"/>
      <c r="B134" s="178"/>
      <c r="C134" s="178"/>
      <c r="D134" s="178"/>
      <c r="E134" s="178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178"/>
      <c r="B135" s="178"/>
      <c r="C135" s="178"/>
      <c r="D135" s="178"/>
      <c r="E135" s="178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178"/>
      <c r="B136" s="178"/>
      <c r="C136" s="178"/>
      <c r="D136" s="178"/>
      <c r="E136" s="178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178"/>
      <c r="B137" s="178"/>
      <c r="C137" s="178"/>
      <c r="D137" s="178"/>
      <c r="E137" s="178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178"/>
      <c r="B138" s="178"/>
      <c r="C138" s="178"/>
      <c r="D138" s="178"/>
      <c r="E138" s="178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178"/>
      <c r="B139" s="178"/>
      <c r="C139" s="178"/>
      <c r="D139" s="178"/>
      <c r="E139" s="178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178"/>
      <c r="B140" s="178"/>
      <c r="C140" s="178"/>
      <c r="D140" s="178"/>
      <c r="E140" s="178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178"/>
      <c r="B141" s="178"/>
      <c r="C141" s="178"/>
      <c r="D141" s="178"/>
      <c r="E141" s="178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178"/>
      <c r="B142" s="178"/>
      <c r="C142" s="178"/>
      <c r="D142" s="178"/>
      <c r="E142" s="178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178"/>
      <c r="B143" s="178"/>
      <c r="C143" s="178"/>
      <c r="D143" s="178"/>
      <c r="E143" s="178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178"/>
      <c r="B144" s="178"/>
      <c r="C144" s="178"/>
      <c r="D144" s="178"/>
      <c r="E144" s="178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178"/>
      <c r="B145" s="178"/>
      <c r="C145" s="178"/>
      <c r="D145" s="178"/>
      <c r="E145" s="178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178"/>
      <c r="B146" s="178"/>
      <c r="C146" s="178"/>
      <c r="D146" s="178"/>
      <c r="E146" s="178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178"/>
      <c r="B147" s="178"/>
      <c r="C147" s="178"/>
      <c r="D147" s="178"/>
      <c r="E147" s="178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178"/>
      <c r="B148" s="178"/>
      <c r="C148" s="178"/>
      <c r="D148" s="178"/>
      <c r="E148" s="178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178"/>
      <c r="B149" s="178"/>
      <c r="C149" s="178"/>
      <c r="D149" s="178"/>
      <c r="E149" s="178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178"/>
      <c r="B150" s="178"/>
      <c r="C150" s="178"/>
      <c r="D150" s="178"/>
      <c r="E150" s="178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178"/>
      <c r="B151" s="178"/>
      <c r="C151" s="178"/>
      <c r="D151" s="178"/>
      <c r="E151" s="178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178"/>
      <c r="B152" s="178"/>
      <c r="C152" s="178"/>
      <c r="D152" s="178"/>
      <c r="E152" s="178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178"/>
      <c r="B153" s="178"/>
      <c r="C153" s="178"/>
      <c r="D153" s="178"/>
      <c r="E153" s="178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178"/>
      <c r="B154" s="178"/>
      <c r="C154" s="178"/>
      <c r="D154" s="178"/>
      <c r="E154" s="178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178"/>
      <c r="B155" s="178"/>
      <c r="C155" s="178"/>
      <c r="D155" s="178"/>
      <c r="E155" s="178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178"/>
      <c r="B156" s="178"/>
      <c r="C156" s="178"/>
      <c r="D156" s="178"/>
      <c r="E156" s="178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178"/>
      <c r="B157" s="178"/>
      <c r="C157" s="178"/>
      <c r="D157" s="178"/>
      <c r="E157" s="178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178"/>
      <c r="B158" s="178"/>
      <c r="C158" s="178"/>
      <c r="D158" s="178"/>
      <c r="E158" s="178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178"/>
      <c r="B159" s="178"/>
      <c r="C159" s="178"/>
      <c r="D159" s="178"/>
      <c r="E159" s="178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178"/>
      <c r="B160" s="178"/>
      <c r="C160" s="178"/>
      <c r="D160" s="178"/>
      <c r="E160" s="178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178"/>
      <c r="B161" s="178"/>
      <c r="C161" s="178"/>
      <c r="D161" s="178"/>
      <c r="E161" s="178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178"/>
      <c r="B162" s="178"/>
      <c r="C162" s="178"/>
      <c r="D162" s="178"/>
      <c r="E162" s="178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178"/>
      <c r="B163" s="178"/>
      <c r="C163" s="178"/>
      <c r="D163" s="178"/>
      <c r="E163" s="178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178"/>
      <c r="B164" s="178"/>
      <c r="C164" s="178"/>
      <c r="D164" s="178"/>
      <c r="E164" s="178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178"/>
      <c r="B165" s="178"/>
      <c r="C165" s="178"/>
      <c r="D165" s="178"/>
      <c r="E165" s="178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178"/>
      <c r="B166" s="178"/>
      <c r="C166" s="178"/>
      <c r="D166" s="178"/>
      <c r="E166" s="178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178"/>
      <c r="B167" s="178"/>
      <c r="C167" s="178"/>
      <c r="D167" s="178"/>
      <c r="E167" s="178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178"/>
      <c r="B168" s="178"/>
      <c r="C168" s="178"/>
      <c r="D168" s="178"/>
      <c r="E168" s="178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178"/>
      <c r="B169" s="178"/>
      <c r="C169" s="178"/>
      <c r="D169" s="178"/>
      <c r="E169" s="178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178"/>
      <c r="B170" s="178"/>
      <c r="C170" s="178"/>
      <c r="D170" s="178"/>
      <c r="E170" s="178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178"/>
      <c r="B171" s="178"/>
      <c r="C171" s="178"/>
      <c r="D171" s="178"/>
      <c r="E171" s="178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178"/>
      <c r="B172" s="178"/>
      <c r="C172" s="178"/>
      <c r="D172" s="178"/>
      <c r="E172" s="178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178"/>
      <c r="B173" s="178"/>
      <c r="C173" s="178"/>
      <c r="D173" s="178"/>
      <c r="E173" s="178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178"/>
      <c r="B174" s="178"/>
      <c r="C174" s="178"/>
      <c r="D174" s="178"/>
      <c r="E174" s="178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178"/>
      <c r="B175" s="178"/>
      <c r="C175" s="178"/>
      <c r="D175" s="178"/>
      <c r="E175" s="178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178"/>
      <c r="B176" s="178"/>
      <c r="C176" s="178"/>
      <c r="D176" s="178"/>
      <c r="E176" s="178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178"/>
      <c r="B177" s="178"/>
      <c r="C177" s="178"/>
      <c r="D177" s="178"/>
      <c r="E177" s="178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178"/>
      <c r="B178" s="178"/>
      <c r="C178" s="178"/>
      <c r="D178" s="178"/>
      <c r="E178" s="178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178"/>
      <c r="B179" s="178"/>
      <c r="C179" s="178"/>
      <c r="D179" s="178"/>
      <c r="E179" s="178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178"/>
      <c r="B180" s="178"/>
      <c r="C180" s="178"/>
      <c r="D180" s="178"/>
      <c r="E180" s="178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178"/>
      <c r="B181" s="178"/>
      <c r="C181" s="178"/>
      <c r="D181" s="178"/>
      <c r="E181" s="178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178"/>
      <c r="B182" s="178"/>
      <c r="C182" s="178"/>
      <c r="D182" s="178"/>
      <c r="E182" s="178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178"/>
      <c r="B183" s="178"/>
      <c r="C183" s="178"/>
      <c r="D183" s="178"/>
      <c r="E183" s="178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178"/>
      <c r="B184" s="178"/>
      <c r="C184" s="178"/>
      <c r="D184" s="178"/>
      <c r="E184" s="178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178"/>
      <c r="B185" s="178"/>
      <c r="C185" s="178"/>
      <c r="D185" s="178"/>
      <c r="E185" s="178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178"/>
      <c r="B186" s="178"/>
      <c r="C186" s="178"/>
      <c r="D186" s="178"/>
      <c r="E186" s="178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178"/>
      <c r="B187" s="178"/>
      <c r="C187" s="178"/>
      <c r="D187" s="178"/>
      <c r="E187" s="178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178"/>
      <c r="B188" s="178"/>
      <c r="C188" s="178"/>
      <c r="D188" s="178"/>
      <c r="E188" s="178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178"/>
      <c r="B189" s="178"/>
      <c r="C189" s="178"/>
      <c r="D189" s="178"/>
      <c r="E189" s="178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178"/>
      <c r="B190" s="178"/>
      <c r="C190" s="178"/>
      <c r="D190" s="178"/>
      <c r="E190" s="178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178"/>
      <c r="B191" s="178"/>
      <c r="C191" s="178"/>
      <c r="D191" s="178"/>
      <c r="E191" s="178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178"/>
      <c r="B192" s="178"/>
      <c r="C192" s="178"/>
      <c r="D192" s="178"/>
      <c r="E192" s="178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178"/>
      <c r="B193" s="178"/>
      <c r="C193" s="178"/>
      <c r="D193" s="178"/>
      <c r="E193" s="178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178"/>
      <c r="B194" s="178"/>
      <c r="C194" s="178"/>
      <c r="D194" s="178"/>
      <c r="E194" s="178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178"/>
      <c r="B195" s="178"/>
      <c r="C195" s="178"/>
      <c r="D195" s="178"/>
      <c r="E195" s="178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178"/>
      <c r="B196" s="178"/>
      <c r="C196" s="178"/>
      <c r="D196" s="178"/>
      <c r="E196" s="178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178"/>
      <c r="B197" s="178"/>
      <c r="C197" s="178"/>
      <c r="D197" s="178"/>
      <c r="E197" s="178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178"/>
      <c r="B198" s="178"/>
      <c r="C198" s="178"/>
      <c r="D198" s="178"/>
      <c r="E198" s="178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178"/>
      <c r="B199" s="178"/>
      <c r="C199" s="178"/>
      <c r="D199" s="178"/>
      <c r="E199" s="178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178"/>
      <c r="B200" s="178"/>
      <c r="C200" s="178"/>
      <c r="D200" s="178"/>
      <c r="E200" s="178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178"/>
      <c r="B201" s="178"/>
      <c r="C201" s="178"/>
      <c r="D201" s="178"/>
      <c r="E201" s="178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178"/>
      <c r="B202" s="178"/>
      <c r="C202" s="178"/>
      <c r="D202" s="178"/>
      <c r="E202" s="178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178"/>
      <c r="B203" s="178"/>
      <c r="C203" s="178"/>
      <c r="D203" s="178"/>
      <c r="E203" s="178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178"/>
      <c r="B204" s="178"/>
      <c r="C204" s="178"/>
      <c r="D204" s="178"/>
      <c r="E204" s="178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178"/>
      <c r="B205" s="178"/>
      <c r="C205" s="178"/>
      <c r="D205" s="178"/>
      <c r="E205" s="178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178"/>
      <c r="B206" s="178"/>
      <c r="C206" s="178"/>
      <c r="D206" s="178"/>
      <c r="E206" s="178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178"/>
      <c r="B207" s="178"/>
      <c r="C207" s="178"/>
      <c r="D207" s="178"/>
      <c r="E207" s="178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178"/>
      <c r="B208" s="178"/>
      <c r="C208" s="178"/>
      <c r="D208" s="178"/>
      <c r="E208" s="178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178"/>
      <c r="B209" s="178"/>
      <c r="C209" s="178"/>
      <c r="D209" s="178"/>
      <c r="E209" s="178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178"/>
      <c r="B210" s="178"/>
      <c r="C210" s="178"/>
      <c r="D210" s="178"/>
      <c r="E210" s="178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178"/>
      <c r="B211" s="178"/>
      <c r="C211" s="178"/>
      <c r="D211" s="178"/>
      <c r="E211" s="178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178"/>
      <c r="B212" s="178"/>
      <c r="C212" s="178"/>
      <c r="D212" s="178"/>
      <c r="E212" s="178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178"/>
      <c r="B213" s="178"/>
      <c r="C213" s="178"/>
      <c r="D213" s="178"/>
      <c r="E213" s="178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178"/>
      <c r="B214" s="178"/>
      <c r="C214" s="178"/>
      <c r="D214" s="178"/>
      <c r="E214" s="178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178"/>
      <c r="B215" s="178"/>
      <c r="C215" s="178"/>
      <c r="D215" s="178"/>
      <c r="E215" s="178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178"/>
      <c r="B216" s="178"/>
      <c r="C216" s="178"/>
      <c r="D216" s="178"/>
      <c r="E216" s="178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178"/>
      <c r="B217" s="178"/>
      <c r="C217" s="178"/>
      <c r="D217" s="178"/>
      <c r="E217" s="178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178"/>
      <c r="B218" s="178"/>
      <c r="C218" s="178"/>
      <c r="D218" s="178"/>
      <c r="E218" s="178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178"/>
      <c r="B219" s="178"/>
      <c r="C219" s="178"/>
      <c r="D219" s="178"/>
      <c r="E219" s="178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178"/>
      <c r="B220" s="178"/>
      <c r="C220" s="178"/>
      <c r="D220" s="178"/>
      <c r="E220" s="178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178"/>
      <c r="B221" s="178"/>
      <c r="C221" s="178"/>
      <c r="D221" s="178"/>
      <c r="E221" s="178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178"/>
      <c r="B222" s="178"/>
      <c r="C222" s="178"/>
      <c r="D222" s="178"/>
      <c r="E222" s="178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178"/>
      <c r="B223" s="178"/>
      <c r="C223" s="178"/>
      <c r="D223" s="178"/>
      <c r="E223" s="178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178"/>
      <c r="B224" s="178"/>
      <c r="C224" s="178"/>
      <c r="D224" s="178"/>
      <c r="E224" s="178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178"/>
      <c r="B225" s="178"/>
      <c r="C225" s="178"/>
      <c r="D225" s="178"/>
      <c r="E225" s="178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178"/>
      <c r="B226" s="178"/>
      <c r="C226" s="178"/>
      <c r="D226" s="178"/>
      <c r="E226" s="178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178"/>
      <c r="B227" s="178"/>
      <c r="C227" s="178"/>
      <c r="D227" s="178"/>
      <c r="E227" s="178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178"/>
      <c r="B228" s="178"/>
      <c r="C228" s="178"/>
      <c r="D228" s="178"/>
      <c r="E228" s="178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178"/>
      <c r="B229" s="178"/>
      <c r="C229" s="178"/>
      <c r="D229" s="178"/>
      <c r="E229" s="178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178"/>
      <c r="B230" s="178"/>
      <c r="C230" s="178"/>
      <c r="D230" s="178"/>
      <c r="E230" s="178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178"/>
      <c r="B231" s="178"/>
      <c r="C231" s="178"/>
      <c r="D231" s="178"/>
      <c r="E231" s="178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178"/>
      <c r="B232" s="178"/>
      <c r="C232" s="178"/>
      <c r="D232" s="178"/>
      <c r="E232" s="178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178"/>
      <c r="B233" s="178"/>
      <c r="C233" s="178"/>
      <c r="D233" s="178"/>
      <c r="E233" s="178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178"/>
      <c r="B234" s="178"/>
      <c r="C234" s="178"/>
      <c r="D234" s="178"/>
      <c r="E234" s="178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178"/>
      <c r="B235" s="178"/>
      <c r="C235" s="178"/>
      <c r="D235" s="178"/>
      <c r="E235" s="178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178"/>
      <c r="B236" s="178"/>
      <c r="C236" s="178"/>
      <c r="D236" s="178"/>
      <c r="E236" s="178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178"/>
      <c r="B237" s="178"/>
      <c r="C237" s="178"/>
      <c r="D237" s="178"/>
      <c r="E237" s="178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178"/>
      <c r="B238" s="178"/>
      <c r="C238" s="178"/>
      <c r="D238" s="178"/>
      <c r="E238" s="178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178"/>
      <c r="B239" s="178"/>
      <c r="C239" s="178"/>
      <c r="D239" s="178"/>
      <c r="E239" s="178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178"/>
      <c r="B240" s="178"/>
      <c r="C240" s="178"/>
      <c r="D240" s="178"/>
      <c r="E240" s="178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178"/>
      <c r="B241" s="178"/>
      <c r="C241" s="178"/>
      <c r="D241" s="178"/>
      <c r="E241" s="178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178"/>
      <c r="B242" s="178"/>
      <c r="C242" s="178"/>
      <c r="D242" s="178"/>
      <c r="E242" s="178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178"/>
      <c r="B243" s="178"/>
      <c r="C243" s="178"/>
      <c r="D243" s="178"/>
      <c r="E243" s="178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178"/>
      <c r="B244" s="178"/>
      <c r="C244" s="178"/>
      <c r="D244" s="178"/>
      <c r="E244" s="178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178"/>
      <c r="B245" s="178"/>
      <c r="C245" s="178"/>
      <c r="D245" s="178"/>
      <c r="E245" s="178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178"/>
      <c r="B246" s="178"/>
      <c r="C246" s="178"/>
      <c r="D246" s="178"/>
      <c r="E246" s="178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178"/>
      <c r="B247" s="178"/>
      <c r="C247" s="178"/>
      <c r="D247" s="178"/>
      <c r="E247" s="178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178"/>
      <c r="B248" s="178"/>
      <c r="C248" s="178"/>
      <c r="D248" s="178"/>
      <c r="E248" s="178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178"/>
      <c r="B249" s="178"/>
      <c r="C249" s="178"/>
      <c r="D249" s="178"/>
      <c r="E249" s="178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178"/>
      <c r="B250" s="178"/>
      <c r="C250" s="178"/>
      <c r="D250" s="178"/>
      <c r="E250" s="178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178"/>
      <c r="B251" s="178"/>
      <c r="C251" s="178"/>
      <c r="D251" s="178"/>
      <c r="E251" s="178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178"/>
      <c r="B252" s="178"/>
      <c r="C252" s="178"/>
      <c r="D252" s="178"/>
      <c r="E252" s="178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178"/>
      <c r="B253" s="178"/>
      <c r="C253" s="178"/>
      <c r="D253" s="178"/>
      <c r="E253" s="178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178"/>
      <c r="B254" s="178"/>
      <c r="C254" s="178"/>
      <c r="D254" s="178"/>
      <c r="E254" s="178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178"/>
      <c r="B255" s="178"/>
      <c r="C255" s="178"/>
      <c r="D255" s="178"/>
      <c r="E255" s="178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178"/>
      <c r="B256" s="178"/>
      <c r="C256" s="178"/>
      <c r="D256" s="178"/>
      <c r="E256" s="178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178"/>
      <c r="B257" s="178"/>
      <c r="C257" s="178"/>
      <c r="D257" s="178"/>
      <c r="E257" s="178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178"/>
      <c r="B258" s="178"/>
      <c r="C258" s="178"/>
      <c r="D258" s="178"/>
      <c r="E258" s="178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178"/>
      <c r="B259" s="178"/>
      <c r="C259" s="178"/>
      <c r="D259" s="178"/>
      <c r="E259" s="178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178"/>
      <c r="B260" s="178"/>
      <c r="C260" s="178"/>
      <c r="D260" s="178"/>
      <c r="E260" s="178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178"/>
      <c r="B261" s="178"/>
      <c r="C261" s="178"/>
      <c r="D261" s="178"/>
      <c r="E261" s="178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178"/>
      <c r="B262" s="178"/>
      <c r="C262" s="178"/>
      <c r="D262" s="178"/>
      <c r="E262" s="178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178"/>
      <c r="B263" s="178"/>
      <c r="C263" s="178"/>
      <c r="D263" s="178"/>
      <c r="E263" s="178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178"/>
      <c r="B264" s="178"/>
      <c r="C264" s="178"/>
      <c r="D264" s="178"/>
      <c r="E264" s="178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178"/>
      <c r="B265" s="178"/>
      <c r="C265" s="178"/>
      <c r="D265" s="178"/>
      <c r="E265" s="178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178"/>
      <c r="B266" s="178"/>
      <c r="C266" s="178"/>
      <c r="D266" s="178"/>
      <c r="E266" s="178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178"/>
      <c r="B267" s="178"/>
      <c r="C267" s="178"/>
      <c r="D267" s="178"/>
      <c r="E267" s="178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178"/>
      <c r="B268" s="178"/>
      <c r="C268" s="178"/>
      <c r="D268" s="178"/>
      <c r="E268" s="178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178"/>
      <c r="B269" s="178"/>
      <c r="C269" s="178"/>
      <c r="D269" s="178"/>
      <c r="E269" s="178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178"/>
      <c r="B270" s="178"/>
      <c r="C270" s="178"/>
      <c r="D270" s="178"/>
      <c r="E270" s="178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178"/>
      <c r="B271" s="178"/>
      <c r="C271" s="178"/>
      <c r="D271" s="178"/>
      <c r="E271" s="178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178"/>
      <c r="B272" s="178"/>
      <c r="C272" s="178"/>
      <c r="D272" s="178"/>
      <c r="E272" s="178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178"/>
      <c r="B273" s="178"/>
      <c r="C273" s="178"/>
      <c r="D273" s="178"/>
      <c r="E273" s="178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178"/>
      <c r="B274" s="178"/>
      <c r="C274" s="178"/>
      <c r="D274" s="178"/>
      <c r="E274" s="178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178"/>
      <c r="B275" s="178"/>
      <c r="C275" s="178"/>
      <c r="D275" s="178"/>
      <c r="E275" s="178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178"/>
      <c r="B276" s="178"/>
      <c r="C276" s="178"/>
      <c r="D276" s="178"/>
      <c r="E276" s="178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178"/>
      <c r="B277" s="178"/>
      <c r="C277" s="178"/>
      <c r="D277" s="178"/>
      <c r="E277" s="178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178"/>
      <c r="B278" s="178"/>
      <c r="C278" s="178"/>
      <c r="D278" s="178"/>
      <c r="E278" s="178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178"/>
      <c r="B279" s="178"/>
      <c r="C279" s="178"/>
      <c r="D279" s="178"/>
      <c r="E279" s="178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178"/>
      <c r="B280" s="178"/>
      <c r="C280" s="178"/>
      <c r="D280" s="178"/>
      <c r="E280" s="178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178"/>
      <c r="B281" s="178"/>
      <c r="C281" s="178"/>
      <c r="D281" s="178"/>
      <c r="E281" s="178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178"/>
      <c r="B282" s="178"/>
      <c r="C282" s="178"/>
      <c r="D282" s="178"/>
      <c r="E282" s="178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178"/>
      <c r="B283" s="178"/>
      <c r="C283" s="178"/>
      <c r="D283" s="178"/>
      <c r="E283" s="178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178"/>
      <c r="B284" s="178"/>
      <c r="C284" s="178"/>
      <c r="D284" s="178"/>
      <c r="E284" s="178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178"/>
      <c r="B285" s="178"/>
      <c r="C285" s="178"/>
      <c r="D285" s="178"/>
      <c r="E285" s="178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178"/>
      <c r="B286" s="178"/>
      <c r="C286" s="178"/>
      <c r="D286" s="178"/>
      <c r="E286" s="178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178"/>
      <c r="B287" s="178"/>
      <c r="C287" s="178"/>
      <c r="D287" s="178"/>
      <c r="E287" s="178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178"/>
      <c r="B288" s="178"/>
      <c r="C288" s="178"/>
      <c r="D288" s="178"/>
      <c r="E288" s="178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178"/>
      <c r="B289" s="178"/>
      <c r="C289" s="178"/>
      <c r="D289" s="178"/>
      <c r="E289" s="178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178"/>
      <c r="B290" s="178"/>
      <c r="C290" s="178"/>
      <c r="D290" s="178"/>
      <c r="E290" s="178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178"/>
      <c r="B291" s="178"/>
      <c r="C291" s="178"/>
      <c r="D291" s="178"/>
      <c r="E291" s="178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178"/>
      <c r="B292" s="178"/>
      <c r="C292" s="178"/>
      <c r="D292" s="178"/>
      <c r="E292" s="178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178"/>
      <c r="B293" s="178"/>
      <c r="C293" s="178"/>
      <c r="D293" s="178"/>
      <c r="E293" s="178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178"/>
      <c r="B294" s="178"/>
      <c r="C294" s="178"/>
      <c r="D294" s="178"/>
      <c r="E294" s="178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178"/>
      <c r="B295" s="178"/>
      <c r="C295" s="178"/>
      <c r="D295" s="178"/>
      <c r="E295" s="178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178"/>
      <c r="B296" s="178"/>
      <c r="C296" s="178"/>
      <c r="D296" s="178"/>
      <c r="E296" s="178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178"/>
      <c r="B297" s="178"/>
      <c r="C297" s="178"/>
      <c r="D297" s="178"/>
      <c r="E297" s="178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178"/>
      <c r="B298" s="178"/>
      <c r="C298" s="178"/>
      <c r="D298" s="178"/>
      <c r="E298" s="178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178"/>
      <c r="B299" s="178"/>
      <c r="C299" s="178"/>
      <c r="D299" s="178"/>
      <c r="E299" s="178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178"/>
      <c r="B300" s="178"/>
      <c r="C300" s="178"/>
      <c r="D300" s="178"/>
      <c r="E300" s="178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178"/>
      <c r="B301" s="178"/>
      <c r="C301" s="178"/>
      <c r="D301" s="178"/>
      <c r="E301" s="178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178"/>
      <c r="B302" s="178"/>
      <c r="C302" s="178"/>
      <c r="D302" s="178"/>
      <c r="E302" s="178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178"/>
      <c r="B303" s="178"/>
      <c r="C303" s="178"/>
      <c r="D303" s="178"/>
      <c r="E303" s="178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178"/>
      <c r="B304" s="178"/>
      <c r="C304" s="178"/>
      <c r="D304" s="178"/>
      <c r="E304" s="178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178"/>
      <c r="B305" s="178"/>
      <c r="C305" s="178"/>
      <c r="D305" s="178"/>
      <c r="E305" s="178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178"/>
      <c r="B306" s="178"/>
      <c r="C306" s="178"/>
      <c r="D306" s="178"/>
      <c r="E306" s="178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178"/>
      <c r="B307" s="178"/>
      <c r="C307" s="178"/>
      <c r="D307" s="178"/>
      <c r="E307" s="178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178"/>
      <c r="B308" s="178"/>
      <c r="C308" s="178"/>
      <c r="D308" s="178"/>
      <c r="E308" s="178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178"/>
      <c r="B309" s="178"/>
      <c r="C309" s="178"/>
      <c r="D309" s="178"/>
      <c r="E309" s="178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178"/>
      <c r="B310" s="178"/>
      <c r="C310" s="178"/>
      <c r="D310" s="178"/>
      <c r="E310" s="178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178"/>
      <c r="B311" s="178"/>
      <c r="C311" s="178"/>
      <c r="D311" s="178"/>
      <c r="E311" s="178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178"/>
      <c r="B312" s="178"/>
      <c r="C312" s="178"/>
      <c r="D312" s="178"/>
      <c r="E312" s="178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178"/>
      <c r="B313" s="178"/>
      <c r="C313" s="178"/>
      <c r="D313" s="178"/>
      <c r="E313" s="178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178"/>
      <c r="B314" s="178"/>
      <c r="C314" s="178"/>
      <c r="D314" s="178"/>
      <c r="E314" s="178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178"/>
      <c r="B315" s="178"/>
      <c r="C315" s="178"/>
      <c r="D315" s="178"/>
      <c r="E315" s="178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178"/>
      <c r="B316" s="178"/>
      <c r="C316" s="178"/>
      <c r="D316" s="178"/>
      <c r="E316" s="178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178"/>
      <c r="B317" s="178"/>
      <c r="C317" s="178"/>
      <c r="D317" s="178"/>
      <c r="E317" s="178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178"/>
      <c r="B318" s="178"/>
      <c r="C318" s="178"/>
      <c r="D318" s="178"/>
      <c r="E318" s="178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178"/>
      <c r="B319" s="178"/>
      <c r="C319" s="178"/>
      <c r="D319" s="178"/>
      <c r="E319" s="178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178"/>
      <c r="B320" s="178"/>
      <c r="C320" s="178"/>
      <c r="D320" s="178"/>
      <c r="E320" s="178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178"/>
      <c r="B321" s="178"/>
      <c r="C321" s="178"/>
      <c r="D321" s="178"/>
      <c r="E321" s="178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178"/>
      <c r="B322" s="178"/>
      <c r="C322" s="178"/>
      <c r="D322" s="178"/>
      <c r="E322" s="178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178"/>
      <c r="B323" s="178"/>
      <c r="C323" s="178"/>
      <c r="D323" s="178"/>
      <c r="E323" s="178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178"/>
      <c r="B324" s="178"/>
      <c r="C324" s="178"/>
      <c r="D324" s="178"/>
      <c r="E324" s="178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178"/>
      <c r="B325" s="178"/>
      <c r="C325" s="178"/>
      <c r="D325" s="178"/>
      <c r="E325" s="178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178"/>
      <c r="B326" s="178"/>
      <c r="C326" s="178"/>
      <c r="D326" s="178"/>
      <c r="E326" s="178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178"/>
      <c r="B327" s="178"/>
      <c r="C327" s="178"/>
      <c r="D327" s="178"/>
      <c r="E327" s="178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178"/>
      <c r="B328" s="178"/>
      <c r="C328" s="178"/>
      <c r="D328" s="178"/>
      <c r="E328" s="178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178"/>
      <c r="B329" s="178"/>
      <c r="C329" s="178"/>
      <c r="D329" s="178"/>
      <c r="E329" s="178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178"/>
      <c r="B330" s="178"/>
      <c r="C330" s="178"/>
      <c r="D330" s="178"/>
      <c r="E330" s="178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178"/>
      <c r="B331" s="178"/>
      <c r="C331" s="178"/>
      <c r="D331" s="178"/>
      <c r="E331" s="178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178"/>
      <c r="B332" s="178"/>
      <c r="C332" s="178"/>
      <c r="D332" s="178"/>
      <c r="E332" s="178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178"/>
      <c r="B333" s="178"/>
      <c r="C333" s="178"/>
      <c r="D333" s="178"/>
      <c r="E333" s="178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178"/>
      <c r="B334" s="178"/>
      <c r="C334" s="178"/>
      <c r="D334" s="178"/>
      <c r="E334" s="178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178"/>
      <c r="B335" s="178"/>
      <c r="C335" s="178"/>
      <c r="D335" s="178"/>
      <c r="E335" s="178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178"/>
      <c r="B336" s="178"/>
      <c r="C336" s="178"/>
      <c r="D336" s="178"/>
      <c r="E336" s="178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178"/>
      <c r="B337" s="178"/>
      <c r="C337" s="178"/>
      <c r="D337" s="178"/>
      <c r="E337" s="178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178"/>
      <c r="B338" s="178"/>
      <c r="C338" s="178"/>
      <c r="D338" s="178"/>
      <c r="E338" s="178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178"/>
      <c r="B339" s="178"/>
      <c r="C339" s="178"/>
      <c r="D339" s="178"/>
      <c r="E339" s="178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178"/>
      <c r="B340" s="178"/>
      <c r="C340" s="178"/>
      <c r="D340" s="178"/>
      <c r="E340" s="178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178"/>
      <c r="B341" s="178"/>
      <c r="C341" s="178"/>
      <c r="D341" s="178"/>
      <c r="E341" s="178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178"/>
      <c r="B342" s="178"/>
      <c r="C342" s="178"/>
      <c r="D342" s="178"/>
      <c r="E342" s="178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178"/>
      <c r="B343" s="178"/>
      <c r="C343" s="178"/>
      <c r="D343" s="178"/>
      <c r="E343" s="178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178"/>
      <c r="B344" s="178"/>
      <c r="C344" s="178"/>
      <c r="D344" s="178"/>
      <c r="E344" s="178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178"/>
      <c r="B345" s="178"/>
      <c r="C345" s="178"/>
      <c r="D345" s="178"/>
      <c r="E345" s="178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178"/>
      <c r="B346" s="178"/>
      <c r="C346" s="178"/>
      <c r="D346" s="178"/>
      <c r="E346" s="178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178"/>
      <c r="B347" s="178"/>
      <c r="C347" s="178"/>
      <c r="D347" s="178"/>
      <c r="E347" s="178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178"/>
      <c r="B348" s="178"/>
      <c r="C348" s="178"/>
      <c r="D348" s="178"/>
      <c r="E348" s="178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178"/>
      <c r="B349" s="178"/>
      <c r="C349" s="178"/>
      <c r="D349" s="178"/>
      <c r="E349" s="178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178"/>
      <c r="B350" s="178"/>
      <c r="C350" s="178"/>
      <c r="D350" s="178"/>
      <c r="E350" s="178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178"/>
      <c r="B351" s="178"/>
      <c r="C351" s="178"/>
      <c r="D351" s="178"/>
      <c r="E351" s="178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178"/>
      <c r="B352" s="178"/>
      <c r="C352" s="178"/>
      <c r="D352" s="178"/>
      <c r="E352" s="178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178"/>
      <c r="B353" s="178"/>
      <c r="C353" s="178"/>
      <c r="D353" s="178"/>
      <c r="E353" s="178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178"/>
      <c r="B354" s="178"/>
      <c r="C354" s="178"/>
      <c r="D354" s="178"/>
      <c r="E354" s="178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178"/>
      <c r="B355" s="178"/>
      <c r="C355" s="178"/>
      <c r="D355" s="178"/>
      <c r="E355" s="178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178"/>
      <c r="B356" s="178"/>
      <c r="C356" s="178"/>
      <c r="D356" s="178"/>
      <c r="E356" s="178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178"/>
      <c r="B357" s="178"/>
      <c r="C357" s="178"/>
      <c r="D357" s="178"/>
      <c r="E357" s="178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178"/>
      <c r="B358" s="178"/>
      <c r="C358" s="178"/>
      <c r="D358" s="178"/>
      <c r="E358" s="178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178"/>
      <c r="B359" s="178"/>
      <c r="C359" s="178"/>
      <c r="D359" s="178"/>
      <c r="E359" s="178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178"/>
      <c r="B360" s="178"/>
      <c r="C360" s="178"/>
      <c r="D360" s="178"/>
      <c r="E360" s="178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178"/>
      <c r="B361" s="178"/>
      <c r="C361" s="178"/>
      <c r="D361" s="178"/>
      <c r="E361" s="178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178"/>
      <c r="B362" s="178"/>
      <c r="C362" s="178"/>
      <c r="D362" s="178"/>
      <c r="E362" s="178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178"/>
      <c r="B363" s="178"/>
      <c r="C363" s="178"/>
      <c r="D363" s="178"/>
      <c r="E363" s="178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178"/>
      <c r="B364" s="178"/>
      <c r="C364" s="178"/>
      <c r="D364" s="178"/>
      <c r="E364" s="178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178"/>
      <c r="B365" s="178"/>
      <c r="C365" s="178"/>
      <c r="D365" s="178"/>
      <c r="E365" s="178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178"/>
      <c r="B366" s="178"/>
      <c r="C366" s="178"/>
      <c r="D366" s="178"/>
      <c r="E366" s="178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178"/>
      <c r="B367" s="178"/>
      <c r="C367" s="178"/>
      <c r="D367" s="178"/>
      <c r="E367" s="178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178"/>
      <c r="B368" s="178"/>
      <c r="C368" s="178"/>
      <c r="D368" s="178"/>
      <c r="E368" s="178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178"/>
      <c r="B369" s="178"/>
      <c r="C369" s="178"/>
      <c r="D369" s="178"/>
      <c r="E369" s="178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178"/>
      <c r="B370" s="178"/>
      <c r="C370" s="178"/>
      <c r="D370" s="178"/>
      <c r="E370" s="178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178"/>
      <c r="B371" s="178"/>
      <c r="C371" s="178"/>
      <c r="D371" s="178"/>
      <c r="E371" s="178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178"/>
      <c r="B372" s="178"/>
      <c r="C372" s="178"/>
      <c r="D372" s="178"/>
      <c r="E372" s="178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178"/>
      <c r="B373" s="178"/>
      <c r="C373" s="178"/>
      <c r="D373" s="178"/>
      <c r="E373" s="178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178"/>
      <c r="B374" s="178"/>
      <c r="C374" s="178"/>
      <c r="D374" s="178"/>
      <c r="E374" s="178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178"/>
      <c r="B375" s="178"/>
      <c r="C375" s="178"/>
      <c r="D375" s="178"/>
      <c r="E375" s="178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178"/>
      <c r="B376" s="178"/>
      <c r="C376" s="178"/>
      <c r="D376" s="178"/>
      <c r="E376" s="178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178"/>
      <c r="B377" s="178"/>
      <c r="C377" s="178"/>
      <c r="D377" s="178"/>
      <c r="E377" s="178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178"/>
      <c r="B378" s="178"/>
      <c r="C378" s="178"/>
      <c r="D378" s="178"/>
      <c r="E378" s="178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178"/>
      <c r="B379" s="178"/>
      <c r="C379" s="178"/>
      <c r="D379" s="178"/>
      <c r="E379" s="178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178"/>
      <c r="B380" s="178"/>
      <c r="C380" s="178"/>
      <c r="D380" s="178"/>
      <c r="E380" s="178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178"/>
      <c r="B381" s="178"/>
      <c r="C381" s="178"/>
      <c r="D381" s="178"/>
      <c r="E381" s="178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178"/>
      <c r="B382" s="178"/>
      <c r="C382" s="178"/>
      <c r="D382" s="178"/>
      <c r="E382" s="178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178"/>
      <c r="B383" s="178"/>
      <c r="C383" s="178"/>
      <c r="D383" s="178"/>
      <c r="E383" s="178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178"/>
      <c r="B384" s="178"/>
      <c r="C384" s="178"/>
      <c r="D384" s="178"/>
      <c r="E384" s="178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178"/>
      <c r="B385" s="178"/>
      <c r="C385" s="178"/>
      <c r="D385" s="178"/>
      <c r="E385" s="178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178"/>
      <c r="B386" s="178"/>
      <c r="C386" s="178"/>
      <c r="D386" s="178"/>
      <c r="E386" s="178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178"/>
      <c r="B387" s="178"/>
      <c r="C387" s="178"/>
      <c r="D387" s="178"/>
      <c r="E387" s="178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178"/>
      <c r="B388" s="178"/>
      <c r="C388" s="178"/>
      <c r="D388" s="178"/>
      <c r="E388" s="178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178"/>
      <c r="B389" s="178"/>
      <c r="C389" s="178"/>
      <c r="D389" s="178"/>
      <c r="E389" s="178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178"/>
      <c r="B390" s="178"/>
      <c r="C390" s="178"/>
      <c r="D390" s="178"/>
      <c r="E390" s="178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178"/>
      <c r="B391" s="178"/>
      <c r="C391" s="178"/>
      <c r="D391" s="178"/>
      <c r="E391" s="178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178"/>
      <c r="B392" s="178"/>
      <c r="C392" s="178"/>
      <c r="D392" s="178"/>
      <c r="E392" s="178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178"/>
      <c r="B393" s="178"/>
      <c r="C393" s="178"/>
      <c r="D393" s="178"/>
      <c r="E393" s="178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178"/>
      <c r="B394" s="178"/>
      <c r="C394" s="178"/>
      <c r="D394" s="178"/>
      <c r="E394" s="178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178"/>
      <c r="B395" s="178"/>
      <c r="C395" s="178"/>
      <c r="D395" s="178"/>
      <c r="E395" s="178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178"/>
      <c r="B396" s="178"/>
      <c r="C396" s="178"/>
      <c r="D396" s="178"/>
      <c r="E396" s="178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178"/>
      <c r="B397" s="178"/>
      <c r="C397" s="178"/>
      <c r="D397" s="178"/>
      <c r="E397" s="178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178"/>
      <c r="B398" s="178"/>
      <c r="C398" s="178"/>
      <c r="D398" s="178"/>
      <c r="E398" s="178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178"/>
      <c r="B399" s="178"/>
      <c r="C399" s="178"/>
      <c r="D399" s="178"/>
      <c r="E399" s="178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178"/>
      <c r="B400" s="178"/>
      <c r="C400" s="178"/>
      <c r="D400" s="178"/>
      <c r="E400" s="178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178"/>
      <c r="B401" s="178"/>
      <c r="C401" s="178"/>
      <c r="D401" s="178"/>
      <c r="E401" s="178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178"/>
      <c r="B402" s="178"/>
      <c r="C402" s="178"/>
      <c r="D402" s="178"/>
      <c r="E402" s="178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178"/>
      <c r="B403" s="178"/>
      <c r="C403" s="178"/>
      <c r="D403" s="178"/>
      <c r="E403" s="178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178"/>
      <c r="B404" s="178"/>
      <c r="C404" s="178"/>
      <c r="D404" s="178"/>
      <c r="E404" s="178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178"/>
      <c r="B405" s="178"/>
      <c r="C405" s="178"/>
      <c r="D405" s="178"/>
      <c r="E405" s="178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178"/>
      <c r="B406" s="178"/>
      <c r="C406" s="178"/>
      <c r="D406" s="178"/>
      <c r="E406" s="178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178"/>
      <c r="B407" s="178"/>
      <c r="C407" s="178"/>
      <c r="D407" s="178"/>
      <c r="E407" s="178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178"/>
      <c r="B408" s="178"/>
      <c r="C408" s="178"/>
      <c r="D408" s="178"/>
      <c r="E408" s="178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178"/>
      <c r="B409" s="178"/>
      <c r="C409" s="178"/>
      <c r="D409" s="178"/>
      <c r="E409" s="178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178"/>
      <c r="B410" s="178"/>
      <c r="C410" s="178"/>
      <c r="D410" s="178"/>
      <c r="E410" s="178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178"/>
      <c r="B411" s="178"/>
      <c r="C411" s="178"/>
      <c r="D411" s="178"/>
      <c r="E411" s="178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178"/>
      <c r="B412" s="178"/>
      <c r="C412" s="178"/>
      <c r="D412" s="178"/>
      <c r="E412" s="178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178"/>
      <c r="B413" s="178"/>
      <c r="C413" s="178"/>
      <c r="D413" s="178"/>
      <c r="E413" s="178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178"/>
      <c r="B414" s="178"/>
      <c r="C414" s="178"/>
      <c r="D414" s="178"/>
      <c r="E414" s="178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178"/>
      <c r="B415" s="178"/>
      <c r="C415" s="178"/>
      <c r="D415" s="178"/>
      <c r="E415" s="178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178"/>
      <c r="B416" s="178"/>
      <c r="C416" s="178"/>
      <c r="D416" s="178"/>
      <c r="E416" s="178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178"/>
      <c r="B417" s="178"/>
      <c r="C417" s="178"/>
      <c r="D417" s="178"/>
      <c r="E417" s="178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178"/>
      <c r="B418" s="178"/>
      <c r="C418" s="178"/>
      <c r="D418" s="178"/>
      <c r="E418" s="178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178"/>
      <c r="B419" s="178"/>
      <c r="C419" s="178"/>
      <c r="D419" s="178"/>
      <c r="E419" s="178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178"/>
      <c r="B420" s="178"/>
      <c r="C420" s="178"/>
      <c r="D420" s="178"/>
      <c r="E420" s="178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178"/>
      <c r="B421" s="178"/>
      <c r="C421" s="178"/>
      <c r="D421" s="178"/>
      <c r="E421" s="178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178"/>
      <c r="B422" s="178"/>
      <c r="C422" s="178"/>
      <c r="D422" s="178"/>
      <c r="E422" s="178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178"/>
      <c r="B423" s="178"/>
      <c r="C423" s="178"/>
      <c r="D423" s="178"/>
      <c r="E423" s="178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178"/>
      <c r="B424" s="178"/>
      <c r="C424" s="178"/>
      <c r="D424" s="178"/>
      <c r="E424" s="178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178"/>
      <c r="B425" s="178"/>
      <c r="C425" s="178"/>
      <c r="D425" s="178"/>
      <c r="E425" s="178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178"/>
      <c r="B426" s="178"/>
      <c r="C426" s="178"/>
      <c r="D426" s="178"/>
      <c r="E426" s="178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178"/>
      <c r="B427" s="178"/>
      <c r="C427" s="178"/>
      <c r="D427" s="178"/>
      <c r="E427" s="178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178"/>
      <c r="B428" s="178"/>
      <c r="C428" s="178"/>
      <c r="D428" s="178"/>
      <c r="E428" s="178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178"/>
      <c r="B429" s="178"/>
      <c r="C429" s="178"/>
      <c r="D429" s="178"/>
      <c r="E429" s="178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178"/>
      <c r="B430" s="178"/>
      <c r="C430" s="178"/>
      <c r="D430" s="178"/>
      <c r="E430" s="178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178"/>
      <c r="B431" s="178"/>
      <c r="C431" s="178"/>
      <c r="D431" s="178"/>
      <c r="E431" s="178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178"/>
      <c r="B432" s="178"/>
      <c r="C432" s="178"/>
      <c r="D432" s="178"/>
      <c r="E432" s="178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178"/>
      <c r="B433" s="178"/>
      <c r="C433" s="178"/>
      <c r="D433" s="178"/>
      <c r="E433" s="178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178"/>
      <c r="B434" s="178"/>
      <c r="C434" s="178"/>
      <c r="D434" s="178"/>
      <c r="E434" s="178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178"/>
      <c r="B435" s="178"/>
      <c r="C435" s="178"/>
      <c r="D435" s="178"/>
      <c r="E435" s="178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178"/>
      <c r="B436" s="178"/>
      <c r="C436" s="178"/>
      <c r="D436" s="178"/>
      <c r="E436" s="178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178"/>
      <c r="B437" s="178"/>
      <c r="C437" s="178"/>
      <c r="D437" s="178"/>
      <c r="E437" s="178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178"/>
      <c r="B438" s="178"/>
      <c r="C438" s="178"/>
      <c r="D438" s="178"/>
      <c r="E438" s="178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178"/>
      <c r="B439" s="178"/>
      <c r="C439" s="178"/>
      <c r="D439" s="178"/>
      <c r="E439" s="178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178"/>
      <c r="B440" s="178"/>
      <c r="C440" s="178"/>
      <c r="D440" s="178"/>
      <c r="E440" s="178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178"/>
      <c r="B441" s="178"/>
      <c r="C441" s="178"/>
      <c r="D441" s="178"/>
      <c r="E441" s="178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178"/>
      <c r="B442" s="178"/>
      <c r="C442" s="178"/>
      <c r="D442" s="178"/>
      <c r="E442" s="178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178"/>
      <c r="B443" s="178"/>
      <c r="C443" s="178"/>
      <c r="D443" s="178"/>
      <c r="E443" s="178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178"/>
      <c r="B444" s="178"/>
      <c r="C444" s="178"/>
      <c r="D444" s="178"/>
      <c r="E444" s="178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178"/>
      <c r="B445" s="178"/>
      <c r="C445" s="178"/>
      <c r="D445" s="178"/>
      <c r="E445" s="178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178"/>
      <c r="B446" s="178"/>
      <c r="C446" s="178"/>
      <c r="D446" s="178"/>
      <c r="E446" s="178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178"/>
      <c r="B447" s="178"/>
      <c r="C447" s="178"/>
      <c r="D447" s="178"/>
      <c r="E447" s="178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178"/>
      <c r="B448" s="178"/>
      <c r="C448" s="178"/>
      <c r="D448" s="178"/>
      <c r="E448" s="178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178"/>
      <c r="B449" s="178"/>
      <c r="C449" s="178"/>
      <c r="D449" s="178"/>
      <c r="E449" s="178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178"/>
      <c r="B450" s="178"/>
      <c r="C450" s="178"/>
      <c r="D450" s="178"/>
      <c r="E450" s="178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178"/>
      <c r="B451" s="178"/>
      <c r="C451" s="178"/>
      <c r="D451" s="178"/>
      <c r="E451" s="178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178"/>
      <c r="B452" s="178"/>
      <c r="C452" s="178"/>
      <c r="D452" s="178"/>
      <c r="E452" s="178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178"/>
      <c r="B453" s="178"/>
      <c r="C453" s="178"/>
      <c r="D453" s="178"/>
      <c r="E453" s="178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178"/>
      <c r="B454" s="178"/>
      <c r="C454" s="178"/>
      <c r="D454" s="178"/>
      <c r="E454" s="178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178"/>
      <c r="B455" s="178"/>
      <c r="C455" s="178"/>
      <c r="D455" s="178"/>
      <c r="E455" s="178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178"/>
      <c r="B456" s="178"/>
      <c r="C456" s="178"/>
      <c r="D456" s="178"/>
      <c r="E456" s="178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178"/>
      <c r="B457" s="178"/>
      <c r="C457" s="178"/>
      <c r="D457" s="178"/>
      <c r="E457" s="178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178"/>
      <c r="B458" s="178"/>
      <c r="C458" s="178"/>
      <c r="D458" s="178"/>
      <c r="E458" s="178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178"/>
      <c r="B459" s="178"/>
      <c r="C459" s="178"/>
      <c r="D459" s="178"/>
      <c r="E459" s="178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178"/>
      <c r="B460" s="178"/>
      <c r="C460" s="178"/>
      <c r="D460" s="178"/>
      <c r="E460" s="178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178"/>
      <c r="B461" s="178"/>
      <c r="C461" s="178"/>
      <c r="D461" s="178"/>
      <c r="E461" s="178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178"/>
      <c r="B462" s="178"/>
      <c r="C462" s="178"/>
      <c r="D462" s="178"/>
      <c r="E462" s="178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178"/>
      <c r="B463" s="178"/>
      <c r="C463" s="178"/>
      <c r="D463" s="178"/>
      <c r="E463" s="178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178"/>
      <c r="B464" s="178"/>
      <c r="C464" s="178"/>
      <c r="D464" s="178"/>
      <c r="E464" s="178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178"/>
      <c r="B465" s="178"/>
      <c r="C465" s="178"/>
      <c r="D465" s="178"/>
      <c r="E465" s="178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178"/>
      <c r="B466" s="178"/>
      <c r="C466" s="178"/>
      <c r="D466" s="178"/>
      <c r="E466" s="178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178"/>
      <c r="B467" s="178"/>
      <c r="C467" s="178"/>
      <c r="D467" s="178"/>
      <c r="E467" s="178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178"/>
      <c r="B468" s="178"/>
      <c r="C468" s="178"/>
      <c r="D468" s="178"/>
      <c r="E468" s="178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178"/>
      <c r="B469" s="178"/>
      <c r="C469" s="178"/>
      <c r="D469" s="178"/>
      <c r="E469" s="178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178"/>
      <c r="B470" s="178"/>
      <c r="C470" s="178"/>
      <c r="D470" s="178"/>
      <c r="E470" s="178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178"/>
      <c r="B471" s="178"/>
      <c r="C471" s="178"/>
      <c r="D471" s="178"/>
      <c r="E471" s="178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178"/>
      <c r="B472" s="178"/>
      <c r="C472" s="178"/>
      <c r="D472" s="178"/>
      <c r="E472" s="178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178"/>
      <c r="B473" s="178"/>
      <c r="C473" s="178"/>
      <c r="D473" s="178"/>
      <c r="E473" s="178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178"/>
      <c r="B474" s="178"/>
      <c r="C474" s="178"/>
      <c r="D474" s="178"/>
      <c r="E474" s="178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178"/>
      <c r="B475" s="178"/>
      <c r="C475" s="178"/>
      <c r="D475" s="178"/>
      <c r="E475" s="178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178"/>
      <c r="B476" s="178"/>
      <c r="C476" s="178"/>
      <c r="D476" s="178"/>
      <c r="E476" s="178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178"/>
      <c r="B477" s="178"/>
      <c r="C477" s="178"/>
      <c r="D477" s="178"/>
      <c r="E477" s="178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178"/>
      <c r="B478" s="178"/>
      <c r="C478" s="178"/>
      <c r="D478" s="178"/>
      <c r="E478" s="178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178"/>
      <c r="B479" s="178"/>
      <c r="C479" s="178"/>
      <c r="D479" s="178"/>
      <c r="E479" s="178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178"/>
      <c r="B480" s="178"/>
      <c r="C480" s="178"/>
      <c r="D480" s="178"/>
      <c r="E480" s="178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178"/>
      <c r="B481" s="178"/>
      <c r="C481" s="178"/>
      <c r="D481" s="178"/>
      <c r="E481" s="178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178"/>
      <c r="B482" s="178"/>
      <c r="C482" s="178"/>
      <c r="D482" s="178"/>
      <c r="E482" s="178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178"/>
      <c r="B483" s="178"/>
      <c r="C483" s="178"/>
      <c r="D483" s="178"/>
      <c r="E483" s="178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178"/>
      <c r="B484" s="178"/>
      <c r="C484" s="178"/>
      <c r="D484" s="178"/>
      <c r="E484" s="178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178"/>
      <c r="B485" s="178"/>
      <c r="C485" s="178"/>
      <c r="D485" s="178"/>
      <c r="E485" s="178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178"/>
      <c r="B486" s="178"/>
      <c r="C486" s="178"/>
      <c r="D486" s="178"/>
      <c r="E486" s="178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178"/>
      <c r="B487" s="178"/>
      <c r="C487" s="178"/>
      <c r="D487" s="178"/>
      <c r="E487" s="178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178"/>
      <c r="B488" s="178"/>
      <c r="C488" s="178"/>
      <c r="D488" s="178"/>
      <c r="E488" s="178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178"/>
      <c r="B489" s="178"/>
      <c r="C489" s="178"/>
      <c r="D489" s="178"/>
      <c r="E489" s="178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178"/>
      <c r="B490" s="178"/>
      <c r="C490" s="178"/>
      <c r="D490" s="178"/>
      <c r="E490" s="178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178"/>
      <c r="B491" s="178"/>
      <c r="C491" s="178"/>
      <c r="D491" s="178"/>
      <c r="E491" s="178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178"/>
      <c r="B492" s="178"/>
      <c r="C492" s="178"/>
      <c r="D492" s="178"/>
      <c r="E492" s="178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178"/>
      <c r="B493" s="178"/>
      <c r="C493" s="178"/>
      <c r="D493" s="178"/>
      <c r="E493" s="178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178"/>
      <c r="B494" s="178"/>
      <c r="C494" s="178"/>
      <c r="D494" s="178"/>
      <c r="E494" s="178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178"/>
      <c r="B495" s="178"/>
      <c r="C495" s="178"/>
      <c r="D495" s="178"/>
      <c r="E495" s="178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178"/>
      <c r="B496" s="178"/>
      <c r="C496" s="178"/>
      <c r="D496" s="178"/>
      <c r="E496" s="178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178"/>
      <c r="B497" s="178"/>
      <c r="C497" s="178"/>
      <c r="D497" s="178"/>
      <c r="E497" s="178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178"/>
      <c r="B498" s="178"/>
      <c r="C498" s="178"/>
      <c r="D498" s="178"/>
      <c r="E498" s="178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178"/>
      <c r="B499" s="178"/>
      <c r="C499" s="178"/>
      <c r="D499" s="178"/>
      <c r="E499" s="178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178"/>
      <c r="B500" s="178"/>
      <c r="C500" s="178"/>
      <c r="D500" s="178"/>
      <c r="E500" s="178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178"/>
      <c r="B501" s="178"/>
      <c r="C501" s="178"/>
      <c r="D501" s="178"/>
      <c r="E501" s="178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178"/>
      <c r="B502" s="178"/>
      <c r="C502" s="178"/>
      <c r="D502" s="178"/>
      <c r="E502" s="178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178"/>
      <c r="B503" s="178"/>
      <c r="C503" s="178"/>
      <c r="D503" s="178"/>
      <c r="E503" s="178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178"/>
      <c r="B504" s="178"/>
      <c r="C504" s="178"/>
      <c r="D504" s="178"/>
      <c r="E504" s="178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178"/>
      <c r="B505" s="178"/>
      <c r="C505" s="178"/>
      <c r="D505" s="178"/>
      <c r="E505" s="178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178"/>
      <c r="B506" s="178"/>
      <c r="C506" s="178"/>
      <c r="D506" s="178"/>
      <c r="E506" s="178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178"/>
      <c r="B507" s="178"/>
      <c r="C507" s="178"/>
      <c r="D507" s="178"/>
      <c r="E507" s="178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178"/>
      <c r="B508" s="178"/>
      <c r="C508" s="178"/>
      <c r="D508" s="178"/>
      <c r="E508" s="178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178"/>
      <c r="B509" s="178"/>
      <c r="C509" s="178"/>
      <c r="D509" s="178"/>
      <c r="E509" s="178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178"/>
      <c r="B510" s="178"/>
      <c r="C510" s="178"/>
      <c r="D510" s="178"/>
      <c r="E510" s="178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178"/>
      <c r="B511" s="178"/>
      <c r="C511" s="178"/>
      <c r="D511" s="178"/>
      <c r="E511" s="178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178"/>
      <c r="B512" s="178"/>
      <c r="C512" s="178"/>
      <c r="D512" s="178"/>
      <c r="E512" s="178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178"/>
      <c r="B513" s="178"/>
      <c r="C513" s="178"/>
      <c r="D513" s="178"/>
      <c r="E513" s="178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178"/>
      <c r="B514" s="178"/>
      <c r="C514" s="178"/>
      <c r="D514" s="178"/>
      <c r="E514" s="178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178"/>
      <c r="B515" s="178"/>
      <c r="C515" s="178"/>
      <c r="D515" s="178"/>
      <c r="E515" s="178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178"/>
      <c r="B516" s="178"/>
      <c r="C516" s="178"/>
      <c r="D516" s="178"/>
      <c r="E516" s="178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178"/>
      <c r="B517" s="178"/>
      <c r="C517" s="178"/>
      <c r="D517" s="178"/>
      <c r="E517" s="178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178"/>
      <c r="B518" s="178"/>
      <c r="C518" s="178"/>
      <c r="D518" s="178"/>
      <c r="E518" s="178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178"/>
      <c r="B519" s="178"/>
      <c r="C519" s="178"/>
      <c r="D519" s="178"/>
      <c r="E519" s="178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178"/>
      <c r="B520" s="178"/>
      <c r="C520" s="178"/>
      <c r="D520" s="178"/>
      <c r="E520" s="178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178"/>
      <c r="B521" s="178"/>
      <c r="C521" s="178"/>
      <c r="D521" s="178"/>
      <c r="E521" s="178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178"/>
      <c r="B522" s="178"/>
      <c r="C522" s="178"/>
      <c r="D522" s="178"/>
      <c r="E522" s="178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178"/>
      <c r="B523" s="178"/>
      <c r="C523" s="178"/>
      <c r="D523" s="178"/>
      <c r="E523" s="178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178"/>
      <c r="B524" s="178"/>
      <c r="C524" s="178"/>
      <c r="D524" s="178"/>
      <c r="E524" s="178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178"/>
      <c r="B525" s="178"/>
      <c r="C525" s="178"/>
      <c r="D525" s="178"/>
      <c r="E525" s="178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178"/>
      <c r="B526" s="178"/>
      <c r="C526" s="178"/>
      <c r="D526" s="178"/>
      <c r="E526" s="178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178"/>
      <c r="B527" s="178"/>
      <c r="C527" s="178"/>
      <c r="D527" s="178"/>
      <c r="E527" s="178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178"/>
      <c r="B528" s="178"/>
      <c r="C528" s="178"/>
      <c r="D528" s="178"/>
      <c r="E528" s="178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178"/>
      <c r="B529" s="178"/>
      <c r="C529" s="178"/>
      <c r="D529" s="178"/>
      <c r="E529" s="178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178"/>
      <c r="B530" s="178"/>
      <c r="C530" s="178"/>
      <c r="D530" s="178"/>
      <c r="E530" s="178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178"/>
      <c r="B531" s="178"/>
      <c r="C531" s="178"/>
      <c r="D531" s="178"/>
      <c r="E531" s="178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178"/>
      <c r="B532" s="178"/>
      <c r="C532" s="178"/>
      <c r="D532" s="178"/>
      <c r="E532" s="178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178"/>
      <c r="B533" s="178"/>
      <c r="C533" s="178"/>
      <c r="D533" s="178"/>
      <c r="E533" s="178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178"/>
      <c r="B534" s="178"/>
      <c r="C534" s="178"/>
      <c r="D534" s="178"/>
      <c r="E534" s="178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178"/>
      <c r="B535" s="178"/>
      <c r="C535" s="178"/>
      <c r="D535" s="178"/>
      <c r="E535" s="178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178"/>
      <c r="B536" s="178"/>
      <c r="C536" s="178"/>
      <c r="D536" s="178"/>
      <c r="E536" s="178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178"/>
      <c r="B537" s="178"/>
      <c r="C537" s="178"/>
      <c r="D537" s="178"/>
      <c r="E537" s="178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178"/>
      <c r="B538" s="178"/>
      <c r="C538" s="178"/>
      <c r="D538" s="178"/>
      <c r="E538" s="178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178"/>
      <c r="B539" s="178"/>
      <c r="C539" s="178"/>
      <c r="D539" s="178"/>
      <c r="E539" s="178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178"/>
      <c r="B540" s="178"/>
      <c r="C540" s="178"/>
      <c r="D540" s="178"/>
      <c r="E540" s="178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178"/>
      <c r="B541" s="178"/>
      <c r="C541" s="178"/>
      <c r="D541" s="178"/>
      <c r="E541" s="178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178"/>
      <c r="B542" s="178"/>
      <c r="C542" s="178"/>
      <c r="D542" s="178"/>
      <c r="E542" s="178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178"/>
      <c r="B543" s="178"/>
      <c r="C543" s="178"/>
      <c r="D543" s="178"/>
      <c r="E543" s="178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178"/>
      <c r="B544" s="178"/>
      <c r="C544" s="178"/>
      <c r="D544" s="178"/>
      <c r="E544" s="178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178"/>
      <c r="B545" s="178"/>
      <c r="C545" s="178"/>
      <c r="D545" s="178"/>
      <c r="E545" s="178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178"/>
      <c r="B546" s="178"/>
      <c r="C546" s="178"/>
      <c r="D546" s="178"/>
      <c r="E546" s="178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178"/>
      <c r="B547" s="178"/>
      <c r="C547" s="178"/>
      <c r="D547" s="178"/>
      <c r="E547" s="178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178"/>
      <c r="B548" s="178"/>
      <c r="C548" s="178"/>
      <c r="D548" s="178"/>
      <c r="E548" s="178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178"/>
      <c r="B549" s="178"/>
      <c r="C549" s="178"/>
      <c r="D549" s="178"/>
      <c r="E549" s="178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178"/>
      <c r="B550" s="178"/>
      <c r="C550" s="178"/>
      <c r="D550" s="178"/>
      <c r="E550" s="178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178"/>
      <c r="B551" s="178"/>
      <c r="C551" s="178"/>
      <c r="D551" s="178"/>
      <c r="E551" s="178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178"/>
      <c r="B552" s="178"/>
      <c r="C552" s="178"/>
      <c r="D552" s="178"/>
      <c r="E552" s="178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178"/>
      <c r="B553" s="178"/>
      <c r="C553" s="178"/>
      <c r="D553" s="178"/>
      <c r="E553" s="178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178"/>
      <c r="B554" s="178"/>
      <c r="C554" s="178"/>
      <c r="D554" s="178"/>
      <c r="E554" s="178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178"/>
      <c r="B555" s="178"/>
      <c r="C555" s="178"/>
      <c r="D555" s="178"/>
      <c r="E555" s="178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178"/>
      <c r="B556" s="178"/>
      <c r="C556" s="178"/>
      <c r="D556" s="178"/>
      <c r="E556" s="178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178"/>
      <c r="B557" s="178"/>
      <c r="C557" s="178"/>
      <c r="D557" s="178"/>
      <c r="E557" s="178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178"/>
      <c r="B558" s="178"/>
      <c r="C558" s="178"/>
      <c r="D558" s="178"/>
      <c r="E558" s="178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178"/>
      <c r="B559" s="178"/>
      <c r="C559" s="178"/>
      <c r="D559" s="178"/>
      <c r="E559" s="178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178"/>
      <c r="B560" s="178"/>
      <c r="C560" s="178"/>
      <c r="D560" s="178"/>
      <c r="E560" s="178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178"/>
      <c r="B561" s="178"/>
      <c r="C561" s="178"/>
      <c r="D561" s="178"/>
      <c r="E561" s="178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178"/>
      <c r="B562" s="178"/>
      <c r="C562" s="178"/>
      <c r="D562" s="178"/>
      <c r="E562" s="178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178"/>
      <c r="B563" s="178"/>
      <c r="C563" s="178"/>
      <c r="D563" s="178"/>
      <c r="E563" s="178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178"/>
      <c r="B564" s="178"/>
      <c r="C564" s="178"/>
      <c r="D564" s="178"/>
      <c r="E564" s="178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178"/>
      <c r="B565" s="178"/>
      <c r="C565" s="178"/>
      <c r="D565" s="178"/>
      <c r="E565" s="178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178"/>
      <c r="B566" s="178"/>
      <c r="C566" s="178"/>
      <c r="D566" s="178"/>
      <c r="E566" s="178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178"/>
      <c r="B567" s="178"/>
      <c r="C567" s="178"/>
      <c r="D567" s="178"/>
      <c r="E567" s="178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178"/>
      <c r="B568" s="178"/>
      <c r="C568" s="178"/>
      <c r="D568" s="178"/>
      <c r="E568" s="178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178"/>
      <c r="B569" s="178"/>
      <c r="C569" s="178"/>
      <c r="D569" s="178"/>
      <c r="E569" s="178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178"/>
      <c r="B570" s="178"/>
      <c r="C570" s="178"/>
      <c r="D570" s="178"/>
      <c r="E570" s="178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178"/>
      <c r="B571" s="178"/>
      <c r="C571" s="178"/>
      <c r="D571" s="178"/>
      <c r="E571" s="178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178"/>
      <c r="B572" s="178"/>
      <c r="C572" s="178"/>
      <c r="D572" s="178"/>
      <c r="E572" s="178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178"/>
      <c r="B573" s="178"/>
      <c r="C573" s="178"/>
      <c r="D573" s="178"/>
      <c r="E573" s="178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178"/>
      <c r="B574" s="178"/>
      <c r="C574" s="178"/>
      <c r="D574" s="178"/>
      <c r="E574" s="178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178"/>
      <c r="B575" s="178"/>
      <c r="C575" s="178"/>
      <c r="D575" s="178"/>
      <c r="E575" s="178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178"/>
      <c r="B576" s="178"/>
      <c r="C576" s="178"/>
      <c r="D576" s="178"/>
      <c r="E576" s="178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178"/>
      <c r="B577" s="178"/>
      <c r="C577" s="178"/>
      <c r="D577" s="178"/>
      <c r="E577" s="178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178"/>
      <c r="B578" s="178"/>
      <c r="C578" s="178"/>
      <c r="D578" s="178"/>
      <c r="E578" s="178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178"/>
      <c r="B579" s="178"/>
      <c r="C579" s="178"/>
      <c r="D579" s="178"/>
      <c r="E579" s="178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178"/>
      <c r="B580" s="178"/>
      <c r="C580" s="178"/>
      <c r="D580" s="178"/>
      <c r="E580" s="178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178"/>
      <c r="B581" s="178"/>
      <c r="C581" s="178"/>
      <c r="D581" s="178"/>
      <c r="E581" s="178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178"/>
      <c r="B582" s="178"/>
      <c r="C582" s="178"/>
      <c r="D582" s="178"/>
      <c r="E582" s="178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178"/>
      <c r="B583" s="178"/>
      <c r="C583" s="178"/>
      <c r="D583" s="178"/>
      <c r="E583" s="178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178"/>
      <c r="B584" s="178"/>
      <c r="C584" s="178"/>
      <c r="D584" s="178"/>
      <c r="E584" s="178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178"/>
      <c r="B585" s="178"/>
      <c r="C585" s="178"/>
      <c r="D585" s="178"/>
      <c r="E585" s="178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178"/>
      <c r="B586" s="178"/>
      <c r="C586" s="178"/>
      <c r="D586" s="178"/>
      <c r="E586" s="178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178"/>
      <c r="B587" s="178"/>
      <c r="C587" s="178"/>
      <c r="D587" s="178"/>
      <c r="E587" s="178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178"/>
      <c r="B588" s="178"/>
      <c r="C588" s="178"/>
      <c r="D588" s="178"/>
      <c r="E588" s="178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178"/>
      <c r="B589" s="178"/>
      <c r="C589" s="178"/>
      <c r="D589" s="178"/>
      <c r="E589" s="178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178"/>
      <c r="B590" s="178"/>
      <c r="C590" s="178"/>
      <c r="D590" s="178"/>
      <c r="E590" s="178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178"/>
      <c r="B591" s="178"/>
      <c r="C591" s="178"/>
      <c r="D591" s="178"/>
      <c r="E591" s="178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178"/>
      <c r="B592" s="178"/>
      <c r="C592" s="178"/>
      <c r="D592" s="178"/>
      <c r="E592" s="178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178"/>
      <c r="B593" s="178"/>
      <c r="C593" s="178"/>
      <c r="D593" s="178"/>
      <c r="E593" s="178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178"/>
      <c r="B594" s="178"/>
      <c r="C594" s="178"/>
      <c r="D594" s="178"/>
      <c r="E594" s="178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178"/>
      <c r="B595" s="178"/>
      <c r="C595" s="178"/>
      <c r="D595" s="178"/>
      <c r="E595" s="178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178"/>
      <c r="B596" s="178"/>
      <c r="C596" s="178"/>
      <c r="D596" s="178"/>
      <c r="E596" s="178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178"/>
      <c r="B597" s="178"/>
      <c r="C597" s="178"/>
      <c r="D597" s="178"/>
      <c r="E597" s="178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178"/>
      <c r="B598" s="178"/>
      <c r="C598" s="178"/>
      <c r="D598" s="178"/>
      <c r="E598" s="178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178"/>
      <c r="B599" s="178"/>
      <c r="C599" s="178"/>
      <c r="D599" s="178"/>
      <c r="E599" s="178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178"/>
      <c r="B600" s="178"/>
      <c r="C600" s="178"/>
      <c r="D600" s="178"/>
      <c r="E600" s="178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178"/>
      <c r="B601" s="178"/>
      <c r="C601" s="178"/>
      <c r="D601" s="178"/>
      <c r="E601" s="178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178"/>
      <c r="B602" s="178"/>
      <c r="C602" s="178"/>
      <c r="D602" s="178"/>
      <c r="E602" s="178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178"/>
      <c r="B603" s="178"/>
      <c r="C603" s="178"/>
      <c r="D603" s="178"/>
      <c r="E603" s="178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178"/>
      <c r="B604" s="178"/>
      <c r="C604" s="178"/>
      <c r="D604" s="178"/>
      <c r="E604" s="178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178"/>
      <c r="B605" s="178"/>
      <c r="C605" s="178"/>
      <c r="D605" s="178"/>
      <c r="E605" s="178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178"/>
      <c r="B606" s="178"/>
      <c r="C606" s="178"/>
      <c r="D606" s="178"/>
      <c r="E606" s="178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178"/>
      <c r="B607" s="178"/>
      <c r="C607" s="178"/>
      <c r="D607" s="178"/>
      <c r="E607" s="178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178"/>
      <c r="B608" s="178"/>
      <c r="C608" s="178"/>
      <c r="D608" s="178"/>
      <c r="E608" s="178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178"/>
      <c r="B609" s="178"/>
      <c r="C609" s="178"/>
      <c r="D609" s="178"/>
      <c r="E609" s="178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178"/>
      <c r="B610" s="178"/>
      <c r="C610" s="178"/>
      <c r="D610" s="178"/>
      <c r="E610" s="178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178"/>
      <c r="B611" s="178"/>
      <c r="C611" s="178"/>
      <c r="D611" s="178"/>
      <c r="E611" s="178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178"/>
      <c r="B612" s="178"/>
      <c r="C612" s="178"/>
      <c r="D612" s="178"/>
      <c r="E612" s="178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178"/>
      <c r="B613" s="178"/>
      <c r="C613" s="178"/>
      <c r="D613" s="178"/>
      <c r="E613" s="178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178"/>
      <c r="B614" s="178"/>
      <c r="C614" s="178"/>
      <c r="D614" s="178"/>
      <c r="E614" s="178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178"/>
      <c r="B615" s="178"/>
      <c r="C615" s="178"/>
      <c r="D615" s="178"/>
      <c r="E615" s="178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178"/>
      <c r="B616" s="178"/>
      <c r="C616" s="178"/>
      <c r="D616" s="178"/>
      <c r="E616" s="178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178"/>
      <c r="B617" s="178"/>
      <c r="C617" s="178"/>
      <c r="D617" s="178"/>
      <c r="E617" s="178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178"/>
      <c r="B618" s="178"/>
      <c r="C618" s="178"/>
      <c r="D618" s="178"/>
      <c r="E618" s="178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178"/>
      <c r="B619" s="178"/>
      <c r="C619" s="178"/>
      <c r="D619" s="178"/>
      <c r="E619" s="178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178"/>
      <c r="B620" s="178"/>
      <c r="C620" s="178"/>
      <c r="D620" s="178"/>
      <c r="E620" s="178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178"/>
      <c r="B621" s="178"/>
      <c r="C621" s="178"/>
      <c r="D621" s="178"/>
      <c r="E621" s="178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178"/>
      <c r="B622" s="178"/>
      <c r="C622" s="178"/>
      <c r="D622" s="178"/>
      <c r="E622" s="178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178"/>
      <c r="B623" s="178"/>
      <c r="C623" s="178"/>
      <c r="D623" s="178"/>
      <c r="E623" s="178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178"/>
      <c r="B624" s="178"/>
      <c r="C624" s="178"/>
      <c r="D624" s="178"/>
      <c r="E624" s="178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178"/>
      <c r="B625" s="178"/>
      <c r="C625" s="178"/>
      <c r="D625" s="178"/>
      <c r="E625" s="178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178"/>
      <c r="B626" s="178"/>
      <c r="C626" s="178"/>
      <c r="D626" s="178"/>
      <c r="E626" s="178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178"/>
      <c r="B627" s="178"/>
      <c r="C627" s="178"/>
      <c r="D627" s="178"/>
      <c r="E627" s="178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178"/>
      <c r="B628" s="178"/>
      <c r="C628" s="178"/>
      <c r="D628" s="178"/>
      <c r="E628" s="178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178"/>
      <c r="B629" s="178"/>
      <c r="C629" s="178"/>
      <c r="D629" s="178"/>
      <c r="E629" s="178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178"/>
      <c r="B630" s="178"/>
      <c r="C630" s="178"/>
      <c r="D630" s="178"/>
      <c r="E630" s="178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178"/>
      <c r="B631" s="178"/>
      <c r="C631" s="178"/>
      <c r="D631" s="178"/>
      <c r="E631" s="178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178"/>
      <c r="B632" s="178"/>
      <c r="C632" s="178"/>
      <c r="D632" s="178"/>
      <c r="E632" s="178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178"/>
      <c r="B633" s="178"/>
      <c r="C633" s="178"/>
      <c r="D633" s="178"/>
      <c r="E633" s="178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178"/>
      <c r="B634" s="178"/>
      <c r="C634" s="178"/>
      <c r="D634" s="178"/>
      <c r="E634" s="178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178"/>
      <c r="B635" s="178"/>
      <c r="C635" s="178"/>
      <c r="D635" s="178"/>
      <c r="E635" s="178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178"/>
      <c r="B636" s="178"/>
      <c r="C636" s="178"/>
      <c r="D636" s="178"/>
      <c r="E636" s="178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178"/>
      <c r="B637" s="178"/>
      <c r="C637" s="178"/>
      <c r="D637" s="178"/>
      <c r="E637" s="178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178"/>
      <c r="B638" s="178"/>
      <c r="C638" s="178"/>
      <c r="D638" s="178"/>
      <c r="E638" s="178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178"/>
      <c r="B639" s="178"/>
      <c r="C639" s="178"/>
      <c r="D639" s="178"/>
      <c r="E639" s="178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178"/>
      <c r="B640" s="178"/>
      <c r="C640" s="178"/>
      <c r="D640" s="178"/>
      <c r="E640" s="178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178"/>
      <c r="B641" s="178"/>
      <c r="C641" s="178"/>
      <c r="D641" s="178"/>
      <c r="E641" s="178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178"/>
      <c r="B642" s="178"/>
      <c r="C642" s="178"/>
      <c r="D642" s="178"/>
      <c r="E642" s="178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178"/>
      <c r="B643" s="178"/>
      <c r="C643" s="178"/>
      <c r="D643" s="178"/>
      <c r="E643" s="178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178"/>
      <c r="B644" s="178"/>
      <c r="C644" s="178"/>
      <c r="D644" s="178"/>
      <c r="E644" s="178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178"/>
      <c r="B645" s="178"/>
      <c r="C645" s="178"/>
      <c r="D645" s="178"/>
      <c r="E645" s="178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178"/>
      <c r="B646" s="178"/>
      <c r="C646" s="178"/>
      <c r="D646" s="178"/>
      <c r="E646" s="178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178"/>
      <c r="B647" s="178"/>
      <c r="C647" s="178"/>
      <c r="D647" s="178"/>
      <c r="E647" s="178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178"/>
      <c r="B648" s="178"/>
      <c r="C648" s="178"/>
      <c r="D648" s="178"/>
      <c r="E648" s="178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178"/>
      <c r="B649" s="178"/>
      <c r="C649" s="178"/>
      <c r="D649" s="178"/>
      <c r="E649" s="178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178"/>
      <c r="B650" s="178"/>
      <c r="C650" s="178"/>
      <c r="D650" s="178"/>
      <c r="E650" s="178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178"/>
      <c r="B651" s="178"/>
      <c r="C651" s="178"/>
      <c r="D651" s="178"/>
      <c r="E651" s="178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178"/>
      <c r="B652" s="178"/>
      <c r="C652" s="178"/>
      <c r="D652" s="178"/>
      <c r="E652" s="178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178"/>
      <c r="B653" s="178"/>
      <c r="C653" s="178"/>
      <c r="D653" s="178"/>
      <c r="E653" s="178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178"/>
      <c r="B654" s="178"/>
      <c r="C654" s="178"/>
      <c r="D654" s="178"/>
      <c r="E654" s="178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178"/>
      <c r="B655" s="178"/>
      <c r="C655" s="178"/>
      <c r="D655" s="178"/>
      <c r="E655" s="178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178"/>
      <c r="B656" s="178"/>
      <c r="C656" s="178"/>
      <c r="D656" s="178"/>
      <c r="E656" s="178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178"/>
      <c r="B657" s="178"/>
      <c r="C657" s="178"/>
      <c r="D657" s="178"/>
      <c r="E657" s="178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178"/>
      <c r="B658" s="178"/>
      <c r="C658" s="178"/>
      <c r="D658" s="178"/>
      <c r="E658" s="178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178"/>
      <c r="B659" s="178"/>
      <c r="C659" s="178"/>
      <c r="D659" s="178"/>
      <c r="E659" s="178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178"/>
      <c r="B660" s="178"/>
      <c r="C660" s="178"/>
      <c r="D660" s="178"/>
      <c r="E660" s="178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178"/>
      <c r="B661" s="178"/>
      <c r="C661" s="178"/>
      <c r="D661" s="178"/>
      <c r="E661" s="178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178"/>
      <c r="B662" s="178"/>
      <c r="C662" s="178"/>
      <c r="D662" s="178"/>
      <c r="E662" s="178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178"/>
      <c r="B663" s="178"/>
      <c r="C663" s="178"/>
      <c r="D663" s="178"/>
      <c r="E663" s="178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178"/>
      <c r="B664" s="178"/>
      <c r="C664" s="178"/>
      <c r="D664" s="178"/>
      <c r="E664" s="178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178"/>
      <c r="B665" s="178"/>
      <c r="C665" s="178"/>
      <c r="D665" s="178"/>
      <c r="E665" s="178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178"/>
      <c r="B666" s="178"/>
      <c r="C666" s="178"/>
      <c r="D666" s="178"/>
      <c r="E666" s="178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178"/>
      <c r="B667" s="178"/>
      <c r="C667" s="178"/>
      <c r="D667" s="178"/>
      <c r="E667" s="178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178"/>
      <c r="B668" s="178"/>
      <c r="C668" s="178"/>
      <c r="D668" s="178"/>
      <c r="E668" s="178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178"/>
      <c r="B669" s="178"/>
      <c r="C669" s="178"/>
      <c r="D669" s="178"/>
      <c r="E669" s="178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178"/>
      <c r="B670" s="178"/>
      <c r="C670" s="178"/>
      <c r="D670" s="178"/>
      <c r="E670" s="178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178"/>
      <c r="B671" s="178"/>
      <c r="C671" s="178"/>
      <c r="D671" s="178"/>
      <c r="E671" s="178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178"/>
      <c r="B672" s="178"/>
      <c r="C672" s="178"/>
      <c r="D672" s="178"/>
      <c r="E672" s="178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178"/>
      <c r="B673" s="178"/>
      <c r="C673" s="178"/>
      <c r="D673" s="178"/>
      <c r="E673" s="178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178"/>
      <c r="B674" s="178"/>
      <c r="C674" s="178"/>
      <c r="D674" s="178"/>
      <c r="E674" s="178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178"/>
      <c r="B675" s="178"/>
      <c r="C675" s="178"/>
      <c r="D675" s="178"/>
      <c r="E675" s="178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178"/>
      <c r="B676" s="178"/>
      <c r="C676" s="178"/>
      <c r="D676" s="178"/>
      <c r="E676" s="178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178"/>
      <c r="B677" s="178"/>
      <c r="C677" s="178"/>
      <c r="D677" s="178"/>
      <c r="E677" s="178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178"/>
      <c r="B678" s="178"/>
      <c r="C678" s="178"/>
      <c r="D678" s="178"/>
      <c r="E678" s="178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178"/>
      <c r="B679" s="178"/>
      <c r="C679" s="178"/>
      <c r="D679" s="178"/>
      <c r="E679" s="178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178"/>
      <c r="B680" s="178"/>
      <c r="C680" s="178"/>
      <c r="D680" s="178"/>
      <c r="E680" s="178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178"/>
      <c r="B681" s="178"/>
      <c r="C681" s="178"/>
      <c r="D681" s="178"/>
      <c r="E681" s="178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178"/>
      <c r="B682" s="178"/>
      <c r="C682" s="178"/>
      <c r="D682" s="178"/>
      <c r="E682" s="178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178"/>
      <c r="B683" s="178"/>
      <c r="C683" s="178"/>
      <c r="D683" s="178"/>
      <c r="E683" s="178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178"/>
      <c r="B684" s="178"/>
      <c r="C684" s="178"/>
      <c r="D684" s="178"/>
      <c r="E684" s="178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178"/>
      <c r="B685" s="178"/>
      <c r="C685" s="178"/>
      <c r="D685" s="178"/>
      <c r="E685" s="178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178"/>
      <c r="B686" s="178"/>
      <c r="C686" s="178"/>
      <c r="D686" s="178"/>
      <c r="E686" s="178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178"/>
      <c r="B687" s="178"/>
      <c r="C687" s="178"/>
      <c r="D687" s="178"/>
      <c r="E687" s="178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178"/>
      <c r="B688" s="178"/>
      <c r="C688" s="178"/>
      <c r="D688" s="178"/>
      <c r="E688" s="178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178"/>
      <c r="B689" s="178"/>
      <c r="C689" s="178"/>
      <c r="D689" s="178"/>
      <c r="E689" s="178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178"/>
      <c r="B690" s="178"/>
      <c r="C690" s="178"/>
      <c r="D690" s="178"/>
      <c r="E690" s="178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178"/>
      <c r="B691" s="178"/>
      <c r="C691" s="178"/>
      <c r="D691" s="178"/>
      <c r="E691" s="178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178"/>
      <c r="B692" s="178"/>
      <c r="C692" s="178"/>
      <c r="D692" s="178"/>
      <c r="E692" s="178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178"/>
      <c r="B693" s="178"/>
      <c r="C693" s="178"/>
      <c r="D693" s="178"/>
      <c r="E693" s="178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178"/>
      <c r="B694" s="178"/>
      <c r="C694" s="178"/>
      <c r="D694" s="178"/>
      <c r="E694" s="178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178"/>
      <c r="B695" s="178"/>
      <c r="C695" s="178"/>
      <c r="D695" s="178"/>
      <c r="E695" s="178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178"/>
      <c r="B696" s="178"/>
      <c r="C696" s="178"/>
      <c r="D696" s="178"/>
      <c r="E696" s="178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178"/>
      <c r="B697" s="178"/>
      <c r="C697" s="178"/>
      <c r="D697" s="178"/>
      <c r="E697" s="178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178"/>
      <c r="B698" s="178"/>
      <c r="C698" s="178"/>
      <c r="D698" s="178"/>
      <c r="E698" s="178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178"/>
      <c r="B699" s="178"/>
      <c r="C699" s="178"/>
      <c r="D699" s="178"/>
      <c r="E699" s="178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178"/>
      <c r="B700" s="178"/>
      <c r="C700" s="178"/>
      <c r="D700" s="178"/>
      <c r="E700" s="178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178"/>
      <c r="B701" s="178"/>
      <c r="C701" s="178"/>
      <c r="D701" s="178"/>
      <c r="E701" s="178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178"/>
      <c r="B702" s="178"/>
      <c r="C702" s="178"/>
      <c r="D702" s="178"/>
      <c r="E702" s="178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178"/>
      <c r="B703" s="178"/>
      <c r="C703" s="178"/>
      <c r="D703" s="178"/>
      <c r="E703" s="178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178"/>
      <c r="B704" s="178"/>
      <c r="C704" s="178"/>
      <c r="D704" s="178"/>
      <c r="E704" s="178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178"/>
      <c r="B705" s="178"/>
      <c r="C705" s="178"/>
      <c r="D705" s="178"/>
      <c r="E705" s="178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178"/>
      <c r="B706" s="178"/>
      <c r="C706" s="178"/>
      <c r="D706" s="178"/>
      <c r="E706" s="178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178"/>
      <c r="B707" s="178"/>
      <c r="C707" s="178"/>
      <c r="D707" s="178"/>
      <c r="E707" s="178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178"/>
      <c r="B708" s="178"/>
      <c r="C708" s="178"/>
      <c r="D708" s="178"/>
      <c r="E708" s="178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178"/>
      <c r="B709" s="178"/>
      <c r="C709" s="178"/>
      <c r="D709" s="178"/>
      <c r="E709" s="178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178"/>
      <c r="B710" s="178"/>
      <c r="C710" s="178"/>
      <c r="D710" s="178"/>
      <c r="E710" s="178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178"/>
      <c r="B711" s="178"/>
      <c r="C711" s="178"/>
      <c r="D711" s="178"/>
      <c r="E711" s="178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178"/>
      <c r="B712" s="178"/>
      <c r="C712" s="178"/>
      <c r="D712" s="178"/>
      <c r="E712" s="178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178"/>
      <c r="B713" s="178"/>
      <c r="C713" s="178"/>
      <c r="D713" s="178"/>
      <c r="E713" s="178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178"/>
      <c r="B714" s="178"/>
      <c r="C714" s="178"/>
      <c r="D714" s="178"/>
      <c r="E714" s="178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178"/>
      <c r="B715" s="178"/>
      <c r="C715" s="178"/>
      <c r="D715" s="178"/>
      <c r="E715" s="178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178"/>
      <c r="B716" s="178"/>
      <c r="C716" s="178"/>
      <c r="D716" s="178"/>
      <c r="E716" s="178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178"/>
      <c r="B717" s="178"/>
      <c r="C717" s="178"/>
      <c r="D717" s="178"/>
      <c r="E717" s="178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178"/>
      <c r="B718" s="178"/>
      <c r="C718" s="178"/>
      <c r="D718" s="178"/>
      <c r="E718" s="178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178"/>
      <c r="B719" s="178"/>
      <c r="C719" s="178"/>
      <c r="D719" s="178"/>
      <c r="E719" s="178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178"/>
      <c r="B720" s="178"/>
      <c r="C720" s="178"/>
      <c r="D720" s="178"/>
      <c r="E720" s="178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178"/>
      <c r="B721" s="178"/>
      <c r="C721" s="178"/>
      <c r="D721" s="178"/>
      <c r="E721" s="178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178"/>
      <c r="B722" s="178"/>
      <c r="C722" s="178"/>
      <c r="D722" s="178"/>
      <c r="E722" s="178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178"/>
      <c r="B723" s="178"/>
      <c r="C723" s="178"/>
      <c r="D723" s="178"/>
      <c r="E723" s="178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178"/>
      <c r="B724" s="178"/>
      <c r="C724" s="178"/>
      <c r="D724" s="178"/>
      <c r="E724" s="178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178"/>
      <c r="B725" s="178"/>
      <c r="C725" s="178"/>
      <c r="D725" s="178"/>
      <c r="E725" s="178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178"/>
      <c r="B726" s="178"/>
      <c r="C726" s="178"/>
      <c r="D726" s="178"/>
      <c r="E726" s="178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178"/>
      <c r="B727" s="178"/>
      <c r="C727" s="178"/>
      <c r="D727" s="178"/>
      <c r="E727" s="178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178"/>
      <c r="B728" s="178"/>
      <c r="C728" s="178"/>
      <c r="D728" s="178"/>
      <c r="E728" s="178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178"/>
      <c r="B729" s="178"/>
      <c r="C729" s="178"/>
      <c r="D729" s="178"/>
      <c r="E729" s="178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178"/>
      <c r="B730" s="178"/>
      <c r="C730" s="178"/>
      <c r="D730" s="178"/>
      <c r="E730" s="178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178"/>
      <c r="B731" s="178"/>
      <c r="C731" s="178"/>
      <c r="D731" s="178"/>
      <c r="E731" s="178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178"/>
      <c r="B732" s="178"/>
      <c r="C732" s="178"/>
      <c r="D732" s="178"/>
      <c r="E732" s="178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178"/>
      <c r="B733" s="178"/>
      <c r="C733" s="178"/>
      <c r="D733" s="178"/>
      <c r="E733" s="178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178"/>
      <c r="B734" s="178"/>
      <c r="C734" s="178"/>
      <c r="D734" s="178"/>
      <c r="E734" s="178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178"/>
      <c r="B735" s="178"/>
      <c r="C735" s="178"/>
      <c r="D735" s="178"/>
      <c r="E735" s="178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178"/>
      <c r="B736" s="178"/>
      <c r="C736" s="178"/>
      <c r="D736" s="178"/>
      <c r="E736" s="178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178"/>
      <c r="B737" s="178"/>
      <c r="C737" s="178"/>
      <c r="D737" s="178"/>
      <c r="E737" s="178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178"/>
      <c r="B738" s="178"/>
      <c r="C738" s="178"/>
      <c r="D738" s="178"/>
      <c r="E738" s="178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178"/>
      <c r="B739" s="178"/>
      <c r="C739" s="178"/>
      <c r="D739" s="178"/>
      <c r="E739" s="178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178"/>
      <c r="B740" s="178"/>
      <c r="C740" s="178"/>
      <c r="D740" s="178"/>
      <c r="E740" s="178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178"/>
      <c r="B741" s="178"/>
      <c r="C741" s="178"/>
      <c r="D741" s="178"/>
      <c r="E741" s="178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178"/>
      <c r="B742" s="178"/>
      <c r="C742" s="178"/>
      <c r="D742" s="178"/>
      <c r="E742" s="178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178"/>
      <c r="B743" s="178"/>
      <c r="C743" s="178"/>
      <c r="D743" s="178"/>
      <c r="E743" s="178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178"/>
      <c r="B744" s="178"/>
      <c r="C744" s="178"/>
      <c r="D744" s="178"/>
      <c r="E744" s="178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178"/>
      <c r="B745" s="178"/>
      <c r="C745" s="178"/>
      <c r="D745" s="178"/>
      <c r="E745" s="178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178"/>
      <c r="B746" s="178"/>
      <c r="C746" s="178"/>
      <c r="D746" s="178"/>
      <c r="E746" s="178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178"/>
      <c r="B747" s="178"/>
      <c r="C747" s="178"/>
      <c r="D747" s="178"/>
      <c r="E747" s="178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178"/>
      <c r="B748" s="178"/>
      <c r="C748" s="178"/>
      <c r="D748" s="178"/>
      <c r="E748" s="178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178"/>
      <c r="B749" s="178"/>
      <c r="C749" s="178"/>
      <c r="D749" s="178"/>
      <c r="E749" s="178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178"/>
      <c r="B750" s="178"/>
      <c r="C750" s="178"/>
      <c r="D750" s="178"/>
      <c r="E750" s="178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178"/>
      <c r="B751" s="178"/>
      <c r="C751" s="178"/>
      <c r="D751" s="178"/>
      <c r="E751" s="178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178"/>
      <c r="B752" s="178"/>
      <c r="C752" s="178"/>
      <c r="D752" s="178"/>
      <c r="E752" s="178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178"/>
      <c r="B753" s="178"/>
      <c r="C753" s="178"/>
      <c r="D753" s="178"/>
      <c r="E753" s="178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178"/>
      <c r="B754" s="178"/>
      <c r="C754" s="178"/>
      <c r="D754" s="178"/>
      <c r="E754" s="178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178"/>
      <c r="B755" s="178"/>
      <c r="C755" s="178"/>
      <c r="D755" s="178"/>
      <c r="E755" s="178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178"/>
      <c r="B756" s="178"/>
      <c r="C756" s="178"/>
      <c r="D756" s="178"/>
      <c r="E756" s="178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178"/>
      <c r="B757" s="178"/>
      <c r="C757" s="178"/>
      <c r="D757" s="178"/>
      <c r="E757" s="178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178"/>
      <c r="B758" s="178"/>
      <c r="C758" s="178"/>
      <c r="D758" s="178"/>
      <c r="E758" s="178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178"/>
      <c r="B759" s="178"/>
      <c r="C759" s="178"/>
      <c r="D759" s="178"/>
      <c r="E759" s="178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178"/>
      <c r="B760" s="178"/>
      <c r="C760" s="178"/>
      <c r="D760" s="178"/>
      <c r="E760" s="178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178"/>
      <c r="B761" s="178"/>
      <c r="C761" s="178"/>
      <c r="D761" s="178"/>
      <c r="E761" s="178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178"/>
      <c r="B762" s="178"/>
      <c r="C762" s="178"/>
      <c r="D762" s="178"/>
      <c r="E762" s="178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178"/>
      <c r="B763" s="178"/>
      <c r="C763" s="178"/>
      <c r="D763" s="178"/>
      <c r="E763" s="178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178"/>
      <c r="B764" s="178"/>
      <c r="C764" s="178"/>
      <c r="D764" s="178"/>
      <c r="E764" s="178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178"/>
      <c r="B765" s="178"/>
      <c r="C765" s="178"/>
      <c r="D765" s="178"/>
      <c r="E765" s="178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178"/>
      <c r="B766" s="178"/>
      <c r="C766" s="178"/>
      <c r="D766" s="178"/>
      <c r="E766" s="178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178"/>
      <c r="B767" s="178"/>
      <c r="C767" s="178"/>
      <c r="D767" s="178"/>
      <c r="E767" s="178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178"/>
      <c r="B768" s="178"/>
      <c r="C768" s="178"/>
      <c r="D768" s="178"/>
      <c r="E768" s="178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178"/>
      <c r="B769" s="178"/>
      <c r="C769" s="178"/>
      <c r="D769" s="178"/>
      <c r="E769" s="178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178"/>
      <c r="B770" s="178"/>
      <c r="C770" s="178"/>
      <c r="D770" s="178"/>
      <c r="E770" s="178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178"/>
      <c r="B771" s="178"/>
      <c r="C771" s="178"/>
      <c r="D771" s="178"/>
      <c r="E771" s="178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178"/>
      <c r="B772" s="178"/>
      <c r="C772" s="178"/>
      <c r="D772" s="178"/>
      <c r="E772" s="178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178"/>
      <c r="B773" s="178"/>
      <c r="C773" s="178"/>
      <c r="D773" s="178"/>
      <c r="E773" s="178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178"/>
      <c r="B774" s="178"/>
      <c r="C774" s="178"/>
      <c r="D774" s="178"/>
      <c r="E774" s="178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178"/>
      <c r="B775" s="178"/>
      <c r="C775" s="178"/>
      <c r="D775" s="178"/>
      <c r="E775" s="178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178"/>
      <c r="B776" s="178"/>
      <c r="C776" s="178"/>
      <c r="D776" s="178"/>
      <c r="E776" s="178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178"/>
      <c r="B777" s="178"/>
      <c r="C777" s="178"/>
      <c r="D777" s="178"/>
      <c r="E777" s="178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178"/>
      <c r="B778" s="178"/>
      <c r="C778" s="178"/>
      <c r="D778" s="178"/>
      <c r="E778" s="178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178"/>
      <c r="B779" s="178"/>
      <c r="C779" s="178"/>
      <c r="D779" s="178"/>
      <c r="E779" s="178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178"/>
      <c r="B780" s="178"/>
      <c r="C780" s="178"/>
      <c r="D780" s="178"/>
      <c r="E780" s="178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178"/>
      <c r="B781" s="178"/>
      <c r="C781" s="178"/>
      <c r="D781" s="178"/>
      <c r="E781" s="178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178"/>
      <c r="B782" s="178"/>
      <c r="C782" s="178"/>
      <c r="D782" s="178"/>
      <c r="E782" s="178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178"/>
      <c r="B783" s="178"/>
      <c r="C783" s="178"/>
      <c r="D783" s="178"/>
      <c r="E783" s="178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178"/>
      <c r="B784" s="178"/>
      <c r="C784" s="178"/>
      <c r="D784" s="178"/>
      <c r="E784" s="178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178"/>
      <c r="B785" s="178"/>
      <c r="C785" s="178"/>
      <c r="D785" s="178"/>
      <c r="E785" s="178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178"/>
      <c r="B786" s="178"/>
      <c r="C786" s="178"/>
      <c r="D786" s="178"/>
      <c r="E786" s="178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178"/>
      <c r="B787" s="178"/>
      <c r="C787" s="178"/>
      <c r="D787" s="178"/>
      <c r="E787" s="178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178"/>
      <c r="B788" s="178"/>
      <c r="C788" s="178"/>
      <c r="D788" s="178"/>
      <c r="E788" s="178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178"/>
      <c r="B789" s="178"/>
      <c r="C789" s="178"/>
      <c r="D789" s="178"/>
      <c r="E789" s="178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178"/>
      <c r="B790" s="178"/>
      <c r="C790" s="178"/>
      <c r="D790" s="178"/>
      <c r="E790" s="178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178"/>
      <c r="B791" s="178"/>
      <c r="C791" s="178"/>
      <c r="D791" s="178"/>
      <c r="E791" s="178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178"/>
      <c r="B792" s="178"/>
      <c r="C792" s="178"/>
      <c r="D792" s="178"/>
      <c r="E792" s="178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178"/>
      <c r="B793" s="178"/>
      <c r="C793" s="178"/>
      <c r="D793" s="178"/>
      <c r="E793" s="178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178"/>
      <c r="B794" s="178"/>
      <c r="C794" s="178"/>
      <c r="D794" s="178"/>
      <c r="E794" s="178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178"/>
      <c r="B795" s="178"/>
      <c r="C795" s="178"/>
      <c r="D795" s="178"/>
      <c r="E795" s="178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178"/>
      <c r="B796" s="178"/>
      <c r="C796" s="178"/>
      <c r="D796" s="178"/>
      <c r="E796" s="178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178"/>
      <c r="B797" s="178"/>
      <c r="C797" s="178"/>
      <c r="D797" s="178"/>
      <c r="E797" s="178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178"/>
      <c r="B798" s="178"/>
      <c r="C798" s="178"/>
      <c r="D798" s="178"/>
      <c r="E798" s="178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178"/>
      <c r="B799" s="178"/>
      <c r="C799" s="178"/>
      <c r="D799" s="178"/>
      <c r="E799" s="178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178"/>
      <c r="B800" s="178"/>
      <c r="C800" s="178"/>
      <c r="D800" s="178"/>
      <c r="E800" s="178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178"/>
      <c r="B801" s="178"/>
      <c r="C801" s="178"/>
      <c r="D801" s="178"/>
      <c r="E801" s="178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178"/>
      <c r="B802" s="178"/>
      <c r="C802" s="178"/>
      <c r="D802" s="178"/>
      <c r="E802" s="178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178"/>
      <c r="B803" s="178"/>
      <c r="C803" s="178"/>
      <c r="D803" s="178"/>
      <c r="E803" s="178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178"/>
      <c r="B804" s="178"/>
      <c r="C804" s="178"/>
      <c r="D804" s="178"/>
      <c r="E804" s="178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178"/>
      <c r="B805" s="178"/>
      <c r="C805" s="178"/>
      <c r="D805" s="178"/>
      <c r="E805" s="178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178"/>
      <c r="B806" s="178"/>
      <c r="C806" s="178"/>
      <c r="D806" s="178"/>
      <c r="E806" s="178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178"/>
      <c r="B807" s="178"/>
      <c r="C807" s="178"/>
      <c r="D807" s="178"/>
      <c r="E807" s="178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178"/>
      <c r="B808" s="178"/>
      <c r="C808" s="178"/>
      <c r="D808" s="178"/>
      <c r="E808" s="178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178"/>
      <c r="B809" s="178"/>
      <c r="C809" s="178"/>
      <c r="D809" s="178"/>
      <c r="E809" s="178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178"/>
      <c r="B810" s="178"/>
      <c r="C810" s="178"/>
      <c r="D810" s="178"/>
      <c r="E810" s="178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178"/>
      <c r="B811" s="178"/>
      <c r="C811" s="178"/>
      <c r="D811" s="178"/>
      <c r="E811" s="178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178"/>
      <c r="B812" s="178"/>
      <c r="C812" s="178"/>
      <c r="D812" s="178"/>
      <c r="E812" s="178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178"/>
      <c r="B813" s="178"/>
      <c r="C813" s="178"/>
      <c r="D813" s="178"/>
      <c r="E813" s="178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178"/>
      <c r="B814" s="178"/>
      <c r="C814" s="178"/>
      <c r="D814" s="178"/>
      <c r="E814" s="178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178"/>
      <c r="B815" s="178"/>
      <c r="C815" s="178"/>
      <c r="D815" s="178"/>
      <c r="E815" s="178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178"/>
      <c r="B816" s="178"/>
      <c r="C816" s="178"/>
      <c r="D816" s="178"/>
      <c r="E816" s="178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178"/>
      <c r="B817" s="178"/>
      <c r="C817" s="178"/>
      <c r="D817" s="178"/>
      <c r="E817" s="178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178"/>
      <c r="B818" s="178"/>
      <c r="C818" s="178"/>
      <c r="D818" s="178"/>
      <c r="E818" s="178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178"/>
      <c r="B819" s="178"/>
      <c r="C819" s="178"/>
      <c r="D819" s="178"/>
      <c r="E819" s="178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178"/>
      <c r="B820" s="178"/>
      <c r="C820" s="178"/>
      <c r="D820" s="178"/>
      <c r="E820" s="178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178"/>
      <c r="B821" s="178"/>
      <c r="C821" s="178"/>
      <c r="D821" s="178"/>
      <c r="E821" s="178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178"/>
      <c r="B822" s="178"/>
      <c r="C822" s="178"/>
      <c r="D822" s="178"/>
      <c r="E822" s="178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178"/>
      <c r="B823" s="178"/>
      <c r="C823" s="178"/>
      <c r="D823" s="178"/>
      <c r="E823" s="178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178"/>
      <c r="B824" s="178"/>
      <c r="C824" s="178"/>
      <c r="D824" s="178"/>
      <c r="E824" s="178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178"/>
      <c r="B825" s="178"/>
      <c r="C825" s="178"/>
      <c r="D825" s="178"/>
      <c r="E825" s="178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178"/>
      <c r="B826" s="178"/>
      <c r="C826" s="178"/>
      <c r="D826" s="178"/>
      <c r="E826" s="178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178"/>
      <c r="B827" s="178"/>
      <c r="C827" s="178"/>
      <c r="D827" s="178"/>
      <c r="E827" s="178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178"/>
      <c r="B828" s="178"/>
      <c r="C828" s="178"/>
      <c r="D828" s="178"/>
      <c r="E828" s="178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178"/>
      <c r="B829" s="178"/>
      <c r="C829" s="178"/>
      <c r="D829" s="178"/>
      <c r="E829" s="178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178"/>
      <c r="B830" s="178"/>
      <c r="C830" s="178"/>
      <c r="D830" s="178"/>
      <c r="E830" s="178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178"/>
      <c r="B831" s="178"/>
      <c r="C831" s="178"/>
      <c r="D831" s="178"/>
      <c r="E831" s="178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178"/>
      <c r="B832" s="178"/>
      <c r="C832" s="178"/>
      <c r="D832" s="178"/>
      <c r="E832" s="178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178"/>
      <c r="B833" s="178"/>
      <c r="C833" s="178"/>
      <c r="D833" s="178"/>
      <c r="E833" s="178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178"/>
      <c r="B834" s="178"/>
      <c r="C834" s="178"/>
      <c r="D834" s="178"/>
      <c r="E834" s="178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178"/>
      <c r="B835" s="178"/>
      <c r="C835" s="178"/>
      <c r="D835" s="178"/>
      <c r="E835" s="178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178"/>
      <c r="B836" s="178"/>
      <c r="C836" s="178"/>
      <c r="D836" s="178"/>
      <c r="E836" s="178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178"/>
      <c r="B837" s="178"/>
      <c r="C837" s="178"/>
      <c r="D837" s="178"/>
      <c r="E837" s="178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178"/>
      <c r="B838" s="178"/>
      <c r="C838" s="178"/>
      <c r="D838" s="178"/>
      <c r="E838" s="178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178"/>
      <c r="B839" s="178"/>
      <c r="C839" s="178"/>
      <c r="D839" s="178"/>
      <c r="E839" s="178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178"/>
      <c r="B840" s="178"/>
      <c r="C840" s="178"/>
      <c r="D840" s="178"/>
      <c r="E840" s="178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178"/>
      <c r="B841" s="178"/>
      <c r="C841" s="178"/>
      <c r="D841" s="178"/>
      <c r="E841" s="178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178"/>
      <c r="B842" s="178"/>
      <c r="C842" s="178"/>
      <c r="D842" s="178"/>
      <c r="E842" s="178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178"/>
      <c r="B843" s="178"/>
      <c r="C843" s="178"/>
      <c r="D843" s="178"/>
      <c r="E843" s="178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178"/>
      <c r="B844" s="178"/>
      <c r="C844" s="178"/>
      <c r="D844" s="178"/>
      <c r="E844" s="178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178"/>
      <c r="B845" s="178"/>
      <c r="C845" s="178"/>
      <c r="D845" s="178"/>
      <c r="E845" s="178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178"/>
      <c r="B846" s="178"/>
      <c r="C846" s="178"/>
      <c r="D846" s="178"/>
      <c r="E846" s="178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178"/>
      <c r="B847" s="178"/>
      <c r="C847" s="178"/>
      <c r="D847" s="178"/>
      <c r="E847" s="178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178"/>
      <c r="B848" s="178"/>
      <c r="C848" s="178"/>
      <c r="D848" s="178"/>
      <c r="E848" s="178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178"/>
      <c r="B849" s="178"/>
      <c r="C849" s="178"/>
      <c r="D849" s="178"/>
      <c r="E849" s="178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178"/>
      <c r="B850" s="178"/>
      <c r="C850" s="178"/>
      <c r="D850" s="178"/>
      <c r="E850" s="178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178"/>
      <c r="B851" s="178"/>
      <c r="C851" s="178"/>
      <c r="D851" s="178"/>
      <c r="E851" s="178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178"/>
      <c r="B852" s="178"/>
      <c r="C852" s="178"/>
      <c r="D852" s="178"/>
      <c r="E852" s="178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178"/>
      <c r="B853" s="178"/>
      <c r="C853" s="178"/>
      <c r="D853" s="178"/>
      <c r="E853" s="178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178"/>
      <c r="B854" s="178"/>
      <c r="C854" s="178"/>
      <c r="D854" s="178"/>
      <c r="E854" s="178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178"/>
      <c r="B855" s="178"/>
      <c r="C855" s="178"/>
      <c r="D855" s="178"/>
      <c r="E855" s="178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178"/>
      <c r="B856" s="178"/>
      <c r="C856" s="178"/>
      <c r="D856" s="178"/>
      <c r="E856" s="178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178"/>
      <c r="B857" s="178"/>
      <c r="C857" s="178"/>
      <c r="D857" s="178"/>
      <c r="E857" s="178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178"/>
      <c r="B858" s="178"/>
      <c r="C858" s="178"/>
      <c r="D858" s="178"/>
      <c r="E858" s="178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178"/>
      <c r="B859" s="178"/>
      <c r="C859" s="178"/>
      <c r="D859" s="178"/>
      <c r="E859" s="178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178"/>
      <c r="B860" s="178"/>
      <c r="C860" s="178"/>
      <c r="D860" s="178"/>
      <c r="E860" s="178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178"/>
      <c r="B861" s="178"/>
      <c r="C861" s="178"/>
      <c r="D861" s="178"/>
      <c r="E861" s="178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178"/>
      <c r="B862" s="178"/>
      <c r="C862" s="178"/>
      <c r="D862" s="178"/>
      <c r="E862" s="178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178"/>
      <c r="B863" s="178"/>
      <c r="C863" s="178"/>
      <c r="D863" s="178"/>
      <c r="E863" s="178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178"/>
      <c r="B864" s="178"/>
      <c r="C864" s="178"/>
      <c r="D864" s="178"/>
      <c r="E864" s="178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178"/>
      <c r="B865" s="178"/>
      <c r="C865" s="178"/>
      <c r="D865" s="178"/>
      <c r="E865" s="178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178"/>
      <c r="B866" s="178"/>
      <c r="C866" s="178"/>
      <c r="D866" s="178"/>
      <c r="E866" s="178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178"/>
      <c r="B867" s="178"/>
      <c r="C867" s="178"/>
      <c r="D867" s="178"/>
      <c r="E867" s="178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178"/>
      <c r="B868" s="178"/>
      <c r="C868" s="178"/>
      <c r="D868" s="178"/>
      <c r="E868" s="178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178"/>
      <c r="B869" s="178"/>
      <c r="C869" s="178"/>
      <c r="D869" s="178"/>
      <c r="E869" s="178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178"/>
      <c r="B870" s="178"/>
      <c r="C870" s="178"/>
      <c r="D870" s="178"/>
      <c r="E870" s="178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178"/>
      <c r="B871" s="178"/>
      <c r="C871" s="178"/>
      <c r="D871" s="178"/>
      <c r="E871" s="178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178"/>
      <c r="B872" s="178"/>
      <c r="C872" s="178"/>
      <c r="D872" s="178"/>
      <c r="E872" s="178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178"/>
      <c r="B873" s="178"/>
      <c r="C873" s="178"/>
      <c r="D873" s="178"/>
      <c r="E873" s="178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178"/>
      <c r="B874" s="178"/>
      <c r="C874" s="178"/>
      <c r="D874" s="178"/>
      <c r="E874" s="178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178"/>
      <c r="B875" s="178"/>
      <c r="C875" s="178"/>
      <c r="D875" s="178"/>
      <c r="E875" s="178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178"/>
      <c r="B876" s="178"/>
      <c r="C876" s="178"/>
      <c r="D876" s="178"/>
      <c r="E876" s="178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178"/>
      <c r="B877" s="178"/>
      <c r="C877" s="178"/>
      <c r="D877" s="178"/>
      <c r="E877" s="178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178"/>
      <c r="B878" s="178"/>
      <c r="C878" s="178"/>
      <c r="D878" s="178"/>
      <c r="E878" s="178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178"/>
      <c r="B879" s="178"/>
      <c r="C879" s="178"/>
      <c r="D879" s="178"/>
      <c r="E879" s="178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178"/>
      <c r="B880" s="178"/>
      <c r="C880" s="178"/>
      <c r="D880" s="178"/>
      <c r="E880" s="178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178"/>
      <c r="B881" s="178"/>
      <c r="C881" s="178"/>
      <c r="D881" s="178"/>
      <c r="E881" s="178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178"/>
      <c r="B882" s="178"/>
      <c r="C882" s="178"/>
      <c r="D882" s="178"/>
      <c r="E882" s="178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178"/>
      <c r="B883" s="178"/>
      <c r="C883" s="178"/>
      <c r="D883" s="178"/>
      <c r="E883" s="178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178"/>
      <c r="B884" s="178"/>
      <c r="C884" s="178"/>
      <c r="D884" s="178"/>
      <c r="E884" s="178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178"/>
      <c r="B885" s="178"/>
      <c r="C885" s="178"/>
      <c r="D885" s="178"/>
      <c r="E885" s="178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178"/>
      <c r="B886" s="178"/>
      <c r="C886" s="178"/>
      <c r="D886" s="178"/>
      <c r="E886" s="178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178"/>
      <c r="B887" s="178"/>
      <c r="C887" s="178"/>
      <c r="D887" s="178"/>
      <c r="E887" s="178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178"/>
      <c r="B888" s="178"/>
      <c r="C888" s="178"/>
      <c r="D888" s="178"/>
      <c r="E888" s="178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178"/>
      <c r="B889" s="178"/>
      <c r="C889" s="178"/>
      <c r="D889" s="178"/>
      <c r="E889" s="178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178"/>
      <c r="B890" s="178"/>
      <c r="C890" s="178"/>
      <c r="D890" s="178"/>
      <c r="E890" s="178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178"/>
      <c r="B891" s="178"/>
      <c r="C891" s="178"/>
      <c r="D891" s="178"/>
      <c r="E891" s="178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178"/>
      <c r="B892" s="178"/>
      <c r="C892" s="178"/>
      <c r="D892" s="178"/>
      <c r="E892" s="178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178"/>
      <c r="B893" s="178"/>
      <c r="C893" s="178"/>
      <c r="D893" s="178"/>
      <c r="E893" s="178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178"/>
      <c r="B894" s="178"/>
      <c r="C894" s="178"/>
      <c r="D894" s="178"/>
      <c r="E894" s="178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178"/>
      <c r="B895" s="178"/>
      <c r="C895" s="178"/>
      <c r="D895" s="178"/>
      <c r="E895" s="178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178"/>
      <c r="B896" s="178"/>
      <c r="C896" s="178"/>
      <c r="D896" s="178"/>
      <c r="E896" s="178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178"/>
      <c r="B897" s="178"/>
      <c r="C897" s="178"/>
      <c r="D897" s="178"/>
      <c r="E897" s="178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178"/>
      <c r="B898" s="178"/>
      <c r="C898" s="178"/>
      <c r="D898" s="178"/>
      <c r="E898" s="178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178"/>
      <c r="B899" s="178"/>
      <c r="C899" s="178"/>
      <c r="D899" s="178"/>
      <c r="E899" s="178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178"/>
      <c r="B900" s="178"/>
      <c r="C900" s="178"/>
      <c r="D900" s="178"/>
      <c r="E900" s="178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178"/>
      <c r="B901" s="178"/>
      <c r="C901" s="178"/>
      <c r="D901" s="178"/>
      <c r="E901" s="178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178"/>
      <c r="B902" s="178"/>
      <c r="C902" s="178"/>
      <c r="D902" s="178"/>
      <c r="E902" s="178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178"/>
      <c r="B903" s="178"/>
      <c r="C903" s="178"/>
      <c r="D903" s="178"/>
      <c r="E903" s="178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178"/>
      <c r="B904" s="178"/>
      <c r="C904" s="178"/>
      <c r="D904" s="178"/>
      <c r="E904" s="178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178"/>
      <c r="B905" s="178"/>
      <c r="C905" s="178"/>
      <c r="D905" s="178"/>
      <c r="E905" s="178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178"/>
      <c r="B906" s="178"/>
      <c r="C906" s="178"/>
      <c r="D906" s="178"/>
      <c r="E906" s="178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178"/>
      <c r="B907" s="178"/>
      <c r="C907" s="178"/>
      <c r="D907" s="178"/>
      <c r="E907" s="178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178"/>
      <c r="B908" s="178"/>
      <c r="C908" s="178"/>
      <c r="D908" s="178"/>
      <c r="E908" s="178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178"/>
      <c r="B909" s="178"/>
      <c r="C909" s="178"/>
      <c r="D909" s="178"/>
      <c r="E909" s="178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178"/>
      <c r="B910" s="178"/>
      <c r="C910" s="178"/>
      <c r="D910" s="178"/>
      <c r="E910" s="178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178"/>
      <c r="B911" s="178"/>
      <c r="C911" s="178"/>
      <c r="D911" s="178"/>
      <c r="E911" s="178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178"/>
      <c r="B912" s="178"/>
      <c r="C912" s="178"/>
      <c r="D912" s="178"/>
      <c r="E912" s="178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178"/>
      <c r="B913" s="178"/>
      <c r="C913" s="178"/>
      <c r="D913" s="178"/>
      <c r="E913" s="178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178"/>
      <c r="B914" s="178"/>
      <c r="C914" s="178"/>
      <c r="D914" s="178"/>
      <c r="E914" s="178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178"/>
      <c r="B915" s="178"/>
      <c r="C915" s="178"/>
      <c r="D915" s="178"/>
      <c r="E915" s="178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178"/>
      <c r="B916" s="178"/>
      <c r="C916" s="178"/>
      <c r="D916" s="178"/>
      <c r="E916" s="178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178"/>
      <c r="B917" s="178"/>
      <c r="C917" s="178"/>
      <c r="D917" s="178"/>
      <c r="E917" s="178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178"/>
      <c r="B918" s="178"/>
      <c r="C918" s="178"/>
      <c r="D918" s="178"/>
      <c r="E918" s="178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178"/>
      <c r="B919" s="178"/>
      <c r="C919" s="178"/>
      <c r="D919" s="178"/>
      <c r="E919" s="178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178"/>
      <c r="B920" s="178"/>
      <c r="C920" s="178"/>
      <c r="D920" s="178"/>
      <c r="E920" s="178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178"/>
      <c r="B921" s="178"/>
      <c r="C921" s="178"/>
      <c r="D921" s="178"/>
      <c r="E921" s="178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178"/>
      <c r="B922" s="178"/>
      <c r="C922" s="178"/>
      <c r="D922" s="178"/>
      <c r="E922" s="178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178"/>
      <c r="B923" s="178"/>
      <c r="C923" s="178"/>
      <c r="D923" s="178"/>
      <c r="E923" s="178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178"/>
      <c r="B924" s="178"/>
      <c r="C924" s="178"/>
      <c r="D924" s="178"/>
      <c r="E924" s="178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178"/>
      <c r="B925" s="178"/>
      <c r="C925" s="178"/>
      <c r="D925" s="178"/>
      <c r="E925" s="178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178"/>
      <c r="B926" s="178"/>
      <c r="C926" s="178"/>
      <c r="D926" s="178"/>
      <c r="E926" s="178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178"/>
      <c r="B927" s="178"/>
      <c r="C927" s="178"/>
      <c r="D927" s="178"/>
      <c r="E927" s="178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178"/>
      <c r="B928" s="178"/>
      <c r="C928" s="178"/>
      <c r="D928" s="178"/>
      <c r="E928" s="178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178"/>
      <c r="B929" s="178"/>
      <c r="C929" s="178"/>
      <c r="D929" s="178"/>
      <c r="E929" s="178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178"/>
      <c r="B930" s="178"/>
      <c r="C930" s="178"/>
      <c r="D930" s="178"/>
      <c r="E930" s="178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178"/>
      <c r="B931" s="178"/>
      <c r="C931" s="178"/>
      <c r="D931" s="178"/>
      <c r="E931" s="178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178"/>
      <c r="B932" s="178"/>
      <c r="C932" s="178"/>
      <c r="D932" s="178"/>
      <c r="E932" s="178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178"/>
      <c r="B933" s="178"/>
      <c r="C933" s="178"/>
      <c r="D933" s="178"/>
      <c r="E933" s="178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178"/>
      <c r="B934" s="178"/>
      <c r="C934" s="178"/>
      <c r="D934" s="178"/>
      <c r="E934" s="178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178"/>
      <c r="B935" s="178"/>
      <c r="C935" s="178"/>
      <c r="D935" s="178"/>
      <c r="E935" s="178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178"/>
      <c r="B936" s="178"/>
      <c r="C936" s="178"/>
      <c r="D936" s="178"/>
      <c r="E936" s="178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178"/>
      <c r="B937" s="178"/>
      <c r="C937" s="178"/>
      <c r="D937" s="178"/>
      <c r="E937" s="178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178"/>
      <c r="B938" s="178"/>
      <c r="C938" s="178"/>
      <c r="D938" s="178"/>
      <c r="E938" s="178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178"/>
      <c r="B939" s="178"/>
      <c r="C939" s="178"/>
      <c r="D939" s="178"/>
      <c r="E939" s="178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178"/>
      <c r="B940" s="178"/>
      <c r="C940" s="178"/>
      <c r="D940" s="178"/>
      <c r="E940" s="178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178"/>
      <c r="B941" s="178"/>
      <c r="C941" s="178"/>
      <c r="D941" s="178"/>
      <c r="E941" s="178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178"/>
      <c r="B942" s="178"/>
      <c r="C942" s="178"/>
      <c r="D942" s="178"/>
      <c r="E942" s="178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178"/>
      <c r="B943" s="178"/>
      <c r="C943" s="178"/>
      <c r="D943" s="178"/>
      <c r="E943" s="178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178"/>
      <c r="B944" s="178"/>
      <c r="C944" s="178"/>
      <c r="D944" s="178"/>
      <c r="E944" s="178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178"/>
      <c r="B945" s="178"/>
      <c r="C945" s="178"/>
      <c r="D945" s="178"/>
      <c r="E945" s="178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178"/>
      <c r="B946" s="178"/>
      <c r="C946" s="178"/>
      <c r="D946" s="178"/>
      <c r="E946" s="178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178"/>
      <c r="B947" s="178"/>
      <c r="C947" s="178"/>
      <c r="D947" s="178"/>
      <c r="E947" s="178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178"/>
      <c r="B948" s="178"/>
      <c r="C948" s="178"/>
      <c r="D948" s="178"/>
      <c r="E948" s="178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178"/>
      <c r="B949" s="178"/>
      <c r="C949" s="178"/>
      <c r="D949" s="178"/>
      <c r="E949" s="178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178"/>
      <c r="B950" s="178"/>
      <c r="C950" s="178"/>
      <c r="D950" s="178"/>
      <c r="E950" s="178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178"/>
      <c r="B951" s="178"/>
      <c r="C951" s="178"/>
      <c r="D951" s="178"/>
      <c r="E951" s="178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178"/>
      <c r="B952" s="178"/>
      <c r="C952" s="178"/>
      <c r="D952" s="178"/>
      <c r="E952" s="178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178"/>
      <c r="B953" s="178"/>
      <c r="C953" s="178"/>
      <c r="D953" s="178"/>
      <c r="E953" s="178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178"/>
      <c r="B954" s="178"/>
      <c r="C954" s="178"/>
      <c r="D954" s="178"/>
      <c r="E954" s="178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178"/>
      <c r="B955" s="178"/>
      <c r="C955" s="178"/>
      <c r="D955" s="178"/>
      <c r="E955" s="178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178"/>
      <c r="B956" s="178"/>
      <c r="C956" s="178"/>
      <c r="D956" s="178"/>
      <c r="E956" s="178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178"/>
      <c r="B957" s="178"/>
      <c r="C957" s="178"/>
      <c r="D957" s="178"/>
      <c r="E957" s="178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178"/>
      <c r="B958" s="178"/>
      <c r="C958" s="178"/>
      <c r="D958" s="178"/>
      <c r="E958" s="178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178"/>
      <c r="B959" s="178"/>
      <c r="C959" s="178"/>
      <c r="D959" s="178"/>
      <c r="E959" s="178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178"/>
      <c r="B960" s="178"/>
      <c r="C960" s="178"/>
      <c r="D960" s="178"/>
      <c r="E960" s="178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178"/>
      <c r="B961" s="178"/>
      <c r="C961" s="178"/>
      <c r="D961" s="178"/>
      <c r="E961" s="178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178"/>
      <c r="B962" s="178"/>
      <c r="C962" s="178"/>
      <c r="D962" s="178"/>
      <c r="E962" s="178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178"/>
      <c r="B963" s="178"/>
      <c r="C963" s="178"/>
      <c r="D963" s="178"/>
      <c r="E963" s="178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178"/>
      <c r="B964" s="178"/>
      <c r="C964" s="178"/>
      <c r="D964" s="178"/>
      <c r="E964" s="178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178"/>
      <c r="B965" s="178"/>
      <c r="C965" s="178"/>
      <c r="D965" s="178"/>
      <c r="E965" s="178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178"/>
      <c r="B966" s="178"/>
      <c r="C966" s="178"/>
      <c r="D966" s="178"/>
      <c r="E966" s="178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178"/>
      <c r="B967" s="178"/>
      <c r="C967" s="178"/>
      <c r="D967" s="178"/>
      <c r="E967" s="178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178"/>
      <c r="B968" s="178"/>
      <c r="C968" s="178"/>
      <c r="D968" s="178"/>
      <c r="E968" s="178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178"/>
      <c r="B969" s="178"/>
      <c r="C969" s="178"/>
      <c r="D969" s="178"/>
      <c r="E969" s="178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178"/>
      <c r="B970" s="178"/>
      <c r="C970" s="178"/>
      <c r="D970" s="178"/>
      <c r="E970" s="178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178"/>
      <c r="B971" s="178"/>
      <c r="C971" s="178"/>
      <c r="D971" s="178"/>
      <c r="E971" s="178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178"/>
      <c r="B972" s="178"/>
      <c r="C972" s="178"/>
      <c r="D972" s="178"/>
      <c r="E972" s="178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178"/>
      <c r="B973" s="178"/>
      <c r="C973" s="178"/>
      <c r="D973" s="178"/>
      <c r="E973" s="178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178"/>
      <c r="B974" s="178"/>
      <c r="C974" s="178"/>
      <c r="D974" s="178"/>
      <c r="E974" s="178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178"/>
      <c r="B975" s="178"/>
      <c r="C975" s="178"/>
      <c r="D975" s="178"/>
      <c r="E975" s="178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178"/>
      <c r="B976" s="178"/>
      <c r="C976" s="178"/>
      <c r="D976" s="178"/>
      <c r="E976" s="178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178"/>
      <c r="B977" s="178"/>
      <c r="C977" s="178"/>
      <c r="D977" s="178"/>
      <c r="E977" s="178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178"/>
      <c r="B978" s="178"/>
      <c r="C978" s="178"/>
      <c r="D978" s="178"/>
      <c r="E978" s="178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178"/>
      <c r="B979" s="178"/>
      <c r="C979" s="178"/>
      <c r="D979" s="178"/>
      <c r="E979" s="178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178"/>
      <c r="B980" s="178"/>
      <c r="C980" s="178"/>
      <c r="D980" s="178"/>
      <c r="E980" s="178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178"/>
      <c r="B981" s="178"/>
      <c r="C981" s="178"/>
      <c r="D981" s="178"/>
      <c r="E981" s="178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178"/>
      <c r="B982" s="178"/>
      <c r="C982" s="178"/>
      <c r="D982" s="178"/>
      <c r="E982" s="178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178"/>
      <c r="B983" s="178"/>
      <c r="C983" s="178"/>
      <c r="D983" s="178"/>
      <c r="E983" s="178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178"/>
      <c r="B984" s="178"/>
      <c r="C984" s="178"/>
      <c r="D984" s="178"/>
      <c r="E984" s="178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178"/>
      <c r="B985" s="178"/>
      <c r="C985" s="178"/>
      <c r="D985" s="178"/>
      <c r="E985" s="178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178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178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178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42.88"/>
    <col customWidth="1" min="3" max="3" width="16.0"/>
    <col customWidth="1" min="4" max="4" width="13.5"/>
    <col customWidth="1" min="5" max="5" width="16.88"/>
    <col customWidth="1" min="6" max="6" width="33.13"/>
    <col customWidth="1" min="7" max="7" width="16.88"/>
    <col customWidth="1" min="8" max="8" width="19.38"/>
  </cols>
  <sheetData>
    <row r="1">
      <c r="A1" s="233" t="s">
        <v>0</v>
      </c>
      <c r="B1" s="233" t="str">
        <f>IFERROR(__xludf.DUMMYFUNCTION("IMPORTRANGE(
 ""https://docs.google.com/spreadsheets/d/1uj8zy8zuT1G1YwWGRnX0EUZnvCL77PGIewLSWtMlg1o"",
 ""Capa!B:H""
)
"),"Destino")</f>
        <v>Destino</v>
      </c>
      <c r="C1" s="233" t="str">
        <f>IFERROR(__xludf.DUMMYFUNCTION("""COMPUTED_VALUE"""),"Fanout")</f>
        <v>Fanout</v>
      </c>
      <c r="D1" s="233" t="str">
        <f>IFERROR(__xludf.DUMMYFUNCTION("""COMPUTED_VALUE"""),"Doca")</f>
        <v>Doca</v>
      </c>
      <c r="E1" s="233" t="str">
        <f>IFERROR(__xludf.DUMMYFUNCTION("""COMPUTED_VALUE"""),"LH")</f>
        <v>LH</v>
      </c>
      <c r="F1" s="234" t="str">
        <f>IFERROR(__xludf.DUMMYFUNCTION("""COMPUTED_VALUE"""),"PLACA")</f>
        <v>PLACA</v>
      </c>
      <c r="G1" s="234" t="str">
        <f>IFERROR(__xludf.DUMMYFUNCTION("""COMPUTED_VALUE"""),"ETA (Previsto)")</f>
        <v>ETA (Previsto)</v>
      </c>
      <c r="H1" s="234" t="str">
        <f>IFERROR(__xludf.DUMMYFUNCTION("""COMPUTED_VALUE"""),"CPT")</f>
        <v>CPT</v>
      </c>
      <c r="I1" s="233" t="s">
        <v>1712</v>
      </c>
      <c r="J1" s="235">
        <f t="array" ref="J1:J8648">IF(E2:E8649="","", (H2:H8649 - G2:G8649) * 1440)
</f>
        <v>0</v>
      </c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</row>
    <row r="2">
      <c r="A2" s="131" t="s">
        <v>1713</v>
      </c>
      <c r="B2" s="233" t="str">
        <f>IFERROR(__xludf.DUMMYFUNCTION("""COMPUTED_VALUE"""),"-")</f>
        <v>-</v>
      </c>
      <c r="C2" s="131" t="str">
        <f>IFERROR(__xludf.DUMMYFUNCTION("""COMPUTED_VALUE"""),"-")</f>
        <v>-</v>
      </c>
      <c r="D2" s="131"/>
      <c r="E2" s="237" t="str">
        <f>IFERROR(__xludf.DUMMYFUNCTION("""COMPUTED_VALUE"""),"Não excluir essa linha")</f>
        <v>Não excluir essa linha</v>
      </c>
      <c r="F2" s="238" t="str">
        <f>IFERROR(__xludf.DUMMYFUNCTION("""COMPUTED_VALUE"""),"-")</f>
        <v>-</v>
      </c>
      <c r="G2" s="234"/>
      <c r="H2" s="234"/>
      <c r="I2" s="237" t="str">
        <f t="shared" ref="I2:I5548" si="1">IF(H2&lt;=G2,"Dentro","Fora")</f>
        <v>Dentro</v>
      </c>
      <c r="J2" s="239">
        <v>119.99999999301508</v>
      </c>
    </row>
    <row r="3">
      <c r="A3" s="131" t="s">
        <v>1714</v>
      </c>
      <c r="B3" s="240" t="str">
        <f>IFERROR(__xludf.DUMMYFUNCTION("""COMPUTED_VALUE"""),"SoC_MG_Betim")</f>
        <v>SoC_MG_Betim</v>
      </c>
      <c r="C3" s="131" t="str">
        <f>IFERROR(__xludf.DUMMYFUNCTION("""COMPUTED_VALUE"""),"SOC-MG2")</f>
        <v>SOC-MG2</v>
      </c>
      <c r="D3" s="131">
        <f>IFERROR(__xludf.DUMMYFUNCTION("""COMPUTED_VALUE"""),8.0)</f>
        <v>8</v>
      </c>
      <c r="E3" s="237" t="str">
        <f>IFERROR(__xludf.DUMMYFUNCTION("""COMPUTED_VALUE"""),"LT1PB801RNSS1")</f>
        <v>LT1PB801RNSS1</v>
      </c>
      <c r="F3" s="234"/>
      <c r="G3" s="238">
        <f>IFERROR(__xludf.DUMMYFUNCTION("""COMPUTED_VALUE"""),45969.958333333336)</f>
        <v>45969.95833</v>
      </c>
      <c r="H3" s="238">
        <f>IFERROR(__xludf.DUMMYFUNCTION("""COMPUTED_VALUE"""),45970.041666666664)</f>
        <v>45970.04167</v>
      </c>
      <c r="I3" s="237" t="str">
        <f t="shared" si="1"/>
        <v>Fora</v>
      </c>
      <c r="J3" s="239">
        <v>119.99999999301508</v>
      </c>
    </row>
    <row r="4">
      <c r="A4" s="131" t="s">
        <v>1715</v>
      </c>
      <c r="B4" s="234" t="str">
        <f>IFERROR(__xludf.DUMMYFUNCTION("""COMPUTED_VALUE"""),"SoC_SP_Santana")</f>
        <v>SoC_SP_Santana</v>
      </c>
      <c r="C4" s="131" t="str">
        <f>IFERROR(__xludf.DUMMYFUNCTION("""COMPUTED_VALUE"""),"SOC-SP2")</f>
        <v>SOC-SP2</v>
      </c>
      <c r="D4" s="131">
        <f>IFERROR(__xludf.DUMMYFUNCTION("""COMPUTED_VALUE"""),24.0)</f>
        <v>24</v>
      </c>
      <c r="E4" s="237" t="str">
        <f>IFERROR(__xludf.DUMMYFUNCTION("""COMPUTED_VALUE"""),"LT1PB801RNSP1")</f>
        <v>LT1PB801RNSP1</v>
      </c>
      <c r="F4" s="234"/>
      <c r="G4" s="238">
        <f>IFERROR(__xludf.DUMMYFUNCTION("""COMPUTED_VALUE"""),45969.958333333336)</f>
        <v>45969.95833</v>
      </c>
      <c r="H4" s="238">
        <f>IFERROR(__xludf.DUMMYFUNCTION("""COMPUTED_VALUE"""),45970.041666666664)</f>
        <v>45970.04167</v>
      </c>
      <c r="I4" s="237" t="str">
        <f t="shared" si="1"/>
        <v>Fora</v>
      </c>
      <c r="J4" s="239">
        <v>120.00000000349246</v>
      </c>
    </row>
    <row r="5">
      <c r="A5" s="131" t="s">
        <v>1716</v>
      </c>
      <c r="B5" s="234" t="str">
        <f>IFERROR(__xludf.DUMMYFUNCTION("""COMPUTED_VALUE"""),"SoC_MG_Betim")</f>
        <v>SoC_MG_Betim</v>
      </c>
      <c r="C5" s="131" t="str">
        <f>IFERROR(__xludf.DUMMYFUNCTION("""COMPUTED_VALUE"""),"SOC-MG2")</f>
        <v>SOC-MG2</v>
      </c>
      <c r="D5" s="131">
        <f>IFERROR(__xludf.DUMMYFUNCTION("""COMPUTED_VALUE"""),15.0)</f>
        <v>15</v>
      </c>
      <c r="E5" s="237" t="str">
        <f>IFERROR(__xludf.DUMMYFUNCTION("""COMPUTED_VALUE"""),"LT1PB901RKVN1")</f>
        <v>LT1PB901RKVN1</v>
      </c>
      <c r="F5" s="234"/>
      <c r="G5" s="238">
        <f>IFERROR(__xludf.DUMMYFUNCTION("""COMPUTED_VALUE"""),45970.0)</f>
        <v>45970</v>
      </c>
      <c r="H5" s="238">
        <f>IFERROR(__xludf.DUMMYFUNCTION("""COMPUTED_VALUE"""),45970.083333333336)</f>
        <v>45970.08333</v>
      </c>
      <c r="I5" s="237" t="str">
        <f t="shared" si="1"/>
        <v>Fora</v>
      </c>
      <c r="J5" s="239">
        <v>120.00000000349246</v>
      </c>
    </row>
    <row r="6">
      <c r="A6" s="131" t="s">
        <v>1717</v>
      </c>
      <c r="B6" s="234" t="str">
        <f>IFERROR(__xludf.DUMMYFUNCTION("""COMPUTED_VALUE"""),"SoC_PR_Curitiba")</f>
        <v>SoC_PR_Curitiba</v>
      </c>
      <c r="C6" s="131" t="str">
        <f>IFERROR(__xludf.DUMMYFUNCTION("""COMPUTED_VALUE"""),"SOC-PR1")</f>
        <v>SOC-PR1</v>
      </c>
      <c r="D6" s="131">
        <f>IFERROR(__xludf.DUMMYFUNCTION("""COMPUTED_VALUE"""),26.0)</f>
        <v>26</v>
      </c>
      <c r="E6" s="237" t="str">
        <f>IFERROR(__xludf.DUMMYFUNCTION("""COMPUTED_VALUE"""),"LT0PB801QNON1")</f>
        <v>LT0PB801QNON1</v>
      </c>
      <c r="F6" s="234"/>
      <c r="G6" s="238">
        <f>IFERROR(__xludf.DUMMYFUNCTION("""COMPUTED_VALUE"""),45970.0)</f>
        <v>45970</v>
      </c>
      <c r="H6" s="238">
        <f>IFERROR(__xludf.DUMMYFUNCTION("""COMPUTED_VALUE"""),45970.083333333336)</f>
        <v>45970.08333</v>
      </c>
      <c r="I6" s="237" t="str">
        <f t="shared" si="1"/>
        <v>Fora</v>
      </c>
      <c r="J6" s="239">
        <v>120.00000000349246</v>
      </c>
    </row>
    <row r="7">
      <c r="A7" s="131" t="s">
        <v>1718</v>
      </c>
      <c r="B7" s="234" t="str">
        <f>IFERROR(__xludf.DUMMYFUNCTION("""COMPUTED_VALUE"""),"SoC_SP_Cravinhos")</f>
        <v>SoC_SP_Cravinhos</v>
      </c>
      <c r="C7" s="131" t="str">
        <f>IFERROR(__xludf.DUMMYFUNCTION("""COMPUTED_VALUE"""),"SOC-SP5")</f>
        <v>SOC-SP5</v>
      </c>
      <c r="D7" s="131">
        <f>IFERROR(__xludf.DUMMYFUNCTION("""COMPUTED_VALUE"""),34.0)</f>
        <v>34</v>
      </c>
      <c r="E7" s="237" t="str">
        <f>IFERROR(__xludf.DUMMYFUNCTION("""COMPUTED_VALUE"""),"LT1PB801RKVV1")</f>
        <v>LT1PB801RKVV1</v>
      </c>
      <c r="F7" s="234"/>
      <c r="G7" s="238">
        <f>IFERROR(__xludf.DUMMYFUNCTION("""COMPUTED_VALUE"""),45970.0)</f>
        <v>45970</v>
      </c>
      <c r="H7" s="238">
        <f>IFERROR(__xludf.DUMMYFUNCTION("""COMPUTED_VALUE"""),45970.083333333336)</f>
        <v>45970.08333</v>
      </c>
      <c r="I7" s="237" t="str">
        <f t="shared" si="1"/>
        <v>Fora</v>
      </c>
      <c r="J7" s="239">
        <v>120.00000000349246</v>
      </c>
    </row>
    <row r="8">
      <c r="A8" s="131" t="s">
        <v>1719</v>
      </c>
      <c r="B8" s="234" t="str">
        <f>IFERROR(__xludf.DUMMYFUNCTION("""COMPUTED_VALUE"""),"SoC_RJ_Duque de Caxias")</f>
        <v>SoC_RJ_Duque de Caxias</v>
      </c>
      <c r="C8" s="131" t="str">
        <f>IFERROR(__xludf.DUMMYFUNCTION("""COMPUTED_VALUE"""),"SOC-RJ2")</f>
        <v>SOC-RJ2</v>
      </c>
      <c r="D8" s="131">
        <f>IFERROR(__xludf.DUMMYFUNCTION("""COMPUTED_VALUE"""),13.0)</f>
        <v>13</v>
      </c>
      <c r="E8" s="237" t="str">
        <f>IFERROR(__xludf.DUMMYFUNCTION("""COMPUTED_VALUE"""),"LT1PB901RNSX1")</f>
        <v>LT1PB901RNSX1</v>
      </c>
      <c r="F8" s="234"/>
      <c r="G8" s="238">
        <f>IFERROR(__xludf.DUMMYFUNCTION("""COMPUTED_VALUE"""),45970.041666666664)</f>
        <v>45970.04167</v>
      </c>
      <c r="H8" s="238">
        <f>IFERROR(__xludf.DUMMYFUNCTION("""COMPUTED_VALUE"""),45970.125)</f>
        <v>45970.125</v>
      </c>
      <c r="I8" s="237" t="str">
        <f t="shared" si="1"/>
        <v>Fora</v>
      </c>
      <c r="J8" s="239">
        <v>119.99999999301508</v>
      </c>
    </row>
    <row r="9">
      <c r="A9" s="131" t="s">
        <v>1720</v>
      </c>
      <c r="B9" s="234" t="str">
        <f>IFERROR(__xludf.DUMMYFUNCTION("""COMPUTED_VALUE"""),"SoC_MG_Betim")</f>
        <v>SoC_MG_Betim</v>
      </c>
      <c r="C9" s="93" t="str">
        <f>IFERROR(__xludf.DUMMYFUNCTION("""COMPUTED_VALUE"""),"SOC-MG2")</f>
        <v>SOC-MG2</v>
      </c>
      <c r="D9" s="93">
        <f>IFERROR(__xludf.DUMMYFUNCTION("""COMPUTED_VALUE"""),15.0)</f>
        <v>15</v>
      </c>
      <c r="E9" s="237" t="str">
        <f>IFERROR(__xludf.DUMMYFUNCTION("""COMPUTED_VALUE"""),"LT1PB901RKVO1")</f>
        <v>LT1PB901RKVO1</v>
      </c>
      <c r="F9" s="234"/>
      <c r="G9" s="238">
        <f>IFERROR(__xludf.DUMMYFUNCTION("""COMPUTED_VALUE"""),45970.083333333336)</f>
        <v>45970.08333</v>
      </c>
      <c r="H9" s="238">
        <f>IFERROR(__xludf.DUMMYFUNCTION("""COMPUTED_VALUE"""),45970.166666666664)</f>
        <v>45970.16667</v>
      </c>
      <c r="I9" s="237" t="str">
        <f t="shared" si="1"/>
        <v>Fora</v>
      </c>
      <c r="J9" s="239">
        <v>119.99999999301508</v>
      </c>
    </row>
    <row r="10">
      <c r="A10" s="173" t="s">
        <v>1721</v>
      </c>
      <c r="B10" s="234" t="str">
        <f>IFERROR(__xludf.DUMMYFUNCTION("""COMPUTED_VALUE"""),"SoC_RJ_Duque de Caxias")</f>
        <v>SoC_RJ_Duque de Caxias</v>
      </c>
      <c r="C10" s="173" t="str">
        <f>IFERROR(__xludf.DUMMYFUNCTION("""COMPUTED_VALUE"""),"SOC-RJ2")</f>
        <v>SOC-RJ2</v>
      </c>
      <c r="D10" s="173">
        <f>IFERROR(__xludf.DUMMYFUNCTION("""COMPUTED_VALUE"""),18.0)</f>
        <v>18</v>
      </c>
      <c r="E10" s="237" t="str">
        <f>IFERROR(__xludf.DUMMYFUNCTION("""COMPUTED_VALUE"""),"LT1PB901RKWG1")</f>
        <v>LT1PB901RKWG1</v>
      </c>
      <c r="F10" s="234"/>
      <c r="G10" s="238">
        <f>IFERROR(__xludf.DUMMYFUNCTION("""COMPUTED_VALUE"""),45970.083333333336)</f>
        <v>45970.08333</v>
      </c>
      <c r="H10" s="238">
        <f>IFERROR(__xludf.DUMMYFUNCTION("""COMPUTED_VALUE"""),45970.166666666664)</f>
        <v>45970.16667</v>
      </c>
      <c r="I10" s="237" t="str">
        <f t="shared" si="1"/>
        <v>Fora</v>
      </c>
      <c r="J10" s="239">
        <v>120.00000000349246</v>
      </c>
    </row>
    <row r="11">
      <c r="A11" s="131" t="s">
        <v>1722</v>
      </c>
      <c r="B11" s="234" t="str">
        <f>IFERROR(__xludf.DUMMYFUNCTION("""COMPUTED_VALUE"""),"SoC_GO_Goiânia_02")</f>
        <v>SoC_GO_Goiânia_02</v>
      </c>
      <c r="C11" s="131" t="str">
        <f>IFERROR(__xludf.DUMMYFUNCTION("""COMPUTED_VALUE"""),"SOC-GO2")</f>
        <v>SOC-GO2</v>
      </c>
      <c r="D11" s="131">
        <f>IFERROR(__xludf.DUMMYFUNCTION("""COMPUTED_VALUE"""),12.0)</f>
        <v>12</v>
      </c>
      <c r="E11" s="237" t="str">
        <f>IFERROR(__xludf.DUMMYFUNCTION("""COMPUTED_VALUE"""),"LT1PB901RO471")</f>
        <v>LT1PB901RO471</v>
      </c>
      <c r="F11" s="234"/>
      <c r="G11" s="238">
        <f>IFERROR(__xludf.DUMMYFUNCTION("""COMPUTED_VALUE"""),45970.125)</f>
        <v>45970.125</v>
      </c>
      <c r="H11" s="238">
        <f>IFERROR(__xludf.DUMMYFUNCTION("""COMPUTED_VALUE"""),45970.208333333336)</f>
        <v>45970.20833</v>
      </c>
      <c r="I11" s="237" t="str">
        <f t="shared" si="1"/>
        <v>Fora</v>
      </c>
      <c r="J11" s="239">
        <v>120.00000000349246</v>
      </c>
    </row>
    <row r="12">
      <c r="A12" s="131" t="s">
        <v>1723</v>
      </c>
      <c r="B12" s="234" t="str">
        <f>IFERROR(__xludf.DUMMYFUNCTION("""COMPUTED_VALUE"""),"SoC_MG_Betim")</f>
        <v>SoC_MG_Betim</v>
      </c>
      <c r="C12" s="131" t="str">
        <f>IFERROR(__xludf.DUMMYFUNCTION("""COMPUTED_VALUE"""),"SOC-MG2")</f>
        <v>SOC-MG2</v>
      </c>
      <c r="D12" s="131">
        <f>IFERROR(__xludf.DUMMYFUNCTION("""COMPUTED_VALUE"""),8.0)</f>
        <v>8</v>
      </c>
      <c r="E12" s="237" t="str">
        <f>IFERROR(__xludf.DUMMYFUNCTION("""COMPUTED_VALUE"""),"LT1PB901RKVP1")</f>
        <v>LT1PB901RKVP1</v>
      </c>
      <c r="F12" s="234"/>
      <c r="G12" s="238">
        <f>IFERROR(__xludf.DUMMYFUNCTION("""COMPUTED_VALUE"""),45970.125)</f>
        <v>45970.125</v>
      </c>
      <c r="H12" s="238">
        <f>IFERROR(__xludf.DUMMYFUNCTION("""COMPUTED_VALUE"""),45970.208333333336)</f>
        <v>45970.20833</v>
      </c>
      <c r="I12" s="237" t="str">
        <f t="shared" si="1"/>
        <v>Fora</v>
      </c>
      <c r="J12" s="239">
        <v>120.00000000349246</v>
      </c>
    </row>
    <row r="13">
      <c r="A13" s="173" t="s">
        <v>1724</v>
      </c>
      <c r="B13" s="234" t="str">
        <f>IFERROR(__xludf.DUMMYFUNCTION("""COMPUTED_VALUE"""),"SoC_PE_Jaboatão dos Guararapes")</f>
        <v>SoC_PE_Jaboatão dos Guararapes</v>
      </c>
      <c r="C13" s="173" t="str">
        <f>IFERROR(__xludf.DUMMYFUNCTION("""COMPUTED_VALUE"""),"SOC-PE2")</f>
        <v>SOC-PE2</v>
      </c>
      <c r="D13" s="173"/>
      <c r="E13" s="237" t="str">
        <f>IFERROR(__xludf.DUMMYFUNCTION("""COMPUTED_VALUE"""),"LT1PB901RO2Y1")</f>
        <v>LT1PB901RO2Y1</v>
      </c>
      <c r="F13" s="234"/>
      <c r="G13" s="238">
        <f>IFERROR(__xludf.DUMMYFUNCTION("""COMPUTED_VALUE"""),45970.125)</f>
        <v>45970.125</v>
      </c>
      <c r="H13" s="238">
        <f>IFERROR(__xludf.DUMMYFUNCTION("""COMPUTED_VALUE"""),45970.208333333336)</f>
        <v>45970.20833</v>
      </c>
      <c r="I13" s="237" t="str">
        <f t="shared" si="1"/>
        <v>Fora</v>
      </c>
      <c r="J13" s="239">
        <v>120.00000000349246</v>
      </c>
    </row>
    <row r="14">
      <c r="A14" s="173" t="s">
        <v>1725</v>
      </c>
      <c r="B14" s="234" t="str">
        <f>IFERROR(__xludf.DUMMYFUNCTION("""COMPUTED_VALUE"""),"SoC_RJ_Duque de Caxias")</f>
        <v>SoC_RJ_Duque de Caxias</v>
      </c>
      <c r="C14" s="173" t="str">
        <f>IFERROR(__xludf.DUMMYFUNCTION("""COMPUTED_VALUE"""),"SOC-RJ2")</f>
        <v>SOC-RJ2</v>
      </c>
      <c r="D14" s="173"/>
      <c r="E14" s="237" t="str">
        <f>IFERROR(__xludf.DUMMYFUNCTION("""COMPUTED_VALUE"""),"LT1PB901RKWH1")</f>
        <v>LT1PB901RKWH1</v>
      </c>
      <c r="F14" s="234"/>
      <c r="G14" s="238">
        <f>IFERROR(__xludf.DUMMYFUNCTION("""COMPUTED_VALUE"""),45970.125)</f>
        <v>45970.125</v>
      </c>
      <c r="H14" s="238">
        <f>IFERROR(__xludf.DUMMYFUNCTION("""COMPUTED_VALUE"""),45970.208333333336)</f>
        <v>45970.20833</v>
      </c>
      <c r="I14" s="237" t="str">
        <f t="shared" si="1"/>
        <v>Fora</v>
      </c>
      <c r="J14" s="239">
        <v>120.00000000349246</v>
      </c>
    </row>
    <row r="15">
      <c r="A15" s="93" t="s">
        <v>1726</v>
      </c>
      <c r="B15" s="234" t="str">
        <f>IFERROR(__xludf.DUMMYFUNCTION("""COMPUTED_VALUE"""),"SoC_RS_Gravataí_02")</f>
        <v>SoC_RS_Gravataí_02</v>
      </c>
      <c r="C15" s="93" t="str">
        <f>IFERROR(__xludf.DUMMYFUNCTION("""COMPUTED_VALUE"""),"SOC-RS2")</f>
        <v>SOC-RS2</v>
      </c>
      <c r="D15" s="93">
        <f>IFERROR(__xludf.DUMMYFUNCTION("""COMPUTED_VALUE"""),23.0)</f>
        <v>23</v>
      </c>
      <c r="E15" s="237" t="str">
        <f>IFERROR(__xludf.DUMMYFUNCTION("""COMPUTED_VALUE"""),"LT1PB901RNSU1")</f>
        <v>LT1PB901RNSU1</v>
      </c>
      <c r="F15" s="234"/>
      <c r="G15" s="238">
        <f>IFERROR(__xludf.DUMMYFUNCTION("""COMPUTED_VALUE"""),45970.125)</f>
        <v>45970.125</v>
      </c>
      <c r="H15" s="238">
        <f>IFERROR(__xludf.DUMMYFUNCTION("""COMPUTED_VALUE"""),45970.208333333336)</f>
        <v>45970.20833</v>
      </c>
      <c r="I15" s="237" t="str">
        <f t="shared" si="1"/>
        <v>Fora</v>
      </c>
      <c r="J15" s="239">
        <v>120.00000000349246</v>
      </c>
    </row>
    <row r="16">
      <c r="A16" s="173" t="s">
        <v>1727</v>
      </c>
      <c r="B16" s="234" t="str">
        <f>IFERROR(__xludf.DUMMYFUNCTION("""COMPUTED_VALUE"""),"SoC_SC_Itajaí")</f>
        <v>SoC_SC_Itajaí</v>
      </c>
      <c r="C16" s="173" t="str">
        <f>IFERROR(__xludf.DUMMYFUNCTION("""COMPUTED_VALUE"""),"SOC-SC1")</f>
        <v>SOC-SC1</v>
      </c>
      <c r="D16" s="173">
        <f>IFERROR(__xludf.DUMMYFUNCTION("""COMPUTED_VALUE"""),14.0)</f>
        <v>14</v>
      </c>
      <c r="E16" s="237" t="str">
        <f>IFERROR(__xludf.DUMMYFUNCTION("""COMPUTED_VALUE"""),"LT1PB901RO331")</f>
        <v>LT1PB901RO331</v>
      </c>
      <c r="F16" s="234"/>
      <c r="G16" s="238">
        <f>IFERROR(__xludf.DUMMYFUNCTION("""COMPUTED_VALUE"""),45970.125)</f>
        <v>45970.125</v>
      </c>
      <c r="H16" s="238">
        <f>IFERROR(__xludf.DUMMYFUNCTION("""COMPUTED_VALUE"""),45970.208333333336)</f>
        <v>45970.20833</v>
      </c>
      <c r="I16" s="237" t="str">
        <f t="shared" si="1"/>
        <v>Fora</v>
      </c>
      <c r="J16" s="239">
        <v>120.00000000349246</v>
      </c>
    </row>
    <row r="17">
      <c r="A17" s="172" t="s">
        <v>1728</v>
      </c>
      <c r="B17" s="234" t="str">
        <f>IFERROR(__xludf.DUMMYFUNCTION("""COMPUTED_VALUE"""),"SoC_BA_Simoes Filho")</f>
        <v>SoC_BA_Simoes Filho</v>
      </c>
      <c r="C17" s="172" t="str">
        <f>IFERROR(__xludf.DUMMYFUNCTION("""COMPUTED_VALUE"""),"SOC-BA2")</f>
        <v>SOC-BA2</v>
      </c>
      <c r="D17" s="172">
        <f>IFERROR(__xludf.DUMMYFUNCTION("""COMPUTED_VALUE"""),34.0)</f>
        <v>34</v>
      </c>
      <c r="E17" s="237" t="str">
        <f>IFERROR(__xludf.DUMMYFUNCTION("""COMPUTED_VALUE"""),"LT1PB901RKXA1")</f>
        <v>LT1PB901RKXA1</v>
      </c>
      <c r="F17" s="234"/>
      <c r="G17" s="238">
        <f>IFERROR(__xludf.DUMMYFUNCTION("""COMPUTED_VALUE"""),45970.166666666664)</f>
        <v>45970.16667</v>
      </c>
      <c r="H17" s="238">
        <f>IFERROR(__xludf.DUMMYFUNCTION("""COMPUTED_VALUE"""),45970.25)</f>
        <v>45970.25</v>
      </c>
      <c r="I17" s="237" t="str">
        <f t="shared" si="1"/>
        <v>Fora</v>
      </c>
      <c r="J17" s="239">
        <v>120.00000000349246</v>
      </c>
    </row>
    <row r="18">
      <c r="A18" s="131" t="s">
        <v>1729</v>
      </c>
      <c r="B18" s="234" t="str">
        <f>IFERROR(__xludf.DUMMYFUNCTION("""COMPUTED_VALUE"""),"SoC_GO_Goiânia_02")</f>
        <v>SoC_GO_Goiânia_02</v>
      </c>
      <c r="C18" s="131" t="str">
        <f>IFERROR(__xludf.DUMMYFUNCTION("""COMPUTED_VALUE"""),"SOC-GO2")</f>
        <v>SOC-GO2</v>
      </c>
      <c r="D18" s="131">
        <f>IFERROR(__xludf.DUMMYFUNCTION("""COMPUTED_VALUE"""),17.0)</f>
        <v>17</v>
      </c>
      <c r="E18" s="237" t="str">
        <f>IFERROR(__xludf.DUMMYFUNCTION("""COMPUTED_VALUE"""),"LT1PB901RO481")</f>
        <v>LT1PB901RO481</v>
      </c>
      <c r="F18" s="234"/>
      <c r="G18" s="238">
        <f>IFERROR(__xludf.DUMMYFUNCTION("""COMPUTED_VALUE"""),45970.166666666664)</f>
        <v>45970.16667</v>
      </c>
      <c r="H18" s="238">
        <f>IFERROR(__xludf.DUMMYFUNCTION("""COMPUTED_VALUE"""),45970.25)</f>
        <v>45970.25</v>
      </c>
      <c r="I18" s="237" t="str">
        <f t="shared" si="1"/>
        <v>Fora</v>
      </c>
      <c r="J18" s="239">
        <v>120.00000000349246</v>
      </c>
    </row>
    <row r="19">
      <c r="A19" s="131" t="s">
        <v>1730</v>
      </c>
      <c r="B19" s="234" t="str">
        <f>IFERROR(__xludf.DUMMYFUNCTION("""COMPUTED_VALUE"""),"SoC_PE_Jaboatão dos Guararapes")</f>
        <v>SoC_PE_Jaboatão dos Guararapes</v>
      </c>
      <c r="C19" s="131" t="str">
        <f>IFERROR(__xludf.DUMMYFUNCTION("""COMPUTED_VALUE"""),"SOC-PE2")</f>
        <v>SOC-PE2</v>
      </c>
      <c r="D19" s="131">
        <f>IFERROR(__xludf.DUMMYFUNCTION("""COMPUTED_VALUE"""),16.0)</f>
        <v>16</v>
      </c>
      <c r="E19" s="237" t="str">
        <f>IFERROR(__xludf.DUMMYFUNCTION("""COMPUTED_VALUE"""),"LT1PB901RKX61")</f>
        <v>LT1PB901RKX61</v>
      </c>
      <c r="F19" s="234"/>
      <c r="G19" s="238">
        <f>IFERROR(__xludf.DUMMYFUNCTION("""COMPUTED_VALUE"""),45970.166666666664)</f>
        <v>45970.16667</v>
      </c>
      <c r="H19" s="238">
        <f>IFERROR(__xludf.DUMMYFUNCTION("""COMPUTED_VALUE"""),45970.25)</f>
        <v>45970.25</v>
      </c>
      <c r="I19" s="237" t="str">
        <f t="shared" si="1"/>
        <v>Fora</v>
      </c>
      <c r="J19" s="239">
        <v>120.00000000349246</v>
      </c>
    </row>
    <row r="20">
      <c r="A20" s="131" t="s">
        <v>1731</v>
      </c>
      <c r="B20" s="234" t="str">
        <f>IFERROR(__xludf.DUMMYFUNCTION("""COMPUTED_VALUE"""),"SoC_RJ_Duque de Caxias")</f>
        <v>SoC_RJ_Duque de Caxias</v>
      </c>
      <c r="C20" s="131" t="str">
        <f>IFERROR(__xludf.DUMMYFUNCTION("""COMPUTED_VALUE"""),"SOC-RJ2")</f>
        <v>SOC-RJ2</v>
      </c>
      <c r="D20" s="131"/>
      <c r="E20" s="237" t="str">
        <f>IFERROR(__xludf.DUMMYFUNCTION("""COMPUTED_VALUE"""),"LT1PB901RKWI1")</f>
        <v>LT1PB901RKWI1</v>
      </c>
      <c r="F20" s="234"/>
      <c r="G20" s="238">
        <f>IFERROR(__xludf.DUMMYFUNCTION("""COMPUTED_VALUE"""),45970.166666666664)</f>
        <v>45970.16667</v>
      </c>
      <c r="H20" s="238">
        <f>IFERROR(__xludf.DUMMYFUNCTION("""COMPUTED_VALUE"""),45970.25)</f>
        <v>45970.25</v>
      </c>
      <c r="I20" s="237" t="str">
        <f t="shared" si="1"/>
        <v>Fora</v>
      </c>
      <c r="J20" s="239">
        <v>0.0</v>
      </c>
    </row>
    <row r="21">
      <c r="A21" s="131" t="s">
        <v>1732</v>
      </c>
      <c r="B21" s="234" t="str">
        <f>IFERROR(__xludf.DUMMYFUNCTION("""COMPUTED_VALUE"""),"SoC_BA_Simoes Filho")</f>
        <v>SoC_BA_Simoes Filho</v>
      </c>
      <c r="C21" s="131" t="str">
        <f>IFERROR(__xludf.DUMMYFUNCTION("""COMPUTED_VALUE"""),"SOC-BA2")</f>
        <v>SOC-BA2</v>
      </c>
      <c r="D21" s="131"/>
      <c r="E21" s="237" t="str">
        <f>IFERROR(__xludf.DUMMYFUNCTION("""COMPUTED_VALUE"""),"LT0PB801QU2O1")</f>
        <v>LT0PB801QU2O1</v>
      </c>
      <c r="F21" s="234"/>
      <c r="G21" s="234"/>
      <c r="H21" s="234"/>
      <c r="I21" s="237" t="str">
        <f t="shared" si="1"/>
        <v>Dentro</v>
      </c>
      <c r="J21" s="239">
        <v>119.99999999301508</v>
      </c>
    </row>
    <row r="22">
      <c r="A22" s="131" t="s">
        <v>1733</v>
      </c>
      <c r="B22" s="234" t="str">
        <f>IFERROR(__xludf.DUMMYFUNCTION("""COMPUTED_VALUE"""),"LM Hub_SP_Mogi das Cruzes_Jund")</f>
        <v>LM Hub_SP_Mogi das Cruzes_Jund</v>
      </c>
      <c r="C22" s="131" t="str">
        <f>IFERROR(__xludf.DUMMYFUNCTION("""COMPUTED_VALUE"""),"HUB-LSP-78")</f>
        <v>HUB-LSP-78</v>
      </c>
      <c r="D22" s="131">
        <f>IFERROR(__xludf.DUMMYFUNCTION("""COMPUTED_VALUE"""),7.0)</f>
        <v>7</v>
      </c>
      <c r="E22" s="237" t="str">
        <f>IFERROR(__xludf.DUMMYFUNCTION("""COMPUTED_VALUE"""),"LT0PBA01RC121")</f>
        <v>LT0PBA01RC121</v>
      </c>
      <c r="F22" s="234"/>
      <c r="G22" s="238">
        <f>IFERROR(__xludf.DUMMYFUNCTION("""COMPUTED_VALUE"""),45971.895833333336)</f>
        <v>45971.89583</v>
      </c>
      <c r="H22" s="238">
        <f>IFERROR(__xludf.DUMMYFUNCTION("""COMPUTED_VALUE"""),45971.979166666664)</f>
        <v>45971.97917</v>
      </c>
      <c r="I22" s="237" t="str">
        <f t="shared" si="1"/>
        <v>Fora</v>
      </c>
      <c r="J22" s="239">
        <v>119.99999999301508</v>
      </c>
    </row>
    <row r="23">
      <c r="A23" s="93" t="s">
        <v>1734</v>
      </c>
      <c r="B23" s="234" t="str">
        <f>IFERROR(__xludf.DUMMYFUNCTION("""COMPUTED_VALUE"""),"LM Hub_SP_Santos_Praia Grande")</f>
        <v>LM Hub_SP_Santos_Praia Grande</v>
      </c>
      <c r="C23" s="93" t="str">
        <f>IFERROR(__xludf.DUMMYFUNCTION("""COMPUTED_VALUE"""),"HUB-LSP-09")</f>
        <v>HUB-LSP-09</v>
      </c>
      <c r="D23" s="93">
        <f>IFERROR(__xludf.DUMMYFUNCTION("""COMPUTED_VALUE"""),27.0)</f>
        <v>27</v>
      </c>
      <c r="E23" s="237" t="str">
        <f>IFERROR(__xludf.DUMMYFUNCTION("""COMPUTED_VALUE"""),"LT0PBA01R8EJ1")</f>
        <v>LT0PBA01R8EJ1</v>
      </c>
      <c r="F23" s="234"/>
      <c r="G23" s="238">
        <f>IFERROR(__xludf.DUMMYFUNCTION("""COMPUTED_VALUE"""),45971.895833333336)</f>
        <v>45971.89583</v>
      </c>
      <c r="H23" s="238">
        <f>IFERROR(__xludf.DUMMYFUNCTION("""COMPUTED_VALUE"""),45971.979166666664)</f>
        <v>45971.97917</v>
      </c>
      <c r="I23" s="237" t="str">
        <f t="shared" si="1"/>
        <v>Fora</v>
      </c>
      <c r="J23" s="239">
        <v>119.99999999301508</v>
      </c>
    </row>
    <row r="24">
      <c r="A24" s="93" t="s">
        <v>1735</v>
      </c>
      <c r="B24" s="234" t="str">
        <f>IFERROR(__xludf.DUMMYFUNCTION("""COMPUTED_VALUE"""),"LM Hub_SP_São Paulo_Lapa")</f>
        <v>LM Hub_SP_São Paulo_Lapa</v>
      </c>
      <c r="C24" s="93" t="str">
        <f>IFERROR(__xludf.DUMMYFUNCTION("""COMPUTED_VALUE"""),"HUB-LSP-15")</f>
        <v>HUB-LSP-15</v>
      </c>
      <c r="D24" s="93">
        <f>IFERROR(__xludf.DUMMYFUNCTION("""COMPUTED_VALUE"""),16.0)</f>
        <v>16</v>
      </c>
      <c r="E24" s="237" t="str">
        <f>IFERROR(__xludf.DUMMYFUNCTION("""COMPUTED_VALUE"""),"LT0PBA01R8B61")</f>
        <v>LT0PBA01R8B61</v>
      </c>
      <c r="F24" s="234"/>
      <c r="G24" s="238">
        <f>IFERROR(__xludf.DUMMYFUNCTION("""COMPUTED_VALUE"""),45971.895833333336)</f>
        <v>45971.89583</v>
      </c>
      <c r="H24" s="238">
        <f>IFERROR(__xludf.DUMMYFUNCTION("""COMPUTED_VALUE"""),45971.979166666664)</f>
        <v>45971.97917</v>
      </c>
      <c r="I24" s="237" t="str">
        <f t="shared" si="1"/>
        <v>Fora</v>
      </c>
      <c r="J24" s="239">
        <v>119.99999999301508</v>
      </c>
    </row>
    <row r="25">
      <c r="A25" s="93" t="s">
        <v>1736</v>
      </c>
      <c r="B25" s="234" t="str">
        <f>IFERROR(__xludf.DUMMYFUNCTION("""COMPUTED_VALUE"""),"LM Hub_SP_Zimba")</f>
        <v>LM Hub_SP_Zimba</v>
      </c>
      <c r="C25" s="93" t="str">
        <f>IFERROR(__xludf.DUMMYFUNCTION("""COMPUTED_VALUE"""),"HUB-LSP-74")</f>
        <v>HUB-LSP-74</v>
      </c>
      <c r="D25" s="93">
        <f>IFERROR(__xludf.DUMMYFUNCTION("""COMPUTED_VALUE"""),15.0)</f>
        <v>15</v>
      </c>
      <c r="E25" s="237" t="str">
        <f>IFERROR(__xludf.DUMMYFUNCTION("""COMPUTED_VALUE"""),"LT0PBA01R8CJ1")</f>
        <v>LT0PBA01R8CJ1</v>
      </c>
      <c r="F25" s="234"/>
      <c r="G25" s="238">
        <f>IFERROR(__xludf.DUMMYFUNCTION("""COMPUTED_VALUE"""),45971.895833333336)</f>
        <v>45971.89583</v>
      </c>
      <c r="H25" s="238">
        <f>IFERROR(__xludf.DUMMYFUNCTION("""COMPUTED_VALUE"""),45971.979166666664)</f>
        <v>45971.97917</v>
      </c>
      <c r="I25" s="237" t="str">
        <f t="shared" si="1"/>
        <v>Fora</v>
      </c>
      <c r="J25" s="239">
        <v>119.00000000023283</v>
      </c>
    </row>
    <row r="26">
      <c r="A26" s="173" t="s">
        <v>1737</v>
      </c>
      <c r="B26" s="234" t="str">
        <f>IFERROR(__xludf.DUMMYFUNCTION("""COMPUTED_VALUE"""),"LM Hub_SP_Jurubatuba")</f>
        <v>LM Hub_SP_Jurubatuba</v>
      </c>
      <c r="C26" s="173" t="str">
        <f>IFERROR(__xludf.DUMMYFUNCTION("""COMPUTED_VALUE"""),"HUB-LSP-16")</f>
        <v>HUB-LSP-16</v>
      </c>
      <c r="D26" s="173">
        <f>IFERROR(__xludf.DUMMYFUNCTION("""COMPUTED_VALUE"""),25.0)</f>
        <v>25</v>
      </c>
      <c r="E26" s="237" t="str">
        <f>IFERROR(__xludf.DUMMYFUNCTION("""COMPUTED_VALUE"""),"LT0PBA01R8BB1")</f>
        <v>LT0PBA01R8BB1</v>
      </c>
      <c r="F26" s="234"/>
      <c r="G26" s="238">
        <f>IFERROR(__xludf.DUMMYFUNCTION("""COMPUTED_VALUE"""),45971.896527777775)</f>
        <v>45971.89653</v>
      </c>
      <c r="H26" s="238">
        <f>IFERROR(__xludf.DUMMYFUNCTION("""COMPUTED_VALUE"""),45971.979166666664)</f>
        <v>45971.97917</v>
      </c>
      <c r="I26" s="237" t="str">
        <f t="shared" si="1"/>
        <v>Fora</v>
      </c>
      <c r="J26" s="239">
        <v>58.99999999324791</v>
      </c>
    </row>
    <row r="27">
      <c r="A27" s="173" t="s">
        <v>1738</v>
      </c>
      <c r="B27" s="234" t="str">
        <f>IFERROR(__xludf.DUMMYFUNCTION("""COMPUTED_VALUE"""),"LM Hub_SP_Guarujá")</f>
        <v>LM Hub_SP_Guarujá</v>
      </c>
      <c r="C27" s="173" t="str">
        <f>IFERROR(__xludf.DUMMYFUNCTION("""COMPUTED_VALUE"""),"HUB-LSP-06")</f>
        <v>HUB-LSP-06</v>
      </c>
      <c r="D27" s="173">
        <f>IFERROR(__xludf.DUMMYFUNCTION("""COMPUTED_VALUE"""),20.0)</f>
        <v>20</v>
      </c>
      <c r="E27" s="237" t="str">
        <f>IFERROR(__xludf.DUMMYFUNCTION("""COMPUTED_VALUE"""),"LT0PBA01R8DI1")</f>
        <v>LT0PBA01R8DI1</v>
      </c>
      <c r="F27" s="234"/>
      <c r="G27" s="238">
        <f>IFERROR(__xludf.DUMMYFUNCTION("""COMPUTED_VALUE"""),45971.958333333336)</f>
        <v>45971.95833</v>
      </c>
      <c r="H27" s="238">
        <f>IFERROR(__xludf.DUMMYFUNCTION("""COMPUTED_VALUE"""),45971.99930555555)</f>
        <v>45971.99931</v>
      </c>
      <c r="I27" s="237" t="str">
        <f t="shared" si="1"/>
        <v>Fora</v>
      </c>
      <c r="J27" s="239">
        <v>120.00000000349246</v>
      </c>
    </row>
    <row r="28">
      <c r="A28" s="173" t="s">
        <v>1739</v>
      </c>
      <c r="B28" s="234" t="str">
        <f>IFERROR(__xludf.DUMMYFUNCTION("""COMPUTED_VALUE"""),"LM Hub_SP_Artur Alvim")</f>
        <v>LM Hub_SP_Artur Alvim</v>
      </c>
      <c r="C28" s="173" t="str">
        <f>IFERROR(__xludf.DUMMYFUNCTION("""COMPUTED_VALUE"""),"HUB-LSP-07")</f>
        <v>HUB-LSP-07</v>
      </c>
      <c r="D28" s="173">
        <f>IFERROR(__xludf.DUMMYFUNCTION("""COMPUTED_VALUE"""),8.0)</f>
        <v>8</v>
      </c>
      <c r="E28" s="237" t="str">
        <f>IFERROR(__xludf.DUMMYFUNCTION("""COMPUTED_VALUE"""),"LT0PBA01R8AV1")</f>
        <v>LT0PBA01R8AV1</v>
      </c>
      <c r="F28" s="234"/>
      <c r="G28" s="238">
        <f>IFERROR(__xludf.DUMMYFUNCTION("""COMPUTED_VALUE"""),45971.916666666664)</f>
        <v>45971.91667</v>
      </c>
      <c r="H28" s="238">
        <f>IFERROR(__xludf.DUMMYFUNCTION("""COMPUTED_VALUE"""),45972.0)</f>
        <v>45972</v>
      </c>
      <c r="I28" s="237" t="str">
        <f t="shared" si="1"/>
        <v>Fora</v>
      </c>
      <c r="J28" s="239">
        <v>120.00000000349246</v>
      </c>
    </row>
    <row r="29">
      <c r="A29" s="173" t="s">
        <v>1740</v>
      </c>
      <c r="B29" s="234" t="str">
        <f>IFERROR(__xludf.DUMMYFUNCTION("""COMPUTED_VALUE"""),"LM Hub_SP_Guarulhos")</f>
        <v>LM Hub_SP_Guarulhos</v>
      </c>
      <c r="C29" s="173" t="str">
        <f>IFERROR(__xludf.DUMMYFUNCTION("""COMPUTED_VALUE"""),"HUB-LSP-77")</f>
        <v>HUB-LSP-77</v>
      </c>
      <c r="D29" s="173">
        <f>IFERROR(__xludf.DUMMYFUNCTION("""COMPUTED_VALUE"""),19.0)</f>
        <v>19</v>
      </c>
      <c r="E29" s="237" t="str">
        <f>IFERROR(__xludf.DUMMYFUNCTION("""COMPUTED_VALUE"""),"LT0PBA01RJ2O1")</f>
        <v>LT0PBA01RJ2O1</v>
      </c>
      <c r="F29" s="234"/>
      <c r="G29" s="238">
        <f>IFERROR(__xludf.DUMMYFUNCTION("""COMPUTED_VALUE"""),45971.916666666664)</f>
        <v>45971.91667</v>
      </c>
      <c r="H29" s="238">
        <f>IFERROR(__xludf.DUMMYFUNCTION("""COMPUTED_VALUE"""),45972.0)</f>
        <v>45972</v>
      </c>
      <c r="I29" s="237" t="str">
        <f t="shared" si="1"/>
        <v>Fora</v>
      </c>
      <c r="J29" s="239">
        <v>120.00000000349246</v>
      </c>
    </row>
    <row r="30">
      <c r="A30" s="173" t="s">
        <v>1741</v>
      </c>
      <c r="B30" s="234" t="str">
        <f>IFERROR(__xludf.DUMMYFUNCTION("""COMPUTED_VALUE"""),"LM Hub_SP_Itapevi")</f>
        <v>LM Hub_SP_Itapevi</v>
      </c>
      <c r="C30" s="173" t="str">
        <f>IFERROR(__xludf.DUMMYFUNCTION("""COMPUTED_VALUE"""),"HUB-LSP-41")</f>
        <v>HUB-LSP-41</v>
      </c>
      <c r="D30" s="173">
        <f>IFERROR(__xludf.DUMMYFUNCTION("""COMPUTED_VALUE"""),18.0)</f>
        <v>18</v>
      </c>
      <c r="E30" s="237" t="str">
        <f>IFERROR(__xludf.DUMMYFUNCTION("""COMPUTED_VALUE"""),"LT0PBA01R8BZ1")</f>
        <v>LT0PBA01R8BZ1</v>
      </c>
      <c r="F30" s="234"/>
      <c r="G30" s="238">
        <f>IFERROR(__xludf.DUMMYFUNCTION("""COMPUTED_VALUE"""),45971.916666666664)</f>
        <v>45971.91667</v>
      </c>
      <c r="H30" s="238">
        <f>IFERROR(__xludf.DUMMYFUNCTION("""COMPUTED_VALUE"""),45972.0)</f>
        <v>45972</v>
      </c>
      <c r="I30" s="237" t="str">
        <f t="shared" si="1"/>
        <v>Fora</v>
      </c>
      <c r="J30" s="239">
        <v>120.00000000349246</v>
      </c>
    </row>
    <row r="31">
      <c r="A31" s="173" t="s">
        <v>1742</v>
      </c>
      <c r="B31" s="234" t="str">
        <f>IFERROR(__xludf.DUMMYFUNCTION("""COMPUTED_VALUE"""),"LM Hub_SP_Mauá")</f>
        <v>LM Hub_SP_Mauá</v>
      </c>
      <c r="C31" s="173" t="str">
        <f>IFERROR(__xludf.DUMMYFUNCTION("""COMPUTED_VALUE"""),"HUB-LSP-64")</f>
        <v>HUB-LSP-64</v>
      </c>
      <c r="D31" s="173">
        <f>IFERROR(__xludf.DUMMYFUNCTION("""COMPUTED_VALUE"""),13.0)</f>
        <v>13</v>
      </c>
      <c r="E31" s="237" t="str">
        <f>IFERROR(__xludf.DUMMYFUNCTION("""COMPUTED_VALUE"""),"LT0PBA01R8CC1")</f>
        <v>LT0PBA01R8CC1</v>
      </c>
      <c r="F31" s="234"/>
      <c r="G31" s="238">
        <f>IFERROR(__xludf.DUMMYFUNCTION("""COMPUTED_VALUE"""),45971.916666666664)</f>
        <v>45971.91667</v>
      </c>
      <c r="H31" s="238">
        <f>IFERROR(__xludf.DUMMYFUNCTION("""COMPUTED_VALUE"""),45972.0)</f>
        <v>45972</v>
      </c>
      <c r="I31" s="237" t="str">
        <f t="shared" si="1"/>
        <v>Fora</v>
      </c>
      <c r="J31" s="239">
        <v>120.00000000349246</v>
      </c>
    </row>
    <row r="32">
      <c r="A32" s="173" t="s">
        <v>1743</v>
      </c>
      <c r="B32" s="234" t="str">
        <f>IFERROR(__xludf.DUMMYFUNCTION("""COMPUTED_VALUE"""),"LM Hub_SP_Santo André")</f>
        <v>LM Hub_SP_Santo André</v>
      </c>
      <c r="C32" s="173" t="str">
        <f>IFERROR(__xludf.DUMMYFUNCTION("""COMPUTED_VALUE"""),"HUB-LSP-93")</f>
        <v>HUB-LSP-93</v>
      </c>
      <c r="D32" s="173">
        <f>IFERROR(__xludf.DUMMYFUNCTION("""COMPUTED_VALUE"""),12.0)</f>
        <v>12</v>
      </c>
      <c r="E32" s="237" t="str">
        <f>IFERROR(__xludf.DUMMYFUNCTION("""COMPUTED_VALUE"""),"LT0PBA01RBQ51")</f>
        <v>LT0PBA01RBQ51</v>
      </c>
      <c r="F32" s="234"/>
      <c r="G32" s="238">
        <f>IFERROR(__xludf.DUMMYFUNCTION("""COMPUTED_VALUE"""),45971.916666666664)</f>
        <v>45971.91667</v>
      </c>
      <c r="H32" s="238">
        <f>IFERROR(__xludf.DUMMYFUNCTION("""COMPUTED_VALUE"""),45972.0)</f>
        <v>45972</v>
      </c>
      <c r="I32" s="237" t="str">
        <f t="shared" si="1"/>
        <v>Fora</v>
      </c>
      <c r="J32" s="239">
        <v>120.00000000349246</v>
      </c>
    </row>
    <row r="33">
      <c r="A33" s="131" t="s">
        <v>1744</v>
      </c>
      <c r="B33" s="234" t="str">
        <f>IFERROR(__xludf.DUMMYFUNCTION("""COMPUTED_VALUE"""),"SoC_MG_Betim")</f>
        <v>SoC_MG_Betim</v>
      </c>
      <c r="C33" s="131" t="str">
        <f>IFERROR(__xludf.DUMMYFUNCTION("""COMPUTED_VALUE"""),"SOC-MG2")</f>
        <v>SOC-MG2</v>
      </c>
      <c r="D33" s="131">
        <f>IFERROR(__xludf.DUMMYFUNCTION("""COMPUTED_VALUE"""),5.0)</f>
        <v>5</v>
      </c>
      <c r="E33" s="237" t="str">
        <f>IFERROR(__xludf.DUMMYFUNCTION("""COMPUTED_VALUE"""),"LT1PBA01ROL01")</f>
        <v>LT1PBA01ROL01</v>
      </c>
      <c r="F33" s="234"/>
      <c r="G33" s="238">
        <f>IFERROR(__xludf.DUMMYFUNCTION("""COMPUTED_VALUE"""),45971.916666666664)</f>
        <v>45971.91667</v>
      </c>
      <c r="H33" s="238">
        <f>IFERROR(__xludf.DUMMYFUNCTION("""COMPUTED_VALUE"""),45972.0)</f>
        <v>45972</v>
      </c>
      <c r="I33" s="237" t="str">
        <f t="shared" si="1"/>
        <v>Fora</v>
      </c>
      <c r="J33" s="239">
        <v>59.99999999650754</v>
      </c>
    </row>
    <row r="34">
      <c r="A34" s="172" t="s">
        <v>1745</v>
      </c>
      <c r="B34" s="234" t="str">
        <f>IFERROR(__xludf.DUMMYFUNCTION("""COMPUTED_VALUE"""),"LM Hub_RS_Porto Alegre_Floresta")</f>
        <v>LM Hub_RS_Porto Alegre_Floresta</v>
      </c>
      <c r="C34" s="172" t="str">
        <f>IFERROR(__xludf.DUMMYFUNCTION("""COMPUTED_VALUE"""),"HUB-LRS-03")</f>
        <v>HUB-LRS-03</v>
      </c>
      <c r="D34" s="172">
        <f>IFERROR(__xludf.DUMMYFUNCTION("""COMPUTED_VALUE"""),34.0)</f>
        <v>34</v>
      </c>
      <c r="E34" s="237" t="str">
        <f>IFERROR(__xludf.DUMMYFUNCTION("""COMPUTED_VALUE"""),"LT0PBA01RGLW1")</f>
        <v>LT0PBA01RGLW1</v>
      </c>
      <c r="F34" s="234"/>
      <c r="G34" s="238">
        <f>IFERROR(__xludf.DUMMYFUNCTION("""COMPUTED_VALUE"""),45971.958333333336)</f>
        <v>45971.95833</v>
      </c>
      <c r="H34" s="238">
        <f>IFERROR(__xludf.DUMMYFUNCTION("""COMPUTED_VALUE"""),45972.0)</f>
        <v>45972</v>
      </c>
      <c r="I34" s="237" t="str">
        <f t="shared" si="1"/>
        <v>Fora</v>
      </c>
      <c r="J34" s="239">
        <v>59.99999999650754</v>
      </c>
    </row>
    <row r="35">
      <c r="A35" s="172" t="s">
        <v>1746</v>
      </c>
      <c r="B35" s="234" t="str">
        <f>IFERROR(__xludf.DUMMYFUNCTION("""COMPUTED_VALUE"""),"LM Hub_SP_Barueri_01")</f>
        <v>LM Hub_SP_Barueri_01</v>
      </c>
      <c r="C35" s="172" t="str">
        <f>IFERROR(__xludf.DUMMYFUNCTION("""COMPUTED_VALUE"""),"HUB-LSP-81")</f>
        <v>HUB-LSP-81</v>
      </c>
      <c r="D35" s="172">
        <f>IFERROR(__xludf.DUMMYFUNCTION("""COMPUTED_VALUE"""),6.0)</f>
        <v>6</v>
      </c>
      <c r="E35" s="237" t="str">
        <f>IFERROR(__xludf.DUMMYFUNCTION("""COMPUTED_VALUE"""),"LT0PBA01RF9R1")</f>
        <v>LT0PBA01RF9R1</v>
      </c>
      <c r="F35" s="234"/>
      <c r="G35" s="238">
        <f>IFERROR(__xludf.DUMMYFUNCTION("""COMPUTED_VALUE"""),45971.958333333336)</f>
        <v>45971.95833</v>
      </c>
      <c r="H35" s="238">
        <f>IFERROR(__xludf.DUMMYFUNCTION("""COMPUTED_VALUE"""),45972.0)</f>
        <v>45972</v>
      </c>
      <c r="I35" s="237" t="str">
        <f t="shared" si="1"/>
        <v>Fora</v>
      </c>
      <c r="J35" s="239">
        <v>59.99999999650754</v>
      </c>
    </row>
    <row r="36">
      <c r="A36" s="131" t="s">
        <v>1747</v>
      </c>
      <c r="B36" s="234" t="str">
        <f>IFERROR(__xludf.DUMMYFUNCTION("""COMPUTED_VALUE"""),"LM Hub_SP_Jardim Adriana")</f>
        <v>LM Hub_SP_Jardim Adriana</v>
      </c>
      <c r="C36" s="131" t="str">
        <f>IFERROR(__xludf.DUMMYFUNCTION("""COMPUTED_VALUE"""),"HUB-LSP-12")</f>
        <v>HUB-LSP-12</v>
      </c>
      <c r="D36" s="131">
        <f>IFERROR(__xludf.DUMMYFUNCTION("""COMPUTED_VALUE"""),22.0)</f>
        <v>22</v>
      </c>
      <c r="E36" s="237" t="str">
        <f>IFERROR(__xludf.DUMMYFUNCTION("""COMPUTED_VALUE"""),"LT0PBA01R8B11")</f>
        <v>LT0PBA01R8B11</v>
      </c>
      <c r="F36" s="234"/>
      <c r="G36" s="238">
        <f>IFERROR(__xludf.DUMMYFUNCTION("""COMPUTED_VALUE"""),45971.958333333336)</f>
        <v>45971.95833</v>
      </c>
      <c r="H36" s="238">
        <f>IFERROR(__xludf.DUMMYFUNCTION("""COMPUTED_VALUE"""),45972.0)</f>
        <v>45972</v>
      </c>
      <c r="I36" s="237" t="str">
        <f t="shared" si="1"/>
        <v>Fora</v>
      </c>
      <c r="J36" s="239">
        <v>120.00000000349246</v>
      </c>
    </row>
    <row r="37">
      <c r="A37" s="131" t="s">
        <v>1748</v>
      </c>
      <c r="B37" s="234" t="str">
        <f>IFERROR(__xludf.DUMMYFUNCTION("""COMPUTED_VALUE"""),"LM Hub_SP_Parque Novo Mundo")</f>
        <v>LM Hub_SP_Parque Novo Mundo</v>
      </c>
      <c r="C37" s="131" t="str">
        <f>IFERROR(__xludf.DUMMYFUNCTION("""COMPUTED_VALUE"""),"HUB-LSP-89")</f>
        <v>HUB-LSP-89</v>
      </c>
      <c r="D37" s="131">
        <f>IFERROR(__xludf.DUMMYFUNCTION("""COMPUTED_VALUE"""),14.0)</f>
        <v>14</v>
      </c>
      <c r="E37" s="237" t="str">
        <f>IFERROR(__xludf.DUMMYFUNCTION("""COMPUTED_VALUE"""),"LT0PBA01R9GD1")</f>
        <v>LT0PBA01R9GD1</v>
      </c>
      <c r="F37" s="234"/>
      <c r="G37" s="238">
        <f>IFERROR(__xludf.DUMMYFUNCTION("""COMPUTED_VALUE"""),45971.9375)</f>
        <v>45971.9375</v>
      </c>
      <c r="H37" s="238">
        <f>IFERROR(__xludf.DUMMYFUNCTION("""COMPUTED_VALUE"""),45972.020833333336)</f>
        <v>45972.02083</v>
      </c>
      <c r="I37" s="237" t="str">
        <f t="shared" si="1"/>
        <v>Fora</v>
      </c>
      <c r="J37" s="239">
        <v>120.00000000349246</v>
      </c>
    </row>
    <row r="38">
      <c r="A38" s="131" t="s">
        <v>1749</v>
      </c>
      <c r="B38" s="234" t="str">
        <f>IFERROR(__xludf.DUMMYFUNCTION("""COMPUTED_VALUE"""),"LM Hub_SP_Piracicaba")</f>
        <v>LM Hub_SP_Piracicaba</v>
      </c>
      <c r="C38" s="131" t="str">
        <f>IFERROR(__xludf.DUMMYFUNCTION("""COMPUTED_VALUE"""),"HUB-LSP-62")</f>
        <v>HUB-LSP-62</v>
      </c>
      <c r="D38" s="131">
        <f>IFERROR(__xludf.DUMMYFUNCTION("""COMPUTED_VALUE"""),16.0)</f>
        <v>16</v>
      </c>
      <c r="E38" s="237" t="str">
        <f>IFERROR(__xludf.DUMMYFUNCTION("""COMPUTED_VALUE"""),"LT0PBA01R9761")</f>
        <v>LT0PBA01R9761</v>
      </c>
      <c r="F38" s="234"/>
      <c r="G38" s="238">
        <f>IFERROR(__xludf.DUMMYFUNCTION("""COMPUTED_VALUE"""),45971.9375)</f>
        <v>45971.9375</v>
      </c>
      <c r="H38" s="238">
        <f>IFERROR(__xludf.DUMMYFUNCTION("""COMPUTED_VALUE"""),45972.020833333336)</f>
        <v>45972.02083</v>
      </c>
      <c r="I38" s="237" t="str">
        <f t="shared" si="1"/>
        <v>Fora</v>
      </c>
      <c r="J38" s="239">
        <v>120.00000000349246</v>
      </c>
    </row>
    <row r="39">
      <c r="A39" s="131" t="s">
        <v>1750</v>
      </c>
      <c r="B39" s="234" t="str">
        <f>IFERROR(__xludf.DUMMYFUNCTION("""COMPUTED_VALUE"""),"LM Hub_SP_VilaGuilherme")</f>
        <v>LM Hub_SP_VilaGuilherme</v>
      </c>
      <c r="C39" s="131" t="str">
        <f>IFERROR(__xludf.DUMMYFUNCTION("""COMPUTED_VALUE"""),"HUB-LSP-68")</f>
        <v>HUB-LSP-68</v>
      </c>
      <c r="D39" s="131">
        <f>IFERROR(__xludf.DUMMYFUNCTION("""COMPUTED_VALUE"""),29.0)</f>
        <v>29</v>
      </c>
      <c r="E39" s="237" t="str">
        <f>IFERROR(__xludf.DUMMYFUNCTION("""COMPUTED_VALUE"""),"LT0PBA01R8CH1")</f>
        <v>LT0PBA01R8CH1</v>
      </c>
      <c r="F39" s="234"/>
      <c r="G39" s="238">
        <f>IFERROR(__xludf.DUMMYFUNCTION("""COMPUTED_VALUE"""),45971.9375)</f>
        <v>45971.9375</v>
      </c>
      <c r="H39" s="238">
        <f>IFERROR(__xludf.DUMMYFUNCTION("""COMPUTED_VALUE"""),45972.020833333336)</f>
        <v>45972.02083</v>
      </c>
      <c r="I39" s="237" t="str">
        <f t="shared" si="1"/>
        <v>Fora</v>
      </c>
      <c r="J39" s="239">
        <v>60.00000000698492</v>
      </c>
    </row>
    <row r="40">
      <c r="A40" s="131" t="s">
        <v>1751</v>
      </c>
      <c r="B40" s="234" t="str">
        <f>IFERROR(__xludf.DUMMYFUNCTION("""COMPUTED_VALUE"""),"LM Hub_MG_Juiz de Fora_Dist Ind")</f>
        <v>LM Hub_MG_Juiz de Fora_Dist Ind</v>
      </c>
      <c r="C40" s="131" t="str">
        <f>IFERROR(__xludf.DUMMYFUNCTION("""COMPUTED_VALUE"""),"HUB-LMG-59")</f>
        <v>HUB-LMG-59</v>
      </c>
      <c r="D40" s="131">
        <f>IFERROR(__xludf.DUMMYFUNCTION("""COMPUTED_VALUE"""),17.0)</f>
        <v>17</v>
      </c>
      <c r="E40" s="237" t="str">
        <f>IFERROR(__xludf.DUMMYFUNCTION("""COMPUTED_VALUE"""),"LT0PBA01RGMJ1")</f>
        <v>LT0PBA01RGMJ1</v>
      </c>
      <c r="F40" s="234"/>
      <c r="G40" s="238">
        <f>IFERROR(__xludf.DUMMYFUNCTION("""COMPUTED_VALUE"""),45971.979166666664)</f>
        <v>45971.97917</v>
      </c>
      <c r="H40" s="238">
        <f>IFERROR(__xludf.DUMMYFUNCTION("""COMPUTED_VALUE"""),45972.020833333336)</f>
        <v>45972.02083</v>
      </c>
      <c r="I40" s="237" t="str">
        <f t="shared" si="1"/>
        <v>Fora</v>
      </c>
      <c r="J40" s="239">
        <v>60.00000000698492</v>
      </c>
    </row>
    <row r="41">
      <c r="A41" s="234" t="s">
        <v>1752</v>
      </c>
      <c r="B41" s="234" t="str">
        <f>IFERROR(__xludf.DUMMYFUNCTION("""COMPUTED_VALUE"""),"LM Hub_SP_São Paulo_Carandiru")</f>
        <v>LM Hub_SP_São Paulo_Carandiru</v>
      </c>
      <c r="C41" s="234" t="str">
        <f>IFERROR(__xludf.DUMMYFUNCTION("""COMPUTED_VALUE"""),"HUB-LSP-18")</f>
        <v>HUB-LSP-18</v>
      </c>
      <c r="D41" s="234">
        <f>IFERROR(__xludf.DUMMYFUNCTION("""COMPUTED_VALUE"""),32.0)</f>
        <v>32</v>
      </c>
      <c r="E41" s="237" t="str">
        <f>IFERROR(__xludf.DUMMYFUNCTION("""COMPUTED_VALUE"""),"LT0PBA01R8BI2")</f>
        <v>LT0PBA01R8BI2</v>
      </c>
      <c r="F41" s="234"/>
      <c r="G41" s="238">
        <f>IFERROR(__xludf.DUMMYFUNCTION("""COMPUTED_VALUE"""),45971.979166666664)</f>
        <v>45971.97917</v>
      </c>
      <c r="H41" s="238">
        <f>IFERROR(__xludf.DUMMYFUNCTION("""COMPUTED_VALUE"""),45972.020833333336)</f>
        <v>45972.02083</v>
      </c>
      <c r="I41" s="237" t="str">
        <f t="shared" si="1"/>
        <v>Fora</v>
      </c>
      <c r="J41" s="239">
        <v>60.00000000698492</v>
      </c>
    </row>
    <row r="42">
      <c r="A42" s="234" t="s">
        <v>1753</v>
      </c>
      <c r="B42" s="234" t="str">
        <f>IFERROR(__xludf.DUMMYFUNCTION("""COMPUTED_VALUE"""),"LM Hub_SP_São Paulo_Carandiru")</f>
        <v>LM Hub_SP_São Paulo_Carandiru</v>
      </c>
      <c r="C42" s="234" t="str">
        <f>IFERROR(__xludf.DUMMYFUNCTION("""COMPUTED_VALUE"""),"HUB-LSP-18")</f>
        <v>HUB-LSP-18</v>
      </c>
      <c r="D42" s="234">
        <f>IFERROR(__xludf.DUMMYFUNCTION("""COMPUTED_VALUE"""),32.0)</f>
        <v>32</v>
      </c>
      <c r="E42" s="237" t="str">
        <f>IFERROR(__xludf.DUMMYFUNCTION("""COMPUTED_VALUE"""),"LT0PBA01R8BG1")</f>
        <v>LT0PBA01R8BG1</v>
      </c>
      <c r="F42" s="234"/>
      <c r="G42" s="238">
        <f>IFERROR(__xludf.DUMMYFUNCTION("""COMPUTED_VALUE"""),45971.979166666664)</f>
        <v>45971.97917</v>
      </c>
      <c r="H42" s="238">
        <f>IFERROR(__xludf.DUMMYFUNCTION("""COMPUTED_VALUE"""),45972.020833333336)</f>
        <v>45972.02083</v>
      </c>
      <c r="I42" s="237" t="str">
        <f t="shared" si="1"/>
        <v>Fora</v>
      </c>
      <c r="J42" s="239">
        <v>60.00000000698492</v>
      </c>
    </row>
    <row r="43">
      <c r="A43" s="234" t="s">
        <v>1754</v>
      </c>
      <c r="B43" s="234" t="str">
        <f>IFERROR(__xludf.DUMMYFUNCTION("""COMPUTED_VALUE"""),"LM Hub_SP_VilaGuilherme")</f>
        <v>LM Hub_SP_VilaGuilherme</v>
      </c>
      <c r="C43" s="234" t="str">
        <f>IFERROR(__xludf.DUMMYFUNCTION("""COMPUTED_VALUE"""),"HUB-LSP-68")</f>
        <v>HUB-LSP-68</v>
      </c>
      <c r="D43" s="234">
        <f>IFERROR(__xludf.DUMMYFUNCTION("""COMPUTED_VALUE"""),24.0)</f>
        <v>24</v>
      </c>
      <c r="E43" s="237" t="str">
        <f>IFERROR(__xludf.DUMMYFUNCTION("""COMPUTED_VALUE"""),"LT1PBA01RP431")</f>
        <v>LT1PBA01RP431</v>
      </c>
      <c r="F43" s="234"/>
      <c r="G43" s="238">
        <f>IFERROR(__xludf.DUMMYFUNCTION("""COMPUTED_VALUE"""),45971.979166666664)</f>
        <v>45971.97917</v>
      </c>
      <c r="H43" s="238">
        <f>IFERROR(__xludf.DUMMYFUNCTION("""COMPUTED_VALUE"""),45972.020833333336)</f>
        <v>45972.02083</v>
      </c>
      <c r="I43" s="237" t="str">
        <f t="shared" si="1"/>
        <v>Fora</v>
      </c>
      <c r="J43" s="239">
        <v>119.99999999301508</v>
      </c>
    </row>
    <row r="44">
      <c r="A44" s="234" t="s">
        <v>1755</v>
      </c>
      <c r="B44" s="234" t="str">
        <f>IFERROR(__xludf.DUMMYFUNCTION("""COMPUTED_VALUE"""),"LM Hub_SP_Limeira_Campo Belo")</f>
        <v>LM Hub_SP_Limeira_Campo Belo</v>
      </c>
      <c r="C44" s="234" t="str">
        <f>IFERROR(__xludf.DUMMYFUNCTION("""COMPUTED_VALUE"""),"HUB-LSP-24")</f>
        <v>HUB-LSP-24</v>
      </c>
      <c r="D44" s="234">
        <f>IFERROR(__xludf.DUMMYFUNCTION("""COMPUTED_VALUE"""),7.0)</f>
        <v>7</v>
      </c>
      <c r="E44" s="237" t="str">
        <f>IFERROR(__xludf.DUMMYFUNCTION("""COMPUTED_VALUE"""),"LT0PBA01R8F21")</f>
        <v>LT0PBA01R8F21</v>
      </c>
      <c r="F44" s="234"/>
      <c r="G44" s="238">
        <f>IFERROR(__xludf.DUMMYFUNCTION("""COMPUTED_VALUE"""),45971.958333333336)</f>
        <v>45971.95833</v>
      </c>
      <c r="H44" s="238">
        <f>IFERROR(__xludf.DUMMYFUNCTION("""COMPUTED_VALUE"""),45972.041666666664)</f>
        <v>45972.04167</v>
      </c>
      <c r="I44" s="237" t="str">
        <f t="shared" si="1"/>
        <v>Fora</v>
      </c>
      <c r="J44" s="239">
        <v>119.99999999301508</v>
      </c>
    </row>
    <row r="45">
      <c r="A45" s="234" t="s">
        <v>1756</v>
      </c>
      <c r="B45" s="234" t="str">
        <f>IFERROR(__xludf.DUMMYFUNCTION("""COMPUTED_VALUE"""),"LM Hub_SP_Mogi Mirim")</f>
        <v>LM Hub_SP_Mogi Mirim</v>
      </c>
      <c r="C45" s="234" t="str">
        <f>IFERROR(__xludf.DUMMYFUNCTION("""COMPUTED_VALUE"""),"HUB-LSP-37")</f>
        <v>HUB-LSP-37</v>
      </c>
      <c r="D45" s="234">
        <f>IFERROR(__xludf.DUMMYFUNCTION("""COMPUTED_VALUE"""),15.0)</f>
        <v>15</v>
      </c>
      <c r="E45" s="237" t="str">
        <f>IFERROR(__xludf.DUMMYFUNCTION("""COMPUTED_VALUE"""),"LT0PBA01R8G42")</f>
        <v>LT0PBA01R8G42</v>
      </c>
      <c r="F45" s="234"/>
      <c r="G45" s="238">
        <f>IFERROR(__xludf.DUMMYFUNCTION("""COMPUTED_VALUE"""),45971.958333333336)</f>
        <v>45971.95833</v>
      </c>
      <c r="H45" s="238">
        <f>IFERROR(__xludf.DUMMYFUNCTION("""COMPUTED_VALUE"""),45972.041666666664)</f>
        <v>45972.04167</v>
      </c>
      <c r="I45" s="237" t="str">
        <f t="shared" si="1"/>
        <v>Fora</v>
      </c>
      <c r="J45" s="239">
        <v>119.99999999301508</v>
      </c>
    </row>
    <row r="46">
      <c r="A46" s="234" t="s">
        <v>1757</v>
      </c>
      <c r="B46" s="234" t="str">
        <f>IFERROR(__xludf.DUMMYFUNCTION("""COMPUTED_VALUE"""),"SoC_SP_Santana")</f>
        <v>SoC_SP_Santana</v>
      </c>
      <c r="C46" s="234" t="str">
        <f>IFERROR(__xludf.DUMMYFUNCTION("""COMPUTED_VALUE"""),"SOC-SP2")</f>
        <v>SOC-SP2</v>
      </c>
      <c r="D46" s="234">
        <f>IFERROR(__xludf.DUMMYFUNCTION("""COMPUTED_VALUE"""),25.0)</f>
        <v>25</v>
      </c>
      <c r="E46" s="237" t="str">
        <f>IFERROR(__xludf.DUMMYFUNCTION("""COMPUTED_VALUE"""),"LT0PBA01R8WK1")</f>
        <v>LT0PBA01R8WK1</v>
      </c>
      <c r="F46" s="234"/>
      <c r="G46" s="238">
        <f>IFERROR(__xludf.DUMMYFUNCTION("""COMPUTED_VALUE"""),45971.958333333336)</f>
        <v>45971.95833</v>
      </c>
      <c r="H46" s="238">
        <f>IFERROR(__xludf.DUMMYFUNCTION("""COMPUTED_VALUE"""),45972.041666666664)</f>
        <v>45972.04167</v>
      </c>
      <c r="I46" s="237" t="str">
        <f t="shared" si="1"/>
        <v>Fora</v>
      </c>
      <c r="J46" s="239">
        <v>59.99999999650754</v>
      </c>
    </row>
    <row r="47">
      <c r="A47" s="234" t="s">
        <v>1758</v>
      </c>
      <c r="B47" s="234" t="str">
        <f>IFERROR(__xludf.DUMMYFUNCTION("""COMPUTED_VALUE"""),"LM Hub_SP_Santo André")</f>
        <v>LM Hub_SP_Santo André</v>
      </c>
      <c r="C47" s="234" t="str">
        <f>IFERROR(__xludf.DUMMYFUNCTION("""COMPUTED_VALUE"""),"HUB-LSP-93")</f>
        <v>HUB-LSP-93</v>
      </c>
      <c r="D47" s="234">
        <f>IFERROR(__xludf.DUMMYFUNCTION("""COMPUTED_VALUE"""),13.0)</f>
        <v>13</v>
      </c>
      <c r="E47" s="237" t="str">
        <f>IFERROR(__xludf.DUMMYFUNCTION("""COMPUTED_VALUE"""),"LT1PBB01RP491")</f>
        <v>LT1PBB01RP491</v>
      </c>
      <c r="F47" s="234"/>
      <c r="G47" s="238">
        <f>IFERROR(__xludf.DUMMYFUNCTION("""COMPUTED_VALUE"""),45972.0)</f>
        <v>45972</v>
      </c>
      <c r="H47" s="238">
        <f>IFERROR(__xludf.DUMMYFUNCTION("""COMPUTED_VALUE"""),45972.041666666664)</f>
        <v>45972.04167</v>
      </c>
      <c r="I47" s="237" t="str">
        <f t="shared" si="1"/>
        <v>Fora</v>
      </c>
      <c r="J47" s="239">
        <v>58.99999999324791</v>
      </c>
    </row>
    <row r="48">
      <c r="A48" s="234" t="s">
        <v>1759</v>
      </c>
      <c r="B48" s="234" t="str">
        <f>IFERROR(__xludf.DUMMYFUNCTION("""COMPUTED_VALUE"""),"LM Hub_SP_Santo André")</f>
        <v>LM Hub_SP_Santo André</v>
      </c>
      <c r="C48" s="234" t="str">
        <f>IFERROR(__xludf.DUMMYFUNCTION("""COMPUTED_VALUE"""),"HUB-LSP-93")</f>
        <v>HUB-LSP-93</v>
      </c>
      <c r="D48" s="234"/>
      <c r="E48" s="237" t="str">
        <f>IFERROR(__xludf.DUMMYFUNCTION("""COMPUTED_VALUE"""),"LT0PBA01R8FF2")</f>
        <v>LT0PBA01R8FF2</v>
      </c>
      <c r="F48" s="234"/>
      <c r="G48" s="238">
        <f>IFERROR(__xludf.DUMMYFUNCTION("""COMPUTED_VALUE"""),45972.00069444445)</f>
        <v>45972.00069</v>
      </c>
      <c r="H48" s="238">
        <f>IFERROR(__xludf.DUMMYFUNCTION("""COMPUTED_VALUE"""),45972.041666666664)</f>
        <v>45972.04167</v>
      </c>
      <c r="I48" s="237" t="str">
        <f t="shared" si="1"/>
        <v>Fora</v>
      </c>
      <c r="J48" s="239">
        <v>120.00000000349246</v>
      </c>
    </row>
    <row r="49">
      <c r="A49" s="234" t="s">
        <v>1760</v>
      </c>
      <c r="B49" s="234" t="str">
        <f>IFERROR(__xludf.DUMMYFUNCTION("""COMPUTED_VALUE"""),"LM Hub_SP_Araraquara")</f>
        <v>LM Hub_SP_Araraquara</v>
      </c>
      <c r="C49" s="234" t="str">
        <f>IFERROR(__xludf.DUMMYFUNCTION("""COMPUTED_VALUE"""),"HUB-LSP-29")</f>
        <v>HUB-LSP-29</v>
      </c>
      <c r="D49" s="234">
        <f>IFERROR(__xludf.DUMMYFUNCTION("""COMPUTED_VALUE"""),20.0)</f>
        <v>20</v>
      </c>
      <c r="E49" s="237" t="str">
        <f>IFERROR(__xludf.DUMMYFUNCTION("""COMPUTED_VALUE"""),"LT0PBA01R8GC2")</f>
        <v>LT0PBA01R8GC2</v>
      </c>
      <c r="F49" s="234"/>
      <c r="G49" s="238">
        <f>IFERROR(__xludf.DUMMYFUNCTION("""COMPUTED_VALUE"""),45971.979166666664)</f>
        <v>45971.97917</v>
      </c>
      <c r="H49" s="238">
        <f>IFERROR(__xludf.DUMMYFUNCTION("""COMPUTED_VALUE"""),45972.0625)</f>
        <v>45972.0625</v>
      </c>
      <c r="I49" s="237" t="str">
        <f t="shared" si="1"/>
        <v>Fora</v>
      </c>
      <c r="J49" s="239">
        <v>120.00000000349246</v>
      </c>
    </row>
    <row r="50">
      <c r="A50" s="234" t="s">
        <v>1761</v>
      </c>
      <c r="B50" s="234" t="str">
        <f>IFERROR(__xludf.DUMMYFUNCTION("""COMPUTED_VALUE"""),"LM Hub_SP_Atibaia_Ponte_Alta")</f>
        <v>LM Hub_SP_Atibaia_Ponte_Alta</v>
      </c>
      <c r="C50" s="234" t="str">
        <f>IFERROR(__xludf.DUMMYFUNCTION("""COMPUTED_VALUE"""),"HUB-LSP-87")</f>
        <v>HUB-LSP-87</v>
      </c>
      <c r="D50" s="234">
        <f>IFERROR(__xludf.DUMMYFUNCTION("""COMPUTED_VALUE"""),18.0)</f>
        <v>18</v>
      </c>
      <c r="E50" s="237" t="str">
        <f>IFERROR(__xludf.DUMMYFUNCTION("""COMPUTED_VALUE"""),"LT0PBA01RDCT1")</f>
        <v>LT0PBA01RDCT1</v>
      </c>
      <c r="F50" s="234"/>
      <c r="G50" s="238">
        <f>IFERROR(__xludf.DUMMYFUNCTION("""COMPUTED_VALUE"""),45971.979166666664)</f>
        <v>45971.97917</v>
      </c>
      <c r="H50" s="238">
        <f>IFERROR(__xludf.DUMMYFUNCTION("""COMPUTED_VALUE"""),45972.0625)</f>
        <v>45972.0625</v>
      </c>
      <c r="I50" s="237" t="str">
        <f t="shared" si="1"/>
        <v>Fora</v>
      </c>
      <c r="J50" s="239">
        <v>120.00000000349246</v>
      </c>
    </row>
    <row r="51">
      <c r="A51" s="234" t="s">
        <v>1762</v>
      </c>
      <c r="B51" s="234" t="str">
        <f>IFERROR(__xludf.DUMMYFUNCTION("""COMPUTED_VALUE"""),"LM Hub_SP_Jundiaí")</f>
        <v>LM Hub_SP_Jundiaí</v>
      </c>
      <c r="C51" s="234" t="str">
        <f>IFERROR(__xludf.DUMMYFUNCTION("""COMPUTED_VALUE"""),"HUB-LSP-20")</f>
        <v>HUB-LSP-20</v>
      </c>
      <c r="D51" s="234">
        <f>IFERROR(__xludf.DUMMYFUNCTION("""COMPUTED_VALUE"""),12.0)</f>
        <v>12</v>
      </c>
      <c r="E51" s="237" t="str">
        <f>IFERROR(__xludf.DUMMYFUNCTION("""COMPUTED_VALUE"""),"LT0PBA01RD3Z2")</f>
        <v>LT0PBA01RD3Z2</v>
      </c>
      <c r="F51" s="234"/>
      <c r="G51" s="238">
        <f>IFERROR(__xludf.DUMMYFUNCTION("""COMPUTED_VALUE"""),45971.979166666664)</f>
        <v>45971.97917</v>
      </c>
      <c r="H51" s="238">
        <f>IFERROR(__xludf.DUMMYFUNCTION("""COMPUTED_VALUE"""),45972.0625)</f>
        <v>45972.0625</v>
      </c>
      <c r="I51" s="237" t="str">
        <f t="shared" si="1"/>
        <v>Fora</v>
      </c>
      <c r="J51" s="239">
        <v>120.00000000349246</v>
      </c>
    </row>
    <row r="52">
      <c r="A52" s="234" t="s">
        <v>1763</v>
      </c>
      <c r="B52" s="234" t="str">
        <f>IFERROR(__xludf.DUMMYFUNCTION("""COMPUTED_VALUE"""),"LM Hub_SP_Várzea Paulista")</f>
        <v>LM Hub_SP_Várzea Paulista</v>
      </c>
      <c r="C52" s="234" t="str">
        <f>IFERROR(__xludf.DUMMYFUNCTION("""COMPUTED_VALUE"""),"HUB-LSP-61")</f>
        <v>HUB-LSP-61</v>
      </c>
      <c r="D52" s="234">
        <f>IFERROR(__xludf.DUMMYFUNCTION("""COMPUTED_VALUE"""),23.0)</f>
        <v>23</v>
      </c>
      <c r="E52" s="237" t="str">
        <f>IFERROR(__xludf.DUMMYFUNCTION("""COMPUTED_VALUE"""),"LT0PBA01R8FD1")</f>
        <v>LT0PBA01R8FD1</v>
      </c>
      <c r="F52" s="234"/>
      <c r="G52" s="238">
        <f>IFERROR(__xludf.DUMMYFUNCTION("""COMPUTED_VALUE"""),45971.979166666664)</f>
        <v>45971.97917</v>
      </c>
      <c r="H52" s="238">
        <f>IFERROR(__xludf.DUMMYFUNCTION("""COMPUTED_VALUE"""),45972.0625)</f>
        <v>45972.0625</v>
      </c>
      <c r="I52" s="237" t="str">
        <f t="shared" si="1"/>
        <v>Fora</v>
      </c>
      <c r="J52" s="239">
        <v>120.00000000349246</v>
      </c>
    </row>
    <row r="53">
      <c r="A53" s="234" t="s">
        <v>1764</v>
      </c>
      <c r="B53" s="234" t="str">
        <f>IFERROR(__xludf.DUMMYFUNCTION("""COMPUTED_VALUE"""),"SoC_BA_Simoes Filho")</f>
        <v>SoC_BA_Simoes Filho</v>
      </c>
      <c r="C53" s="234" t="str">
        <f>IFERROR(__xludf.DUMMYFUNCTION("""COMPUTED_VALUE"""),"SOC-BA2")</f>
        <v>SOC-BA2</v>
      </c>
      <c r="D53" s="234">
        <f>IFERROR(__xludf.DUMMYFUNCTION("""COMPUTED_VALUE"""),26.0)</f>
        <v>26</v>
      </c>
      <c r="E53" s="237" t="str">
        <f>IFERROR(__xludf.DUMMYFUNCTION("""COMPUTED_VALUE"""),"LT0PBB01RFOM1")</f>
        <v>LT0PBB01RFOM1</v>
      </c>
      <c r="F53" s="234"/>
      <c r="G53" s="238">
        <f>IFERROR(__xludf.DUMMYFUNCTION("""COMPUTED_VALUE"""),45972.0)</f>
        <v>45972</v>
      </c>
      <c r="H53" s="238">
        <f>IFERROR(__xludf.DUMMYFUNCTION("""COMPUTED_VALUE"""),45972.083333333336)</f>
        <v>45972.08333</v>
      </c>
      <c r="I53" s="237" t="str">
        <f t="shared" si="1"/>
        <v>Fora</v>
      </c>
      <c r="J53" s="239">
        <v>120.00000000349246</v>
      </c>
    </row>
    <row r="54">
      <c r="A54" s="234" t="s">
        <v>1765</v>
      </c>
      <c r="B54" s="234" t="str">
        <f>IFERROR(__xludf.DUMMYFUNCTION("""COMPUTED_VALUE"""),"SoC_GO_Goiânia_02")</f>
        <v>SoC_GO_Goiânia_02</v>
      </c>
      <c r="C54" s="234" t="str">
        <f>IFERROR(__xludf.DUMMYFUNCTION("""COMPUTED_VALUE"""),"SOC-GO2")</f>
        <v>SOC-GO2</v>
      </c>
      <c r="D54" s="234">
        <f>IFERROR(__xludf.DUMMYFUNCTION("""COMPUTED_VALUE"""),22.0)</f>
        <v>22</v>
      </c>
      <c r="E54" s="237" t="str">
        <f>IFERROR(__xludf.DUMMYFUNCTION("""COMPUTED_VALUE"""),"LT0PBB01RFXW1")</f>
        <v>LT0PBB01RFXW1</v>
      </c>
      <c r="F54" s="234"/>
      <c r="G54" s="238">
        <f>IFERROR(__xludf.DUMMYFUNCTION("""COMPUTED_VALUE"""),45972.0)</f>
        <v>45972</v>
      </c>
      <c r="H54" s="238">
        <f>IFERROR(__xludf.DUMMYFUNCTION("""COMPUTED_VALUE"""),45972.083333333336)</f>
        <v>45972.08333</v>
      </c>
      <c r="I54" s="237" t="str">
        <f t="shared" si="1"/>
        <v>Fora</v>
      </c>
      <c r="J54" s="239">
        <v>120.00000000349246</v>
      </c>
    </row>
    <row r="55">
      <c r="A55" s="234" t="s">
        <v>1766</v>
      </c>
      <c r="B55" s="234" t="str">
        <f>IFERROR(__xludf.DUMMYFUNCTION("""COMPUTED_VALUE"""),"SoC_PR_Curitiba")</f>
        <v>SoC_PR_Curitiba</v>
      </c>
      <c r="C55" s="234" t="str">
        <f>IFERROR(__xludf.DUMMYFUNCTION("""COMPUTED_VALUE"""),"SOC-PR1")</f>
        <v>SOC-PR1</v>
      </c>
      <c r="D55" s="234">
        <f>IFERROR(__xludf.DUMMYFUNCTION("""COMPUTED_VALUE"""),29.0)</f>
        <v>29</v>
      </c>
      <c r="E55" s="237" t="str">
        <f>IFERROR(__xludf.DUMMYFUNCTION("""COMPUTED_VALUE"""),"LT0PBB01R8841")</f>
        <v>LT0PBB01R8841</v>
      </c>
      <c r="F55" s="234"/>
      <c r="G55" s="238">
        <f>IFERROR(__xludf.DUMMYFUNCTION("""COMPUTED_VALUE"""),45972.0)</f>
        <v>45972</v>
      </c>
      <c r="H55" s="238">
        <f>IFERROR(__xludf.DUMMYFUNCTION("""COMPUTED_VALUE"""),45972.083333333336)</f>
        <v>45972.08333</v>
      </c>
      <c r="I55" s="237" t="str">
        <f t="shared" si="1"/>
        <v>Fora</v>
      </c>
      <c r="J55" s="239">
        <v>120.00000000349246</v>
      </c>
    </row>
    <row r="56">
      <c r="A56" s="234" t="s">
        <v>1767</v>
      </c>
      <c r="B56" s="234" t="str">
        <f>IFERROR(__xludf.DUMMYFUNCTION("""COMPUTED_VALUE"""),"SoC_RS_Gravataí_02")</f>
        <v>SoC_RS_Gravataí_02</v>
      </c>
      <c r="C56" s="234" t="str">
        <f>IFERROR(__xludf.DUMMYFUNCTION("""COMPUTED_VALUE"""),"SOC-RS2")</f>
        <v>SOC-RS2</v>
      </c>
      <c r="D56" s="234">
        <f>IFERROR(__xludf.DUMMYFUNCTION("""COMPUTED_VALUE"""),17.0)</f>
        <v>17</v>
      </c>
      <c r="E56" s="237" t="str">
        <f>IFERROR(__xludf.DUMMYFUNCTION("""COMPUTED_VALUE"""),"LT0PBB01RG2N1")</f>
        <v>LT0PBB01RG2N1</v>
      </c>
      <c r="F56" s="234"/>
      <c r="G56" s="238">
        <f>IFERROR(__xludf.DUMMYFUNCTION("""COMPUTED_VALUE"""),45972.0)</f>
        <v>45972</v>
      </c>
      <c r="H56" s="238">
        <f>IFERROR(__xludf.DUMMYFUNCTION("""COMPUTED_VALUE"""),45972.083333333336)</f>
        <v>45972.08333</v>
      </c>
      <c r="I56" s="237" t="str">
        <f t="shared" si="1"/>
        <v>Fora</v>
      </c>
      <c r="J56" s="239">
        <v>120.00000000349246</v>
      </c>
    </row>
    <row r="57">
      <c r="A57" s="234" t="s">
        <v>1768</v>
      </c>
      <c r="B57" s="234" t="str">
        <f>IFERROR(__xludf.DUMMYFUNCTION("""COMPUTED_VALUE"""),"SoC_GO_Goiânia_02")</f>
        <v>SoC_GO_Goiânia_02</v>
      </c>
      <c r="C57" s="234" t="str">
        <f>IFERROR(__xludf.DUMMYFUNCTION("""COMPUTED_VALUE"""),"SOC-GO2")</f>
        <v>SOC-GO2</v>
      </c>
      <c r="D57" s="234">
        <f>IFERROR(__xludf.DUMMYFUNCTION("""COMPUTED_VALUE"""),27.0)</f>
        <v>27</v>
      </c>
      <c r="E57" s="237" t="str">
        <f>IFERROR(__xludf.DUMMYFUNCTION("""COMPUTED_VALUE"""),"LT1PBB01ROL71")</f>
        <v>LT1PBB01ROL71</v>
      </c>
      <c r="F57" s="234"/>
      <c r="G57" s="238">
        <f>IFERROR(__xludf.DUMMYFUNCTION("""COMPUTED_VALUE"""),45972.041666666664)</f>
        <v>45972.04167</v>
      </c>
      <c r="H57" s="238">
        <f>IFERROR(__xludf.DUMMYFUNCTION("""COMPUTED_VALUE"""),45972.125)</f>
        <v>45972.125</v>
      </c>
      <c r="I57" s="237" t="str">
        <f t="shared" si="1"/>
        <v>Fora</v>
      </c>
      <c r="J57" s="239">
        <v>120.00000000349246</v>
      </c>
    </row>
    <row r="58">
      <c r="A58" s="234" t="s">
        <v>1769</v>
      </c>
      <c r="B58" s="234" t="str">
        <f>IFERROR(__xludf.DUMMYFUNCTION("""COMPUTED_VALUE"""),"SoC_RS_Gravataí_02")</f>
        <v>SoC_RS_Gravataí_02</v>
      </c>
      <c r="C58" s="234" t="str">
        <f>IFERROR(__xludf.DUMMYFUNCTION("""COMPUTED_VALUE"""),"SOC-RS2")</f>
        <v>SOC-RS2</v>
      </c>
      <c r="D58" s="234">
        <f>IFERROR(__xludf.DUMMYFUNCTION("""COMPUTED_VALUE"""),12.0)</f>
        <v>12</v>
      </c>
      <c r="E58" s="237" t="str">
        <f>IFERROR(__xludf.DUMMYFUNCTION("""COMPUTED_VALUE"""),"LT1PBB01ROL51")</f>
        <v>LT1PBB01ROL51</v>
      </c>
      <c r="F58" s="234"/>
      <c r="G58" s="238">
        <f>IFERROR(__xludf.DUMMYFUNCTION("""COMPUTED_VALUE"""),45972.041666666664)</f>
        <v>45972.04167</v>
      </c>
      <c r="H58" s="238">
        <f>IFERROR(__xludf.DUMMYFUNCTION("""COMPUTED_VALUE"""),45972.125)</f>
        <v>45972.125</v>
      </c>
      <c r="I58" s="237" t="str">
        <f t="shared" si="1"/>
        <v>Fora</v>
      </c>
      <c r="J58" s="239">
        <v>120.00000000349246</v>
      </c>
    </row>
    <row r="59">
      <c r="A59" s="234" t="s">
        <v>1770</v>
      </c>
      <c r="B59" s="234" t="str">
        <f>IFERROR(__xludf.DUMMYFUNCTION("""COMPUTED_VALUE"""),"SoC_SP_Guarulhos")</f>
        <v>SoC_SP_Guarulhos</v>
      </c>
      <c r="C59" s="234" t="str">
        <f>IFERROR(__xludf.DUMMYFUNCTION("""COMPUTED_VALUE"""),"SOC-SP6")</f>
        <v>SOC-SP6</v>
      </c>
      <c r="D59" s="234">
        <f>IFERROR(__xludf.DUMMYFUNCTION("""COMPUTED_VALUE"""),8.0)</f>
        <v>8</v>
      </c>
      <c r="E59" s="237" t="str">
        <f>IFERROR(__xludf.DUMMYFUNCTION("""COMPUTED_VALUE"""),"LT1PBB01RP2L1")</f>
        <v>LT1PBB01RP2L1</v>
      </c>
      <c r="F59" s="234"/>
      <c r="G59" s="238">
        <f>IFERROR(__xludf.DUMMYFUNCTION("""COMPUTED_VALUE"""),45972.041666666664)</f>
        <v>45972.04167</v>
      </c>
      <c r="H59" s="238">
        <f>IFERROR(__xludf.DUMMYFUNCTION("""COMPUTED_VALUE"""),45972.125)</f>
        <v>45972.125</v>
      </c>
      <c r="I59" s="237" t="str">
        <f t="shared" si="1"/>
        <v>Fora</v>
      </c>
      <c r="J59" s="239">
        <v>120.00000000349246</v>
      </c>
    </row>
    <row r="60">
      <c r="A60" s="234" t="s">
        <v>1771</v>
      </c>
      <c r="B60" s="234" t="str">
        <f>IFERROR(__xludf.DUMMYFUNCTION("""COMPUTED_VALUE"""),"SoC_SP_Louveira")</f>
        <v>SoC_SP_Louveira</v>
      </c>
      <c r="C60" s="234" t="str">
        <f>IFERROR(__xludf.DUMMYFUNCTION("""COMPUTED_VALUE"""),"SOC-SP7")</f>
        <v>SOC-SP7</v>
      </c>
      <c r="D60" s="234">
        <f>IFERROR(__xludf.DUMMYFUNCTION("""COMPUTED_VALUE"""),16.0)</f>
        <v>16</v>
      </c>
      <c r="E60" s="237" t="str">
        <f>IFERROR(__xludf.DUMMYFUNCTION("""COMPUTED_VALUE"""),"LT0PBB01R89Z1")</f>
        <v>LT0PBB01R89Z1</v>
      </c>
      <c r="F60" s="234"/>
      <c r="G60" s="238">
        <f>IFERROR(__xludf.DUMMYFUNCTION("""COMPUTED_VALUE"""),45972.041666666664)</f>
        <v>45972.04167</v>
      </c>
      <c r="H60" s="238">
        <f>IFERROR(__xludf.DUMMYFUNCTION("""COMPUTED_VALUE"""),45972.125)</f>
        <v>45972.125</v>
      </c>
      <c r="I60" s="237" t="str">
        <f t="shared" si="1"/>
        <v>Fora</v>
      </c>
      <c r="J60" s="239">
        <v>239.99999999650754</v>
      </c>
    </row>
    <row r="61">
      <c r="A61" s="234" t="s">
        <v>1772</v>
      </c>
      <c r="B61" s="234" t="str">
        <f>IFERROR(__xludf.DUMMYFUNCTION("""COMPUTED_VALUE"""),"SoC_SP_Cravinhos")</f>
        <v>SoC_SP_Cravinhos</v>
      </c>
      <c r="C61" s="234" t="str">
        <f>IFERROR(__xludf.DUMMYFUNCTION("""COMPUTED_VALUE"""),"SOC-SP5")</f>
        <v>SOC-SP5</v>
      </c>
      <c r="D61" s="234">
        <f>IFERROR(__xludf.DUMMYFUNCTION("""COMPUTED_VALUE"""),15.0)</f>
        <v>15</v>
      </c>
      <c r="E61" s="237" t="str">
        <f>IFERROR(__xludf.DUMMYFUNCTION("""COMPUTED_VALUE"""),"LT0PBB01R88T1")</f>
        <v>LT0PBB01R88T1</v>
      </c>
      <c r="F61" s="234"/>
      <c r="G61" s="238">
        <f>IFERROR(__xludf.DUMMYFUNCTION("""COMPUTED_VALUE"""),45972.0)</f>
        <v>45972</v>
      </c>
      <c r="H61" s="238">
        <f>IFERROR(__xludf.DUMMYFUNCTION("""COMPUTED_VALUE"""),45972.166666666664)</f>
        <v>45972.16667</v>
      </c>
      <c r="I61" s="237" t="str">
        <f t="shared" si="1"/>
        <v>Fora</v>
      </c>
      <c r="J61" s="239">
        <v>238.9999999932479</v>
      </c>
    </row>
    <row r="62">
      <c r="A62" s="234" t="s">
        <v>1773</v>
      </c>
      <c r="B62" s="234" t="str">
        <f>IFERROR(__xludf.DUMMYFUNCTION("""COMPUTED_VALUE"""),"SoC_RJ_Duque de Caxias")</f>
        <v>SoC_RJ_Duque de Caxias</v>
      </c>
      <c r="C62" s="234" t="str">
        <f>IFERROR(__xludf.DUMMYFUNCTION("""COMPUTED_VALUE"""),"SOC-RJ2")</f>
        <v>SOC-RJ2</v>
      </c>
      <c r="D62" s="234">
        <f>IFERROR(__xludf.DUMMYFUNCTION("""COMPUTED_VALUE"""),6.0)</f>
        <v>6</v>
      </c>
      <c r="E62" s="237" t="str">
        <f>IFERROR(__xludf.DUMMYFUNCTION("""COMPUTED_VALUE"""),"LT0PBB01RB2M1")</f>
        <v>LT0PBB01RB2M1</v>
      </c>
      <c r="F62" s="234"/>
      <c r="G62" s="238">
        <f>IFERROR(__xludf.DUMMYFUNCTION("""COMPUTED_VALUE"""),45972.00069444445)</f>
        <v>45972.00069</v>
      </c>
      <c r="H62" s="238">
        <f>IFERROR(__xludf.DUMMYFUNCTION("""COMPUTED_VALUE"""),45972.166666666664)</f>
        <v>45972.16667</v>
      </c>
      <c r="I62" s="237" t="str">
        <f t="shared" si="1"/>
        <v>Fora</v>
      </c>
      <c r="J62" s="239">
        <v>238.9999999932479</v>
      </c>
    </row>
    <row r="63">
      <c r="A63" s="234" t="s">
        <v>1774</v>
      </c>
      <c r="B63" s="234" t="str">
        <f>IFERROR(__xludf.DUMMYFUNCTION("""COMPUTED_VALUE"""),"SoC_RJ_Duque de Caxias")</f>
        <v>SoC_RJ_Duque de Caxias</v>
      </c>
      <c r="C63" s="234" t="str">
        <f>IFERROR(__xludf.DUMMYFUNCTION("""COMPUTED_VALUE"""),"SOC-RJ2")</f>
        <v>SOC-RJ2</v>
      </c>
      <c r="D63" s="234">
        <f>IFERROR(__xludf.DUMMYFUNCTION("""COMPUTED_VALUE"""),6.0)</f>
        <v>6</v>
      </c>
      <c r="E63" s="237" t="str">
        <f>IFERROR(__xludf.DUMMYFUNCTION("""COMPUTED_VALUE"""),"LT0PBB01RB2P2")</f>
        <v>LT0PBB01RB2P2</v>
      </c>
      <c r="F63" s="234"/>
      <c r="G63" s="238">
        <f>IFERROR(__xludf.DUMMYFUNCTION("""COMPUTED_VALUE"""),45972.00069444445)</f>
        <v>45972.00069</v>
      </c>
      <c r="H63" s="238">
        <f>IFERROR(__xludf.DUMMYFUNCTION("""COMPUTED_VALUE"""),45972.166666666664)</f>
        <v>45972.16667</v>
      </c>
      <c r="I63" s="237" t="str">
        <f t="shared" si="1"/>
        <v>Fora</v>
      </c>
      <c r="J63" s="239">
        <v>238.00000000046566</v>
      </c>
    </row>
    <row r="64">
      <c r="A64" s="234" t="s">
        <v>1775</v>
      </c>
      <c r="B64" s="234" t="str">
        <f>IFERROR(__xludf.DUMMYFUNCTION("""COMPUTED_VALUE"""),"SoC_MG_Betim")</f>
        <v>SoC_MG_Betim</v>
      </c>
      <c r="C64" s="234" t="str">
        <f>IFERROR(__xludf.DUMMYFUNCTION("""COMPUTED_VALUE"""),"SOC-MG2")</f>
        <v>SOC-MG2</v>
      </c>
      <c r="D64" s="234">
        <f>IFERROR(__xludf.DUMMYFUNCTION("""COMPUTED_VALUE"""),7.0)</f>
        <v>7</v>
      </c>
      <c r="E64" s="237" t="str">
        <f>IFERROR(__xludf.DUMMYFUNCTION("""COMPUTED_VALUE"""),"LT0PBB01RIWJ1")</f>
        <v>LT0PBB01RIWJ1</v>
      </c>
      <c r="F64" s="234"/>
      <c r="G64" s="238">
        <f>IFERROR(__xludf.DUMMYFUNCTION("""COMPUTED_VALUE"""),45972.001388888886)</f>
        <v>45972.00139</v>
      </c>
      <c r="H64" s="238">
        <f>IFERROR(__xludf.DUMMYFUNCTION("""COMPUTED_VALUE"""),45972.166666666664)</f>
        <v>45972.16667</v>
      </c>
      <c r="I64" s="237" t="str">
        <f t="shared" si="1"/>
        <v>Fora</v>
      </c>
      <c r="J64" s="239">
        <v>238.00000000046566</v>
      </c>
    </row>
    <row r="65">
      <c r="A65" s="234" t="s">
        <v>1776</v>
      </c>
      <c r="B65" s="234" t="str">
        <f>IFERROR(__xludf.DUMMYFUNCTION("""COMPUTED_VALUE"""),"SoC_MG_Betim")</f>
        <v>SoC_MG_Betim</v>
      </c>
      <c r="C65" s="234" t="str">
        <f>IFERROR(__xludf.DUMMYFUNCTION("""COMPUTED_VALUE"""),"SOC-MG2")</f>
        <v>SOC-MG2</v>
      </c>
      <c r="D65" s="234">
        <f>IFERROR(__xludf.DUMMYFUNCTION("""COMPUTED_VALUE"""),5.0)</f>
        <v>5</v>
      </c>
      <c r="E65" s="237" t="str">
        <f>IFERROR(__xludf.DUMMYFUNCTION("""COMPUTED_VALUE"""),"LT0PBB01RIWM3")</f>
        <v>LT0PBB01RIWM3</v>
      </c>
      <c r="F65" s="234"/>
      <c r="G65" s="238">
        <f>IFERROR(__xludf.DUMMYFUNCTION("""COMPUTED_VALUE"""),45972.001388888886)</f>
        <v>45972.00139</v>
      </c>
      <c r="H65" s="238">
        <f>IFERROR(__xludf.DUMMYFUNCTION("""COMPUTED_VALUE"""),45972.166666666664)</f>
        <v>45972.16667</v>
      </c>
      <c r="I65" s="237" t="str">
        <f t="shared" si="1"/>
        <v>Fora</v>
      </c>
      <c r="J65" s="239">
        <v>238.00000000046566</v>
      </c>
    </row>
    <row r="66">
      <c r="A66" s="234" t="s">
        <v>1777</v>
      </c>
      <c r="B66" s="234" t="str">
        <f>IFERROR(__xludf.DUMMYFUNCTION("""COMPUTED_VALUE"""),"SoC_MG_Betim")</f>
        <v>SoC_MG_Betim</v>
      </c>
      <c r="C66" s="234" t="str">
        <f>IFERROR(__xludf.DUMMYFUNCTION("""COMPUTED_VALUE"""),"SOC-MG2")</f>
        <v>SOC-MG2</v>
      </c>
      <c r="D66" s="234"/>
      <c r="E66" s="237" t="str">
        <f>IFERROR(__xludf.DUMMYFUNCTION("""COMPUTED_VALUE"""),"LT0PBB01RIWL2")</f>
        <v>LT0PBB01RIWL2</v>
      </c>
      <c r="F66" s="234"/>
      <c r="G66" s="238">
        <f>IFERROR(__xludf.DUMMYFUNCTION("""COMPUTED_VALUE"""),45972.001388888886)</f>
        <v>45972.00139</v>
      </c>
      <c r="H66" s="238">
        <f>IFERROR(__xludf.DUMMYFUNCTION("""COMPUTED_VALUE"""),45972.166666666664)</f>
        <v>45972.16667</v>
      </c>
      <c r="I66" s="237" t="str">
        <f t="shared" si="1"/>
        <v>Fora</v>
      </c>
      <c r="J66" s="239">
        <v>119.99999999301508</v>
      </c>
    </row>
    <row r="67">
      <c r="A67" s="234" t="s">
        <v>1778</v>
      </c>
      <c r="B67" s="234" t="str">
        <f>IFERROR(__xludf.DUMMYFUNCTION("""COMPUTED_VALUE"""),"LM Hub_SP_Tatuí")</f>
        <v>LM Hub_SP_Tatuí</v>
      </c>
      <c r="C67" s="234" t="str">
        <f>IFERROR(__xludf.DUMMYFUNCTION("""COMPUTED_VALUE"""),"HUB-LSP-51")</f>
        <v>HUB-LSP-51</v>
      </c>
      <c r="D67" s="234">
        <f>IFERROR(__xludf.DUMMYFUNCTION("""COMPUTED_VALUE"""),13.0)</f>
        <v>13</v>
      </c>
      <c r="E67" s="237" t="str">
        <f>IFERROR(__xludf.DUMMYFUNCTION("""COMPUTED_VALUE"""),"LT0PBB01R8CU1")</f>
        <v>LT0PBB01R8CU1</v>
      </c>
      <c r="F67" s="234"/>
      <c r="G67" s="238">
        <f>IFERROR(__xludf.DUMMYFUNCTION("""COMPUTED_VALUE"""),45972.083333333336)</f>
        <v>45972.08333</v>
      </c>
      <c r="H67" s="238">
        <f>IFERROR(__xludf.DUMMYFUNCTION("""COMPUTED_VALUE"""),45972.166666666664)</f>
        <v>45972.16667</v>
      </c>
      <c r="I67" s="237" t="str">
        <f t="shared" si="1"/>
        <v>Fora</v>
      </c>
      <c r="J67" s="239">
        <v>119.99999999301508</v>
      </c>
    </row>
    <row r="68">
      <c r="A68" s="234" t="s">
        <v>1779</v>
      </c>
      <c r="B68" s="234" t="str">
        <f>IFERROR(__xludf.DUMMYFUNCTION("""COMPUTED_VALUE"""),"LM Hub_SP_Tatuí")</f>
        <v>LM Hub_SP_Tatuí</v>
      </c>
      <c r="C68" s="234" t="str">
        <f>IFERROR(__xludf.DUMMYFUNCTION("""COMPUTED_VALUE"""),"HUB-LSP-51")</f>
        <v>HUB-LSP-51</v>
      </c>
      <c r="D68" s="234"/>
      <c r="E68" s="237" t="str">
        <f>IFERROR(__xludf.DUMMYFUNCTION("""COMPUTED_VALUE"""),"LT0PBB01R8CV2")</f>
        <v>LT0PBB01R8CV2</v>
      </c>
      <c r="F68" s="234"/>
      <c r="G68" s="238">
        <f>IFERROR(__xludf.DUMMYFUNCTION("""COMPUTED_VALUE"""),45972.083333333336)</f>
        <v>45972.08333</v>
      </c>
      <c r="H68" s="238">
        <f>IFERROR(__xludf.DUMMYFUNCTION("""COMPUTED_VALUE"""),45972.166666666664)</f>
        <v>45972.16667</v>
      </c>
      <c r="I68" s="237" t="str">
        <f t="shared" si="1"/>
        <v>Fora</v>
      </c>
      <c r="J68" s="239">
        <v>119.99999999301508</v>
      </c>
    </row>
    <row r="69">
      <c r="A69" s="234" t="s">
        <v>1780</v>
      </c>
      <c r="B69" s="234" t="str">
        <f>IFERROR(__xludf.DUMMYFUNCTION("""COMPUTED_VALUE"""),"LM Hub_SP_Tatuí")</f>
        <v>LM Hub_SP_Tatuí</v>
      </c>
      <c r="C69" s="234" t="str">
        <f>IFERROR(__xludf.DUMMYFUNCTION("""COMPUTED_VALUE"""),"HUB-LSP-51")</f>
        <v>HUB-LSP-51</v>
      </c>
      <c r="D69" s="234"/>
      <c r="E69" s="237" t="str">
        <f>IFERROR(__xludf.DUMMYFUNCTION("""COMPUTED_VALUE"""),"LT0PBB01R8CX3")</f>
        <v>LT0PBB01R8CX3</v>
      </c>
      <c r="F69" s="234"/>
      <c r="G69" s="238">
        <f>IFERROR(__xludf.DUMMYFUNCTION("""COMPUTED_VALUE"""),45972.083333333336)</f>
        <v>45972.08333</v>
      </c>
      <c r="H69" s="238">
        <f>IFERROR(__xludf.DUMMYFUNCTION("""COMPUTED_VALUE"""),45972.166666666664)</f>
        <v>45972.16667</v>
      </c>
      <c r="I69" s="237" t="str">
        <f t="shared" si="1"/>
        <v>Fora</v>
      </c>
      <c r="J69" s="239">
        <v>119.99999999301508</v>
      </c>
    </row>
    <row r="70">
      <c r="A70" s="234" t="s">
        <v>1781</v>
      </c>
      <c r="B70" s="234" t="str">
        <f>IFERROR(__xludf.DUMMYFUNCTION("""COMPUTED_VALUE"""),"SoC_PE_Jaboatão dos Guararapes")</f>
        <v>SoC_PE_Jaboatão dos Guararapes</v>
      </c>
      <c r="C70" s="234" t="str">
        <f>IFERROR(__xludf.DUMMYFUNCTION("""COMPUTED_VALUE"""),"SOC-PE2")</f>
        <v>SOC-PE2</v>
      </c>
      <c r="D70" s="234">
        <f>IFERROR(__xludf.DUMMYFUNCTION("""COMPUTED_VALUE"""),19.0)</f>
        <v>19</v>
      </c>
      <c r="E70" s="237" t="str">
        <f>IFERROR(__xludf.DUMMYFUNCTION("""COMPUTED_VALUE"""),"LT0PBB01RFJW1")</f>
        <v>LT0PBB01RFJW1</v>
      </c>
      <c r="F70" s="234"/>
      <c r="G70" s="238">
        <f>IFERROR(__xludf.DUMMYFUNCTION("""COMPUTED_VALUE"""),45972.083333333336)</f>
        <v>45972.08333</v>
      </c>
      <c r="H70" s="238">
        <f>IFERROR(__xludf.DUMMYFUNCTION("""COMPUTED_VALUE"""),45972.166666666664)</f>
        <v>45972.16667</v>
      </c>
      <c r="I70" s="237" t="str">
        <f t="shared" si="1"/>
        <v>Fora</v>
      </c>
      <c r="J70" s="239">
        <v>119.99999999301508</v>
      </c>
    </row>
    <row r="71">
      <c r="A71" s="234" t="s">
        <v>1782</v>
      </c>
      <c r="B71" s="234" t="str">
        <f>IFERROR(__xludf.DUMMYFUNCTION("""COMPUTED_VALUE"""),"SoC_PR_Curitiba")</f>
        <v>SoC_PR_Curitiba</v>
      </c>
      <c r="C71" s="234" t="str">
        <f>IFERROR(__xludf.DUMMYFUNCTION("""COMPUTED_VALUE"""),"SOC-PR1")</f>
        <v>SOC-PR1</v>
      </c>
      <c r="D71" s="234">
        <f>IFERROR(__xludf.DUMMYFUNCTION("""COMPUTED_VALUE"""),32.0)</f>
        <v>32</v>
      </c>
      <c r="E71" s="237" t="str">
        <f>IFERROR(__xludf.DUMMYFUNCTION("""COMPUTED_VALUE"""),"LT1PBB01RP2R1")</f>
        <v>LT1PBB01RP2R1</v>
      </c>
      <c r="F71" s="234"/>
      <c r="G71" s="238">
        <f>IFERROR(__xludf.DUMMYFUNCTION("""COMPUTED_VALUE"""),45972.083333333336)</f>
        <v>45972.08333</v>
      </c>
      <c r="H71" s="238">
        <f>IFERROR(__xludf.DUMMYFUNCTION("""COMPUTED_VALUE"""),45972.166666666664)</f>
        <v>45972.16667</v>
      </c>
      <c r="I71" s="237" t="str">
        <f t="shared" si="1"/>
        <v>Fora</v>
      </c>
      <c r="J71" s="239">
        <v>119.99999999301508</v>
      </c>
    </row>
    <row r="72">
      <c r="A72" s="234" t="s">
        <v>1783</v>
      </c>
      <c r="B72" s="234" t="str">
        <f>IFERROR(__xludf.DUMMYFUNCTION("""COMPUTED_VALUE"""),"SoC_SC_Itajaí")</f>
        <v>SoC_SC_Itajaí</v>
      </c>
      <c r="C72" s="234" t="str">
        <f>IFERROR(__xludf.DUMMYFUNCTION("""COMPUTED_VALUE"""),"SOC-SC1")</f>
        <v>SOC-SC1</v>
      </c>
      <c r="D72" s="234">
        <f>IFERROR(__xludf.DUMMYFUNCTION("""COMPUTED_VALUE"""),18.0)</f>
        <v>18</v>
      </c>
      <c r="E72" s="237" t="str">
        <f>IFERROR(__xludf.DUMMYFUNCTION("""COMPUTED_VALUE"""),"LT0PBB01RE7P1")</f>
        <v>LT0PBB01RE7P1</v>
      </c>
      <c r="F72" s="234"/>
      <c r="G72" s="238">
        <f>IFERROR(__xludf.DUMMYFUNCTION("""COMPUTED_VALUE"""),45972.083333333336)</f>
        <v>45972.08333</v>
      </c>
      <c r="H72" s="238">
        <f>IFERROR(__xludf.DUMMYFUNCTION("""COMPUTED_VALUE"""),45972.166666666664)</f>
        <v>45972.16667</v>
      </c>
      <c r="I72" s="237" t="str">
        <f t="shared" si="1"/>
        <v>Fora</v>
      </c>
      <c r="J72" s="239">
        <v>59.99999999650754</v>
      </c>
    </row>
    <row r="73">
      <c r="A73" s="234" t="s">
        <v>1784</v>
      </c>
      <c r="B73" s="234" t="str">
        <f>IFERROR(__xludf.DUMMYFUNCTION("""COMPUTED_VALUE"""),"LM Hub_MG_Varginha_Fausto")</f>
        <v>LM Hub_MG_Varginha_Fausto</v>
      </c>
      <c r="C73" s="234" t="str">
        <f>IFERROR(__xludf.DUMMYFUNCTION("""COMPUTED_VALUE"""),"HUB-LMG-45")</f>
        <v>HUB-LMG-45</v>
      </c>
      <c r="D73" s="234"/>
      <c r="E73" s="237" t="str">
        <f>IFERROR(__xludf.DUMMYFUNCTION("""COMPUTED_VALUE"""),"LT0PBB01RF9A1")</f>
        <v>LT0PBB01RF9A1</v>
      </c>
      <c r="F73" s="234"/>
      <c r="G73" s="238">
        <f>IFERROR(__xludf.DUMMYFUNCTION("""COMPUTED_VALUE"""),45972.145833333336)</f>
        <v>45972.14583</v>
      </c>
      <c r="H73" s="238">
        <f>IFERROR(__xludf.DUMMYFUNCTION("""COMPUTED_VALUE"""),45972.1875)</f>
        <v>45972.1875</v>
      </c>
      <c r="I73" s="237" t="str">
        <f t="shared" si="1"/>
        <v>Fora</v>
      </c>
      <c r="J73" s="239">
        <v>59.99999999650754</v>
      </c>
    </row>
    <row r="74">
      <c r="A74" s="234" t="s">
        <v>1785</v>
      </c>
      <c r="B74" s="234" t="str">
        <f>IFERROR(__xludf.DUMMYFUNCTION("""COMPUTED_VALUE"""),"LM Hub_SP_Itapetininga")</f>
        <v>LM Hub_SP_Itapetininga</v>
      </c>
      <c r="C74" s="234" t="str">
        <f>IFERROR(__xludf.DUMMYFUNCTION("""COMPUTED_VALUE"""),"HUB-LSP-53")</f>
        <v>HUB-LSP-53</v>
      </c>
      <c r="D74" s="234">
        <f>IFERROR(__xludf.DUMMYFUNCTION("""COMPUTED_VALUE"""),14.0)</f>
        <v>14</v>
      </c>
      <c r="E74" s="237" t="str">
        <f>IFERROR(__xludf.DUMMYFUNCTION("""COMPUTED_VALUE"""),"LT0PBB01R8CP2")</f>
        <v>LT0PBB01R8CP2</v>
      </c>
      <c r="F74" s="234"/>
      <c r="G74" s="238">
        <f>IFERROR(__xludf.DUMMYFUNCTION("""COMPUTED_VALUE"""),45972.145833333336)</f>
        <v>45972.14583</v>
      </c>
      <c r="H74" s="238">
        <f>IFERROR(__xludf.DUMMYFUNCTION("""COMPUTED_VALUE"""),45972.1875)</f>
        <v>45972.1875</v>
      </c>
      <c r="I74" s="237" t="str">
        <f t="shared" si="1"/>
        <v>Fora</v>
      </c>
      <c r="J74" s="239">
        <v>59.99999999650754</v>
      </c>
    </row>
    <row r="75">
      <c r="A75" s="234" t="s">
        <v>1786</v>
      </c>
      <c r="B75" s="234" t="str">
        <f>IFERROR(__xludf.DUMMYFUNCTION("""COMPUTED_VALUE"""),"LM Hub_SP_Itapetininga")</f>
        <v>LM Hub_SP_Itapetininga</v>
      </c>
      <c r="C75" s="234" t="str">
        <f>IFERROR(__xludf.DUMMYFUNCTION("""COMPUTED_VALUE"""),"HUB-LSP-53")</f>
        <v>HUB-LSP-53</v>
      </c>
      <c r="D75" s="234"/>
      <c r="E75" s="237" t="str">
        <f>IFERROR(__xludf.DUMMYFUNCTION("""COMPUTED_VALUE"""),"LT0PBB01R8CO1")</f>
        <v>LT0PBB01R8CO1</v>
      </c>
      <c r="F75" s="234"/>
      <c r="G75" s="238">
        <f>IFERROR(__xludf.DUMMYFUNCTION("""COMPUTED_VALUE"""),45972.145833333336)</f>
        <v>45972.14583</v>
      </c>
      <c r="H75" s="238">
        <f>IFERROR(__xludf.DUMMYFUNCTION("""COMPUTED_VALUE"""),45972.1875)</f>
        <v>45972.1875</v>
      </c>
      <c r="I75" s="237" t="str">
        <f t="shared" si="1"/>
        <v>Fora</v>
      </c>
      <c r="J75" s="239">
        <v>59.99999999650754</v>
      </c>
    </row>
    <row r="76">
      <c r="A76" s="234" t="s">
        <v>1787</v>
      </c>
      <c r="B76" s="234" t="str">
        <f>IFERROR(__xludf.DUMMYFUNCTION("""COMPUTED_VALUE"""),"LM Hub_SP_São Carlos")</f>
        <v>LM Hub_SP_São Carlos</v>
      </c>
      <c r="C76" s="234" t="str">
        <f>IFERROR(__xludf.DUMMYFUNCTION("""COMPUTED_VALUE"""),"HUB-LSP-31")</f>
        <v>HUB-LSP-31</v>
      </c>
      <c r="D76" s="234">
        <f>IFERROR(__xludf.DUMMYFUNCTION("""COMPUTED_VALUE"""),6.0)</f>
        <v>6</v>
      </c>
      <c r="E76" s="237" t="str">
        <f>IFERROR(__xludf.DUMMYFUNCTION("""COMPUTED_VALUE"""),"LT0PBB01R8FO1")</f>
        <v>LT0PBB01R8FO1</v>
      </c>
      <c r="F76" s="234"/>
      <c r="G76" s="238">
        <f>IFERROR(__xludf.DUMMYFUNCTION("""COMPUTED_VALUE"""),45972.145833333336)</f>
        <v>45972.14583</v>
      </c>
      <c r="H76" s="238">
        <f>IFERROR(__xludf.DUMMYFUNCTION("""COMPUTED_VALUE"""),45972.1875)</f>
        <v>45972.1875</v>
      </c>
      <c r="I76" s="237" t="str">
        <f t="shared" si="1"/>
        <v>Fora</v>
      </c>
      <c r="J76" s="239">
        <v>180.0</v>
      </c>
    </row>
    <row r="77">
      <c r="A77" s="234" t="s">
        <v>1788</v>
      </c>
      <c r="B77" s="234" t="str">
        <f>IFERROR(__xludf.DUMMYFUNCTION("""COMPUTED_VALUE"""),"SoC_SP_Santana")</f>
        <v>SoC_SP_Santana</v>
      </c>
      <c r="C77" s="234" t="str">
        <f>IFERROR(__xludf.DUMMYFUNCTION("""COMPUTED_VALUE"""),"SOC-SP2")</f>
        <v>SOC-SP2</v>
      </c>
      <c r="D77" s="234">
        <f>IFERROR(__xludf.DUMMYFUNCTION("""COMPUTED_VALUE"""),23.0)</f>
        <v>23</v>
      </c>
      <c r="E77" s="237" t="str">
        <f>IFERROR(__xludf.DUMMYFUNCTION("""COMPUTED_VALUE"""),"LT0PBB01R8W81")</f>
        <v>LT0PBB01R8W81</v>
      </c>
      <c r="F77" s="234"/>
      <c r="G77" s="238">
        <f>IFERROR(__xludf.DUMMYFUNCTION("""COMPUTED_VALUE"""),45972.083333333336)</f>
        <v>45972.08333</v>
      </c>
      <c r="H77" s="238">
        <f>IFERROR(__xludf.DUMMYFUNCTION("""COMPUTED_VALUE"""),45972.208333333336)</f>
        <v>45972.20833</v>
      </c>
      <c r="I77" s="237" t="str">
        <f t="shared" si="1"/>
        <v>Fora</v>
      </c>
      <c r="J77" s="239">
        <v>120.00000000349246</v>
      </c>
    </row>
    <row r="78">
      <c r="A78" s="234" t="s">
        <v>1789</v>
      </c>
      <c r="B78" s="234" t="str">
        <f>IFERROR(__xludf.DUMMYFUNCTION("""COMPUTED_VALUE"""),"SoC_BA_Simoes Filho")</f>
        <v>SoC_BA_Simoes Filho</v>
      </c>
      <c r="C78" s="234" t="str">
        <f>IFERROR(__xludf.DUMMYFUNCTION("""COMPUTED_VALUE"""),"SOC-BA2")</f>
        <v>SOC-BA2</v>
      </c>
      <c r="D78" s="234">
        <f>IFERROR(__xludf.DUMMYFUNCTION("""COMPUTED_VALUE"""),29.0)</f>
        <v>29</v>
      </c>
      <c r="E78" s="237" t="str">
        <f>IFERROR(__xludf.DUMMYFUNCTION("""COMPUTED_VALUE"""),"LT0PBB01RFOS1")</f>
        <v>LT0PBB01RFOS1</v>
      </c>
      <c r="F78" s="234"/>
      <c r="G78" s="238">
        <f>IFERROR(__xludf.DUMMYFUNCTION("""COMPUTED_VALUE"""),45972.125)</f>
        <v>45972.125</v>
      </c>
      <c r="H78" s="238">
        <f>IFERROR(__xludf.DUMMYFUNCTION("""COMPUTED_VALUE"""),45972.208333333336)</f>
        <v>45972.20833</v>
      </c>
      <c r="I78" s="237" t="str">
        <f t="shared" si="1"/>
        <v>Fora</v>
      </c>
      <c r="J78" s="239">
        <v>120.00000000349246</v>
      </c>
    </row>
    <row r="79">
      <c r="A79" s="234" t="s">
        <v>1790</v>
      </c>
      <c r="B79" s="234" t="str">
        <f>IFERROR(__xludf.DUMMYFUNCTION("""COMPUTED_VALUE"""),"SoC_GO_Goiânia_02")</f>
        <v>SoC_GO_Goiânia_02</v>
      </c>
      <c r="C79" s="234" t="str">
        <f>IFERROR(__xludf.DUMMYFUNCTION("""COMPUTED_VALUE"""),"SOC-GO2")</f>
        <v>SOC-GO2</v>
      </c>
      <c r="D79" s="234">
        <f>IFERROR(__xludf.DUMMYFUNCTION("""COMPUTED_VALUE"""),17.0)</f>
        <v>17</v>
      </c>
      <c r="E79" s="237" t="str">
        <f>IFERROR(__xludf.DUMMYFUNCTION("""COMPUTED_VALUE"""),"LT0PBB01RFY11")</f>
        <v>LT0PBB01RFY11</v>
      </c>
      <c r="F79" s="234"/>
      <c r="G79" s="238">
        <f>IFERROR(__xludf.DUMMYFUNCTION("""COMPUTED_VALUE"""),45972.125)</f>
        <v>45972.125</v>
      </c>
      <c r="H79" s="238">
        <f>IFERROR(__xludf.DUMMYFUNCTION("""COMPUTED_VALUE"""),45972.208333333336)</f>
        <v>45972.20833</v>
      </c>
      <c r="I79" s="237" t="str">
        <f t="shared" si="1"/>
        <v>Fora</v>
      </c>
      <c r="J79" s="239">
        <v>120.00000000349246</v>
      </c>
    </row>
    <row r="80">
      <c r="A80" s="234" t="s">
        <v>1791</v>
      </c>
      <c r="B80" s="234" t="str">
        <f>IFERROR(__xludf.DUMMYFUNCTION("""COMPUTED_VALUE"""),"SoC_GO_Goiânia_02")</f>
        <v>SoC_GO_Goiânia_02</v>
      </c>
      <c r="C80" s="234" t="str">
        <f>IFERROR(__xludf.DUMMYFUNCTION("""COMPUTED_VALUE"""),"SOC-GO2")</f>
        <v>SOC-GO2</v>
      </c>
      <c r="D80" s="234">
        <f>IFERROR(__xludf.DUMMYFUNCTION("""COMPUTED_VALUE"""),27.0)</f>
        <v>27</v>
      </c>
      <c r="E80" s="237" t="str">
        <f>IFERROR(__xludf.DUMMYFUNCTION("""COMPUTED_VALUE"""),"LT1PBB01RP2W1")</f>
        <v>LT1PBB01RP2W1</v>
      </c>
      <c r="F80" s="234"/>
      <c r="G80" s="238">
        <f>IFERROR(__xludf.DUMMYFUNCTION("""COMPUTED_VALUE"""),45972.125)</f>
        <v>45972.125</v>
      </c>
      <c r="H80" s="238">
        <f>IFERROR(__xludf.DUMMYFUNCTION("""COMPUTED_VALUE"""),45972.208333333336)</f>
        <v>45972.20833</v>
      </c>
      <c r="I80" s="237" t="str">
        <f t="shared" si="1"/>
        <v>Fora</v>
      </c>
      <c r="J80" s="239">
        <v>120.00000000349246</v>
      </c>
    </row>
    <row r="81">
      <c r="A81" s="234" t="s">
        <v>1792</v>
      </c>
      <c r="B81" s="234" t="str">
        <f>IFERROR(__xludf.DUMMYFUNCTION("""COMPUTED_VALUE"""),"SoC_PE_Jaboatão dos Guararapes")</f>
        <v>SoC_PE_Jaboatão dos Guararapes</v>
      </c>
      <c r="C81" s="234" t="str">
        <f>IFERROR(__xludf.DUMMYFUNCTION("""COMPUTED_VALUE"""),"SOC-PE2")</f>
        <v>SOC-PE2</v>
      </c>
      <c r="D81" s="234"/>
      <c r="E81" s="237" t="str">
        <f>IFERROR(__xludf.DUMMYFUNCTION("""COMPUTED_VALUE"""),"LT0PBB01RFK21")</f>
        <v>LT0PBB01RFK21</v>
      </c>
      <c r="F81" s="234"/>
      <c r="G81" s="238">
        <f>IFERROR(__xludf.DUMMYFUNCTION("""COMPUTED_VALUE"""),45972.125)</f>
        <v>45972.125</v>
      </c>
      <c r="H81" s="238">
        <f>IFERROR(__xludf.DUMMYFUNCTION("""COMPUTED_VALUE"""),45972.208333333336)</f>
        <v>45972.20833</v>
      </c>
      <c r="I81" s="237" t="str">
        <f t="shared" si="1"/>
        <v>Fora</v>
      </c>
      <c r="J81" s="239">
        <v>120.00000000349246</v>
      </c>
    </row>
    <row r="82">
      <c r="A82" s="234" t="s">
        <v>1793</v>
      </c>
      <c r="B82" s="234" t="str">
        <f>IFERROR(__xludf.DUMMYFUNCTION("""COMPUTED_VALUE"""),"SoC_RS_Gravataí_02")</f>
        <v>SoC_RS_Gravataí_02</v>
      </c>
      <c r="C82" s="234" t="str">
        <f>IFERROR(__xludf.DUMMYFUNCTION("""COMPUTED_VALUE"""),"SOC-RS2")</f>
        <v>SOC-RS2</v>
      </c>
      <c r="D82" s="234">
        <f>IFERROR(__xludf.DUMMYFUNCTION("""COMPUTED_VALUE"""),13.0)</f>
        <v>13</v>
      </c>
      <c r="E82" s="237" t="str">
        <f>IFERROR(__xludf.DUMMYFUNCTION("""COMPUTED_VALUE"""),"LT0PBB01RG2S1")</f>
        <v>LT0PBB01RG2S1</v>
      </c>
      <c r="F82" s="234"/>
      <c r="G82" s="238">
        <f>IFERROR(__xludf.DUMMYFUNCTION("""COMPUTED_VALUE"""),45972.125)</f>
        <v>45972.125</v>
      </c>
      <c r="H82" s="238">
        <f>IFERROR(__xludf.DUMMYFUNCTION("""COMPUTED_VALUE"""),45972.208333333336)</f>
        <v>45972.20833</v>
      </c>
      <c r="I82" s="237" t="str">
        <f t="shared" si="1"/>
        <v>Fora</v>
      </c>
      <c r="J82" s="239">
        <v>120.00000000349246</v>
      </c>
    </row>
    <row r="83">
      <c r="A83" s="234" t="s">
        <v>1794</v>
      </c>
      <c r="B83" s="234" t="str">
        <f>IFERROR(__xludf.DUMMYFUNCTION("""COMPUTED_VALUE"""),"SoC_SC_Itajaí")</f>
        <v>SoC_SC_Itajaí</v>
      </c>
      <c r="C83" s="234" t="str">
        <f>IFERROR(__xludf.DUMMYFUNCTION("""COMPUTED_VALUE"""),"SOC-SC1")</f>
        <v>SOC-SC1</v>
      </c>
      <c r="D83" s="234"/>
      <c r="E83" s="237" t="str">
        <f>IFERROR(__xludf.DUMMYFUNCTION("""COMPUTED_VALUE"""),"LT1PBB01ROL61")</f>
        <v>LT1PBB01ROL61</v>
      </c>
      <c r="F83" s="234"/>
      <c r="G83" s="238">
        <f>IFERROR(__xludf.DUMMYFUNCTION("""COMPUTED_VALUE"""),45972.125)</f>
        <v>45972.125</v>
      </c>
      <c r="H83" s="238">
        <f>IFERROR(__xludf.DUMMYFUNCTION("""COMPUTED_VALUE"""),45972.208333333336)</f>
        <v>45972.20833</v>
      </c>
      <c r="I83" s="237" t="str">
        <f t="shared" si="1"/>
        <v>Fora</v>
      </c>
      <c r="J83" s="239">
        <v>120.00000000349246</v>
      </c>
    </row>
    <row r="84">
      <c r="A84" s="234" t="s">
        <v>1795</v>
      </c>
      <c r="B84" s="234" t="str">
        <f>IFERROR(__xludf.DUMMYFUNCTION("""COMPUTED_VALUE"""),"SoC_SC_Itajaí")</f>
        <v>SoC_SC_Itajaí</v>
      </c>
      <c r="C84" s="234" t="str">
        <f>IFERROR(__xludf.DUMMYFUNCTION("""COMPUTED_VALUE"""),"SOC-SC1")</f>
        <v>SOC-SC1</v>
      </c>
      <c r="D84" s="234"/>
      <c r="E84" s="237" t="str">
        <f>IFERROR(__xludf.DUMMYFUNCTION("""COMPUTED_VALUE"""),"LT1PBB01RP2Y1")</f>
        <v>LT1PBB01RP2Y1</v>
      </c>
      <c r="F84" s="234"/>
      <c r="G84" s="238">
        <f>IFERROR(__xludf.DUMMYFUNCTION("""COMPUTED_VALUE"""),45972.125)</f>
        <v>45972.125</v>
      </c>
      <c r="H84" s="238">
        <f>IFERROR(__xludf.DUMMYFUNCTION("""COMPUTED_VALUE"""),45972.208333333336)</f>
        <v>45972.20833</v>
      </c>
      <c r="I84" s="237" t="str">
        <f t="shared" si="1"/>
        <v>Fora</v>
      </c>
      <c r="J84" s="239">
        <v>60.00000000698492</v>
      </c>
    </row>
    <row r="85">
      <c r="A85" s="234" t="s">
        <v>1796</v>
      </c>
      <c r="B85" s="234" t="str">
        <f>IFERROR(__xludf.DUMMYFUNCTION("""COMPUTED_VALUE"""),"LM Hub_SP_Itapeva")</f>
        <v>LM Hub_SP_Itapeva</v>
      </c>
      <c r="C85" s="234" t="str">
        <f>IFERROR(__xludf.DUMMYFUNCTION("""COMPUTED_VALUE"""),"HUB-LSP-39")</f>
        <v>HUB-LSP-39</v>
      </c>
      <c r="D85" s="234">
        <f>IFERROR(__xludf.DUMMYFUNCTION("""COMPUTED_VALUE"""),14.0)</f>
        <v>14</v>
      </c>
      <c r="E85" s="237" t="str">
        <f>IFERROR(__xludf.DUMMYFUNCTION("""COMPUTED_VALUE"""),"LT0PBB01R8D11")</f>
        <v>LT0PBB01R8D11</v>
      </c>
      <c r="F85" s="234"/>
      <c r="G85" s="238">
        <f>IFERROR(__xludf.DUMMYFUNCTION("""COMPUTED_VALUE"""),45972.166666666664)</f>
        <v>45972.16667</v>
      </c>
      <c r="H85" s="238">
        <f>IFERROR(__xludf.DUMMYFUNCTION("""COMPUTED_VALUE"""),45972.208333333336)</f>
        <v>45972.20833</v>
      </c>
      <c r="I85" s="237" t="str">
        <f t="shared" si="1"/>
        <v>Fora</v>
      </c>
      <c r="J85" s="239">
        <v>60.00000000698492</v>
      </c>
    </row>
    <row r="86">
      <c r="A86" s="234" t="s">
        <v>1797</v>
      </c>
      <c r="B86" s="234" t="str">
        <f>IFERROR(__xludf.DUMMYFUNCTION("""COMPUTED_VALUE"""),"LM Hub_SP_Registro")</f>
        <v>LM Hub_SP_Registro</v>
      </c>
      <c r="C86" s="234" t="str">
        <f>IFERROR(__xludf.DUMMYFUNCTION("""COMPUTED_VALUE"""),"HUB-LSP-40")</f>
        <v>HUB-LSP-40</v>
      </c>
      <c r="D86" s="234"/>
      <c r="E86" s="237" t="str">
        <f>IFERROR(__xludf.DUMMYFUNCTION("""COMPUTED_VALUE"""),"LT0PBB01R8DO1")</f>
        <v>LT0PBB01R8DO1</v>
      </c>
      <c r="F86" s="234"/>
      <c r="G86" s="238">
        <f>IFERROR(__xludf.DUMMYFUNCTION("""COMPUTED_VALUE"""),45972.166666666664)</f>
        <v>45972.16667</v>
      </c>
      <c r="H86" s="238">
        <f>IFERROR(__xludf.DUMMYFUNCTION("""COMPUTED_VALUE"""),45972.208333333336)</f>
        <v>45972.20833</v>
      </c>
      <c r="I86" s="237" t="str">
        <f t="shared" si="1"/>
        <v>Fora</v>
      </c>
      <c r="J86" s="239">
        <v>59.00000000372529</v>
      </c>
    </row>
    <row r="87">
      <c r="A87" s="234" t="s">
        <v>1798</v>
      </c>
      <c r="B87" s="234" t="str">
        <f>IFERROR(__xludf.DUMMYFUNCTION("""COMPUTED_VALUE"""),"LM Hub_SP_Sumaré_Nova Veneza_1")</f>
        <v>LM Hub_SP_Sumaré_Nova Veneza_1</v>
      </c>
      <c r="C87" s="234" t="str">
        <f>IFERROR(__xludf.DUMMYFUNCTION("""COMPUTED_VALUE"""),"HUB-LSP-88")</f>
        <v>HUB-LSP-88</v>
      </c>
      <c r="D87" s="234">
        <f>IFERROR(__xludf.DUMMYFUNCTION("""COMPUTED_VALUE"""),27.0)</f>
        <v>27</v>
      </c>
      <c r="E87" s="237" t="str">
        <f>IFERROR(__xludf.DUMMYFUNCTION("""COMPUTED_VALUE"""),"LT0PBB01RK061")</f>
        <v>LT0PBB01RK061</v>
      </c>
      <c r="F87" s="234"/>
      <c r="G87" s="238">
        <f>IFERROR(__xludf.DUMMYFUNCTION("""COMPUTED_VALUE"""),45972.16736111111)</f>
        <v>45972.16736</v>
      </c>
      <c r="H87" s="238">
        <f>IFERROR(__xludf.DUMMYFUNCTION("""COMPUTED_VALUE"""),45972.208333333336)</f>
        <v>45972.20833</v>
      </c>
      <c r="I87" s="237" t="str">
        <f t="shared" si="1"/>
        <v>Fora</v>
      </c>
      <c r="J87" s="239">
        <v>119.99999999301508</v>
      </c>
    </row>
    <row r="88">
      <c r="A88" s="234" t="s">
        <v>1799</v>
      </c>
      <c r="B88" s="234" t="str">
        <f>IFERROR(__xludf.DUMMYFUNCTION("""COMPUTED_VALUE"""),"LM Hub_SP_Sorocaba_Região Norte")</f>
        <v>LM Hub_SP_Sorocaba_Região Norte</v>
      </c>
      <c r="C88" s="234" t="str">
        <f>IFERROR(__xludf.DUMMYFUNCTION("""COMPUTED_VALUE"""),"HUB-LSP-10")</f>
        <v>HUB-LSP-10</v>
      </c>
      <c r="D88" s="234">
        <f>IFERROR(__xludf.DUMMYFUNCTION("""COMPUTED_VALUE"""),26.0)</f>
        <v>26</v>
      </c>
      <c r="E88" s="237" t="str">
        <f>IFERROR(__xludf.DUMMYFUNCTION("""COMPUTED_VALUE"""),"LT0PBB01R8EO1")</f>
        <v>LT0PBB01R8EO1</v>
      </c>
      <c r="F88" s="234"/>
      <c r="G88" s="238">
        <f>IFERROR(__xludf.DUMMYFUNCTION("""COMPUTED_VALUE"""),45972.145833333336)</f>
        <v>45972.14583</v>
      </c>
      <c r="H88" s="238">
        <f>IFERROR(__xludf.DUMMYFUNCTION("""COMPUTED_VALUE"""),45972.229166666664)</f>
        <v>45972.22917</v>
      </c>
      <c r="I88" s="237" t="str">
        <f t="shared" si="1"/>
        <v>Fora</v>
      </c>
      <c r="J88" s="239">
        <v>59.99999999650754</v>
      </c>
    </row>
    <row r="89">
      <c r="A89" s="234" t="s">
        <v>1800</v>
      </c>
      <c r="B89" s="234" t="str">
        <f>IFERROR(__xludf.DUMMYFUNCTION("""COMPUTED_VALUE"""),"LM Hub_SP_Campinas_São Martinho")</f>
        <v>LM Hub_SP_Campinas_São Martinho</v>
      </c>
      <c r="C89" s="234" t="str">
        <f>IFERROR(__xludf.DUMMYFUNCTION("""COMPUTED_VALUE"""),"HUB-LSP-19")</f>
        <v>HUB-LSP-19</v>
      </c>
      <c r="D89" s="234">
        <f>IFERROR(__xludf.DUMMYFUNCTION("""COMPUTED_VALUE"""),25.0)</f>
        <v>25</v>
      </c>
      <c r="E89" s="237" t="str">
        <f>IFERROR(__xludf.DUMMYFUNCTION("""COMPUTED_VALUE"""),"LT0PBB01R8GP1")</f>
        <v>LT0PBB01R8GP1</v>
      </c>
      <c r="F89" s="234"/>
      <c r="G89" s="238">
        <f>IFERROR(__xludf.DUMMYFUNCTION("""COMPUTED_VALUE"""),45972.1875)</f>
        <v>45972.1875</v>
      </c>
      <c r="H89" s="238">
        <f>IFERROR(__xludf.DUMMYFUNCTION("""COMPUTED_VALUE"""),45972.229166666664)</f>
        <v>45972.22917</v>
      </c>
      <c r="I89" s="237" t="str">
        <f t="shared" si="1"/>
        <v>Fora</v>
      </c>
      <c r="J89" s="239">
        <v>59.99999999650754</v>
      </c>
    </row>
    <row r="90">
      <c r="A90" s="234" t="s">
        <v>1801</v>
      </c>
      <c r="B90" s="234" t="str">
        <f>IFERROR(__xludf.DUMMYFUNCTION("""COMPUTED_VALUE"""),"LM Hub_SP_Mogi Mirim")</f>
        <v>LM Hub_SP_Mogi Mirim</v>
      </c>
      <c r="C90" s="234" t="str">
        <f>IFERROR(__xludf.DUMMYFUNCTION("""COMPUTED_VALUE"""),"HUB-LSP-37")</f>
        <v>HUB-LSP-37</v>
      </c>
      <c r="D90" s="234">
        <f>IFERROR(__xludf.DUMMYFUNCTION("""COMPUTED_VALUE"""),15.0)</f>
        <v>15</v>
      </c>
      <c r="E90" s="237" t="str">
        <f>IFERROR(__xludf.DUMMYFUNCTION("""COMPUTED_VALUE"""),"LT0PBB01R8FY1")</f>
        <v>LT0PBB01R8FY1</v>
      </c>
      <c r="F90" s="234"/>
      <c r="G90" s="238">
        <f>IFERROR(__xludf.DUMMYFUNCTION("""COMPUTED_VALUE"""),45972.1875)</f>
        <v>45972.1875</v>
      </c>
      <c r="H90" s="238">
        <f>IFERROR(__xludf.DUMMYFUNCTION("""COMPUTED_VALUE"""),45972.229166666664)</f>
        <v>45972.22917</v>
      </c>
      <c r="I90" s="237" t="str">
        <f t="shared" si="1"/>
        <v>Fora</v>
      </c>
      <c r="J90" s="239">
        <v>59.99999999650754</v>
      </c>
    </row>
    <row r="91">
      <c r="A91" s="234" t="s">
        <v>1802</v>
      </c>
      <c r="B91" s="234" t="str">
        <f>IFERROR(__xludf.DUMMYFUNCTION("""COMPUTED_VALUE"""),"LM Hub_SP_Osasco_02")</f>
        <v>LM Hub_SP_Osasco_02</v>
      </c>
      <c r="C91" s="234" t="str">
        <f>IFERROR(__xludf.DUMMYFUNCTION("""COMPUTED_VALUE"""),"HUB-LSP-60")</f>
        <v>HUB-LSP-60</v>
      </c>
      <c r="D91" s="234">
        <f>IFERROR(__xludf.DUMMYFUNCTION("""COMPUTED_VALUE"""),18.0)</f>
        <v>18</v>
      </c>
      <c r="E91" s="237" t="str">
        <f>IFERROR(__xludf.DUMMYFUNCTION("""COMPUTED_VALUE"""),"LT0PBB01R9P41")</f>
        <v>LT0PBB01R9P41</v>
      </c>
      <c r="F91" s="234"/>
      <c r="G91" s="238">
        <f>IFERROR(__xludf.DUMMYFUNCTION("""COMPUTED_VALUE"""),45972.1875)</f>
        <v>45972.1875</v>
      </c>
      <c r="H91" s="238">
        <f>IFERROR(__xludf.DUMMYFUNCTION("""COMPUTED_VALUE"""),45972.229166666664)</f>
        <v>45972.22917</v>
      </c>
      <c r="I91" s="237" t="str">
        <f t="shared" si="1"/>
        <v>Fora</v>
      </c>
      <c r="J91" s="239">
        <v>239.99999999650754</v>
      </c>
    </row>
    <row r="92">
      <c r="A92" s="234" t="s">
        <v>1803</v>
      </c>
      <c r="B92" s="234" t="str">
        <f>IFERROR(__xludf.DUMMYFUNCTION("""COMPUTED_VALUE"""),"SoC_SP_Cravinhos")</f>
        <v>SoC_SP_Cravinhos</v>
      </c>
      <c r="C92" s="234" t="str">
        <f>IFERROR(__xludf.DUMMYFUNCTION("""COMPUTED_VALUE"""),"SOC-SP5")</f>
        <v>SOC-SP5</v>
      </c>
      <c r="D92" s="234">
        <f>IFERROR(__xludf.DUMMYFUNCTION("""COMPUTED_VALUE"""),12.0)</f>
        <v>12</v>
      </c>
      <c r="E92" s="237" t="str">
        <f>IFERROR(__xludf.DUMMYFUNCTION("""COMPUTED_VALUE"""),"LT0PBB01R88V2")</f>
        <v>LT0PBB01R88V2</v>
      </c>
      <c r="F92" s="234"/>
      <c r="G92" s="238">
        <f>IFERROR(__xludf.DUMMYFUNCTION("""COMPUTED_VALUE"""),45972.083333333336)</f>
        <v>45972.08333</v>
      </c>
      <c r="H92" s="238">
        <f>IFERROR(__xludf.DUMMYFUNCTION("""COMPUTED_VALUE"""),45972.25)</f>
        <v>45972.25</v>
      </c>
      <c r="I92" s="237" t="str">
        <f t="shared" si="1"/>
        <v>Fora</v>
      </c>
      <c r="J92" s="239">
        <v>239.0000000037253</v>
      </c>
    </row>
    <row r="93">
      <c r="A93" s="234" t="s">
        <v>1804</v>
      </c>
      <c r="B93" s="234" t="str">
        <f>IFERROR(__xludf.DUMMYFUNCTION("""COMPUTED_VALUE"""),"SoC_RJ_Duque de Caxias")</f>
        <v>SoC_RJ_Duque de Caxias</v>
      </c>
      <c r="C93" s="234" t="str">
        <f>IFERROR(__xludf.DUMMYFUNCTION("""COMPUTED_VALUE"""),"SOC-RJ2")</f>
        <v>SOC-RJ2</v>
      </c>
      <c r="D93" s="234">
        <f>IFERROR(__xludf.DUMMYFUNCTION("""COMPUTED_VALUE"""),22.0)</f>
        <v>22</v>
      </c>
      <c r="E93" s="237" t="str">
        <f>IFERROR(__xludf.DUMMYFUNCTION("""COMPUTED_VALUE"""),"LT0PBB01RB2R1")</f>
        <v>LT0PBB01RB2R1</v>
      </c>
      <c r="F93" s="234"/>
      <c r="G93" s="238">
        <f>IFERROR(__xludf.DUMMYFUNCTION("""COMPUTED_VALUE"""),45972.084027777775)</f>
        <v>45972.08403</v>
      </c>
      <c r="H93" s="238">
        <f>IFERROR(__xludf.DUMMYFUNCTION("""COMPUTED_VALUE"""),45972.25)</f>
        <v>45972.25</v>
      </c>
      <c r="I93" s="237" t="str">
        <f t="shared" si="1"/>
        <v>Fora</v>
      </c>
      <c r="J93" s="239">
        <v>239.0000000037253</v>
      </c>
    </row>
    <row r="94">
      <c r="A94" s="234" t="s">
        <v>1805</v>
      </c>
      <c r="B94" s="234" t="str">
        <f>IFERROR(__xludf.DUMMYFUNCTION("""COMPUTED_VALUE"""),"SoC_RJ_Duque de Caxias")</f>
        <v>SoC_RJ_Duque de Caxias</v>
      </c>
      <c r="C94" s="234" t="str">
        <f>IFERROR(__xludf.DUMMYFUNCTION("""COMPUTED_VALUE"""),"SOC-RJ2")</f>
        <v>SOC-RJ2</v>
      </c>
      <c r="D94" s="234"/>
      <c r="E94" s="237" t="str">
        <f>IFERROR(__xludf.DUMMYFUNCTION("""COMPUTED_VALUE"""),"LT0PBB01RB2T2")</f>
        <v>LT0PBB01RB2T2</v>
      </c>
      <c r="F94" s="234"/>
      <c r="G94" s="238">
        <f>IFERROR(__xludf.DUMMYFUNCTION("""COMPUTED_VALUE"""),45972.084027777775)</f>
        <v>45972.08403</v>
      </c>
      <c r="H94" s="238">
        <f>IFERROR(__xludf.DUMMYFUNCTION("""COMPUTED_VALUE"""),45972.25)</f>
        <v>45972.25</v>
      </c>
      <c r="I94" s="237" t="str">
        <f t="shared" si="1"/>
        <v>Fora</v>
      </c>
      <c r="J94" s="239">
        <v>120.00000000349246</v>
      </c>
    </row>
    <row r="95">
      <c r="A95" s="234" t="s">
        <v>1806</v>
      </c>
      <c r="B95" s="234" t="str">
        <f>IFERROR(__xludf.DUMMYFUNCTION("""COMPUTED_VALUE"""),"SoC_PR_Curitiba")</f>
        <v>SoC_PR_Curitiba</v>
      </c>
      <c r="C95" s="234" t="str">
        <f>IFERROR(__xludf.DUMMYFUNCTION("""COMPUTED_VALUE"""),"SOC-PR1")</f>
        <v>SOC-PR1</v>
      </c>
      <c r="D95" s="234"/>
      <c r="E95" s="237" t="str">
        <f>IFERROR(__xludf.DUMMYFUNCTION("""COMPUTED_VALUE"""),"LT0PBB01R8881")</f>
        <v>LT0PBB01R8881</v>
      </c>
      <c r="F95" s="234"/>
      <c r="G95" s="238">
        <f>IFERROR(__xludf.DUMMYFUNCTION("""COMPUTED_VALUE"""),45972.166666666664)</f>
        <v>45972.16667</v>
      </c>
      <c r="H95" s="238">
        <f>IFERROR(__xludf.DUMMYFUNCTION("""COMPUTED_VALUE"""),45972.25)</f>
        <v>45972.25</v>
      </c>
      <c r="I95" s="237" t="str">
        <f t="shared" si="1"/>
        <v>Fora</v>
      </c>
      <c r="J95" s="239">
        <v>120.00000000349246</v>
      </c>
    </row>
    <row r="96">
      <c r="A96" s="234" t="s">
        <v>1807</v>
      </c>
      <c r="B96" s="234" t="str">
        <f>IFERROR(__xludf.DUMMYFUNCTION("""COMPUTED_VALUE"""),"SoC_SP_Louveira")</f>
        <v>SoC_SP_Louveira</v>
      </c>
      <c r="C96" s="234" t="str">
        <f>IFERROR(__xludf.DUMMYFUNCTION("""COMPUTED_VALUE"""),"SOC-SP7")</f>
        <v>SOC-SP7</v>
      </c>
      <c r="D96" s="234">
        <f>IFERROR(__xludf.DUMMYFUNCTION("""COMPUTED_VALUE"""),16.0)</f>
        <v>16</v>
      </c>
      <c r="E96" s="237" t="str">
        <f>IFERROR(__xludf.DUMMYFUNCTION("""COMPUTED_VALUE"""),"LT0PBB01R8A51")</f>
        <v>LT0PBB01R8A51</v>
      </c>
      <c r="F96" s="234"/>
      <c r="G96" s="238">
        <f>IFERROR(__xludf.DUMMYFUNCTION("""COMPUTED_VALUE"""),45972.166666666664)</f>
        <v>45972.16667</v>
      </c>
      <c r="H96" s="238">
        <f>IFERROR(__xludf.DUMMYFUNCTION("""COMPUTED_VALUE"""),45972.25)</f>
        <v>45972.25</v>
      </c>
      <c r="I96" s="237" t="str">
        <f t="shared" si="1"/>
        <v>Fora</v>
      </c>
      <c r="J96" s="239">
        <v>59.99999999650754</v>
      </c>
    </row>
    <row r="97">
      <c r="A97" s="234" t="s">
        <v>1808</v>
      </c>
      <c r="B97" s="234" t="str">
        <f>IFERROR(__xludf.DUMMYFUNCTION("""COMPUTED_VALUE"""),"LM Hub_ES_Viana")</f>
        <v>LM Hub_ES_Viana</v>
      </c>
      <c r="C97" s="234" t="str">
        <f>IFERROR(__xludf.DUMMYFUNCTION("""COMPUTED_VALUE"""),"HUB-LES-09")</f>
        <v>HUB-LES-09</v>
      </c>
      <c r="D97" s="234">
        <f>IFERROR(__xludf.DUMMYFUNCTION("""COMPUTED_VALUE"""),8.0)</f>
        <v>8</v>
      </c>
      <c r="E97" s="237" t="str">
        <f>IFERROR(__xludf.DUMMYFUNCTION("""COMPUTED_VALUE"""),"LT0PBB01RDK41")</f>
        <v>LT0PBB01RDK41</v>
      </c>
      <c r="F97" s="234"/>
      <c r="G97" s="238">
        <f>IFERROR(__xludf.DUMMYFUNCTION("""COMPUTED_VALUE"""),45972.208333333336)</f>
        <v>45972.20833</v>
      </c>
      <c r="H97" s="238">
        <f>IFERROR(__xludf.DUMMYFUNCTION("""COMPUTED_VALUE"""),45972.25)</f>
        <v>45972.25</v>
      </c>
      <c r="I97" s="237" t="str">
        <f t="shared" si="1"/>
        <v>Fora</v>
      </c>
      <c r="J97" s="239">
        <v>59.99999999650754</v>
      </c>
    </row>
    <row r="98">
      <c r="A98" s="234" t="s">
        <v>1809</v>
      </c>
      <c r="B98" s="234" t="str">
        <f>IFERROR(__xludf.DUMMYFUNCTION("""COMPUTED_VALUE"""),"LM Hub_SP_Guaratinguetá")</f>
        <v>LM Hub_SP_Guaratinguetá</v>
      </c>
      <c r="C98" s="234" t="str">
        <f>IFERROR(__xludf.DUMMYFUNCTION("""COMPUTED_VALUE"""),"HUB-LSP-33")</f>
        <v>HUB-LSP-33</v>
      </c>
      <c r="D98" s="234">
        <f>IFERROR(__xludf.DUMMYFUNCTION("""COMPUTED_VALUE"""),24.0)</f>
        <v>24</v>
      </c>
      <c r="E98" s="237" t="str">
        <f>IFERROR(__xludf.DUMMYFUNCTION("""COMPUTED_VALUE"""),"LT0PBB01R8DZ1")</f>
        <v>LT0PBB01R8DZ1</v>
      </c>
      <c r="F98" s="234"/>
      <c r="G98" s="238">
        <f>IFERROR(__xludf.DUMMYFUNCTION("""COMPUTED_VALUE"""),45972.208333333336)</f>
        <v>45972.20833</v>
      </c>
      <c r="H98" s="238">
        <f>IFERROR(__xludf.DUMMYFUNCTION("""COMPUTED_VALUE"""),45972.25)</f>
        <v>45972.25</v>
      </c>
      <c r="I98" s="237" t="str">
        <f t="shared" si="1"/>
        <v>Fora</v>
      </c>
      <c r="J98" s="239">
        <v>59.99999999650754</v>
      </c>
    </row>
    <row r="99">
      <c r="A99" s="234" t="s">
        <v>1810</v>
      </c>
      <c r="B99" s="234" t="str">
        <f>IFERROR(__xludf.DUMMYFUNCTION("""COMPUTED_VALUE"""),"LM Hub_SP_Várzea Paulista")</f>
        <v>LM Hub_SP_Várzea Paulista</v>
      </c>
      <c r="C99" s="234" t="str">
        <f>IFERROR(__xludf.DUMMYFUNCTION("""COMPUTED_VALUE"""),"HUB-LSP-61")</f>
        <v>HUB-LSP-61</v>
      </c>
      <c r="D99" s="234">
        <f>IFERROR(__xludf.DUMMYFUNCTION("""COMPUTED_VALUE"""),19.0)</f>
        <v>19</v>
      </c>
      <c r="E99" s="237" t="str">
        <f>IFERROR(__xludf.DUMMYFUNCTION("""COMPUTED_VALUE"""),"LT0PBB01R8F81")</f>
        <v>LT0PBB01R8F81</v>
      </c>
      <c r="F99" s="234"/>
      <c r="G99" s="238">
        <f>IFERROR(__xludf.DUMMYFUNCTION("""COMPUTED_VALUE"""),45972.208333333336)</f>
        <v>45972.20833</v>
      </c>
      <c r="H99" s="238">
        <f>IFERROR(__xludf.DUMMYFUNCTION("""COMPUTED_VALUE"""),45972.25)</f>
        <v>45972.25</v>
      </c>
      <c r="I99" s="237" t="str">
        <f t="shared" si="1"/>
        <v>Fora</v>
      </c>
      <c r="J99" s="239">
        <v>0.0</v>
      </c>
    </row>
    <row r="100">
      <c r="A100" s="234" t="s">
        <v>1811</v>
      </c>
      <c r="B100" s="234" t="str">
        <f>IFERROR(__xludf.DUMMYFUNCTION("""COMPUTED_VALUE"""),"LM Hub_SP_Guarujá")</f>
        <v>LM Hub_SP_Guarujá</v>
      </c>
      <c r="C100" s="234" t="str">
        <f>IFERROR(__xludf.DUMMYFUNCTION("""COMPUTED_VALUE"""),"HUB-LSP-06")</f>
        <v>HUB-LSP-06</v>
      </c>
      <c r="D100" s="234"/>
      <c r="E100" s="237" t="str">
        <f>IFERROR(__xludf.DUMMYFUNCTION("""COMPUTED_VALUE"""),"LT0PBA01R8DJ2")</f>
        <v>LT0PBA01R8DJ2</v>
      </c>
      <c r="F100" s="234"/>
      <c r="G100" s="234"/>
      <c r="H100" s="234"/>
      <c r="I100" s="237" t="str">
        <f t="shared" si="1"/>
        <v>Dentro</v>
      </c>
      <c r="J100" s="239">
        <v>119.99999999301508</v>
      </c>
    </row>
    <row r="101">
      <c r="A101" s="234" t="s">
        <v>1812</v>
      </c>
      <c r="B101" s="234" t="str">
        <f>IFERROR(__xludf.DUMMYFUNCTION("""COMPUTED_VALUE"""),"LM Hub_SP_Zimba")</f>
        <v>LM Hub_SP_Zimba</v>
      </c>
      <c r="C101" s="234" t="str">
        <f>IFERROR(__xludf.DUMMYFUNCTION("""COMPUTED_VALUE"""),"-")</f>
        <v>-</v>
      </c>
      <c r="D101" s="234">
        <f>IFERROR(__xludf.DUMMYFUNCTION("""COMPUTED_VALUE"""),32.0)</f>
        <v>32</v>
      </c>
      <c r="E101" s="237" t="str">
        <f>IFERROR(__xludf.DUMMYFUNCTION("""COMPUTED_VALUE"""),"LT0PBB01R8CK1")</f>
        <v>LT0PBB01R8CK1</v>
      </c>
      <c r="F101" s="238" t="str">
        <f>IFERROR(__xludf.DUMMYFUNCTION("""COMPUTED_VALUE"""),"")</f>
        <v/>
      </c>
      <c r="G101" s="238">
        <f>IFERROR(__xludf.DUMMYFUNCTION("""COMPUTED_VALUE"""),45972.895833333336)</f>
        <v>45972.89583</v>
      </c>
      <c r="H101" s="238">
        <f>IFERROR(__xludf.DUMMYFUNCTION("""COMPUTED_VALUE"""),45972.979166666664)</f>
        <v>45972.97917</v>
      </c>
      <c r="I101" s="237" t="str">
        <f t="shared" si="1"/>
        <v>Fora</v>
      </c>
      <c r="J101" s="239">
        <v>119.00000000023283</v>
      </c>
    </row>
    <row r="102">
      <c r="A102" s="234" t="s">
        <v>1813</v>
      </c>
      <c r="B102" s="234" t="str">
        <f>IFERROR(__xludf.DUMMYFUNCTION("""COMPUTED_VALUE"""),"LM Hub_SP_Jurubatuba")</f>
        <v>LM Hub_SP_Jurubatuba</v>
      </c>
      <c r="C102" s="234" t="str">
        <f>IFERROR(__xludf.DUMMYFUNCTION("""COMPUTED_VALUE"""),"HUB-LSP-16")</f>
        <v>HUB-LSP-16</v>
      </c>
      <c r="D102" s="234">
        <f>IFERROR(__xludf.DUMMYFUNCTION("""COMPUTED_VALUE"""),25.0)</f>
        <v>25</v>
      </c>
      <c r="E102" s="237" t="str">
        <f>IFERROR(__xludf.DUMMYFUNCTION("""COMPUTED_VALUE"""),"LT0PBB01R8BC1")</f>
        <v>LT0PBB01R8BC1</v>
      </c>
      <c r="F102" s="238" t="str">
        <f>IFERROR(__xludf.DUMMYFUNCTION("""COMPUTED_VALUE"""),"")</f>
        <v/>
      </c>
      <c r="G102" s="238">
        <f>IFERROR(__xludf.DUMMYFUNCTION("""COMPUTED_VALUE"""),45972.896527777775)</f>
        <v>45972.89653</v>
      </c>
      <c r="H102" s="238">
        <f>IFERROR(__xludf.DUMMYFUNCTION("""COMPUTED_VALUE"""),45972.979166666664)</f>
        <v>45972.97917</v>
      </c>
      <c r="I102" s="237" t="str">
        <f t="shared" si="1"/>
        <v>Fora</v>
      </c>
      <c r="J102" s="239" t="e">
        <v>#VALUE!</v>
      </c>
    </row>
    <row r="103">
      <c r="A103" s="234" t="s">
        <v>1814</v>
      </c>
      <c r="B103" s="234" t="str">
        <f>IFERROR(__xludf.DUMMYFUNCTION("""COMPUTED_VALUE"""),"LM Hub_SP_São José dos Campos")</f>
        <v>LM Hub_SP_São José dos Campos</v>
      </c>
      <c r="C103" s="234" t="str">
        <f>IFERROR(__xludf.DUMMYFUNCTION("""COMPUTED_VALUE"""),"HUB-LSP-04")</f>
        <v>HUB-LSP-04</v>
      </c>
      <c r="D103" s="234">
        <f>IFERROR(__xludf.DUMMYFUNCTION("""COMPUTED_VALUE"""),7.0)</f>
        <v>7</v>
      </c>
      <c r="E103" s="237" t="str">
        <f>IFERROR(__xludf.DUMMYFUNCTION("""COMPUTED_VALUE"""),"LT0PBB01RIXY1")</f>
        <v>LT0PBB01RIXY1</v>
      </c>
      <c r="F103" s="238" t="str">
        <f>IFERROR(__xludf.DUMMYFUNCTION("""COMPUTED_VALUE"""),"")</f>
        <v/>
      </c>
      <c r="G103" s="238" t="str">
        <f>IFERROR(__xludf.DUMMYFUNCTION("""COMPUTED_VALUE"""),"-")</f>
        <v>-</v>
      </c>
      <c r="H103" s="238">
        <f>IFERROR(__xludf.DUMMYFUNCTION("""COMPUTED_VALUE"""),45972.979166666664)</f>
        <v>45972.97917</v>
      </c>
      <c r="I103" s="237" t="str">
        <f t="shared" si="1"/>
        <v>Dentro</v>
      </c>
      <c r="J103" s="239" t="e">
        <v>#VALUE!</v>
      </c>
    </row>
    <row r="104">
      <c r="A104" s="234" t="s">
        <v>1815</v>
      </c>
      <c r="B104" s="234" t="str">
        <f>IFERROR(__xludf.DUMMYFUNCTION("""COMPUTED_VALUE"""),"LM Hub_SP_Guarujá")</f>
        <v>LM Hub_SP_Guarujá</v>
      </c>
      <c r="C104" s="234" t="str">
        <f>IFERROR(__xludf.DUMMYFUNCTION("""COMPUTED_VALUE"""),"HUB-LSP-06")</f>
        <v>HUB-LSP-06</v>
      </c>
      <c r="D104" s="234">
        <f>IFERROR(__xludf.DUMMYFUNCTION("""COMPUTED_VALUE"""),12.0)</f>
        <v>12</v>
      </c>
      <c r="E104" s="237" t="str">
        <f>IFERROR(__xludf.DUMMYFUNCTION("""COMPUTED_VALUE"""),"LT0PBB01R8DK1")</f>
        <v>LT0PBB01R8DK1</v>
      </c>
      <c r="F104" s="238" t="str">
        <f>IFERROR(__xludf.DUMMYFUNCTION("""COMPUTED_VALUE"""),"")</f>
        <v/>
      </c>
      <c r="G104" s="238" t="str">
        <f>IFERROR(__xludf.DUMMYFUNCTION("""COMPUTED_VALUE"""),"-")</f>
        <v>-</v>
      </c>
      <c r="H104" s="241">
        <f>IFERROR(__xludf.DUMMYFUNCTION("""COMPUTED_VALUE"""),45972.99930555555)</f>
        <v>45972.99931</v>
      </c>
      <c r="I104" s="237" t="str">
        <f t="shared" si="1"/>
        <v>Dentro</v>
      </c>
      <c r="J104" s="239">
        <v>120.00000000349246</v>
      </c>
    </row>
    <row r="105">
      <c r="A105" s="234" t="s">
        <v>1816</v>
      </c>
      <c r="B105" s="234" t="str">
        <f>IFERROR(__xludf.DUMMYFUNCTION("""COMPUTED_VALUE"""),"SoC_SP_Louveira")</f>
        <v>SoC_SP_Louveira</v>
      </c>
      <c r="C105" s="234" t="str">
        <f>IFERROR(__xludf.DUMMYFUNCTION("""COMPUTED_VALUE"""),"SOC-SP7")</f>
        <v>SOC-SP7</v>
      </c>
      <c r="D105" s="234">
        <f>IFERROR(__xludf.DUMMYFUNCTION("""COMPUTED_VALUE"""),36.0)</f>
        <v>36</v>
      </c>
      <c r="E105" s="237" t="str">
        <f>IFERROR(__xludf.DUMMYFUNCTION("""COMPUTED_VALUE"""),"LT1PBB01RPD21")</f>
        <v>LT1PBB01RPD21</v>
      </c>
      <c r="F105" s="238" t="str">
        <f>IFERROR(__xludf.DUMMYFUNCTION("""COMPUTED_VALUE"""),"")</f>
        <v/>
      </c>
      <c r="G105" s="238">
        <f>IFERROR(__xludf.DUMMYFUNCTION("""COMPUTED_VALUE"""),45972.916666666664)</f>
        <v>45972.91667</v>
      </c>
      <c r="H105" s="238">
        <f>IFERROR(__xludf.DUMMYFUNCTION("""COMPUTED_VALUE"""),45973.0)</f>
        <v>45973</v>
      </c>
      <c r="I105" s="237" t="str">
        <f t="shared" si="1"/>
        <v>Fora</v>
      </c>
      <c r="J105" s="239" t="e">
        <v>#VALUE!</v>
      </c>
    </row>
    <row r="106">
      <c r="A106" s="234" t="s">
        <v>1817</v>
      </c>
      <c r="B106" s="234" t="str">
        <f>IFERROR(__xludf.DUMMYFUNCTION("""COMPUTED_VALUE"""),"LM Hub_SP_Guarulhos")</f>
        <v>LM Hub_SP_Guarulhos</v>
      </c>
      <c r="C106" s="234" t="str">
        <f>IFERROR(__xludf.DUMMYFUNCTION("""COMPUTED_VALUE"""),"HUB-LSP-77")</f>
        <v>HUB-LSP-77</v>
      </c>
      <c r="D106" s="234">
        <f>IFERROR(__xludf.DUMMYFUNCTION("""COMPUTED_VALUE"""),15.0)</f>
        <v>15</v>
      </c>
      <c r="E106" s="237" t="str">
        <f>IFERROR(__xludf.DUMMYFUNCTION("""COMPUTED_VALUE"""),"LT0PBB01R9711")</f>
        <v>LT0PBB01R9711</v>
      </c>
      <c r="F106" s="238" t="str">
        <f>IFERROR(__xludf.DUMMYFUNCTION("""COMPUTED_VALUE"""),"")</f>
        <v/>
      </c>
      <c r="G106" s="238" t="str">
        <f>IFERROR(__xludf.DUMMYFUNCTION("""COMPUTED_VALUE"""),"-")</f>
        <v>-</v>
      </c>
      <c r="H106" s="238">
        <f>IFERROR(__xludf.DUMMYFUNCTION("""COMPUTED_VALUE"""),45973.0)</f>
        <v>45973</v>
      </c>
      <c r="I106" s="237" t="str">
        <f t="shared" si="1"/>
        <v>Dentro</v>
      </c>
      <c r="J106" s="239" t="e">
        <v>#VALUE!</v>
      </c>
    </row>
    <row r="107">
      <c r="A107" s="234" t="s">
        <v>1818</v>
      </c>
      <c r="B107" s="234" t="str">
        <f>IFERROR(__xludf.DUMMYFUNCTION("""COMPUTED_VALUE"""),"LM Hub_SP_Itapevi")</f>
        <v>LM Hub_SP_Itapevi</v>
      </c>
      <c r="C107" s="234" t="str">
        <f>IFERROR(__xludf.DUMMYFUNCTION("""COMPUTED_VALUE"""),"HUB-LSP-41")</f>
        <v>HUB-LSP-41</v>
      </c>
      <c r="D107" s="234">
        <f>IFERROR(__xludf.DUMMYFUNCTION("""COMPUTED_VALUE"""),22.0)</f>
        <v>22</v>
      </c>
      <c r="E107" s="237" t="str">
        <f>IFERROR(__xludf.DUMMYFUNCTION("""COMPUTED_VALUE"""),"LT0PBB01R8C01")</f>
        <v>LT0PBB01R8C01</v>
      </c>
      <c r="F107" s="238" t="str">
        <f>IFERROR(__xludf.DUMMYFUNCTION("""COMPUTED_VALUE"""),"")</f>
        <v/>
      </c>
      <c r="G107" s="238" t="str">
        <f>IFERROR(__xludf.DUMMYFUNCTION("""COMPUTED_VALUE"""),"-")</f>
        <v>-</v>
      </c>
      <c r="H107" s="238">
        <f>IFERROR(__xludf.DUMMYFUNCTION("""COMPUTED_VALUE"""),45973.0)</f>
        <v>45973</v>
      </c>
      <c r="I107" s="237" t="str">
        <f t="shared" si="1"/>
        <v>Dentro</v>
      </c>
      <c r="J107" s="239" t="e">
        <v>#VALUE!</v>
      </c>
    </row>
    <row r="108">
      <c r="A108" s="234" t="s">
        <v>1819</v>
      </c>
      <c r="B108" s="234" t="str">
        <f>IFERROR(__xludf.DUMMYFUNCTION("""COMPUTED_VALUE"""),"LM Hub_SP_Santo André")</f>
        <v>LM Hub_SP_Santo André</v>
      </c>
      <c r="C108" s="234" t="str">
        <f>IFERROR(__xludf.DUMMYFUNCTION("""COMPUTED_VALUE"""),"HUB-LSP-93")</f>
        <v>HUB-LSP-93</v>
      </c>
      <c r="D108" s="234">
        <f>IFERROR(__xludf.DUMMYFUNCTION("""COMPUTED_VALUE"""),18.0)</f>
        <v>18</v>
      </c>
      <c r="E108" s="237" t="str">
        <f>IFERROR(__xludf.DUMMYFUNCTION("""COMPUTED_VALUE"""),"LT0PBB01RBQ61")</f>
        <v>LT0PBB01RBQ61</v>
      </c>
      <c r="F108" s="238" t="str">
        <f>IFERROR(__xludf.DUMMYFUNCTION("""COMPUTED_VALUE"""),"")</f>
        <v/>
      </c>
      <c r="G108" s="238" t="str">
        <f>IFERROR(__xludf.DUMMYFUNCTION("""COMPUTED_VALUE"""),"-")</f>
        <v>-</v>
      </c>
      <c r="H108" s="241">
        <f>IFERROR(__xludf.DUMMYFUNCTION("""COMPUTED_VALUE"""),45973.0)</f>
        <v>45973</v>
      </c>
      <c r="I108" s="237" t="str">
        <f t="shared" si="1"/>
        <v>Dentro</v>
      </c>
      <c r="J108" s="239">
        <v>140.99999999860302</v>
      </c>
    </row>
    <row r="109">
      <c r="A109" s="234" t="s">
        <v>1820</v>
      </c>
      <c r="B109" s="234" t="str">
        <f>IFERROR(__xludf.DUMMYFUNCTION("""COMPUTED_VALUE"""),"LM Hub_SP_Piracicaba")</f>
        <v>LM Hub_SP_Piracicaba</v>
      </c>
      <c r="C109" s="234" t="str">
        <f>IFERROR(__xludf.DUMMYFUNCTION("""COMPUTED_VALUE"""),"HUB-LSP-62")</f>
        <v>HUB-LSP-62</v>
      </c>
      <c r="D109" s="234">
        <f>IFERROR(__xludf.DUMMYFUNCTION("""COMPUTED_VALUE"""),16.0)</f>
        <v>16</v>
      </c>
      <c r="E109" s="237" t="str">
        <f>IFERROR(__xludf.DUMMYFUNCTION("""COMPUTED_VALUE"""),"LT0PBB01R9771")</f>
        <v>LT0PBB01R9771</v>
      </c>
      <c r="F109" s="238" t="str">
        <f>IFERROR(__xludf.DUMMYFUNCTION("""COMPUTED_VALUE"""),"")</f>
        <v/>
      </c>
      <c r="G109" s="238">
        <f>IFERROR(__xludf.DUMMYFUNCTION("""COMPUTED_VALUE"""),45972.916666666664)</f>
        <v>45972.91667</v>
      </c>
      <c r="H109" s="238">
        <f>IFERROR(__xludf.DUMMYFUNCTION("""COMPUTED_VALUE"""),45973.01458333333)</f>
        <v>45973.01458</v>
      </c>
      <c r="I109" s="237" t="str">
        <f t="shared" si="1"/>
        <v>Fora</v>
      </c>
      <c r="J109" s="239">
        <v>120.00000000349246</v>
      </c>
    </row>
    <row r="110">
      <c r="A110" s="234" t="s">
        <v>1821</v>
      </c>
      <c r="B110" s="234" t="str">
        <f>IFERROR(__xludf.DUMMYFUNCTION("""COMPUTED_VALUE"""),"LM Hub_SP_Parque Novo Mundo")</f>
        <v>LM Hub_SP_Parque Novo Mundo</v>
      </c>
      <c r="C110" s="234" t="str">
        <f>IFERROR(__xludf.DUMMYFUNCTION("""COMPUTED_VALUE"""),"HUB-LSP-89")</f>
        <v>HUB-LSP-89</v>
      </c>
      <c r="D110" s="234">
        <f>IFERROR(__xludf.DUMMYFUNCTION("""COMPUTED_VALUE"""),13.0)</f>
        <v>13</v>
      </c>
      <c r="E110" s="237" t="str">
        <f>IFERROR(__xludf.DUMMYFUNCTION("""COMPUTED_VALUE"""),"LT0PBB01R9GE1")</f>
        <v>LT0PBB01R9GE1</v>
      </c>
      <c r="F110" s="238" t="str">
        <f>IFERROR(__xludf.DUMMYFUNCTION("""COMPUTED_VALUE"""),"")</f>
        <v/>
      </c>
      <c r="G110" s="238">
        <f>IFERROR(__xludf.DUMMYFUNCTION("""COMPUTED_VALUE"""),45972.9375)</f>
        <v>45972.9375</v>
      </c>
      <c r="H110" s="238">
        <f>IFERROR(__xludf.DUMMYFUNCTION("""COMPUTED_VALUE"""),45973.020833333336)</f>
        <v>45973.02083</v>
      </c>
      <c r="I110" s="237" t="str">
        <f t="shared" si="1"/>
        <v>Fora</v>
      </c>
      <c r="J110" s="239">
        <v>59.00000000372529</v>
      </c>
    </row>
    <row r="111">
      <c r="A111" s="234" t="s">
        <v>1822</v>
      </c>
      <c r="B111" s="234" t="str">
        <f>IFERROR(__xludf.DUMMYFUNCTION("""COMPUTED_VALUE"""),"LM Hub_SP_São Paulo_Carandiru")</f>
        <v>LM Hub_SP_São Paulo_Carandiru</v>
      </c>
      <c r="C111" s="234" t="str">
        <f>IFERROR(__xludf.DUMMYFUNCTION("""COMPUTED_VALUE"""),"HUB-LSP-18")</f>
        <v>HUB-LSP-18</v>
      </c>
      <c r="D111" s="234">
        <f>IFERROR(__xludf.DUMMYFUNCTION("""COMPUTED_VALUE"""),24.0)</f>
        <v>24</v>
      </c>
      <c r="E111" s="237" t="str">
        <f>IFERROR(__xludf.DUMMYFUNCTION("""COMPUTED_VALUE"""),"LT0PBB01R8BH1")</f>
        <v>LT0PBB01R8BH1</v>
      </c>
      <c r="F111" s="238" t="str">
        <f>IFERROR(__xludf.DUMMYFUNCTION("""COMPUTED_VALUE"""),"")</f>
        <v/>
      </c>
      <c r="G111" s="238">
        <f>IFERROR(__xludf.DUMMYFUNCTION("""COMPUTED_VALUE"""),45972.97986111111)</f>
        <v>45972.97986</v>
      </c>
      <c r="H111" s="238">
        <f>IFERROR(__xludf.DUMMYFUNCTION("""COMPUTED_VALUE"""),45973.020833333336)</f>
        <v>45973.02083</v>
      </c>
      <c r="I111" s="237" t="str">
        <f t="shared" si="1"/>
        <v>Fora</v>
      </c>
      <c r="J111" s="239" t="e">
        <v>#VALUE!</v>
      </c>
    </row>
    <row r="112">
      <c r="A112" s="234" t="s">
        <v>1823</v>
      </c>
      <c r="B112" s="234" t="str">
        <f>IFERROR(__xludf.DUMMYFUNCTION("""COMPUTED_VALUE"""),"LM Hub_SP_Barueri_01")</f>
        <v>LM Hub_SP_Barueri_01</v>
      </c>
      <c r="C112" s="234" t="str">
        <f>IFERROR(__xludf.DUMMYFUNCTION("""COMPUTED_VALUE"""),"HUB-LSP-81")</f>
        <v>HUB-LSP-81</v>
      </c>
      <c r="D112" s="234">
        <f>IFERROR(__xludf.DUMMYFUNCTION("""COMPUTED_VALUE"""),5.0)</f>
        <v>5</v>
      </c>
      <c r="E112" s="237" t="str">
        <f>IFERROR(__xludf.DUMMYFUNCTION("""COMPUTED_VALUE"""),"LT0PBB01RF9S1")</f>
        <v>LT0PBB01RF9S1</v>
      </c>
      <c r="F112" s="238" t="str">
        <f>IFERROR(__xludf.DUMMYFUNCTION("""COMPUTED_VALUE"""),"")</f>
        <v/>
      </c>
      <c r="G112" s="238" t="str">
        <f>IFERROR(__xludf.DUMMYFUNCTION("""COMPUTED_VALUE"""),"-")</f>
        <v>-</v>
      </c>
      <c r="H112" s="238">
        <f>IFERROR(__xludf.DUMMYFUNCTION("""COMPUTED_VALUE"""),45973.041666666664)</f>
        <v>45973.04167</v>
      </c>
      <c r="I112" s="237" t="str">
        <f t="shared" si="1"/>
        <v>Dentro</v>
      </c>
      <c r="J112" s="239" t="e">
        <v>#VALUE!</v>
      </c>
    </row>
    <row r="113">
      <c r="A113" s="234" t="s">
        <v>1824</v>
      </c>
      <c r="B113" s="234" t="str">
        <f>IFERROR(__xludf.DUMMYFUNCTION("""COMPUTED_VALUE"""),"LM Hub_SP_Limeira_Campo Belo")</f>
        <v>LM Hub_SP_Limeira_Campo Belo</v>
      </c>
      <c r="C113" s="234" t="str">
        <f>IFERROR(__xludf.DUMMYFUNCTION("""COMPUTED_VALUE"""),"HUB-LSP-24")</f>
        <v>HUB-LSP-24</v>
      </c>
      <c r="D113" s="234">
        <f>IFERROR(__xludf.DUMMYFUNCTION("""COMPUTED_VALUE"""),7.0)</f>
        <v>7</v>
      </c>
      <c r="E113" s="237" t="str">
        <f>IFERROR(__xludf.DUMMYFUNCTION("""COMPUTED_VALUE"""),"LT0PBB01R8F31")</f>
        <v>LT0PBB01R8F31</v>
      </c>
      <c r="F113" s="238" t="str">
        <f>IFERROR(__xludf.DUMMYFUNCTION("""COMPUTED_VALUE"""),"")</f>
        <v/>
      </c>
      <c r="G113" s="238" t="str">
        <f>IFERROR(__xludf.DUMMYFUNCTION("""COMPUTED_VALUE"""),"-")</f>
        <v>-</v>
      </c>
      <c r="H113" s="238">
        <f>IFERROR(__xludf.DUMMYFUNCTION("""COMPUTED_VALUE"""),45973.041666666664)</f>
        <v>45973.04167</v>
      </c>
      <c r="I113" s="237" t="str">
        <f t="shared" si="1"/>
        <v>Dentro</v>
      </c>
      <c r="J113" s="239" t="e">
        <v>#VALUE!</v>
      </c>
    </row>
    <row r="114">
      <c r="A114" s="234" t="s">
        <v>1825</v>
      </c>
      <c r="B114" s="234" t="str">
        <f>IFERROR(__xludf.DUMMYFUNCTION("""COMPUTED_VALUE"""),"LM Hub_SP_Mogi Mirim")</f>
        <v>LM Hub_SP_Mogi Mirim</v>
      </c>
      <c r="C114" s="234" t="str">
        <f>IFERROR(__xludf.DUMMYFUNCTION("""COMPUTED_VALUE"""),"HUB-LSP-37")</f>
        <v>HUB-LSP-37</v>
      </c>
      <c r="D114" s="234">
        <f>IFERROR(__xludf.DUMMYFUNCTION("""COMPUTED_VALUE"""),8.0)</f>
        <v>8</v>
      </c>
      <c r="E114" s="237" t="str">
        <f>IFERROR(__xludf.DUMMYFUNCTION("""COMPUTED_VALUE"""),"LT0PBB01R8G51")</f>
        <v>LT0PBB01R8G51</v>
      </c>
      <c r="F114" s="238" t="str">
        <f>IFERROR(__xludf.DUMMYFUNCTION("""COMPUTED_VALUE"""),"")</f>
        <v/>
      </c>
      <c r="G114" s="238" t="str">
        <f>IFERROR(__xludf.DUMMYFUNCTION("""COMPUTED_VALUE"""),"-")</f>
        <v>-</v>
      </c>
      <c r="H114" s="238">
        <f>IFERROR(__xludf.DUMMYFUNCTION("""COMPUTED_VALUE"""),45973.041666666664)</f>
        <v>45973.04167</v>
      </c>
      <c r="I114" s="237" t="str">
        <f t="shared" si="1"/>
        <v>Dentro</v>
      </c>
      <c r="J114" s="239">
        <v>117.9999999969732</v>
      </c>
    </row>
    <row r="115">
      <c r="A115" s="234" t="s">
        <v>1826</v>
      </c>
      <c r="B115" s="234" t="str">
        <f>IFERROR(__xludf.DUMMYFUNCTION("""COMPUTED_VALUE"""),"LM Hub_SP_Jundiaí")</f>
        <v>LM Hub_SP_Jundiaí</v>
      </c>
      <c r="C115" s="234" t="str">
        <f>IFERROR(__xludf.DUMMYFUNCTION("""COMPUTED_VALUE"""),"HUB-LSP-100")</f>
        <v>HUB-LSP-100</v>
      </c>
      <c r="D115" s="234">
        <f>IFERROR(__xludf.DUMMYFUNCTION("""COMPUTED_VALUE"""),18.0)</f>
        <v>18</v>
      </c>
      <c r="E115" s="237" t="str">
        <f>IFERROR(__xludf.DUMMYFUNCTION("""COMPUTED_VALUE"""),"LT0PBB01R8GL1")</f>
        <v>LT0PBB01R8GL1</v>
      </c>
      <c r="F115" s="238" t="str">
        <f>IFERROR(__xludf.DUMMYFUNCTION("""COMPUTED_VALUE"""),"")</f>
        <v/>
      </c>
      <c r="G115" s="238">
        <f>IFERROR(__xludf.DUMMYFUNCTION("""COMPUTED_VALUE"""),45972.98055555556)</f>
        <v>45972.98056</v>
      </c>
      <c r="H115" s="238">
        <f>IFERROR(__xludf.DUMMYFUNCTION("""COMPUTED_VALUE"""),45973.0625)</f>
        <v>45973.0625</v>
      </c>
      <c r="I115" s="237" t="str">
        <f t="shared" si="1"/>
        <v>Fora</v>
      </c>
      <c r="J115" s="239" t="e">
        <v>#VALUE!</v>
      </c>
    </row>
    <row r="116">
      <c r="A116" s="234" t="s">
        <v>1827</v>
      </c>
      <c r="B116" s="234" t="str">
        <f>IFERROR(__xludf.DUMMYFUNCTION("""COMPUTED_VALUE"""),"LM Hub_SP_Várzea Paulista")</f>
        <v>LM Hub_SP_Várzea Paulista</v>
      </c>
      <c r="C116" s="234" t="str">
        <f>IFERROR(__xludf.DUMMYFUNCTION("""COMPUTED_VALUE"""),"HUB-LSP-20")</f>
        <v>HUB-LSP-20</v>
      </c>
      <c r="D116" s="234">
        <f>IFERROR(__xludf.DUMMYFUNCTION("""COMPUTED_VALUE"""),28.0)</f>
        <v>28</v>
      </c>
      <c r="E116" s="237" t="str">
        <f>IFERROR(__xludf.DUMMYFUNCTION("""COMPUTED_VALUE"""),"LT0PBB01R8FE1")</f>
        <v>LT0PBB01R8FE1</v>
      </c>
      <c r="F116" s="238" t="str">
        <f>IFERROR(__xludf.DUMMYFUNCTION("""COMPUTED_VALUE"""),"MXC1542,UGJ8A38")</f>
        <v>MXC1542,UGJ8A38</v>
      </c>
      <c r="G116" s="238" t="str">
        <f>IFERROR(__xludf.DUMMYFUNCTION("""COMPUTED_VALUE"""),"-")</f>
        <v>-</v>
      </c>
      <c r="H116" s="238">
        <f>IFERROR(__xludf.DUMMYFUNCTION("""COMPUTED_VALUE"""),45973.0625)</f>
        <v>45973.0625</v>
      </c>
      <c r="I116" s="237" t="str">
        <f t="shared" si="1"/>
        <v>Dentro</v>
      </c>
      <c r="J116" s="239" t="e">
        <v>#VALUE!</v>
      </c>
    </row>
    <row r="117">
      <c r="A117" s="234" t="s">
        <v>1828</v>
      </c>
      <c r="B117" s="234" t="str">
        <f>IFERROR(__xludf.DUMMYFUNCTION("""COMPUTED_VALUE"""),"LM Hub_SP_Jardim Adriana")</f>
        <v>LM Hub_SP_Jardim Adriana</v>
      </c>
      <c r="C117" s="234" t="str">
        <f>IFERROR(__xludf.DUMMYFUNCTION("""COMPUTED_VALUE"""),"HUB-LSP-12")</f>
        <v>HUB-LSP-12</v>
      </c>
      <c r="D117" s="234">
        <f>IFERROR(__xludf.DUMMYFUNCTION("""COMPUTED_VALUE"""),20.0)</f>
        <v>20</v>
      </c>
      <c r="E117" s="237" t="str">
        <f>IFERROR(__xludf.DUMMYFUNCTION("""COMPUTED_VALUE"""),"LT0PBB01RIWV1")</f>
        <v>LT0PBB01RIWV1</v>
      </c>
      <c r="F117" s="238" t="str">
        <f>IFERROR(__xludf.DUMMYFUNCTION("""COMPUTED_VALUE"""),"")</f>
        <v/>
      </c>
      <c r="G117" s="238" t="str">
        <f>IFERROR(__xludf.DUMMYFUNCTION("""COMPUTED_VALUE"""),"-")</f>
        <v>-</v>
      </c>
      <c r="H117" s="238">
        <f>IFERROR(__xludf.DUMMYFUNCTION("""COMPUTED_VALUE"""),45973.083333333336)</f>
        <v>45973.08333</v>
      </c>
      <c r="I117" s="237" t="str">
        <f t="shared" si="1"/>
        <v>Dentro</v>
      </c>
      <c r="J117" s="239">
        <v>180.0</v>
      </c>
    </row>
    <row r="118">
      <c r="A118" s="234" t="s">
        <v>1829</v>
      </c>
      <c r="B118" s="234" t="str">
        <f>IFERROR(__xludf.DUMMYFUNCTION("""COMPUTED_VALUE"""),"SoC_SP_Cravinhos")</f>
        <v>SoC_SP_Cravinhos</v>
      </c>
      <c r="C118" s="234" t="str">
        <f>IFERROR(__xludf.DUMMYFUNCTION("""COMPUTED_VALUE"""),"SOC-SP5")</f>
        <v>SOC-SP5</v>
      </c>
      <c r="D118" s="234">
        <f>IFERROR(__xludf.DUMMYFUNCTION("""COMPUTED_VALUE"""),6.0)</f>
        <v>6</v>
      </c>
      <c r="E118" s="237" t="str">
        <f>IFERROR(__xludf.DUMMYFUNCTION("""COMPUTED_VALUE"""),"LT1PBC01RPD41")</f>
        <v>LT1PBC01RPD41</v>
      </c>
      <c r="F118" s="238" t="str">
        <f>IFERROR(__xludf.DUMMYFUNCTION("""COMPUTED_VALUE"""),"")</f>
        <v/>
      </c>
      <c r="G118" s="238">
        <f>IFERROR(__xludf.DUMMYFUNCTION("""COMPUTED_VALUE"""),45973.145833333336)</f>
        <v>45973.14583</v>
      </c>
      <c r="H118" s="238">
        <f>IFERROR(__xludf.DUMMYFUNCTION("""COMPUTED_VALUE"""),45973.270833333336)</f>
        <v>45973.27083</v>
      </c>
      <c r="I118" s="237" t="str">
        <f t="shared" si="1"/>
        <v>Fora</v>
      </c>
      <c r="J118" s="239" t="e">
        <v>#VALUE!</v>
      </c>
    </row>
    <row r="119">
      <c r="A119" s="234" t="s">
        <v>1830</v>
      </c>
      <c r="B119" s="234" t="str">
        <f>IFERROR(__xludf.DUMMYFUNCTION("""COMPUTED_VALUE"""),"LM Hub_ES_Viana")</f>
        <v>LM Hub_ES_Viana</v>
      </c>
      <c r="C119" s="234" t="str">
        <f>IFERROR(__xludf.DUMMYFUNCTION("""COMPUTED_VALUE"""),"HUB-LES-09")</f>
        <v>HUB-LES-09</v>
      </c>
      <c r="D119" s="234">
        <f>IFERROR(__xludf.DUMMYFUNCTION("""COMPUTED_VALUE"""),8.0)</f>
        <v>8</v>
      </c>
      <c r="E119" s="237" t="str">
        <f>IFERROR(__xludf.DUMMYFUNCTION("""COMPUTED_VALUE"""),"LT0PBC01RDK31")</f>
        <v>LT0PBC01RDK31</v>
      </c>
      <c r="F119" s="238" t="str">
        <f>IFERROR(__xludf.DUMMYFUNCTION("""COMPUTED_VALUE"""),"")</f>
        <v/>
      </c>
      <c r="G119" s="238" t="str">
        <f>IFERROR(__xludf.DUMMYFUNCTION("""COMPUTED_VALUE"""),"-")</f>
        <v>-</v>
      </c>
      <c r="H119" s="238" t="str">
        <f>IFERROR(__xludf.DUMMYFUNCTION("""COMPUTED_VALUE"""),"-")</f>
        <v>-</v>
      </c>
      <c r="I119" s="237" t="str">
        <f t="shared" si="1"/>
        <v>Dentro</v>
      </c>
      <c r="J119" s="239" t="e">
        <v>#VALUE!</v>
      </c>
    </row>
    <row r="120">
      <c r="A120" s="234" t="s">
        <v>1831</v>
      </c>
      <c r="B120" s="234" t="str">
        <f>IFERROR(__xludf.DUMMYFUNCTION("""COMPUTED_VALUE"""),"RS_Gravataí_02")</f>
        <v>RS_Gravataí_02</v>
      </c>
      <c r="C120" s="234" t="str">
        <f>IFERROR(__xludf.DUMMYFUNCTION("""COMPUTED_VALUE"""),"SOC-RS2")</f>
        <v>SOC-RS2</v>
      </c>
      <c r="D120" s="234"/>
      <c r="E120" s="237" t="str">
        <f>IFERROR(__xludf.DUMMYFUNCTION("""COMPUTED_VALUE"""),"LT0PBC01RG2T1")</f>
        <v>LT0PBC01RG2T1</v>
      </c>
      <c r="F120" s="238" t="str">
        <f>IFERROR(__xludf.DUMMYFUNCTION("""COMPUTED_VALUE"""),"")</f>
        <v/>
      </c>
      <c r="G120" s="238" t="str">
        <f>IFERROR(__xludf.DUMMYFUNCTION("""COMPUTED_VALUE"""),"-")</f>
        <v>-</v>
      </c>
      <c r="H120" s="238" t="str">
        <f>IFERROR(__xludf.DUMMYFUNCTION("""COMPUTED_VALUE"""),"-")</f>
        <v>-</v>
      </c>
      <c r="I120" s="237" t="str">
        <f t="shared" si="1"/>
        <v>Dentro</v>
      </c>
      <c r="J120" s="239" t="e">
        <v>#VALUE!</v>
      </c>
    </row>
    <row r="121">
      <c r="A121" s="234" t="s">
        <v>1832</v>
      </c>
      <c r="B121" s="234" t="str">
        <f>IFERROR(__xludf.DUMMYFUNCTION("""COMPUTED_VALUE"""),"SoC_BA_Simoes Filho")</f>
        <v>SoC_BA_Simoes Filho</v>
      </c>
      <c r="C121" s="234" t="str">
        <f>IFERROR(__xludf.DUMMYFUNCTION("""COMPUTED_VALUE"""),"SOC-BA2")</f>
        <v>SOC-BA2</v>
      </c>
      <c r="D121" s="234">
        <f>IFERROR(__xludf.DUMMYFUNCTION("""COMPUTED_VALUE"""),35.0)</f>
        <v>35</v>
      </c>
      <c r="E121" s="237" t="str">
        <f>IFERROR(__xludf.DUMMYFUNCTION("""COMPUTED_VALUE"""),"LT0PBC01RFOT1")</f>
        <v>LT0PBC01RFOT1</v>
      </c>
      <c r="F121" s="238" t="str">
        <f>IFERROR(__xludf.DUMMYFUNCTION("""COMPUTED_VALUE"""),"")</f>
        <v/>
      </c>
      <c r="G121" s="238" t="str">
        <f>IFERROR(__xludf.DUMMYFUNCTION("""COMPUTED_VALUE"""),"-")</f>
        <v>-</v>
      </c>
      <c r="H121" s="238" t="str">
        <f>IFERROR(__xludf.DUMMYFUNCTION("""COMPUTED_VALUE"""),"-")</f>
        <v>-</v>
      </c>
      <c r="I121" s="237" t="str">
        <f t="shared" si="1"/>
        <v>Dentro</v>
      </c>
      <c r="J121" s="239" t="e">
        <v>#VALUE!</v>
      </c>
    </row>
    <row r="122">
      <c r="A122" s="234" t="s">
        <v>1833</v>
      </c>
      <c r="B122" s="234" t="str">
        <f>IFERROR(__xludf.DUMMYFUNCTION("""COMPUTED_VALUE"""),"SoC_BA_Simoes Filho")</f>
        <v>SoC_BA_Simoes Filho</v>
      </c>
      <c r="C122" s="234" t="str">
        <f>IFERROR(__xludf.DUMMYFUNCTION("""COMPUTED_VALUE"""),"SOC-BA2")</f>
        <v>SOC-BA2</v>
      </c>
      <c r="D122" s="234">
        <f>IFERROR(__xludf.DUMMYFUNCTION("""COMPUTED_VALUE"""),29.0)</f>
        <v>29</v>
      </c>
      <c r="E122" s="237" t="str">
        <f>IFERROR(__xludf.DUMMYFUNCTION("""COMPUTED_VALUE"""),"LT0PBC01RFON1")</f>
        <v>LT0PBC01RFON1</v>
      </c>
      <c r="F122" s="238" t="str">
        <f>IFERROR(__xludf.DUMMYFUNCTION("""COMPUTED_VALUE"""),"")</f>
        <v/>
      </c>
      <c r="G122" s="238" t="str">
        <f>IFERROR(__xludf.DUMMYFUNCTION("""COMPUTED_VALUE"""),"-")</f>
        <v>-</v>
      </c>
      <c r="H122" s="238" t="str">
        <f>IFERROR(__xludf.DUMMYFUNCTION("""COMPUTED_VALUE"""),"-")</f>
        <v>-</v>
      </c>
      <c r="I122" s="237" t="str">
        <f t="shared" si="1"/>
        <v>Dentro</v>
      </c>
      <c r="J122" s="239" t="e">
        <v>#VALUE!</v>
      </c>
    </row>
    <row r="123">
      <c r="A123" s="234" t="s">
        <v>1834</v>
      </c>
      <c r="B123" s="234" t="str">
        <f>IFERROR(__xludf.DUMMYFUNCTION("""COMPUTED_VALUE"""),"SoC_GO_Goiânia_02")</f>
        <v>SoC_GO_Goiânia_02</v>
      </c>
      <c r="C123" s="234" t="str">
        <f>IFERROR(__xludf.DUMMYFUNCTION("""COMPUTED_VALUE"""),"SOC-GO2")</f>
        <v>SOC-GO2</v>
      </c>
      <c r="D123" s="234">
        <f>IFERROR(__xludf.DUMMYFUNCTION("""COMPUTED_VALUE"""),27.0)</f>
        <v>27</v>
      </c>
      <c r="E123" s="237" t="str">
        <f>IFERROR(__xludf.DUMMYFUNCTION("""COMPUTED_VALUE"""),"LT0PBC01RFXX1")</f>
        <v>LT0PBC01RFXX1</v>
      </c>
      <c r="F123" s="238" t="str">
        <f>IFERROR(__xludf.DUMMYFUNCTION("""COMPUTED_VALUE"""),"")</f>
        <v/>
      </c>
      <c r="G123" s="238" t="str">
        <f>IFERROR(__xludf.DUMMYFUNCTION("""COMPUTED_VALUE"""),"-")</f>
        <v>-</v>
      </c>
      <c r="H123" s="238" t="str">
        <f>IFERROR(__xludf.DUMMYFUNCTION("""COMPUTED_VALUE"""),"-")</f>
        <v>-</v>
      </c>
      <c r="I123" s="237" t="str">
        <f t="shared" si="1"/>
        <v>Dentro</v>
      </c>
      <c r="J123" s="239" t="e">
        <v>#VALUE!</v>
      </c>
    </row>
    <row r="124">
      <c r="A124" s="234" t="s">
        <v>1835</v>
      </c>
      <c r="B124" s="234" t="str">
        <f>IFERROR(__xludf.DUMMYFUNCTION("""COMPUTED_VALUE"""),"SoC_GO_Goiânia_02")</f>
        <v>SoC_GO_Goiânia_02</v>
      </c>
      <c r="C124" s="234" t="str">
        <f>IFERROR(__xludf.DUMMYFUNCTION("""COMPUTED_VALUE"""),"SOC-GO2")</f>
        <v>SOC-GO2</v>
      </c>
      <c r="D124" s="234">
        <f>IFERROR(__xludf.DUMMYFUNCTION("""COMPUTED_VALUE"""),27.0)</f>
        <v>27</v>
      </c>
      <c r="E124" s="237" t="str">
        <f>IFERROR(__xludf.DUMMYFUNCTION("""COMPUTED_VALUE"""),"LT0PBC01RFY21")</f>
        <v>LT0PBC01RFY21</v>
      </c>
      <c r="F124" s="238" t="str">
        <f>IFERROR(__xludf.DUMMYFUNCTION("""COMPUTED_VALUE"""),"")</f>
        <v/>
      </c>
      <c r="G124" s="238" t="str">
        <f>IFERROR(__xludf.DUMMYFUNCTION("""COMPUTED_VALUE"""),"-")</f>
        <v>-</v>
      </c>
      <c r="H124" s="238" t="str">
        <f>IFERROR(__xludf.DUMMYFUNCTION("""COMPUTED_VALUE"""),"-")</f>
        <v>-</v>
      </c>
      <c r="I124" s="237" t="str">
        <f t="shared" si="1"/>
        <v>Dentro</v>
      </c>
      <c r="J124" s="239" t="e">
        <v>#VALUE!</v>
      </c>
    </row>
    <row r="125">
      <c r="A125" s="234" t="s">
        <v>1836</v>
      </c>
      <c r="B125" s="234" t="str">
        <f>IFERROR(__xludf.DUMMYFUNCTION("""COMPUTED_VALUE"""),"SoC_MG_Betim")</f>
        <v>SoC_MG_Betim</v>
      </c>
      <c r="C125" s="234" t="str">
        <f>IFERROR(__xludf.DUMMYFUNCTION("""COMPUTED_VALUE"""),"SOC-MG2")</f>
        <v>SOC-MG2</v>
      </c>
      <c r="D125" s="234">
        <f>IFERROR(__xludf.DUMMYFUNCTION("""COMPUTED_VALUE"""),13.0)</f>
        <v>13</v>
      </c>
      <c r="E125" s="237" t="str">
        <f>IFERROR(__xludf.DUMMYFUNCTION("""COMPUTED_VALUE"""),"LT0PBB01R87M1")</f>
        <v>LT0PBB01R87M1</v>
      </c>
      <c r="F125" s="238" t="str">
        <f>IFERROR(__xludf.DUMMYFUNCTION("""COMPUTED_VALUE"""),"")</f>
        <v/>
      </c>
      <c r="G125" s="238" t="str">
        <f>IFERROR(__xludf.DUMMYFUNCTION("""COMPUTED_VALUE"""),"-")</f>
        <v>-</v>
      </c>
      <c r="H125" s="238" t="str">
        <f>IFERROR(__xludf.DUMMYFUNCTION("""COMPUTED_VALUE"""),"-")</f>
        <v>-</v>
      </c>
      <c r="I125" s="237" t="str">
        <f t="shared" si="1"/>
        <v>Dentro</v>
      </c>
      <c r="J125" s="239" t="e">
        <v>#VALUE!</v>
      </c>
    </row>
    <row r="126">
      <c r="A126" s="234" t="s">
        <v>1837</v>
      </c>
      <c r="B126" s="234" t="str">
        <f>IFERROR(__xludf.DUMMYFUNCTION("""COMPUTED_VALUE"""),"SoC_MG_Betim")</f>
        <v>SoC_MG_Betim</v>
      </c>
      <c r="C126" s="234" t="str">
        <f>IFERROR(__xludf.DUMMYFUNCTION("""COMPUTED_VALUE"""),"SOC-MG2")</f>
        <v>SOC-MG2</v>
      </c>
      <c r="D126" s="234">
        <f>IFERROR(__xludf.DUMMYFUNCTION("""COMPUTED_VALUE"""),6.0)</f>
        <v>6</v>
      </c>
      <c r="E126" s="237" t="str">
        <f>IFERROR(__xludf.DUMMYFUNCTION("""COMPUTED_VALUE"""),"LT0PBB01R87W1")</f>
        <v>LT0PBB01R87W1</v>
      </c>
      <c r="F126" s="238" t="str">
        <f>IFERROR(__xludf.DUMMYFUNCTION("""COMPUTED_VALUE"""),"")</f>
        <v/>
      </c>
      <c r="G126" s="238" t="str">
        <f>IFERROR(__xludf.DUMMYFUNCTION("""COMPUTED_VALUE"""),"-")</f>
        <v>-</v>
      </c>
      <c r="H126" s="238" t="str">
        <f>IFERROR(__xludf.DUMMYFUNCTION("""COMPUTED_VALUE"""),"-")</f>
        <v>-</v>
      </c>
      <c r="I126" s="237" t="str">
        <f t="shared" si="1"/>
        <v>Dentro</v>
      </c>
      <c r="J126" s="239" t="e">
        <v>#VALUE!</v>
      </c>
    </row>
    <row r="127">
      <c r="A127" s="234" t="s">
        <v>1838</v>
      </c>
      <c r="B127" s="234" t="str">
        <f>IFERROR(__xludf.DUMMYFUNCTION("""COMPUTED_VALUE"""),"SoC_MG_Betim")</f>
        <v>SoC_MG_Betim</v>
      </c>
      <c r="C127" s="234" t="str">
        <f>IFERROR(__xludf.DUMMYFUNCTION("""COMPUTED_VALUE"""),"SOC-MG2")</f>
        <v>SOC-MG2</v>
      </c>
      <c r="D127" s="234">
        <f>IFERROR(__xludf.DUMMYFUNCTION("""COMPUTED_VALUE"""),7.0)</f>
        <v>7</v>
      </c>
      <c r="E127" s="237" t="str">
        <f>IFERROR(__xludf.DUMMYFUNCTION("""COMPUTED_VALUE"""),"LT0PBB01R87U1")</f>
        <v>LT0PBB01R87U1</v>
      </c>
      <c r="F127" s="238" t="str">
        <f>IFERROR(__xludf.DUMMYFUNCTION("""COMPUTED_VALUE"""),"")</f>
        <v/>
      </c>
      <c r="G127" s="238" t="str">
        <f>IFERROR(__xludf.DUMMYFUNCTION("""COMPUTED_VALUE"""),"-")</f>
        <v>-</v>
      </c>
      <c r="H127" s="238" t="str">
        <f>IFERROR(__xludf.DUMMYFUNCTION("""COMPUTED_VALUE"""),"-")</f>
        <v>-</v>
      </c>
      <c r="I127" s="237" t="str">
        <f t="shared" si="1"/>
        <v>Dentro</v>
      </c>
      <c r="J127" s="239" t="e">
        <v>#VALUE!</v>
      </c>
    </row>
    <row r="128">
      <c r="A128" s="234" t="s">
        <v>1839</v>
      </c>
      <c r="B128" s="234" t="str">
        <f>IFERROR(__xludf.DUMMYFUNCTION("""COMPUTED_VALUE"""),"SoC_MG_Betim")</f>
        <v>SoC_MG_Betim</v>
      </c>
      <c r="C128" s="234" t="str">
        <f>IFERROR(__xludf.DUMMYFUNCTION("""COMPUTED_VALUE"""),"SOC-MG2")</f>
        <v>SOC-MG2</v>
      </c>
      <c r="D128" s="234"/>
      <c r="E128" s="237" t="str">
        <f>IFERROR(__xludf.DUMMYFUNCTION("""COMPUTED_VALUE"""),"LT0PBC01R8731")</f>
        <v>LT0PBC01R8731</v>
      </c>
      <c r="F128" s="238" t="str">
        <f>IFERROR(__xludf.DUMMYFUNCTION("""COMPUTED_VALUE"""),"")</f>
        <v/>
      </c>
      <c r="G128" s="238" t="str">
        <f>IFERROR(__xludf.DUMMYFUNCTION("""COMPUTED_VALUE"""),"-")</f>
        <v>-</v>
      </c>
      <c r="H128" s="238" t="str">
        <f>IFERROR(__xludf.DUMMYFUNCTION("""COMPUTED_VALUE"""),"-")</f>
        <v>-</v>
      </c>
      <c r="I128" s="237" t="str">
        <f t="shared" si="1"/>
        <v>Dentro</v>
      </c>
      <c r="J128" s="239" t="e">
        <v>#VALUE!</v>
      </c>
    </row>
    <row r="129">
      <c r="A129" s="234" t="s">
        <v>1840</v>
      </c>
      <c r="B129" s="234" t="str">
        <f>IFERROR(__xludf.DUMMYFUNCTION("""COMPUTED_VALUE"""),"SoC_PE_Jaboatão dos Guararapes")</f>
        <v>SoC_PE_Jaboatão dos Guararapes</v>
      </c>
      <c r="C129" s="234" t="str">
        <f>IFERROR(__xludf.DUMMYFUNCTION("""COMPUTED_VALUE"""),"SOC-PE2")</f>
        <v>SOC-PE2</v>
      </c>
      <c r="D129" s="234">
        <f>IFERROR(__xludf.DUMMYFUNCTION("""COMPUTED_VALUE"""),22.0)</f>
        <v>22</v>
      </c>
      <c r="E129" s="237" t="str">
        <f>IFERROR(__xludf.DUMMYFUNCTION("""COMPUTED_VALUE"""),"LT1PBB01RP041")</f>
        <v>LT1PBB01RP041</v>
      </c>
      <c r="F129" s="238" t="str">
        <f>IFERROR(__xludf.DUMMYFUNCTION("""COMPUTED_VALUE"""),"")</f>
        <v/>
      </c>
      <c r="G129" s="238" t="str">
        <f>IFERROR(__xludf.DUMMYFUNCTION("""COMPUTED_VALUE"""),"-")</f>
        <v>-</v>
      </c>
      <c r="H129" s="238" t="str">
        <f>IFERROR(__xludf.DUMMYFUNCTION("""COMPUTED_VALUE"""),"-")</f>
        <v>-</v>
      </c>
      <c r="I129" s="237" t="str">
        <f t="shared" si="1"/>
        <v>Dentro</v>
      </c>
      <c r="J129" s="239" t="e">
        <v>#VALUE!</v>
      </c>
    </row>
    <row r="130">
      <c r="A130" s="234" t="s">
        <v>1841</v>
      </c>
      <c r="B130" s="234" t="str">
        <f>IFERROR(__xludf.DUMMYFUNCTION("""COMPUTED_VALUE"""),"SoC_PE_Jaboatão dos Guararapes")</f>
        <v>SoC_PE_Jaboatão dos Guararapes</v>
      </c>
      <c r="C130" s="234" t="str">
        <f>IFERROR(__xludf.DUMMYFUNCTION("""COMPUTED_VALUE"""),"SOC-PE2")</f>
        <v>SOC-PE2</v>
      </c>
      <c r="D130" s="234">
        <f>IFERROR(__xludf.DUMMYFUNCTION("""COMPUTED_VALUE"""),17.0)</f>
        <v>17</v>
      </c>
      <c r="E130" s="237" t="str">
        <f>IFERROR(__xludf.DUMMYFUNCTION("""COMPUTED_VALUE"""),"LT0PBC01RFJX1")</f>
        <v>LT0PBC01RFJX1</v>
      </c>
      <c r="F130" s="238" t="str">
        <f>IFERROR(__xludf.DUMMYFUNCTION("""COMPUTED_VALUE"""),"")</f>
        <v/>
      </c>
      <c r="G130" s="238" t="str">
        <f>IFERROR(__xludf.DUMMYFUNCTION("""COMPUTED_VALUE"""),"-")</f>
        <v>-</v>
      </c>
      <c r="H130" s="238" t="str">
        <f>IFERROR(__xludf.DUMMYFUNCTION("""COMPUTED_VALUE"""),"-")</f>
        <v>-</v>
      </c>
      <c r="I130" s="237" t="str">
        <f t="shared" si="1"/>
        <v>Dentro</v>
      </c>
      <c r="J130" s="239" t="e">
        <v>#VALUE!</v>
      </c>
    </row>
    <row r="131">
      <c r="A131" s="234" t="s">
        <v>1842</v>
      </c>
      <c r="B131" s="234" t="str">
        <f>IFERROR(__xludf.DUMMYFUNCTION("""COMPUTED_VALUE"""),"SoC_PE_Jaboatão dos Guararapes")</f>
        <v>SoC_PE_Jaboatão dos Guararapes</v>
      </c>
      <c r="C131" s="234" t="str">
        <f>IFERROR(__xludf.DUMMYFUNCTION("""COMPUTED_VALUE"""),"SOC-PE2")</f>
        <v>SOC-PE2</v>
      </c>
      <c r="D131" s="234">
        <f>IFERROR(__xludf.DUMMYFUNCTION("""COMPUTED_VALUE"""),17.0)</f>
        <v>17</v>
      </c>
      <c r="E131" s="237" t="str">
        <f>IFERROR(__xludf.DUMMYFUNCTION("""COMPUTED_VALUE"""),"LT1PBC01RPDD1")</f>
        <v>LT1PBC01RPDD1</v>
      </c>
      <c r="F131" s="238" t="str">
        <f>IFERROR(__xludf.DUMMYFUNCTION("""COMPUTED_VALUE"""),"")</f>
        <v/>
      </c>
      <c r="G131" s="238" t="str">
        <f>IFERROR(__xludf.DUMMYFUNCTION("""COMPUTED_VALUE"""),"-")</f>
        <v>-</v>
      </c>
      <c r="H131" s="238" t="str">
        <f>IFERROR(__xludf.DUMMYFUNCTION("""COMPUTED_VALUE"""),"-")</f>
        <v>-</v>
      </c>
      <c r="I131" s="237" t="str">
        <f t="shared" si="1"/>
        <v>Dentro</v>
      </c>
      <c r="J131" s="239" t="e">
        <v>#VALUE!</v>
      </c>
    </row>
    <row r="132">
      <c r="A132" s="234" t="s">
        <v>1843</v>
      </c>
      <c r="B132" s="234" t="str">
        <f>IFERROR(__xludf.DUMMYFUNCTION("""COMPUTED_VALUE"""),"SoC_RJ_Duque de Caxias")</f>
        <v>SoC_RJ_Duque de Caxias</v>
      </c>
      <c r="C132" s="234" t="str">
        <f>IFERROR(__xludf.DUMMYFUNCTION("""COMPUTED_VALUE"""),"SOC-RJ2")</f>
        <v>SOC-RJ2</v>
      </c>
      <c r="D132" s="234"/>
      <c r="E132" s="237" t="str">
        <f>IFERROR(__xludf.DUMMYFUNCTION("""COMPUTED_VALUE"""),"LT0PBB01RB401")</f>
        <v>LT0PBB01RB401</v>
      </c>
      <c r="F132" s="238" t="str">
        <f>IFERROR(__xludf.DUMMYFUNCTION("""COMPUTED_VALUE"""),"")</f>
        <v/>
      </c>
      <c r="G132" s="238" t="str">
        <f>IFERROR(__xludf.DUMMYFUNCTION("""COMPUTED_VALUE"""),"-")</f>
        <v>-</v>
      </c>
      <c r="H132" s="238" t="str">
        <f>IFERROR(__xludf.DUMMYFUNCTION("""COMPUTED_VALUE"""),"-")</f>
        <v>-</v>
      </c>
      <c r="I132" s="237" t="str">
        <f t="shared" si="1"/>
        <v>Dentro</v>
      </c>
      <c r="J132" s="239" t="e">
        <v>#VALUE!</v>
      </c>
    </row>
    <row r="133">
      <c r="A133" s="234" t="s">
        <v>1844</v>
      </c>
      <c r="B133" s="234" t="str">
        <f>IFERROR(__xludf.DUMMYFUNCTION("""COMPUTED_VALUE"""),"SoC_RS_Gravataí_02")</f>
        <v>SoC_RS_Gravataí_02</v>
      </c>
      <c r="C133" s="234" t="str">
        <f>IFERROR(__xludf.DUMMYFUNCTION("""COMPUTED_VALUE"""),"SOC-RS2")</f>
        <v>SOC-RS2</v>
      </c>
      <c r="D133" s="234">
        <f>IFERROR(__xludf.DUMMYFUNCTION("""COMPUTED_VALUE"""),15.0)</f>
        <v>15</v>
      </c>
      <c r="E133" s="237" t="str">
        <f>IFERROR(__xludf.DUMMYFUNCTION("""COMPUTED_VALUE"""),"LT1PBB01RPDF1")</f>
        <v>LT1PBB01RPDF1</v>
      </c>
      <c r="F133" s="238" t="str">
        <f>IFERROR(__xludf.DUMMYFUNCTION("""COMPUTED_VALUE"""),"")</f>
        <v/>
      </c>
      <c r="G133" s="238" t="str">
        <f>IFERROR(__xludf.DUMMYFUNCTION("""COMPUTED_VALUE"""),"-")</f>
        <v>-</v>
      </c>
      <c r="H133" s="238" t="str">
        <f>IFERROR(__xludf.DUMMYFUNCTION("""COMPUTED_VALUE"""),"-")</f>
        <v>-</v>
      </c>
      <c r="I133" s="237" t="str">
        <f t="shared" si="1"/>
        <v>Dentro</v>
      </c>
      <c r="J133" s="239" t="e">
        <v>#VALUE!</v>
      </c>
    </row>
    <row r="134">
      <c r="A134" s="234" t="s">
        <v>1845</v>
      </c>
      <c r="B134" s="234" t="str">
        <f>IFERROR(__xludf.DUMMYFUNCTION("""COMPUTED_VALUE"""),"SoC_RS_Gravataí_02")</f>
        <v>SoC_RS_Gravataí_02</v>
      </c>
      <c r="C134" s="234" t="str">
        <f>IFERROR(__xludf.DUMMYFUNCTION("""COMPUTED_VALUE"""),"SOC-RS2")</f>
        <v>SOC-RS2</v>
      </c>
      <c r="D134" s="234">
        <f>IFERROR(__xludf.DUMMYFUNCTION("""COMPUTED_VALUE"""),16.0)</f>
        <v>16</v>
      </c>
      <c r="E134" s="237" t="str">
        <f>IFERROR(__xludf.DUMMYFUNCTION("""COMPUTED_VALUE"""),"LT0PBC01RG2O1")</f>
        <v>LT0PBC01RG2O1</v>
      </c>
      <c r="F134" s="238" t="str">
        <f>IFERROR(__xludf.DUMMYFUNCTION("""COMPUTED_VALUE"""),"")</f>
        <v/>
      </c>
      <c r="G134" s="238" t="str">
        <f>IFERROR(__xludf.DUMMYFUNCTION("""COMPUTED_VALUE"""),"-")</f>
        <v>-</v>
      </c>
      <c r="H134" s="238" t="str">
        <f>IFERROR(__xludf.DUMMYFUNCTION("""COMPUTED_VALUE"""),"-")</f>
        <v>-</v>
      </c>
      <c r="I134" s="237" t="str">
        <f t="shared" si="1"/>
        <v>Dentro</v>
      </c>
      <c r="J134" s="239" t="e">
        <v>#VALUE!</v>
      </c>
    </row>
    <row r="135">
      <c r="A135" s="234" t="s">
        <v>1846</v>
      </c>
      <c r="B135" s="234" t="str">
        <f>IFERROR(__xludf.DUMMYFUNCTION("""COMPUTED_VALUE"""),"SoC_SP_Santana")</f>
        <v>SoC_SP_Santana</v>
      </c>
      <c r="C135" s="234" t="str">
        <f>IFERROR(__xludf.DUMMYFUNCTION("""COMPUTED_VALUE"""),"SOC-SP2")</f>
        <v>SOC-SP2</v>
      </c>
      <c r="D135" s="234">
        <f>IFERROR(__xludf.DUMMYFUNCTION("""COMPUTED_VALUE"""),15.0)</f>
        <v>15</v>
      </c>
      <c r="E135" s="237" t="str">
        <f>IFERROR(__xludf.DUMMYFUNCTION("""COMPUTED_VALUE"""),"LT0PBC01R8W91")</f>
        <v>LT0PBC01R8W91</v>
      </c>
      <c r="F135" s="238" t="str">
        <f>IFERROR(__xludf.DUMMYFUNCTION("""COMPUTED_VALUE"""),"")</f>
        <v/>
      </c>
      <c r="G135" s="238" t="str">
        <f>IFERROR(__xludf.DUMMYFUNCTION("""COMPUTED_VALUE"""),"-")</f>
        <v>-</v>
      </c>
      <c r="H135" s="238" t="str">
        <f>IFERROR(__xludf.DUMMYFUNCTION("""COMPUTED_VALUE"""),"-")</f>
        <v>-</v>
      </c>
      <c r="I135" s="237" t="str">
        <f t="shared" si="1"/>
        <v>Dentro</v>
      </c>
      <c r="J135" s="239" t="e">
        <v>#VALUE!</v>
      </c>
    </row>
    <row r="136">
      <c r="A136" s="234" t="s">
        <v>1847</v>
      </c>
      <c r="B136" s="234" t="str">
        <f>IFERROR(__xludf.DUMMYFUNCTION("""COMPUTED_VALUE"""),"SoC_PE_Jaboatão dos Guararapes")</f>
        <v>SoC_PE_Jaboatão dos Guararapes</v>
      </c>
      <c r="C136" s="234" t="str">
        <f>IFERROR(__xludf.DUMMYFUNCTION("""COMPUTED_VALUE"""),"SOC-PE2")</f>
        <v>SOC-PE2</v>
      </c>
      <c r="D136" s="234"/>
      <c r="E136" s="237" t="str">
        <f>IFERROR(__xludf.DUMMYFUNCTION("""COMPUTED_VALUE"""),"LT0PBC01RFK31")</f>
        <v>LT0PBC01RFK31</v>
      </c>
      <c r="F136" s="238" t="str">
        <f>IFERROR(__xludf.DUMMYFUNCTION("""COMPUTED_VALUE"""),"")</f>
        <v/>
      </c>
      <c r="G136" s="238" t="str">
        <f>IFERROR(__xludf.DUMMYFUNCTION("""COMPUTED_VALUE"""),"#VALUE!")</f>
        <v>#VALUE!</v>
      </c>
      <c r="H136" s="238" t="str">
        <f>IFERROR(__xludf.DUMMYFUNCTION("""COMPUTED_VALUE"""),"-")</f>
        <v>-</v>
      </c>
      <c r="I136" s="237" t="str">
        <f t="shared" si="1"/>
        <v>#VALUE!</v>
      </c>
      <c r="J136" s="239">
        <v>0.0</v>
      </c>
    </row>
    <row r="137">
      <c r="A137" s="234" t="s">
        <v>1848</v>
      </c>
      <c r="B137" s="234" t="str">
        <f>IFERROR(__xludf.DUMMYFUNCTION("""COMPUTED_VALUE"""),"LM Hub_MG_Juiz de Fora_Dist Ind")</f>
        <v>LM Hub_MG_Juiz de Fora_Dist Ind</v>
      </c>
      <c r="C137" s="234" t="str">
        <f>IFERROR(__xludf.DUMMYFUNCTION("""COMPUTED_VALUE"""),"HUB-LMG-59")</f>
        <v>HUB-LMG-59</v>
      </c>
      <c r="D137" s="234">
        <f>IFERROR(__xludf.DUMMYFUNCTION("""COMPUTED_VALUE"""),25.0)</f>
        <v>25</v>
      </c>
      <c r="E137" s="237" t="str">
        <f>IFERROR(__xludf.DUMMYFUNCTION("""COMPUTED_VALUE"""),"LT0PBB01RGMK1")</f>
        <v>LT0PBB01RGMK1</v>
      </c>
      <c r="F137" s="238" t="str">
        <f>IFERROR(__xludf.DUMMYFUNCTION("""COMPUTED_VALUE"""),"")</f>
        <v/>
      </c>
      <c r="G137" s="234"/>
      <c r="H137" s="234"/>
      <c r="I137" s="237" t="str">
        <f t="shared" si="1"/>
        <v>Dentro</v>
      </c>
      <c r="J137" s="239">
        <v>0.0</v>
      </c>
    </row>
    <row r="138">
      <c r="A138" s="234" t="s">
        <v>1849</v>
      </c>
      <c r="B138" s="234" t="str">
        <f>IFERROR(__xludf.DUMMYFUNCTION("""COMPUTED_VALUE"""),"LM Hub_MG_Varginha_Fausto")</f>
        <v>LM Hub_MG_Varginha_Fausto</v>
      </c>
      <c r="C138" s="234" t="str">
        <f>IFERROR(__xludf.DUMMYFUNCTION("""COMPUTED_VALUE"""),"HUB-LMG-45")</f>
        <v>HUB-LMG-45</v>
      </c>
      <c r="D138" s="234">
        <f>IFERROR(__xludf.DUMMYFUNCTION("""COMPUTED_VALUE"""),19.0)</f>
        <v>19</v>
      </c>
      <c r="E138" s="237" t="str">
        <f>IFERROR(__xludf.DUMMYFUNCTION("""COMPUTED_VALUE"""),"LT0PBC01RF9B1")</f>
        <v>LT0PBC01RF9B1</v>
      </c>
      <c r="F138" s="238" t="str">
        <f>IFERROR(__xludf.DUMMYFUNCTION("""COMPUTED_VALUE"""),"")</f>
        <v/>
      </c>
      <c r="G138" s="234"/>
      <c r="H138" s="234"/>
      <c r="I138" s="237" t="str">
        <f t="shared" si="1"/>
        <v>Dentro</v>
      </c>
      <c r="J138" s="239">
        <v>0.0</v>
      </c>
    </row>
    <row r="139">
      <c r="A139" s="234" t="s">
        <v>1850</v>
      </c>
      <c r="B139" s="234" t="str">
        <f>IFERROR(__xludf.DUMMYFUNCTION("""COMPUTED_VALUE"""),"LM Hub_RS_Porto Alegre_Floresta")</f>
        <v>LM Hub_RS_Porto Alegre_Floresta</v>
      </c>
      <c r="C139" s="234" t="str">
        <f>IFERROR(__xludf.DUMMYFUNCTION("""COMPUTED_VALUE"""),"HUB-LRS-03")</f>
        <v>HUB-LRS-03</v>
      </c>
      <c r="D139" s="234"/>
      <c r="E139" s="237" t="str">
        <f>IFERROR(__xludf.DUMMYFUNCTION("""COMPUTED_VALUE"""),"LT0PBB01RGLX1")</f>
        <v>LT0PBB01RGLX1</v>
      </c>
      <c r="F139" s="238" t="str">
        <f>IFERROR(__xludf.DUMMYFUNCTION("""COMPUTED_VALUE"""),"")</f>
        <v/>
      </c>
      <c r="G139" s="234"/>
      <c r="H139" s="234"/>
      <c r="I139" s="237" t="str">
        <f t="shared" si="1"/>
        <v>Dentro</v>
      </c>
      <c r="J139" s="239">
        <v>0.0</v>
      </c>
    </row>
    <row r="140">
      <c r="A140" s="234" t="s">
        <v>1851</v>
      </c>
      <c r="B140" s="234" t="str">
        <f>IFERROR(__xludf.DUMMYFUNCTION("""COMPUTED_VALUE"""),"LM Hub_SP_Araraquara")</f>
        <v>LM Hub_SP_Araraquara</v>
      </c>
      <c r="C140" s="234" t="str">
        <f>IFERROR(__xludf.DUMMYFUNCTION("""COMPUTED_VALUE"""),"HUB-LSP-29")</f>
        <v>HUB-LSP-29</v>
      </c>
      <c r="D140" s="234">
        <f>IFERROR(__xludf.DUMMYFUNCTION("""COMPUTED_VALUE"""),14.0)</f>
        <v>14</v>
      </c>
      <c r="E140" s="237" t="str">
        <f>IFERROR(__xludf.DUMMYFUNCTION("""COMPUTED_VALUE"""),"LT0PBB01R8GB1")</f>
        <v>LT0PBB01R8GB1</v>
      </c>
      <c r="F140" s="238" t="str">
        <f>IFERROR(__xludf.DUMMYFUNCTION("""COMPUTED_VALUE"""),"")</f>
        <v/>
      </c>
      <c r="G140" s="234"/>
      <c r="H140" s="234"/>
      <c r="I140" s="237" t="str">
        <f t="shared" si="1"/>
        <v>Dentro</v>
      </c>
      <c r="J140" s="239">
        <v>0.0</v>
      </c>
    </row>
    <row r="141">
      <c r="A141" s="234" t="s">
        <v>1852</v>
      </c>
      <c r="B141" s="234" t="str">
        <f>IFERROR(__xludf.DUMMYFUNCTION("""COMPUTED_VALUE"""),"LM Hub_SP_Artur Alvim")</f>
        <v>LM Hub_SP_Artur Alvim</v>
      </c>
      <c r="C141" s="234" t="str">
        <f>IFERROR(__xludf.DUMMYFUNCTION("""COMPUTED_VALUE"""),"HUB-LSP-07")</f>
        <v>HUB-LSP-07</v>
      </c>
      <c r="D141" s="234">
        <f>IFERROR(__xludf.DUMMYFUNCTION("""COMPUTED_VALUE"""),17.0)</f>
        <v>17</v>
      </c>
      <c r="E141" s="237" t="str">
        <f>IFERROR(__xludf.DUMMYFUNCTION("""COMPUTED_VALUE"""),"LT0PBB01R8AX1")</f>
        <v>LT0PBB01R8AX1</v>
      </c>
      <c r="F141" s="238" t="str">
        <f>IFERROR(__xludf.DUMMYFUNCTION("""COMPUTED_VALUE"""),"")</f>
        <v/>
      </c>
      <c r="G141" s="234"/>
      <c r="H141" s="234"/>
      <c r="I141" s="237" t="str">
        <f t="shared" si="1"/>
        <v>Dentro</v>
      </c>
      <c r="J141" s="239">
        <v>0.0</v>
      </c>
    </row>
    <row r="142">
      <c r="A142" s="234" t="s">
        <v>1853</v>
      </c>
      <c r="B142" s="234" t="str">
        <f>IFERROR(__xludf.DUMMYFUNCTION("""COMPUTED_VALUE"""),"LM Hub_SP_Atibaia_Ponte_Alta")</f>
        <v>LM Hub_SP_Atibaia_Ponte_Alta</v>
      </c>
      <c r="C142" s="234" t="str">
        <f>IFERROR(__xludf.DUMMYFUNCTION("""COMPUTED_VALUE"""),"HUB-LSP-87")</f>
        <v>HUB-LSP-87</v>
      </c>
      <c r="D142" s="234">
        <f>IFERROR(__xludf.DUMMYFUNCTION("""COMPUTED_VALUE"""),19.0)</f>
        <v>19</v>
      </c>
      <c r="E142" s="237" t="str">
        <f>IFERROR(__xludf.DUMMYFUNCTION("""COMPUTED_VALUE"""),"LT0PBB01RDCU1")</f>
        <v>LT0PBB01RDCU1</v>
      </c>
      <c r="F142" s="238" t="str">
        <f>IFERROR(__xludf.DUMMYFUNCTION("""COMPUTED_VALUE"""),"")</f>
        <v/>
      </c>
      <c r="G142" s="234"/>
      <c r="H142" s="234"/>
      <c r="I142" s="237" t="str">
        <f t="shared" si="1"/>
        <v>Dentro</v>
      </c>
      <c r="J142" s="239">
        <v>0.0</v>
      </c>
    </row>
    <row r="143">
      <c r="A143" s="234" t="s">
        <v>1854</v>
      </c>
      <c r="B143" s="234" t="str">
        <f>IFERROR(__xludf.DUMMYFUNCTION("""COMPUTED_VALUE"""),"LM Hub_SP_Campinas_São Martinho")</f>
        <v>LM Hub_SP_Campinas_São Martinho</v>
      </c>
      <c r="C143" s="234" t="str">
        <f>IFERROR(__xludf.DUMMYFUNCTION("""COMPUTED_VALUE"""),"HUB-LSP-19")</f>
        <v>HUB-LSP-19</v>
      </c>
      <c r="D143" s="234">
        <f>IFERROR(__xludf.DUMMYFUNCTION("""COMPUTED_VALUE"""),5.0)</f>
        <v>5</v>
      </c>
      <c r="E143" s="237" t="str">
        <f>IFERROR(__xludf.DUMMYFUNCTION("""COMPUTED_VALUE"""),"LT0PBC01R8GQ1")</f>
        <v>LT0PBC01R8GQ1</v>
      </c>
      <c r="F143" s="238" t="str">
        <f>IFERROR(__xludf.DUMMYFUNCTION("""COMPUTED_VALUE"""),"")</f>
        <v/>
      </c>
      <c r="G143" s="234"/>
      <c r="H143" s="234"/>
      <c r="I143" s="237" t="str">
        <f t="shared" si="1"/>
        <v>Dentro</v>
      </c>
      <c r="J143" s="239">
        <v>0.0</v>
      </c>
    </row>
    <row r="144">
      <c r="A144" s="234" t="s">
        <v>1855</v>
      </c>
      <c r="B144" s="234" t="str">
        <f>IFERROR(__xludf.DUMMYFUNCTION("""COMPUTED_VALUE"""),"LM Hub_SP_Guaratinguetá")</f>
        <v>LM Hub_SP_Guaratinguetá</v>
      </c>
      <c r="C144" s="234" t="str">
        <f>IFERROR(__xludf.DUMMYFUNCTION("""COMPUTED_VALUE"""),"HUB-LSP-33")</f>
        <v>HUB-LSP-33</v>
      </c>
      <c r="D144" s="234">
        <f>IFERROR(__xludf.DUMMYFUNCTION("""COMPUTED_VALUE"""),14.0)</f>
        <v>14</v>
      </c>
      <c r="E144" s="237" t="str">
        <f>IFERROR(__xludf.DUMMYFUNCTION("""COMPUTED_VALUE"""),"LT0PBC01R8E01")</f>
        <v>LT0PBC01R8E01</v>
      </c>
      <c r="F144" s="238" t="str">
        <f>IFERROR(__xludf.DUMMYFUNCTION("""COMPUTED_VALUE"""),"")</f>
        <v/>
      </c>
      <c r="G144" s="234"/>
      <c r="H144" s="234"/>
      <c r="I144" s="237" t="str">
        <f t="shared" si="1"/>
        <v>Dentro</v>
      </c>
      <c r="J144" s="239">
        <v>0.0</v>
      </c>
    </row>
    <row r="145">
      <c r="A145" s="234" t="s">
        <v>1856</v>
      </c>
      <c r="B145" s="234" t="str">
        <f>IFERROR(__xludf.DUMMYFUNCTION("""COMPUTED_VALUE"""),"LM Hub_SP_Itapetininga")</f>
        <v>LM Hub_SP_Itapetininga</v>
      </c>
      <c r="C145" s="234" t="str">
        <f>IFERROR(__xludf.DUMMYFUNCTION("""COMPUTED_VALUE"""),"HUB-LSP-53")</f>
        <v>HUB-LSP-53</v>
      </c>
      <c r="D145" s="234">
        <f>IFERROR(__xludf.DUMMYFUNCTION("""COMPUTED_VALUE"""),22.0)</f>
        <v>22</v>
      </c>
      <c r="E145" s="237" t="str">
        <f>IFERROR(__xludf.DUMMYFUNCTION("""COMPUTED_VALUE"""),"LT0PBC01R8CQ1")</f>
        <v>LT0PBC01R8CQ1</v>
      </c>
      <c r="F145" s="238" t="str">
        <f>IFERROR(__xludf.DUMMYFUNCTION("""COMPUTED_VALUE"""),"")</f>
        <v/>
      </c>
      <c r="G145" s="234"/>
      <c r="H145" s="234"/>
      <c r="I145" s="237" t="str">
        <f t="shared" si="1"/>
        <v>Dentro</v>
      </c>
      <c r="J145" s="239">
        <v>0.0</v>
      </c>
    </row>
    <row r="146">
      <c r="A146" s="234" t="s">
        <v>1857</v>
      </c>
      <c r="B146" s="234" t="str">
        <f>IFERROR(__xludf.DUMMYFUNCTION("""COMPUTED_VALUE"""),"LM Hub_SP_Itapeva")</f>
        <v>LM Hub_SP_Itapeva</v>
      </c>
      <c r="C146" s="234" t="str">
        <f>IFERROR(__xludf.DUMMYFUNCTION("""COMPUTED_VALUE"""),"HUB-LSP-39")</f>
        <v>HUB-LSP-39</v>
      </c>
      <c r="D146" s="234">
        <f>IFERROR(__xludf.DUMMYFUNCTION("""COMPUTED_VALUE"""),18.0)</f>
        <v>18</v>
      </c>
      <c r="E146" s="237" t="str">
        <f>IFERROR(__xludf.DUMMYFUNCTION("""COMPUTED_VALUE"""),"LT0PBC01R8D21")</f>
        <v>LT0PBC01R8D21</v>
      </c>
      <c r="F146" s="238" t="str">
        <f>IFERROR(__xludf.DUMMYFUNCTION("""COMPUTED_VALUE"""),"")</f>
        <v/>
      </c>
      <c r="G146" s="234"/>
      <c r="H146" s="234"/>
      <c r="I146" s="237" t="str">
        <f t="shared" si="1"/>
        <v>Dentro</v>
      </c>
      <c r="J146" s="239">
        <v>0.0</v>
      </c>
    </row>
    <row r="147">
      <c r="A147" s="234" t="s">
        <v>1858</v>
      </c>
      <c r="B147" s="234" t="str">
        <f>IFERROR(__xludf.DUMMYFUNCTION("""COMPUTED_VALUE"""),"LM Hub_SP_Mauá")</f>
        <v>LM Hub_SP_Mauá</v>
      </c>
      <c r="C147" s="234" t="str">
        <f>IFERROR(__xludf.DUMMYFUNCTION("""COMPUTED_VALUE"""),"HUB-LSP-64")</f>
        <v>HUB-LSP-64</v>
      </c>
      <c r="D147" s="234">
        <f>IFERROR(__xludf.DUMMYFUNCTION("""COMPUTED_VALUE"""),8.0)</f>
        <v>8</v>
      </c>
      <c r="E147" s="237" t="str">
        <f>IFERROR(__xludf.DUMMYFUNCTION("""COMPUTED_VALUE"""),"LT0PBB01R8CD1")</f>
        <v>LT0PBB01R8CD1</v>
      </c>
      <c r="F147" s="238" t="str">
        <f>IFERROR(__xludf.DUMMYFUNCTION("""COMPUTED_VALUE"""),"")</f>
        <v/>
      </c>
      <c r="G147" s="234"/>
      <c r="H147" s="234"/>
      <c r="I147" s="237" t="str">
        <f t="shared" si="1"/>
        <v>Dentro</v>
      </c>
      <c r="J147" s="239">
        <v>0.0</v>
      </c>
    </row>
    <row r="148">
      <c r="A148" s="234" t="s">
        <v>1859</v>
      </c>
      <c r="B148" s="234" t="str">
        <f>IFERROR(__xludf.DUMMYFUNCTION("""COMPUTED_VALUE"""),"LM Hub_SP_Mogi das Cruzes_Jund")</f>
        <v>LM Hub_SP_Mogi das Cruzes_Jund</v>
      </c>
      <c r="C148" s="234" t="str">
        <f>IFERROR(__xludf.DUMMYFUNCTION("""COMPUTED_VALUE"""),"HUB-LSP-78")</f>
        <v>HUB-LSP-78</v>
      </c>
      <c r="D148" s="234">
        <f>IFERROR(__xludf.DUMMYFUNCTION("""COMPUTED_VALUE"""),19.0)</f>
        <v>19</v>
      </c>
      <c r="E148" s="237" t="str">
        <f>IFERROR(__xludf.DUMMYFUNCTION("""COMPUTED_VALUE"""),"LT0PBB01RC131")</f>
        <v>LT0PBB01RC131</v>
      </c>
      <c r="F148" s="238" t="str">
        <f>IFERROR(__xludf.DUMMYFUNCTION("""COMPUTED_VALUE"""),"")</f>
        <v/>
      </c>
      <c r="G148" s="234"/>
      <c r="H148" s="234"/>
      <c r="I148" s="237" t="str">
        <f t="shared" si="1"/>
        <v>Dentro</v>
      </c>
      <c r="J148" s="239">
        <v>0.0</v>
      </c>
    </row>
    <row r="149">
      <c r="A149" s="234" t="s">
        <v>1860</v>
      </c>
      <c r="B149" s="234" t="str">
        <f>IFERROR(__xludf.DUMMYFUNCTION("""COMPUTED_VALUE"""),"LM Hub_SP_Mogi Mirim")</f>
        <v>LM Hub_SP_Mogi Mirim</v>
      </c>
      <c r="C149" s="234" t="str">
        <f>IFERROR(__xludf.DUMMYFUNCTION("""COMPUTED_VALUE"""),"HUB-LSP-37")</f>
        <v>HUB-LSP-37</v>
      </c>
      <c r="D149" s="234">
        <f>IFERROR(__xludf.DUMMYFUNCTION("""COMPUTED_VALUE"""),17.0)</f>
        <v>17</v>
      </c>
      <c r="E149" s="237" t="str">
        <f>IFERROR(__xludf.DUMMYFUNCTION("""COMPUTED_VALUE"""),"LT0PBC01R8FZ1")</f>
        <v>LT0PBC01R8FZ1</v>
      </c>
      <c r="F149" s="238" t="str">
        <f>IFERROR(__xludf.DUMMYFUNCTION("""COMPUTED_VALUE"""),"")</f>
        <v/>
      </c>
      <c r="G149" s="234"/>
      <c r="H149" s="234"/>
      <c r="I149" s="237" t="str">
        <f t="shared" si="1"/>
        <v>Dentro</v>
      </c>
      <c r="J149" s="239">
        <v>0.0</v>
      </c>
    </row>
    <row r="150">
      <c r="A150" s="234" t="s">
        <v>1861</v>
      </c>
      <c r="B150" s="234" t="str">
        <f>IFERROR(__xludf.DUMMYFUNCTION("""COMPUTED_VALUE"""),"LM Hub_SP_Osasco_02")</f>
        <v>LM Hub_SP_Osasco_02</v>
      </c>
      <c r="C150" s="234" t="str">
        <f>IFERROR(__xludf.DUMMYFUNCTION("""COMPUTED_VALUE"""),"HUB-LSP-60")</f>
        <v>HUB-LSP-60</v>
      </c>
      <c r="D150" s="234">
        <f>IFERROR(__xludf.DUMMYFUNCTION("""COMPUTED_VALUE"""),24.0)</f>
        <v>24</v>
      </c>
      <c r="E150" s="237" t="str">
        <f>IFERROR(__xludf.DUMMYFUNCTION("""COMPUTED_VALUE"""),"LT0PBC01R9P51")</f>
        <v>LT0PBC01R9P51</v>
      </c>
      <c r="F150" s="238" t="str">
        <f>IFERROR(__xludf.DUMMYFUNCTION("""COMPUTED_VALUE"""),"")</f>
        <v/>
      </c>
      <c r="G150" s="234"/>
      <c r="H150" s="234"/>
      <c r="I150" s="237" t="str">
        <f t="shared" si="1"/>
        <v>Dentro</v>
      </c>
      <c r="J150" s="239">
        <v>0.0</v>
      </c>
    </row>
    <row r="151">
      <c r="A151" s="234" t="s">
        <v>1862</v>
      </c>
      <c r="B151" s="234" t="str">
        <f>IFERROR(__xludf.DUMMYFUNCTION("""COMPUTED_VALUE"""),"LM Hub_SP_Registro")</f>
        <v>LM Hub_SP_Registro</v>
      </c>
      <c r="C151" s="234" t="str">
        <f>IFERROR(__xludf.DUMMYFUNCTION("""COMPUTED_VALUE"""),"HUB-LSP-40")</f>
        <v>HUB-LSP-40</v>
      </c>
      <c r="D151" s="234">
        <f>IFERROR(__xludf.DUMMYFUNCTION("""COMPUTED_VALUE"""),20.0)</f>
        <v>20</v>
      </c>
      <c r="E151" s="237" t="str">
        <f>IFERROR(__xludf.DUMMYFUNCTION("""COMPUTED_VALUE"""),"LT0PBC01R8DP1")</f>
        <v>LT0PBC01R8DP1</v>
      </c>
      <c r="F151" s="238" t="str">
        <f>IFERROR(__xludf.DUMMYFUNCTION("""COMPUTED_VALUE"""),"")</f>
        <v/>
      </c>
      <c r="G151" s="234"/>
      <c r="H151" s="234"/>
      <c r="I151" s="237" t="str">
        <f t="shared" si="1"/>
        <v>Dentro</v>
      </c>
      <c r="J151" s="239">
        <v>0.0</v>
      </c>
    </row>
    <row r="152">
      <c r="A152" s="234" t="s">
        <v>1863</v>
      </c>
      <c r="B152" s="234" t="str">
        <f>IFERROR(__xludf.DUMMYFUNCTION("""COMPUTED_VALUE"""),"LM Hub_SP_Santos_Praia Grande")</f>
        <v>LM Hub_SP_Santos_Praia Grande</v>
      </c>
      <c r="C152" s="234" t="str">
        <f>IFERROR(__xludf.DUMMYFUNCTION("""COMPUTED_VALUE"""),"HUB-LSP-09")</f>
        <v>HUB-LSP-09</v>
      </c>
      <c r="D152" s="234"/>
      <c r="E152" s="237" t="str">
        <f>IFERROR(__xludf.DUMMYFUNCTION("""COMPUTED_VALUE"""),"LT0PBB01R8EK1")</f>
        <v>LT0PBB01R8EK1</v>
      </c>
      <c r="F152" s="238" t="str">
        <f>IFERROR(__xludf.DUMMYFUNCTION("""COMPUTED_VALUE"""),"")</f>
        <v/>
      </c>
      <c r="G152" s="234"/>
      <c r="H152" s="234"/>
      <c r="I152" s="237" t="str">
        <f t="shared" si="1"/>
        <v>Dentro</v>
      </c>
      <c r="J152" s="239">
        <v>0.0</v>
      </c>
    </row>
    <row r="153">
      <c r="A153" s="234" t="s">
        <v>1864</v>
      </c>
      <c r="B153" s="234" t="str">
        <f>IFERROR(__xludf.DUMMYFUNCTION("""COMPUTED_VALUE"""),"LM Hub_SP_São Carlos")</f>
        <v>LM Hub_SP_São Carlos</v>
      </c>
      <c r="C153" s="234" t="str">
        <f>IFERROR(__xludf.DUMMYFUNCTION("""COMPUTED_VALUE"""),"HUB-LSP-31")</f>
        <v>HUB-LSP-31</v>
      </c>
      <c r="D153" s="234">
        <f>IFERROR(__xludf.DUMMYFUNCTION("""COMPUTED_VALUE"""),18.0)</f>
        <v>18</v>
      </c>
      <c r="E153" s="237" t="str">
        <f>IFERROR(__xludf.DUMMYFUNCTION("""COMPUTED_VALUE"""),"LT0PBC01R8FP1")</f>
        <v>LT0PBC01R8FP1</v>
      </c>
      <c r="F153" s="238" t="str">
        <f>IFERROR(__xludf.DUMMYFUNCTION("""COMPUTED_VALUE"""),"")</f>
        <v/>
      </c>
      <c r="G153" s="234"/>
      <c r="H153" s="234"/>
      <c r="I153" s="237" t="str">
        <f t="shared" si="1"/>
        <v>Dentro</v>
      </c>
      <c r="J153" s="239">
        <v>0.0</v>
      </c>
    </row>
    <row r="154">
      <c r="A154" s="234" t="s">
        <v>1865</v>
      </c>
      <c r="B154" s="234" t="str">
        <f>IFERROR(__xludf.DUMMYFUNCTION("""COMPUTED_VALUE"""),"LM Hub_SP_São Paulo_Lapa")</f>
        <v>LM Hub_SP_São Paulo_Lapa</v>
      </c>
      <c r="C154" s="234" t="str">
        <f>IFERROR(__xludf.DUMMYFUNCTION("""COMPUTED_VALUE"""),"HUB-LSP-15")</f>
        <v>HUB-LSP-15</v>
      </c>
      <c r="D154" s="234">
        <f>IFERROR(__xludf.DUMMYFUNCTION("""COMPUTED_VALUE"""),12.0)</f>
        <v>12</v>
      </c>
      <c r="E154" s="237" t="str">
        <f>IFERROR(__xludf.DUMMYFUNCTION("""COMPUTED_VALUE"""),"LT0PBB01R8B71")</f>
        <v>LT0PBB01R8B71</v>
      </c>
      <c r="F154" s="238" t="str">
        <f>IFERROR(__xludf.DUMMYFUNCTION("""COMPUTED_VALUE"""),"")</f>
        <v/>
      </c>
      <c r="G154" s="234"/>
      <c r="H154" s="234"/>
      <c r="I154" s="237" t="str">
        <f t="shared" si="1"/>
        <v>Dentro</v>
      </c>
      <c r="J154" s="239">
        <v>0.0</v>
      </c>
    </row>
    <row r="155">
      <c r="A155" s="234" t="s">
        <v>1866</v>
      </c>
      <c r="B155" s="234" t="str">
        <f>IFERROR(__xludf.DUMMYFUNCTION("""COMPUTED_VALUE"""),"LM Hub_SP_Sorocaba_Região Norte")</f>
        <v>LM Hub_SP_Sorocaba_Região Norte</v>
      </c>
      <c r="C155" s="234" t="str">
        <f>IFERROR(__xludf.DUMMYFUNCTION("""COMPUTED_VALUE"""),"HUB-LSP-10")</f>
        <v>HUB-LSP-10</v>
      </c>
      <c r="D155" s="234">
        <f>IFERROR(__xludf.DUMMYFUNCTION("""COMPUTED_VALUE"""),25.0)</f>
        <v>25</v>
      </c>
      <c r="E155" s="237" t="str">
        <f>IFERROR(__xludf.DUMMYFUNCTION("""COMPUTED_VALUE"""),"LT0PBC01R8EP1")</f>
        <v>LT0PBC01R8EP1</v>
      </c>
      <c r="F155" s="238" t="str">
        <f>IFERROR(__xludf.DUMMYFUNCTION("""COMPUTED_VALUE"""),"")</f>
        <v/>
      </c>
      <c r="G155" s="234"/>
      <c r="H155" s="234"/>
      <c r="I155" s="237" t="str">
        <f t="shared" si="1"/>
        <v>Dentro</v>
      </c>
      <c r="J155" s="239">
        <v>0.0</v>
      </c>
    </row>
    <row r="156">
      <c r="A156" s="234" t="s">
        <v>1867</v>
      </c>
      <c r="B156" s="234" t="str">
        <f>IFERROR(__xludf.DUMMYFUNCTION("""COMPUTED_VALUE"""),"LM Hub_SP_Sumaré_Nova Veneza_1")</f>
        <v>LM Hub_SP_Sumaré_Nova Veneza_1</v>
      </c>
      <c r="C156" s="234" t="str">
        <f>IFERROR(__xludf.DUMMYFUNCTION("""COMPUTED_VALUE"""),"HUB-LSP-88")</f>
        <v>HUB-LSP-88</v>
      </c>
      <c r="D156" s="234">
        <f>IFERROR(__xludf.DUMMYFUNCTION("""COMPUTED_VALUE"""),14.0)</f>
        <v>14</v>
      </c>
      <c r="E156" s="237" t="str">
        <f>IFERROR(__xludf.DUMMYFUNCTION("""COMPUTED_VALUE"""),"LT0PBC01RK071")</f>
        <v>LT0PBC01RK071</v>
      </c>
      <c r="F156" s="238" t="str">
        <f>IFERROR(__xludf.DUMMYFUNCTION("""COMPUTED_VALUE"""),"")</f>
        <v/>
      </c>
      <c r="G156" s="234"/>
      <c r="H156" s="234"/>
      <c r="I156" s="237" t="str">
        <f t="shared" si="1"/>
        <v>Dentro</v>
      </c>
      <c r="J156" s="239">
        <v>0.0</v>
      </c>
    </row>
    <row r="157">
      <c r="A157" s="234" t="s">
        <v>1868</v>
      </c>
      <c r="B157" s="234" t="str">
        <f>IFERROR(__xludf.DUMMYFUNCTION("""COMPUTED_VALUE"""),"LM Hub_SP_Tatuí")</f>
        <v>LM Hub_SP_Tatuí</v>
      </c>
      <c r="C157" s="234" t="str">
        <f>IFERROR(__xludf.DUMMYFUNCTION("""COMPUTED_VALUE"""),"HUB-LSP-51")</f>
        <v>HUB-LSP-51</v>
      </c>
      <c r="D157" s="234">
        <f>IFERROR(__xludf.DUMMYFUNCTION("""COMPUTED_VALUE"""),6.0)</f>
        <v>6</v>
      </c>
      <c r="E157" s="237" t="str">
        <f>IFERROR(__xludf.DUMMYFUNCTION("""COMPUTED_VALUE"""),"LT0PBC01R8CW1")</f>
        <v>LT0PBC01R8CW1</v>
      </c>
      <c r="F157" s="238" t="str">
        <f>IFERROR(__xludf.DUMMYFUNCTION("""COMPUTED_VALUE"""),"")</f>
        <v/>
      </c>
      <c r="G157" s="234"/>
      <c r="H157" s="234"/>
      <c r="I157" s="237" t="str">
        <f t="shared" si="1"/>
        <v>Dentro</v>
      </c>
      <c r="J157" s="239">
        <v>0.0</v>
      </c>
    </row>
    <row r="158">
      <c r="A158" s="234" t="s">
        <v>1869</v>
      </c>
      <c r="B158" s="234" t="str">
        <f>IFERROR(__xludf.DUMMYFUNCTION("""COMPUTED_VALUE"""),"LM Hub_SP_Várzea Paulista")</f>
        <v>LM Hub_SP_Várzea Paulista</v>
      </c>
      <c r="C158" s="234" t="str">
        <f>IFERROR(__xludf.DUMMYFUNCTION("""COMPUTED_VALUE"""),"HUB-LSP-20")</f>
        <v>HUB-LSP-20</v>
      </c>
      <c r="D158" s="234">
        <f>IFERROR(__xludf.DUMMYFUNCTION("""COMPUTED_VALUE"""),19.0)</f>
        <v>19</v>
      </c>
      <c r="E158" s="237" t="str">
        <f>IFERROR(__xludf.DUMMYFUNCTION("""COMPUTED_VALUE"""),"LT0PBC01R8F91")</f>
        <v>LT0PBC01R8F91</v>
      </c>
      <c r="F158" s="238" t="str">
        <f>IFERROR(__xludf.DUMMYFUNCTION("""COMPUTED_VALUE"""),"")</f>
        <v/>
      </c>
      <c r="G158" s="234"/>
      <c r="H158" s="234"/>
      <c r="I158" s="237" t="str">
        <f t="shared" si="1"/>
        <v>Dentro</v>
      </c>
      <c r="J158" s="239">
        <v>0.0</v>
      </c>
    </row>
    <row r="159">
      <c r="A159" s="234" t="s">
        <v>1870</v>
      </c>
      <c r="B159" s="234" t="str">
        <f>IFERROR(__xludf.DUMMYFUNCTION("""COMPUTED_VALUE"""),"LM Hub_SP_VilaGuilherme")</f>
        <v>LM Hub_SP_VilaGuilherme</v>
      </c>
      <c r="C159" s="234" t="str">
        <f>IFERROR(__xludf.DUMMYFUNCTION("""COMPUTED_VALUE"""),"HUB-LSP-68")</f>
        <v>HUB-LSP-68</v>
      </c>
      <c r="D159" s="234">
        <f>IFERROR(__xludf.DUMMYFUNCTION("""COMPUTED_VALUE"""),14.0)</f>
        <v>14</v>
      </c>
      <c r="E159" s="237" t="str">
        <f>IFERROR(__xludf.DUMMYFUNCTION("""COMPUTED_VALUE"""),"LT0PBB01RIXI1")</f>
        <v>LT0PBB01RIXI1</v>
      </c>
      <c r="F159" s="238" t="str">
        <f>IFERROR(__xludf.DUMMYFUNCTION("""COMPUTED_VALUE"""),"")</f>
        <v/>
      </c>
      <c r="G159" s="234"/>
      <c r="H159" s="234"/>
      <c r="I159" s="237" t="str">
        <f t="shared" si="1"/>
        <v>Dentro</v>
      </c>
      <c r="J159" s="239">
        <v>0.0</v>
      </c>
    </row>
    <row r="160">
      <c r="A160" s="234" t="s">
        <v>1871</v>
      </c>
      <c r="B160" s="234" t="str">
        <f>IFERROR(__xludf.DUMMYFUNCTION("""COMPUTED_VALUE"""),"SoC_GO_Goiânia_02")</f>
        <v>SoC_GO_Goiânia_02</v>
      </c>
      <c r="C160" s="234" t="str">
        <f>IFERROR(__xludf.DUMMYFUNCTION("""COMPUTED_VALUE"""),"SOC-GO2")</f>
        <v>SOC-GO2</v>
      </c>
      <c r="D160" s="234">
        <f>IFERROR(__xludf.DUMMYFUNCTION("""COMPUTED_VALUE"""),28.0)</f>
        <v>28</v>
      </c>
      <c r="E160" s="237" t="str">
        <f>IFERROR(__xludf.DUMMYFUNCTION("""COMPUTED_VALUE"""),"LT1PBC01RPUT1")</f>
        <v>LT1PBC01RPUT1</v>
      </c>
      <c r="F160" s="238" t="str">
        <f>IFERROR(__xludf.DUMMYFUNCTION("""COMPUTED_VALUE"""),"")</f>
        <v/>
      </c>
      <c r="G160" s="234"/>
      <c r="H160" s="234"/>
      <c r="I160" s="237" t="str">
        <f t="shared" si="1"/>
        <v>Dentro</v>
      </c>
      <c r="J160" s="239">
        <v>0.0</v>
      </c>
    </row>
    <row r="161">
      <c r="A161" s="234" t="s">
        <v>1872</v>
      </c>
      <c r="B161" s="234" t="str">
        <f>IFERROR(__xludf.DUMMYFUNCTION("""COMPUTED_VALUE"""),"SoC_MG_Betim")</f>
        <v>SoC_MG_Betim</v>
      </c>
      <c r="C161" s="234" t="str">
        <f>IFERROR(__xludf.DUMMYFUNCTION("""COMPUTED_VALUE"""),"SOC-MG2")</f>
        <v>SOC-MG2</v>
      </c>
      <c r="D161" s="234"/>
      <c r="E161" s="237" t="str">
        <f>IFERROR(__xludf.DUMMYFUNCTION("""COMPUTED_VALUE"""),"LT0PBC01R8752")</f>
        <v>LT0PBC01R8752</v>
      </c>
      <c r="F161" s="238" t="str">
        <f>IFERROR(__xludf.DUMMYFUNCTION("""COMPUTED_VALUE"""),"")</f>
        <v/>
      </c>
      <c r="G161" s="234"/>
      <c r="H161" s="234"/>
      <c r="I161" s="237" t="str">
        <f t="shared" si="1"/>
        <v>Dentro</v>
      </c>
      <c r="J161" s="239">
        <v>0.0</v>
      </c>
    </row>
    <row r="162">
      <c r="A162" s="234" t="s">
        <v>1873</v>
      </c>
      <c r="B162" s="234" t="str">
        <f>IFERROR(__xludf.DUMMYFUNCTION("""COMPUTED_VALUE"""),"SoC_MG_Betim")</f>
        <v>SoC_MG_Betim</v>
      </c>
      <c r="C162" s="234" t="str">
        <f>IFERROR(__xludf.DUMMYFUNCTION("""COMPUTED_VALUE"""),"SOC-MG2")</f>
        <v>SOC-MG2</v>
      </c>
      <c r="D162" s="234">
        <f>IFERROR(__xludf.DUMMYFUNCTION("""COMPUTED_VALUE"""),7.0)</f>
        <v>7</v>
      </c>
      <c r="E162" s="237" t="str">
        <f>IFERROR(__xludf.DUMMYFUNCTION("""COMPUTED_VALUE"""),"LT0PBC01RIWK1")</f>
        <v>LT0PBC01RIWK1</v>
      </c>
      <c r="F162" s="238" t="str">
        <f>IFERROR(__xludf.DUMMYFUNCTION("""COMPUTED_VALUE"""),"")</f>
        <v/>
      </c>
      <c r="G162" s="234"/>
      <c r="H162" s="234"/>
      <c r="I162" s="237" t="str">
        <f t="shared" si="1"/>
        <v>Dentro</v>
      </c>
      <c r="J162" s="239">
        <v>0.0</v>
      </c>
    </row>
    <row r="163">
      <c r="A163" s="234" t="s">
        <v>1874</v>
      </c>
      <c r="B163" s="234" t="str">
        <f>IFERROR(__xludf.DUMMYFUNCTION("""COMPUTED_VALUE"""),"SoC_MG_Betim")</f>
        <v>SoC_MG_Betim</v>
      </c>
      <c r="C163" s="234" t="str">
        <f>IFERROR(__xludf.DUMMYFUNCTION("""COMPUTED_VALUE"""),"SOC-MG2")</f>
        <v>SOC-MG2</v>
      </c>
      <c r="D163" s="234"/>
      <c r="E163" s="237" t="str">
        <f>IFERROR(__xludf.DUMMYFUNCTION("""COMPUTED_VALUE"""),"LT0PBB01R87Y2")</f>
        <v>LT0PBB01R87Y2</v>
      </c>
      <c r="F163" s="238" t="str">
        <f>IFERROR(__xludf.DUMMYFUNCTION("""COMPUTED_VALUE"""),"")</f>
        <v/>
      </c>
      <c r="G163" s="234"/>
      <c r="H163" s="234"/>
      <c r="I163" s="237" t="str">
        <f t="shared" si="1"/>
        <v>Dentro</v>
      </c>
      <c r="J163" s="239">
        <v>0.0</v>
      </c>
    </row>
    <row r="164">
      <c r="A164" s="234" t="s">
        <v>1875</v>
      </c>
      <c r="B164" s="234" t="str">
        <f>IFERROR(__xludf.DUMMYFUNCTION("""COMPUTED_VALUE"""),"SoC_PR_Curitiba")</f>
        <v>SoC_PR_Curitiba</v>
      </c>
      <c r="C164" s="234" t="str">
        <f>IFERROR(__xludf.DUMMYFUNCTION("""COMPUTED_VALUE"""),"SOC-PR1")</f>
        <v>SOC-PR1</v>
      </c>
      <c r="D164" s="234">
        <f>IFERROR(__xludf.DUMMYFUNCTION("""COMPUTED_VALUE"""),25.0)</f>
        <v>25</v>
      </c>
      <c r="E164" s="237" t="str">
        <f>IFERROR(__xludf.DUMMYFUNCTION("""COMPUTED_VALUE"""),"LT0PBB01R88K1")</f>
        <v>LT0PBB01R88K1</v>
      </c>
      <c r="F164" s="238" t="str">
        <f>IFERROR(__xludf.DUMMYFUNCTION("""COMPUTED_VALUE"""),"")</f>
        <v/>
      </c>
      <c r="G164" s="234"/>
      <c r="H164" s="234"/>
      <c r="I164" s="237" t="str">
        <f t="shared" si="1"/>
        <v>Dentro</v>
      </c>
      <c r="J164" s="239">
        <v>0.0</v>
      </c>
    </row>
    <row r="165">
      <c r="A165" s="234" t="s">
        <v>1876</v>
      </c>
      <c r="B165" s="234" t="str">
        <f>IFERROR(__xludf.DUMMYFUNCTION("""COMPUTED_VALUE"""),"SoC_RJ_Duque de Caxias")</f>
        <v>SoC_RJ_Duque de Caxias</v>
      </c>
      <c r="C165" s="234" t="str">
        <f>IFERROR(__xludf.DUMMYFUNCTION("""COMPUTED_VALUE"""),"SOC-RJ2")</f>
        <v>SOC-RJ2</v>
      </c>
      <c r="D165" s="234">
        <f>IFERROR(__xludf.DUMMYFUNCTION("""COMPUTED_VALUE"""),5.0)</f>
        <v>5</v>
      </c>
      <c r="E165" s="237" t="str">
        <f>IFERROR(__xludf.DUMMYFUNCTION("""COMPUTED_VALUE"""),"LT1PBB01ROZS1")</f>
        <v>LT1PBB01ROZS1</v>
      </c>
      <c r="F165" s="238" t="str">
        <f>IFERROR(__xludf.DUMMYFUNCTION("""COMPUTED_VALUE"""),"")</f>
        <v/>
      </c>
      <c r="G165" s="234"/>
      <c r="H165" s="234"/>
      <c r="I165" s="237" t="str">
        <f t="shared" si="1"/>
        <v>Dentro</v>
      </c>
      <c r="J165" s="239">
        <v>0.0</v>
      </c>
    </row>
    <row r="166">
      <c r="A166" s="234" t="s">
        <v>1877</v>
      </c>
      <c r="B166" s="234" t="str">
        <f>IFERROR(__xludf.DUMMYFUNCTION("""COMPUTED_VALUE"""),"SoC_RJ_Duque de Caxias")</f>
        <v>SoC_RJ_Duque de Caxias</v>
      </c>
      <c r="C166" s="234" t="str">
        <f>IFERROR(__xludf.DUMMYFUNCTION("""COMPUTED_VALUE"""),"SOC-RJ2")</f>
        <v>SOC-RJ2</v>
      </c>
      <c r="D166" s="234">
        <f>IFERROR(__xludf.DUMMYFUNCTION("""COMPUTED_VALUE"""),12.0)</f>
        <v>12</v>
      </c>
      <c r="E166" s="237" t="str">
        <f>IFERROR(__xludf.DUMMYFUNCTION("""COMPUTED_VALUE"""),"LT0PBB01RB411")</f>
        <v>LT0PBB01RB411</v>
      </c>
      <c r="F166" s="238" t="str">
        <f>IFERROR(__xludf.DUMMYFUNCTION("""COMPUTED_VALUE"""),"")</f>
        <v/>
      </c>
      <c r="G166" s="234"/>
      <c r="H166" s="234"/>
      <c r="I166" s="237" t="str">
        <f t="shared" si="1"/>
        <v>Dentro</v>
      </c>
      <c r="J166" s="239">
        <v>0.0</v>
      </c>
    </row>
    <row r="167">
      <c r="A167" s="234" t="s">
        <v>1878</v>
      </c>
      <c r="B167" s="234" t="str">
        <f>IFERROR(__xludf.DUMMYFUNCTION("""COMPUTED_VALUE"""),"SoC_RJ_Duque de Caxias")</f>
        <v>SoC_RJ_Duque de Caxias</v>
      </c>
      <c r="C167" s="234" t="str">
        <f>IFERROR(__xludf.DUMMYFUNCTION("""COMPUTED_VALUE"""),"SOC-RJ2")</f>
        <v>SOC-RJ2</v>
      </c>
      <c r="D167" s="234">
        <f>IFERROR(__xludf.DUMMYFUNCTION("""COMPUTED_VALUE"""),23.0)</f>
        <v>23</v>
      </c>
      <c r="E167" s="237" t="str">
        <f>IFERROR(__xludf.DUMMYFUNCTION("""COMPUTED_VALUE"""),"LT0PBC01RB2N1")</f>
        <v>LT0PBC01RB2N1</v>
      </c>
      <c r="F167" s="238" t="str">
        <f>IFERROR(__xludf.DUMMYFUNCTION("""COMPUTED_VALUE"""),"")</f>
        <v/>
      </c>
      <c r="G167" s="234"/>
      <c r="H167" s="234"/>
      <c r="I167" s="237" t="str">
        <f t="shared" si="1"/>
        <v>Dentro</v>
      </c>
      <c r="J167" s="239">
        <v>0.0</v>
      </c>
    </row>
    <row r="168">
      <c r="A168" s="234" t="s">
        <v>1879</v>
      </c>
      <c r="B168" s="234" t="str">
        <f>IFERROR(__xludf.DUMMYFUNCTION("""COMPUTED_VALUE"""),"SoC_RJ_Duque de Caxias")</f>
        <v>SoC_RJ_Duque de Caxias</v>
      </c>
      <c r="C168" s="234" t="str">
        <f>IFERROR(__xludf.DUMMYFUNCTION("""COMPUTED_VALUE"""),"SOC-RJ2")</f>
        <v>SOC-RJ2</v>
      </c>
      <c r="D168" s="234">
        <f>IFERROR(__xludf.DUMMYFUNCTION("""COMPUTED_VALUE"""),8.0)</f>
        <v>8</v>
      </c>
      <c r="E168" s="237" t="str">
        <f>IFERROR(__xludf.DUMMYFUNCTION("""COMPUTED_VALUE"""),"LT1PBC01RPD91")</f>
        <v>LT1PBC01RPD91</v>
      </c>
      <c r="F168" s="238" t="str">
        <f>IFERROR(__xludf.DUMMYFUNCTION("""COMPUTED_VALUE"""),"")</f>
        <v/>
      </c>
      <c r="G168" s="234"/>
      <c r="H168" s="234"/>
      <c r="I168" s="237" t="str">
        <f t="shared" si="1"/>
        <v>Dentro</v>
      </c>
      <c r="J168" s="239">
        <v>0.0</v>
      </c>
    </row>
    <row r="169">
      <c r="A169" s="234" t="s">
        <v>1880</v>
      </c>
      <c r="B169" s="234" t="str">
        <f>IFERROR(__xludf.DUMMYFUNCTION("""COMPUTED_VALUE"""),"SoC_RJ_Duque de Caxias")</f>
        <v>SoC_RJ_Duque de Caxias</v>
      </c>
      <c r="C169" s="234" t="str">
        <f>IFERROR(__xludf.DUMMYFUNCTION("""COMPUTED_VALUE"""),"SOC-RJ2")</f>
        <v>SOC-RJ2</v>
      </c>
      <c r="D169" s="234">
        <f>IFERROR(__xludf.DUMMYFUNCTION("""COMPUTED_VALUE"""),12.0)</f>
        <v>12</v>
      </c>
      <c r="E169" s="237" t="str">
        <f>IFERROR(__xludf.DUMMYFUNCTION("""COMPUTED_VALUE"""),"LT0PBC01RB2O2")</f>
        <v>LT0PBC01RB2O2</v>
      </c>
      <c r="F169" s="238" t="str">
        <f>IFERROR(__xludf.DUMMYFUNCTION("""COMPUTED_VALUE"""),"")</f>
        <v/>
      </c>
      <c r="G169" s="234"/>
      <c r="H169" s="234"/>
      <c r="I169" s="237" t="str">
        <f t="shared" si="1"/>
        <v>Dentro</v>
      </c>
      <c r="J169" s="239">
        <v>0.0</v>
      </c>
    </row>
    <row r="170">
      <c r="A170" s="234" t="s">
        <v>1881</v>
      </c>
      <c r="B170" s="234" t="str">
        <f>IFERROR(__xludf.DUMMYFUNCTION("""COMPUTED_VALUE"""),"SoC_RJ_Duque de Caxias")</f>
        <v>SoC_RJ_Duque de Caxias</v>
      </c>
      <c r="C170" s="234" t="str">
        <f>IFERROR(__xludf.DUMMYFUNCTION("""COMPUTED_VALUE"""),"SOC-RJ2")</f>
        <v>SOC-RJ2</v>
      </c>
      <c r="D170" s="234"/>
      <c r="E170" s="237" t="str">
        <f>IFERROR(__xludf.DUMMYFUNCTION("""COMPUTED_VALUE"""),"LT0PBC01RB2S1")</f>
        <v>LT0PBC01RB2S1</v>
      </c>
      <c r="F170" s="238" t="str">
        <f>IFERROR(__xludf.DUMMYFUNCTION("""COMPUTED_VALUE"""),"")</f>
        <v/>
      </c>
      <c r="G170" s="234"/>
      <c r="H170" s="234"/>
      <c r="I170" s="237" t="str">
        <f t="shared" si="1"/>
        <v>Dentro</v>
      </c>
      <c r="J170" s="239">
        <v>0.0</v>
      </c>
    </row>
    <row r="171">
      <c r="A171" s="234" t="s">
        <v>1882</v>
      </c>
      <c r="B171" s="234" t="str">
        <f>IFERROR(__xludf.DUMMYFUNCTION("""COMPUTED_VALUE"""),"SoC_RJ_Duque de Caxias")</f>
        <v>SoC_RJ_Duque de Caxias</v>
      </c>
      <c r="C171" s="234" t="str">
        <f>IFERROR(__xludf.DUMMYFUNCTION("""COMPUTED_VALUE"""),"SOC-RJ2")</f>
        <v>SOC-RJ2</v>
      </c>
      <c r="D171" s="234"/>
      <c r="E171" s="237" t="str">
        <f>IFERROR(__xludf.DUMMYFUNCTION("""COMPUTED_VALUE"""),"LT0PBC01RB2V2")</f>
        <v>LT0PBC01RB2V2</v>
      </c>
      <c r="F171" s="238" t="str">
        <f>IFERROR(__xludf.DUMMYFUNCTION("""COMPUTED_VALUE"""),"")</f>
        <v/>
      </c>
      <c r="G171" s="234"/>
      <c r="H171" s="234"/>
      <c r="I171" s="237" t="str">
        <f t="shared" si="1"/>
        <v>Dentro</v>
      </c>
      <c r="J171" s="239">
        <v>0.0</v>
      </c>
    </row>
    <row r="172">
      <c r="A172" s="234" t="s">
        <v>1883</v>
      </c>
      <c r="B172" s="234" t="str">
        <f>IFERROR(__xludf.DUMMYFUNCTION("""COMPUTED_VALUE"""),"SoC_SC_Itajaí")</f>
        <v>SoC_SC_Itajaí</v>
      </c>
      <c r="C172" s="234" t="str">
        <f>IFERROR(__xludf.DUMMYFUNCTION("""COMPUTED_VALUE"""),"SOC-SC1")</f>
        <v>SOC-SC1</v>
      </c>
      <c r="D172" s="234">
        <f>IFERROR(__xludf.DUMMYFUNCTION("""COMPUTED_VALUE"""),33.0)</f>
        <v>33</v>
      </c>
      <c r="E172" s="237" t="str">
        <f>IFERROR(__xludf.DUMMYFUNCTION("""COMPUTED_VALUE"""),"LT1PBB01RPDH1")</f>
        <v>LT1PBB01RPDH1</v>
      </c>
      <c r="F172" s="238" t="str">
        <f>IFERROR(__xludf.DUMMYFUNCTION("""COMPUTED_VALUE"""),"")</f>
        <v/>
      </c>
      <c r="G172" s="234"/>
      <c r="H172" s="234"/>
      <c r="I172" s="237" t="str">
        <f t="shared" si="1"/>
        <v>Dentro</v>
      </c>
      <c r="J172" s="239">
        <v>0.0</v>
      </c>
    </row>
    <row r="173">
      <c r="A173" s="234" t="s">
        <v>1884</v>
      </c>
      <c r="B173" s="234" t="str">
        <f>IFERROR(__xludf.DUMMYFUNCTION("""COMPUTED_VALUE"""),"SoC_SC_Itajaí")</f>
        <v>SoC_SC_Itajaí</v>
      </c>
      <c r="C173" s="234" t="str">
        <f>IFERROR(__xludf.DUMMYFUNCTION("""COMPUTED_VALUE"""),"SOC-SC1")</f>
        <v>SOC-SC1</v>
      </c>
      <c r="D173" s="234"/>
      <c r="E173" s="237" t="str">
        <f>IFERROR(__xludf.DUMMYFUNCTION("""COMPUTED_VALUE"""),"LT0PBB01RE7V1")</f>
        <v>LT0PBB01RE7V1</v>
      </c>
      <c r="F173" s="238" t="str">
        <f>IFERROR(__xludf.DUMMYFUNCTION("""COMPUTED_VALUE"""),"")</f>
        <v/>
      </c>
      <c r="G173" s="234"/>
      <c r="H173" s="234"/>
      <c r="I173" s="237" t="str">
        <f t="shared" si="1"/>
        <v>Dentro</v>
      </c>
      <c r="J173" s="239">
        <v>0.0</v>
      </c>
    </row>
    <row r="174">
      <c r="A174" s="234" t="s">
        <v>1885</v>
      </c>
      <c r="B174" s="234" t="str">
        <f>IFERROR(__xludf.DUMMYFUNCTION("""COMPUTED_VALUE"""),"SoC_SC_Itajaí")</f>
        <v>SoC_SC_Itajaí</v>
      </c>
      <c r="C174" s="234" t="str">
        <f>IFERROR(__xludf.DUMMYFUNCTION("""COMPUTED_VALUE"""),"SOC-SC1")</f>
        <v>SOC-SC1</v>
      </c>
      <c r="D174" s="234">
        <f>IFERROR(__xludf.DUMMYFUNCTION("""COMPUTED_VALUE"""),34.0)</f>
        <v>34</v>
      </c>
      <c r="E174" s="237" t="str">
        <f>IFERROR(__xludf.DUMMYFUNCTION("""COMPUTED_VALUE"""),"LT0PBC01RE7U1")</f>
        <v>LT0PBC01RE7U1</v>
      </c>
      <c r="F174" s="238" t="str">
        <f>IFERROR(__xludf.DUMMYFUNCTION("""COMPUTED_VALUE"""),"")</f>
        <v/>
      </c>
      <c r="G174" s="234"/>
      <c r="H174" s="234"/>
      <c r="I174" s="237" t="str">
        <f t="shared" si="1"/>
        <v>Dentro</v>
      </c>
      <c r="J174" s="239">
        <v>0.0</v>
      </c>
    </row>
    <row r="175">
      <c r="A175" s="234" t="s">
        <v>1886</v>
      </c>
      <c r="B175" s="234" t="str">
        <f>IFERROR(__xludf.DUMMYFUNCTION("""COMPUTED_VALUE"""),"SoC_SC_Itajaí")</f>
        <v>SoC_SC_Itajaí</v>
      </c>
      <c r="C175" s="234" t="str">
        <f>IFERROR(__xludf.DUMMYFUNCTION("""COMPUTED_VALUE"""),"SOC-SC1")</f>
        <v>SOC-SC1</v>
      </c>
      <c r="D175" s="234">
        <f>IFERROR(__xludf.DUMMYFUNCTION("""COMPUTED_VALUE"""),32.0)</f>
        <v>32</v>
      </c>
      <c r="E175" s="237" t="str">
        <f>IFERROR(__xludf.DUMMYFUNCTION("""COMPUTED_VALUE"""),"LT0PBC01RE7Q1")</f>
        <v>LT0PBC01RE7Q1</v>
      </c>
      <c r="F175" s="238" t="str">
        <f>IFERROR(__xludf.DUMMYFUNCTION("""COMPUTED_VALUE"""),"")</f>
        <v/>
      </c>
      <c r="G175" s="234"/>
      <c r="H175" s="234"/>
      <c r="I175" s="237" t="str">
        <f t="shared" si="1"/>
        <v>Dentro</v>
      </c>
      <c r="J175" s="239">
        <v>0.0</v>
      </c>
    </row>
    <row r="176">
      <c r="A176" s="234" t="s">
        <v>1887</v>
      </c>
      <c r="B176" s="234" t="str">
        <f>IFERROR(__xludf.DUMMYFUNCTION("""COMPUTED_VALUE"""),"SoC_SP_Cravinhos")</f>
        <v>SoC_SP_Cravinhos</v>
      </c>
      <c r="C176" s="234" t="str">
        <f>IFERROR(__xludf.DUMMYFUNCTION("""COMPUTED_VALUE"""),"SOC-SP5")</f>
        <v>SOC-SP5</v>
      </c>
      <c r="D176" s="234"/>
      <c r="E176" s="237" t="str">
        <f>IFERROR(__xludf.DUMMYFUNCTION("""COMPUTED_VALUE"""),"LT0PBB01R89V1")</f>
        <v>LT0PBB01R89V1</v>
      </c>
      <c r="F176" s="238" t="str">
        <f>IFERROR(__xludf.DUMMYFUNCTION("""COMPUTED_VALUE"""),"")</f>
        <v/>
      </c>
      <c r="G176" s="234"/>
      <c r="H176" s="234"/>
      <c r="I176" s="237" t="str">
        <f t="shared" si="1"/>
        <v>Dentro</v>
      </c>
      <c r="J176" s="239">
        <v>0.0</v>
      </c>
    </row>
    <row r="177">
      <c r="A177" s="234" t="s">
        <v>1888</v>
      </c>
      <c r="B177" s="234" t="str">
        <f>IFERROR(__xludf.DUMMYFUNCTION("""COMPUTED_VALUE"""),"SoC_SP_Cravinhos")</f>
        <v>SoC_SP_Cravinhos</v>
      </c>
      <c r="C177" s="234" t="str">
        <f>IFERROR(__xludf.DUMMYFUNCTION("""COMPUTED_VALUE"""),"SOC-SP5")</f>
        <v>SOC-SP5</v>
      </c>
      <c r="D177" s="234"/>
      <c r="E177" s="237" t="str">
        <f>IFERROR(__xludf.DUMMYFUNCTION("""COMPUTED_VALUE"""),"LT0PBC01R88Z2")</f>
        <v>LT0PBC01R88Z2</v>
      </c>
      <c r="F177" s="238" t="str">
        <f>IFERROR(__xludf.DUMMYFUNCTION("""COMPUTED_VALUE"""),"")</f>
        <v/>
      </c>
      <c r="G177" s="234"/>
      <c r="H177" s="234"/>
      <c r="I177" s="237" t="str">
        <f t="shared" si="1"/>
        <v>Dentro</v>
      </c>
      <c r="J177" s="239">
        <v>0.0</v>
      </c>
    </row>
    <row r="178">
      <c r="A178" s="234" t="s">
        <v>1889</v>
      </c>
      <c r="B178" s="234" t="str">
        <f>IFERROR(__xludf.DUMMYFUNCTION("""COMPUTED_VALUE"""),"SoC_SP_Cravinhos")</f>
        <v>SoC_SP_Cravinhos</v>
      </c>
      <c r="C178" s="234" t="str">
        <f>IFERROR(__xludf.DUMMYFUNCTION("""COMPUTED_VALUE"""),"SOC-SP5")</f>
        <v>SOC-SP5</v>
      </c>
      <c r="D178" s="234"/>
      <c r="E178" s="237" t="str">
        <f>IFERROR(__xludf.DUMMYFUNCTION("""COMPUTED_VALUE"""),"LT0PBC01R88W1")</f>
        <v>LT0PBC01R88W1</v>
      </c>
      <c r="F178" s="238" t="str">
        <f>IFERROR(__xludf.DUMMYFUNCTION("""COMPUTED_VALUE"""),"")</f>
        <v/>
      </c>
      <c r="G178" s="234"/>
      <c r="H178" s="234"/>
      <c r="I178" s="237" t="str">
        <f t="shared" si="1"/>
        <v>Dentro</v>
      </c>
      <c r="J178" s="239">
        <v>0.0</v>
      </c>
    </row>
    <row r="179">
      <c r="A179" s="234" t="s">
        <v>1890</v>
      </c>
      <c r="B179" s="234" t="str">
        <f>IFERROR(__xludf.DUMMYFUNCTION("""COMPUTED_VALUE"""),"SoC_SP_Cravinhos")</f>
        <v>SoC_SP_Cravinhos</v>
      </c>
      <c r="C179" s="234" t="str">
        <f>IFERROR(__xludf.DUMMYFUNCTION("""COMPUTED_VALUE"""),"SOC-SP5")</f>
        <v>SOC-SP5</v>
      </c>
      <c r="D179" s="234"/>
      <c r="E179" s="237" t="str">
        <f>IFERROR(__xludf.DUMMYFUNCTION("""COMPUTED_VALUE"""),"LT0PBC01R89A2")</f>
        <v>LT0PBC01R89A2</v>
      </c>
      <c r="F179" s="238" t="str">
        <f>IFERROR(__xludf.DUMMYFUNCTION("""COMPUTED_VALUE"""),"")</f>
        <v/>
      </c>
      <c r="G179" s="234"/>
      <c r="H179" s="234"/>
      <c r="I179" s="237" t="str">
        <f t="shared" si="1"/>
        <v>Dentro</v>
      </c>
      <c r="J179" s="239">
        <v>0.0</v>
      </c>
    </row>
    <row r="180">
      <c r="A180" s="234" t="s">
        <v>1891</v>
      </c>
      <c r="B180" s="234" t="str">
        <f>IFERROR(__xludf.DUMMYFUNCTION("""COMPUTED_VALUE"""),"SoC_SP_Cravinhos")</f>
        <v>SoC_SP_Cravinhos</v>
      </c>
      <c r="C180" s="234" t="str">
        <f>IFERROR(__xludf.DUMMYFUNCTION("""COMPUTED_VALUE"""),"SOC-SP5")</f>
        <v>SOC-SP5</v>
      </c>
      <c r="D180" s="234">
        <f>IFERROR(__xludf.DUMMYFUNCTION("""COMPUTED_VALUE"""),13.0)</f>
        <v>13</v>
      </c>
      <c r="E180" s="237" t="str">
        <f>IFERROR(__xludf.DUMMYFUNCTION("""COMPUTED_VALUE"""),"LT0PBC01R8981")</f>
        <v>LT0PBC01R8981</v>
      </c>
      <c r="F180" s="238" t="str">
        <f>IFERROR(__xludf.DUMMYFUNCTION("""COMPUTED_VALUE"""),"")</f>
        <v/>
      </c>
      <c r="G180" s="234"/>
      <c r="H180" s="234"/>
      <c r="I180" s="237" t="str">
        <f t="shared" si="1"/>
        <v>Dentro</v>
      </c>
      <c r="J180" s="239">
        <v>0.0</v>
      </c>
    </row>
    <row r="181">
      <c r="A181" s="234" t="s">
        <v>1892</v>
      </c>
      <c r="B181" s="234" t="str">
        <f>IFERROR(__xludf.DUMMYFUNCTION("""COMPUTED_VALUE"""),"SoC_SP_Louveira")</f>
        <v>SoC_SP_Louveira</v>
      </c>
      <c r="C181" s="234" t="str">
        <f>IFERROR(__xludf.DUMMYFUNCTION("""COMPUTED_VALUE"""),"SOC-SP7")</f>
        <v>SOC-SP7</v>
      </c>
      <c r="D181" s="234">
        <f>IFERROR(__xludf.DUMMYFUNCTION("""COMPUTED_VALUE"""),16.0)</f>
        <v>16</v>
      </c>
      <c r="E181" s="237" t="str">
        <f>IFERROR(__xludf.DUMMYFUNCTION("""COMPUTED_VALUE"""),"LT1PBC01RPUR1")</f>
        <v>LT1PBC01RPUR1</v>
      </c>
      <c r="F181" s="238" t="str">
        <f>IFERROR(__xludf.DUMMYFUNCTION("""COMPUTED_VALUE"""),"")</f>
        <v/>
      </c>
      <c r="G181" s="234"/>
      <c r="H181" s="234"/>
      <c r="I181" s="237" t="str">
        <f t="shared" si="1"/>
        <v>Dentro</v>
      </c>
      <c r="J181" s="239">
        <v>0.0</v>
      </c>
    </row>
    <row r="182">
      <c r="A182" s="234" t="s">
        <v>1893</v>
      </c>
      <c r="B182" s="234" t="str">
        <f>IFERROR(__xludf.DUMMYFUNCTION("""COMPUTED_VALUE"""),"SoC_SP_Louveira")</f>
        <v>SoC_SP_Louveira</v>
      </c>
      <c r="C182" s="234" t="str">
        <f>IFERROR(__xludf.DUMMYFUNCTION("""COMPUTED_VALUE"""),"SOC-SP7")</f>
        <v>SOC-SP7</v>
      </c>
      <c r="D182" s="234"/>
      <c r="E182" s="237" t="str">
        <f>IFERROR(__xludf.DUMMYFUNCTION("""COMPUTED_VALUE"""),"LT0PBC01R8A61")</f>
        <v>LT0PBC01R8A61</v>
      </c>
      <c r="F182" s="238" t="str">
        <f>IFERROR(__xludf.DUMMYFUNCTION("""COMPUTED_VALUE"""),"")</f>
        <v/>
      </c>
      <c r="G182" s="234"/>
      <c r="H182" s="234"/>
      <c r="I182" s="237" t="str">
        <f t="shared" si="1"/>
        <v>Dentro</v>
      </c>
      <c r="J182" s="239">
        <v>0.0</v>
      </c>
    </row>
    <row r="183">
      <c r="A183" s="234" t="s">
        <v>1894</v>
      </c>
      <c r="B183" s="234" t="str">
        <f>IFERROR(__xludf.DUMMYFUNCTION("""COMPUTED_VALUE"""),"SoC_SP_Louveira")</f>
        <v>SoC_SP_Louveira</v>
      </c>
      <c r="C183" s="234" t="str">
        <f>IFERROR(__xludf.DUMMYFUNCTION("""COMPUTED_VALUE"""),"SOC-SP7")</f>
        <v>SOC-SP7</v>
      </c>
      <c r="D183" s="234"/>
      <c r="E183" s="237" t="str">
        <f>IFERROR(__xludf.DUMMYFUNCTION("""COMPUTED_VALUE"""),"LT0PBC01R8A01")</f>
        <v>LT0PBC01R8A01</v>
      </c>
      <c r="F183" s="238" t="str">
        <f>IFERROR(__xludf.DUMMYFUNCTION("""COMPUTED_VALUE"""),"")</f>
        <v/>
      </c>
      <c r="G183" s="234"/>
      <c r="H183" s="234"/>
      <c r="I183" s="237" t="str">
        <f t="shared" si="1"/>
        <v>Dentro</v>
      </c>
      <c r="J183" s="239">
        <v>0.0</v>
      </c>
    </row>
    <row r="184">
      <c r="A184" s="234" t="s">
        <v>1895</v>
      </c>
      <c r="B184" s="234" t="str">
        <f>IFERROR(__xludf.DUMMYFUNCTION("""COMPUTED_VALUE"""),"SoC_SP_Santana")</f>
        <v>SoC_SP_Santana</v>
      </c>
      <c r="C184" s="234" t="str">
        <f>IFERROR(__xludf.DUMMYFUNCTION("""COMPUTED_VALUE"""),"SOC-SP2")</f>
        <v>SOC-SP2</v>
      </c>
      <c r="D184" s="234"/>
      <c r="E184" s="237" t="str">
        <f>IFERROR(__xludf.DUMMYFUNCTION("""COMPUTED_VALUE"""),"LT0PBB01RJ1T1")</f>
        <v>LT0PBB01RJ1T1</v>
      </c>
      <c r="F184" s="238" t="str">
        <f>IFERROR(__xludf.DUMMYFUNCTION("""COMPUTED_VALUE"""),"")</f>
        <v/>
      </c>
      <c r="G184" s="234"/>
      <c r="H184" s="234"/>
      <c r="I184" s="237" t="str">
        <f t="shared" si="1"/>
        <v>Dentro</v>
      </c>
      <c r="J184" s="239">
        <v>0.0</v>
      </c>
    </row>
    <row r="185">
      <c r="A185" s="234" t="s">
        <v>1896</v>
      </c>
      <c r="B185" s="234" t="str">
        <f>IFERROR(__xludf.DUMMYFUNCTION("""COMPUTED_VALUE"""),"SOC-PR1")</f>
        <v>SOC-PR1</v>
      </c>
      <c r="C185" s="234" t="str">
        <f>IFERROR(__xludf.DUMMYFUNCTION("""COMPUTED_VALUE"""),"SOC-PR1")</f>
        <v>SOC-PR1</v>
      </c>
      <c r="D185" s="234">
        <f>IFERROR(__xludf.DUMMYFUNCTION("""COMPUTED_VALUE"""),5.0)</f>
        <v>5</v>
      </c>
      <c r="E185" s="237" t="str">
        <f>IFERROR(__xludf.DUMMYFUNCTION("""COMPUTED_VALUE"""),"LT0PBC01R8891")</f>
        <v>LT0PBC01R8891</v>
      </c>
      <c r="F185" s="238" t="str">
        <f>IFERROR(__xludf.DUMMYFUNCTION("""COMPUTED_VALUE"""),"")</f>
        <v/>
      </c>
      <c r="G185" s="234"/>
      <c r="H185" s="234"/>
      <c r="I185" s="237" t="str">
        <f t="shared" si="1"/>
        <v>Dentro</v>
      </c>
      <c r="J185" s="239">
        <v>0.0</v>
      </c>
    </row>
    <row r="186">
      <c r="A186" s="234" t="s">
        <v>1897</v>
      </c>
      <c r="B186" s="234"/>
      <c r="C186" s="234" t="str">
        <f>IFERROR(__xludf.DUMMYFUNCTION("""COMPUTED_VALUE"""),"SOC-PR1")</f>
        <v>SOC-PR1</v>
      </c>
      <c r="D186" s="234"/>
      <c r="E186" s="237" t="str">
        <f>IFERROR(__xludf.DUMMYFUNCTION("""COMPUTED_VALUE"""),"LT1PBC01RPDC1")</f>
        <v>LT1PBC01RPDC1</v>
      </c>
      <c r="F186" s="238" t="str">
        <f>IFERROR(__xludf.DUMMYFUNCTION("""COMPUTED_VALUE"""),"")</f>
        <v/>
      </c>
      <c r="G186" s="234"/>
      <c r="H186" s="234"/>
      <c r="I186" s="237" t="str">
        <f t="shared" si="1"/>
        <v>Dentro</v>
      </c>
      <c r="J186" s="239">
        <v>119.99999999301508</v>
      </c>
    </row>
    <row r="187">
      <c r="A187" s="234" t="s">
        <v>1898</v>
      </c>
      <c r="B187" s="234" t="str">
        <f>IFERROR(__xludf.DUMMYFUNCTION("""COMPUTED_VALUE"""),"LM Hub_SP_Mogi das Cruzes_Jund")</f>
        <v>LM Hub_SP_Mogi das Cruzes_Jund</v>
      </c>
      <c r="C187" s="234" t="str">
        <f>IFERROR(__xludf.DUMMYFUNCTION("""COMPUTED_VALUE"""),"HUB-LSP-78")</f>
        <v>HUB-LSP-78</v>
      </c>
      <c r="D187" s="234">
        <f>IFERROR(__xludf.DUMMYFUNCTION("""COMPUTED_VALUE"""),8.0)</f>
        <v>8</v>
      </c>
      <c r="E187" s="237" t="str">
        <f>IFERROR(__xludf.DUMMYFUNCTION("""COMPUTED_VALUE"""),"LT0PBC01RC141")</f>
        <v>LT0PBC01RC141</v>
      </c>
      <c r="F187" s="238" t="str">
        <f>IFERROR(__xludf.DUMMYFUNCTION("""COMPUTED_VALUE"""),"EWJ1H50")</f>
        <v>EWJ1H50</v>
      </c>
      <c r="G187" s="238">
        <f>IFERROR(__xludf.DUMMYFUNCTION("""COMPUTED_VALUE"""),45973.895833333336)</f>
        <v>45973.89583</v>
      </c>
      <c r="H187" s="238">
        <f>IFERROR(__xludf.DUMMYFUNCTION("""COMPUTED_VALUE"""),45973.979166666664)</f>
        <v>45973.97917</v>
      </c>
      <c r="I187" s="237" t="str">
        <f t="shared" si="1"/>
        <v>Fora</v>
      </c>
      <c r="J187" s="239">
        <v>119.99999999301508</v>
      </c>
    </row>
    <row r="188">
      <c r="A188" s="234" t="s">
        <v>1899</v>
      </c>
      <c r="B188" s="234" t="str">
        <f>IFERROR(__xludf.DUMMYFUNCTION("""COMPUTED_VALUE"""),"LM Hub_SP_Santos_Praia Grande")</f>
        <v>LM Hub_SP_Santos_Praia Grande</v>
      </c>
      <c r="C188" s="234" t="str">
        <f>IFERROR(__xludf.DUMMYFUNCTION("""COMPUTED_VALUE"""),"HUB-LSP-09")</f>
        <v>HUB-LSP-09</v>
      </c>
      <c r="D188" s="234">
        <f>IFERROR(__xludf.DUMMYFUNCTION("""COMPUTED_VALUE"""),26.0)</f>
        <v>26</v>
      </c>
      <c r="E188" s="237" t="str">
        <f>IFERROR(__xludf.DUMMYFUNCTION("""COMPUTED_VALUE"""),"LT0PBC01R8EL1")</f>
        <v>LT0PBC01R8EL1</v>
      </c>
      <c r="F188" s="238" t="str">
        <f>IFERROR(__xludf.DUMMYFUNCTION("""COMPUTED_VALUE"""),"GDY7I04,GGX4993")</f>
        <v>GDY7I04,GGX4993</v>
      </c>
      <c r="G188" s="238">
        <f>IFERROR(__xludf.DUMMYFUNCTION("""COMPUTED_VALUE"""),45973.895833333336)</f>
        <v>45973.89583</v>
      </c>
      <c r="H188" s="238">
        <f>IFERROR(__xludf.DUMMYFUNCTION("""COMPUTED_VALUE"""),45973.979166666664)</f>
        <v>45973.97917</v>
      </c>
      <c r="I188" s="237" t="str">
        <f t="shared" si="1"/>
        <v>Fora</v>
      </c>
      <c r="J188" s="239">
        <v>119.99999999301508</v>
      </c>
    </row>
    <row r="189">
      <c r="A189" s="234" t="s">
        <v>1900</v>
      </c>
      <c r="B189" s="234" t="str">
        <f>IFERROR(__xludf.DUMMYFUNCTION("""COMPUTED_VALUE"""),"LM Hub_SP_São Paulo_Lapa")</f>
        <v>LM Hub_SP_São Paulo_Lapa</v>
      </c>
      <c r="C189" s="234" t="str">
        <f>IFERROR(__xludf.DUMMYFUNCTION("""COMPUTED_VALUE"""),"HUB-LSP-15")</f>
        <v>HUB-LSP-15</v>
      </c>
      <c r="D189" s="234">
        <f>IFERROR(__xludf.DUMMYFUNCTION("""COMPUTED_VALUE"""),14.0)</f>
        <v>14</v>
      </c>
      <c r="E189" s="237" t="str">
        <f>IFERROR(__xludf.DUMMYFUNCTION("""COMPUTED_VALUE"""),"LT0PBC01R8B81")</f>
        <v>LT0PBC01R8B81</v>
      </c>
      <c r="F189" s="238" t="str">
        <f>IFERROR(__xludf.DUMMYFUNCTION("""COMPUTED_VALUE"""),"GBE0G47,FJP5G21")</f>
        <v>GBE0G47,FJP5G21</v>
      </c>
      <c r="G189" s="238">
        <f>IFERROR(__xludf.DUMMYFUNCTION("""COMPUTED_VALUE"""),45973.895833333336)</f>
        <v>45973.89583</v>
      </c>
      <c r="H189" s="238">
        <f>IFERROR(__xludf.DUMMYFUNCTION("""COMPUTED_VALUE"""),45973.979166666664)</f>
        <v>45973.97917</v>
      </c>
      <c r="I189" s="237" t="str">
        <f t="shared" si="1"/>
        <v>Fora</v>
      </c>
      <c r="J189" s="239">
        <v>119.99999999301508</v>
      </c>
    </row>
    <row r="190">
      <c r="A190" s="234" t="s">
        <v>1901</v>
      </c>
      <c r="B190" s="234" t="str">
        <f>IFERROR(__xludf.DUMMYFUNCTION("""COMPUTED_VALUE"""),"LM Hub_SP_Zimba")</f>
        <v>LM Hub_SP_Zimba</v>
      </c>
      <c r="C190" s="234" t="str">
        <f>IFERROR(__xludf.DUMMYFUNCTION("""COMPUTED_VALUE"""),"HUB-LSP-74")</f>
        <v>HUB-LSP-74</v>
      </c>
      <c r="D190" s="234">
        <f>IFERROR(__xludf.DUMMYFUNCTION("""COMPUTED_VALUE"""),15.0)</f>
        <v>15</v>
      </c>
      <c r="E190" s="237" t="str">
        <f>IFERROR(__xludf.DUMMYFUNCTION("""COMPUTED_VALUE"""),"LT0PBC01R8CL1")</f>
        <v>LT0PBC01R8CL1</v>
      </c>
      <c r="F190" s="238" t="str">
        <f>IFERROR(__xludf.DUMMYFUNCTION("""COMPUTED_VALUE"""),"SUQ5C99,TLD5B82")</f>
        <v>SUQ5C99,TLD5B82</v>
      </c>
      <c r="G190" s="238">
        <f>IFERROR(__xludf.DUMMYFUNCTION("""COMPUTED_VALUE"""),45973.895833333336)</f>
        <v>45973.89583</v>
      </c>
      <c r="H190" s="238">
        <f>IFERROR(__xludf.DUMMYFUNCTION("""COMPUTED_VALUE"""),45973.979166666664)</f>
        <v>45973.97917</v>
      </c>
      <c r="I190" s="237" t="str">
        <f t="shared" si="1"/>
        <v>Fora</v>
      </c>
      <c r="J190" s="239">
        <v>59.99999999650754</v>
      </c>
    </row>
    <row r="191">
      <c r="A191" s="234" t="s">
        <v>1902</v>
      </c>
      <c r="B191" s="234" t="str">
        <f>IFERROR(__xludf.DUMMYFUNCTION("""COMPUTED_VALUE"""),"LM Hub_SP_São José dos Campos")</f>
        <v>LM Hub_SP_São José dos Campos</v>
      </c>
      <c r="C191" s="234" t="str">
        <f>IFERROR(__xludf.DUMMYFUNCTION("""COMPUTED_VALUE"""),"HUB-LSP-04")</f>
        <v>HUB-LSP-04</v>
      </c>
      <c r="D191" s="234">
        <f>IFERROR(__xludf.DUMMYFUNCTION("""COMPUTED_VALUE"""),7.0)</f>
        <v>7</v>
      </c>
      <c r="E191" s="237" t="str">
        <f>IFERROR(__xludf.DUMMYFUNCTION("""COMPUTED_VALUE"""),"LT0PBC01RIXZ1")</f>
        <v>LT0PBC01RIXZ1</v>
      </c>
      <c r="F191" s="238" t="str">
        <f>IFERROR(__xludf.DUMMYFUNCTION("""COMPUTED_VALUE"""),"TIR7J78")</f>
        <v>TIR7J78</v>
      </c>
      <c r="G191" s="238">
        <f>IFERROR(__xludf.DUMMYFUNCTION("""COMPUTED_VALUE"""),45973.9375)</f>
        <v>45973.9375</v>
      </c>
      <c r="H191" s="238">
        <f>IFERROR(__xludf.DUMMYFUNCTION("""COMPUTED_VALUE"""),45973.979166666664)</f>
        <v>45973.97917</v>
      </c>
      <c r="I191" s="237" t="str">
        <f t="shared" si="1"/>
        <v>Fora</v>
      </c>
      <c r="J191" s="239">
        <v>58.00000000046566</v>
      </c>
    </row>
    <row r="192">
      <c r="A192" s="234" t="s">
        <v>1903</v>
      </c>
      <c r="B192" s="234" t="str">
        <f>IFERROR(__xludf.DUMMYFUNCTION("""COMPUTED_VALUE"""),"LM Hub_SP_Guarujá")</f>
        <v>LM Hub_SP_Guarujá</v>
      </c>
      <c r="C192" s="234" t="str">
        <f>IFERROR(__xludf.DUMMYFUNCTION("""COMPUTED_VALUE"""),"HUB-LSP-06")</f>
        <v>HUB-LSP-06</v>
      </c>
      <c r="D192" s="234">
        <f>IFERROR(__xludf.DUMMYFUNCTION("""COMPUTED_VALUE"""),20.0)</f>
        <v>20</v>
      </c>
      <c r="E192" s="237" t="str">
        <f>IFERROR(__xludf.DUMMYFUNCTION("""COMPUTED_VALUE"""),"LT0PBC01R8DL1")</f>
        <v>LT0PBC01R8DL1</v>
      </c>
      <c r="F192" s="238" t="str">
        <f>IFERROR(__xludf.DUMMYFUNCTION("""COMPUTED_VALUE"""),"FUC9C37")</f>
        <v>FUC9C37</v>
      </c>
      <c r="G192" s="238">
        <f>IFERROR(__xludf.DUMMYFUNCTION("""COMPUTED_VALUE"""),45973.959027777775)</f>
        <v>45973.95903</v>
      </c>
      <c r="H192" s="238">
        <f>IFERROR(__xludf.DUMMYFUNCTION("""COMPUTED_VALUE"""),45973.99930555555)</f>
        <v>45973.99931</v>
      </c>
      <c r="I192" s="237" t="str">
        <f t="shared" si="1"/>
        <v>Fora</v>
      </c>
      <c r="J192" s="239">
        <v>120.00000000349246</v>
      </c>
    </row>
    <row r="193">
      <c r="A193" s="234" t="s">
        <v>1904</v>
      </c>
      <c r="B193" s="234" t="str">
        <f>IFERROR(__xludf.DUMMYFUNCTION("""COMPUTED_VALUE"""),"LM Hub_SP_Itapevi")</f>
        <v>LM Hub_SP_Itapevi</v>
      </c>
      <c r="C193" s="234" t="str">
        <f>IFERROR(__xludf.DUMMYFUNCTION("""COMPUTED_VALUE"""),"HUB-LSP-41")</f>
        <v>HUB-LSP-41</v>
      </c>
      <c r="D193" s="234">
        <f>IFERROR(__xludf.DUMMYFUNCTION("""COMPUTED_VALUE"""),22.0)</f>
        <v>22</v>
      </c>
      <c r="E193" s="237" t="str">
        <f>IFERROR(__xludf.DUMMYFUNCTION("""COMPUTED_VALUE"""),"LT0PBC01R8C11")</f>
        <v>LT0PBC01R8C11</v>
      </c>
      <c r="F193" s="238" t="str">
        <f>IFERROR(__xludf.DUMMYFUNCTION("""COMPUTED_VALUE"""),"FRM9I93,UGN6B16")</f>
        <v>FRM9I93,UGN6B16</v>
      </c>
      <c r="G193" s="238">
        <f>IFERROR(__xludf.DUMMYFUNCTION("""COMPUTED_VALUE"""),45973.916666666664)</f>
        <v>45973.91667</v>
      </c>
      <c r="H193" s="238">
        <f>IFERROR(__xludf.DUMMYFUNCTION("""COMPUTED_VALUE"""),45974.0)</f>
        <v>45974</v>
      </c>
      <c r="I193" s="237" t="str">
        <f t="shared" si="1"/>
        <v>Fora</v>
      </c>
      <c r="J193" s="239">
        <v>120.00000000349246</v>
      </c>
    </row>
    <row r="194">
      <c r="A194" s="234" t="s">
        <v>1905</v>
      </c>
      <c r="B194" s="234" t="str">
        <f>IFERROR(__xludf.DUMMYFUNCTION("""COMPUTED_VALUE"""),"LM Hub_SP_Mauá")</f>
        <v>LM Hub_SP_Mauá</v>
      </c>
      <c r="C194" s="234" t="str">
        <f>IFERROR(__xludf.DUMMYFUNCTION("""COMPUTED_VALUE"""),"HUB-LSP-64")</f>
        <v>HUB-LSP-64</v>
      </c>
      <c r="D194" s="234">
        <f>IFERROR(__xludf.DUMMYFUNCTION("""COMPUTED_VALUE"""),32.0)</f>
        <v>32</v>
      </c>
      <c r="E194" s="237" t="str">
        <f>IFERROR(__xludf.DUMMYFUNCTION("""COMPUTED_VALUE"""),"LT0PBC01R8CE1")</f>
        <v>LT0PBC01R8CE1</v>
      </c>
      <c r="F194" s="238" t="str">
        <f>IFERROR(__xludf.DUMMYFUNCTION("""COMPUTED_VALUE"""),"FQF6B98,DTA7802")</f>
        <v>FQF6B98,DTA7802</v>
      </c>
      <c r="G194" s="238">
        <f>IFERROR(__xludf.DUMMYFUNCTION("""COMPUTED_VALUE"""),45973.916666666664)</f>
        <v>45973.91667</v>
      </c>
      <c r="H194" s="238">
        <f>IFERROR(__xludf.DUMMYFUNCTION("""COMPUTED_VALUE"""),45974.0)</f>
        <v>45974</v>
      </c>
      <c r="I194" s="237" t="str">
        <f t="shared" si="1"/>
        <v>Fora</v>
      </c>
      <c r="J194" s="239">
        <v>120.00000000349246</v>
      </c>
    </row>
    <row r="195">
      <c r="A195" s="234" t="s">
        <v>1906</v>
      </c>
      <c r="B195" s="234" t="str">
        <f>IFERROR(__xludf.DUMMYFUNCTION("""COMPUTED_VALUE"""),"LM Hub_SP_Santo André")</f>
        <v>LM Hub_SP_Santo André</v>
      </c>
      <c r="C195" s="234" t="str">
        <f>IFERROR(__xludf.DUMMYFUNCTION("""COMPUTED_VALUE"""),"HUB-LSP-93")</f>
        <v>HUB-LSP-93</v>
      </c>
      <c r="D195" s="234">
        <f>IFERROR(__xludf.DUMMYFUNCTION("""COMPUTED_VALUE"""),6.0)</f>
        <v>6</v>
      </c>
      <c r="E195" s="237" t="str">
        <f>IFERROR(__xludf.DUMMYFUNCTION("""COMPUTED_VALUE"""),"LT0PBC01RBQ71")</f>
        <v>LT0PBC01RBQ71</v>
      </c>
      <c r="F195" s="238" t="str">
        <f>IFERROR(__xludf.DUMMYFUNCTION("""COMPUTED_VALUE"""),"EVO8A79,AXE8E26")</f>
        <v>EVO8A79,AXE8E26</v>
      </c>
      <c r="G195" s="238">
        <f>IFERROR(__xludf.DUMMYFUNCTION("""COMPUTED_VALUE"""),45973.916666666664)</f>
        <v>45973.91667</v>
      </c>
      <c r="H195" s="238">
        <f>IFERROR(__xludf.DUMMYFUNCTION("""COMPUTED_VALUE"""),45974.0)</f>
        <v>45974</v>
      </c>
      <c r="I195" s="237" t="str">
        <f t="shared" si="1"/>
        <v>Fora</v>
      </c>
      <c r="J195" s="239">
        <v>119.00000000023283</v>
      </c>
    </row>
    <row r="196">
      <c r="A196" s="234" t="s">
        <v>1907</v>
      </c>
      <c r="B196" s="234" t="str">
        <f>IFERROR(__xludf.DUMMYFUNCTION("""COMPUTED_VALUE"""),"LM Hub_SP_Artur Alvim")</f>
        <v>LM Hub_SP_Artur Alvim</v>
      </c>
      <c r="C196" s="234" t="str">
        <f>IFERROR(__xludf.DUMMYFUNCTION("""COMPUTED_VALUE"""),"HUB-LSP-07")</f>
        <v>HUB-LSP-07</v>
      </c>
      <c r="D196" s="234">
        <f>IFERROR(__xludf.DUMMYFUNCTION("""COMPUTED_VALUE"""),34.0)</f>
        <v>34</v>
      </c>
      <c r="E196" s="237" t="str">
        <f>IFERROR(__xludf.DUMMYFUNCTION("""COMPUTED_VALUE"""),"LT0PBC01R8AY1")</f>
        <v>LT0PBC01R8AY1</v>
      </c>
      <c r="F196" s="238" t="str">
        <f>IFERROR(__xludf.DUMMYFUNCTION("""COMPUTED_VALUE"""),"EJV5B85,NKW2H59")</f>
        <v>EJV5B85,NKW2H59</v>
      </c>
      <c r="G196" s="238">
        <f>IFERROR(__xludf.DUMMYFUNCTION("""COMPUTED_VALUE"""),45973.91736111111)</f>
        <v>45973.91736</v>
      </c>
      <c r="H196" s="238">
        <f>IFERROR(__xludf.DUMMYFUNCTION("""COMPUTED_VALUE"""),45974.0)</f>
        <v>45974</v>
      </c>
      <c r="I196" s="237" t="str">
        <f t="shared" si="1"/>
        <v>Fora</v>
      </c>
      <c r="J196" s="239">
        <v>119.00000000023283</v>
      </c>
    </row>
    <row r="197">
      <c r="A197" s="234" t="s">
        <v>1908</v>
      </c>
      <c r="B197" s="234" t="str">
        <f>IFERROR(__xludf.DUMMYFUNCTION("""COMPUTED_VALUE"""),"LM Hub_SP_Guarulhos")</f>
        <v>LM Hub_SP_Guarulhos</v>
      </c>
      <c r="C197" s="234" t="str">
        <f>IFERROR(__xludf.DUMMYFUNCTION("""COMPUTED_VALUE"""),"HUB-LSP-77")</f>
        <v>HUB-LSP-77</v>
      </c>
      <c r="D197" s="234">
        <f>IFERROR(__xludf.DUMMYFUNCTION("""COMPUTED_VALUE"""),35.0)</f>
        <v>35</v>
      </c>
      <c r="E197" s="237" t="str">
        <f>IFERROR(__xludf.DUMMYFUNCTION("""COMPUTED_VALUE"""),"LT0PBC01R9721")</f>
        <v>LT0PBC01R9721</v>
      </c>
      <c r="F197" s="238" t="str">
        <f>IFERROR(__xludf.DUMMYFUNCTION("""COMPUTED_VALUE"""),"ESU9B10,JOK0B33")</f>
        <v>ESU9B10,JOK0B33</v>
      </c>
      <c r="G197" s="238">
        <f>IFERROR(__xludf.DUMMYFUNCTION("""COMPUTED_VALUE"""),45973.91736111111)</f>
        <v>45973.91736</v>
      </c>
      <c r="H197" s="238">
        <f>IFERROR(__xludf.DUMMYFUNCTION("""COMPUTED_VALUE"""),45974.0)</f>
        <v>45974</v>
      </c>
      <c r="I197" s="237" t="str">
        <f t="shared" si="1"/>
        <v>Fora</v>
      </c>
      <c r="J197" s="239">
        <v>59.99999999650754</v>
      </c>
    </row>
    <row r="198">
      <c r="A198" s="234" t="s">
        <v>1909</v>
      </c>
      <c r="B198" s="234" t="str">
        <f>IFERROR(__xludf.DUMMYFUNCTION("""COMPUTED_VALUE"""),"LM Hub_RS_Porto Alegre_Floresta")</f>
        <v>LM Hub_RS_Porto Alegre_Floresta</v>
      </c>
      <c r="C198" s="234" t="str">
        <f>IFERROR(__xludf.DUMMYFUNCTION("""COMPUTED_VALUE"""),"HUB-LRS-03")</f>
        <v>HUB-LRS-03</v>
      </c>
      <c r="D198" s="234">
        <f>IFERROR(__xludf.DUMMYFUNCTION("""COMPUTED_VALUE"""),33.0)</f>
        <v>33</v>
      </c>
      <c r="E198" s="237" t="str">
        <f>IFERROR(__xludf.DUMMYFUNCTION("""COMPUTED_VALUE"""),"LT0PBC01RGLY1")</f>
        <v>LT0PBC01RGLY1</v>
      </c>
      <c r="F198" s="238" t="str">
        <f>IFERROR(__xludf.DUMMYFUNCTION("""COMPUTED_VALUE"""),"QJQ8D32")</f>
        <v>QJQ8D32</v>
      </c>
      <c r="G198" s="238">
        <f>IFERROR(__xludf.DUMMYFUNCTION("""COMPUTED_VALUE"""),45973.958333333336)</f>
        <v>45973.95833</v>
      </c>
      <c r="H198" s="238">
        <f>IFERROR(__xludf.DUMMYFUNCTION("""COMPUTED_VALUE"""),45974.0)</f>
        <v>45974</v>
      </c>
      <c r="I198" s="237" t="str">
        <f t="shared" si="1"/>
        <v>Fora</v>
      </c>
      <c r="J198" s="239">
        <v>59.99999999650754</v>
      </c>
    </row>
    <row r="199">
      <c r="A199" s="234" t="s">
        <v>1910</v>
      </c>
      <c r="B199" s="234" t="str">
        <f>IFERROR(__xludf.DUMMYFUNCTION("""COMPUTED_VALUE"""),"LM Hub_SP_Barueri_01")</f>
        <v>LM Hub_SP_Barueri_01</v>
      </c>
      <c r="C199" s="234" t="str">
        <f>IFERROR(__xludf.DUMMYFUNCTION("""COMPUTED_VALUE"""),"HUB-LSP-81")</f>
        <v>HUB-LSP-81</v>
      </c>
      <c r="D199" s="234">
        <f>IFERROR(__xludf.DUMMYFUNCTION("""COMPUTED_VALUE"""),5.0)</f>
        <v>5</v>
      </c>
      <c r="E199" s="237" t="str">
        <f>IFERROR(__xludf.DUMMYFUNCTION("""COMPUTED_VALUE"""),"LT0PBC01RF9T1")</f>
        <v>LT0PBC01RF9T1</v>
      </c>
      <c r="F199" s="238" t="str">
        <f>IFERROR(__xludf.DUMMYFUNCTION("""COMPUTED_VALUE"""),"GEV2J37")</f>
        <v>GEV2J37</v>
      </c>
      <c r="G199" s="238">
        <f>IFERROR(__xludf.DUMMYFUNCTION("""COMPUTED_VALUE"""),45973.958333333336)</f>
        <v>45973.95833</v>
      </c>
      <c r="H199" s="238">
        <f>IFERROR(__xludf.DUMMYFUNCTION("""COMPUTED_VALUE"""),45974.0)</f>
        <v>45974</v>
      </c>
      <c r="I199" s="237" t="str">
        <f t="shared" si="1"/>
        <v>Fora</v>
      </c>
      <c r="J199" s="239">
        <v>59.00000000372529</v>
      </c>
    </row>
    <row r="200">
      <c r="A200" s="234" t="s">
        <v>1911</v>
      </c>
      <c r="B200" s="234" t="str">
        <f>IFERROR(__xludf.DUMMYFUNCTION("""COMPUTED_VALUE"""),"LM Hub_SP_Jardim Adriana")</f>
        <v>LM Hub_SP_Jardim Adriana</v>
      </c>
      <c r="C200" s="234" t="str">
        <f>IFERROR(__xludf.DUMMYFUNCTION("""COMPUTED_VALUE"""),"HUB-LSP-12")</f>
        <v>HUB-LSP-12</v>
      </c>
      <c r="D200" s="234">
        <f>IFERROR(__xludf.DUMMYFUNCTION("""COMPUTED_VALUE"""),13.0)</f>
        <v>13</v>
      </c>
      <c r="E200" s="237" t="str">
        <f>IFERROR(__xludf.DUMMYFUNCTION("""COMPUTED_VALUE"""),"LT0PBC01RIWW1")</f>
        <v>LT0PBC01RIWW1</v>
      </c>
      <c r="F200" s="238" t="str">
        <f>IFERROR(__xludf.DUMMYFUNCTION("""COMPUTED_VALUE"""),"NZI9C32")</f>
        <v>NZI9C32</v>
      </c>
      <c r="G200" s="238">
        <f>IFERROR(__xludf.DUMMYFUNCTION("""COMPUTED_VALUE"""),45973.959027777775)</f>
        <v>45973.95903</v>
      </c>
      <c r="H200" s="238">
        <f>IFERROR(__xludf.DUMMYFUNCTION("""COMPUTED_VALUE"""),45974.0)</f>
        <v>45974</v>
      </c>
      <c r="I200" s="237" t="str">
        <f t="shared" si="1"/>
        <v>Fora</v>
      </c>
      <c r="J200" s="239">
        <v>120.00000000349246</v>
      </c>
    </row>
    <row r="201">
      <c r="A201" s="234" t="s">
        <v>1912</v>
      </c>
      <c r="B201" s="234" t="str">
        <f>IFERROR(__xludf.DUMMYFUNCTION("""COMPUTED_VALUE"""),"LM Hub_SP_Parque Novo Mundo")</f>
        <v>LM Hub_SP_Parque Novo Mundo</v>
      </c>
      <c r="C201" s="234" t="str">
        <f>IFERROR(__xludf.DUMMYFUNCTION("""COMPUTED_VALUE"""),"HUB-LSP-89")</f>
        <v>HUB-LSP-89</v>
      </c>
      <c r="D201" s="234">
        <f>IFERROR(__xludf.DUMMYFUNCTION("""COMPUTED_VALUE"""),25.0)</f>
        <v>25</v>
      </c>
      <c r="E201" s="237" t="str">
        <f>IFERROR(__xludf.DUMMYFUNCTION("""COMPUTED_VALUE"""),"LT0PBC01R9GF1")</f>
        <v>LT0PBC01R9GF1</v>
      </c>
      <c r="F201" s="238" t="str">
        <f>IFERROR(__xludf.DUMMYFUNCTION("""COMPUTED_VALUE"""),"GIQ1C13,AKZ0B43")</f>
        <v>GIQ1C13,AKZ0B43</v>
      </c>
      <c r="G201" s="238">
        <f>IFERROR(__xludf.DUMMYFUNCTION("""COMPUTED_VALUE"""),45973.9375)</f>
        <v>45973.9375</v>
      </c>
      <c r="H201" s="238">
        <f>IFERROR(__xludf.DUMMYFUNCTION("""COMPUTED_VALUE"""),45974.020833333336)</f>
        <v>45974.02083</v>
      </c>
      <c r="I201" s="237" t="str">
        <f t="shared" si="1"/>
        <v>Fora</v>
      </c>
      <c r="J201" s="239">
        <v>120.00000000349246</v>
      </c>
    </row>
    <row r="202">
      <c r="A202" s="234" t="s">
        <v>1913</v>
      </c>
      <c r="B202" s="234" t="str">
        <f>IFERROR(__xludf.DUMMYFUNCTION("""COMPUTED_VALUE"""),"LM Hub_SP_Piracicaba")</f>
        <v>LM Hub_SP_Piracicaba</v>
      </c>
      <c r="C202" s="234" t="str">
        <f>IFERROR(__xludf.DUMMYFUNCTION("""COMPUTED_VALUE"""),"HUB-LSP-62")</f>
        <v>HUB-LSP-62</v>
      </c>
      <c r="D202" s="234">
        <f>IFERROR(__xludf.DUMMYFUNCTION("""COMPUTED_VALUE"""),23.0)</f>
        <v>23</v>
      </c>
      <c r="E202" s="237" t="str">
        <f>IFERROR(__xludf.DUMMYFUNCTION("""COMPUTED_VALUE"""),"LT0PBC01R9781")</f>
        <v>LT0PBC01R9781</v>
      </c>
      <c r="F202" s="238" t="str">
        <f>IFERROR(__xludf.DUMMYFUNCTION("""COMPUTED_VALUE"""),"EOF4D32,MTM1015")</f>
        <v>EOF4D32,MTM1015</v>
      </c>
      <c r="G202" s="238">
        <f>IFERROR(__xludf.DUMMYFUNCTION("""COMPUTED_VALUE"""),45973.9375)</f>
        <v>45973.9375</v>
      </c>
      <c r="H202" s="238">
        <f>IFERROR(__xludf.DUMMYFUNCTION("""COMPUTED_VALUE"""),45974.020833333336)</f>
        <v>45974.02083</v>
      </c>
      <c r="I202" s="237" t="str">
        <f t="shared" si="1"/>
        <v>Fora</v>
      </c>
      <c r="J202" s="239">
        <v>119.00000000023283</v>
      </c>
    </row>
    <row r="203">
      <c r="A203" s="234" t="s">
        <v>1914</v>
      </c>
      <c r="B203" s="234" t="str">
        <f>IFERROR(__xludf.DUMMYFUNCTION("""COMPUTED_VALUE"""),"LM Hub_SP_VilaGuilherme")</f>
        <v>LM Hub_SP_VilaGuilherme</v>
      </c>
      <c r="C203" s="234" t="str">
        <f>IFERROR(__xludf.DUMMYFUNCTION("""COMPUTED_VALUE"""),"HUB-LSP-68")</f>
        <v>HUB-LSP-68</v>
      </c>
      <c r="D203" s="234">
        <f>IFERROR(__xludf.DUMMYFUNCTION("""COMPUTED_VALUE"""),26.0)</f>
        <v>26</v>
      </c>
      <c r="E203" s="237" t="str">
        <f>IFERROR(__xludf.DUMMYFUNCTION("""COMPUTED_VALUE"""),"LT0PBC01RIXJ1")</f>
        <v>LT0PBC01RIXJ1</v>
      </c>
      <c r="F203" s="238" t="str">
        <f>IFERROR(__xludf.DUMMYFUNCTION("""COMPUTED_VALUE"""),"HFD4H27,JXG9745")</f>
        <v>HFD4H27,JXG9745</v>
      </c>
      <c r="G203" s="238">
        <f>IFERROR(__xludf.DUMMYFUNCTION("""COMPUTED_VALUE"""),45973.93819444445)</f>
        <v>45973.93819</v>
      </c>
      <c r="H203" s="238">
        <f>IFERROR(__xludf.DUMMYFUNCTION("""COMPUTED_VALUE"""),45974.020833333336)</f>
        <v>45974.02083</v>
      </c>
      <c r="I203" s="237" t="str">
        <f t="shared" si="1"/>
        <v>Fora</v>
      </c>
      <c r="J203" s="239">
        <v>60.00000000698492</v>
      </c>
    </row>
    <row r="204">
      <c r="A204" s="234" t="s">
        <v>1915</v>
      </c>
      <c r="B204" s="234" t="str">
        <f>IFERROR(__xludf.DUMMYFUNCTION("""COMPUTED_VALUE"""),"LM Hub_MG_Juiz de Fora_Dist Ind")</f>
        <v>LM Hub_MG_Juiz de Fora_Dist Ind</v>
      </c>
      <c r="C204" s="234" t="str">
        <f>IFERROR(__xludf.DUMMYFUNCTION("""COMPUTED_VALUE"""),"HUB-LMG-59")</f>
        <v>HUB-LMG-59</v>
      </c>
      <c r="D204" s="234">
        <f>IFERROR(__xludf.DUMMYFUNCTION("""COMPUTED_VALUE"""),19.0)</f>
        <v>19</v>
      </c>
      <c r="E204" s="237" t="str">
        <f>IFERROR(__xludf.DUMMYFUNCTION("""COMPUTED_VALUE"""),"LT0PBC01RGML1")</f>
        <v>LT0PBC01RGML1</v>
      </c>
      <c r="F204" s="238" t="str">
        <f>IFERROR(__xludf.DUMMYFUNCTION("""COMPUTED_VALUE"""),"SXL7I50")</f>
        <v>SXL7I50</v>
      </c>
      <c r="G204" s="238">
        <f>IFERROR(__xludf.DUMMYFUNCTION("""COMPUTED_VALUE"""),45973.979166666664)</f>
        <v>45973.97917</v>
      </c>
      <c r="H204" s="238">
        <f>IFERROR(__xludf.DUMMYFUNCTION("""COMPUTED_VALUE"""),45974.020833333336)</f>
        <v>45974.02083</v>
      </c>
      <c r="I204" s="237" t="str">
        <f t="shared" si="1"/>
        <v>Fora</v>
      </c>
      <c r="J204" s="239">
        <v>59.00000000372529</v>
      </c>
    </row>
    <row r="205">
      <c r="A205" s="234" t="s">
        <v>1916</v>
      </c>
      <c r="B205" s="234" t="str">
        <f>IFERROR(__xludf.DUMMYFUNCTION("""COMPUTED_VALUE"""),"LM Hub_SP_São Paulo_Carandiru")</f>
        <v>LM Hub_SP_São Paulo_Carandiru</v>
      </c>
      <c r="C205" s="234" t="str">
        <f>IFERROR(__xludf.DUMMYFUNCTION("""COMPUTED_VALUE"""),"HUB-LSP-18")</f>
        <v>HUB-LSP-18</v>
      </c>
      <c r="D205" s="234">
        <f>IFERROR(__xludf.DUMMYFUNCTION("""COMPUTED_VALUE"""),14.0)</f>
        <v>14</v>
      </c>
      <c r="E205" s="237" t="str">
        <f>IFERROR(__xludf.DUMMYFUNCTION("""COMPUTED_VALUE"""),"LT0PBC01R8BJ1")</f>
        <v>LT0PBC01R8BJ1</v>
      </c>
      <c r="F205" s="238" t="str">
        <f>IFERROR(__xludf.DUMMYFUNCTION("""COMPUTED_VALUE"""),"NVO0561")</f>
        <v>NVO0561</v>
      </c>
      <c r="G205" s="238">
        <f>IFERROR(__xludf.DUMMYFUNCTION("""COMPUTED_VALUE"""),45973.97986111111)</f>
        <v>45973.97986</v>
      </c>
      <c r="H205" s="238">
        <f>IFERROR(__xludf.DUMMYFUNCTION("""COMPUTED_VALUE"""),45974.020833333336)</f>
        <v>45974.02083</v>
      </c>
      <c r="I205" s="237" t="str">
        <f t="shared" si="1"/>
        <v>Fora</v>
      </c>
      <c r="J205" s="239">
        <v>299.9999999930151</v>
      </c>
    </row>
    <row r="206">
      <c r="A206" s="234" t="s">
        <v>1917</v>
      </c>
      <c r="B206" s="234" t="str">
        <f>IFERROR(__xludf.DUMMYFUNCTION("""COMPUTED_VALUE"""),"SoC_SP_Louveira")</f>
        <v>SoC_SP_Louveira</v>
      </c>
      <c r="C206" s="234" t="str">
        <f>IFERROR(__xludf.DUMMYFUNCTION("""COMPUTED_VALUE"""),"SOC-SP7")</f>
        <v>SOC-SP7</v>
      </c>
      <c r="D206" s="234">
        <f>IFERROR(__xludf.DUMMYFUNCTION("""COMPUTED_VALUE"""),12.0)</f>
        <v>12</v>
      </c>
      <c r="E206" s="237" t="str">
        <f>IFERROR(__xludf.DUMMYFUNCTION("""COMPUTED_VALUE"""),"LT0PBC01R8AT1")</f>
        <v>LT0PBC01R8AT1</v>
      </c>
      <c r="F206" s="238" t="str">
        <f>IFERROR(__xludf.DUMMYFUNCTION("""COMPUTED_VALUE"""),"SUK7E04,UEP4I46")</f>
        <v>SUK7E04,UEP4I46</v>
      </c>
      <c r="G206" s="238">
        <f>IFERROR(__xludf.DUMMYFUNCTION("""COMPUTED_VALUE"""),45973.833333333336)</f>
        <v>45973.83333</v>
      </c>
      <c r="H206" s="238">
        <f>IFERROR(__xludf.DUMMYFUNCTION("""COMPUTED_VALUE"""),45974.041666666664)</f>
        <v>45974.04167</v>
      </c>
      <c r="I206" s="237" t="str">
        <f t="shared" si="1"/>
        <v>Fora</v>
      </c>
      <c r="J206" s="239">
        <v>119.99999999301508</v>
      </c>
    </row>
    <row r="207">
      <c r="A207" s="234" t="s">
        <v>1918</v>
      </c>
      <c r="B207" s="234" t="str">
        <f>IFERROR(__xludf.DUMMYFUNCTION("""COMPUTED_VALUE"""),"SoC_SC_Itajaí")</f>
        <v>SoC_SC_Itajaí</v>
      </c>
      <c r="C207" s="234" t="str">
        <f>IFERROR(__xludf.DUMMYFUNCTION("""COMPUTED_VALUE"""),"SOC-SC1")</f>
        <v>SOC-SC1</v>
      </c>
      <c r="D207" s="234">
        <f>IFERROR(__xludf.DUMMYFUNCTION("""COMPUTED_VALUE"""),40.0)</f>
        <v>40</v>
      </c>
      <c r="E207" s="237" t="str">
        <f>IFERROR(__xludf.DUMMYFUNCTION("""COMPUTED_VALUE"""),"LT1PBD01RQOE1")</f>
        <v>LT1PBD01RQOE1</v>
      </c>
      <c r="F207" s="238" t="str">
        <f>IFERROR(__xludf.DUMMYFUNCTION("""COMPUTED_VALUE"""),"AXN2G91,PQT1A41")</f>
        <v>AXN2G91,PQT1A41</v>
      </c>
      <c r="G207" s="238">
        <f>IFERROR(__xludf.DUMMYFUNCTION("""COMPUTED_VALUE"""),45973.958333333336)</f>
        <v>45973.95833</v>
      </c>
      <c r="H207" s="238">
        <f>IFERROR(__xludf.DUMMYFUNCTION("""COMPUTED_VALUE"""),45974.041666666664)</f>
        <v>45974.04167</v>
      </c>
      <c r="I207" s="237" t="str">
        <f t="shared" si="1"/>
        <v>Fora</v>
      </c>
      <c r="J207" s="239">
        <v>119.00000000023283</v>
      </c>
    </row>
    <row r="208">
      <c r="A208" s="234" t="s">
        <v>1919</v>
      </c>
      <c r="B208" s="234" t="str">
        <f>IFERROR(__xludf.DUMMYFUNCTION("""COMPUTED_VALUE"""),"LM Hub_SP_Limeira_Campo Belo")</f>
        <v>LM Hub_SP_Limeira_Campo Belo</v>
      </c>
      <c r="C208" s="234" t="str">
        <f>IFERROR(__xludf.DUMMYFUNCTION("""COMPUTED_VALUE"""),"HUB-LSP-24")</f>
        <v>HUB-LSP-24</v>
      </c>
      <c r="D208" s="234">
        <f>IFERROR(__xludf.DUMMYFUNCTION("""COMPUTED_VALUE"""),15.0)</f>
        <v>15</v>
      </c>
      <c r="E208" s="237" t="str">
        <f>IFERROR(__xludf.DUMMYFUNCTION("""COMPUTED_VALUE"""),"LT0PBC01R8F51")</f>
        <v>LT0PBC01R8F51</v>
      </c>
      <c r="F208" s="238" t="str">
        <f>IFERROR(__xludf.DUMMYFUNCTION("""COMPUTED_VALUE"""),"GES8A28,STT6A13")</f>
        <v>GES8A28,STT6A13</v>
      </c>
      <c r="G208" s="238">
        <f>IFERROR(__xludf.DUMMYFUNCTION("""COMPUTED_VALUE"""),45973.959027777775)</f>
        <v>45973.95903</v>
      </c>
      <c r="H208" s="238">
        <f>IFERROR(__xludf.DUMMYFUNCTION("""COMPUTED_VALUE"""),45974.041666666664)</f>
        <v>45974.04167</v>
      </c>
      <c r="I208" s="237" t="str">
        <f t="shared" si="1"/>
        <v>Fora</v>
      </c>
      <c r="J208" s="239">
        <v>119.00000000023283</v>
      </c>
    </row>
    <row r="209">
      <c r="A209" s="234" t="s">
        <v>1920</v>
      </c>
      <c r="B209" s="234"/>
      <c r="C209" s="234" t="str">
        <f>IFERROR(__xludf.DUMMYFUNCTION("""COMPUTED_VALUE"""),"HUB-LSP-37")</f>
        <v>HUB-LSP-37</v>
      </c>
      <c r="D209" s="234">
        <f>IFERROR(__xludf.DUMMYFUNCTION("""COMPUTED_VALUE"""),7.0)</f>
        <v>7</v>
      </c>
      <c r="E209" s="237" t="str">
        <f>IFERROR(__xludf.DUMMYFUNCTION("""COMPUTED_VALUE"""),"LT0PBC01R8G71")</f>
        <v>LT0PBC01R8G71</v>
      </c>
      <c r="F209" s="238" t="str">
        <f>IFERROR(__xludf.DUMMYFUNCTION("""COMPUTED_VALUE"""),"UEY6G90,TAX1I61")</f>
        <v>UEY6G90,TAX1I61</v>
      </c>
      <c r="G209" s="238">
        <f>IFERROR(__xludf.DUMMYFUNCTION("""COMPUTED_VALUE"""),45973.959027777775)</f>
        <v>45973.95903</v>
      </c>
      <c r="H209" s="238">
        <f>IFERROR(__xludf.DUMMYFUNCTION("""COMPUTED_VALUE"""),45974.041666666664)</f>
        <v>45974.04167</v>
      </c>
      <c r="I209" s="237" t="str">
        <f t="shared" si="1"/>
        <v>Fora</v>
      </c>
      <c r="J209" s="239">
        <v>90.0</v>
      </c>
    </row>
    <row r="210">
      <c r="A210" s="234" t="s">
        <v>1921</v>
      </c>
      <c r="B210" s="234" t="str">
        <f>IFERROR(__xludf.DUMMYFUNCTION("""COMPUTED_VALUE"""),"LM Hub_SP_Jurubatuba")</f>
        <v>LM Hub_SP_Jurubatuba</v>
      </c>
      <c r="C210" s="234" t="str">
        <f>IFERROR(__xludf.DUMMYFUNCTION("""COMPUTED_VALUE"""),"HUB-LSP-16")</f>
        <v>HUB-LSP-16</v>
      </c>
      <c r="D210" s="234">
        <f>IFERROR(__xludf.DUMMYFUNCTION("""COMPUTED_VALUE"""),28.0)</f>
        <v>28</v>
      </c>
      <c r="E210" s="237" t="str">
        <f>IFERROR(__xludf.DUMMYFUNCTION("""COMPUTED_VALUE"""),"LT0PBC01R8BD1")</f>
        <v>LT0PBC01R8BD1</v>
      </c>
      <c r="F210" s="238" t="str">
        <f>IFERROR(__xludf.DUMMYFUNCTION("""COMPUTED_VALUE"""),"")</f>
        <v/>
      </c>
      <c r="G210" s="238">
        <f>IFERROR(__xludf.DUMMYFUNCTION("""COMPUTED_VALUE"""),45973.979166666664)</f>
        <v>45973.97917</v>
      </c>
      <c r="H210" s="238">
        <f>IFERROR(__xludf.DUMMYFUNCTION("""COMPUTED_VALUE"""),45974.041666666664)</f>
        <v>45974.04167</v>
      </c>
      <c r="I210" s="237" t="str">
        <f t="shared" si="1"/>
        <v>Fora</v>
      </c>
      <c r="J210" s="239">
        <v>120.00000000349246</v>
      </c>
    </row>
    <row r="211">
      <c r="A211" s="234" t="s">
        <v>1922</v>
      </c>
      <c r="B211" s="234" t="str">
        <f>IFERROR(__xludf.DUMMYFUNCTION("""COMPUTED_VALUE"""),"LM Hub_SP_Atibaia_Ponte_Alta")</f>
        <v>LM Hub_SP_Atibaia_Ponte_Alta</v>
      </c>
      <c r="C211" s="234" t="str">
        <f>IFERROR(__xludf.DUMMYFUNCTION("""COMPUTED_VALUE"""),"HUB-LSP-87")</f>
        <v>HUB-LSP-87</v>
      </c>
      <c r="D211" s="234">
        <f>IFERROR(__xludf.DUMMYFUNCTION("""COMPUTED_VALUE"""),28.0)</f>
        <v>28</v>
      </c>
      <c r="E211" s="237" t="str">
        <f>IFERROR(__xludf.DUMMYFUNCTION("""COMPUTED_VALUE"""),"LT0PBC01RDCV1")</f>
        <v>LT0PBC01RDCV1</v>
      </c>
      <c r="F211" s="238" t="str">
        <f>IFERROR(__xludf.DUMMYFUNCTION("""COMPUTED_VALUE"""),"CSK3E13,SWM9A89")</f>
        <v>CSK3E13,SWM9A89</v>
      </c>
      <c r="G211" s="238">
        <f>IFERROR(__xludf.DUMMYFUNCTION("""COMPUTED_VALUE"""),45973.979166666664)</f>
        <v>45973.97917</v>
      </c>
      <c r="H211" s="238">
        <f>IFERROR(__xludf.DUMMYFUNCTION("""COMPUTED_VALUE"""),45974.0625)</f>
        <v>45974.0625</v>
      </c>
      <c r="I211" s="237" t="str">
        <f t="shared" si="1"/>
        <v>Fora</v>
      </c>
      <c r="J211" s="239">
        <v>119.00000000023283</v>
      </c>
    </row>
    <row r="212">
      <c r="A212" s="234" t="s">
        <v>1923</v>
      </c>
      <c r="B212" s="234" t="str">
        <f>IFERROR(__xludf.DUMMYFUNCTION("""COMPUTED_VALUE"""),"LM Hub_SP_Araraquara")</f>
        <v>LM Hub_SP_Araraquara</v>
      </c>
      <c r="C212" s="234" t="str">
        <f>IFERROR(__xludf.DUMMYFUNCTION("""COMPUTED_VALUE"""),"HUB-LSP-29")</f>
        <v>HUB-LSP-29</v>
      </c>
      <c r="D212" s="234">
        <f>IFERROR(__xludf.DUMMYFUNCTION("""COMPUTED_VALUE"""),12.0)</f>
        <v>12</v>
      </c>
      <c r="E212" s="237" t="str">
        <f>IFERROR(__xludf.DUMMYFUNCTION("""COMPUTED_VALUE"""),"LT0PBC01R8GD1")</f>
        <v>LT0PBC01R8GD1</v>
      </c>
      <c r="F212" s="238" t="str">
        <f>IFERROR(__xludf.DUMMYFUNCTION("""COMPUTED_VALUE"""),"EWJ2H21")</f>
        <v>EWJ2H21</v>
      </c>
      <c r="G212" s="238">
        <f>IFERROR(__xludf.DUMMYFUNCTION("""COMPUTED_VALUE"""),45973.97986111111)</f>
        <v>45973.97986</v>
      </c>
      <c r="H212" s="238">
        <f>IFERROR(__xludf.DUMMYFUNCTION("""COMPUTED_VALUE"""),45974.0625)</f>
        <v>45974.0625</v>
      </c>
      <c r="I212" s="237" t="str">
        <f t="shared" si="1"/>
        <v>Fora</v>
      </c>
      <c r="J212" s="239">
        <v>119.00000000023283</v>
      </c>
    </row>
    <row r="213">
      <c r="A213" s="234" t="s">
        <v>1924</v>
      </c>
      <c r="B213" s="234" t="str">
        <f>IFERROR(__xludf.DUMMYFUNCTION("""COMPUTED_VALUE"""),"LM Hub_SP_Várzea Paulista")</f>
        <v>LM Hub_SP_Várzea Paulista</v>
      </c>
      <c r="C213" s="234" t="str">
        <f>IFERROR(__xludf.DUMMYFUNCTION("""COMPUTED_VALUE"""),"HUB-LSP-61")</f>
        <v>HUB-LSP-61</v>
      </c>
      <c r="D213" s="234">
        <f>IFERROR(__xludf.DUMMYFUNCTION("""COMPUTED_VALUE"""),13.0)</f>
        <v>13</v>
      </c>
      <c r="E213" s="237" t="str">
        <f>IFERROR(__xludf.DUMMYFUNCTION("""COMPUTED_VALUE"""),"LT0PBC01R8FG1")</f>
        <v>LT0PBC01R8FG1</v>
      </c>
      <c r="F213" s="238" t="str">
        <f>IFERROR(__xludf.DUMMYFUNCTION("""COMPUTED_VALUE"""),"RJG8E37,BTB3E49")</f>
        <v>RJG8E37,BTB3E49</v>
      </c>
      <c r="G213" s="238">
        <f>IFERROR(__xludf.DUMMYFUNCTION("""COMPUTED_VALUE"""),45973.97986111111)</f>
        <v>45973.97986</v>
      </c>
      <c r="H213" s="238">
        <f>IFERROR(__xludf.DUMMYFUNCTION("""COMPUTED_VALUE"""),45974.0625)</f>
        <v>45974.0625</v>
      </c>
      <c r="I213" s="237" t="str">
        <f t="shared" si="1"/>
        <v>Fora</v>
      </c>
      <c r="J213" s="239">
        <v>117.9999999969732</v>
      </c>
    </row>
    <row r="214">
      <c r="A214" s="234" t="s">
        <v>1925</v>
      </c>
      <c r="B214" s="234" t="str">
        <f>IFERROR(__xludf.DUMMYFUNCTION("""COMPUTED_VALUE"""),"LM Hub_SP_Jundiaí")</f>
        <v>LM Hub_SP_Jundiaí</v>
      </c>
      <c r="C214" s="234" t="str">
        <f>IFERROR(__xludf.DUMMYFUNCTION("""COMPUTED_VALUE"""),"HUB-LSP-20")</f>
        <v>HUB-LSP-20</v>
      </c>
      <c r="D214" s="234">
        <f>IFERROR(__xludf.DUMMYFUNCTION("""COMPUTED_VALUE"""),8.0)</f>
        <v>8</v>
      </c>
      <c r="E214" s="237" t="str">
        <f>IFERROR(__xludf.DUMMYFUNCTION("""COMPUTED_VALUE"""),"LT0PBC01R8GN1")</f>
        <v>LT0PBC01R8GN1</v>
      </c>
      <c r="F214" s="238" t="str">
        <f>IFERROR(__xludf.DUMMYFUNCTION("""COMPUTED_VALUE"""),"PCW9A46")</f>
        <v>PCW9A46</v>
      </c>
      <c r="G214" s="238">
        <f>IFERROR(__xludf.DUMMYFUNCTION("""COMPUTED_VALUE"""),45973.98055555556)</f>
        <v>45973.98056</v>
      </c>
      <c r="H214" s="238">
        <f>IFERROR(__xludf.DUMMYFUNCTION("""COMPUTED_VALUE"""),45974.0625)</f>
        <v>45974.0625</v>
      </c>
      <c r="I214" s="237" t="str">
        <f t="shared" si="1"/>
        <v>Fora</v>
      </c>
      <c r="J214" s="239">
        <v>360.0</v>
      </c>
    </row>
    <row r="215">
      <c r="A215" s="234" t="s">
        <v>1926</v>
      </c>
      <c r="B215" s="234" t="str">
        <f>IFERROR(__xludf.DUMMYFUNCTION("""COMPUTED_VALUE"""),"SoC_BA_Simoes Filho")</f>
        <v>SoC_BA_Simoes Filho</v>
      </c>
      <c r="C215" s="234" t="str">
        <f>IFERROR(__xludf.DUMMYFUNCTION("""COMPUTED_VALUE"""),"SOC-BA2")</f>
        <v>SOC-BA2</v>
      </c>
      <c r="D215" s="234">
        <f>IFERROR(__xludf.DUMMYFUNCTION("""COMPUTED_VALUE"""),37.0)</f>
        <v>37</v>
      </c>
      <c r="E215" s="237" t="str">
        <f>IFERROR(__xludf.DUMMYFUNCTION("""COMPUTED_VALUE"""),"LT0PBC01RFPK1")</f>
        <v>LT0PBC01RFPK1</v>
      </c>
      <c r="F215" s="238" t="str">
        <f>IFERROR(__xludf.DUMMYFUNCTION("""COMPUTED_VALUE"""),"RXZ0C04,SJE8H43")</f>
        <v>RXZ0C04,SJE8H43</v>
      </c>
      <c r="G215" s="238">
        <f>IFERROR(__xludf.DUMMYFUNCTION("""COMPUTED_VALUE"""),45973.833333333336)</f>
        <v>45973.83333</v>
      </c>
      <c r="H215" s="238">
        <f>IFERROR(__xludf.DUMMYFUNCTION("""COMPUTED_VALUE"""),45974.083333333336)</f>
        <v>45974.08333</v>
      </c>
      <c r="I215" s="237" t="str">
        <f t="shared" si="1"/>
        <v>Fora</v>
      </c>
      <c r="J215" s="239">
        <v>239.0000000037253</v>
      </c>
    </row>
    <row r="216">
      <c r="A216" s="234" t="s">
        <v>1927</v>
      </c>
      <c r="B216" s="234" t="str">
        <f>IFERROR(__xludf.DUMMYFUNCTION("""COMPUTED_VALUE"""),"SoC_SP_Cravinhos")</f>
        <v>SoC_SP_Cravinhos</v>
      </c>
      <c r="C216" s="234" t="str">
        <f>IFERROR(__xludf.DUMMYFUNCTION("""COMPUTED_VALUE"""),"SOC-SP5")</f>
        <v>SOC-SP5</v>
      </c>
      <c r="D216" s="234">
        <f>IFERROR(__xludf.DUMMYFUNCTION("""COMPUTED_VALUE"""),24.0)</f>
        <v>24</v>
      </c>
      <c r="E216" s="237" t="str">
        <f>IFERROR(__xludf.DUMMYFUNCTION("""COMPUTED_VALUE"""),"LT0PBC01R89Y1")</f>
        <v>LT0PBC01R89Y1</v>
      </c>
      <c r="F216" s="238" t="str">
        <f>IFERROR(__xludf.DUMMYFUNCTION("""COMPUTED_VALUE"""),"EVD4B19,EVW7D14")</f>
        <v>EVD4B19,EVW7D14</v>
      </c>
      <c r="G216" s="238">
        <f>IFERROR(__xludf.DUMMYFUNCTION("""COMPUTED_VALUE"""),45973.959027777775)</f>
        <v>45973.95903</v>
      </c>
      <c r="H216" s="238">
        <f>IFERROR(__xludf.DUMMYFUNCTION("""COMPUTED_VALUE"""),45974.125)</f>
        <v>45974.125</v>
      </c>
      <c r="I216" s="237" t="str">
        <f t="shared" si="1"/>
        <v>Fora</v>
      </c>
      <c r="J216" s="239">
        <v>239.0000000037253</v>
      </c>
    </row>
    <row r="217">
      <c r="A217" s="234" t="s">
        <v>1928</v>
      </c>
      <c r="B217" s="234" t="str">
        <f>IFERROR(__xludf.DUMMYFUNCTION("""COMPUTED_VALUE"""),"SoC_SP_Cravinhos")</f>
        <v>SoC_SP_Cravinhos</v>
      </c>
      <c r="C217" s="234" t="str">
        <f>IFERROR(__xludf.DUMMYFUNCTION("""COMPUTED_VALUE"""),"SOC-SP5")</f>
        <v>SOC-SP5</v>
      </c>
      <c r="D217" s="234">
        <f>IFERROR(__xludf.DUMMYFUNCTION("""COMPUTED_VALUE"""),29.0)</f>
        <v>29</v>
      </c>
      <c r="E217" s="237" t="str">
        <f>IFERROR(__xludf.DUMMYFUNCTION("""COMPUTED_VALUE"""),"LT0PBC01R8A32")</f>
        <v>LT0PBC01R8A32</v>
      </c>
      <c r="F217" s="238" t="str">
        <f>IFERROR(__xludf.DUMMYFUNCTION("""COMPUTED_VALUE"""),"AXN2F93,ITS0A71")</f>
        <v>AXN2F93,ITS0A71</v>
      </c>
      <c r="G217" s="238">
        <f>IFERROR(__xludf.DUMMYFUNCTION("""COMPUTED_VALUE"""),45973.959027777775)</f>
        <v>45973.95903</v>
      </c>
      <c r="H217" s="238">
        <f>IFERROR(__xludf.DUMMYFUNCTION("""COMPUTED_VALUE"""),45974.125)</f>
        <v>45974.125</v>
      </c>
      <c r="I217" s="237" t="str">
        <f t="shared" si="1"/>
        <v>Fora</v>
      </c>
      <c r="J217" s="239">
        <v>120.00000000349246</v>
      </c>
    </row>
    <row r="218">
      <c r="A218" s="234" t="s">
        <v>1929</v>
      </c>
      <c r="B218" s="234" t="str">
        <f>IFERROR(__xludf.DUMMYFUNCTION("""COMPUTED_VALUE"""),"SoC_BA_Simoes Filho")</f>
        <v>SoC_BA_Simoes Filho</v>
      </c>
      <c r="C218" s="234" t="str">
        <f>IFERROR(__xludf.DUMMYFUNCTION("""COMPUTED_VALUE"""),"SOC-BA2")</f>
        <v>SOC-BA2</v>
      </c>
      <c r="D218" s="234">
        <f>IFERROR(__xludf.DUMMYFUNCTION("""COMPUTED_VALUE"""),15.0)</f>
        <v>15</v>
      </c>
      <c r="E218" s="237" t="str">
        <f>IFERROR(__xludf.DUMMYFUNCTION("""COMPUTED_VALUE"""),"LT1PBD01RQ5W1")</f>
        <v>LT1PBD01RQ5W1</v>
      </c>
      <c r="F218" s="238" t="str">
        <f>IFERROR(__xludf.DUMMYFUNCTION("""COMPUTED_VALUE"""),"EVU4A31,NVX3I41")</f>
        <v>EVU4A31,NVX3I41</v>
      </c>
      <c r="G218" s="238">
        <f>IFERROR(__xludf.DUMMYFUNCTION("""COMPUTED_VALUE"""),45974.041666666664)</f>
        <v>45974.04167</v>
      </c>
      <c r="H218" s="238">
        <f>IFERROR(__xludf.DUMMYFUNCTION("""COMPUTED_VALUE"""),45974.125)</f>
        <v>45974.125</v>
      </c>
      <c r="I218" s="237" t="str">
        <f t="shared" si="1"/>
        <v>Fora</v>
      </c>
      <c r="J218" s="239">
        <v>120.00000000349246</v>
      </c>
    </row>
    <row r="219">
      <c r="A219" s="234" t="s">
        <v>1930</v>
      </c>
      <c r="B219" s="234" t="str">
        <f>IFERROR(__xludf.DUMMYFUNCTION("""COMPUTED_VALUE"""),"SoC_PR_Curitiba")</f>
        <v>SoC_PR_Curitiba</v>
      </c>
      <c r="C219" s="234" t="str">
        <f>IFERROR(__xludf.DUMMYFUNCTION("""COMPUTED_VALUE"""),"SOC-PR1")</f>
        <v>SOC-PR1</v>
      </c>
      <c r="D219" s="234"/>
      <c r="E219" s="237" t="str">
        <f>IFERROR(__xludf.DUMMYFUNCTION("""COMPUTED_VALUE"""),"LT1PBD01RQ5U1")</f>
        <v>LT1PBD01RQ5U1</v>
      </c>
      <c r="F219" s="238" t="str">
        <f>IFERROR(__xludf.DUMMYFUNCTION("""COMPUTED_VALUE"""),"-")</f>
        <v>-</v>
      </c>
      <c r="G219" s="238">
        <f>IFERROR(__xludf.DUMMYFUNCTION("""COMPUTED_VALUE"""),45974.041666666664)</f>
        <v>45974.04167</v>
      </c>
      <c r="H219" s="238">
        <f>IFERROR(__xludf.DUMMYFUNCTION("""COMPUTED_VALUE"""),45974.125)</f>
        <v>45974.125</v>
      </c>
      <c r="I219" s="237" t="str">
        <f t="shared" si="1"/>
        <v>Fora</v>
      </c>
      <c r="J219" s="239">
        <v>120.00000000349246</v>
      </c>
    </row>
    <row r="220">
      <c r="A220" s="234" t="s">
        <v>1931</v>
      </c>
      <c r="B220" s="234" t="str">
        <f>IFERROR(__xludf.DUMMYFUNCTION("""COMPUTED_VALUE"""),"SoC_SP_Santana")</f>
        <v>SoC_SP_Santana</v>
      </c>
      <c r="C220" s="234" t="str">
        <f>IFERROR(__xludf.DUMMYFUNCTION("""COMPUTED_VALUE"""),"SOC-SP2")</f>
        <v>SOC-SP2</v>
      </c>
      <c r="D220" s="234">
        <f>IFERROR(__xludf.DUMMYFUNCTION("""COMPUTED_VALUE"""),17.0)</f>
        <v>17</v>
      </c>
      <c r="E220" s="237" t="str">
        <f>IFERROR(__xludf.DUMMYFUNCTION("""COMPUTED_VALUE"""),"LT0PBC01RJ1P1")</f>
        <v>LT0PBC01RJ1P1</v>
      </c>
      <c r="F220" s="238" t="str">
        <f>IFERROR(__xludf.DUMMYFUNCTION("""COMPUTED_VALUE"""),"EFU9C99,IND2879")</f>
        <v>EFU9C99,IND2879</v>
      </c>
      <c r="G220" s="238">
        <f>IFERROR(__xludf.DUMMYFUNCTION("""COMPUTED_VALUE"""),45974.041666666664)</f>
        <v>45974.04167</v>
      </c>
      <c r="H220" s="238">
        <f>IFERROR(__xludf.DUMMYFUNCTION("""COMPUTED_VALUE"""),45974.125)</f>
        <v>45974.125</v>
      </c>
      <c r="I220" s="237" t="str">
        <f t="shared" si="1"/>
        <v>Fora</v>
      </c>
      <c r="J220" s="239">
        <v>120.00000000349246</v>
      </c>
    </row>
    <row r="221">
      <c r="A221" s="234" t="s">
        <v>1932</v>
      </c>
      <c r="B221" s="234" t="str">
        <f>IFERROR(__xludf.DUMMYFUNCTION("""COMPUTED_VALUE"""),"SoC_SP_Santana")</f>
        <v>SoC_SP_Santana</v>
      </c>
      <c r="C221" s="234" t="str">
        <f>IFERROR(__xludf.DUMMYFUNCTION("""COMPUTED_VALUE"""),"SOC-SP2")</f>
        <v>SOC-SP2</v>
      </c>
      <c r="D221" s="234">
        <f>IFERROR(__xludf.DUMMYFUNCTION("""COMPUTED_VALUE"""),18.0)</f>
        <v>18</v>
      </c>
      <c r="E221" s="237" t="str">
        <f>IFERROR(__xludf.DUMMYFUNCTION("""COMPUTED_VALUE"""),"LT0PBC01R8WO1")</f>
        <v>LT0PBC01R8WO1</v>
      </c>
      <c r="F221" s="238" t="str">
        <f>IFERROR(__xludf.DUMMYFUNCTION("""COMPUTED_VALUE"""),"FTL6918,EHH5424")</f>
        <v>FTL6918,EHH5424</v>
      </c>
      <c r="G221" s="238">
        <f>IFERROR(__xludf.DUMMYFUNCTION("""COMPUTED_VALUE"""),45974.041666666664)</f>
        <v>45974.04167</v>
      </c>
      <c r="H221" s="238">
        <f>IFERROR(__xludf.DUMMYFUNCTION("""COMPUTED_VALUE"""),45974.125)</f>
        <v>45974.125</v>
      </c>
      <c r="I221" s="237" t="str">
        <f t="shared" si="1"/>
        <v>Fora</v>
      </c>
      <c r="J221" s="239">
        <v>239.99999999650754</v>
      </c>
    </row>
    <row r="222">
      <c r="A222" s="234" t="s">
        <v>1933</v>
      </c>
      <c r="B222" s="234" t="str">
        <f>IFERROR(__xludf.DUMMYFUNCTION("""COMPUTED_VALUE"""),"SoC_RJ_Duque de Caxias")</f>
        <v>SoC_RJ_Duque de Caxias</v>
      </c>
      <c r="C222" s="234" t="str">
        <f>IFERROR(__xludf.DUMMYFUNCTION("""COMPUTED_VALUE"""),"SOC-RJ2")</f>
        <v>SOC-RJ2</v>
      </c>
      <c r="D222" s="234">
        <f>IFERROR(__xludf.DUMMYFUNCTION("""COMPUTED_VALUE"""),36.0)</f>
        <v>36</v>
      </c>
      <c r="E222" s="237" t="str">
        <f>IFERROR(__xludf.DUMMYFUNCTION("""COMPUTED_VALUE"""),"LT0PBC01RJDU1")</f>
        <v>LT0PBC01RJDU1</v>
      </c>
      <c r="F222" s="238" t="str">
        <f>IFERROR(__xludf.DUMMYFUNCTION("""COMPUTED_VALUE"""),"MQN6H61,EZL3A06")</f>
        <v>MQN6H61,EZL3A06</v>
      </c>
      <c r="G222" s="238">
        <f>IFERROR(__xludf.DUMMYFUNCTION("""COMPUTED_VALUE"""),45974.0)</f>
        <v>45974</v>
      </c>
      <c r="H222" s="238">
        <f>IFERROR(__xludf.DUMMYFUNCTION("""COMPUTED_VALUE"""),45974.166666666664)</f>
        <v>45974.16667</v>
      </c>
      <c r="I222" s="237" t="str">
        <f t="shared" si="1"/>
        <v>Fora</v>
      </c>
      <c r="J222" s="239">
        <v>119.99999999301508</v>
      </c>
    </row>
    <row r="223">
      <c r="A223" s="234" t="s">
        <v>1934</v>
      </c>
      <c r="B223" s="234" t="str">
        <f>IFERROR(__xludf.DUMMYFUNCTION("""COMPUTED_VALUE"""),"SoC_GO_Goiânia_02")</f>
        <v>SoC_GO_Goiânia_02</v>
      </c>
      <c r="C223" s="234" t="str">
        <f>IFERROR(__xludf.DUMMYFUNCTION("""COMPUTED_VALUE"""),"SOC-GO2")</f>
        <v>SOC-GO2</v>
      </c>
      <c r="D223" s="234">
        <f>IFERROR(__xludf.DUMMYFUNCTION("""COMPUTED_VALUE"""),16.0)</f>
        <v>16</v>
      </c>
      <c r="E223" s="237" t="str">
        <f>IFERROR(__xludf.DUMMYFUNCTION("""COMPUTED_VALUE"""),"LT0PBC01RFYM1")</f>
        <v>LT0PBC01RFYM1</v>
      </c>
      <c r="F223" s="238" t="str">
        <f>IFERROR(__xludf.DUMMYFUNCTION("""COMPUTED_VALUE"""),"JSA6G85,IRK0F71")</f>
        <v>JSA6G85,IRK0F71</v>
      </c>
      <c r="G223" s="238">
        <f>IFERROR(__xludf.DUMMYFUNCTION("""COMPUTED_VALUE"""),45974.083333333336)</f>
        <v>45974.08333</v>
      </c>
      <c r="H223" s="238">
        <f>IFERROR(__xludf.DUMMYFUNCTION("""COMPUTED_VALUE"""),45974.166666666664)</f>
        <v>45974.16667</v>
      </c>
      <c r="I223" s="237" t="str">
        <f t="shared" si="1"/>
        <v>Fora</v>
      </c>
      <c r="J223" s="239">
        <v>119.99999999301508</v>
      </c>
    </row>
    <row r="224">
      <c r="A224" s="234" t="s">
        <v>1935</v>
      </c>
      <c r="B224" s="234" t="str">
        <f>IFERROR(__xludf.DUMMYFUNCTION("""COMPUTED_VALUE"""),"SoC_PE_Jaboatão dos Guararapes")</f>
        <v>SoC_PE_Jaboatão dos Guararapes</v>
      </c>
      <c r="C224" s="234" t="str">
        <f>IFERROR(__xludf.DUMMYFUNCTION("""COMPUTED_VALUE"""),"SOC-PE2")</f>
        <v>SOC-PE2</v>
      </c>
      <c r="D224" s="234">
        <f>IFERROR(__xludf.DUMMYFUNCTION("""COMPUTED_VALUE"""),27.0)</f>
        <v>27</v>
      </c>
      <c r="E224" s="237" t="str">
        <f>IFERROR(__xludf.DUMMYFUNCTION("""COMPUTED_VALUE"""),"LT0PBC01RFKJ1")</f>
        <v>LT0PBC01RFKJ1</v>
      </c>
      <c r="F224" s="238" t="str">
        <f>IFERROR(__xludf.DUMMYFUNCTION("""COMPUTED_VALUE"""),"RHF5F29,AUY7090")</f>
        <v>RHF5F29,AUY7090</v>
      </c>
      <c r="G224" s="238">
        <f>IFERROR(__xludf.DUMMYFUNCTION("""COMPUTED_VALUE"""),45974.083333333336)</f>
        <v>45974.08333</v>
      </c>
      <c r="H224" s="238">
        <f>IFERROR(__xludf.DUMMYFUNCTION("""COMPUTED_VALUE"""),45974.166666666664)</f>
        <v>45974.16667</v>
      </c>
      <c r="I224" s="237" t="str">
        <f t="shared" si="1"/>
        <v>Fora</v>
      </c>
      <c r="J224" s="239">
        <v>119.99999999301508</v>
      </c>
    </row>
    <row r="225">
      <c r="A225" s="234" t="s">
        <v>1936</v>
      </c>
      <c r="B225" s="234" t="str">
        <f>IFERROR(__xludf.DUMMYFUNCTION("""COMPUTED_VALUE"""),"SoC_PR_Curitiba")</f>
        <v>SoC_PR_Curitiba</v>
      </c>
      <c r="C225" s="234" t="str">
        <f>IFERROR(__xludf.DUMMYFUNCTION("""COMPUTED_VALUE"""),"SOC-PR1")</f>
        <v>SOC-PR1</v>
      </c>
      <c r="D225" s="234">
        <f>IFERROR(__xludf.DUMMYFUNCTION("""COMPUTED_VALUE"""),27.0)</f>
        <v>27</v>
      </c>
      <c r="E225" s="237" t="str">
        <f>IFERROR(__xludf.DUMMYFUNCTION("""COMPUTED_VALUE"""),"LT0PBC01R88S1")</f>
        <v>LT0PBC01R88S1</v>
      </c>
      <c r="F225" s="238" t="str">
        <f>IFERROR(__xludf.DUMMYFUNCTION("""COMPUTED_VALUE"""),"TJR4G15,TJU8A14")</f>
        <v>TJR4G15,TJU8A14</v>
      </c>
      <c r="G225" s="238">
        <f>IFERROR(__xludf.DUMMYFUNCTION("""COMPUTED_VALUE"""),45974.083333333336)</f>
        <v>45974.08333</v>
      </c>
      <c r="H225" s="238">
        <f>IFERROR(__xludf.DUMMYFUNCTION("""COMPUTED_VALUE"""),45974.166666666664)</f>
        <v>45974.16667</v>
      </c>
      <c r="I225" s="237" t="str">
        <f t="shared" si="1"/>
        <v>Fora</v>
      </c>
      <c r="J225" s="239">
        <v>119.00000000023283</v>
      </c>
    </row>
    <row r="226">
      <c r="A226" s="234" t="s">
        <v>1937</v>
      </c>
      <c r="B226" s="234" t="str">
        <f>IFERROR(__xludf.DUMMYFUNCTION("""COMPUTED_VALUE"""),"LM Hub_SP_Tatuí")</f>
        <v>LM Hub_SP_Tatuí</v>
      </c>
      <c r="C226" s="234" t="str">
        <f>IFERROR(__xludf.DUMMYFUNCTION("""COMPUTED_VALUE"""),"HUB-LSP-51")</f>
        <v>HUB-LSP-51</v>
      </c>
      <c r="D226" s="234">
        <f>IFERROR(__xludf.DUMMYFUNCTION("""COMPUTED_VALUE"""),7.0)</f>
        <v>7</v>
      </c>
      <c r="E226" s="237" t="str">
        <f>IFERROR(__xludf.DUMMYFUNCTION("""COMPUTED_VALUE"""),"LT0PBD01R8CY1")</f>
        <v>LT0PBD01R8CY1</v>
      </c>
      <c r="F226" s="238" t="str">
        <f>IFERROR(__xludf.DUMMYFUNCTION("""COMPUTED_VALUE"""),"FLO1G76")</f>
        <v>FLO1G76</v>
      </c>
      <c r="G226" s="238">
        <f>IFERROR(__xludf.DUMMYFUNCTION("""COMPUTED_VALUE"""),45974.084027777775)</f>
        <v>45974.08403</v>
      </c>
      <c r="H226" s="238">
        <f>IFERROR(__xludf.DUMMYFUNCTION("""COMPUTED_VALUE"""),45974.166666666664)</f>
        <v>45974.16667</v>
      </c>
      <c r="I226" s="237" t="str">
        <f t="shared" si="1"/>
        <v>Fora</v>
      </c>
      <c r="J226" s="239">
        <v>117.9999999969732</v>
      </c>
    </row>
    <row r="227">
      <c r="A227" s="234" t="s">
        <v>1938</v>
      </c>
      <c r="B227" s="234" t="str">
        <f>IFERROR(__xludf.DUMMYFUNCTION("""COMPUTED_VALUE"""),"SoC_MG_Betim")</f>
        <v>SoC_MG_Betim</v>
      </c>
      <c r="C227" s="234" t="str">
        <f>IFERROR(__xludf.DUMMYFUNCTION("""COMPUTED_VALUE"""),"SOC-MG2")</f>
        <v>SOC-MG2</v>
      </c>
      <c r="D227" s="234"/>
      <c r="E227" s="237" t="str">
        <f>IFERROR(__xludf.DUMMYFUNCTION("""COMPUTED_VALUE"""),"LT0PBC01R87X1")</f>
        <v>LT0PBC01R87X1</v>
      </c>
      <c r="F227" s="238" t="str">
        <f>IFERROR(__xludf.DUMMYFUNCTION("""COMPUTED_VALUE"""),"SWQ6D05,SWG3J97")</f>
        <v>SWQ6D05,SWG3J97</v>
      </c>
      <c r="G227" s="238">
        <f>IFERROR(__xludf.DUMMYFUNCTION("""COMPUTED_VALUE"""),45974.08472222222)</f>
        <v>45974.08472</v>
      </c>
      <c r="H227" s="238">
        <f>IFERROR(__xludf.DUMMYFUNCTION("""COMPUTED_VALUE"""),45974.166666666664)</f>
        <v>45974.16667</v>
      </c>
      <c r="I227" s="237" t="str">
        <f t="shared" si="1"/>
        <v>Fora</v>
      </c>
      <c r="J227" s="239">
        <v>59.99999999650754</v>
      </c>
    </row>
    <row r="228">
      <c r="A228" s="234" t="s">
        <v>1939</v>
      </c>
      <c r="B228" s="234" t="str">
        <f>IFERROR(__xludf.DUMMYFUNCTION("""COMPUTED_VALUE"""),"LM Hub_MG_Varginha_Fausto")</f>
        <v>LM Hub_MG_Varginha_Fausto</v>
      </c>
      <c r="C228" s="234" t="str">
        <f>IFERROR(__xludf.DUMMYFUNCTION("""COMPUTED_VALUE"""),"HUB-LMG-45")</f>
        <v>HUB-LMG-45</v>
      </c>
      <c r="D228" s="234">
        <f>IFERROR(__xludf.DUMMYFUNCTION("""COMPUTED_VALUE"""),12.0)</f>
        <v>12</v>
      </c>
      <c r="E228" s="237" t="str">
        <f>IFERROR(__xludf.DUMMYFUNCTION("""COMPUTED_VALUE"""),"LT0PBD01RF9C1")</f>
        <v>LT0PBD01RF9C1</v>
      </c>
      <c r="F228" s="238" t="str">
        <f>IFERROR(__xludf.DUMMYFUNCTION("""COMPUTED_VALUE"""),"FRT3I49")</f>
        <v>FRT3I49</v>
      </c>
      <c r="G228" s="238">
        <f>IFERROR(__xludf.DUMMYFUNCTION("""COMPUTED_VALUE"""),45974.145833333336)</f>
        <v>45974.14583</v>
      </c>
      <c r="H228" s="238">
        <f>IFERROR(__xludf.DUMMYFUNCTION("""COMPUTED_VALUE"""),45974.1875)</f>
        <v>45974.1875</v>
      </c>
      <c r="I228" s="237" t="str">
        <f t="shared" si="1"/>
        <v>Fora</v>
      </c>
      <c r="J228" s="239">
        <v>59.99999999650754</v>
      </c>
    </row>
    <row r="229">
      <c r="A229" s="234" t="s">
        <v>1940</v>
      </c>
      <c r="B229" s="234" t="str">
        <f>IFERROR(__xludf.DUMMYFUNCTION("""COMPUTED_VALUE"""),"LM Hub_SP_São Carlos")</f>
        <v>LM Hub_SP_São Carlos</v>
      </c>
      <c r="C229" s="234" t="str">
        <f>IFERROR(__xludf.DUMMYFUNCTION("""COMPUTED_VALUE"""),"HUB-LSP-31")</f>
        <v>HUB-LSP-31</v>
      </c>
      <c r="D229" s="234">
        <f>IFERROR(__xludf.DUMMYFUNCTION("""COMPUTED_VALUE"""),26.0)</f>
        <v>26</v>
      </c>
      <c r="E229" s="237" t="str">
        <f>IFERROR(__xludf.DUMMYFUNCTION("""COMPUTED_VALUE"""),"LT0PBD01R8FQ1")</f>
        <v>LT0PBD01R8FQ1</v>
      </c>
      <c r="F229" s="238" t="str">
        <f>IFERROR(__xludf.DUMMYFUNCTION("""COMPUTED_VALUE"""),"MYP2D33")</f>
        <v>MYP2D33</v>
      </c>
      <c r="G229" s="238">
        <f>IFERROR(__xludf.DUMMYFUNCTION("""COMPUTED_VALUE"""),45974.145833333336)</f>
        <v>45974.14583</v>
      </c>
      <c r="H229" s="238">
        <f>IFERROR(__xludf.DUMMYFUNCTION("""COMPUTED_VALUE"""),45974.1875)</f>
        <v>45974.1875</v>
      </c>
      <c r="I229" s="237" t="str">
        <f t="shared" si="1"/>
        <v>Fora</v>
      </c>
      <c r="J229" s="239">
        <v>59.00000000372529</v>
      </c>
    </row>
    <row r="230">
      <c r="A230" s="234" t="s">
        <v>1941</v>
      </c>
      <c r="B230" s="234" t="str">
        <f>IFERROR(__xludf.DUMMYFUNCTION("""COMPUTED_VALUE"""),"LM Hub_SP_Itapetininga")</f>
        <v>LM Hub_SP_Itapetininga</v>
      </c>
      <c r="C230" s="234" t="str">
        <f>IFERROR(__xludf.DUMMYFUNCTION("""COMPUTED_VALUE"""),"HUB-LSP-53")</f>
        <v>HUB-LSP-53</v>
      </c>
      <c r="D230" s="234">
        <f>IFERROR(__xludf.DUMMYFUNCTION("""COMPUTED_VALUE"""),16.0)</f>
        <v>16</v>
      </c>
      <c r="E230" s="237" t="str">
        <f>IFERROR(__xludf.DUMMYFUNCTION("""COMPUTED_VALUE"""),"LT0PBD01R8CR1")</f>
        <v>LT0PBD01R8CR1</v>
      </c>
      <c r="F230" s="238" t="str">
        <f>IFERROR(__xludf.DUMMYFUNCTION("""COMPUTED_VALUE"""),"FLQ1E34")</f>
        <v>FLQ1E34</v>
      </c>
      <c r="G230" s="238">
        <f>IFERROR(__xludf.DUMMYFUNCTION("""COMPUTED_VALUE"""),45974.146527777775)</f>
        <v>45974.14653</v>
      </c>
      <c r="H230" s="238">
        <f>IFERROR(__xludf.DUMMYFUNCTION("""COMPUTED_VALUE"""),45974.1875)</f>
        <v>45974.1875</v>
      </c>
      <c r="I230" s="237" t="str">
        <f t="shared" si="1"/>
        <v>Fora</v>
      </c>
      <c r="J230" s="239">
        <v>420.0000000069849</v>
      </c>
    </row>
    <row r="231">
      <c r="A231" s="234" t="s">
        <v>1942</v>
      </c>
      <c r="B231" s="234" t="str">
        <f>IFERROR(__xludf.DUMMYFUNCTION("""COMPUTED_VALUE"""),"SoC_RS_Gravataí_02")</f>
        <v>SoC_RS_Gravataí_02</v>
      </c>
      <c r="C231" s="234" t="str">
        <f>IFERROR(__xludf.DUMMYFUNCTION("""COMPUTED_VALUE"""),"SOC-RS2")</f>
        <v>SOC-RS2</v>
      </c>
      <c r="D231" s="234">
        <f>IFERROR(__xludf.DUMMYFUNCTION("""COMPUTED_VALUE"""),23.0)</f>
        <v>23</v>
      </c>
      <c r="E231" s="237" t="str">
        <f>IFERROR(__xludf.DUMMYFUNCTION("""COMPUTED_VALUE"""),"LT1PBC01RPN11")</f>
        <v>LT1PBC01RPN11</v>
      </c>
      <c r="F231" s="238" t="str">
        <f>IFERROR(__xludf.DUMMYFUNCTION("""COMPUTED_VALUE"""),"GDD7C71,UFC3F53")</f>
        <v>GDD7C71,UFC3F53</v>
      </c>
      <c r="G231" s="238">
        <f>IFERROR(__xludf.DUMMYFUNCTION("""COMPUTED_VALUE"""),45973.916666666664)</f>
        <v>45973.91667</v>
      </c>
      <c r="H231" s="238">
        <f>IFERROR(__xludf.DUMMYFUNCTION("""COMPUTED_VALUE"""),45974.208333333336)</f>
        <v>45974.20833</v>
      </c>
      <c r="I231" s="237" t="str">
        <f t="shared" si="1"/>
        <v>Fora</v>
      </c>
      <c r="J231" s="239">
        <v>360.0</v>
      </c>
    </row>
    <row r="232">
      <c r="A232" s="234" t="s">
        <v>1943</v>
      </c>
      <c r="B232" s="234" t="str">
        <f>IFERROR(__xludf.DUMMYFUNCTION("""COMPUTED_VALUE"""),"SoC_PE_Jaboatão dos Guararapes")</f>
        <v>SoC_PE_Jaboatão dos Guararapes</v>
      </c>
      <c r="C232" s="234" t="str">
        <f>IFERROR(__xludf.DUMMYFUNCTION("""COMPUTED_VALUE"""),"SOC-PE2")</f>
        <v>SOC-PE2</v>
      </c>
      <c r="D232" s="234"/>
      <c r="E232" s="237" t="str">
        <f>IFERROR(__xludf.DUMMYFUNCTION("""COMPUTED_VALUE"""),"LT1PBC01RPMU1")</f>
        <v>LT1PBC01RPMU1</v>
      </c>
      <c r="F232" s="238" t="str">
        <f>IFERROR(__xludf.DUMMYFUNCTION("""COMPUTED_VALUE"""),"-")</f>
        <v>-</v>
      </c>
      <c r="G232" s="238">
        <f>IFERROR(__xludf.DUMMYFUNCTION("""COMPUTED_VALUE"""),45973.958333333336)</f>
        <v>45973.95833</v>
      </c>
      <c r="H232" s="238">
        <f>IFERROR(__xludf.DUMMYFUNCTION("""COMPUTED_VALUE"""),45974.208333333336)</f>
        <v>45974.20833</v>
      </c>
      <c r="I232" s="237" t="str">
        <f t="shared" si="1"/>
        <v>Fora</v>
      </c>
      <c r="J232" s="239">
        <v>120.00000000349246</v>
      </c>
    </row>
    <row r="233">
      <c r="A233" s="234" t="s">
        <v>1944</v>
      </c>
      <c r="B233" s="234" t="str">
        <f>IFERROR(__xludf.DUMMYFUNCTION("""COMPUTED_VALUE"""),"SoC_BA_Simoes Filho")</f>
        <v>SoC_BA_Simoes Filho</v>
      </c>
      <c r="C233" s="234" t="str">
        <f>IFERROR(__xludf.DUMMYFUNCTION("""COMPUTED_VALUE"""),"SOC-BA2")</f>
        <v>SOC-BA2</v>
      </c>
      <c r="D233" s="234">
        <f>IFERROR(__xludf.DUMMYFUNCTION("""COMPUTED_VALUE"""),15.0)</f>
        <v>15</v>
      </c>
      <c r="E233" s="237" t="str">
        <f>IFERROR(__xludf.DUMMYFUNCTION("""COMPUTED_VALUE"""),"LT1PBD01RQO71")</f>
        <v>LT1PBD01RQO71</v>
      </c>
      <c r="F233" s="238" t="str">
        <f>IFERROR(__xludf.DUMMYFUNCTION("""COMPUTED_VALUE"""),"RXS2B82,RXK7F21")</f>
        <v>RXS2B82,RXK7F21</v>
      </c>
      <c r="G233" s="238">
        <f>IFERROR(__xludf.DUMMYFUNCTION("""COMPUTED_VALUE"""),45974.125)</f>
        <v>45974.125</v>
      </c>
      <c r="H233" s="238">
        <f>IFERROR(__xludf.DUMMYFUNCTION("""COMPUTED_VALUE"""),45974.208333333336)</f>
        <v>45974.20833</v>
      </c>
      <c r="I233" s="237" t="str">
        <f t="shared" si="1"/>
        <v>Fora</v>
      </c>
      <c r="J233" s="239">
        <v>120.00000000349246</v>
      </c>
    </row>
    <row r="234">
      <c r="A234" s="234" t="s">
        <v>1945</v>
      </c>
      <c r="B234" s="234" t="str">
        <f>IFERROR(__xludf.DUMMYFUNCTION("""COMPUTED_VALUE"""),"SoC_GO_Goiânia_02")</f>
        <v>SoC_GO_Goiânia_02</v>
      </c>
      <c r="C234" s="234" t="str">
        <f>IFERROR(__xludf.DUMMYFUNCTION("""COMPUTED_VALUE"""),"SOC-GO2")</f>
        <v>SOC-GO2</v>
      </c>
      <c r="D234" s="234">
        <f>IFERROR(__xludf.DUMMYFUNCTION("""COMPUTED_VALUE"""),14.0)</f>
        <v>14</v>
      </c>
      <c r="E234" s="237" t="str">
        <f>IFERROR(__xludf.DUMMYFUNCTION("""COMPUTED_VALUE"""),"LT1PBC01RPMX1")</f>
        <v>LT1PBC01RPMX1</v>
      </c>
      <c r="F234" s="238" t="str">
        <f>IFERROR(__xludf.DUMMYFUNCTION("""COMPUTED_VALUE"""),"FXS9D32,AXE7I13")</f>
        <v>FXS9D32,AXE7I13</v>
      </c>
      <c r="G234" s="238">
        <f>IFERROR(__xludf.DUMMYFUNCTION("""COMPUTED_VALUE"""),45974.125)</f>
        <v>45974.125</v>
      </c>
      <c r="H234" s="238">
        <f>IFERROR(__xludf.DUMMYFUNCTION("""COMPUTED_VALUE"""),45974.208333333336)</f>
        <v>45974.20833</v>
      </c>
      <c r="I234" s="237" t="str">
        <f t="shared" si="1"/>
        <v>Fora</v>
      </c>
      <c r="J234" s="239">
        <v>120.00000000349246</v>
      </c>
    </row>
    <row r="235">
      <c r="A235" s="234" t="s">
        <v>1946</v>
      </c>
      <c r="B235" s="234" t="str">
        <f>IFERROR(__xludf.DUMMYFUNCTION("""COMPUTED_VALUE"""),"SoC_MG_Betim")</f>
        <v>SoC_MG_Betim</v>
      </c>
      <c r="C235" s="234" t="str">
        <f>IFERROR(__xludf.DUMMYFUNCTION("""COMPUTED_VALUE"""),"SOC-MG2")</f>
        <v>SOC-MG2</v>
      </c>
      <c r="D235" s="234">
        <f>IFERROR(__xludf.DUMMYFUNCTION("""COMPUTED_VALUE"""),34.0)</f>
        <v>34</v>
      </c>
      <c r="E235" s="237" t="str">
        <f>IFERROR(__xludf.DUMMYFUNCTION("""COMPUTED_VALUE"""),"LT1PBC01RQ5R1")</f>
        <v>LT1PBC01RQ5R1</v>
      </c>
      <c r="F235" s="238" t="str">
        <f>IFERROR(__xludf.DUMMYFUNCTION("""COMPUTED_VALUE"""),"FKO9C92,GIU4A84")</f>
        <v>FKO9C92,GIU4A84</v>
      </c>
      <c r="G235" s="238">
        <f>IFERROR(__xludf.DUMMYFUNCTION("""COMPUTED_VALUE"""),45974.125)</f>
        <v>45974.125</v>
      </c>
      <c r="H235" s="238">
        <f>IFERROR(__xludf.DUMMYFUNCTION("""COMPUTED_VALUE"""),45974.208333333336)</f>
        <v>45974.20833</v>
      </c>
      <c r="I235" s="237" t="str">
        <f t="shared" si="1"/>
        <v>Fora</v>
      </c>
      <c r="J235" s="239">
        <v>120.00000000349246</v>
      </c>
    </row>
    <row r="236">
      <c r="A236" s="234" t="s">
        <v>1947</v>
      </c>
      <c r="B236" s="234" t="str">
        <f>IFERROR(__xludf.DUMMYFUNCTION("""COMPUTED_VALUE"""),"SoC_PE_Jaboatão dos Guararapes")</f>
        <v>SoC_PE_Jaboatão dos Guararapes</v>
      </c>
      <c r="C236" s="234" t="str">
        <f>IFERROR(__xludf.DUMMYFUNCTION("""COMPUTED_VALUE"""),"SOC-PE2")</f>
        <v>SOC-PE2</v>
      </c>
      <c r="D236" s="234">
        <f>IFERROR(__xludf.DUMMYFUNCTION("""COMPUTED_VALUE"""),35.0)</f>
        <v>35</v>
      </c>
      <c r="E236" s="237" t="str">
        <f>IFERROR(__xludf.DUMMYFUNCTION("""COMPUTED_VALUE"""),"LT1PBC01RPMT1")</f>
        <v>LT1PBC01RPMT1</v>
      </c>
      <c r="F236" s="238" t="str">
        <f>IFERROR(__xludf.DUMMYFUNCTION("""COMPUTED_VALUE"""),"KXA7C13,JRN0G33")</f>
        <v>KXA7C13,JRN0G33</v>
      </c>
      <c r="G236" s="238">
        <f>IFERROR(__xludf.DUMMYFUNCTION("""COMPUTED_VALUE"""),45974.125)</f>
        <v>45974.125</v>
      </c>
      <c r="H236" s="238">
        <f>IFERROR(__xludf.DUMMYFUNCTION("""COMPUTED_VALUE"""),45974.208333333336)</f>
        <v>45974.20833</v>
      </c>
      <c r="I236" s="237" t="str">
        <f t="shared" si="1"/>
        <v>Fora</v>
      </c>
      <c r="J236" s="239">
        <v>120.00000000349246</v>
      </c>
    </row>
    <row r="237">
      <c r="A237" s="234" t="s">
        <v>1948</v>
      </c>
      <c r="B237" s="234" t="str">
        <f>IFERROR(__xludf.DUMMYFUNCTION("""COMPUTED_VALUE"""),"SoC_RJ_Duque de Caxias")</f>
        <v>SoC_RJ_Duque de Caxias</v>
      </c>
      <c r="C237" s="234" t="str">
        <f>IFERROR(__xludf.DUMMYFUNCTION("""COMPUTED_VALUE"""),"SOC-RJ2")</f>
        <v>SOC-RJ2</v>
      </c>
      <c r="D237" s="234">
        <f>IFERROR(__xludf.DUMMYFUNCTION("""COMPUTED_VALUE"""),32.0)</f>
        <v>32</v>
      </c>
      <c r="E237" s="237" t="str">
        <f>IFERROR(__xludf.DUMMYFUNCTION("""COMPUTED_VALUE"""),"LT0PBC01RB3Q1")</f>
        <v>LT0PBC01RB3Q1</v>
      </c>
      <c r="F237" s="238" t="str">
        <f>IFERROR(__xludf.DUMMYFUNCTION("""COMPUTED_VALUE"""),"LPR3108,FTA0E26")</f>
        <v>LPR3108,FTA0E26</v>
      </c>
      <c r="G237" s="238">
        <f>IFERROR(__xludf.DUMMYFUNCTION("""COMPUTED_VALUE"""),45974.125)</f>
        <v>45974.125</v>
      </c>
      <c r="H237" s="238">
        <f>IFERROR(__xludf.DUMMYFUNCTION("""COMPUTED_VALUE"""),45974.208333333336)</f>
        <v>45974.20833</v>
      </c>
      <c r="I237" s="237" t="str">
        <f t="shared" si="1"/>
        <v>Fora</v>
      </c>
      <c r="J237" s="239">
        <v>120.00000000349246</v>
      </c>
    </row>
    <row r="238">
      <c r="A238" s="234" t="s">
        <v>1949</v>
      </c>
      <c r="B238" s="234" t="str">
        <f>IFERROR(__xludf.DUMMYFUNCTION("""COMPUTED_VALUE"""),"SoC_RJ_Duque de Caxias")</f>
        <v>SoC_RJ_Duque de Caxias</v>
      </c>
      <c r="C238" s="234" t="str">
        <f>IFERROR(__xludf.DUMMYFUNCTION("""COMPUTED_VALUE"""),"SOC-RJ2")</f>
        <v>SOC-RJ2</v>
      </c>
      <c r="D238" s="234">
        <f>IFERROR(__xludf.DUMMYFUNCTION("""COMPUTED_VALUE"""),5.0)</f>
        <v>5</v>
      </c>
      <c r="E238" s="237" t="str">
        <f>IFERROR(__xludf.DUMMYFUNCTION("""COMPUTED_VALUE"""),"LT0PBC01RB3U3")</f>
        <v>LT0PBC01RB3U3</v>
      </c>
      <c r="F238" s="238" t="str">
        <f>IFERROR(__xludf.DUMMYFUNCTION("""COMPUTED_VALUE"""),"EJZ8E39,EQM4D52")</f>
        <v>EJZ8E39,EQM4D52</v>
      </c>
      <c r="G238" s="238">
        <f>IFERROR(__xludf.DUMMYFUNCTION("""COMPUTED_VALUE"""),45974.125)</f>
        <v>45974.125</v>
      </c>
      <c r="H238" s="238">
        <f>IFERROR(__xludf.DUMMYFUNCTION("""COMPUTED_VALUE"""),45974.208333333336)</f>
        <v>45974.20833</v>
      </c>
      <c r="I238" s="237" t="str">
        <f t="shared" si="1"/>
        <v>Fora</v>
      </c>
      <c r="J238" s="239">
        <v>120.00000000349246</v>
      </c>
    </row>
    <row r="239">
      <c r="A239" s="234" t="s">
        <v>1950</v>
      </c>
      <c r="B239" s="234" t="str">
        <f>IFERROR(__xludf.DUMMYFUNCTION("""COMPUTED_VALUE"""),"SoC_RS_Gravataí_02")</f>
        <v>SoC_RS_Gravataí_02</v>
      </c>
      <c r="C239" s="234" t="str">
        <f>IFERROR(__xludf.DUMMYFUNCTION("""COMPUTED_VALUE"""),"SOC-RS2")</f>
        <v>SOC-RS2</v>
      </c>
      <c r="D239" s="234">
        <f>IFERROR(__xludf.DUMMYFUNCTION("""COMPUTED_VALUE"""),24.0)</f>
        <v>24</v>
      </c>
      <c r="E239" s="237" t="str">
        <f>IFERROR(__xludf.DUMMYFUNCTION("""COMPUTED_VALUE"""),"LT0PBD01RG2U1")</f>
        <v>LT0PBD01RG2U1</v>
      </c>
      <c r="F239" s="238" t="str">
        <f>IFERROR(__xludf.DUMMYFUNCTION("""COMPUTED_VALUE"""),"IYW0J47,JCO2G16")</f>
        <v>IYW0J47,JCO2G16</v>
      </c>
      <c r="G239" s="238">
        <f>IFERROR(__xludf.DUMMYFUNCTION("""COMPUTED_VALUE"""),45974.125)</f>
        <v>45974.125</v>
      </c>
      <c r="H239" s="238">
        <f>IFERROR(__xludf.DUMMYFUNCTION("""COMPUTED_VALUE"""),45974.208333333336)</f>
        <v>45974.20833</v>
      </c>
      <c r="I239" s="237" t="str">
        <f t="shared" si="1"/>
        <v>Fora</v>
      </c>
      <c r="J239" s="239">
        <v>60.00000000698492</v>
      </c>
    </row>
    <row r="240">
      <c r="A240" s="234" t="s">
        <v>1951</v>
      </c>
      <c r="B240" s="234" t="str">
        <f>IFERROR(__xludf.DUMMYFUNCTION("""COMPUTED_VALUE"""),"LM Hub_SP_Itapeva")</f>
        <v>LM Hub_SP_Itapeva</v>
      </c>
      <c r="C240" s="234" t="str">
        <f>IFERROR(__xludf.DUMMYFUNCTION("""COMPUTED_VALUE"""),"HUB-LSP-39")</f>
        <v>HUB-LSP-39</v>
      </c>
      <c r="D240" s="234">
        <f>IFERROR(__xludf.DUMMYFUNCTION("""COMPUTED_VALUE"""),17.0)</f>
        <v>17</v>
      </c>
      <c r="E240" s="237" t="str">
        <f>IFERROR(__xludf.DUMMYFUNCTION("""COMPUTED_VALUE"""),"LT0PBD01R8D31")</f>
        <v>LT0PBD01R8D31</v>
      </c>
      <c r="F240" s="238" t="str">
        <f>IFERROR(__xludf.DUMMYFUNCTION("""COMPUTED_VALUE"""),"DTC3E38")</f>
        <v>DTC3E38</v>
      </c>
      <c r="G240" s="238">
        <f>IFERROR(__xludf.DUMMYFUNCTION("""COMPUTED_VALUE"""),45974.166666666664)</f>
        <v>45974.16667</v>
      </c>
      <c r="H240" s="238">
        <f>IFERROR(__xludf.DUMMYFUNCTION("""COMPUTED_VALUE"""),45974.208333333336)</f>
        <v>45974.20833</v>
      </c>
      <c r="I240" s="237" t="str">
        <f t="shared" si="1"/>
        <v>Fora</v>
      </c>
      <c r="J240" s="239">
        <v>60.00000000698492</v>
      </c>
    </row>
    <row r="241">
      <c r="A241" s="234" t="s">
        <v>1952</v>
      </c>
      <c r="B241" s="234" t="str">
        <f>IFERROR(__xludf.DUMMYFUNCTION("""COMPUTED_VALUE"""),"LM Hub_SP_Registro")</f>
        <v>LM Hub_SP_Registro</v>
      </c>
      <c r="C241" s="234" t="str">
        <f>IFERROR(__xludf.DUMMYFUNCTION("""COMPUTED_VALUE"""),"HUB-LSP-40")</f>
        <v>HUB-LSP-40</v>
      </c>
      <c r="D241" s="234">
        <f>IFERROR(__xludf.DUMMYFUNCTION("""COMPUTED_VALUE"""),29.0)</f>
        <v>29</v>
      </c>
      <c r="E241" s="237" t="str">
        <f>IFERROR(__xludf.DUMMYFUNCTION("""COMPUTED_VALUE"""),"LT0PBD01R8DQ1")</f>
        <v>LT0PBD01R8DQ1</v>
      </c>
      <c r="F241" s="238" t="str">
        <f>IFERROR(__xludf.DUMMYFUNCTION("""COMPUTED_VALUE"""),"FSV9B90")</f>
        <v>FSV9B90</v>
      </c>
      <c r="G241" s="238">
        <f>IFERROR(__xludf.DUMMYFUNCTION("""COMPUTED_VALUE"""),45974.166666666664)</f>
        <v>45974.16667</v>
      </c>
      <c r="H241" s="238">
        <f>IFERROR(__xludf.DUMMYFUNCTION("""COMPUTED_VALUE"""),45974.208333333336)</f>
        <v>45974.20833</v>
      </c>
      <c r="I241" s="237" t="str">
        <f t="shared" si="1"/>
        <v>Fora</v>
      </c>
      <c r="J241" s="239">
        <v>60.00000000698492</v>
      </c>
    </row>
    <row r="242">
      <c r="A242" s="234" t="s">
        <v>1953</v>
      </c>
      <c r="B242" s="234" t="str">
        <f>IFERROR(__xludf.DUMMYFUNCTION("""COMPUTED_VALUE"""),"LM Hub_SP_Sumaré_Nova Veneza_1")</f>
        <v>LM Hub_SP_Sumaré_Nova Veneza_1</v>
      </c>
      <c r="C242" s="234" t="str">
        <f>IFERROR(__xludf.DUMMYFUNCTION("""COMPUTED_VALUE"""),"HUB-LSP-88")</f>
        <v>HUB-LSP-88</v>
      </c>
      <c r="D242" s="234">
        <f>IFERROR(__xludf.DUMMYFUNCTION("""COMPUTED_VALUE"""),22.0)</f>
        <v>22</v>
      </c>
      <c r="E242" s="237" t="str">
        <f>IFERROR(__xludf.DUMMYFUNCTION("""COMPUTED_VALUE"""),"LT0PBD01RF3J1")</f>
        <v>LT0PBD01RF3J1</v>
      </c>
      <c r="F242" s="238" t="str">
        <f>IFERROR(__xludf.DUMMYFUNCTION("""COMPUTED_VALUE"""),"EGJ9547")</f>
        <v>EGJ9547</v>
      </c>
      <c r="G242" s="238">
        <f>IFERROR(__xludf.DUMMYFUNCTION("""COMPUTED_VALUE"""),45974.166666666664)</f>
        <v>45974.16667</v>
      </c>
      <c r="H242" s="238">
        <f>IFERROR(__xludf.DUMMYFUNCTION("""COMPUTED_VALUE"""),45974.208333333336)</f>
        <v>45974.20833</v>
      </c>
      <c r="I242" s="237" t="str">
        <f t="shared" si="1"/>
        <v>Fora</v>
      </c>
      <c r="J242" s="239">
        <v>119.99999999301508</v>
      </c>
    </row>
    <row r="243">
      <c r="A243" s="234" t="s">
        <v>1954</v>
      </c>
      <c r="B243" s="234" t="str">
        <f>IFERROR(__xludf.DUMMYFUNCTION("""COMPUTED_VALUE"""),"LM Hub_SP_Sorocaba_Região Norte")</f>
        <v>LM Hub_SP_Sorocaba_Região Norte</v>
      </c>
      <c r="C243" s="234" t="str">
        <f>IFERROR(__xludf.DUMMYFUNCTION("""COMPUTED_VALUE"""),"HUB-LSP-10")</f>
        <v>HUB-LSP-10</v>
      </c>
      <c r="D243" s="234">
        <f>IFERROR(__xludf.DUMMYFUNCTION("""COMPUTED_VALUE"""),25.0)</f>
        <v>25</v>
      </c>
      <c r="E243" s="237" t="str">
        <f>IFERROR(__xludf.DUMMYFUNCTION("""COMPUTED_VALUE"""),"LT0PBD01R8EQ1")</f>
        <v>LT0PBD01R8EQ1</v>
      </c>
      <c r="F243" s="238" t="str">
        <f>IFERROR(__xludf.DUMMYFUNCTION("""COMPUTED_VALUE"""),"GHJ3E37,OUU8J45")</f>
        <v>GHJ3E37,OUU8J45</v>
      </c>
      <c r="G243" s="238">
        <f>IFERROR(__xludf.DUMMYFUNCTION("""COMPUTED_VALUE"""),45974.145833333336)</f>
        <v>45974.14583</v>
      </c>
      <c r="H243" s="238">
        <f>IFERROR(__xludf.DUMMYFUNCTION("""COMPUTED_VALUE"""),45974.229166666664)</f>
        <v>45974.22917</v>
      </c>
      <c r="I243" s="237" t="str">
        <f t="shared" si="1"/>
        <v>Fora</v>
      </c>
      <c r="J243" s="239">
        <v>59.99999999650754</v>
      </c>
    </row>
    <row r="244">
      <c r="A244" s="234" t="s">
        <v>1955</v>
      </c>
      <c r="B244" s="234" t="str">
        <f>IFERROR(__xludf.DUMMYFUNCTION("""COMPUTED_VALUE"""),"LM Hub_SP_Campinas_São Martinho")</f>
        <v>LM Hub_SP_Campinas_São Martinho</v>
      </c>
      <c r="C244" s="234" t="str">
        <f>IFERROR(__xludf.DUMMYFUNCTION("""COMPUTED_VALUE"""),"HUB-LSP-19")</f>
        <v>HUB-LSP-19</v>
      </c>
      <c r="D244" s="234">
        <f>IFERROR(__xludf.DUMMYFUNCTION("""COMPUTED_VALUE"""),26.0)</f>
        <v>26</v>
      </c>
      <c r="E244" s="237" t="str">
        <f>IFERROR(__xludf.DUMMYFUNCTION("""COMPUTED_VALUE"""),"LT0PBD01R8GR1")</f>
        <v>LT0PBD01R8GR1</v>
      </c>
      <c r="F244" s="238" t="str">
        <f>IFERROR(__xludf.DUMMYFUNCTION("""COMPUTED_VALUE"""),"AUN9G67")</f>
        <v>AUN9G67</v>
      </c>
      <c r="G244" s="238">
        <f>IFERROR(__xludf.DUMMYFUNCTION("""COMPUTED_VALUE"""),45974.1875)</f>
        <v>45974.1875</v>
      </c>
      <c r="H244" s="238">
        <f>IFERROR(__xludf.DUMMYFUNCTION("""COMPUTED_VALUE"""),45974.229166666664)</f>
        <v>45974.22917</v>
      </c>
      <c r="I244" s="237" t="str">
        <f t="shared" si="1"/>
        <v>Fora</v>
      </c>
      <c r="J244" s="239">
        <v>59.99999999650754</v>
      </c>
    </row>
    <row r="245">
      <c r="A245" s="234" t="s">
        <v>1956</v>
      </c>
      <c r="B245" s="234" t="str">
        <f>IFERROR(__xludf.DUMMYFUNCTION("""COMPUTED_VALUE"""),"LM Hub_SP_Mogi Mirim")</f>
        <v>LM Hub_SP_Mogi Mirim</v>
      </c>
      <c r="C245" s="234" t="str">
        <f>IFERROR(__xludf.DUMMYFUNCTION("""COMPUTED_VALUE"""),"HUB-LSP-37")</f>
        <v>HUB-LSP-37</v>
      </c>
      <c r="D245" s="234">
        <f>IFERROR(__xludf.DUMMYFUNCTION("""COMPUTED_VALUE"""),12.0)</f>
        <v>12</v>
      </c>
      <c r="E245" s="237" t="str">
        <f>IFERROR(__xludf.DUMMYFUNCTION("""COMPUTED_VALUE"""),"LT0PBD01R8G01")</f>
        <v>LT0PBD01R8G01</v>
      </c>
      <c r="F245" s="238" t="str">
        <f>IFERROR(__xludf.DUMMYFUNCTION("""COMPUTED_VALUE"""),"SWH0G90")</f>
        <v>SWH0G90</v>
      </c>
      <c r="G245" s="238">
        <f>IFERROR(__xludf.DUMMYFUNCTION("""COMPUTED_VALUE"""),45974.1875)</f>
        <v>45974.1875</v>
      </c>
      <c r="H245" s="238">
        <f>IFERROR(__xludf.DUMMYFUNCTION("""COMPUTED_VALUE"""),45974.229166666664)</f>
        <v>45974.22917</v>
      </c>
      <c r="I245" s="237" t="str">
        <f t="shared" si="1"/>
        <v>Fora</v>
      </c>
      <c r="J245" s="239">
        <v>59.99999999650754</v>
      </c>
    </row>
    <row r="246">
      <c r="A246" s="234" t="s">
        <v>1957</v>
      </c>
      <c r="B246" s="234" t="str">
        <f>IFERROR(__xludf.DUMMYFUNCTION("""COMPUTED_VALUE"""),"LM Hub_SP_Osasco_02")</f>
        <v>LM Hub_SP_Osasco_02</v>
      </c>
      <c r="C246" s="234" t="str">
        <f>IFERROR(__xludf.DUMMYFUNCTION("""COMPUTED_VALUE"""),"HUB-LSP-60")</f>
        <v>HUB-LSP-60</v>
      </c>
      <c r="D246" s="234">
        <f>IFERROR(__xludf.DUMMYFUNCTION("""COMPUTED_VALUE"""),13.0)</f>
        <v>13</v>
      </c>
      <c r="E246" s="237" t="str">
        <f>IFERROR(__xludf.DUMMYFUNCTION("""COMPUTED_VALUE"""),"LT0PBD01R9P61")</f>
        <v>LT0PBD01R9P61</v>
      </c>
      <c r="F246" s="238" t="str">
        <f>IFERROR(__xludf.DUMMYFUNCTION("""COMPUTED_VALUE"""),"FEU6H63")</f>
        <v>FEU6H63</v>
      </c>
      <c r="G246" s="238">
        <f>IFERROR(__xludf.DUMMYFUNCTION("""COMPUTED_VALUE"""),45974.1875)</f>
        <v>45974.1875</v>
      </c>
      <c r="H246" s="238">
        <f>IFERROR(__xludf.DUMMYFUNCTION("""COMPUTED_VALUE"""),45974.229166666664)</f>
        <v>45974.22917</v>
      </c>
      <c r="I246" s="237" t="str">
        <f t="shared" si="1"/>
        <v>Fora</v>
      </c>
      <c r="J246" s="239">
        <v>119.00000000023283</v>
      </c>
    </row>
    <row r="247">
      <c r="A247" s="234" t="s">
        <v>1958</v>
      </c>
      <c r="B247" s="234" t="str">
        <f>IFERROR(__xludf.DUMMYFUNCTION("""COMPUTED_VALUE"""),"SoC_GO_Goiânia_02")</f>
        <v>SoC_GO_Goiânia_02</v>
      </c>
      <c r="C247" s="234" t="str">
        <f>IFERROR(__xludf.DUMMYFUNCTION("""COMPUTED_VALUE"""),"SOC-GO2")</f>
        <v>SOC-GO2</v>
      </c>
      <c r="D247" s="234"/>
      <c r="E247" s="237" t="str">
        <f>IFERROR(__xludf.DUMMYFUNCTION("""COMPUTED_VALUE"""),"LT1PBD01RQ601")</f>
        <v>LT1PBD01RQ601</v>
      </c>
      <c r="F247" s="238" t="str">
        <f>IFERROR(__xludf.DUMMYFUNCTION("""COMPUTED_VALUE"""),"-")</f>
        <v>-</v>
      </c>
      <c r="G247" s="238">
        <f>IFERROR(__xludf.DUMMYFUNCTION("""COMPUTED_VALUE"""),45974.166666666664)</f>
        <v>45974.16667</v>
      </c>
      <c r="H247" s="238">
        <f>IFERROR(__xludf.DUMMYFUNCTION("""COMPUTED_VALUE"""),45974.24930555555)</f>
        <v>45974.24931</v>
      </c>
      <c r="I247" s="237" t="str">
        <f t="shared" si="1"/>
        <v>Fora</v>
      </c>
      <c r="J247" s="239">
        <v>119.00000000023283</v>
      </c>
    </row>
    <row r="248">
      <c r="A248" s="234" t="s">
        <v>1959</v>
      </c>
      <c r="B248" s="234" t="str">
        <f>IFERROR(__xludf.DUMMYFUNCTION("""COMPUTED_VALUE"""),"SoC_SP_Cravinhos")</f>
        <v>SoC_SP_Cravinhos</v>
      </c>
      <c r="C248" s="234" t="str">
        <f>IFERROR(__xludf.DUMMYFUNCTION("""COMPUTED_VALUE"""),"SOC-SP5")</f>
        <v>SOC-SP5</v>
      </c>
      <c r="D248" s="234">
        <f>IFERROR(__xludf.DUMMYFUNCTION("""COMPUTED_VALUE"""),14.0)</f>
        <v>14</v>
      </c>
      <c r="E248" s="237" t="str">
        <f>IFERROR(__xludf.DUMMYFUNCTION("""COMPUTED_VALUE"""),"LT1PBD01RQ5L1")</f>
        <v>LT1PBD01RQ5L1</v>
      </c>
      <c r="F248" s="238" t="str">
        <f>IFERROR(__xludf.DUMMYFUNCTION("""COMPUTED_VALUE"""),"BXD0C47,EMT7G51")</f>
        <v>BXD0C47,EMT7G51</v>
      </c>
      <c r="G248" s="238">
        <f>IFERROR(__xludf.DUMMYFUNCTION("""COMPUTED_VALUE"""),45974.166666666664)</f>
        <v>45974.16667</v>
      </c>
      <c r="H248" s="238">
        <f>IFERROR(__xludf.DUMMYFUNCTION("""COMPUTED_VALUE"""),45974.24930555555)</f>
        <v>45974.24931</v>
      </c>
      <c r="I248" s="237" t="str">
        <f t="shared" si="1"/>
        <v>Fora</v>
      </c>
      <c r="J248" s="239">
        <v>239.0000000037253</v>
      </c>
    </row>
    <row r="249">
      <c r="A249" s="234" t="s">
        <v>1960</v>
      </c>
      <c r="B249" s="234" t="str">
        <f>IFERROR(__xludf.DUMMYFUNCTION("""COMPUTED_VALUE"""),"SoC_RJ_Duque de Caxias")</f>
        <v>SoC_RJ_Duque de Caxias</v>
      </c>
      <c r="C249" s="234" t="str">
        <f>IFERROR(__xludf.DUMMYFUNCTION("""COMPUTED_VALUE"""),"SOC-RJ2")</f>
        <v>SOC-RJ2</v>
      </c>
      <c r="D249" s="234"/>
      <c r="E249" s="237" t="str">
        <f>IFERROR(__xludf.DUMMYFUNCTION("""COMPUTED_VALUE"""),"LT0PBD01RB2U1")</f>
        <v>LT0PBD01RB2U1</v>
      </c>
      <c r="F249" s="238" t="str">
        <f>IFERROR(__xludf.DUMMYFUNCTION("""COMPUTED_VALUE"""),"-")</f>
        <v>-</v>
      </c>
      <c r="G249" s="238">
        <f>IFERROR(__xludf.DUMMYFUNCTION("""COMPUTED_VALUE"""),45974.084027777775)</f>
        <v>45974.08403</v>
      </c>
      <c r="H249" s="238">
        <f>IFERROR(__xludf.DUMMYFUNCTION("""COMPUTED_VALUE"""),45974.25)</f>
        <v>45974.25</v>
      </c>
      <c r="I249" s="237" t="str">
        <f t="shared" si="1"/>
        <v>Fora</v>
      </c>
      <c r="J249" s="239">
        <v>120.00000000349246</v>
      </c>
    </row>
    <row r="250">
      <c r="A250" s="234" t="s">
        <v>1961</v>
      </c>
      <c r="B250" s="234" t="str">
        <f>IFERROR(__xludf.DUMMYFUNCTION("""COMPUTED_VALUE"""),"SoC_PR_Curitiba")</f>
        <v>SoC_PR_Curitiba</v>
      </c>
      <c r="C250" s="234" t="str">
        <f>IFERROR(__xludf.DUMMYFUNCTION("""COMPUTED_VALUE"""),"SOC-PR1")</f>
        <v>SOC-PR1</v>
      </c>
      <c r="D250" s="234"/>
      <c r="E250" s="237" t="str">
        <f>IFERROR(__xludf.DUMMYFUNCTION("""COMPUTED_VALUE"""),"LT0PBD01R88A1")</f>
        <v>LT0PBD01R88A1</v>
      </c>
      <c r="F250" s="238" t="str">
        <f>IFERROR(__xludf.DUMMYFUNCTION("""COMPUTED_VALUE"""),"-")</f>
        <v>-</v>
      </c>
      <c r="G250" s="238">
        <f>IFERROR(__xludf.DUMMYFUNCTION("""COMPUTED_VALUE"""),45974.166666666664)</f>
        <v>45974.16667</v>
      </c>
      <c r="H250" s="238">
        <f>IFERROR(__xludf.DUMMYFUNCTION("""COMPUTED_VALUE"""),45974.25)</f>
        <v>45974.25</v>
      </c>
      <c r="I250" s="237" t="str">
        <f t="shared" si="1"/>
        <v>Fora</v>
      </c>
      <c r="J250" s="239">
        <v>120.00000000349246</v>
      </c>
    </row>
    <row r="251">
      <c r="A251" s="234" t="s">
        <v>1962</v>
      </c>
      <c r="B251" s="234" t="str">
        <f>IFERROR(__xludf.DUMMYFUNCTION("""COMPUTED_VALUE"""),"SoC_RS_Gravataí_02")</f>
        <v>SoC_RS_Gravataí_02</v>
      </c>
      <c r="C251" s="234" t="str">
        <f>IFERROR(__xludf.DUMMYFUNCTION("""COMPUTED_VALUE"""),"SOC-RS2")</f>
        <v>SOC-RS2</v>
      </c>
      <c r="D251" s="234">
        <f>IFERROR(__xludf.DUMMYFUNCTION("""COMPUTED_VALUE"""),37.0)</f>
        <v>37</v>
      </c>
      <c r="E251" s="237" t="str">
        <f>IFERROR(__xludf.DUMMYFUNCTION("""COMPUTED_VALUE"""),"LT0PBC01RG3A1")</f>
        <v>LT0PBC01RG3A1</v>
      </c>
      <c r="F251" s="238" t="str">
        <f>IFERROR(__xludf.DUMMYFUNCTION("""COMPUTED_VALUE"""),"FFN4F60,EMU9H05")</f>
        <v>FFN4F60,EMU9H05</v>
      </c>
      <c r="G251" s="238">
        <f>IFERROR(__xludf.DUMMYFUNCTION("""COMPUTED_VALUE"""),45974.166666666664)</f>
        <v>45974.16667</v>
      </c>
      <c r="H251" s="238">
        <f>IFERROR(__xludf.DUMMYFUNCTION("""COMPUTED_VALUE"""),45974.25)</f>
        <v>45974.25</v>
      </c>
      <c r="I251" s="237" t="str">
        <f t="shared" si="1"/>
        <v>Fora</v>
      </c>
      <c r="J251" s="239">
        <v>120.00000000349246</v>
      </c>
    </row>
    <row r="252">
      <c r="A252" s="234" t="s">
        <v>1963</v>
      </c>
      <c r="B252" s="234" t="str">
        <f>IFERROR(__xludf.DUMMYFUNCTION("""COMPUTED_VALUE"""),"SoC_SP_Cravinhos")</f>
        <v>SoC_SP_Cravinhos</v>
      </c>
      <c r="C252" s="234" t="str">
        <f>IFERROR(__xludf.DUMMYFUNCTION("""COMPUTED_VALUE"""),"SOC-SP5")</f>
        <v>SOC-SP5</v>
      </c>
      <c r="D252" s="234">
        <f>IFERROR(__xludf.DUMMYFUNCTION("""COMPUTED_VALUE"""),8.0)</f>
        <v>8</v>
      </c>
      <c r="E252" s="237" t="str">
        <f>IFERROR(__xludf.DUMMYFUNCTION("""COMPUTED_VALUE"""),"LT1PBD01RQO61")</f>
        <v>LT1PBD01RQO61</v>
      </c>
      <c r="F252" s="238" t="str">
        <f>IFERROR(__xludf.DUMMYFUNCTION("""COMPUTED_VALUE"""),"MWD2B73,DTE4I30")</f>
        <v>MWD2B73,DTE4I30</v>
      </c>
      <c r="G252" s="238">
        <f>IFERROR(__xludf.DUMMYFUNCTION("""COMPUTED_VALUE"""),45974.166666666664)</f>
        <v>45974.16667</v>
      </c>
      <c r="H252" s="238">
        <f>IFERROR(__xludf.DUMMYFUNCTION("""COMPUTED_VALUE"""),45974.25)</f>
        <v>45974.25</v>
      </c>
      <c r="I252" s="237" t="str">
        <f t="shared" si="1"/>
        <v>Fora</v>
      </c>
      <c r="J252" s="239">
        <v>59.99999999650754</v>
      </c>
    </row>
    <row r="253">
      <c r="A253" s="234" t="s">
        <v>1964</v>
      </c>
      <c r="B253" s="234" t="str">
        <f>IFERROR(__xludf.DUMMYFUNCTION("""COMPUTED_VALUE"""),"LM Hub_ES_Viana")</f>
        <v>LM Hub_ES_Viana</v>
      </c>
      <c r="C253" s="234" t="str">
        <f>IFERROR(__xludf.DUMMYFUNCTION("""COMPUTED_VALUE"""),"HUB-LES-09")</f>
        <v>HUB-LES-09</v>
      </c>
      <c r="D253" s="234">
        <f>IFERROR(__xludf.DUMMYFUNCTION("""COMPUTED_VALUE"""),7.0)</f>
        <v>7</v>
      </c>
      <c r="E253" s="237" t="str">
        <f>IFERROR(__xludf.DUMMYFUNCTION("""COMPUTED_VALUE"""),"LT0PBD01RDK51")</f>
        <v>LT0PBD01RDK51</v>
      </c>
      <c r="F253" s="238" t="str">
        <f>IFERROR(__xludf.DUMMYFUNCTION("""COMPUTED_VALUE"""),"FDZ2B52")</f>
        <v>FDZ2B52</v>
      </c>
      <c r="G253" s="238">
        <f>IFERROR(__xludf.DUMMYFUNCTION("""COMPUTED_VALUE"""),45974.208333333336)</f>
        <v>45974.20833</v>
      </c>
      <c r="H253" s="238">
        <f>IFERROR(__xludf.DUMMYFUNCTION("""COMPUTED_VALUE"""),45974.25)</f>
        <v>45974.25</v>
      </c>
      <c r="I253" s="237" t="str">
        <f t="shared" si="1"/>
        <v>Fora</v>
      </c>
      <c r="J253" s="239">
        <v>59.99999999650754</v>
      </c>
    </row>
    <row r="254">
      <c r="A254" s="234" t="s">
        <v>1965</v>
      </c>
      <c r="B254" s="234" t="str">
        <f>IFERROR(__xludf.DUMMYFUNCTION("""COMPUTED_VALUE"""),"LM Hub_SP_Guaratinguetá")</f>
        <v>LM Hub_SP_Guaratinguetá</v>
      </c>
      <c r="C254" s="234" t="str">
        <f>IFERROR(__xludf.DUMMYFUNCTION("""COMPUTED_VALUE"""),"HUB-LSP-33")</f>
        <v>HUB-LSP-33</v>
      </c>
      <c r="D254" s="234">
        <f>IFERROR(__xludf.DUMMYFUNCTION("""COMPUTED_VALUE"""),20.0)</f>
        <v>20</v>
      </c>
      <c r="E254" s="237" t="str">
        <f>IFERROR(__xludf.DUMMYFUNCTION("""COMPUTED_VALUE"""),"LT0PBD01R8E11")</f>
        <v>LT0PBD01R8E11</v>
      </c>
      <c r="F254" s="238" t="str">
        <f>IFERROR(__xludf.DUMMYFUNCTION("""COMPUTED_VALUE"""),"EKH3880")</f>
        <v>EKH3880</v>
      </c>
      <c r="G254" s="238">
        <f>IFERROR(__xludf.DUMMYFUNCTION("""COMPUTED_VALUE"""),45974.208333333336)</f>
        <v>45974.20833</v>
      </c>
      <c r="H254" s="238">
        <f>IFERROR(__xludf.DUMMYFUNCTION("""COMPUTED_VALUE"""),45974.25)</f>
        <v>45974.25</v>
      </c>
      <c r="I254" s="237" t="str">
        <f t="shared" si="1"/>
        <v>Fora</v>
      </c>
      <c r="J254" s="239">
        <v>59.99999999650754</v>
      </c>
    </row>
    <row r="255">
      <c r="A255" s="234" t="s">
        <v>1966</v>
      </c>
      <c r="B255" s="234" t="str">
        <f>IFERROR(__xludf.DUMMYFUNCTION("""COMPUTED_VALUE"""),"LM Hub_SP_Várzea Paulista")</f>
        <v>LM Hub_SP_Várzea Paulista</v>
      </c>
      <c r="C255" s="234" t="str">
        <f>IFERROR(__xludf.DUMMYFUNCTION("""COMPUTED_VALUE"""),"HUB-LSP-61")</f>
        <v>HUB-LSP-61</v>
      </c>
      <c r="D255" s="234">
        <f>IFERROR(__xludf.DUMMYFUNCTION("""COMPUTED_VALUE"""),15.0)</f>
        <v>15</v>
      </c>
      <c r="E255" s="237" t="str">
        <f>IFERROR(__xludf.DUMMYFUNCTION("""COMPUTED_VALUE"""),"LT0PBD01R8FA1")</f>
        <v>LT0PBD01R8FA1</v>
      </c>
      <c r="F255" s="238" t="str">
        <f>IFERROR(__xludf.DUMMYFUNCTION("""COMPUTED_VALUE"""),"HNQ8267")</f>
        <v>HNQ8267</v>
      </c>
      <c r="G255" s="238">
        <f>IFERROR(__xludf.DUMMYFUNCTION("""COMPUTED_VALUE"""),45974.208333333336)</f>
        <v>45974.20833</v>
      </c>
      <c r="H255" s="238">
        <f>IFERROR(__xludf.DUMMYFUNCTION("""COMPUTED_VALUE"""),45974.25)</f>
        <v>45974.25</v>
      </c>
      <c r="I255" s="237" t="str">
        <f t="shared" si="1"/>
        <v>Fora</v>
      </c>
      <c r="J255" s="239">
        <v>480.00000000349246</v>
      </c>
    </row>
    <row r="256">
      <c r="A256" s="234" t="s">
        <v>1967</v>
      </c>
      <c r="B256" s="234" t="str">
        <f>IFERROR(__xludf.DUMMYFUNCTION("""COMPUTED_VALUE"""),"SoC_BA_Simoes Filho")</f>
        <v>SoC_BA_Simoes Filho</v>
      </c>
      <c r="C256" s="234" t="str">
        <f>IFERROR(__xludf.DUMMYFUNCTION("""COMPUTED_VALUE"""),"SOC-BA2")</f>
        <v>SOC-BA2</v>
      </c>
      <c r="D256" s="234">
        <f>IFERROR(__xludf.DUMMYFUNCTION("""COMPUTED_VALUE"""),36.0)</f>
        <v>36</v>
      </c>
      <c r="E256" s="237" t="str">
        <f>IFERROR(__xludf.DUMMYFUNCTION("""COMPUTED_VALUE"""),"LT0PBD01RFOO1")</f>
        <v>LT0PBD01RFOO1</v>
      </c>
      <c r="F256" s="238" t="str">
        <f>IFERROR(__xludf.DUMMYFUNCTION("""COMPUTED_VALUE"""),"FZM2E38,SHH0J79")</f>
        <v>FZM2E38,SHH0J79</v>
      </c>
      <c r="G256" s="238">
        <f>IFERROR(__xludf.DUMMYFUNCTION("""COMPUTED_VALUE"""),45974.0)</f>
        <v>45974</v>
      </c>
      <c r="H256" s="238">
        <f>IFERROR(__xludf.DUMMYFUNCTION("""COMPUTED_VALUE"""),45974.333333333336)</f>
        <v>45974.33333</v>
      </c>
      <c r="I256" s="237" t="str">
        <f t="shared" si="1"/>
        <v>Fora</v>
      </c>
      <c r="J256" s="239">
        <v>480.00000000349246</v>
      </c>
    </row>
    <row r="257">
      <c r="A257" s="234" t="s">
        <v>1968</v>
      </c>
      <c r="B257" s="234" t="str">
        <f>IFERROR(__xludf.DUMMYFUNCTION("""COMPUTED_VALUE"""),"SoC_PE_Jaboatão dos Guararapes")</f>
        <v>SoC_PE_Jaboatão dos Guararapes</v>
      </c>
      <c r="C257" s="234" t="str">
        <f>IFERROR(__xludf.DUMMYFUNCTION("""COMPUTED_VALUE"""),"SOC-PE2")</f>
        <v>SOC-PE2</v>
      </c>
      <c r="D257" s="234">
        <f>IFERROR(__xludf.DUMMYFUNCTION("""COMPUTED_VALUE"""),28.0)</f>
        <v>28</v>
      </c>
      <c r="E257" s="237" t="str">
        <f>IFERROR(__xludf.DUMMYFUNCTION("""COMPUTED_VALUE"""),"LT0PBD01RFJY1")</f>
        <v>LT0PBD01RFJY1</v>
      </c>
      <c r="F257" s="238" t="str">
        <f>IFERROR(__xludf.DUMMYFUNCTION("""COMPUTED_VALUE"""),"MRM5743,KUM9786")</f>
        <v>MRM5743,KUM9786</v>
      </c>
      <c r="G257" s="238">
        <f>IFERROR(__xludf.DUMMYFUNCTION("""COMPUTED_VALUE"""),45974.0)</f>
        <v>45974</v>
      </c>
      <c r="H257" s="238">
        <f>IFERROR(__xludf.DUMMYFUNCTION("""COMPUTED_VALUE"""),45974.333333333336)</f>
        <v>45974.33333</v>
      </c>
      <c r="I257" s="237" t="str">
        <f t="shared" si="1"/>
        <v>Fora</v>
      </c>
      <c r="J257" s="239">
        <v>480.00000000349246</v>
      </c>
    </row>
    <row r="258">
      <c r="A258" s="234" t="s">
        <v>1969</v>
      </c>
      <c r="B258" s="234" t="str">
        <f>IFERROR(__xludf.DUMMYFUNCTION("""COMPUTED_VALUE"""),"SoC_PR_Curitiba")</f>
        <v>SoC_PR_Curitiba</v>
      </c>
      <c r="C258" s="234" t="str">
        <f>IFERROR(__xludf.DUMMYFUNCTION("""COMPUTED_VALUE"""),"SOC-PR1")</f>
        <v>SOC-PR1</v>
      </c>
      <c r="D258" s="234"/>
      <c r="E258" s="237" t="str">
        <f>IFERROR(__xludf.DUMMYFUNCTION("""COMPUTED_VALUE"""),"LT0PBD01R8851")</f>
        <v>LT0PBD01R8851</v>
      </c>
      <c r="F258" s="238" t="str">
        <f>IFERROR(__xludf.DUMMYFUNCTION("""COMPUTED_VALUE"""),"TAI9I33,RLM0D83")</f>
        <v>TAI9I33,RLM0D83</v>
      </c>
      <c r="G258" s="238">
        <f>IFERROR(__xludf.DUMMYFUNCTION("""COMPUTED_VALUE"""),45974.0)</f>
        <v>45974</v>
      </c>
      <c r="H258" s="238">
        <f>IFERROR(__xludf.DUMMYFUNCTION("""COMPUTED_VALUE"""),45974.333333333336)</f>
        <v>45974.33333</v>
      </c>
      <c r="I258" s="237" t="str">
        <f t="shared" si="1"/>
        <v>Fora</v>
      </c>
      <c r="J258" s="239">
        <v>480.00000000349246</v>
      </c>
    </row>
    <row r="259">
      <c r="A259" s="234" t="s">
        <v>1970</v>
      </c>
      <c r="B259" s="234" t="str">
        <f>IFERROR(__xludf.DUMMYFUNCTION("""COMPUTED_VALUE"""),"SoC_SC_Itajaí")</f>
        <v>SoC_SC_Itajaí</v>
      </c>
      <c r="C259" s="234" t="str">
        <f>IFERROR(__xludf.DUMMYFUNCTION("""COMPUTED_VALUE"""),"SOC-SC1")</f>
        <v>SOC-SC1</v>
      </c>
      <c r="D259" s="234">
        <f>IFERROR(__xludf.DUMMYFUNCTION("""COMPUTED_VALUE"""),16.0)</f>
        <v>16</v>
      </c>
      <c r="E259" s="237" t="str">
        <f>IFERROR(__xludf.DUMMYFUNCTION("""COMPUTED_VALUE"""),"LT0PBD01RE7R1")</f>
        <v>LT0PBD01RE7R1</v>
      </c>
      <c r="F259" s="238" t="str">
        <f>IFERROR(__xludf.DUMMYFUNCTION("""COMPUTED_VALUE"""),"FSH3A54,TPM2H63")</f>
        <v>FSH3A54,TPM2H63</v>
      </c>
      <c r="G259" s="238">
        <f>IFERROR(__xludf.DUMMYFUNCTION("""COMPUTED_VALUE"""),45974.0)</f>
        <v>45974</v>
      </c>
      <c r="H259" s="238">
        <f>IFERROR(__xludf.DUMMYFUNCTION("""COMPUTED_VALUE"""),45974.333333333336)</f>
        <v>45974.33333</v>
      </c>
      <c r="I259" s="237" t="str">
        <f t="shared" si="1"/>
        <v>Fora</v>
      </c>
      <c r="J259" s="239">
        <v>480.00000000349246</v>
      </c>
    </row>
    <row r="260">
      <c r="A260" s="234" t="s">
        <v>1971</v>
      </c>
      <c r="B260" s="234" t="str">
        <f>IFERROR(__xludf.DUMMYFUNCTION("""COMPUTED_VALUE"""),"SoC_SP_Cravinhos")</f>
        <v>SoC_SP_Cravinhos</v>
      </c>
      <c r="C260" s="234" t="str">
        <f>IFERROR(__xludf.DUMMYFUNCTION("""COMPUTED_VALUE"""),"SOC-SP5")</f>
        <v>SOC-SP5</v>
      </c>
      <c r="D260" s="234">
        <f>IFERROR(__xludf.DUMMYFUNCTION("""COMPUTED_VALUE"""),6.0)</f>
        <v>6</v>
      </c>
      <c r="E260" s="237" t="str">
        <f>IFERROR(__xludf.DUMMYFUNCTION("""COMPUTED_VALUE"""),"LT0PBD01R88Y2")</f>
        <v>LT0PBD01R88Y2</v>
      </c>
      <c r="F260" s="238" t="str">
        <f>IFERROR(__xludf.DUMMYFUNCTION("""COMPUTED_VALUE"""),"HOF1C75,FHH0320")</f>
        <v>HOF1C75,FHH0320</v>
      </c>
      <c r="G260" s="238">
        <f>IFERROR(__xludf.DUMMYFUNCTION("""COMPUTED_VALUE"""),45974.0)</f>
        <v>45974</v>
      </c>
      <c r="H260" s="238">
        <f>IFERROR(__xludf.DUMMYFUNCTION("""COMPUTED_VALUE"""),45974.333333333336)</f>
        <v>45974.33333</v>
      </c>
      <c r="I260" s="237" t="str">
        <f t="shared" si="1"/>
        <v>Fora</v>
      </c>
      <c r="J260" s="239">
        <v>480.00000000349246</v>
      </c>
    </row>
    <row r="261">
      <c r="A261" s="234" t="s">
        <v>1972</v>
      </c>
      <c r="B261" s="234" t="str">
        <f>IFERROR(__xludf.DUMMYFUNCTION("""COMPUTED_VALUE"""),"SoC_SP_Cravinhos")</f>
        <v>SoC_SP_Cravinhos</v>
      </c>
      <c r="C261" s="234" t="str">
        <f>IFERROR(__xludf.DUMMYFUNCTION("""COMPUTED_VALUE"""),"SOC-SP5")</f>
        <v>SOC-SP5</v>
      </c>
      <c r="D261" s="234">
        <f>IFERROR(__xludf.DUMMYFUNCTION("""COMPUTED_VALUE"""),17.0)</f>
        <v>17</v>
      </c>
      <c r="E261" s="237" t="str">
        <f>IFERROR(__xludf.DUMMYFUNCTION("""COMPUTED_VALUE"""),"LT0PBD01R88X1")</f>
        <v>LT0PBD01R88X1</v>
      </c>
      <c r="F261" s="238" t="str">
        <f>IFERROR(__xludf.DUMMYFUNCTION("""COMPUTED_VALUE"""),"FVL6H27,EWJ9F18")</f>
        <v>FVL6H27,EWJ9F18</v>
      </c>
      <c r="G261" s="238">
        <f>IFERROR(__xludf.DUMMYFUNCTION("""COMPUTED_VALUE"""),45974.0)</f>
        <v>45974</v>
      </c>
      <c r="H261" s="238">
        <f>IFERROR(__xludf.DUMMYFUNCTION("""COMPUTED_VALUE"""),45974.333333333336)</f>
        <v>45974.33333</v>
      </c>
      <c r="I261" s="237" t="str">
        <f t="shared" si="1"/>
        <v>Fora</v>
      </c>
      <c r="J261" s="239">
        <v>480.00000000349246</v>
      </c>
    </row>
    <row r="262">
      <c r="A262" s="234" t="s">
        <v>1973</v>
      </c>
      <c r="B262" s="234" t="str">
        <f>IFERROR(__xludf.DUMMYFUNCTION("""COMPUTED_VALUE"""),"SoC_SP_Louveira")</f>
        <v>SoC_SP_Louveira</v>
      </c>
      <c r="C262" s="234" t="str">
        <f>IFERROR(__xludf.DUMMYFUNCTION("""COMPUTED_VALUE"""),"SOC-SP7")</f>
        <v>SOC-SP7</v>
      </c>
      <c r="D262" s="234">
        <f>IFERROR(__xludf.DUMMYFUNCTION("""COMPUTED_VALUE"""),19.0)</f>
        <v>19</v>
      </c>
      <c r="E262" s="237" t="str">
        <f>IFERROR(__xludf.DUMMYFUNCTION("""COMPUTED_VALUE"""),"LT0PBD01R8A11")</f>
        <v>LT0PBD01R8A11</v>
      </c>
      <c r="F262" s="238" t="str">
        <f>IFERROR(__xludf.DUMMYFUNCTION("""COMPUTED_VALUE"""),"STW5B17,TLF7F34")</f>
        <v>STW5B17,TLF7F34</v>
      </c>
      <c r="G262" s="238">
        <f>IFERROR(__xludf.DUMMYFUNCTION("""COMPUTED_VALUE"""),45974.0)</f>
        <v>45974</v>
      </c>
      <c r="H262" s="238">
        <f>IFERROR(__xludf.DUMMYFUNCTION("""COMPUTED_VALUE"""),45974.333333333336)</f>
        <v>45974.33333</v>
      </c>
      <c r="I262" s="237" t="str">
        <f t="shared" si="1"/>
        <v>Fora</v>
      </c>
      <c r="J262" s="239">
        <v>479.00000000023283</v>
      </c>
    </row>
    <row r="263">
      <c r="A263" s="234" t="s">
        <v>1974</v>
      </c>
      <c r="B263" s="234" t="str">
        <f>IFERROR(__xludf.DUMMYFUNCTION("""COMPUTED_VALUE"""),"SoC_MG_Betim")</f>
        <v>SoC_MG_Betim</v>
      </c>
      <c r="C263" s="234" t="str">
        <f>IFERROR(__xludf.DUMMYFUNCTION("""COMPUTED_VALUE"""),"SOC-MG2")</f>
        <v>SOC-MG2</v>
      </c>
      <c r="D263" s="234">
        <f>IFERROR(__xludf.DUMMYFUNCTION("""COMPUTED_VALUE"""),5.0)</f>
        <v>5</v>
      </c>
      <c r="E263" s="237" t="str">
        <f>IFERROR(__xludf.DUMMYFUNCTION("""COMPUTED_VALUE"""),"LT0PBD01R8713")</f>
        <v>LT0PBD01R8713</v>
      </c>
      <c r="F263" s="238" t="str">
        <f>IFERROR(__xludf.DUMMYFUNCTION("""COMPUTED_VALUE"""),"FMZ8A65,SUU5B03")</f>
        <v>FMZ8A65,SUU5B03</v>
      </c>
      <c r="G263" s="238">
        <f>IFERROR(__xludf.DUMMYFUNCTION("""COMPUTED_VALUE"""),45974.00069444445)</f>
        <v>45974.00069</v>
      </c>
      <c r="H263" s="238">
        <f>IFERROR(__xludf.DUMMYFUNCTION("""COMPUTED_VALUE"""),45974.333333333336)</f>
        <v>45974.33333</v>
      </c>
      <c r="I263" s="237" t="str">
        <f t="shared" si="1"/>
        <v>Fora</v>
      </c>
      <c r="J263" s="239">
        <v>479.00000000023283</v>
      </c>
    </row>
    <row r="264">
      <c r="A264" s="234" t="s">
        <v>1975</v>
      </c>
      <c r="B264" s="234" t="str">
        <f>IFERROR(__xludf.DUMMYFUNCTION("""COMPUTED_VALUE"""),"SoC_MG_Betim")</f>
        <v>SoC_MG_Betim</v>
      </c>
      <c r="C264" s="234" t="str">
        <f>IFERROR(__xludf.DUMMYFUNCTION("""COMPUTED_VALUE"""),"SOC-MG2")</f>
        <v>SOC-MG2</v>
      </c>
      <c r="D264" s="234">
        <f>IFERROR(__xludf.DUMMYFUNCTION("""COMPUTED_VALUE"""),41.0)</f>
        <v>41</v>
      </c>
      <c r="E264" s="237" t="str">
        <f>IFERROR(__xludf.DUMMYFUNCTION("""COMPUTED_VALUE"""),"LT0PBD01R86X1")</f>
        <v>LT0PBD01R86X1</v>
      </c>
      <c r="F264" s="238" t="str">
        <f>IFERROR(__xludf.DUMMYFUNCTION("""COMPUTED_VALUE"""),"SWU6I91,DTC7026")</f>
        <v>SWU6I91,DTC7026</v>
      </c>
      <c r="G264" s="238">
        <f>IFERROR(__xludf.DUMMYFUNCTION("""COMPUTED_VALUE"""),45974.00069444445)</f>
        <v>45974.00069</v>
      </c>
      <c r="H264" s="238">
        <f>IFERROR(__xludf.DUMMYFUNCTION("""COMPUTED_VALUE"""),45974.333333333336)</f>
        <v>45974.33333</v>
      </c>
      <c r="I264" s="237" t="str">
        <f t="shared" si="1"/>
        <v>Fora</v>
      </c>
      <c r="J264" s="239">
        <v>360.0</v>
      </c>
    </row>
    <row r="265">
      <c r="A265" s="234" t="s">
        <v>1976</v>
      </c>
      <c r="B265" s="234" t="str">
        <f>IFERROR(__xludf.DUMMYFUNCTION("""COMPUTED_VALUE"""),"SoC_GO_Goiânia_02")</f>
        <v>SoC_GO_Goiânia_02</v>
      </c>
      <c r="C265" s="234" t="str">
        <f>IFERROR(__xludf.DUMMYFUNCTION("""COMPUTED_VALUE"""),"SOC-GO2")</f>
        <v>SOC-GO2</v>
      </c>
      <c r="D265" s="234">
        <f>IFERROR(__xludf.DUMMYFUNCTION("""COMPUTED_VALUE"""),18.0)</f>
        <v>18</v>
      </c>
      <c r="E265" s="237" t="str">
        <f>IFERROR(__xludf.DUMMYFUNCTION("""COMPUTED_VALUE"""),"LT1PBC01RPMY1")</f>
        <v>LT1PBC01RPMY1</v>
      </c>
      <c r="F265" s="238" t="str">
        <f>IFERROR(__xludf.DUMMYFUNCTION("""COMPUTED_VALUE"""),"FUE8G70,FGJ2J64")</f>
        <v>FUE8G70,FGJ2J64</v>
      </c>
      <c r="G265" s="238">
        <f>IFERROR(__xludf.DUMMYFUNCTION("""COMPUTED_VALUE"""),45974.083333333336)</f>
        <v>45974.08333</v>
      </c>
      <c r="H265" s="238">
        <f>IFERROR(__xludf.DUMMYFUNCTION("""COMPUTED_VALUE"""),45974.333333333336)</f>
        <v>45974.33333</v>
      </c>
      <c r="I265" s="237" t="str">
        <f t="shared" si="1"/>
        <v>Fora</v>
      </c>
      <c r="J265" s="239">
        <v>360.0</v>
      </c>
    </row>
    <row r="266">
      <c r="A266" s="234" t="s">
        <v>1976</v>
      </c>
      <c r="B266" s="234" t="str">
        <f>IFERROR(__xludf.DUMMYFUNCTION("""COMPUTED_VALUE"""),"SoC_GO_Goiânia_02")</f>
        <v>SoC_GO_Goiânia_02</v>
      </c>
      <c r="C266" s="234" t="str">
        <f>IFERROR(__xludf.DUMMYFUNCTION("""COMPUTED_VALUE"""),"SOC-GO2")</f>
        <v>SOC-GO2</v>
      </c>
      <c r="D266" s="234"/>
      <c r="E266" s="237" t="str">
        <f>IFERROR(__xludf.DUMMYFUNCTION("""COMPUTED_VALUE"""),"LT1PBC01RPMY1")</f>
        <v>LT1PBC01RPMY1</v>
      </c>
      <c r="F266" s="238" t="str">
        <f>IFERROR(__xludf.DUMMYFUNCTION("""COMPUTED_VALUE"""),"FUE8G70,FGJ2J64")</f>
        <v>FUE8G70,FGJ2J64</v>
      </c>
      <c r="G266" s="238">
        <f>IFERROR(__xludf.DUMMYFUNCTION("""COMPUTED_VALUE"""),45974.083333333336)</f>
        <v>45974.08333</v>
      </c>
      <c r="H266" s="238">
        <f>IFERROR(__xludf.DUMMYFUNCTION("""COMPUTED_VALUE"""),45974.333333333336)</f>
        <v>45974.33333</v>
      </c>
      <c r="I266" s="237" t="str">
        <f t="shared" si="1"/>
        <v>Fora</v>
      </c>
      <c r="J266" s="239">
        <v>360.0</v>
      </c>
    </row>
    <row r="267">
      <c r="A267" s="234" t="s">
        <v>1977</v>
      </c>
      <c r="B267" s="234" t="str">
        <f>IFERROR(__xludf.DUMMYFUNCTION("""COMPUTED_VALUE"""),"SoC_RJ_Duque de Caxias")</f>
        <v>SoC_RJ_Duque de Caxias</v>
      </c>
      <c r="C267" s="234" t="str">
        <f>IFERROR(__xludf.DUMMYFUNCTION("""COMPUTED_VALUE"""),"SOC-RJ2")</f>
        <v>SOC-RJ2</v>
      </c>
      <c r="D267" s="234">
        <f>IFERROR(__xludf.DUMMYFUNCTION("""COMPUTED_VALUE"""),39.0)</f>
        <v>39</v>
      </c>
      <c r="E267" s="237" t="str">
        <f>IFERROR(__xludf.DUMMYFUNCTION("""COMPUTED_VALUE"""),"LT0PBD01RB2J1")</f>
        <v>LT0PBD01RB2J1</v>
      </c>
      <c r="F267" s="238" t="str">
        <f>IFERROR(__xludf.DUMMYFUNCTION("""COMPUTED_VALUE"""),"MIE3A76,NFV9C52")</f>
        <v>MIE3A76,NFV9C52</v>
      </c>
      <c r="G267" s="238">
        <f>IFERROR(__xludf.DUMMYFUNCTION("""COMPUTED_VALUE"""),45974.083333333336)</f>
        <v>45974.08333</v>
      </c>
      <c r="H267" s="238">
        <f>IFERROR(__xludf.DUMMYFUNCTION("""COMPUTED_VALUE"""),45974.333333333336)</f>
        <v>45974.33333</v>
      </c>
      <c r="I267" s="237" t="str">
        <f t="shared" si="1"/>
        <v>Fora</v>
      </c>
      <c r="J267" s="239">
        <v>240.00000000698492</v>
      </c>
    </row>
    <row r="268">
      <c r="A268" s="234" t="s">
        <v>1978</v>
      </c>
      <c r="B268" s="234" t="str">
        <f>IFERROR(__xludf.DUMMYFUNCTION("""COMPUTED_VALUE"""),"SoC_GO_Goiânia_02")</f>
        <v>SoC_GO_Goiânia_02</v>
      </c>
      <c r="C268" s="234" t="str">
        <f>IFERROR(__xludf.DUMMYFUNCTION("""COMPUTED_VALUE"""),"SOC-GO2")</f>
        <v>SOC-GO2</v>
      </c>
      <c r="D268" s="234">
        <f>IFERROR(__xludf.DUMMYFUNCTION("""COMPUTED_VALUE"""),24.0)</f>
        <v>24</v>
      </c>
      <c r="E268" s="237" t="str">
        <f>IFERROR(__xludf.DUMMYFUNCTION("""COMPUTED_VALUE"""),"LT0PBD01RFXY1")</f>
        <v>LT0PBD01RFXY1</v>
      </c>
      <c r="F268" s="238" t="str">
        <f>IFERROR(__xludf.DUMMYFUNCTION("""COMPUTED_VALUE"""),"CVN4642,FUZ7468")</f>
        <v>CVN4642,FUZ7468</v>
      </c>
      <c r="G268" s="238">
        <f>IFERROR(__xludf.DUMMYFUNCTION("""COMPUTED_VALUE"""),45974.166666666664)</f>
        <v>45974.16667</v>
      </c>
      <c r="H268" s="238">
        <f>IFERROR(__xludf.DUMMYFUNCTION("""COMPUTED_VALUE"""),45974.333333333336)</f>
        <v>45974.33333</v>
      </c>
      <c r="I268" s="237" t="str">
        <f t="shared" si="1"/>
        <v>Fora</v>
      </c>
      <c r="J268" s="239">
        <v>240.00000000698492</v>
      </c>
    </row>
    <row r="269">
      <c r="A269" s="234" t="s">
        <v>1979</v>
      </c>
      <c r="B269" s="234" t="str">
        <f>IFERROR(__xludf.DUMMYFUNCTION("""COMPUTED_VALUE"""),"SoC_RS_Gravataí_02")</f>
        <v>SoC_RS_Gravataí_02</v>
      </c>
      <c r="C269" s="234" t="str">
        <f>IFERROR(__xludf.DUMMYFUNCTION("""COMPUTED_VALUE"""),"SOC-RS2")</f>
        <v>SOC-RS2</v>
      </c>
      <c r="D269" s="234">
        <f>IFERROR(__xludf.DUMMYFUNCTION("""COMPUTED_VALUE"""),40.0)</f>
        <v>40</v>
      </c>
      <c r="E269" s="237" t="str">
        <f>IFERROR(__xludf.DUMMYFUNCTION("""COMPUTED_VALUE"""),"LT0PBD01RG2P1")</f>
        <v>LT0PBD01RG2P1</v>
      </c>
      <c r="F269" s="238" t="str">
        <f>IFERROR(__xludf.DUMMYFUNCTION("""COMPUTED_VALUE"""),"JAB9D57,JCU3F99")</f>
        <v>JAB9D57,JCU3F99</v>
      </c>
      <c r="G269" s="238">
        <f>IFERROR(__xludf.DUMMYFUNCTION("""COMPUTED_VALUE"""),45974.166666666664)</f>
        <v>45974.16667</v>
      </c>
      <c r="H269" s="238">
        <f>IFERROR(__xludf.DUMMYFUNCTION("""COMPUTED_VALUE"""),45974.333333333336)</f>
        <v>45974.33333</v>
      </c>
      <c r="I269" s="237" t="str">
        <f t="shared" si="1"/>
        <v>Fora</v>
      </c>
      <c r="J269" s="239">
        <v>119.99999999301508</v>
      </c>
    </row>
    <row r="270">
      <c r="A270" s="234" t="s">
        <v>1980</v>
      </c>
      <c r="B270" s="234" t="str">
        <f>IFERROR(__xludf.DUMMYFUNCTION("""COMPUTED_VALUE"""),"LM Hub_SP_Parque Novo Mundo")</f>
        <v>LM Hub_SP_Parque Novo Mundo</v>
      </c>
      <c r="C270" s="234" t="str">
        <f>IFERROR(__xludf.DUMMYFUNCTION("""COMPUTED_VALUE"""),"HUB-LSP-89")</f>
        <v>HUB-LSP-89</v>
      </c>
      <c r="D270" s="234"/>
      <c r="E270" s="237" t="str">
        <f>IFERROR(__xludf.DUMMYFUNCTION("""COMPUTED_VALUE"""),"LT0PBD01RJ5T1")</f>
        <v>LT0PBD01RJ5T1</v>
      </c>
      <c r="F270" s="234"/>
      <c r="G270" s="238">
        <f>IFERROR(__xludf.DUMMYFUNCTION("""COMPUTED_VALUE"""),45974.270833333336)</f>
        <v>45974.27083</v>
      </c>
      <c r="H270" s="238">
        <f>IFERROR(__xludf.DUMMYFUNCTION("""COMPUTED_VALUE"""),45974.354166666664)</f>
        <v>45974.35417</v>
      </c>
      <c r="I270" s="237" t="str">
        <f t="shared" si="1"/>
        <v>Fora</v>
      </c>
      <c r="J270" s="239">
        <v>119.99999999301508</v>
      </c>
    </row>
    <row r="271">
      <c r="A271" s="234" t="s">
        <v>1980</v>
      </c>
      <c r="B271" s="234" t="str">
        <f>IFERROR(__xludf.DUMMYFUNCTION("""COMPUTED_VALUE"""),"LM Hub_SP_Parque Novo Mundo")</f>
        <v>LM Hub_SP_Parque Novo Mundo</v>
      </c>
      <c r="C271" s="234" t="str">
        <f>IFERROR(__xludf.DUMMYFUNCTION("""COMPUTED_VALUE"""),"HUB-LSP-89")</f>
        <v>HUB-LSP-89</v>
      </c>
      <c r="D271" s="234"/>
      <c r="E271" s="237" t="str">
        <f>IFERROR(__xludf.DUMMYFUNCTION("""COMPUTED_VALUE"""),"LT0PBD01RJ5T1")</f>
        <v>LT0PBD01RJ5T1</v>
      </c>
      <c r="F271" s="234"/>
      <c r="G271" s="238">
        <f>IFERROR(__xludf.DUMMYFUNCTION("""COMPUTED_VALUE"""),45974.270833333336)</f>
        <v>45974.27083</v>
      </c>
      <c r="H271" s="238">
        <f>IFERROR(__xludf.DUMMYFUNCTION("""COMPUTED_VALUE"""),45974.354166666664)</f>
        <v>45974.35417</v>
      </c>
      <c r="I271" s="237" t="str">
        <f t="shared" si="1"/>
        <v>Fora</v>
      </c>
      <c r="J271" s="239">
        <v>480.00000000349246</v>
      </c>
    </row>
    <row r="272">
      <c r="A272" s="234" t="s">
        <v>1981</v>
      </c>
      <c r="B272" s="234" t="str">
        <f>IFERROR(__xludf.DUMMYFUNCTION("""COMPUTED_VALUE"""),"SoC_GO_Goiânia_02")</f>
        <v>SoC_GO_Goiânia_02</v>
      </c>
      <c r="C272" s="234" t="str">
        <f>IFERROR(__xludf.DUMMYFUNCTION("""COMPUTED_VALUE"""),"SOC-GO2")</f>
        <v>SOC-GO2</v>
      </c>
      <c r="D272" s="234"/>
      <c r="E272" s="237" t="str">
        <f>IFERROR(__xludf.DUMMYFUNCTION("""COMPUTED_VALUE"""),"LT1PBD01RQ5Z1")</f>
        <v>LT1PBD01RQ5Z1</v>
      </c>
      <c r="F272" s="234"/>
      <c r="G272" s="238">
        <f>IFERROR(__xludf.DUMMYFUNCTION("""COMPUTED_VALUE"""),45974.041666666664)</f>
        <v>45974.04167</v>
      </c>
      <c r="H272" s="238">
        <f>IFERROR(__xludf.DUMMYFUNCTION("""COMPUTED_VALUE"""),45974.375)</f>
        <v>45974.375</v>
      </c>
      <c r="I272" s="237" t="str">
        <f t="shared" si="1"/>
        <v>Fora</v>
      </c>
      <c r="J272" s="239">
        <v>480.00000000349246</v>
      </c>
    </row>
    <row r="273">
      <c r="A273" s="234" t="s">
        <v>1981</v>
      </c>
      <c r="B273" s="234" t="str">
        <f>IFERROR(__xludf.DUMMYFUNCTION("""COMPUTED_VALUE"""),"SoC_GO_Goiânia_02")</f>
        <v>SoC_GO_Goiânia_02</v>
      </c>
      <c r="C273" s="234" t="str">
        <f>IFERROR(__xludf.DUMMYFUNCTION("""COMPUTED_VALUE"""),"SOC-GO2")</f>
        <v>SOC-GO2</v>
      </c>
      <c r="D273" s="234"/>
      <c r="E273" s="237" t="str">
        <f>IFERROR(__xludf.DUMMYFUNCTION("""COMPUTED_VALUE"""),"LT1PBD01RQ5Z1")</f>
        <v>LT1PBD01RQ5Z1</v>
      </c>
      <c r="F273" s="234"/>
      <c r="G273" s="238">
        <f>IFERROR(__xludf.DUMMYFUNCTION("""COMPUTED_VALUE"""),45974.041666666664)</f>
        <v>45974.04167</v>
      </c>
      <c r="H273" s="238">
        <f>IFERROR(__xludf.DUMMYFUNCTION("""COMPUTED_VALUE"""),45974.375)</f>
        <v>45974.375</v>
      </c>
      <c r="I273" s="237" t="str">
        <f t="shared" si="1"/>
        <v>Fora</v>
      </c>
      <c r="J273" s="239">
        <v>480.00000000349246</v>
      </c>
    </row>
    <row r="274">
      <c r="A274" s="234" t="s">
        <v>1982</v>
      </c>
      <c r="B274" s="234" t="str">
        <f>IFERROR(__xludf.DUMMYFUNCTION("""COMPUTED_VALUE"""),"SoC_PE_Jaboatão dos Guararapes")</f>
        <v>SoC_PE_Jaboatão dos Guararapes</v>
      </c>
      <c r="C274" s="234" t="str">
        <f>IFERROR(__xludf.DUMMYFUNCTION("""COMPUTED_VALUE"""),"SOC-PE2")</f>
        <v>SOC-PE2</v>
      </c>
      <c r="D274" s="234"/>
      <c r="E274" s="237" t="str">
        <f>IFERROR(__xludf.DUMMYFUNCTION("""COMPUTED_VALUE"""),"LT1PBD01RQ5V1")</f>
        <v>LT1PBD01RQ5V1</v>
      </c>
      <c r="F274" s="234"/>
      <c r="G274" s="238">
        <f>IFERROR(__xludf.DUMMYFUNCTION("""COMPUTED_VALUE"""),45974.041666666664)</f>
        <v>45974.04167</v>
      </c>
      <c r="H274" s="238">
        <f>IFERROR(__xludf.DUMMYFUNCTION("""COMPUTED_VALUE"""),45974.375)</f>
        <v>45974.375</v>
      </c>
      <c r="I274" s="237" t="str">
        <f t="shared" si="1"/>
        <v>Fora</v>
      </c>
      <c r="J274" s="239">
        <v>480.00000000349246</v>
      </c>
    </row>
    <row r="275">
      <c r="A275" s="234" t="s">
        <v>1982</v>
      </c>
      <c r="B275" s="234" t="str">
        <f>IFERROR(__xludf.DUMMYFUNCTION("""COMPUTED_VALUE"""),"SoC_PE_Jaboatão dos Guararapes")</f>
        <v>SoC_PE_Jaboatão dos Guararapes</v>
      </c>
      <c r="C275" s="234" t="str">
        <f>IFERROR(__xludf.DUMMYFUNCTION("""COMPUTED_VALUE"""),"SOC-PE2")</f>
        <v>SOC-PE2</v>
      </c>
      <c r="D275" s="234"/>
      <c r="E275" s="237" t="str">
        <f>IFERROR(__xludf.DUMMYFUNCTION("""COMPUTED_VALUE"""),"LT1PBD01RQ5V1")</f>
        <v>LT1PBD01RQ5V1</v>
      </c>
      <c r="F275" s="234"/>
      <c r="G275" s="238">
        <f>IFERROR(__xludf.DUMMYFUNCTION("""COMPUTED_VALUE"""),45974.041666666664)</f>
        <v>45974.04167</v>
      </c>
      <c r="H275" s="238">
        <f>IFERROR(__xludf.DUMMYFUNCTION("""COMPUTED_VALUE"""),45974.375)</f>
        <v>45974.375</v>
      </c>
      <c r="I275" s="237" t="str">
        <f t="shared" si="1"/>
        <v>Fora</v>
      </c>
      <c r="J275" s="239">
        <v>419.99999999650754</v>
      </c>
    </row>
    <row r="276">
      <c r="A276" s="234" t="s">
        <v>1983</v>
      </c>
      <c r="B276" s="234" t="str">
        <f>IFERROR(__xludf.DUMMYFUNCTION("""COMPUTED_VALUE"""),"SoC_SP_Santana")</f>
        <v>SoC_SP_Santana</v>
      </c>
      <c r="C276" s="234" t="str">
        <f>IFERROR(__xludf.DUMMYFUNCTION("""COMPUTED_VALUE"""),"SOC-SP2")</f>
        <v>SOC-SP2</v>
      </c>
      <c r="D276" s="234"/>
      <c r="E276" s="237" t="str">
        <f>IFERROR(__xludf.DUMMYFUNCTION("""COMPUTED_VALUE"""),"LT0PBD01R8WA1")</f>
        <v>LT0PBD01R8WA1</v>
      </c>
      <c r="F276" s="234"/>
      <c r="G276" s="238">
        <f>IFERROR(__xludf.DUMMYFUNCTION("""COMPUTED_VALUE"""),45974.083333333336)</f>
        <v>45974.08333</v>
      </c>
      <c r="H276" s="238">
        <f>IFERROR(__xludf.DUMMYFUNCTION("""COMPUTED_VALUE"""),45974.375)</f>
        <v>45974.375</v>
      </c>
      <c r="I276" s="237" t="str">
        <f t="shared" si="1"/>
        <v>Fora</v>
      </c>
      <c r="J276" s="239">
        <v>419.99999999650754</v>
      </c>
    </row>
    <row r="277">
      <c r="A277" s="234" t="s">
        <v>1983</v>
      </c>
      <c r="B277" s="234" t="str">
        <f>IFERROR(__xludf.DUMMYFUNCTION("""COMPUTED_VALUE"""),"SoC_SP_Santana")</f>
        <v>SoC_SP_Santana</v>
      </c>
      <c r="C277" s="234" t="str">
        <f>IFERROR(__xludf.DUMMYFUNCTION("""COMPUTED_VALUE"""),"SOC-SP2")</f>
        <v>SOC-SP2</v>
      </c>
      <c r="D277" s="234">
        <f>IFERROR(__xludf.DUMMYFUNCTION("""COMPUTED_VALUE"""),33.0)</f>
        <v>33</v>
      </c>
      <c r="E277" s="237" t="str">
        <f>IFERROR(__xludf.DUMMYFUNCTION("""COMPUTED_VALUE"""),"LT0PBD01R8WA1")</f>
        <v>LT0PBD01R8WA1</v>
      </c>
      <c r="F277" s="234"/>
      <c r="G277" s="238">
        <f>IFERROR(__xludf.DUMMYFUNCTION("""COMPUTED_VALUE"""),45974.083333333336)</f>
        <v>45974.08333</v>
      </c>
      <c r="H277" s="238">
        <f>IFERROR(__xludf.DUMMYFUNCTION("""COMPUTED_VALUE"""),45974.375)</f>
        <v>45974.375</v>
      </c>
      <c r="I277" s="237" t="str">
        <f t="shared" si="1"/>
        <v>Fora</v>
      </c>
      <c r="J277" s="239">
        <v>120.00000000349246</v>
      </c>
    </row>
    <row r="278">
      <c r="A278" s="234" t="s">
        <v>1984</v>
      </c>
      <c r="B278" s="234" t="str">
        <f>IFERROR(__xludf.DUMMYFUNCTION("""COMPUTED_VALUE"""),"LM Hub_SP_Santo André")</f>
        <v>LM Hub_SP_Santo André</v>
      </c>
      <c r="C278" s="234" t="str">
        <f>IFERROR(__xludf.DUMMYFUNCTION("""COMPUTED_VALUE"""),"HUB-LSP-93")</f>
        <v>HUB-LSP-93</v>
      </c>
      <c r="D278" s="234"/>
      <c r="E278" s="237" t="str">
        <f>IFERROR(__xludf.DUMMYFUNCTION("""COMPUTED_VALUE"""),"LT0PBD01RBQ11")</f>
        <v>LT0PBD01RBQ11</v>
      </c>
      <c r="F278" s="234"/>
      <c r="G278" s="238">
        <f>IFERROR(__xludf.DUMMYFUNCTION("""COMPUTED_VALUE"""),45974.291666666664)</f>
        <v>45974.29167</v>
      </c>
      <c r="H278" s="238">
        <f>IFERROR(__xludf.DUMMYFUNCTION("""COMPUTED_VALUE"""),45974.375)</f>
        <v>45974.375</v>
      </c>
      <c r="I278" s="237" t="str">
        <f t="shared" si="1"/>
        <v>Fora</v>
      </c>
      <c r="J278" s="239">
        <v>120.00000000349246</v>
      </c>
    </row>
    <row r="279">
      <c r="A279" s="234" t="s">
        <v>1984</v>
      </c>
      <c r="B279" s="234" t="str">
        <f>IFERROR(__xludf.DUMMYFUNCTION("""COMPUTED_VALUE"""),"LM Hub_SP_Santo André")</f>
        <v>LM Hub_SP_Santo André</v>
      </c>
      <c r="C279" s="234" t="str">
        <f>IFERROR(__xludf.DUMMYFUNCTION("""COMPUTED_VALUE"""),"HUB-LSP-93")</f>
        <v>HUB-LSP-93</v>
      </c>
      <c r="D279" s="234"/>
      <c r="E279" s="237" t="str">
        <f>IFERROR(__xludf.DUMMYFUNCTION("""COMPUTED_VALUE"""),"LT0PBD01RBQ11")</f>
        <v>LT0PBD01RBQ11</v>
      </c>
      <c r="F279" s="234"/>
      <c r="G279" s="238">
        <f>IFERROR(__xludf.DUMMYFUNCTION("""COMPUTED_VALUE"""),45974.291666666664)</f>
        <v>45974.29167</v>
      </c>
      <c r="H279" s="238">
        <f>IFERROR(__xludf.DUMMYFUNCTION("""COMPUTED_VALUE"""),45974.375)</f>
        <v>45974.375</v>
      </c>
      <c r="I279" s="237" t="str">
        <f t="shared" si="1"/>
        <v>Fora</v>
      </c>
      <c r="J279" s="239">
        <v>120.00000000349246</v>
      </c>
    </row>
    <row r="280">
      <c r="A280" s="234" t="s">
        <v>1985</v>
      </c>
      <c r="B280" s="234" t="str">
        <f>IFERROR(__xludf.DUMMYFUNCTION("""COMPUTED_VALUE"""),"SoC_GO_Goiânia_02")</f>
        <v>SoC_GO_Goiânia_02</v>
      </c>
      <c r="C280" s="234" t="str">
        <f>IFERROR(__xludf.DUMMYFUNCTION("""COMPUTED_VALUE"""),"SOC-GO2")</f>
        <v>SOC-GO2</v>
      </c>
      <c r="D280" s="234"/>
      <c r="E280" s="237" t="str">
        <f>IFERROR(__xludf.DUMMYFUNCTION("""COMPUTED_VALUE"""),"LT0PBD01RFY61")</f>
        <v>LT0PBD01RFY61</v>
      </c>
      <c r="F280" s="234"/>
      <c r="G280" s="238">
        <f>IFERROR(__xludf.DUMMYFUNCTION("""COMPUTED_VALUE"""),45974.291666666664)</f>
        <v>45974.29167</v>
      </c>
      <c r="H280" s="238">
        <f>IFERROR(__xludf.DUMMYFUNCTION("""COMPUTED_VALUE"""),45974.375)</f>
        <v>45974.375</v>
      </c>
      <c r="I280" s="237" t="str">
        <f t="shared" si="1"/>
        <v>Fora</v>
      </c>
      <c r="J280" s="239">
        <v>120.00000000349246</v>
      </c>
    </row>
    <row r="281">
      <c r="A281" s="234" t="s">
        <v>1985</v>
      </c>
      <c r="B281" s="234" t="str">
        <f>IFERROR(__xludf.DUMMYFUNCTION("""COMPUTED_VALUE"""),"SoC_GO_Goiânia_02")</f>
        <v>SoC_GO_Goiânia_02</v>
      </c>
      <c r="C281" s="234" t="str">
        <f>IFERROR(__xludf.DUMMYFUNCTION("""COMPUTED_VALUE"""),"SOC-GO2")</f>
        <v>SOC-GO2</v>
      </c>
      <c r="D281" s="234"/>
      <c r="E281" s="237" t="str">
        <f>IFERROR(__xludf.DUMMYFUNCTION("""COMPUTED_VALUE"""),"LT0PBD01RFY61")</f>
        <v>LT0PBD01RFY61</v>
      </c>
      <c r="F281" s="234"/>
      <c r="G281" s="238">
        <f>IFERROR(__xludf.DUMMYFUNCTION("""COMPUTED_VALUE"""),45974.291666666664)</f>
        <v>45974.29167</v>
      </c>
      <c r="H281" s="238">
        <f>IFERROR(__xludf.DUMMYFUNCTION("""COMPUTED_VALUE"""),45974.375)</f>
        <v>45974.375</v>
      </c>
      <c r="I281" s="237" t="str">
        <f t="shared" si="1"/>
        <v>Fora</v>
      </c>
      <c r="J281" s="239">
        <v>120.00000000349246</v>
      </c>
    </row>
    <row r="282">
      <c r="A282" s="234" t="s">
        <v>1985</v>
      </c>
      <c r="B282" s="234" t="str">
        <f>IFERROR(__xludf.DUMMYFUNCTION("""COMPUTED_VALUE"""),"SoC_GO_Goiânia_02")</f>
        <v>SoC_GO_Goiânia_02</v>
      </c>
      <c r="C282" s="234" t="str">
        <f>IFERROR(__xludf.DUMMYFUNCTION("""COMPUTED_VALUE"""),"SOC-GO2")</f>
        <v>SOC-GO2</v>
      </c>
      <c r="D282" s="234"/>
      <c r="E282" s="237" t="str">
        <f>IFERROR(__xludf.DUMMYFUNCTION("""COMPUTED_VALUE"""),"LT0PBD01RFY61")</f>
        <v>LT0PBD01RFY61</v>
      </c>
      <c r="F282" s="234"/>
      <c r="G282" s="238">
        <f>IFERROR(__xludf.DUMMYFUNCTION("""COMPUTED_VALUE"""),45974.291666666664)</f>
        <v>45974.29167</v>
      </c>
      <c r="H282" s="238">
        <f>IFERROR(__xludf.DUMMYFUNCTION("""COMPUTED_VALUE"""),45974.375)</f>
        <v>45974.375</v>
      </c>
      <c r="I282" s="237" t="str">
        <f t="shared" si="1"/>
        <v>Fora</v>
      </c>
      <c r="J282" s="239">
        <v>59.99999999650754</v>
      </c>
    </row>
    <row r="283">
      <c r="A283" s="234" t="s">
        <v>1986</v>
      </c>
      <c r="B283" s="234" t="str">
        <f>IFERROR(__xludf.DUMMYFUNCTION("""COMPUTED_VALUE"""),"LM Hub_SP_São Paulo_Carandiru")</f>
        <v>LM Hub_SP_São Paulo_Carandiru</v>
      </c>
      <c r="C283" s="234" t="str">
        <f>IFERROR(__xludf.DUMMYFUNCTION("""COMPUTED_VALUE"""),"HUB-LSP-18")</f>
        <v>HUB-LSP-18</v>
      </c>
      <c r="D283" s="234"/>
      <c r="E283" s="237" t="str">
        <f>IFERROR(__xludf.DUMMYFUNCTION("""COMPUTED_VALUE"""),"LT0PBD01RJ7I1")</f>
        <v>LT0PBD01RJ7I1</v>
      </c>
      <c r="F283" s="234"/>
      <c r="G283" s="238">
        <f>IFERROR(__xludf.DUMMYFUNCTION("""COMPUTED_VALUE"""),45974.333333333336)</f>
        <v>45974.33333</v>
      </c>
      <c r="H283" s="238">
        <f>IFERROR(__xludf.DUMMYFUNCTION("""COMPUTED_VALUE"""),45974.375)</f>
        <v>45974.375</v>
      </c>
      <c r="I283" s="237" t="str">
        <f t="shared" si="1"/>
        <v>Fora</v>
      </c>
      <c r="J283" s="239">
        <v>59.99999999650754</v>
      </c>
    </row>
    <row r="284">
      <c r="A284" s="234" t="s">
        <v>1986</v>
      </c>
      <c r="B284" s="234" t="str">
        <f>IFERROR(__xludf.DUMMYFUNCTION("""COMPUTED_VALUE"""),"LM Hub_SP_São Paulo_Carandiru")</f>
        <v>LM Hub_SP_São Paulo_Carandiru</v>
      </c>
      <c r="C284" s="234" t="str">
        <f>IFERROR(__xludf.DUMMYFUNCTION("""COMPUTED_VALUE"""),"HUB-LSP-18")</f>
        <v>HUB-LSP-18</v>
      </c>
      <c r="D284" s="234"/>
      <c r="E284" s="237" t="str">
        <f>IFERROR(__xludf.DUMMYFUNCTION("""COMPUTED_VALUE"""),"LT0PBD01RJ7I1")</f>
        <v>LT0PBD01RJ7I1</v>
      </c>
      <c r="F284" s="234"/>
      <c r="G284" s="238">
        <f>IFERROR(__xludf.DUMMYFUNCTION("""COMPUTED_VALUE"""),45974.333333333336)</f>
        <v>45974.33333</v>
      </c>
      <c r="H284" s="238">
        <f>IFERROR(__xludf.DUMMYFUNCTION("""COMPUTED_VALUE"""),45974.375)</f>
        <v>45974.375</v>
      </c>
      <c r="I284" s="237" t="str">
        <f t="shared" si="1"/>
        <v>Fora</v>
      </c>
      <c r="J284" s="239">
        <v>479.9999999930151</v>
      </c>
    </row>
    <row r="285">
      <c r="A285" s="234" t="s">
        <v>1987</v>
      </c>
      <c r="B285" s="234" t="str">
        <f>IFERROR(__xludf.DUMMYFUNCTION("""COMPUTED_VALUE"""),"SoC_SP_Cravinhos")</f>
        <v>SoC_SP_Cravinhos</v>
      </c>
      <c r="C285" s="234" t="str">
        <f>IFERROR(__xludf.DUMMYFUNCTION("""COMPUTED_VALUE"""),"SOC-SP5")</f>
        <v>SOC-SP5</v>
      </c>
      <c r="D285" s="234"/>
      <c r="E285" s="237" t="str">
        <f>IFERROR(__xludf.DUMMYFUNCTION("""COMPUTED_VALUE"""),"LT0PBD01R8941")</f>
        <v>LT0PBD01R8941</v>
      </c>
      <c r="F285" s="234"/>
      <c r="G285" s="238">
        <f>IFERROR(__xludf.DUMMYFUNCTION("""COMPUTED_VALUE"""),45974.083333333336)</f>
        <v>45974.08333</v>
      </c>
      <c r="H285" s="238">
        <f>IFERROR(__xludf.DUMMYFUNCTION("""COMPUTED_VALUE"""),45974.416666666664)</f>
        <v>45974.41667</v>
      </c>
      <c r="I285" s="237" t="str">
        <f t="shared" si="1"/>
        <v>Fora</v>
      </c>
      <c r="J285" s="239">
        <v>479.9999999930151</v>
      </c>
    </row>
    <row r="286">
      <c r="A286" s="234" t="s">
        <v>1987</v>
      </c>
      <c r="B286" s="234" t="str">
        <f>IFERROR(__xludf.DUMMYFUNCTION("""COMPUTED_VALUE"""),"SoC_SP_Cravinhos")</f>
        <v>SoC_SP_Cravinhos</v>
      </c>
      <c r="C286" s="234" t="str">
        <f>IFERROR(__xludf.DUMMYFUNCTION("""COMPUTED_VALUE"""),"SOC-SP5")</f>
        <v>SOC-SP5</v>
      </c>
      <c r="D286" s="234"/>
      <c r="E286" s="237" t="str">
        <f>IFERROR(__xludf.DUMMYFUNCTION("""COMPUTED_VALUE"""),"LT0PBD01R8941")</f>
        <v>LT0PBD01R8941</v>
      </c>
      <c r="F286" s="234"/>
      <c r="G286" s="238">
        <f>IFERROR(__xludf.DUMMYFUNCTION("""COMPUTED_VALUE"""),45974.083333333336)</f>
        <v>45974.08333</v>
      </c>
      <c r="H286" s="238">
        <f>IFERROR(__xludf.DUMMYFUNCTION("""COMPUTED_VALUE"""),45974.416666666664)</f>
        <v>45974.41667</v>
      </c>
      <c r="I286" s="237" t="str">
        <f t="shared" si="1"/>
        <v>Fora</v>
      </c>
      <c r="J286" s="239">
        <v>479.9999999930151</v>
      </c>
    </row>
    <row r="287">
      <c r="A287" s="234" t="s">
        <v>1987</v>
      </c>
      <c r="B287" s="234" t="str">
        <f>IFERROR(__xludf.DUMMYFUNCTION("""COMPUTED_VALUE"""),"SoC_SP_Cravinhos")</f>
        <v>SoC_SP_Cravinhos</v>
      </c>
      <c r="C287" s="234" t="str">
        <f>IFERROR(__xludf.DUMMYFUNCTION("""COMPUTED_VALUE"""),"SOC-SP5")</f>
        <v>SOC-SP5</v>
      </c>
      <c r="D287" s="234"/>
      <c r="E287" s="237" t="str">
        <f>IFERROR(__xludf.DUMMYFUNCTION("""COMPUTED_VALUE"""),"LT0PBD01R8941")</f>
        <v>LT0PBD01R8941</v>
      </c>
      <c r="F287" s="234"/>
      <c r="G287" s="238">
        <f>IFERROR(__xludf.DUMMYFUNCTION("""COMPUTED_VALUE"""),45974.083333333336)</f>
        <v>45974.08333</v>
      </c>
      <c r="H287" s="238">
        <f>IFERROR(__xludf.DUMMYFUNCTION("""COMPUTED_VALUE"""),45974.416666666664)</f>
        <v>45974.41667</v>
      </c>
      <c r="I287" s="237" t="str">
        <f t="shared" si="1"/>
        <v>Fora</v>
      </c>
      <c r="J287" s="239">
        <v>479.00000000023283</v>
      </c>
    </row>
    <row r="288">
      <c r="A288" s="234" t="s">
        <v>1988</v>
      </c>
      <c r="B288" s="234" t="str">
        <f>IFERROR(__xludf.DUMMYFUNCTION("""COMPUTED_VALUE"""),"SoC_RJ_Duque de Caxias")</f>
        <v>SoC_RJ_Duque de Caxias</v>
      </c>
      <c r="C288" s="234" t="str">
        <f>IFERROR(__xludf.DUMMYFUNCTION("""COMPUTED_VALUE"""),"SOC-RJ2")</f>
        <v>SOC-RJ2</v>
      </c>
      <c r="D288" s="234"/>
      <c r="E288" s="237" t="str">
        <f>IFERROR(__xludf.DUMMYFUNCTION("""COMPUTED_VALUE"""),"LT0PBD01RB2X2")</f>
        <v>LT0PBD01RB2X2</v>
      </c>
      <c r="F288" s="234"/>
      <c r="G288" s="238">
        <f>IFERROR(__xludf.DUMMYFUNCTION("""COMPUTED_VALUE"""),45974.084027777775)</f>
        <v>45974.08403</v>
      </c>
      <c r="H288" s="238">
        <f>IFERROR(__xludf.DUMMYFUNCTION("""COMPUTED_VALUE"""),45974.416666666664)</f>
        <v>45974.41667</v>
      </c>
      <c r="I288" s="237" t="str">
        <f t="shared" si="1"/>
        <v>Fora</v>
      </c>
      <c r="J288" s="239">
        <v>479.00000000023283</v>
      </c>
    </row>
    <row r="289">
      <c r="A289" s="234" t="s">
        <v>1988</v>
      </c>
      <c r="B289" s="234" t="str">
        <f>IFERROR(__xludf.DUMMYFUNCTION("""COMPUTED_VALUE"""),"SoC_RJ_Duque de Caxias")</f>
        <v>SoC_RJ_Duque de Caxias</v>
      </c>
      <c r="C289" s="234" t="str">
        <f>IFERROR(__xludf.DUMMYFUNCTION("""COMPUTED_VALUE"""),"SOC-RJ2")</f>
        <v>SOC-RJ2</v>
      </c>
      <c r="D289" s="234"/>
      <c r="E289" s="237" t="str">
        <f>IFERROR(__xludf.DUMMYFUNCTION("""COMPUTED_VALUE"""),"LT0PBD01RB2X2")</f>
        <v>LT0PBD01RB2X2</v>
      </c>
      <c r="F289" s="234"/>
      <c r="G289" s="238">
        <f>IFERROR(__xludf.DUMMYFUNCTION("""COMPUTED_VALUE"""),45974.084027777775)</f>
        <v>45974.08403</v>
      </c>
      <c r="H289" s="238">
        <f>IFERROR(__xludf.DUMMYFUNCTION("""COMPUTED_VALUE"""),45974.416666666664)</f>
        <v>45974.41667</v>
      </c>
      <c r="I289" s="237" t="str">
        <f t="shared" si="1"/>
        <v>Fora</v>
      </c>
      <c r="J289" s="239">
        <v>119.99999999301508</v>
      </c>
    </row>
    <row r="290">
      <c r="A290" s="234" t="s">
        <v>1989</v>
      </c>
      <c r="B290" s="234" t="str">
        <f>IFERROR(__xludf.DUMMYFUNCTION("""COMPUTED_VALUE"""),"SoC_PE_Jaboatão dos Guararapes")</f>
        <v>SoC_PE_Jaboatão dos Guararapes</v>
      </c>
      <c r="C290" s="234" t="str">
        <f>IFERROR(__xludf.DUMMYFUNCTION("""COMPUTED_VALUE"""),"SOC-PE2")</f>
        <v>SOC-PE2</v>
      </c>
      <c r="D290" s="234"/>
      <c r="E290" s="237" t="str">
        <f>IFERROR(__xludf.DUMMYFUNCTION("""COMPUTED_VALUE"""),"LT0PBD01RFK81")</f>
        <v>LT0PBD01RFK81</v>
      </c>
      <c r="F290" s="234"/>
      <c r="G290" s="238">
        <f>IFERROR(__xludf.DUMMYFUNCTION("""COMPUTED_VALUE"""),45974.333333333336)</f>
        <v>45974.33333</v>
      </c>
      <c r="H290" s="238">
        <f>IFERROR(__xludf.DUMMYFUNCTION("""COMPUTED_VALUE"""),45974.416666666664)</f>
        <v>45974.41667</v>
      </c>
      <c r="I290" s="237" t="str">
        <f t="shared" si="1"/>
        <v>Fora</v>
      </c>
      <c r="J290" s="239">
        <v>119.99999999301508</v>
      </c>
    </row>
    <row r="291">
      <c r="A291" s="234" t="s">
        <v>1989</v>
      </c>
      <c r="B291" s="234" t="str">
        <f>IFERROR(__xludf.DUMMYFUNCTION("""COMPUTED_VALUE"""),"SoC_PE_Jaboatão dos Guararapes")</f>
        <v>SoC_PE_Jaboatão dos Guararapes</v>
      </c>
      <c r="C291" s="234" t="str">
        <f>IFERROR(__xludf.DUMMYFUNCTION("""COMPUTED_VALUE"""),"SOC-PE2")</f>
        <v>SOC-PE2</v>
      </c>
      <c r="D291" s="234"/>
      <c r="E291" s="237" t="str">
        <f>IFERROR(__xludf.DUMMYFUNCTION("""COMPUTED_VALUE"""),"LT0PBD01RFK81")</f>
        <v>LT0PBD01RFK81</v>
      </c>
      <c r="F291" s="234"/>
      <c r="G291" s="238">
        <f>IFERROR(__xludf.DUMMYFUNCTION("""COMPUTED_VALUE"""),45974.333333333336)</f>
        <v>45974.33333</v>
      </c>
      <c r="H291" s="238">
        <f>IFERROR(__xludf.DUMMYFUNCTION("""COMPUTED_VALUE"""),45974.416666666664)</f>
        <v>45974.41667</v>
      </c>
      <c r="I291" s="237" t="str">
        <f t="shared" si="1"/>
        <v>Fora</v>
      </c>
      <c r="J291" s="239">
        <v>119.99999999301508</v>
      </c>
    </row>
    <row r="292">
      <c r="A292" s="234" t="s">
        <v>1989</v>
      </c>
      <c r="B292" s="234" t="str">
        <f>IFERROR(__xludf.DUMMYFUNCTION("""COMPUTED_VALUE"""),"SoC_PE_Jaboatão dos Guararapes")</f>
        <v>SoC_PE_Jaboatão dos Guararapes</v>
      </c>
      <c r="C292" s="234" t="str">
        <f>IFERROR(__xludf.DUMMYFUNCTION("""COMPUTED_VALUE"""),"SOC-PE2")</f>
        <v>SOC-PE2</v>
      </c>
      <c r="D292" s="234"/>
      <c r="E292" s="237" t="str">
        <f>IFERROR(__xludf.DUMMYFUNCTION("""COMPUTED_VALUE"""),"LT0PBD01RFK81")</f>
        <v>LT0PBD01RFK81</v>
      </c>
      <c r="F292" s="234"/>
      <c r="G292" s="238">
        <f>IFERROR(__xludf.DUMMYFUNCTION("""COMPUTED_VALUE"""),45974.333333333336)</f>
        <v>45974.33333</v>
      </c>
      <c r="H292" s="238">
        <f>IFERROR(__xludf.DUMMYFUNCTION("""COMPUTED_VALUE"""),45974.416666666664)</f>
        <v>45974.41667</v>
      </c>
      <c r="I292" s="237" t="str">
        <f t="shared" si="1"/>
        <v>Fora</v>
      </c>
      <c r="J292" s="239" t="e">
        <v>#VALUE!</v>
      </c>
    </row>
    <row r="293">
      <c r="A293" s="234" t="s">
        <v>1988</v>
      </c>
      <c r="B293" s="234" t="str">
        <f>IFERROR(__xludf.DUMMYFUNCTION("""COMPUTED_VALUE"""),"SoC_RJ_Duque de Caxias")</f>
        <v>SoC_RJ_Duque de Caxias</v>
      </c>
      <c r="C293" s="234" t="str">
        <f>IFERROR(__xludf.DUMMYFUNCTION("""COMPUTED_VALUE"""),"SOC-RJ2")</f>
        <v>SOC-RJ2</v>
      </c>
      <c r="D293" s="234"/>
      <c r="E293" s="237" t="str">
        <f>IFERROR(__xludf.DUMMYFUNCTION("""COMPUTED_VALUE"""),"LT0PBD01RB2X2")</f>
        <v>LT0PBD01RB2X2</v>
      </c>
      <c r="F293" s="234"/>
      <c r="G293" s="238" t="str">
        <f>IFERROR(__xludf.DUMMYFUNCTION("""COMPUTED_VALUE"""),"-")</f>
        <v>-</v>
      </c>
      <c r="H293" s="238" t="str">
        <f>IFERROR(__xludf.DUMMYFUNCTION("""COMPUTED_VALUE"""),"-")</f>
        <v>-</v>
      </c>
      <c r="I293" s="237" t="str">
        <f t="shared" si="1"/>
        <v>Dentro</v>
      </c>
      <c r="J293" s="239">
        <v>59.99999998603016</v>
      </c>
    </row>
    <row r="294">
      <c r="A294" s="234" t="s">
        <v>1990</v>
      </c>
      <c r="B294" s="234" t="str">
        <f>IFERROR(__xludf.DUMMYFUNCTION("""COMPUTED_VALUE"""),"LM Hub_SP_Embu das Artes_02")</f>
        <v>LM Hub_SP_Embu das Artes_02</v>
      </c>
      <c r="C294" s="234" t="str">
        <f>IFERROR(__xludf.DUMMYFUNCTION("""COMPUTED_VALUE"""),"HUB-LSP-96")</f>
        <v>HUB-LSP-96</v>
      </c>
      <c r="D294" s="234"/>
      <c r="E294" s="237" t="str">
        <f>IFERROR(__xludf.DUMMYFUNCTION("""COMPUTED_VALUE"""),"LT1PBD01RQJU1")</f>
        <v>LT1PBD01RQJU1</v>
      </c>
      <c r="F294" s="234"/>
      <c r="G294" s="238">
        <f>IFERROR(__xludf.DUMMYFUNCTION("""COMPUTED_VALUE"""),45974.91666666667)</f>
        <v>45974.91667</v>
      </c>
      <c r="H294" s="238">
        <f>IFERROR(__xludf.DUMMYFUNCTION("""COMPUTED_VALUE"""),45974.95833333333)</f>
        <v>45974.95833</v>
      </c>
      <c r="I294" s="237" t="str">
        <f t="shared" si="1"/>
        <v>Fora</v>
      </c>
      <c r="J294" s="239">
        <v>120.00000001396984</v>
      </c>
    </row>
    <row r="295">
      <c r="A295" s="234" t="s">
        <v>1991</v>
      </c>
      <c r="B295" s="234" t="str">
        <f>IFERROR(__xludf.DUMMYFUNCTION("""COMPUTED_VALUE"""),"LM Hub_SP_Mogi das Cruzes_Jund")</f>
        <v>LM Hub_SP_Mogi das Cruzes_Jund</v>
      </c>
      <c r="C295" s="234" t="str">
        <f>IFERROR(__xludf.DUMMYFUNCTION("""COMPUTED_VALUE"""),"HUB-LSP-78")</f>
        <v>HUB-LSP-78</v>
      </c>
      <c r="D295" s="234">
        <f>IFERROR(__xludf.DUMMYFUNCTION("""COMPUTED_VALUE"""),19.0)</f>
        <v>19</v>
      </c>
      <c r="E295" s="237" t="str">
        <f>IFERROR(__xludf.DUMMYFUNCTION("""COMPUTED_VALUE"""),"LT0PBD01RC151")</f>
        <v>LT0PBD01RC151</v>
      </c>
      <c r="F295" s="234" t="str">
        <f>IFERROR(__xludf.DUMMYFUNCTION("""COMPUTED_VALUE"""),"EWJ1H50")</f>
        <v>EWJ1H50</v>
      </c>
      <c r="G295" s="238">
        <f>IFERROR(__xludf.DUMMYFUNCTION("""COMPUTED_VALUE"""),45974.89583333333)</f>
        <v>45974.89583</v>
      </c>
      <c r="H295" s="238">
        <f>IFERROR(__xludf.DUMMYFUNCTION("""COMPUTED_VALUE"""),45974.97916666667)</f>
        <v>45974.97917</v>
      </c>
      <c r="I295" s="237" t="str">
        <f t="shared" si="1"/>
        <v>Fora</v>
      </c>
      <c r="J295" s="239">
        <v>120.00000001396984</v>
      </c>
    </row>
    <row r="296">
      <c r="A296" s="234" t="s">
        <v>1992</v>
      </c>
      <c r="B296" s="234" t="str">
        <f>IFERROR(__xludf.DUMMYFUNCTION("""COMPUTED_VALUE"""),"LM Hub_SP_Santos_Praia Grande")</f>
        <v>LM Hub_SP_Santos_Praia Grande</v>
      </c>
      <c r="C296" s="234" t="str">
        <f>IFERROR(__xludf.DUMMYFUNCTION("""COMPUTED_VALUE"""),"HUB-LSP-09")</f>
        <v>HUB-LSP-09</v>
      </c>
      <c r="D296" s="234">
        <f>IFERROR(__xludf.DUMMYFUNCTION("""COMPUTED_VALUE"""),23.0)</f>
        <v>23</v>
      </c>
      <c r="E296" s="237" t="str">
        <f>IFERROR(__xludf.DUMMYFUNCTION("""COMPUTED_VALUE"""),"LT0PBD01R8EM1")</f>
        <v>LT0PBD01R8EM1</v>
      </c>
      <c r="F296" s="234" t="str">
        <f>IFERROR(__xludf.DUMMYFUNCTION("""COMPUTED_VALUE"""),"TLR0G49")</f>
        <v>TLR0G49</v>
      </c>
      <c r="G296" s="238">
        <f>IFERROR(__xludf.DUMMYFUNCTION("""COMPUTED_VALUE"""),45974.89583333333)</f>
        <v>45974.89583</v>
      </c>
      <c r="H296" s="238">
        <f>IFERROR(__xludf.DUMMYFUNCTION("""COMPUTED_VALUE"""),45974.97916666667)</f>
        <v>45974.97917</v>
      </c>
      <c r="I296" s="237" t="str">
        <f t="shared" si="1"/>
        <v>Fora</v>
      </c>
      <c r="J296" s="239">
        <v>120.00000001396984</v>
      </c>
    </row>
    <row r="297">
      <c r="A297" s="234" t="s">
        <v>1993</v>
      </c>
      <c r="B297" s="234" t="str">
        <f>IFERROR(__xludf.DUMMYFUNCTION("""COMPUTED_VALUE"""),"LM Hub_SP_São Paulo_Lapa")</f>
        <v>LM Hub_SP_São Paulo_Lapa</v>
      </c>
      <c r="C297" s="234" t="str">
        <f>IFERROR(__xludf.DUMMYFUNCTION("""COMPUTED_VALUE"""),"HUB-LSP-15")</f>
        <v>HUB-LSP-15</v>
      </c>
      <c r="D297" s="234">
        <f>IFERROR(__xludf.DUMMYFUNCTION("""COMPUTED_VALUE"""),5.0)</f>
        <v>5</v>
      </c>
      <c r="E297" s="237" t="str">
        <f>IFERROR(__xludf.DUMMYFUNCTION("""COMPUTED_VALUE"""),"LT0PBD01R8B91")</f>
        <v>LT0PBD01R8B91</v>
      </c>
      <c r="F297" s="238" t="str">
        <f>IFERROR(__xludf.DUMMYFUNCTION("""COMPUTED_VALUE"""),"GBE0G47,FJP5G21")</f>
        <v>GBE0G47,FJP5G21</v>
      </c>
      <c r="G297" s="238">
        <f>IFERROR(__xludf.DUMMYFUNCTION("""COMPUTED_VALUE"""),45974.89583333333)</f>
        <v>45974.89583</v>
      </c>
      <c r="H297" s="238">
        <f>IFERROR(__xludf.DUMMYFUNCTION("""COMPUTED_VALUE"""),45974.97916666667)</f>
        <v>45974.97917</v>
      </c>
      <c r="I297" s="237" t="str">
        <f t="shared" si="1"/>
        <v>Fora</v>
      </c>
      <c r="J297" s="239">
        <v>120.00000001396984</v>
      </c>
    </row>
    <row r="298">
      <c r="A298" s="234" t="s">
        <v>1994</v>
      </c>
      <c r="B298" s="234" t="str">
        <f>IFERROR(__xludf.DUMMYFUNCTION("""COMPUTED_VALUE"""),"LM Hub_SP_Zimba")</f>
        <v>LM Hub_SP_Zimba</v>
      </c>
      <c r="C298" s="234" t="str">
        <f>IFERROR(__xludf.DUMMYFUNCTION("""COMPUTED_VALUE"""),"HUB-LSP-74")</f>
        <v>HUB-LSP-74</v>
      </c>
      <c r="D298" s="234">
        <f>IFERROR(__xludf.DUMMYFUNCTION("""COMPUTED_VALUE"""),29.0)</f>
        <v>29</v>
      </c>
      <c r="E298" s="237" t="str">
        <f>IFERROR(__xludf.DUMMYFUNCTION("""COMPUTED_VALUE"""),"LT0PBD01R8CM1")</f>
        <v>LT0PBD01R8CM1</v>
      </c>
      <c r="F298" s="238" t="str">
        <f>IFERROR(__xludf.DUMMYFUNCTION("""COMPUTED_VALUE"""),"SUQ5C99,TLD5B82")</f>
        <v>SUQ5C99,TLD5B82</v>
      </c>
      <c r="G298" s="238">
        <f>IFERROR(__xludf.DUMMYFUNCTION("""COMPUTED_VALUE"""),45974.89583333333)</f>
        <v>45974.89583</v>
      </c>
      <c r="H298" s="238">
        <f>IFERROR(__xludf.DUMMYFUNCTION("""COMPUTED_VALUE"""),45974.97916666667)</f>
        <v>45974.97917</v>
      </c>
      <c r="I298" s="237" t="str">
        <f t="shared" si="1"/>
        <v>Fora</v>
      </c>
      <c r="J298" s="239">
        <v>119.00000001071021</v>
      </c>
    </row>
    <row r="299">
      <c r="A299" s="234" t="s">
        <v>1995</v>
      </c>
      <c r="B299" s="234" t="str">
        <f>IFERROR(__xludf.DUMMYFUNCTION("""COMPUTED_VALUE"""),"LM Hub_SP_Jurubatuba")</f>
        <v>LM Hub_SP_Jurubatuba</v>
      </c>
      <c r="C299" s="234" t="str">
        <f>IFERROR(__xludf.DUMMYFUNCTION("""COMPUTED_VALUE"""),"HUB-LSP-16")</f>
        <v>HUB-LSP-16</v>
      </c>
      <c r="D299" s="234">
        <f>IFERROR(__xludf.DUMMYFUNCTION("""COMPUTED_VALUE"""),13.0)</f>
        <v>13</v>
      </c>
      <c r="E299" s="237" t="str">
        <f>IFERROR(__xludf.DUMMYFUNCTION("""COMPUTED_VALUE"""),"LT0PBD01R8BE1")</f>
        <v>LT0PBD01R8BE1</v>
      </c>
      <c r="F299" s="238" t="str">
        <f>IFERROR(__xludf.DUMMYFUNCTION("""COMPUTED_VALUE"""),"MQM6I27,FXB7G01")</f>
        <v>MQM6I27,FXB7G01</v>
      </c>
      <c r="G299" s="238">
        <f>IFERROR(__xludf.DUMMYFUNCTION("""COMPUTED_VALUE"""),45974.896527777775)</f>
        <v>45974.89653</v>
      </c>
      <c r="H299" s="238">
        <f>IFERROR(__xludf.DUMMYFUNCTION("""COMPUTED_VALUE"""),45974.97916666667)</f>
        <v>45974.97917</v>
      </c>
      <c r="I299" s="237" t="str">
        <f t="shared" si="1"/>
        <v>Fora</v>
      </c>
      <c r="J299" s="239">
        <v>60.00000000698492</v>
      </c>
    </row>
    <row r="300">
      <c r="A300" s="234" t="s">
        <v>1996</v>
      </c>
      <c r="B300" s="234" t="str">
        <f>IFERROR(__xludf.DUMMYFUNCTION("""COMPUTED_VALUE"""),"LM Hub_SP_São José dos Campos")</f>
        <v>LM Hub_SP_São José dos Campos</v>
      </c>
      <c r="C300" s="234" t="str">
        <f>IFERROR(__xludf.DUMMYFUNCTION("""COMPUTED_VALUE"""),"HUB-LSP-04")</f>
        <v>HUB-LSP-04</v>
      </c>
      <c r="D300" s="234">
        <f>IFERROR(__xludf.DUMMYFUNCTION("""COMPUTED_VALUE"""),24.0)</f>
        <v>24</v>
      </c>
      <c r="E300" s="237" t="str">
        <f>IFERROR(__xludf.DUMMYFUNCTION("""COMPUTED_VALUE"""),"LT0PBD01RIY01")</f>
        <v>LT0PBD01RIY01</v>
      </c>
      <c r="F300" s="238" t="str">
        <f>IFERROR(__xludf.DUMMYFUNCTION("""COMPUTED_VALUE"""),"TIR7J78")</f>
        <v>TIR7J78</v>
      </c>
      <c r="G300" s="238">
        <f>IFERROR(__xludf.DUMMYFUNCTION("""COMPUTED_VALUE"""),45974.9375)</f>
        <v>45974.9375</v>
      </c>
      <c r="H300" s="238">
        <f>IFERROR(__xludf.DUMMYFUNCTION("""COMPUTED_VALUE"""),45974.97916666667)</f>
        <v>45974.97917</v>
      </c>
      <c r="I300" s="237" t="str">
        <f t="shared" si="1"/>
        <v>Fora</v>
      </c>
      <c r="J300" s="239">
        <v>58.00000000046566</v>
      </c>
    </row>
    <row r="301">
      <c r="A301" s="234" t="s">
        <v>1997</v>
      </c>
      <c r="B301" s="234" t="str">
        <f>IFERROR(__xludf.DUMMYFUNCTION("""COMPUTED_VALUE"""),"LM Hub_SP_Guarujá")</f>
        <v>LM Hub_SP_Guarujá</v>
      </c>
      <c r="C301" s="234" t="str">
        <f>IFERROR(__xludf.DUMMYFUNCTION("""COMPUTED_VALUE"""),"HUB-LSP-06")</f>
        <v>HUB-LSP-06</v>
      </c>
      <c r="D301" s="234">
        <f>IFERROR(__xludf.DUMMYFUNCTION("""COMPUTED_VALUE"""),13.0)</f>
        <v>13</v>
      </c>
      <c r="E301" s="237" t="str">
        <f>IFERROR(__xludf.DUMMYFUNCTION("""COMPUTED_VALUE"""),"LT0PBD01R8DM1")</f>
        <v>LT0PBD01R8DM1</v>
      </c>
      <c r="F301" s="238" t="str">
        <f>IFERROR(__xludf.DUMMYFUNCTION("""COMPUTED_VALUE"""),"TJN5H17")</f>
        <v>TJN5H17</v>
      </c>
      <c r="G301" s="238">
        <f>IFERROR(__xludf.DUMMYFUNCTION("""COMPUTED_VALUE"""),45974.959027777775)</f>
        <v>45974.95903</v>
      </c>
      <c r="H301" s="238">
        <f>IFERROR(__xludf.DUMMYFUNCTION("""COMPUTED_VALUE"""),45974.99930555555)</f>
        <v>45974.99931</v>
      </c>
      <c r="I301" s="237" t="str">
        <f t="shared" si="1"/>
        <v>Fora</v>
      </c>
      <c r="J301" s="239">
        <v>119.99999999301508</v>
      </c>
    </row>
    <row r="302">
      <c r="A302" s="234" t="s">
        <v>1998</v>
      </c>
      <c r="B302" s="234" t="str">
        <f>IFERROR(__xludf.DUMMYFUNCTION("""COMPUTED_VALUE"""),"LM Hub_SP_Itapevi")</f>
        <v>LM Hub_SP_Itapevi</v>
      </c>
      <c r="C302" s="234" t="str">
        <f>IFERROR(__xludf.DUMMYFUNCTION("""COMPUTED_VALUE"""),"HUB-LSP-41")</f>
        <v>HUB-LSP-41</v>
      </c>
      <c r="D302" s="234">
        <f>IFERROR(__xludf.DUMMYFUNCTION("""COMPUTED_VALUE"""),15.0)</f>
        <v>15</v>
      </c>
      <c r="E302" s="237" t="str">
        <f>IFERROR(__xludf.DUMMYFUNCTION("""COMPUTED_VALUE"""),"LT0PBD01R8C21")</f>
        <v>LT0PBD01R8C21</v>
      </c>
      <c r="F302" s="238" t="str">
        <f>IFERROR(__xludf.DUMMYFUNCTION("""COMPUTED_VALUE"""),"FRM9I93,UGN6B16")</f>
        <v>FRM9I93,UGN6B16</v>
      </c>
      <c r="G302" s="238">
        <f>IFERROR(__xludf.DUMMYFUNCTION("""COMPUTED_VALUE"""),45974.91666666667)</f>
        <v>45974.91667</v>
      </c>
      <c r="H302" s="238">
        <f>IFERROR(__xludf.DUMMYFUNCTION("""COMPUTED_VALUE"""),45975.0)</f>
        <v>45975</v>
      </c>
      <c r="I302" s="237" t="str">
        <f t="shared" si="1"/>
        <v>Fora</v>
      </c>
      <c r="J302" s="239">
        <v>119.99999999301508</v>
      </c>
    </row>
    <row r="303">
      <c r="A303" s="234" t="s">
        <v>1999</v>
      </c>
      <c r="B303" s="234" t="str">
        <f>IFERROR(__xludf.DUMMYFUNCTION("""COMPUTED_VALUE"""),"LM Hub_SP_Mauá")</f>
        <v>LM Hub_SP_Mauá</v>
      </c>
      <c r="C303" s="234" t="str">
        <f>IFERROR(__xludf.DUMMYFUNCTION("""COMPUTED_VALUE"""),"HUB-LSP-64")</f>
        <v>HUB-LSP-64</v>
      </c>
      <c r="D303" s="234">
        <f>IFERROR(__xludf.DUMMYFUNCTION("""COMPUTED_VALUE"""),18.0)</f>
        <v>18</v>
      </c>
      <c r="E303" s="237" t="str">
        <f>IFERROR(__xludf.DUMMYFUNCTION("""COMPUTED_VALUE"""),"LT0PBD01R8CF1")</f>
        <v>LT0PBD01R8CF1</v>
      </c>
      <c r="F303" s="238" t="str">
        <f>IFERROR(__xludf.DUMMYFUNCTION("""COMPUTED_VALUE"""),"FQF6B98,DTA7802")</f>
        <v>FQF6B98,DTA7802</v>
      </c>
      <c r="G303" s="238">
        <f>IFERROR(__xludf.DUMMYFUNCTION("""COMPUTED_VALUE"""),45974.91666666667)</f>
        <v>45974.91667</v>
      </c>
      <c r="H303" s="238">
        <f>IFERROR(__xludf.DUMMYFUNCTION("""COMPUTED_VALUE"""),45975.0)</f>
        <v>45975</v>
      </c>
      <c r="I303" s="237" t="str">
        <f t="shared" si="1"/>
        <v>Fora</v>
      </c>
      <c r="J303" s="239">
        <v>119.99999999301508</v>
      </c>
    </row>
    <row r="304">
      <c r="A304" s="234" t="s">
        <v>2000</v>
      </c>
      <c r="B304" s="234" t="str">
        <f>IFERROR(__xludf.DUMMYFUNCTION("""COMPUTED_VALUE"""),"LM Hub_SP_Santo André")</f>
        <v>LM Hub_SP_Santo André</v>
      </c>
      <c r="C304" s="234" t="str">
        <f>IFERROR(__xludf.DUMMYFUNCTION("""COMPUTED_VALUE"""),"HUB-LSP-93")</f>
        <v>HUB-LSP-93</v>
      </c>
      <c r="D304" s="234">
        <f>IFERROR(__xludf.DUMMYFUNCTION("""COMPUTED_VALUE"""),6.0)</f>
        <v>6</v>
      </c>
      <c r="E304" s="237" t="str">
        <f>IFERROR(__xludf.DUMMYFUNCTION("""COMPUTED_VALUE"""),"LT0PBD01RBQ81")</f>
        <v>LT0PBD01RBQ81</v>
      </c>
      <c r="F304" s="238" t="str">
        <f>IFERROR(__xludf.DUMMYFUNCTION("""COMPUTED_VALUE"""),"EVO8A79,AXE8E26")</f>
        <v>EVO8A79,AXE8E26</v>
      </c>
      <c r="G304" s="238">
        <f>IFERROR(__xludf.DUMMYFUNCTION("""COMPUTED_VALUE"""),45974.91666666667)</f>
        <v>45974.91667</v>
      </c>
      <c r="H304" s="238">
        <f>IFERROR(__xludf.DUMMYFUNCTION("""COMPUTED_VALUE"""),45975.0)</f>
        <v>45975</v>
      </c>
      <c r="I304" s="237" t="str">
        <f t="shared" si="1"/>
        <v>Fora</v>
      </c>
      <c r="J304" s="239">
        <v>119.99999999301508</v>
      </c>
    </row>
    <row r="305">
      <c r="A305" s="234" t="s">
        <v>2001</v>
      </c>
      <c r="B305" s="234" t="str">
        <f>IFERROR(__xludf.DUMMYFUNCTION("""COMPUTED_VALUE"""),"SoC_GO_Goiânia_02")</f>
        <v>SoC_GO_Goiânia_02</v>
      </c>
      <c r="C305" s="234" t="str">
        <f>IFERROR(__xludf.DUMMYFUNCTION("""COMPUTED_VALUE"""),"SOC-GO2")</f>
        <v>SOC-GO2</v>
      </c>
      <c r="D305" s="234">
        <f>IFERROR(__xludf.DUMMYFUNCTION("""COMPUTED_VALUE"""),38.0)</f>
        <v>38</v>
      </c>
      <c r="E305" s="237" t="str">
        <f>IFERROR(__xludf.DUMMYFUNCTION("""COMPUTED_VALUE"""),"LT1PBD01RQKB1")</f>
        <v>LT1PBD01RQKB1</v>
      </c>
      <c r="F305" s="238" t="str">
        <f>IFERROR(__xludf.DUMMYFUNCTION("""COMPUTED_VALUE"""),"EXI6H19,BEQ3E19")</f>
        <v>EXI6H19,BEQ3E19</v>
      </c>
      <c r="G305" s="238">
        <f>IFERROR(__xludf.DUMMYFUNCTION("""COMPUTED_VALUE"""),45974.91666666667)</f>
        <v>45974.91667</v>
      </c>
      <c r="H305" s="238">
        <f>IFERROR(__xludf.DUMMYFUNCTION("""COMPUTED_VALUE"""),45975.0)</f>
        <v>45975</v>
      </c>
      <c r="I305" s="237" t="str">
        <f t="shared" si="1"/>
        <v>Fora</v>
      </c>
      <c r="J305" s="239">
        <v>119.99999999301508</v>
      </c>
    </row>
    <row r="306">
      <c r="A306" s="234" t="s">
        <v>2002</v>
      </c>
      <c r="B306" s="234" t="str">
        <f>IFERROR(__xludf.DUMMYFUNCTION("""COMPUTED_VALUE"""),"SoC_RJ_Duque de Caxias")</f>
        <v>SoC_RJ_Duque de Caxias</v>
      </c>
      <c r="C306" s="234" t="str">
        <f>IFERROR(__xludf.DUMMYFUNCTION("""COMPUTED_VALUE"""),"SOC-RJ2")</f>
        <v>SOC-RJ2</v>
      </c>
      <c r="D306" s="234"/>
      <c r="E306" s="237" t="str">
        <f>IFERROR(__xludf.DUMMYFUNCTION("""COMPUTED_VALUE"""),"LT1PBD01RQJ91")</f>
        <v>LT1PBD01RQJ91</v>
      </c>
      <c r="F306" s="234"/>
      <c r="G306" s="238">
        <f>IFERROR(__xludf.DUMMYFUNCTION("""COMPUTED_VALUE"""),45974.91666666667)</f>
        <v>45974.91667</v>
      </c>
      <c r="H306" s="238">
        <f>IFERROR(__xludf.DUMMYFUNCTION("""COMPUTED_VALUE"""),45975.0)</f>
        <v>45975</v>
      </c>
      <c r="I306" s="237" t="str">
        <f t="shared" si="1"/>
        <v>Fora</v>
      </c>
      <c r="J306" s="239">
        <v>119.99999999301508</v>
      </c>
    </row>
    <row r="307">
      <c r="A307" s="234" t="s">
        <v>2003</v>
      </c>
      <c r="B307" s="234" t="str">
        <f>IFERROR(__xludf.DUMMYFUNCTION("""COMPUTED_VALUE"""),"SoC_RS_Gravataí_02")</f>
        <v>SoC_RS_Gravataí_02</v>
      </c>
      <c r="C307" s="234" t="str">
        <f>IFERROR(__xludf.DUMMYFUNCTION("""COMPUTED_VALUE"""),"SOC-RS2")</f>
        <v>SOC-RS2</v>
      </c>
      <c r="D307" s="234"/>
      <c r="E307" s="237" t="str">
        <f>IFERROR(__xludf.DUMMYFUNCTION("""COMPUTED_VALUE"""),"LT1PBD01RQKF1")</f>
        <v>LT1PBD01RQKF1</v>
      </c>
      <c r="F307" s="234"/>
      <c r="G307" s="238">
        <f>IFERROR(__xludf.DUMMYFUNCTION("""COMPUTED_VALUE"""),45974.91666666667)</f>
        <v>45974.91667</v>
      </c>
      <c r="H307" s="238">
        <f>IFERROR(__xludf.DUMMYFUNCTION("""COMPUTED_VALUE"""),45975.0)</f>
        <v>45975</v>
      </c>
      <c r="I307" s="237" t="str">
        <f t="shared" si="1"/>
        <v>Fora</v>
      </c>
      <c r="J307" s="239">
        <v>119.99999999301508</v>
      </c>
    </row>
    <row r="308">
      <c r="A308" s="234" t="s">
        <v>2004</v>
      </c>
      <c r="B308" s="234" t="str">
        <f>IFERROR(__xludf.DUMMYFUNCTION("""COMPUTED_VALUE"""),"SoC_SC_Itajaí")</f>
        <v>SoC_SC_Itajaí</v>
      </c>
      <c r="C308" s="234" t="str">
        <f>IFERROR(__xludf.DUMMYFUNCTION("""COMPUTED_VALUE"""),"SOC-SC1")</f>
        <v>SOC-SC1</v>
      </c>
      <c r="D308" s="234">
        <f>IFERROR(__xludf.DUMMYFUNCTION("""COMPUTED_VALUE"""),32.0)</f>
        <v>32</v>
      </c>
      <c r="E308" s="237" t="str">
        <f>IFERROR(__xludf.DUMMYFUNCTION("""COMPUTED_VALUE"""),"LT1PBD01RQK71")</f>
        <v>LT1PBD01RQK71</v>
      </c>
      <c r="F308" s="238" t="str">
        <f>IFERROR(__xludf.DUMMYFUNCTION("""COMPUTED_VALUE"""),"RXO5I87,QHG8468")</f>
        <v>RXO5I87,QHG8468</v>
      </c>
      <c r="G308" s="238">
        <f>IFERROR(__xludf.DUMMYFUNCTION("""COMPUTED_VALUE"""),45974.91666666667)</f>
        <v>45974.91667</v>
      </c>
      <c r="H308" s="238">
        <f>IFERROR(__xludf.DUMMYFUNCTION("""COMPUTED_VALUE"""),45975.0)</f>
        <v>45975</v>
      </c>
      <c r="I308" s="237" t="str">
        <f t="shared" si="1"/>
        <v>Fora</v>
      </c>
      <c r="J308" s="239">
        <v>119.99999999301508</v>
      </c>
    </row>
    <row r="309">
      <c r="A309" s="234" t="s">
        <v>2005</v>
      </c>
      <c r="B309" s="234" t="str">
        <f>IFERROR(__xludf.DUMMYFUNCTION("""COMPUTED_VALUE"""),"SoC_SP_Guarulhos")</f>
        <v>SoC_SP_Guarulhos</v>
      </c>
      <c r="C309" s="234" t="str">
        <f>IFERROR(__xludf.DUMMYFUNCTION("""COMPUTED_VALUE"""),"SOC-SP6")</f>
        <v>SOC-SP6</v>
      </c>
      <c r="D309" s="234"/>
      <c r="E309" s="237" t="str">
        <f>IFERROR(__xludf.DUMMYFUNCTION("""COMPUTED_VALUE"""),"LT1PBD01RQIO1")</f>
        <v>LT1PBD01RQIO1</v>
      </c>
      <c r="F309" s="234"/>
      <c r="G309" s="238">
        <f>IFERROR(__xludf.DUMMYFUNCTION("""COMPUTED_VALUE"""),45974.91666666667)</f>
        <v>45974.91667</v>
      </c>
      <c r="H309" s="238">
        <f>IFERROR(__xludf.DUMMYFUNCTION("""COMPUTED_VALUE"""),45975.0)</f>
        <v>45975</v>
      </c>
      <c r="I309" s="237" t="str">
        <f t="shared" si="1"/>
        <v>Fora</v>
      </c>
      <c r="J309" s="239">
        <v>119.00000000023283</v>
      </c>
    </row>
    <row r="310">
      <c r="A310" s="234" t="s">
        <v>2006</v>
      </c>
      <c r="B310" s="234" t="str">
        <f>IFERROR(__xludf.DUMMYFUNCTION("""COMPUTED_VALUE"""),"LM Hub_SP_Artur Alvim")</f>
        <v>LM Hub_SP_Artur Alvim</v>
      </c>
      <c r="C310" s="234" t="str">
        <f>IFERROR(__xludf.DUMMYFUNCTION("""COMPUTED_VALUE"""),"HUB-LSP-07")</f>
        <v>HUB-LSP-07</v>
      </c>
      <c r="D310" s="234">
        <f>IFERROR(__xludf.DUMMYFUNCTION("""COMPUTED_VALUE"""),12.0)</f>
        <v>12</v>
      </c>
      <c r="E310" s="237" t="str">
        <f>IFERROR(__xludf.DUMMYFUNCTION("""COMPUTED_VALUE"""),"LT0PBD01R8AZ1")</f>
        <v>LT0PBD01R8AZ1</v>
      </c>
      <c r="F310" s="238" t="str">
        <f>IFERROR(__xludf.DUMMYFUNCTION("""COMPUTED_VALUE"""),"EGK6F67,NGX1F13")</f>
        <v>EGK6F67,NGX1F13</v>
      </c>
      <c r="G310" s="238">
        <f>IFERROR(__xludf.DUMMYFUNCTION("""COMPUTED_VALUE"""),45974.91736111111)</f>
        <v>45974.91736</v>
      </c>
      <c r="H310" s="238">
        <f>IFERROR(__xludf.DUMMYFUNCTION("""COMPUTED_VALUE"""),45975.0)</f>
        <v>45975</v>
      </c>
      <c r="I310" s="237" t="str">
        <f t="shared" si="1"/>
        <v>Fora</v>
      </c>
      <c r="J310" s="239">
        <v>119.00000000023283</v>
      </c>
    </row>
    <row r="311">
      <c r="A311" s="234" t="s">
        <v>2007</v>
      </c>
      <c r="B311" s="234" t="str">
        <f>IFERROR(__xludf.DUMMYFUNCTION("""COMPUTED_VALUE"""),"LM Hub_SP_Guarulhos")</f>
        <v>LM Hub_SP_Guarulhos</v>
      </c>
      <c r="C311" s="234" t="str">
        <f>IFERROR(__xludf.DUMMYFUNCTION("""COMPUTED_VALUE"""),"HUB-LSP-77")</f>
        <v>HUB-LSP-77</v>
      </c>
      <c r="D311" s="234">
        <f>IFERROR(__xludf.DUMMYFUNCTION("""COMPUTED_VALUE"""),16.0)</f>
        <v>16</v>
      </c>
      <c r="E311" s="237" t="str">
        <f>IFERROR(__xludf.DUMMYFUNCTION("""COMPUTED_VALUE"""),"LT0PBD01R9731")</f>
        <v>LT0PBD01R9731</v>
      </c>
      <c r="F311" s="238" t="str">
        <f>IFERROR(__xludf.DUMMYFUNCTION("""COMPUTED_VALUE"""),"ESU9B10,JOK0B33")</f>
        <v>ESU9B10,JOK0B33</v>
      </c>
      <c r="G311" s="238">
        <f>IFERROR(__xludf.DUMMYFUNCTION("""COMPUTED_VALUE"""),45974.91736111111)</f>
        <v>45974.91736</v>
      </c>
      <c r="H311" s="238">
        <f>IFERROR(__xludf.DUMMYFUNCTION("""COMPUTED_VALUE"""),45975.0)</f>
        <v>45975</v>
      </c>
      <c r="I311" s="237" t="str">
        <f t="shared" si="1"/>
        <v>Fora</v>
      </c>
      <c r="J311" s="239">
        <v>60.00000000698492</v>
      </c>
    </row>
    <row r="312">
      <c r="A312" s="234" t="s">
        <v>2008</v>
      </c>
      <c r="B312" s="234" t="str">
        <f>IFERROR(__xludf.DUMMYFUNCTION("""COMPUTED_VALUE"""),"LM Hub_RS_Porto Alegre_Floresta")</f>
        <v>LM Hub_RS_Porto Alegre_Floresta</v>
      </c>
      <c r="C312" s="234" t="str">
        <f>IFERROR(__xludf.DUMMYFUNCTION("""COMPUTED_VALUE"""),"HUB-LRS-03")</f>
        <v>HUB-LRS-03</v>
      </c>
      <c r="D312" s="234">
        <f>IFERROR(__xludf.DUMMYFUNCTION("""COMPUTED_VALUE"""),20.0)</f>
        <v>20</v>
      </c>
      <c r="E312" s="237" t="str">
        <f>IFERROR(__xludf.DUMMYFUNCTION("""COMPUTED_VALUE"""),"LT0PBD01RGLZ1")</f>
        <v>LT0PBD01RGLZ1</v>
      </c>
      <c r="F312" s="238" t="str">
        <f>IFERROR(__xludf.DUMMYFUNCTION("""COMPUTED_VALUE"""),"QJQ8D32")</f>
        <v>QJQ8D32</v>
      </c>
      <c r="G312" s="238">
        <f>IFERROR(__xludf.DUMMYFUNCTION("""COMPUTED_VALUE"""),45974.95833333333)</f>
        <v>45974.95833</v>
      </c>
      <c r="H312" s="238">
        <f>IFERROR(__xludf.DUMMYFUNCTION("""COMPUTED_VALUE"""),45975.0)</f>
        <v>45975</v>
      </c>
      <c r="I312" s="237" t="str">
        <f t="shared" si="1"/>
        <v>Fora</v>
      </c>
      <c r="J312" s="239">
        <v>60.00000000698492</v>
      </c>
    </row>
    <row r="313">
      <c r="A313" s="234" t="s">
        <v>2009</v>
      </c>
      <c r="B313" s="234" t="str">
        <f>IFERROR(__xludf.DUMMYFUNCTION("""COMPUTED_VALUE"""),"LM Hub_SP_Barueri_01")</f>
        <v>LM Hub_SP_Barueri_01</v>
      </c>
      <c r="C313" s="234" t="str">
        <f>IFERROR(__xludf.DUMMYFUNCTION("""COMPUTED_VALUE"""),"HUB-LSP-81")</f>
        <v>HUB-LSP-81</v>
      </c>
      <c r="D313" s="234">
        <f>IFERROR(__xludf.DUMMYFUNCTION("""COMPUTED_VALUE"""),25.0)</f>
        <v>25</v>
      </c>
      <c r="E313" s="237" t="str">
        <f>IFERROR(__xludf.DUMMYFUNCTION("""COMPUTED_VALUE"""),"LT0PBD01RF9U1")</f>
        <v>LT0PBD01RF9U1</v>
      </c>
      <c r="F313" s="234" t="str">
        <f>IFERROR(__xludf.DUMMYFUNCTION("""COMPUTED_VALUE"""),"GEV2J37")</f>
        <v>GEV2J37</v>
      </c>
      <c r="G313" s="238">
        <f>IFERROR(__xludf.DUMMYFUNCTION("""COMPUTED_VALUE"""),45974.95833333333)</f>
        <v>45974.95833</v>
      </c>
      <c r="H313" s="238">
        <f>IFERROR(__xludf.DUMMYFUNCTION("""COMPUTED_VALUE"""),45975.0)</f>
        <v>45975</v>
      </c>
      <c r="I313" s="237" t="str">
        <f t="shared" si="1"/>
        <v>Fora</v>
      </c>
      <c r="J313" s="239">
        <v>59.00000000372529</v>
      </c>
    </row>
    <row r="314">
      <c r="A314" s="234" t="s">
        <v>2010</v>
      </c>
      <c r="B314" s="234" t="str">
        <f>IFERROR(__xludf.DUMMYFUNCTION("""COMPUTED_VALUE"""),"LM Hub_SP_Jardim Adriana")</f>
        <v>LM Hub_SP_Jardim Adriana</v>
      </c>
      <c r="C314" s="234" t="str">
        <f>IFERROR(__xludf.DUMMYFUNCTION("""COMPUTED_VALUE"""),"HUB-LSP-12")</f>
        <v>HUB-LSP-12</v>
      </c>
      <c r="D314" s="234">
        <f>IFERROR(__xludf.DUMMYFUNCTION("""COMPUTED_VALUE"""),26.0)</f>
        <v>26</v>
      </c>
      <c r="E314" s="237" t="str">
        <f>IFERROR(__xludf.DUMMYFUNCTION("""COMPUTED_VALUE"""),"LT0PBD01RIWX1")</f>
        <v>LT0PBD01RIWX1</v>
      </c>
      <c r="F314" s="238" t="str">
        <f>IFERROR(__xludf.DUMMYFUNCTION("""COMPUTED_VALUE"""),"NZI9C32")</f>
        <v>NZI9C32</v>
      </c>
      <c r="G314" s="238">
        <f>IFERROR(__xludf.DUMMYFUNCTION("""COMPUTED_VALUE"""),45974.959027777775)</f>
        <v>45974.95903</v>
      </c>
      <c r="H314" s="238">
        <f>IFERROR(__xludf.DUMMYFUNCTION("""COMPUTED_VALUE"""),45975.0)</f>
        <v>45975</v>
      </c>
      <c r="I314" s="237" t="str">
        <f t="shared" si="1"/>
        <v>Fora</v>
      </c>
      <c r="J314" s="239">
        <v>119.99999999301508</v>
      </c>
    </row>
    <row r="315">
      <c r="A315" s="234" t="s">
        <v>2011</v>
      </c>
      <c r="B315" s="234" t="str">
        <f>IFERROR(__xludf.DUMMYFUNCTION("""COMPUTED_VALUE"""),"LM Hub_SP_Parque Novo Mundo")</f>
        <v>LM Hub_SP_Parque Novo Mundo</v>
      </c>
      <c r="C315" s="234" t="str">
        <f>IFERROR(__xludf.DUMMYFUNCTION("""COMPUTED_VALUE"""),"HUB-LSP-89")</f>
        <v>HUB-LSP-89</v>
      </c>
      <c r="D315" s="234">
        <f>IFERROR(__xludf.DUMMYFUNCTION("""COMPUTED_VALUE"""),17.0)</f>
        <v>17</v>
      </c>
      <c r="E315" s="237" t="str">
        <f>IFERROR(__xludf.DUMMYFUNCTION("""COMPUTED_VALUE"""),"LT0PBD01R9GG1")</f>
        <v>LT0PBD01R9GG1</v>
      </c>
      <c r="F315" s="238" t="str">
        <f>IFERROR(__xludf.DUMMYFUNCTION("""COMPUTED_VALUE"""),"GIQ1C13,AKZ0B43")</f>
        <v>GIQ1C13,AKZ0B43</v>
      </c>
      <c r="G315" s="238">
        <f>IFERROR(__xludf.DUMMYFUNCTION("""COMPUTED_VALUE"""),45974.9375)</f>
        <v>45974.9375</v>
      </c>
      <c r="H315" s="238">
        <f>IFERROR(__xludf.DUMMYFUNCTION("""COMPUTED_VALUE"""),45975.02083333333)</f>
        <v>45975.02083</v>
      </c>
      <c r="I315" s="237" t="str">
        <f t="shared" si="1"/>
        <v>Fora</v>
      </c>
      <c r="J315" s="239">
        <v>119.99999999301508</v>
      </c>
    </row>
    <row r="316">
      <c r="A316" s="234" t="s">
        <v>2012</v>
      </c>
      <c r="B316" s="234" t="str">
        <f>IFERROR(__xludf.DUMMYFUNCTION("""COMPUTED_VALUE"""),"LM Hub_SP_Piracicaba")</f>
        <v>LM Hub_SP_Piracicaba</v>
      </c>
      <c r="C316" s="234" t="str">
        <f>IFERROR(__xludf.DUMMYFUNCTION("""COMPUTED_VALUE"""),"HUB-LSP-62")</f>
        <v>HUB-LSP-62</v>
      </c>
      <c r="D316" s="234">
        <f>IFERROR(__xludf.DUMMYFUNCTION("""COMPUTED_VALUE"""),15.0)</f>
        <v>15</v>
      </c>
      <c r="E316" s="237" t="str">
        <f>IFERROR(__xludf.DUMMYFUNCTION("""COMPUTED_VALUE"""),"LT0PBD01R9791")</f>
        <v>LT0PBD01R9791</v>
      </c>
      <c r="F316" s="238" t="str">
        <f>IFERROR(__xludf.DUMMYFUNCTION("""COMPUTED_VALUE"""),"EOF4D32,MTM1015")</f>
        <v>EOF4D32,MTM1015</v>
      </c>
      <c r="G316" s="238">
        <f>IFERROR(__xludf.DUMMYFUNCTION("""COMPUTED_VALUE"""),45974.9375)</f>
        <v>45974.9375</v>
      </c>
      <c r="H316" s="238">
        <f>IFERROR(__xludf.DUMMYFUNCTION("""COMPUTED_VALUE"""),45975.02083333333)</f>
        <v>45975.02083</v>
      </c>
      <c r="I316" s="237" t="str">
        <f t="shared" si="1"/>
        <v>Fora</v>
      </c>
      <c r="J316" s="239">
        <v>118.99999998975545</v>
      </c>
    </row>
    <row r="317">
      <c r="A317" s="234" t="s">
        <v>2013</v>
      </c>
      <c r="B317" s="234" t="str">
        <f>IFERROR(__xludf.DUMMYFUNCTION("""COMPUTED_VALUE"""),"LM Hub_SP_VilaGuilherme")</f>
        <v>LM Hub_SP_VilaGuilherme</v>
      </c>
      <c r="C317" s="234" t="str">
        <f>IFERROR(__xludf.DUMMYFUNCTION("""COMPUTED_VALUE"""),"HUB-LSP-68")</f>
        <v>HUB-LSP-68</v>
      </c>
      <c r="D317" s="234">
        <f>IFERROR(__xludf.DUMMYFUNCTION("""COMPUTED_VALUE"""),22.0)</f>
        <v>22</v>
      </c>
      <c r="E317" s="237" t="str">
        <f>IFERROR(__xludf.DUMMYFUNCTION("""COMPUTED_VALUE"""),"LT0PBD01RIXK1")</f>
        <v>LT0PBD01RIXK1</v>
      </c>
      <c r="F317" s="238" t="str">
        <f>IFERROR(__xludf.DUMMYFUNCTION("""COMPUTED_VALUE"""),"HFD4H27,JXG9745")</f>
        <v>HFD4H27,JXG9745</v>
      </c>
      <c r="G317" s="238">
        <f>IFERROR(__xludf.DUMMYFUNCTION("""COMPUTED_VALUE"""),45974.93819444445)</f>
        <v>45974.93819</v>
      </c>
      <c r="H317" s="238">
        <f>IFERROR(__xludf.DUMMYFUNCTION("""COMPUTED_VALUE"""),45975.02083333333)</f>
        <v>45975.02083</v>
      </c>
      <c r="I317" s="237" t="str">
        <f t="shared" si="1"/>
        <v>Fora</v>
      </c>
      <c r="J317" s="239">
        <v>59.99999998603016</v>
      </c>
    </row>
    <row r="318">
      <c r="A318" s="234" t="s">
        <v>2014</v>
      </c>
      <c r="B318" s="234" t="str">
        <f>IFERROR(__xludf.DUMMYFUNCTION("""COMPUTED_VALUE"""),"LM Hub_MG_Juiz de Fora_Dist Ind")</f>
        <v>LM Hub_MG_Juiz de Fora_Dist Ind</v>
      </c>
      <c r="C318" s="234" t="str">
        <f>IFERROR(__xludf.DUMMYFUNCTION("""COMPUTED_VALUE"""),"HUB-LMG-59")</f>
        <v>HUB-LMG-59</v>
      </c>
      <c r="D318" s="234">
        <f>IFERROR(__xludf.DUMMYFUNCTION("""COMPUTED_VALUE"""),15.0)</f>
        <v>15</v>
      </c>
      <c r="E318" s="237" t="str">
        <f>IFERROR(__xludf.DUMMYFUNCTION("""COMPUTED_VALUE"""),"LT0PBD01RGMM1")</f>
        <v>LT0PBD01RGMM1</v>
      </c>
      <c r="F318" s="238" t="str">
        <f>IFERROR(__xludf.DUMMYFUNCTION("""COMPUTED_VALUE"""),"FRT3I49")</f>
        <v>FRT3I49</v>
      </c>
      <c r="G318" s="238">
        <f>IFERROR(__xludf.DUMMYFUNCTION("""COMPUTED_VALUE"""),45974.97916666667)</f>
        <v>45974.97917</v>
      </c>
      <c r="H318" s="238">
        <f>IFERROR(__xludf.DUMMYFUNCTION("""COMPUTED_VALUE"""),45975.02083333333)</f>
        <v>45975.02083</v>
      </c>
      <c r="I318" s="237" t="str">
        <f t="shared" si="1"/>
        <v>Fora</v>
      </c>
      <c r="J318" s="239">
        <v>58.99999999324791</v>
      </c>
    </row>
    <row r="319">
      <c r="A319" s="234" t="s">
        <v>2015</v>
      </c>
      <c r="B319" s="234" t="str">
        <f>IFERROR(__xludf.DUMMYFUNCTION("""COMPUTED_VALUE"""),"LM Hub_SP_São Paulo_Carandiru")</f>
        <v>LM Hub_SP_São Paulo_Carandiru</v>
      </c>
      <c r="C319" s="234" t="str">
        <f>IFERROR(__xludf.DUMMYFUNCTION("""COMPUTED_VALUE"""),"HUB-LSP-18")</f>
        <v>HUB-LSP-18</v>
      </c>
      <c r="D319" s="234">
        <f>IFERROR(__xludf.DUMMYFUNCTION("""COMPUTED_VALUE"""),29.0)</f>
        <v>29</v>
      </c>
      <c r="E319" s="237" t="str">
        <f>IFERROR(__xludf.DUMMYFUNCTION("""COMPUTED_VALUE"""),"LT0PBD01R8BK1")</f>
        <v>LT0PBD01R8BK1</v>
      </c>
      <c r="F319" s="238" t="str">
        <f>IFERROR(__xludf.DUMMYFUNCTION("""COMPUTED_VALUE"""),"NVO0561")</f>
        <v>NVO0561</v>
      </c>
      <c r="G319" s="238">
        <f>IFERROR(__xludf.DUMMYFUNCTION("""COMPUTED_VALUE"""),45974.97986111111)</f>
        <v>45974.97986</v>
      </c>
      <c r="H319" s="238">
        <f>IFERROR(__xludf.DUMMYFUNCTION("""COMPUTED_VALUE"""),45975.02083333333)</f>
        <v>45975.02083</v>
      </c>
      <c r="I319" s="237" t="str">
        <f t="shared" si="1"/>
        <v>Fora</v>
      </c>
      <c r="J319" s="239">
        <v>120.00000001396984</v>
      </c>
    </row>
    <row r="320">
      <c r="A320" s="234" t="s">
        <v>2016</v>
      </c>
      <c r="B320" s="234" t="str">
        <f>IFERROR(__xludf.DUMMYFUNCTION("""COMPUTED_VALUE"""),"SoC_GO_Goiânia_02")</f>
        <v>SoC_GO_Goiânia_02</v>
      </c>
      <c r="C320" s="234" t="str">
        <f>IFERROR(__xludf.DUMMYFUNCTION("""COMPUTED_VALUE"""),"SOC-GO2")</f>
        <v>SOC-GO2</v>
      </c>
      <c r="D320" s="234"/>
      <c r="E320" s="237" t="str">
        <f>IFERROR(__xludf.DUMMYFUNCTION("""COMPUTED_VALUE"""),"LT1PBD01RQKC1")</f>
        <v>LT1PBD01RQKC1</v>
      </c>
      <c r="F320" s="238" t="str">
        <f>IFERROR(__xludf.DUMMYFUNCTION("""COMPUTED_VALUE"""),"-")</f>
        <v>-</v>
      </c>
      <c r="G320" s="238">
        <f>IFERROR(__xludf.DUMMYFUNCTION("""COMPUTED_VALUE"""),45974.95833333333)</f>
        <v>45974.95833</v>
      </c>
      <c r="H320" s="238">
        <f>IFERROR(__xludf.DUMMYFUNCTION("""COMPUTED_VALUE"""),45975.04166666667)</f>
        <v>45975.04167</v>
      </c>
      <c r="I320" s="237" t="str">
        <f t="shared" si="1"/>
        <v>Fora</v>
      </c>
      <c r="J320" s="239">
        <v>120.00000001396984</v>
      </c>
    </row>
    <row r="321">
      <c r="A321" s="234" t="s">
        <v>2017</v>
      </c>
      <c r="B321" s="234" t="str">
        <f>IFERROR(__xludf.DUMMYFUNCTION("""COMPUTED_VALUE"""),"SoC_MG_Betim")</f>
        <v>SoC_MG_Betim</v>
      </c>
      <c r="C321" s="234" t="str">
        <f>IFERROR(__xludf.DUMMYFUNCTION("""COMPUTED_VALUE"""),"SOC-MG2")</f>
        <v>SOC-MG2</v>
      </c>
      <c r="D321" s="234"/>
      <c r="E321" s="237" t="str">
        <f>IFERROR(__xludf.DUMMYFUNCTION("""COMPUTED_VALUE"""),"LT1PBD01RS4W1")</f>
        <v>LT1PBD01RS4W1</v>
      </c>
      <c r="F321" s="234"/>
      <c r="G321" s="238">
        <f>IFERROR(__xludf.DUMMYFUNCTION("""COMPUTED_VALUE"""),45974.95833333333)</f>
        <v>45974.95833</v>
      </c>
      <c r="H321" s="238">
        <f>IFERROR(__xludf.DUMMYFUNCTION("""COMPUTED_VALUE"""),45975.04166666667)</f>
        <v>45975.04167</v>
      </c>
      <c r="I321" s="237" t="str">
        <f t="shared" si="1"/>
        <v>Fora</v>
      </c>
      <c r="J321" s="239">
        <v>120.00000001396984</v>
      </c>
    </row>
    <row r="322">
      <c r="A322" s="234" t="s">
        <v>2018</v>
      </c>
      <c r="B322" s="234" t="str">
        <f>IFERROR(__xludf.DUMMYFUNCTION("""COMPUTED_VALUE"""),"SoC_RJ_Duque de Caxias")</f>
        <v>SoC_RJ_Duque de Caxias</v>
      </c>
      <c r="C322" s="234" t="str">
        <f>IFERROR(__xludf.DUMMYFUNCTION("""COMPUTED_VALUE"""),"SOC-RJ2")</f>
        <v>SOC-RJ2</v>
      </c>
      <c r="D322" s="234"/>
      <c r="E322" s="237" t="str">
        <f>IFERROR(__xludf.DUMMYFUNCTION("""COMPUTED_VALUE"""),"LT1PBD01RQJA1")</f>
        <v>LT1PBD01RQJA1</v>
      </c>
      <c r="F322" s="234"/>
      <c r="G322" s="238">
        <f>IFERROR(__xludf.DUMMYFUNCTION("""COMPUTED_VALUE"""),45974.95833333333)</f>
        <v>45974.95833</v>
      </c>
      <c r="H322" s="238">
        <f>IFERROR(__xludf.DUMMYFUNCTION("""COMPUTED_VALUE"""),45975.04166666667)</f>
        <v>45975.04167</v>
      </c>
      <c r="I322" s="237" t="str">
        <f t="shared" si="1"/>
        <v>Fora</v>
      </c>
      <c r="J322" s="239">
        <v>120.00000001396984</v>
      </c>
    </row>
    <row r="323">
      <c r="A323" s="234" t="s">
        <v>2019</v>
      </c>
      <c r="B323" s="234" t="str">
        <f>IFERROR(__xludf.DUMMYFUNCTION("""COMPUTED_VALUE"""),"SoC_RJ_Duque de Caxias")</f>
        <v>SoC_RJ_Duque de Caxias</v>
      </c>
      <c r="C323" s="234" t="str">
        <f>IFERROR(__xludf.DUMMYFUNCTION("""COMPUTED_VALUE"""),"SOC-RJ2")</f>
        <v>SOC-RJ2</v>
      </c>
      <c r="D323" s="234">
        <f>IFERROR(__xludf.DUMMYFUNCTION("""COMPUTED_VALUE"""),43.0)</f>
        <v>43</v>
      </c>
      <c r="E323" s="237" t="str">
        <f>IFERROR(__xludf.DUMMYFUNCTION("""COMPUTED_VALUE"""),"LT1PBD01RS4Q1")</f>
        <v>LT1PBD01RS4Q1</v>
      </c>
      <c r="F323" s="238" t="str">
        <f>IFERROR(__xludf.DUMMYFUNCTION("""COMPUTED_VALUE"""),"MDU8J56,NFN4E08")</f>
        <v>MDU8J56,NFN4E08</v>
      </c>
      <c r="G323" s="238">
        <f>IFERROR(__xludf.DUMMYFUNCTION("""COMPUTED_VALUE"""),45974.95833333333)</f>
        <v>45974.95833</v>
      </c>
      <c r="H323" s="238">
        <f>IFERROR(__xludf.DUMMYFUNCTION("""COMPUTED_VALUE"""),45975.04166666667)</f>
        <v>45975.04167</v>
      </c>
      <c r="I323" s="237" t="str">
        <f t="shared" si="1"/>
        <v>Fora</v>
      </c>
      <c r="J323" s="239">
        <v>119.00000001071021</v>
      </c>
    </row>
    <row r="324">
      <c r="A324" s="234" t="s">
        <v>2020</v>
      </c>
      <c r="B324" s="234" t="str">
        <f>IFERROR(__xludf.DUMMYFUNCTION("""COMPUTED_VALUE"""),"LM Hub_SP_Limeira_Campo Belo")</f>
        <v>LM Hub_SP_Limeira_Campo Belo</v>
      </c>
      <c r="C324" s="234" t="str">
        <f>IFERROR(__xludf.DUMMYFUNCTION("""COMPUTED_VALUE"""),"HUB-LSP-24")</f>
        <v>HUB-LSP-24</v>
      </c>
      <c r="D324" s="234">
        <f>IFERROR(__xludf.DUMMYFUNCTION("""COMPUTED_VALUE"""),6.0)</f>
        <v>6</v>
      </c>
      <c r="E324" s="237" t="str">
        <f>IFERROR(__xludf.DUMMYFUNCTION("""COMPUTED_VALUE"""),"LT0PBD01R8F61")</f>
        <v>LT0PBD01R8F61</v>
      </c>
      <c r="F324" s="238" t="str">
        <f>IFERROR(__xludf.DUMMYFUNCTION("""COMPUTED_VALUE"""),"GES8A28,STT6A13")</f>
        <v>GES8A28,STT6A13</v>
      </c>
      <c r="G324" s="238">
        <f>IFERROR(__xludf.DUMMYFUNCTION("""COMPUTED_VALUE"""),45974.959027777775)</f>
        <v>45974.95903</v>
      </c>
      <c r="H324" s="238">
        <f>IFERROR(__xludf.DUMMYFUNCTION("""COMPUTED_VALUE"""),45975.04166666667)</f>
        <v>45975.04167</v>
      </c>
      <c r="I324" s="237" t="str">
        <f t="shared" si="1"/>
        <v>Fora</v>
      </c>
      <c r="J324" s="239">
        <v>119.00000001071021</v>
      </c>
    </row>
    <row r="325">
      <c r="A325" s="234" t="s">
        <v>2021</v>
      </c>
      <c r="B325" s="234" t="str">
        <f>IFERROR(__xludf.DUMMYFUNCTION("""COMPUTED_VALUE"""),"LM Hub_SP_Mogi Mirim")</f>
        <v>LM Hub_SP_Mogi Mirim</v>
      </c>
      <c r="C325" s="234" t="str">
        <f>IFERROR(__xludf.DUMMYFUNCTION("""COMPUTED_VALUE"""),"HUB-LSP-37")</f>
        <v>HUB-LSP-37</v>
      </c>
      <c r="D325" s="234">
        <f>IFERROR(__xludf.DUMMYFUNCTION("""COMPUTED_VALUE"""),8.0)</f>
        <v>8</v>
      </c>
      <c r="E325" s="237" t="str">
        <f>IFERROR(__xludf.DUMMYFUNCTION("""COMPUTED_VALUE"""),"LT0PBD01R8G61")</f>
        <v>LT0PBD01R8G61</v>
      </c>
      <c r="F325" s="238" t="str">
        <f>IFERROR(__xludf.DUMMYFUNCTION("""COMPUTED_VALUE"""),"UEY6G90,TAX1I61")</f>
        <v>UEY6G90,TAX1I61</v>
      </c>
      <c r="G325" s="238">
        <f>IFERROR(__xludf.DUMMYFUNCTION("""COMPUTED_VALUE"""),45974.959027777775)</f>
        <v>45974.95903</v>
      </c>
      <c r="H325" s="238">
        <f>IFERROR(__xludf.DUMMYFUNCTION("""COMPUTED_VALUE"""),45975.04166666667)</f>
        <v>45975.04167</v>
      </c>
      <c r="I325" s="237" t="str">
        <f t="shared" si="1"/>
        <v>Fora</v>
      </c>
      <c r="J325" s="239">
        <v>60.00000000698492</v>
      </c>
    </row>
    <row r="326">
      <c r="A326" s="234" t="s">
        <v>2022</v>
      </c>
      <c r="B326" s="234" t="str">
        <f>IFERROR(__xludf.DUMMYFUNCTION("""COMPUTED_VALUE"""),"LM Hub_SP_Mogi Mirim")</f>
        <v>LM Hub_SP_Mogi Mirim</v>
      </c>
      <c r="C326" s="234" t="str">
        <f>IFERROR(__xludf.DUMMYFUNCTION("""COMPUTED_VALUE"""),"HUB-LSP-37")</f>
        <v>HUB-LSP-37</v>
      </c>
      <c r="D326" s="234"/>
      <c r="E326" s="237" t="str">
        <f>IFERROR(__xludf.DUMMYFUNCTION("""COMPUTED_VALUE"""),"LT1PBE01RSFD1")</f>
        <v>LT1PBE01RSFD1</v>
      </c>
      <c r="F326" s="234"/>
      <c r="G326" s="238">
        <f>IFERROR(__xludf.DUMMYFUNCTION("""COMPUTED_VALUE"""),45975.0)</f>
        <v>45975</v>
      </c>
      <c r="H326" s="238">
        <f>IFERROR(__xludf.DUMMYFUNCTION("""COMPUTED_VALUE"""),45975.04166666667)</f>
        <v>45975.04167</v>
      </c>
      <c r="I326" s="237" t="str">
        <f t="shared" si="1"/>
        <v>Fora</v>
      </c>
      <c r="J326" s="239">
        <v>119.99999999301508</v>
      </c>
    </row>
    <row r="327">
      <c r="A327" s="234" t="s">
        <v>2023</v>
      </c>
      <c r="B327" s="234" t="str">
        <f>IFERROR(__xludf.DUMMYFUNCTION("""COMPUTED_VALUE"""),"LM Hub_SP_Atibaia_Ponte_Alta")</f>
        <v>LM Hub_SP_Atibaia_Ponte_Alta</v>
      </c>
      <c r="C327" s="234" t="str">
        <f>IFERROR(__xludf.DUMMYFUNCTION("""COMPUTED_VALUE"""),"HUB-LSP-87")</f>
        <v>HUB-LSP-87</v>
      </c>
      <c r="D327" s="234">
        <f>IFERROR(__xludf.DUMMYFUNCTION("""COMPUTED_VALUE"""),18.0)</f>
        <v>18</v>
      </c>
      <c r="E327" s="237" t="str">
        <f>IFERROR(__xludf.DUMMYFUNCTION("""COMPUTED_VALUE"""),"LT0PBD01RDCW1")</f>
        <v>LT0PBD01RDCW1</v>
      </c>
      <c r="F327" s="238" t="str">
        <f>IFERROR(__xludf.DUMMYFUNCTION("""COMPUTED_VALUE"""),"TBQ8J48,GBT5B76")</f>
        <v>TBQ8J48,GBT5B76</v>
      </c>
      <c r="G327" s="238">
        <f>IFERROR(__xludf.DUMMYFUNCTION("""COMPUTED_VALUE"""),45974.97916666667)</f>
        <v>45974.97917</v>
      </c>
      <c r="H327" s="238">
        <f>IFERROR(__xludf.DUMMYFUNCTION("""COMPUTED_VALUE"""),45975.0625)</f>
        <v>45975.0625</v>
      </c>
      <c r="I327" s="237" t="str">
        <f t="shared" si="1"/>
        <v>Fora</v>
      </c>
      <c r="J327" s="239">
        <v>119.00000000023283</v>
      </c>
    </row>
    <row r="328">
      <c r="A328" s="234" t="s">
        <v>2024</v>
      </c>
      <c r="B328" s="234" t="str">
        <f>IFERROR(__xludf.DUMMYFUNCTION("""COMPUTED_VALUE"""),"LM Hub_SP_Araraquara")</f>
        <v>LM Hub_SP_Araraquara</v>
      </c>
      <c r="C328" s="234" t="str">
        <f>IFERROR(__xludf.DUMMYFUNCTION("""COMPUTED_VALUE"""),"HUB-LSP-29")</f>
        <v>HUB-LSP-29</v>
      </c>
      <c r="D328" s="234">
        <f>IFERROR(__xludf.DUMMYFUNCTION("""COMPUTED_VALUE"""),24.0)</f>
        <v>24</v>
      </c>
      <c r="E328" s="237" t="str">
        <f>IFERROR(__xludf.DUMMYFUNCTION("""COMPUTED_VALUE"""),"LT0PBD01R8GE1")</f>
        <v>LT0PBD01R8GE1</v>
      </c>
      <c r="F328" s="238" t="str">
        <f>IFERROR(__xludf.DUMMYFUNCTION("""COMPUTED_VALUE"""),"EWJ2H21")</f>
        <v>EWJ2H21</v>
      </c>
      <c r="G328" s="238">
        <f>IFERROR(__xludf.DUMMYFUNCTION("""COMPUTED_VALUE"""),45974.97986111111)</f>
        <v>45974.97986</v>
      </c>
      <c r="H328" s="238">
        <f>IFERROR(__xludf.DUMMYFUNCTION("""COMPUTED_VALUE"""),45975.0625)</f>
        <v>45975.0625</v>
      </c>
      <c r="I328" s="237" t="str">
        <f t="shared" si="1"/>
        <v>Fora</v>
      </c>
      <c r="J328" s="239">
        <v>119.00000000023283</v>
      </c>
    </row>
    <row r="329">
      <c r="A329" s="234" t="s">
        <v>2025</v>
      </c>
      <c r="B329" s="234" t="str">
        <f>IFERROR(__xludf.DUMMYFUNCTION("""COMPUTED_VALUE"""),"LM Hub_SP_Jundiaí")</f>
        <v>LM Hub_SP_Jundiaí</v>
      </c>
      <c r="C329" s="234" t="str">
        <f>IFERROR(__xludf.DUMMYFUNCTION("""COMPUTED_VALUE"""),"HUB-LSP-20")</f>
        <v>HUB-LSP-20</v>
      </c>
      <c r="D329" s="234">
        <f>IFERROR(__xludf.DUMMYFUNCTION("""COMPUTED_VALUE"""),13.0)</f>
        <v>13</v>
      </c>
      <c r="E329" s="237" t="str">
        <f>IFERROR(__xludf.DUMMYFUNCTION("""COMPUTED_VALUE"""),"LT0PBD01RIY31")</f>
        <v>LT0PBD01RIY31</v>
      </c>
      <c r="F329" s="238" t="str">
        <f>IFERROR(__xludf.DUMMYFUNCTION("""COMPUTED_VALUE"""),"ASN0C15,MBC2C84")</f>
        <v>ASN0C15,MBC2C84</v>
      </c>
      <c r="G329" s="238">
        <f>IFERROR(__xludf.DUMMYFUNCTION("""COMPUTED_VALUE"""),45974.97986111111)</f>
        <v>45974.97986</v>
      </c>
      <c r="H329" s="238">
        <f>IFERROR(__xludf.DUMMYFUNCTION("""COMPUTED_VALUE"""),45975.0625)</f>
        <v>45975.0625</v>
      </c>
      <c r="I329" s="237" t="str">
        <f t="shared" si="1"/>
        <v>Fora</v>
      </c>
      <c r="J329" s="239">
        <v>119.00000000023283</v>
      </c>
    </row>
    <row r="330">
      <c r="A330" s="234" t="s">
        <v>2026</v>
      </c>
      <c r="B330" s="234" t="str">
        <f>IFERROR(__xludf.DUMMYFUNCTION("""COMPUTED_VALUE"""),"LM Hub_SP_Várzea Paulista")</f>
        <v>LM Hub_SP_Várzea Paulista</v>
      </c>
      <c r="C330" s="234" t="str">
        <f>IFERROR(__xludf.DUMMYFUNCTION("""COMPUTED_VALUE"""),"HUB-LSP-61")</f>
        <v>HUB-LSP-61</v>
      </c>
      <c r="D330" s="234"/>
      <c r="E330" s="237" t="str">
        <f>IFERROR(__xludf.DUMMYFUNCTION("""COMPUTED_VALUE"""),"LT0PBD01R8FH1")</f>
        <v>LT0PBD01R8FH1</v>
      </c>
      <c r="F330" s="238" t="str">
        <f>IFERROR(__xludf.DUMMYFUNCTION("""COMPUTED_VALUE"""),"EQU2F19,NGQ2G14")</f>
        <v>EQU2F19,NGQ2G14</v>
      </c>
      <c r="G330" s="238">
        <f>IFERROR(__xludf.DUMMYFUNCTION("""COMPUTED_VALUE"""),45974.97986111111)</f>
        <v>45974.97986</v>
      </c>
      <c r="H330" s="238">
        <f>IFERROR(__xludf.DUMMYFUNCTION("""COMPUTED_VALUE"""),45975.0625)</f>
        <v>45975.0625</v>
      </c>
      <c r="I330" s="237" t="str">
        <f t="shared" si="1"/>
        <v>Fora</v>
      </c>
      <c r="J330" s="239">
        <v>119.99999999301508</v>
      </c>
    </row>
    <row r="331">
      <c r="A331" s="234" t="s">
        <v>2027</v>
      </c>
      <c r="B331" s="234" t="str">
        <f>IFERROR(__xludf.DUMMYFUNCTION("""COMPUTED_VALUE"""),"SoC_PR_Curitiba")</f>
        <v>SoC_PR_Curitiba</v>
      </c>
      <c r="C331" s="234" t="str">
        <f>IFERROR(__xludf.DUMMYFUNCTION("""COMPUTED_VALUE"""),"SOC-PR1")</f>
        <v>SOC-PR1</v>
      </c>
      <c r="D331" s="234">
        <f>IFERROR(__xludf.DUMMYFUNCTION("""COMPUTED_VALUE"""),35.0)</f>
        <v>35</v>
      </c>
      <c r="E331" s="237" t="str">
        <f>IFERROR(__xludf.DUMMYFUNCTION("""COMPUTED_VALUE"""),"LT0PBE01R8861")</f>
        <v>LT0PBE01R8861</v>
      </c>
      <c r="F331" s="238" t="str">
        <f>IFERROR(__xludf.DUMMYFUNCTION("""COMPUTED_VALUE"""),"FPA8J74,SXH1B40")</f>
        <v>FPA8J74,SXH1B40</v>
      </c>
      <c r="G331" s="238">
        <f>IFERROR(__xludf.DUMMYFUNCTION("""COMPUTED_VALUE"""),45975.0)</f>
        <v>45975</v>
      </c>
      <c r="H331" s="238">
        <f>IFERROR(__xludf.DUMMYFUNCTION("""COMPUTED_VALUE"""),45975.08333333333)</f>
        <v>45975.08333</v>
      </c>
      <c r="I331" s="237" t="str">
        <f t="shared" si="1"/>
        <v>Fora</v>
      </c>
      <c r="J331" s="239">
        <v>119.99999999301508</v>
      </c>
    </row>
    <row r="332">
      <c r="A332" s="234" t="s">
        <v>2028</v>
      </c>
      <c r="B332" s="234" t="str">
        <f>IFERROR(__xludf.DUMMYFUNCTION("""COMPUTED_VALUE"""),"SoC_RJ_Duque de Caxias")</f>
        <v>SoC_RJ_Duque de Caxias</v>
      </c>
      <c r="C332" s="234" t="str">
        <f>IFERROR(__xludf.DUMMYFUNCTION("""COMPUTED_VALUE"""),"SOC-RJ2")</f>
        <v>SOC-RJ2</v>
      </c>
      <c r="D332" s="234">
        <f>IFERROR(__xludf.DUMMYFUNCTION("""COMPUTED_VALUE"""),43.0)</f>
        <v>43</v>
      </c>
      <c r="E332" s="237" t="str">
        <f>IFERROR(__xludf.DUMMYFUNCTION("""COMPUTED_VALUE"""),"LT1PBD01RS4R1")</f>
        <v>LT1PBD01RS4R1</v>
      </c>
      <c r="F332" s="238" t="str">
        <f>IFERROR(__xludf.DUMMYFUNCTION("""COMPUTED_VALUE"""),"MMH2F35")</f>
        <v>MMH2F35</v>
      </c>
      <c r="G332" s="238">
        <f>IFERROR(__xludf.DUMMYFUNCTION("""COMPUTED_VALUE"""),45975.0)</f>
        <v>45975</v>
      </c>
      <c r="H332" s="238">
        <f>IFERROR(__xludf.DUMMYFUNCTION("""COMPUTED_VALUE"""),45975.08333333333)</f>
        <v>45975.08333</v>
      </c>
      <c r="I332" s="237" t="str">
        <f t="shared" si="1"/>
        <v>Fora</v>
      </c>
      <c r="J332" s="239">
        <v>119.99999999301508</v>
      </c>
    </row>
    <row r="333">
      <c r="A333" s="234" t="s">
        <v>2029</v>
      </c>
      <c r="B333" s="234" t="str">
        <f>IFERROR(__xludf.DUMMYFUNCTION("""COMPUTED_VALUE"""),"SoC_RS_Gravataí_02")</f>
        <v>SoC_RS_Gravataí_02</v>
      </c>
      <c r="C333" s="234" t="str">
        <f>IFERROR(__xludf.DUMMYFUNCTION("""COMPUTED_VALUE"""),"SOC-RS2")</f>
        <v>SOC-RS2</v>
      </c>
      <c r="D333" s="234">
        <f>IFERROR(__xludf.DUMMYFUNCTION("""COMPUTED_VALUE"""),33.0)</f>
        <v>33</v>
      </c>
      <c r="E333" s="237" t="str">
        <f>IFERROR(__xludf.DUMMYFUNCTION("""COMPUTED_VALUE"""),"LT0PBE01RG2Q1")</f>
        <v>LT0PBE01RG2Q1</v>
      </c>
      <c r="F333" s="238" t="str">
        <f>IFERROR(__xludf.DUMMYFUNCTION("""COMPUTED_VALUE"""),"EJF8F29,JCV5A53")</f>
        <v>EJF8F29,JCV5A53</v>
      </c>
      <c r="G333" s="238">
        <f>IFERROR(__xludf.DUMMYFUNCTION("""COMPUTED_VALUE"""),45975.0)</f>
        <v>45975</v>
      </c>
      <c r="H333" s="238">
        <f>IFERROR(__xludf.DUMMYFUNCTION("""COMPUTED_VALUE"""),45975.08333333333)</f>
        <v>45975.08333</v>
      </c>
      <c r="I333" s="237" t="str">
        <f t="shared" si="1"/>
        <v>Fora</v>
      </c>
      <c r="J333" s="239">
        <v>240.00000000698492</v>
      </c>
    </row>
    <row r="334">
      <c r="A334" s="234" t="s">
        <v>2030</v>
      </c>
      <c r="B334" s="234" t="str">
        <f>IFERROR(__xludf.DUMMYFUNCTION("""COMPUTED_VALUE"""),"SoC_MG_Betim")</f>
        <v>SoC_MG_Betim</v>
      </c>
      <c r="C334" s="234" t="str">
        <f>IFERROR(__xludf.DUMMYFUNCTION("""COMPUTED_VALUE"""),"SOC-MG2")</f>
        <v>SOC-MG2</v>
      </c>
      <c r="D334" s="234">
        <f>IFERROR(__xludf.DUMMYFUNCTION("""COMPUTED_VALUE"""),37.0)</f>
        <v>37</v>
      </c>
      <c r="E334" s="237" t="str">
        <f>IFERROR(__xludf.DUMMYFUNCTION("""COMPUTED_VALUE"""),"LT0PBD01RGYS1")</f>
        <v>LT0PBD01RGYS1</v>
      </c>
      <c r="F334" s="238" t="str">
        <f>IFERROR(__xludf.DUMMYFUNCTION("""COMPUTED_VALUE"""),"RTL6B10,SIJ2F49")</f>
        <v>RTL6B10,SIJ2F49</v>
      </c>
      <c r="G334" s="238">
        <f>IFERROR(__xludf.DUMMYFUNCTION("""COMPUTED_VALUE"""),45974.95833333333)</f>
        <v>45974.95833</v>
      </c>
      <c r="H334" s="238">
        <f>IFERROR(__xludf.DUMMYFUNCTION("""COMPUTED_VALUE"""),45975.125)</f>
        <v>45975.125</v>
      </c>
      <c r="I334" s="237" t="str">
        <f t="shared" si="1"/>
        <v>Fora</v>
      </c>
      <c r="J334" s="239">
        <v>239.0000000037253</v>
      </c>
    </row>
    <row r="335">
      <c r="A335" s="234" t="s">
        <v>2031</v>
      </c>
      <c r="B335" s="234" t="str">
        <f>IFERROR(__xludf.DUMMYFUNCTION("""COMPUTED_VALUE"""),"SoC_MG_Betim")</f>
        <v>SoC_MG_Betim</v>
      </c>
      <c r="C335" s="234" t="str">
        <f>IFERROR(__xludf.DUMMYFUNCTION("""COMPUTED_VALUE"""),"SOC-MG2")</f>
        <v>SOC-MG2</v>
      </c>
      <c r="D335" s="234">
        <f>IFERROR(__xludf.DUMMYFUNCTION("""COMPUTED_VALUE"""),47.0)</f>
        <v>47</v>
      </c>
      <c r="E335" s="237" t="str">
        <f>IFERROR(__xludf.DUMMYFUNCTION("""COMPUTED_VALUE"""),"LT0PBD01RK5P1")</f>
        <v>LT0PBD01RK5P1</v>
      </c>
      <c r="F335" s="238" t="str">
        <f>IFERROR(__xludf.DUMMYFUNCTION("""COMPUTED_VALUE"""),"RFC7I57,TEV1A97")</f>
        <v>RFC7I57,TEV1A97</v>
      </c>
      <c r="G335" s="238">
        <f>IFERROR(__xludf.DUMMYFUNCTION("""COMPUTED_VALUE"""),45974.959027777775)</f>
        <v>45974.95903</v>
      </c>
      <c r="H335" s="238">
        <f>IFERROR(__xludf.DUMMYFUNCTION("""COMPUTED_VALUE"""),45975.125)</f>
        <v>45975.125</v>
      </c>
      <c r="I335" s="237" t="str">
        <f t="shared" si="1"/>
        <v>Fora</v>
      </c>
      <c r="J335" s="239">
        <v>119.99999999301508</v>
      </c>
    </row>
    <row r="336">
      <c r="A336" s="234" t="s">
        <v>2032</v>
      </c>
      <c r="B336" s="234" t="str">
        <f>IFERROR(__xludf.DUMMYFUNCTION("""COMPUTED_VALUE"""),"SoC_MG_Betim")</f>
        <v>SoC_MG_Betim</v>
      </c>
      <c r="C336" s="234" t="str">
        <f>IFERROR(__xludf.DUMMYFUNCTION("""COMPUTED_VALUE"""),"SOC-MG2")</f>
        <v>SOC-MG2</v>
      </c>
      <c r="D336" s="234"/>
      <c r="E336" s="237" t="str">
        <f>IFERROR(__xludf.DUMMYFUNCTION("""COMPUTED_VALUE"""),"LT1PBE01RS4X1")</f>
        <v>LT1PBE01RS4X1</v>
      </c>
      <c r="F336" s="234"/>
      <c r="G336" s="238">
        <f>IFERROR(__xludf.DUMMYFUNCTION("""COMPUTED_VALUE"""),45975.04166666667)</f>
        <v>45975.04167</v>
      </c>
      <c r="H336" s="238">
        <f>IFERROR(__xludf.DUMMYFUNCTION("""COMPUTED_VALUE"""),45975.125)</f>
        <v>45975.125</v>
      </c>
      <c r="I336" s="237" t="str">
        <f t="shared" si="1"/>
        <v>Fora</v>
      </c>
      <c r="J336" s="239">
        <v>119.99999999301508</v>
      </c>
    </row>
    <row r="337">
      <c r="A337" s="234" t="s">
        <v>2033</v>
      </c>
      <c r="B337" s="234" t="str">
        <f>IFERROR(__xludf.DUMMYFUNCTION("""COMPUTED_VALUE"""),"SoC_SC_Itajaí")</f>
        <v>SoC_SC_Itajaí</v>
      </c>
      <c r="C337" s="234" t="str">
        <f>IFERROR(__xludf.DUMMYFUNCTION("""COMPUTED_VALUE"""),"SOC-SC1")</f>
        <v>SOC-SC1</v>
      </c>
      <c r="D337" s="234">
        <f>IFERROR(__xludf.DUMMYFUNCTION("""COMPUTED_VALUE"""),23.0)</f>
        <v>23</v>
      </c>
      <c r="E337" s="237" t="str">
        <f>IFERROR(__xludf.DUMMYFUNCTION("""COMPUTED_VALUE"""),"LT1PBE01RS5A1")</f>
        <v>LT1PBE01RS5A1</v>
      </c>
      <c r="F337" s="238" t="str">
        <f>IFERROR(__xludf.DUMMYFUNCTION("""COMPUTED_VALUE"""),"FEJ8C37")</f>
        <v>FEJ8C37</v>
      </c>
      <c r="G337" s="238">
        <f>IFERROR(__xludf.DUMMYFUNCTION("""COMPUTED_VALUE"""),45975.04166666667)</f>
        <v>45975.04167</v>
      </c>
      <c r="H337" s="238">
        <f>IFERROR(__xludf.DUMMYFUNCTION("""COMPUTED_VALUE"""),45975.125)</f>
        <v>45975.125</v>
      </c>
      <c r="I337" s="237" t="str">
        <f t="shared" si="1"/>
        <v>Fora</v>
      </c>
      <c r="J337" s="239">
        <v>120.00000001396984</v>
      </c>
    </row>
    <row r="338">
      <c r="A338" s="234" t="s">
        <v>2034</v>
      </c>
      <c r="B338" s="234" t="str">
        <f>IFERROR(__xludf.DUMMYFUNCTION("""COMPUTED_VALUE"""),"SoC_MG_Betim")</f>
        <v>SoC_MG_Betim</v>
      </c>
      <c r="C338" s="234" t="str">
        <f>IFERROR(__xludf.DUMMYFUNCTION("""COMPUTED_VALUE"""),"SOC-MG2")</f>
        <v>SOC-MG2</v>
      </c>
      <c r="D338" s="234">
        <f>IFERROR(__xludf.DUMMYFUNCTION("""COMPUTED_VALUE"""),44.0)</f>
        <v>44</v>
      </c>
      <c r="E338" s="237" t="str">
        <f>IFERROR(__xludf.DUMMYFUNCTION("""COMPUTED_VALUE"""),"LT1PBE01RSJ51")</f>
        <v>LT1PBE01RSJ51</v>
      </c>
      <c r="F338" s="238" t="str">
        <f>IFERROR(__xludf.DUMMYFUNCTION("""COMPUTED_VALUE"""),"DPB7675,EZY4H93")</f>
        <v>DPB7675,EZY4H93</v>
      </c>
      <c r="G338" s="238">
        <f>IFERROR(__xludf.DUMMYFUNCTION("""COMPUTED_VALUE"""),45975.08333333333)</f>
        <v>45975.08333</v>
      </c>
      <c r="H338" s="238">
        <f>IFERROR(__xludf.DUMMYFUNCTION("""COMPUTED_VALUE"""),45975.16666666667)</f>
        <v>45975.16667</v>
      </c>
      <c r="I338" s="237" t="str">
        <f t="shared" si="1"/>
        <v>Fora</v>
      </c>
      <c r="J338" s="239">
        <v>120.00000001396984</v>
      </c>
    </row>
    <row r="339">
      <c r="A339" s="234" t="s">
        <v>2035</v>
      </c>
      <c r="B339" s="234" t="str">
        <f>IFERROR(__xludf.DUMMYFUNCTION("""COMPUTED_VALUE"""),"SoC_PE_Jaboatão dos Guararapes")</f>
        <v>SoC_PE_Jaboatão dos Guararapes</v>
      </c>
      <c r="C339" s="234" t="str">
        <f>IFERROR(__xludf.DUMMYFUNCTION("""COMPUTED_VALUE"""),"SOC-PE2")</f>
        <v>SOC-PE2</v>
      </c>
      <c r="D339" s="234">
        <f>IFERROR(__xludf.DUMMYFUNCTION("""COMPUTED_VALUE"""),34.0)</f>
        <v>34</v>
      </c>
      <c r="E339" s="237" t="str">
        <f>IFERROR(__xludf.DUMMYFUNCTION("""COMPUTED_VALUE"""),"LT1PBD01RS521")</f>
        <v>LT1PBD01RS521</v>
      </c>
      <c r="F339" s="238" t="str">
        <f>IFERROR(__xludf.DUMMYFUNCTION("""COMPUTED_VALUE"""),"IZP8I49,JDM3I27")</f>
        <v>IZP8I49,JDM3I27</v>
      </c>
      <c r="G339" s="238">
        <f>IFERROR(__xludf.DUMMYFUNCTION("""COMPUTED_VALUE"""),45975.08333333333)</f>
        <v>45975.08333</v>
      </c>
      <c r="H339" s="238">
        <f>IFERROR(__xludf.DUMMYFUNCTION("""COMPUTED_VALUE"""),45975.16666666667)</f>
        <v>45975.16667</v>
      </c>
      <c r="I339" s="237" t="str">
        <f t="shared" si="1"/>
        <v>Fora</v>
      </c>
      <c r="J339" s="239">
        <v>119.00000001071021</v>
      </c>
    </row>
    <row r="340">
      <c r="A340" s="234" t="s">
        <v>2036</v>
      </c>
      <c r="B340" s="234" t="str">
        <f>IFERROR(__xludf.DUMMYFUNCTION("""COMPUTED_VALUE"""),"LM Hub_SP_Tatuí")</f>
        <v>LM Hub_SP_Tatuí</v>
      </c>
      <c r="C340" s="234" t="str">
        <f>IFERROR(__xludf.DUMMYFUNCTION("""COMPUTED_VALUE"""),"HUB-LSP-51")</f>
        <v>HUB-LSP-51</v>
      </c>
      <c r="D340" s="234">
        <f>IFERROR(__xludf.DUMMYFUNCTION("""COMPUTED_VALUE"""),8.0)</f>
        <v>8</v>
      </c>
      <c r="E340" s="237" t="str">
        <f>IFERROR(__xludf.DUMMYFUNCTION("""COMPUTED_VALUE"""),"LT0PBE01R8CZ1")</f>
        <v>LT0PBE01R8CZ1</v>
      </c>
      <c r="F340" s="238" t="str">
        <f>IFERROR(__xludf.DUMMYFUNCTION("""COMPUTED_VALUE"""),"FLO1G76")</f>
        <v>FLO1G76</v>
      </c>
      <c r="G340" s="238">
        <f>IFERROR(__xludf.DUMMYFUNCTION("""COMPUTED_VALUE"""),45975.084027777775)</f>
        <v>45975.08403</v>
      </c>
      <c r="H340" s="238">
        <f>IFERROR(__xludf.DUMMYFUNCTION("""COMPUTED_VALUE"""),45975.16666666667)</f>
        <v>45975.16667</v>
      </c>
      <c r="I340" s="237" t="str">
        <f t="shared" si="1"/>
        <v>Fora</v>
      </c>
      <c r="J340" s="239">
        <v>180.0</v>
      </c>
    </row>
    <row r="341">
      <c r="A341" s="234" t="s">
        <v>2037</v>
      </c>
      <c r="B341" s="234" t="str">
        <f>IFERROR(__xludf.DUMMYFUNCTION("""COMPUTED_VALUE"""),"SoC_MG_Betim")</f>
        <v>SoC_MG_Betim</v>
      </c>
      <c r="C341" s="234" t="str">
        <f>IFERROR(__xludf.DUMMYFUNCTION("""COMPUTED_VALUE"""),"SOC-MG2")</f>
        <v>SOC-MG2</v>
      </c>
      <c r="D341" s="234">
        <f>IFERROR(__xludf.DUMMYFUNCTION("""COMPUTED_VALUE"""),46.0)</f>
        <v>46</v>
      </c>
      <c r="E341" s="237" t="str">
        <f>IFERROR(__xludf.DUMMYFUNCTION("""COMPUTED_VALUE"""),"LT1PBE01S26W1")</f>
        <v>LT1PBE01S26W1</v>
      </c>
      <c r="F341" s="238" t="str">
        <f>IFERROR(__xludf.DUMMYFUNCTION("""COMPUTED_VALUE"""),"CNQ9G84,UEP4I46")</f>
        <v>CNQ9G84,UEP4I46</v>
      </c>
      <c r="G341" s="238">
        <f>IFERROR(__xludf.DUMMYFUNCTION("""COMPUTED_VALUE"""),45975.0625)</f>
        <v>45975.0625</v>
      </c>
      <c r="H341" s="238">
        <f>IFERROR(__xludf.DUMMYFUNCTION("""COMPUTED_VALUE"""),45975.1875)</f>
        <v>45975.1875</v>
      </c>
      <c r="I341" s="237" t="str">
        <f t="shared" si="1"/>
        <v>Fora</v>
      </c>
      <c r="J341" s="239">
        <v>60.00000000698492</v>
      </c>
    </row>
    <row r="342">
      <c r="A342" s="234" t="s">
        <v>2038</v>
      </c>
      <c r="B342" s="234" t="str">
        <f>IFERROR(__xludf.DUMMYFUNCTION("""COMPUTED_VALUE"""),"LM Hub_MG_Varginha_Fausto")</f>
        <v>LM Hub_MG_Varginha_Fausto</v>
      </c>
      <c r="C342" s="234" t="str">
        <f>IFERROR(__xludf.DUMMYFUNCTION("""COMPUTED_VALUE"""),"HUB-LMG-45")</f>
        <v>HUB-LMG-45</v>
      </c>
      <c r="D342" s="234">
        <f>IFERROR(__xludf.DUMMYFUNCTION("""COMPUTED_VALUE"""),18.0)</f>
        <v>18</v>
      </c>
      <c r="E342" s="237" t="str">
        <f>IFERROR(__xludf.DUMMYFUNCTION("""COMPUTED_VALUE"""),"LT0PBE01RF9D1")</f>
        <v>LT0PBE01RF9D1</v>
      </c>
      <c r="F342" s="238" t="str">
        <f>IFERROR(__xludf.DUMMYFUNCTION("""COMPUTED_VALUE"""),"EMT2F17")</f>
        <v>EMT2F17</v>
      </c>
      <c r="G342" s="238">
        <f>IFERROR(__xludf.DUMMYFUNCTION("""COMPUTED_VALUE"""),45975.14583333333)</f>
        <v>45975.14583</v>
      </c>
      <c r="H342" s="238">
        <f>IFERROR(__xludf.DUMMYFUNCTION("""COMPUTED_VALUE"""),45975.1875)</f>
        <v>45975.1875</v>
      </c>
      <c r="I342" s="237" t="str">
        <f t="shared" si="1"/>
        <v>Fora</v>
      </c>
      <c r="J342" s="239">
        <v>60.00000000698492</v>
      </c>
    </row>
    <row r="343">
      <c r="A343" s="234" t="s">
        <v>2039</v>
      </c>
      <c r="B343" s="234" t="str">
        <f>IFERROR(__xludf.DUMMYFUNCTION("""COMPUTED_VALUE"""),"LM Hub_SP_São Carlos")</f>
        <v>LM Hub_SP_São Carlos</v>
      </c>
      <c r="C343" s="234" t="str">
        <f>IFERROR(__xludf.DUMMYFUNCTION("""COMPUTED_VALUE"""),"HUB-LSP-31")</f>
        <v>HUB-LSP-31</v>
      </c>
      <c r="D343" s="234">
        <f>IFERROR(__xludf.DUMMYFUNCTION("""COMPUTED_VALUE"""),15.0)</f>
        <v>15</v>
      </c>
      <c r="E343" s="237" t="str">
        <f>IFERROR(__xludf.DUMMYFUNCTION("""COMPUTED_VALUE"""),"LT0PBE01R8FR1")</f>
        <v>LT0PBE01R8FR1</v>
      </c>
      <c r="F343" s="238" t="str">
        <f>IFERROR(__xludf.DUMMYFUNCTION("""COMPUTED_VALUE"""),"SVI0E00")</f>
        <v>SVI0E00</v>
      </c>
      <c r="G343" s="238">
        <f>IFERROR(__xludf.DUMMYFUNCTION("""COMPUTED_VALUE"""),45975.14583333333)</f>
        <v>45975.14583</v>
      </c>
      <c r="H343" s="238">
        <f>IFERROR(__xludf.DUMMYFUNCTION("""COMPUTED_VALUE"""),45975.1875)</f>
        <v>45975.1875</v>
      </c>
      <c r="I343" s="237" t="str">
        <f t="shared" si="1"/>
        <v>Fora</v>
      </c>
      <c r="J343" s="239">
        <v>59.00000000372529</v>
      </c>
    </row>
    <row r="344">
      <c r="A344" s="234" t="s">
        <v>2040</v>
      </c>
      <c r="B344" s="234" t="str">
        <f>IFERROR(__xludf.DUMMYFUNCTION("""COMPUTED_VALUE"""),"LM Hub_SP_Itapetininga")</f>
        <v>LM Hub_SP_Itapetininga</v>
      </c>
      <c r="C344" s="234" t="str">
        <f>IFERROR(__xludf.DUMMYFUNCTION("""COMPUTED_VALUE"""),"HUB-LSP-53")</f>
        <v>HUB-LSP-53</v>
      </c>
      <c r="D344" s="234">
        <f>IFERROR(__xludf.DUMMYFUNCTION("""COMPUTED_VALUE"""),18.0)</f>
        <v>18</v>
      </c>
      <c r="E344" s="237" t="str">
        <f>IFERROR(__xludf.DUMMYFUNCTION("""COMPUTED_VALUE"""),"LT0PBE01R8CS1")</f>
        <v>LT0PBE01R8CS1</v>
      </c>
      <c r="F344" s="238" t="str">
        <f>IFERROR(__xludf.DUMMYFUNCTION("""COMPUTED_VALUE"""),"FZY3F48")</f>
        <v>FZY3F48</v>
      </c>
      <c r="G344" s="238">
        <f>IFERROR(__xludf.DUMMYFUNCTION("""COMPUTED_VALUE"""),45975.146527777775)</f>
        <v>45975.14653</v>
      </c>
      <c r="H344" s="238">
        <f>IFERROR(__xludf.DUMMYFUNCTION("""COMPUTED_VALUE"""),45975.1875)</f>
        <v>45975.1875</v>
      </c>
      <c r="I344" s="237" t="str">
        <f t="shared" si="1"/>
        <v>Fora</v>
      </c>
      <c r="J344" s="239">
        <v>180.0</v>
      </c>
    </row>
    <row r="345">
      <c r="A345" s="234" t="s">
        <v>2041</v>
      </c>
      <c r="B345" s="234" t="str">
        <f>IFERROR(__xludf.DUMMYFUNCTION("""COMPUTED_VALUE"""),"SoC_SP_Santana")</f>
        <v>SoC_SP_Santana</v>
      </c>
      <c r="C345" s="234" t="str">
        <f>IFERROR(__xludf.DUMMYFUNCTION("""COMPUTED_VALUE"""),"SOC-SP2")</f>
        <v>SOC-SP2</v>
      </c>
      <c r="D345" s="234">
        <f>IFERROR(__xludf.DUMMYFUNCTION("""COMPUTED_VALUE"""),42.0)</f>
        <v>42</v>
      </c>
      <c r="E345" s="237" t="str">
        <f>IFERROR(__xludf.DUMMYFUNCTION("""COMPUTED_VALUE"""),"LT0PBD01R8WP1")</f>
        <v>LT0PBD01R8WP1</v>
      </c>
      <c r="F345" s="238" t="str">
        <f>IFERROR(__xludf.DUMMYFUNCTION("""COMPUTED_VALUE"""),"CVP9C46")</f>
        <v>CVP9C46</v>
      </c>
      <c r="G345" s="238">
        <f>IFERROR(__xludf.DUMMYFUNCTION("""COMPUTED_VALUE"""),45975.08333333333)</f>
        <v>45975.08333</v>
      </c>
      <c r="H345" s="238">
        <f>IFERROR(__xludf.DUMMYFUNCTION("""COMPUTED_VALUE"""),45975.20833333333)</f>
        <v>45975.20833</v>
      </c>
      <c r="I345" s="237" t="str">
        <f t="shared" si="1"/>
        <v>Fora</v>
      </c>
      <c r="J345" s="239">
        <v>180.0</v>
      </c>
    </row>
    <row r="346">
      <c r="A346" s="234" t="s">
        <v>2042</v>
      </c>
      <c r="B346" s="234" t="str">
        <f>IFERROR(__xludf.DUMMYFUNCTION("""COMPUTED_VALUE"""),"SoC_SP_Santana")</f>
        <v>SoC_SP_Santana</v>
      </c>
      <c r="C346" s="234" t="str">
        <f>IFERROR(__xludf.DUMMYFUNCTION("""COMPUTED_VALUE"""),"SOC-SP2")</f>
        <v>SOC-SP2</v>
      </c>
      <c r="D346" s="234"/>
      <c r="E346" s="237" t="str">
        <f>IFERROR(__xludf.DUMMYFUNCTION("""COMPUTED_VALUE"""),"LT0PBD01RJ1Q1")</f>
        <v>LT0PBD01RJ1Q1</v>
      </c>
      <c r="F346" s="238" t="str">
        <f>IFERROR(__xludf.DUMMYFUNCTION("""COMPUTED_VALUE"""),"EFU9C99,IND2879")</f>
        <v>EFU9C99,IND2879</v>
      </c>
      <c r="G346" s="238">
        <f>IFERROR(__xludf.DUMMYFUNCTION("""COMPUTED_VALUE"""),45975.08333333333)</f>
        <v>45975.08333</v>
      </c>
      <c r="H346" s="238">
        <f>IFERROR(__xludf.DUMMYFUNCTION("""COMPUTED_VALUE"""),45975.20833333333)</f>
        <v>45975.20833</v>
      </c>
      <c r="I346" s="237" t="str">
        <f t="shared" si="1"/>
        <v>Fora</v>
      </c>
      <c r="J346" s="239">
        <v>119.99999999301508</v>
      </c>
    </row>
    <row r="347">
      <c r="A347" s="234" t="s">
        <v>2043</v>
      </c>
      <c r="B347" s="234" t="str">
        <f>IFERROR(__xludf.DUMMYFUNCTION("""COMPUTED_VALUE"""),"SoC_MG_Betim")</f>
        <v>SoC_MG_Betim</v>
      </c>
      <c r="C347" s="234" t="str">
        <f>IFERROR(__xludf.DUMMYFUNCTION("""COMPUTED_VALUE"""),"SOC-MG2")</f>
        <v>SOC-MG2</v>
      </c>
      <c r="D347" s="234"/>
      <c r="E347" s="237" t="str">
        <f>IFERROR(__xludf.DUMMYFUNCTION("""COMPUTED_VALUE"""),"LT0PBD01RIWQ1")</f>
        <v>LT0PBD01RIWQ1</v>
      </c>
      <c r="F347" s="238" t="str">
        <f>IFERROR(__xludf.DUMMYFUNCTION("""COMPUTED_VALUE"""),"OQK0F43")</f>
        <v>OQK0F43</v>
      </c>
      <c r="G347" s="238">
        <f>IFERROR(__xludf.DUMMYFUNCTION("""COMPUTED_VALUE"""),45975.125)</f>
        <v>45975.125</v>
      </c>
      <c r="H347" s="238">
        <f>IFERROR(__xludf.DUMMYFUNCTION("""COMPUTED_VALUE"""),45975.20833333333)</f>
        <v>45975.20833</v>
      </c>
      <c r="I347" s="237" t="str">
        <f t="shared" si="1"/>
        <v>Fora</v>
      </c>
      <c r="J347" s="239">
        <v>119.99999999301508</v>
      </c>
    </row>
    <row r="348">
      <c r="A348" s="234" t="s">
        <v>2044</v>
      </c>
      <c r="B348" s="234" t="str">
        <f>IFERROR(__xludf.DUMMYFUNCTION("""COMPUTED_VALUE"""),"SoC_MG_Betim")</f>
        <v>SoC_MG_Betim</v>
      </c>
      <c r="C348" s="234" t="str">
        <f>IFERROR(__xludf.DUMMYFUNCTION("""COMPUTED_VALUE"""),"SOC-MG2")</f>
        <v>SOC-MG2</v>
      </c>
      <c r="D348" s="234">
        <f>IFERROR(__xludf.DUMMYFUNCTION("""COMPUTED_VALUE"""),39.0)</f>
        <v>39</v>
      </c>
      <c r="E348" s="237" t="str">
        <f>IFERROR(__xludf.DUMMYFUNCTION("""COMPUTED_VALUE"""),"LT1PBE01RSJ61")</f>
        <v>LT1PBE01RSJ61</v>
      </c>
      <c r="F348" s="238" t="str">
        <f>IFERROR(__xludf.DUMMYFUNCTION("""COMPUTED_VALUE"""),"HKN2H00,ATJ8C49")</f>
        <v>HKN2H00,ATJ8C49</v>
      </c>
      <c r="G348" s="238">
        <f>IFERROR(__xludf.DUMMYFUNCTION("""COMPUTED_VALUE"""),45975.125)</f>
        <v>45975.125</v>
      </c>
      <c r="H348" s="238">
        <f>IFERROR(__xludf.DUMMYFUNCTION("""COMPUTED_VALUE"""),45975.20833333333)</f>
        <v>45975.20833</v>
      </c>
      <c r="I348" s="237" t="str">
        <f t="shared" si="1"/>
        <v>Fora</v>
      </c>
      <c r="J348" s="239">
        <v>119.99999999301508</v>
      </c>
    </row>
    <row r="349">
      <c r="A349" s="234" t="s">
        <v>2045</v>
      </c>
      <c r="B349" s="234" t="str">
        <f>IFERROR(__xludf.DUMMYFUNCTION("""COMPUTED_VALUE"""),"SoC_PR_Curitiba")</f>
        <v>SoC_PR_Curitiba</v>
      </c>
      <c r="C349" s="234" t="str">
        <f>IFERROR(__xludf.DUMMYFUNCTION("""COMPUTED_VALUE"""),"SOC-PR1")</f>
        <v>SOC-PR1</v>
      </c>
      <c r="D349" s="234"/>
      <c r="E349" s="237" t="str">
        <f>IFERROR(__xludf.DUMMYFUNCTION("""COMPUTED_VALUE"""),"LT1PBE01RS511")</f>
        <v>LT1PBE01RS511</v>
      </c>
      <c r="F349" s="238" t="str">
        <f>IFERROR(__xludf.DUMMYFUNCTION("""COMPUTED_VALUE"""),"-")</f>
        <v>-</v>
      </c>
      <c r="G349" s="238">
        <f>IFERROR(__xludf.DUMMYFUNCTION("""COMPUTED_VALUE"""),45975.125)</f>
        <v>45975.125</v>
      </c>
      <c r="H349" s="238">
        <f>IFERROR(__xludf.DUMMYFUNCTION("""COMPUTED_VALUE"""),45975.20833333333)</f>
        <v>45975.20833</v>
      </c>
      <c r="I349" s="237" t="str">
        <f t="shared" si="1"/>
        <v>Fora</v>
      </c>
      <c r="J349" s="239">
        <v>119.99999999301508</v>
      </c>
    </row>
    <row r="350">
      <c r="A350" s="234" t="s">
        <v>2046</v>
      </c>
      <c r="B350" s="234" t="str">
        <f>IFERROR(__xludf.DUMMYFUNCTION("""COMPUTED_VALUE"""),"SoC_RJ_Duque de Caxias")</f>
        <v>SoC_RJ_Duque de Caxias</v>
      </c>
      <c r="C350" s="234" t="str">
        <f>IFERROR(__xludf.DUMMYFUNCTION("""COMPUTED_VALUE"""),"SOC-RJ2")</f>
        <v>SOC-RJ2</v>
      </c>
      <c r="D350" s="234">
        <f>IFERROR(__xludf.DUMMYFUNCTION("""COMPUTED_VALUE"""),37.0)</f>
        <v>37</v>
      </c>
      <c r="E350" s="237" t="str">
        <f>IFERROR(__xludf.DUMMYFUNCTION("""COMPUTED_VALUE"""),"LT1PBD01RS4S1")</f>
        <v>LT1PBD01RS4S1</v>
      </c>
      <c r="F350" s="238" t="str">
        <f>IFERROR(__xludf.DUMMYFUNCTION("""COMPUTED_VALUE"""),"ELQ8395,EFV7665")</f>
        <v>ELQ8395,EFV7665</v>
      </c>
      <c r="G350" s="238">
        <f>IFERROR(__xludf.DUMMYFUNCTION("""COMPUTED_VALUE"""),45975.125)</f>
        <v>45975.125</v>
      </c>
      <c r="H350" s="238">
        <f>IFERROR(__xludf.DUMMYFUNCTION("""COMPUTED_VALUE"""),45975.20833333333)</f>
        <v>45975.20833</v>
      </c>
      <c r="I350" s="237" t="str">
        <f t="shared" si="1"/>
        <v>Fora</v>
      </c>
      <c r="J350" s="239">
        <v>119.99999999301508</v>
      </c>
    </row>
    <row r="351">
      <c r="A351" s="234" t="s">
        <v>2047</v>
      </c>
      <c r="B351" s="234" t="str">
        <f>IFERROR(__xludf.DUMMYFUNCTION("""COMPUTED_VALUE"""),"SoC_RJ_Duque de Caxias")</f>
        <v>SoC_RJ_Duque de Caxias</v>
      </c>
      <c r="C351" s="234" t="str">
        <f>IFERROR(__xludf.DUMMYFUNCTION("""COMPUTED_VALUE"""),"SOC-RJ2")</f>
        <v>SOC-RJ2</v>
      </c>
      <c r="D351" s="234">
        <f>IFERROR(__xludf.DUMMYFUNCTION("""COMPUTED_VALUE"""),35.0)</f>
        <v>35</v>
      </c>
      <c r="E351" s="237" t="str">
        <f>IFERROR(__xludf.DUMMYFUNCTION("""COMPUTED_VALUE"""),"LT1PBE01RS4U1")</f>
        <v>LT1PBE01RS4U1</v>
      </c>
      <c r="F351" s="238" t="str">
        <f>IFERROR(__xludf.DUMMYFUNCTION("""COMPUTED_VALUE"""),"MIE3A76,NFV9C52")</f>
        <v>MIE3A76,NFV9C52</v>
      </c>
      <c r="G351" s="238">
        <f>IFERROR(__xludf.DUMMYFUNCTION("""COMPUTED_VALUE"""),45975.125)</f>
        <v>45975.125</v>
      </c>
      <c r="H351" s="238">
        <f>IFERROR(__xludf.DUMMYFUNCTION("""COMPUTED_VALUE"""),45975.20833333333)</f>
        <v>45975.20833</v>
      </c>
      <c r="I351" s="237" t="str">
        <f t="shared" si="1"/>
        <v>Fora</v>
      </c>
      <c r="J351" s="239">
        <v>119.99999999301508</v>
      </c>
    </row>
    <row r="352">
      <c r="A352" s="234" t="s">
        <v>2048</v>
      </c>
      <c r="B352" s="234" t="str">
        <f>IFERROR(__xludf.DUMMYFUNCTION("""COMPUTED_VALUE"""),"SoC_RS_Gravataí_02")</f>
        <v>SoC_RS_Gravataí_02</v>
      </c>
      <c r="C352" s="234" t="str">
        <f>IFERROR(__xludf.DUMMYFUNCTION("""COMPUTED_VALUE"""),"SOC-RS2")</f>
        <v>SOC-RS2</v>
      </c>
      <c r="D352" s="234">
        <f>IFERROR(__xludf.DUMMYFUNCTION("""COMPUTED_VALUE"""),28.0)</f>
        <v>28</v>
      </c>
      <c r="E352" s="237" t="str">
        <f>IFERROR(__xludf.DUMMYFUNCTION("""COMPUTED_VALUE"""),"LT0PBE01RG2V1")</f>
        <v>LT0PBE01RG2V1</v>
      </c>
      <c r="F352" s="238" t="str">
        <f>IFERROR(__xludf.DUMMYFUNCTION("""COMPUTED_VALUE"""),"MSI1J18,IRD4I85")</f>
        <v>MSI1J18,IRD4I85</v>
      </c>
      <c r="G352" s="238">
        <f>IFERROR(__xludf.DUMMYFUNCTION("""COMPUTED_VALUE"""),45975.125)</f>
        <v>45975.125</v>
      </c>
      <c r="H352" s="238">
        <f>IFERROR(__xludf.DUMMYFUNCTION("""COMPUTED_VALUE"""),45975.20833333333)</f>
        <v>45975.20833</v>
      </c>
      <c r="I352" s="237" t="str">
        <f t="shared" si="1"/>
        <v>Fora</v>
      </c>
      <c r="J352" s="239">
        <v>119.99999999301508</v>
      </c>
    </row>
    <row r="353">
      <c r="A353" s="234" t="s">
        <v>2049</v>
      </c>
      <c r="B353" s="234" t="str">
        <f>IFERROR(__xludf.DUMMYFUNCTION("""COMPUTED_VALUE"""),"SoC_SP_Guarulhos")</f>
        <v>SoC_SP_Guarulhos</v>
      </c>
      <c r="C353" s="234" t="str">
        <f>IFERROR(__xludf.DUMMYFUNCTION("""COMPUTED_VALUE"""),"SOC-SP6")</f>
        <v>SOC-SP6</v>
      </c>
      <c r="D353" s="234">
        <f>IFERROR(__xludf.DUMMYFUNCTION("""COMPUTED_VALUE"""),6.0)</f>
        <v>6</v>
      </c>
      <c r="E353" s="237" t="str">
        <f>IFERROR(__xludf.DUMMYFUNCTION("""COMPUTED_VALUE"""),"LT1PBE01RS4P1")</f>
        <v>LT1PBE01RS4P1</v>
      </c>
      <c r="F353" s="238" t="str">
        <f>IFERROR(__xludf.DUMMYFUNCTION("""COMPUTED_VALUE"""),"HJD3B24,TLW4C75")</f>
        <v>HJD3B24,TLW4C75</v>
      </c>
      <c r="G353" s="238">
        <f>IFERROR(__xludf.DUMMYFUNCTION("""COMPUTED_VALUE"""),45975.125)</f>
        <v>45975.125</v>
      </c>
      <c r="H353" s="238">
        <f>IFERROR(__xludf.DUMMYFUNCTION("""COMPUTED_VALUE"""),45975.20833333333)</f>
        <v>45975.20833</v>
      </c>
      <c r="I353" s="237" t="str">
        <f t="shared" si="1"/>
        <v>Fora</v>
      </c>
      <c r="J353" s="239">
        <v>119.99999999301508</v>
      </c>
    </row>
    <row r="354">
      <c r="A354" s="234" t="s">
        <v>2050</v>
      </c>
      <c r="B354" s="234" t="str">
        <f>IFERROR(__xludf.DUMMYFUNCTION("""COMPUTED_VALUE"""),"SoC_SP_Santana")</f>
        <v>SoC_SP_Santana</v>
      </c>
      <c r="C354" s="234" t="str">
        <f>IFERROR(__xludf.DUMMYFUNCTION("""COMPUTED_VALUE"""),"SOC-SP2")</f>
        <v>SOC-SP2</v>
      </c>
      <c r="D354" s="234"/>
      <c r="E354" s="237" t="str">
        <f>IFERROR(__xludf.DUMMYFUNCTION("""COMPUTED_VALUE"""),"LT0PBD01R8WU1")</f>
        <v>LT0PBD01R8WU1</v>
      </c>
      <c r="F354" s="238" t="str">
        <f>IFERROR(__xludf.DUMMYFUNCTION("""COMPUTED_VALUE"""),"OKQ5H03,FJP9A36")</f>
        <v>OKQ5H03,FJP9A36</v>
      </c>
      <c r="G354" s="238">
        <f>IFERROR(__xludf.DUMMYFUNCTION("""COMPUTED_VALUE"""),45975.125)</f>
        <v>45975.125</v>
      </c>
      <c r="H354" s="238">
        <f>IFERROR(__xludf.DUMMYFUNCTION("""COMPUTED_VALUE"""),45975.20833333333)</f>
        <v>45975.20833</v>
      </c>
      <c r="I354" s="237" t="str">
        <f t="shared" si="1"/>
        <v>Fora</v>
      </c>
      <c r="J354" s="239">
        <v>59.99999998603016</v>
      </c>
    </row>
    <row r="355">
      <c r="A355" s="234" t="s">
        <v>2051</v>
      </c>
      <c r="B355" s="234" t="str">
        <f>IFERROR(__xludf.DUMMYFUNCTION("""COMPUTED_VALUE"""),"LM Hub_SP_Registro")</f>
        <v>LM Hub_SP_Registro</v>
      </c>
      <c r="C355" s="234" t="str">
        <f>IFERROR(__xludf.DUMMYFUNCTION("""COMPUTED_VALUE"""),"HUB-LSP-40")</f>
        <v>HUB-LSP-40</v>
      </c>
      <c r="D355" s="234">
        <f>IFERROR(__xludf.DUMMYFUNCTION("""COMPUTED_VALUE"""),29.0)</f>
        <v>29</v>
      </c>
      <c r="E355" s="237" t="str">
        <f>IFERROR(__xludf.DUMMYFUNCTION("""COMPUTED_VALUE"""),"LT0PBE01R8DR1")</f>
        <v>LT0PBE01R8DR1</v>
      </c>
      <c r="F355" s="238" t="str">
        <f>IFERROR(__xludf.DUMMYFUNCTION("""COMPUTED_VALUE"""),"FSV9B90")</f>
        <v>FSV9B90</v>
      </c>
      <c r="G355" s="238">
        <f>IFERROR(__xludf.DUMMYFUNCTION("""COMPUTED_VALUE"""),45975.16666666667)</f>
        <v>45975.16667</v>
      </c>
      <c r="H355" s="238">
        <f>IFERROR(__xludf.DUMMYFUNCTION("""COMPUTED_VALUE"""),45975.20833333333)</f>
        <v>45975.20833</v>
      </c>
      <c r="I355" s="237" t="str">
        <f t="shared" si="1"/>
        <v>Fora</v>
      </c>
      <c r="J355" s="239">
        <v>59.99999998603016</v>
      </c>
    </row>
    <row r="356">
      <c r="A356" s="234" t="s">
        <v>2052</v>
      </c>
      <c r="B356" s="234" t="str">
        <f>IFERROR(__xludf.DUMMYFUNCTION("""COMPUTED_VALUE"""),"LM Hub_SP_Sumaré_Nova Veneza_1")</f>
        <v>LM Hub_SP_Sumaré_Nova Veneza_1</v>
      </c>
      <c r="C356" s="234" t="str">
        <f>IFERROR(__xludf.DUMMYFUNCTION("""COMPUTED_VALUE"""),"HUB-LSP-88")</f>
        <v>HUB-LSP-88</v>
      </c>
      <c r="D356" s="234">
        <f>IFERROR(__xludf.DUMMYFUNCTION("""COMPUTED_VALUE"""),22.0)</f>
        <v>22</v>
      </c>
      <c r="E356" s="237" t="str">
        <f>IFERROR(__xludf.DUMMYFUNCTION("""COMPUTED_VALUE"""),"LT0PBE01RF3K1")</f>
        <v>LT0PBE01RF3K1</v>
      </c>
      <c r="F356" s="238" t="str">
        <f>IFERROR(__xludf.DUMMYFUNCTION("""COMPUTED_VALUE"""),"EGJ9547")</f>
        <v>EGJ9547</v>
      </c>
      <c r="G356" s="238">
        <f>IFERROR(__xludf.DUMMYFUNCTION("""COMPUTED_VALUE"""),45975.16666666667)</f>
        <v>45975.16667</v>
      </c>
      <c r="H356" s="238">
        <f>IFERROR(__xludf.DUMMYFUNCTION("""COMPUTED_VALUE"""),45975.20833333333)</f>
        <v>45975.20833</v>
      </c>
      <c r="I356" s="237" t="str">
        <f t="shared" si="1"/>
        <v>Fora</v>
      </c>
      <c r="J356" s="239">
        <v>270.0</v>
      </c>
    </row>
    <row r="357">
      <c r="A357" s="234" t="s">
        <v>2053</v>
      </c>
      <c r="B357" s="234" t="str">
        <f>IFERROR(__xludf.DUMMYFUNCTION("""COMPUTED_VALUE"""),"SoC_MG_Betim")</f>
        <v>SoC_MG_Betim</v>
      </c>
      <c r="C357" s="234" t="str">
        <f>IFERROR(__xludf.DUMMYFUNCTION("""COMPUTED_VALUE"""),"SOC-MG2")</f>
        <v>SOC-MG2</v>
      </c>
      <c r="D357" s="234">
        <f>IFERROR(__xludf.DUMMYFUNCTION("""COMPUTED_VALUE"""),32.0)</f>
        <v>32</v>
      </c>
      <c r="E357" s="237" t="str">
        <f>IFERROR(__xludf.DUMMYFUNCTION("""COMPUTED_VALUE"""),"LT0PBE01RGY42")</f>
        <v>LT0PBE01RGY42</v>
      </c>
      <c r="F357" s="238" t="str">
        <f>IFERROR(__xludf.DUMMYFUNCTION("""COMPUTED_VALUE"""),"EON5C08,UDF4J25")</f>
        <v>EON5C08,UDF4J25</v>
      </c>
      <c r="G357" s="238">
        <f>IFERROR(__xludf.DUMMYFUNCTION("""COMPUTED_VALUE"""),45975.04166666667)</f>
        <v>45975.04167</v>
      </c>
      <c r="H357" s="238">
        <f>IFERROR(__xludf.DUMMYFUNCTION("""COMPUTED_VALUE"""),45975.22916666667)</f>
        <v>45975.22917</v>
      </c>
      <c r="I357" s="237" t="str">
        <f t="shared" si="1"/>
        <v>Fora</v>
      </c>
      <c r="J357" s="239">
        <v>120.00000001396984</v>
      </c>
    </row>
    <row r="358">
      <c r="A358" s="234" t="s">
        <v>2054</v>
      </c>
      <c r="B358" s="234" t="str">
        <f>IFERROR(__xludf.DUMMYFUNCTION("""COMPUTED_VALUE"""),"LM Hub_SP_Sorocaba_Região Norte")</f>
        <v>LM Hub_SP_Sorocaba_Região Norte</v>
      </c>
      <c r="C358" s="234" t="str">
        <f>IFERROR(__xludf.DUMMYFUNCTION("""COMPUTED_VALUE"""),"HUB-LSP-10")</f>
        <v>HUB-LSP-10</v>
      </c>
      <c r="D358" s="234">
        <f>IFERROR(__xludf.DUMMYFUNCTION("""COMPUTED_VALUE"""),14.0)</f>
        <v>14</v>
      </c>
      <c r="E358" s="237" t="str">
        <f>IFERROR(__xludf.DUMMYFUNCTION("""COMPUTED_VALUE"""),"LT0PBE01R8ER1")</f>
        <v>LT0PBE01R8ER1</v>
      </c>
      <c r="F358" s="238" t="str">
        <f>IFERROR(__xludf.DUMMYFUNCTION("""COMPUTED_VALUE"""),"NFW3H03")</f>
        <v>NFW3H03</v>
      </c>
      <c r="G358" s="238">
        <f>IFERROR(__xludf.DUMMYFUNCTION("""COMPUTED_VALUE"""),45975.14583333333)</f>
        <v>45975.14583</v>
      </c>
      <c r="H358" s="238">
        <f>IFERROR(__xludf.DUMMYFUNCTION("""COMPUTED_VALUE"""),45975.22916666667)</f>
        <v>45975.22917</v>
      </c>
      <c r="I358" s="237" t="str">
        <f t="shared" si="1"/>
        <v>Fora</v>
      </c>
      <c r="J358" s="239">
        <v>60.00000000698492</v>
      </c>
    </row>
    <row r="359">
      <c r="A359" s="234" t="s">
        <v>2055</v>
      </c>
      <c r="B359" s="234" t="str">
        <f>IFERROR(__xludf.DUMMYFUNCTION("""COMPUTED_VALUE"""),"LM Hub_SP_Campinas_São Martinho")</f>
        <v>LM Hub_SP_Campinas_São Martinho</v>
      </c>
      <c r="C359" s="234" t="str">
        <f>IFERROR(__xludf.DUMMYFUNCTION("""COMPUTED_VALUE"""),"HUB-LSP-19")</f>
        <v>HUB-LSP-19</v>
      </c>
      <c r="D359" s="234"/>
      <c r="E359" s="237" t="str">
        <f>IFERROR(__xludf.DUMMYFUNCTION("""COMPUTED_VALUE"""),"LT0PBE01R8GS1")</f>
        <v>LT0PBE01R8GS1</v>
      </c>
      <c r="F359" s="238" t="str">
        <f>IFERROR(__xludf.DUMMYFUNCTION("""COMPUTED_VALUE"""),"AUN9G67")</f>
        <v>AUN9G67</v>
      </c>
      <c r="G359" s="238">
        <f>IFERROR(__xludf.DUMMYFUNCTION("""COMPUTED_VALUE"""),45975.1875)</f>
        <v>45975.1875</v>
      </c>
      <c r="H359" s="238">
        <f>IFERROR(__xludf.DUMMYFUNCTION("""COMPUTED_VALUE"""),45975.22916666667)</f>
        <v>45975.22917</v>
      </c>
      <c r="I359" s="237" t="str">
        <f t="shared" si="1"/>
        <v>Fora</v>
      </c>
      <c r="J359" s="239">
        <v>60.00000000698492</v>
      </c>
    </row>
    <row r="360">
      <c r="A360" s="234" t="s">
        <v>2056</v>
      </c>
      <c r="B360" s="234" t="str">
        <f>IFERROR(__xludf.DUMMYFUNCTION("""COMPUTED_VALUE"""),"LM Hub_SP_Mogi Mirim")</f>
        <v>LM Hub_SP_Mogi Mirim</v>
      </c>
      <c r="C360" s="234" t="str">
        <f>IFERROR(__xludf.DUMMYFUNCTION("""COMPUTED_VALUE"""),"HUB-LSP-37")</f>
        <v>HUB-LSP-37</v>
      </c>
      <c r="D360" s="234">
        <f>IFERROR(__xludf.DUMMYFUNCTION("""COMPUTED_VALUE"""),20.0)</f>
        <v>20</v>
      </c>
      <c r="E360" s="237" t="str">
        <f>IFERROR(__xludf.DUMMYFUNCTION("""COMPUTED_VALUE"""),"LT0PBE01R8G11")</f>
        <v>LT0PBE01R8G11</v>
      </c>
      <c r="F360" s="238" t="str">
        <f>IFERROR(__xludf.DUMMYFUNCTION("""COMPUTED_VALUE"""),"SWH0G90")</f>
        <v>SWH0G90</v>
      </c>
      <c r="G360" s="238">
        <f>IFERROR(__xludf.DUMMYFUNCTION("""COMPUTED_VALUE"""),45975.1875)</f>
        <v>45975.1875</v>
      </c>
      <c r="H360" s="238">
        <f>IFERROR(__xludf.DUMMYFUNCTION("""COMPUTED_VALUE"""),45975.22916666667)</f>
        <v>45975.22917</v>
      </c>
      <c r="I360" s="237" t="str">
        <f t="shared" si="1"/>
        <v>Fora</v>
      </c>
      <c r="J360" s="239">
        <v>60.00000000698492</v>
      </c>
    </row>
    <row r="361">
      <c r="A361" s="234" t="s">
        <v>2057</v>
      </c>
      <c r="B361" s="234" t="str">
        <f>IFERROR(__xludf.DUMMYFUNCTION("""COMPUTED_VALUE"""),"LM Hub_SP_Osasco_02")</f>
        <v>LM Hub_SP_Osasco_02</v>
      </c>
      <c r="C361" s="234" t="str">
        <f>IFERROR(__xludf.DUMMYFUNCTION("""COMPUTED_VALUE"""),"HUB-LSP-60")</f>
        <v>HUB-LSP-60</v>
      </c>
      <c r="D361" s="234">
        <f>IFERROR(__xludf.DUMMYFUNCTION("""COMPUTED_VALUE"""),16.0)</f>
        <v>16</v>
      </c>
      <c r="E361" s="237" t="str">
        <f>IFERROR(__xludf.DUMMYFUNCTION("""COMPUTED_VALUE"""),"LT0PBE01R9P71")</f>
        <v>LT0PBE01R9P71</v>
      </c>
      <c r="F361" s="238" t="str">
        <f>IFERROR(__xludf.DUMMYFUNCTION("""COMPUTED_VALUE"""),"FEU6H63")</f>
        <v>FEU6H63</v>
      </c>
      <c r="G361" s="238">
        <f>IFERROR(__xludf.DUMMYFUNCTION("""COMPUTED_VALUE"""),45975.1875)</f>
        <v>45975.1875</v>
      </c>
      <c r="H361" s="238">
        <f>IFERROR(__xludf.DUMMYFUNCTION("""COMPUTED_VALUE"""),45975.22916666667)</f>
        <v>45975.22917</v>
      </c>
      <c r="I361" s="237" t="str">
        <f t="shared" si="1"/>
        <v>Fora</v>
      </c>
      <c r="J361" s="239">
        <v>118.99999998975545</v>
      </c>
    </row>
    <row r="362">
      <c r="A362" s="234" t="s">
        <v>2058</v>
      </c>
      <c r="B362" s="234" t="str">
        <f>IFERROR(__xludf.DUMMYFUNCTION("""COMPUTED_VALUE"""),"SoC_MG_Betim")</f>
        <v>SoC_MG_Betim</v>
      </c>
      <c r="C362" s="234" t="str">
        <f>IFERROR(__xludf.DUMMYFUNCTION("""COMPUTED_VALUE"""),"SOC-MG2")</f>
        <v>SOC-MG2</v>
      </c>
      <c r="D362" s="234"/>
      <c r="E362" s="237" t="str">
        <f>IFERROR(__xludf.DUMMYFUNCTION("""COMPUTED_VALUE"""),"LT1PBE01RS4Z1")</f>
        <v>LT1PBE01RS4Z1</v>
      </c>
      <c r="F362" s="234"/>
      <c r="G362" s="238">
        <f>IFERROR(__xludf.DUMMYFUNCTION("""COMPUTED_VALUE"""),45975.16666666667)</f>
        <v>45975.16667</v>
      </c>
      <c r="H362" s="238">
        <f>IFERROR(__xludf.DUMMYFUNCTION("""COMPUTED_VALUE"""),45975.24930555555)</f>
        <v>45975.24931</v>
      </c>
      <c r="I362" s="237" t="str">
        <f t="shared" si="1"/>
        <v>Fora</v>
      </c>
      <c r="J362" s="239">
        <v>118.99999998975545</v>
      </c>
    </row>
    <row r="363">
      <c r="A363" s="234" t="s">
        <v>2059</v>
      </c>
      <c r="B363" s="234" t="str">
        <f>IFERROR(__xludf.DUMMYFUNCTION("""COMPUTED_VALUE"""),"SoC_PE_Jaboatão dos Guararapes")</f>
        <v>SoC_PE_Jaboatão dos Guararapes</v>
      </c>
      <c r="C363" s="234" t="str">
        <f>IFERROR(__xludf.DUMMYFUNCTION("""COMPUTED_VALUE"""),"SOC-PE2")</f>
        <v>SOC-PE2</v>
      </c>
      <c r="D363" s="234">
        <f>IFERROR(__xludf.DUMMYFUNCTION("""COMPUTED_VALUE"""),34.0)</f>
        <v>34</v>
      </c>
      <c r="E363" s="237" t="str">
        <f>IFERROR(__xludf.DUMMYFUNCTION("""COMPUTED_VALUE"""),"LT1PBE01RS541")</f>
        <v>LT1PBE01RS541</v>
      </c>
      <c r="F363" s="238" t="str">
        <f>IFERROR(__xludf.DUMMYFUNCTION("""COMPUTED_VALUE"""),"EVO9A73")</f>
        <v>EVO9A73</v>
      </c>
      <c r="G363" s="238">
        <f>IFERROR(__xludf.DUMMYFUNCTION("""COMPUTED_VALUE"""),45975.16666666667)</f>
        <v>45975.16667</v>
      </c>
      <c r="H363" s="238">
        <f>IFERROR(__xludf.DUMMYFUNCTION("""COMPUTED_VALUE"""),45975.24930555555)</f>
        <v>45975.24931</v>
      </c>
      <c r="I363" s="237" t="str">
        <f t="shared" si="1"/>
        <v>Fora</v>
      </c>
      <c r="J363" s="239">
        <v>118.99999998975545</v>
      </c>
    </row>
    <row r="364">
      <c r="A364" s="234" t="s">
        <v>2060</v>
      </c>
      <c r="B364" s="234" t="str">
        <f>IFERROR(__xludf.DUMMYFUNCTION("""COMPUTED_VALUE"""),"SoC_SP_Cravinhos")</f>
        <v>SoC_SP_Cravinhos</v>
      </c>
      <c r="C364" s="234" t="str">
        <f>IFERROR(__xludf.DUMMYFUNCTION("""COMPUTED_VALUE"""),"SOC-SP5")</f>
        <v>SOC-SP5</v>
      </c>
      <c r="D364" s="234">
        <f>IFERROR(__xludf.DUMMYFUNCTION("""COMPUTED_VALUE"""),40.0)</f>
        <v>40</v>
      </c>
      <c r="E364" s="237" t="str">
        <f>IFERROR(__xludf.DUMMYFUNCTION("""COMPUTED_VALUE"""),"LT1PBE01RS4N1")</f>
        <v>LT1PBE01RS4N1</v>
      </c>
      <c r="F364" s="238" t="str">
        <f>IFERROR(__xludf.DUMMYFUNCTION("""COMPUTED_VALUE"""),"HBN8F05,TKX7F43")</f>
        <v>HBN8F05,TKX7F43</v>
      </c>
      <c r="G364" s="238">
        <f>IFERROR(__xludf.DUMMYFUNCTION("""COMPUTED_VALUE"""),45975.16666666667)</f>
        <v>45975.16667</v>
      </c>
      <c r="H364" s="238">
        <f>IFERROR(__xludf.DUMMYFUNCTION("""COMPUTED_VALUE"""),45975.24930555555)</f>
        <v>45975.24931</v>
      </c>
      <c r="I364" s="237" t="str">
        <f t="shared" si="1"/>
        <v>Fora</v>
      </c>
      <c r="J364" s="239">
        <v>240.00000000698492</v>
      </c>
    </row>
    <row r="365">
      <c r="A365" s="234" t="s">
        <v>2061</v>
      </c>
      <c r="B365" s="234" t="str">
        <f>IFERROR(__xludf.DUMMYFUNCTION("""COMPUTED_VALUE"""),"SoC_PR_Curitiba")</f>
        <v>SoC_PR_Curitiba</v>
      </c>
      <c r="C365" s="234" t="str">
        <f>IFERROR(__xludf.DUMMYFUNCTION("""COMPUTED_VALUE"""),"SOC-PR1")</f>
        <v>SOC-PR1</v>
      </c>
      <c r="D365" s="234">
        <f>IFERROR(__xludf.DUMMYFUNCTION("""COMPUTED_VALUE"""),24.0)</f>
        <v>24</v>
      </c>
      <c r="E365" s="237" t="str">
        <f>IFERROR(__xludf.DUMMYFUNCTION("""COMPUTED_VALUE"""),"LT0PBD01R88M1")</f>
        <v>LT0PBD01R88M1</v>
      </c>
      <c r="F365" s="238" t="str">
        <f>IFERROR(__xludf.DUMMYFUNCTION("""COMPUTED_VALUE"""),"TAT0I30")</f>
        <v>TAT0I30</v>
      </c>
      <c r="G365" s="238">
        <f>IFERROR(__xludf.DUMMYFUNCTION("""COMPUTED_VALUE"""),45975.08333333333)</f>
        <v>45975.08333</v>
      </c>
      <c r="H365" s="238">
        <f>IFERROR(__xludf.DUMMYFUNCTION("""COMPUTED_VALUE"""),45975.25)</f>
        <v>45975.25</v>
      </c>
      <c r="I365" s="237" t="str">
        <f t="shared" si="1"/>
        <v>Fora</v>
      </c>
      <c r="J365" s="239">
        <v>119.99999999301508</v>
      </c>
    </row>
    <row r="366">
      <c r="A366" s="234" t="s">
        <v>2062</v>
      </c>
      <c r="B366" s="234" t="str">
        <f>IFERROR(__xludf.DUMMYFUNCTION("""COMPUTED_VALUE"""),"SoC_PR_Curitiba")</f>
        <v>SoC_PR_Curitiba</v>
      </c>
      <c r="C366" s="234" t="str">
        <f>IFERROR(__xludf.DUMMYFUNCTION("""COMPUTED_VALUE"""),"SOC-PR1")</f>
        <v>SOC-PR1</v>
      </c>
      <c r="D366" s="234"/>
      <c r="E366" s="237" t="str">
        <f>IFERROR(__xludf.DUMMYFUNCTION("""COMPUTED_VALUE"""),"LT0PBE01R88B1")</f>
        <v>LT0PBE01R88B1</v>
      </c>
      <c r="F366" s="238" t="str">
        <f>IFERROR(__xludf.DUMMYFUNCTION("""COMPUTED_VALUE"""),"RHJ0E45")</f>
        <v>RHJ0E45</v>
      </c>
      <c r="G366" s="238">
        <f>IFERROR(__xludf.DUMMYFUNCTION("""COMPUTED_VALUE"""),45975.16666666667)</f>
        <v>45975.16667</v>
      </c>
      <c r="H366" s="238">
        <f>IFERROR(__xludf.DUMMYFUNCTION("""COMPUTED_VALUE"""),45975.25)</f>
        <v>45975.25</v>
      </c>
      <c r="I366" s="237" t="str">
        <f t="shared" si="1"/>
        <v>Fora</v>
      </c>
      <c r="J366" s="239">
        <v>60.00000000698492</v>
      </c>
    </row>
    <row r="367">
      <c r="A367" s="234" t="s">
        <v>2063</v>
      </c>
      <c r="B367" s="234" t="str">
        <f>IFERROR(__xludf.DUMMYFUNCTION("""COMPUTED_VALUE"""),"LM Hub_ES_Viana")</f>
        <v>LM Hub_ES_Viana</v>
      </c>
      <c r="C367" s="234" t="str">
        <f>IFERROR(__xludf.DUMMYFUNCTION("""COMPUTED_VALUE"""),"HUB-LES-09")</f>
        <v>HUB-LES-09</v>
      </c>
      <c r="D367" s="234">
        <f>IFERROR(__xludf.DUMMYFUNCTION("""COMPUTED_VALUE"""),13.0)</f>
        <v>13</v>
      </c>
      <c r="E367" s="237" t="str">
        <f>IFERROR(__xludf.DUMMYFUNCTION("""COMPUTED_VALUE"""),"LT0PBE01RDK61")</f>
        <v>LT0PBE01RDK61</v>
      </c>
      <c r="F367" s="238" t="str">
        <f>IFERROR(__xludf.DUMMYFUNCTION("""COMPUTED_VALUE"""),"SWW1J95")</f>
        <v>SWW1J95</v>
      </c>
      <c r="G367" s="238">
        <f>IFERROR(__xludf.DUMMYFUNCTION("""COMPUTED_VALUE"""),45975.20833333333)</f>
        <v>45975.20833</v>
      </c>
      <c r="H367" s="238">
        <f>IFERROR(__xludf.DUMMYFUNCTION("""COMPUTED_VALUE"""),45975.25)</f>
        <v>45975.25</v>
      </c>
      <c r="I367" s="237" t="str">
        <f t="shared" si="1"/>
        <v>Fora</v>
      </c>
      <c r="J367" s="239">
        <v>60.00000000698492</v>
      </c>
    </row>
    <row r="368">
      <c r="A368" s="234" t="s">
        <v>2064</v>
      </c>
      <c r="B368" s="234" t="str">
        <f>IFERROR(__xludf.DUMMYFUNCTION("""COMPUTED_VALUE"""),"LM Hub_SP_Guaratinguetá")</f>
        <v>LM Hub_SP_Guaratinguetá</v>
      </c>
      <c r="C368" s="234" t="str">
        <f>IFERROR(__xludf.DUMMYFUNCTION("""COMPUTED_VALUE"""),"HUB-LSP-33")</f>
        <v>HUB-LSP-33</v>
      </c>
      <c r="D368" s="234">
        <f>IFERROR(__xludf.DUMMYFUNCTION("""COMPUTED_VALUE"""),7.0)</f>
        <v>7</v>
      </c>
      <c r="E368" s="237" t="str">
        <f>IFERROR(__xludf.DUMMYFUNCTION("""COMPUTED_VALUE"""),"LT0PBE01R8E21")</f>
        <v>LT0PBE01R8E21</v>
      </c>
      <c r="F368" s="238" t="str">
        <f>IFERROR(__xludf.DUMMYFUNCTION("""COMPUTED_VALUE"""),"EKH3880")</f>
        <v>EKH3880</v>
      </c>
      <c r="G368" s="238">
        <f>IFERROR(__xludf.DUMMYFUNCTION("""COMPUTED_VALUE"""),45975.20833333333)</f>
        <v>45975.20833</v>
      </c>
      <c r="H368" s="238">
        <f>IFERROR(__xludf.DUMMYFUNCTION("""COMPUTED_VALUE"""),45975.25)</f>
        <v>45975.25</v>
      </c>
      <c r="I368" s="237" t="str">
        <f t="shared" si="1"/>
        <v>Fora</v>
      </c>
      <c r="J368" s="239">
        <v>60.00000000698492</v>
      </c>
    </row>
    <row r="369">
      <c r="A369" s="234" t="s">
        <v>2065</v>
      </c>
      <c r="B369" s="234" t="str">
        <f>IFERROR(__xludf.DUMMYFUNCTION("""COMPUTED_VALUE"""),"LM Hub_SP_Várzea Paulista")</f>
        <v>LM Hub_SP_Várzea Paulista</v>
      </c>
      <c r="C369" s="234" t="str">
        <f>IFERROR(__xludf.DUMMYFUNCTION("""COMPUTED_VALUE"""),"HUB-LSP-61")</f>
        <v>HUB-LSP-61</v>
      </c>
      <c r="D369" s="234">
        <f>IFERROR(__xludf.DUMMYFUNCTION("""COMPUTED_VALUE"""),26.0)</f>
        <v>26</v>
      </c>
      <c r="E369" s="237" t="str">
        <f>IFERROR(__xludf.DUMMYFUNCTION("""COMPUTED_VALUE"""),"LT0PBE01R8FB1")</f>
        <v>LT0PBE01R8FB1</v>
      </c>
      <c r="F369" s="238" t="str">
        <f>IFERROR(__xludf.DUMMYFUNCTION("""COMPUTED_VALUE"""),"HNQ8267")</f>
        <v>HNQ8267</v>
      </c>
      <c r="G369" s="238">
        <f>IFERROR(__xludf.DUMMYFUNCTION("""COMPUTED_VALUE"""),45975.20833333333)</f>
        <v>45975.20833</v>
      </c>
      <c r="H369" s="238">
        <f>IFERROR(__xludf.DUMMYFUNCTION("""COMPUTED_VALUE"""),45975.25)</f>
        <v>45975.25</v>
      </c>
      <c r="I369" s="237" t="str">
        <f t="shared" si="1"/>
        <v>Fora</v>
      </c>
      <c r="J369" s="239">
        <v>480.00000001396984</v>
      </c>
    </row>
    <row r="370">
      <c r="A370" s="234" t="s">
        <v>2066</v>
      </c>
      <c r="B370" s="234" t="str">
        <f>IFERROR(__xludf.DUMMYFUNCTION("""COMPUTED_VALUE"""),"SoC_SP_Cravinhos")</f>
        <v>SoC_SP_Cravinhos</v>
      </c>
      <c r="C370" s="234" t="str">
        <f>IFERROR(__xludf.DUMMYFUNCTION("""COMPUTED_VALUE"""),"SOC-SP5")</f>
        <v>SOC-SP5</v>
      </c>
      <c r="D370" s="234">
        <f>IFERROR(__xludf.DUMMYFUNCTION("""COMPUTED_VALUE"""),45.0)</f>
        <v>45</v>
      </c>
      <c r="E370" s="237" t="str">
        <f>IFERROR(__xludf.DUMMYFUNCTION("""COMPUTED_VALUE"""),"LT0PBD01R89W1")</f>
        <v>LT0PBD01R89W1</v>
      </c>
      <c r="F370" s="238" t="str">
        <f>IFERROR(__xludf.DUMMYFUNCTION("""COMPUTED_VALUE"""),"RNB8G81")</f>
        <v>RNB8G81</v>
      </c>
      <c r="G370" s="238">
        <f>IFERROR(__xludf.DUMMYFUNCTION("""COMPUTED_VALUE"""),45974.95833333333)</f>
        <v>45974.95833</v>
      </c>
      <c r="H370" s="238">
        <f>IFERROR(__xludf.DUMMYFUNCTION("""COMPUTED_VALUE"""),45975.29166666667)</f>
        <v>45975.29167</v>
      </c>
      <c r="I370" s="237" t="str">
        <f t="shared" si="1"/>
        <v>Fora</v>
      </c>
      <c r="J370" s="239">
        <v>480.00000001396984</v>
      </c>
    </row>
    <row r="371">
      <c r="A371" s="234" t="s">
        <v>2067</v>
      </c>
      <c r="B371" s="234" t="str">
        <f>IFERROR(__xludf.DUMMYFUNCTION("""COMPUTED_VALUE"""),"SoC_SP_Louveira")</f>
        <v>SoC_SP_Louveira</v>
      </c>
      <c r="C371" s="234" t="str">
        <f>IFERROR(__xludf.DUMMYFUNCTION("""COMPUTED_VALUE"""),"SOC-SP7")</f>
        <v>SOC-SP7</v>
      </c>
      <c r="D371" s="234">
        <f>IFERROR(__xludf.DUMMYFUNCTION("""COMPUTED_VALUE"""),19.0)</f>
        <v>19</v>
      </c>
      <c r="E371" s="237" t="str">
        <f>IFERROR(__xludf.DUMMYFUNCTION("""COMPUTED_VALUE"""),"LT0PBD01R8AO1")</f>
        <v>LT0PBD01R8AO1</v>
      </c>
      <c r="F371" s="238" t="str">
        <f>IFERROR(__xludf.DUMMYFUNCTION("""COMPUTED_VALUE"""),"SWR6H23,FTZ4B35")</f>
        <v>SWR6H23,FTZ4B35</v>
      </c>
      <c r="G371" s="238">
        <f>IFERROR(__xludf.DUMMYFUNCTION("""COMPUTED_VALUE"""),45974.95833333333)</f>
        <v>45974.95833</v>
      </c>
      <c r="H371" s="238">
        <f>IFERROR(__xludf.DUMMYFUNCTION("""COMPUTED_VALUE"""),45975.29166666667)</f>
        <v>45975.29167</v>
      </c>
      <c r="I371" s="237" t="str">
        <f t="shared" si="1"/>
        <v>Fora</v>
      </c>
      <c r="J371" s="239">
        <v>479.0000000107102</v>
      </c>
    </row>
    <row r="372">
      <c r="A372" s="234" t="s">
        <v>2068</v>
      </c>
      <c r="B372" s="234" t="str">
        <f>IFERROR(__xludf.DUMMYFUNCTION("""COMPUTED_VALUE"""),"SoC_RJ_Duque de Caxias")</f>
        <v>SoC_RJ_Duque de Caxias</v>
      </c>
      <c r="C372" s="234" t="str">
        <f>IFERROR(__xludf.DUMMYFUNCTION("""COMPUTED_VALUE"""),"SOC-RJ2")</f>
        <v>SOC-RJ2</v>
      </c>
      <c r="D372" s="234">
        <f>IFERROR(__xludf.DUMMYFUNCTION("""COMPUTED_VALUE"""),41.0)</f>
        <v>41</v>
      </c>
      <c r="E372" s="237" t="str">
        <f>IFERROR(__xludf.DUMMYFUNCTION("""COMPUTED_VALUE"""),"LT0PBD01RB421")</f>
        <v>LT0PBD01RB421</v>
      </c>
      <c r="F372" s="238" t="str">
        <f>IFERROR(__xludf.DUMMYFUNCTION("""COMPUTED_VALUE"""),"MAR6J89,NUN8J32")</f>
        <v>MAR6J89,NUN8J32</v>
      </c>
      <c r="G372" s="238">
        <f>IFERROR(__xludf.DUMMYFUNCTION("""COMPUTED_VALUE"""),45974.959027777775)</f>
        <v>45974.95903</v>
      </c>
      <c r="H372" s="238">
        <f>IFERROR(__xludf.DUMMYFUNCTION("""COMPUTED_VALUE"""),45975.29166666667)</f>
        <v>45975.29167</v>
      </c>
      <c r="I372" s="237" t="str">
        <f t="shared" si="1"/>
        <v>Fora</v>
      </c>
      <c r="J372" s="239">
        <v>478.0000000074506</v>
      </c>
    </row>
    <row r="373">
      <c r="A373" s="234" t="s">
        <v>2069</v>
      </c>
      <c r="B373" s="234" t="str">
        <f>IFERROR(__xludf.DUMMYFUNCTION("""COMPUTED_VALUE"""),"SoC_MG_Betim")</f>
        <v>SoC_MG_Betim</v>
      </c>
      <c r="C373" s="234" t="str">
        <f>IFERROR(__xludf.DUMMYFUNCTION("""COMPUTED_VALUE"""),"SOC-MG2")</f>
        <v>SOC-MG2</v>
      </c>
      <c r="D373" s="234">
        <f>IFERROR(__xludf.DUMMYFUNCTION("""COMPUTED_VALUE"""),37.0)</f>
        <v>37</v>
      </c>
      <c r="E373" s="237" t="str">
        <f>IFERROR(__xludf.DUMMYFUNCTION("""COMPUTED_VALUE"""),"LT0PBD01R8801")</f>
        <v>LT0PBD01R8801</v>
      </c>
      <c r="F373" s="238" t="str">
        <f>IFERROR(__xludf.DUMMYFUNCTION("""COMPUTED_VALUE"""),"FQV7E24,EFU9D57")</f>
        <v>FQV7E24,EFU9D57</v>
      </c>
      <c r="G373" s="238">
        <f>IFERROR(__xludf.DUMMYFUNCTION("""COMPUTED_VALUE"""),45974.95972222222)</f>
        <v>45974.95972</v>
      </c>
      <c r="H373" s="238">
        <f>IFERROR(__xludf.DUMMYFUNCTION("""COMPUTED_VALUE"""),45975.29166666667)</f>
        <v>45975.29167</v>
      </c>
      <c r="I373" s="237" t="str">
        <f t="shared" si="1"/>
        <v>Fora</v>
      </c>
      <c r="J373" s="239">
        <v>478.0000000074506</v>
      </c>
    </row>
    <row r="374">
      <c r="A374" s="234" t="s">
        <v>2070</v>
      </c>
      <c r="B374" s="234" t="str">
        <f>IFERROR(__xludf.DUMMYFUNCTION("""COMPUTED_VALUE"""),"SoC_MG_Betim")</f>
        <v>SoC_MG_Betim</v>
      </c>
      <c r="C374" s="234" t="str">
        <f>IFERROR(__xludf.DUMMYFUNCTION("""COMPUTED_VALUE"""),"SOC-MG2")</f>
        <v>SOC-MG2</v>
      </c>
      <c r="D374" s="234">
        <f>IFERROR(__xludf.DUMMYFUNCTION("""COMPUTED_VALUE"""),39.0)</f>
        <v>39</v>
      </c>
      <c r="E374" s="237" t="str">
        <f>IFERROR(__xludf.DUMMYFUNCTION("""COMPUTED_VALUE"""),"LT0PBD01R8822")</f>
        <v>LT0PBD01R8822</v>
      </c>
      <c r="F374" s="238" t="str">
        <f>IFERROR(__xludf.DUMMYFUNCTION("""COMPUTED_VALUE"""),"TEQ4F83")</f>
        <v>TEQ4F83</v>
      </c>
      <c r="G374" s="238">
        <f>IFERROR(__xludf.DUMMYFUNCTION("""COMPUTED_VALUE"""),45974.95972222222)</f>
        <v>45974.95972</v>
      </c>
      <c r="H374" s="238">
        <f>IFERROR(__xludf.DUMMYFUNCTION("""COMPUTED_VALUE"""),45975.29166666667)</f>
        <v>45975.29167</v>
      </c>
      <c r="I374" s="237" t="str">
        <f t="shared" si="1"/>
        <v>Fora</v>
      </c>
      <c r="J374" s="239">
        <v>180.0</v>
      </c>
    </row>
    <row r="375">
      <c r="A375" s="234" t="s">
        <v>2071</v>
      </c>
      <c r="B375" s="234" t="str">
        <f>IFERROR(__xludf.DUMMYFUNCTION("""COMPUTED_VALUE"""),"SoC_SP_Cravinhos")</f>
        <v>SoC_SP_Cravinhos</v>
      </c>
      <c r="C375" s="234" t="str">
        <f>IFERROR(__xludf.DUMMYFUNCTION("""COMPUTED_VALUE"""),"SOC-SP5")</f>
        <v>SOC-SP5</v>
      </c>
      <c r="D375" s="234">
        <f>IFERROR(__xludf.DUMMYFUNCTION("""COMPUTED_VALUE"""),40.0)</f>
        <v>40</v>
      </c>
      <c r="E375" s="237" t="str">
        <f>IFERROR(__xludf.DUMMYFUNCTION("""COMPUTED_VALUE"""),"LT1PBE01RSL81")</f>
        <v>LT1PBE01RSL81</v>
      </c>
      <c r="F375" s="238" t="str">
        <f>IFERROR(__xludf.DUMMYFUNCTION("""COMPUTED_VALUE"""),"TCD8J68")</f>
        <v>TCD8J68</v>
      </c>
      <c r="G375" s="238">
        <f>IFERROR(__xludf.DUMMYFUNCTION("""COMPUTED_VALUE"""),45975.16666666667)</f>
        <v>45975.16667</v>
      </c>
      <c r="H375" s="238">
        <f>IFERROR(__xludf.DUMMYFUNCTION("""COMPUTED_VALUE"""),45975.29166666667)</f>
        <v>45975.29167</v>
      </c>
      <c r="I375" s="237" t="str">
        <f t="shared" si="1"/>
        <v>Fora</v>
      </c>
      <c r="J375" s="239">
        <v>479.9999999930151</v>
      </c>
    </row>
    <row r="376">
      <c r="A376" s="234" t="s">
        <v>2072</v>
      </c>
      <c r="B376" s="234" t="str">
        <f>IFERROR(__xludf.DUMMYFUNCTION("""COMPUTED_VALUE"""),"SoC_BA_Simoes Filho")</f>
        <v>SoC_BA_Simoes Filho</v>
      </c>
      <c r="C376" s="234" t="str">
        <f>IFERROR(__xludf.DUMMYFUNCTION("""COMPUTED_VALUE"""),"SOC-BA2")</f>
        <v>SOC-BA2</v>
      </c>
      <c r="D376" s="234"/>
      <c r="E376" s="237" t="str">
        <f>IFERROR(__xludf.DUMMYFUNCTION("""COMPUTED_VALUE"""),"LT0PBE01RFOP1")</f>
        <v>LT0PBE01RFOP1</v>
      </c>
      <c r="F376" s="238" t="str">
        <f>IFERROR(__xludf.DUMMYFUNCTION("""COMPUTED_VALUE"""),"-")</f>
        <v>-</v>
      </c>
      <c r="G376" s="238">
        <f>IFERROR(__xludf.DUMMYFUNCTION("""COMPUTED_VALUE"""),45975.0)</f>
        <v>45975</v>
      </c>
      <c r="H376" s="238">
        <f>IFERROR(__xludf.DUMMYFUNCTION("""COMPUTED_VALUE"""),45975.33333333333)</f>
        <v>45975.33333</v>
      </c>
      <c r="I376" s="237" t="str">
        <f t="shared" si="1"/>
        <v>Fora</v>
      </c>
      <c r="J376" s="239">
        <v>479.9999999930151</v>
      </c>
    </row>
    <row r="377">
      <c r="A377" s="234" t="s">
        <v>2073</v>
      </c>
      <c r="B377" s="234" t="str">
        <f>IFERROR(__xludf.DUMMYFUNCTION("""COMPUTED_VALUE"""),"SoC_GO_Goiânia_02")</f>
        <v>SoC_GO_Goiânia_02</v>
      </c>
      <c r="C377" s="234" t="str">
        <f>IFERROR(__xludf.DUMMYFUNCTION("""COMPUTED_VALUE"""),"SOC-GO2")</f>
        <v>SOC-GO2</v>
      </c>
      <c r="D377" s="234"/>
      <c r="E377" s="237" t="str">
        <f>IFERROR(__xludf.DUMMYFUNCTION("""COMPUTED_VALUE"""),"LT0PBE01RFXZ1")</f>
        <v>LT0PBE01RFXZ1</v>
      </c>
      <c r="F377" s="238" t="str">
        <f>IFERROR(__xludf.DUMMYFUNCTION("""COMPUTED_VALUE"""),"-")</f>
        <v>-</v>
      </c>
      <c r="G377" s="238">
        <f>IFERROR(__xludf.DUMMYFUNCTION("""COMPUTED_VALUE"""),45975.0)</f>
        <v>45975</v>
      </c>
      <c r="H377" s="238">
        <f>IFERROR(__xludf.DUMMYFUNCTION("""COMPUTED_VALUE"""),45975.33333333333)</f>
        <v>45975.33333</v>
      </c>
      <c r="I377" s="237" t="str">
        <f t="shared" si="1"/>
        <v>Fora</v>
      </c>
      <c r="J377" s="239">
        <v>479.9999999930151</v>
      </c>
    </row>
    <row r="378">
      <c r="A378" s="234" t="s">
        <v>2074</v>
      </c>
      <c r="B378" s="234" t="str">
        <f>IFERROR(__xludf.DUMMYFUNCTION("""COMPUTED_VALUE"""),"SoC_RJ_Duque de Caxias")</f>
        <v>SoC_RJ_Duque de Caxias</v>
      </c>
      <c r="C378" s="234" t="str">
        <f>IFERROR(__xludf.DUMMYFUNCTION("""COMPUTED_VALUE"""),"SOC-RJ2")</f>
        <v>SOC-RJ2</v>
      </c>
      <c r="D378" s="234"/>
      <c r="E378" s="237" t="str">
        <f>IFERROR(__xludf.DUMMYFUNCTION("""COMPUTED_VALUE"""),"LT0PBE01RB2K1")</f>
        <v>LT0PBE01RB2K1</v>
      </c>
      <c r="F378" s="238" t="str">
        <f>IFERROR(__xludf.DUMMYFUNCTION("""COMPUTED_VALUE"""),"BBR6A51")</f>
        <v>BBR6A51</v>
      </c>
      <c r="G378" s="238">
        <f>IFERROR(__xludf.DUMMYFUNCTION("""COMPUTED_VALUE"""),45975.0)</f>
        <v>45975</v>
      </c>
      <c r="H378" s="238">
        <f>IFERROR(__xludf.DUMMYFUNCTION("""COMPUTED_VALUE"""),45975.33333333333)</f>
        <v>45975.33333</v>
      </c>
      <c r="I378" s="237" t="str">
        <f t="shared" si="1"/>
        <v>Fora</v>
      </c>
      <c r="J378" s="239">
        <v>479.9999999930151</v>
      </c>
    </row>
    <row r="379">
      <c r="A379" s="234" t="s">
        <v>2075</v>
      </c>
      <c r="B379" s="234" t="str">
        <f>IFERROR(__xludf.DUMMYFUNCTION("""COMPUTED_VALUE"""),"SoC_SC_Itajaí")</f>
        <v>SoC_SC_Itajaí</v>
      </c>
      <c r="C379" s="234" t="str">
        <f>IFERROR(__xludf.DUMMYFUNCTION("""COMPUTED_VALUE"""),"SOC-SC1")</f>
        <v>SOC-SC1</v>
      </c>
      <c r="D379" s="234">
        <f>IFERROR(__xludf.DUMMYFUNCTION("""COMPUTED_VALUE"""),25.0)</f>
        <v>25</v>
      </c>
      <c r="E379" s="237" t="str">
        <f>IFERROR(__xludf.DUMMYFUNCTION("""COMPUTED_VALUE"""),"LT0PBE01RE7S1")</f>
        <v>LT0PBE01RE7S1</v>
      </c>
      <c r="F379" s="238" t="str">
        <f>IFERROR(__xludf.DUMMYFUNCTION("""COMPUTED_VALUE"""),"NLP1469")</f>
        <v>NLP1469</v>
      </c>
      <c r="G379" s="238">
        <f>IFERROR(__xludf.DUMMYFUNCTION("""COMPUTED_VALUE"""),45975.0)</f>
        <v>45975</v>
      </c>
      <c r="H379" s="238">
        <f>IFERROR(__xludf.DUMMYFUNCTION("""COMPUTED_VALUE"""),45975.33333333333)</f>
        <v>45975.33333</v>
      </c>
      <c r="I379" s="237" t="str">
        <f t="shared" si="1"/>
        <v>Fora</v>
      </c>
      <c r="J379" s="239">
        <v>479.9999999930151</v>
      </c>
    </row>
    <row r="380">
      <c r="A380" s="234" t="s">
        <v>2076</v>
      </c>
      <c r="B380" s="234" t="str">
        <f>IFERROR(__xludf.DUMMYFUNCTION("""COMPUTED_VALUE"""),"SoC_SP_Cravinhos")</f>
        <v>SoC_SP_Cravinhos</v>
      </c>
      <c r="C380" s="234" t="str">
        <f>IFERROR(__xludf.DUMMYFUNCTION("""COMPUTED_VALUE"""),"SOC-SP5")</f>
        <v>SOC-SP5</v>
      </c>
      <c r="D380" s="234">
        <f>IFERROR(__xludf.DUMMYFUNCTION("""COMPUTED_VALUE"""),13.0)</f>
        <v>13</v>
      </c>
      <c r="E380" s="237" t="str">
        <f>IFERROR(__xludf.DUMMYFUNCTION("""COMPUTED_VALUE"""),"LT0PBE01R8901")</f>
        <v>LT0PBE01R8901</v>
      </c>
      <c r="F380" s="238" t="str">
        <f>IFERROR(__xludf.DUMMYFUNCTION("""COMPUTED_VALUE"""),"NZO6H45,DBC7421")</f>
        <v>NZO6H45,DBC7421</v>
      </c>
      <c r="G380" s="238">
        <f>IFERROR(__xludf.DUMMYFUNCTION("""COMPUTED_VALUE"""),45975.0)</f>
        <v>45975</v>
      </c>
      <c r="H380" s="238">
        <f>IFERROR(__xludf.DUMMYFUNCTION("""COMPUTED_VALUE"""),45975.33333333333)</f>
        <v>45975.33333</v>
      </c>
      <c r="I380" s="237" t="str">
        <f t="shared" si="1"/>
        <v>Fora</v>
      </c>
      <c r="J380" s="239">
        <v>479.9999999930151</v>
      </c>
    </row>
    <row r="381">
      <c r="A381" s="234" t="s">
        <v>2077</v>
      </c>
      <c r="B381" s="234" t="str">
        <f>IFERROR(__xludf.DUMMYFUNCTION("""COMPUTED_VALUE"""),"SoC_SP_Cravinhos")</f>
        <v>SoC_SP_Cravinhos</v>
      </c>
      <c r="C381" s="234" t="str">
        <f>IFERROR(__xludf.DUMMYFUNCTION("""COMPUTED_VALUE"""),"SOC-SP5")</f>
        <v>SOC-SP5</v>
      </c>
      <c r="D381" s="234">
        <f>IFERROR(__xludf.DUMMYFUNCTION("""COMPUTED_VALUE"""),12.0)</f>
        <v>12</v>
      </c>
      <c r="E381" s="237" t="str">
        <f>IFERROR(__xludf.DUMMYFUNCTION("""COMPUTED_VALUE"""),"LT0PBE01R8922")</f>
        <v>LT0PBE01R8922</v>
      </c>
      <c r="F381" s="238" t="str">
        <f>IFERROR(__xludf.DUMMYFUNCTION("""COMPUTED_VALUE"""),"IOV3B36")</f>
        <v>IOV3B36</v>
      </c>
      <c r="G381" s="238">
        <f>IFERROR(__xludf.DUMMYFUNCTION("""COMPUTED_VALUE"""),45975.0)</f>
        <v>45975</v>
      </c>
      <c r="H381" s="238">
        <f>IFERROR(__xludf.DUMMYFUNCTION("""COMPUTED_VALUE"""),45975.33333333333)</f>
        <v>45975.33333</v>
      </c>
      <c r="I381" s="237" t="str">
        <f t="shared" si="1"/>
        <v>Fora</v>
      </c>
      <c r="J381" s="239">
        <v>479.9999999930151</v>
      </c>
    </row>
    <row r="382">
      <c r="A382" s="234" t="s">
        <v>2078</v>
      </c>
      <c r="B382" s="234" t="str">
        <f>IFERROR(__xludf.DUMMYFUNCTION("""COMPUTED_VALUE"""),"SoC_SP_Louveira")</f>
        <v>SoC_SP_Louveira</v>
      </c>
      <c r="C382" s="234" t="str">
        <f>IFERROR(__xludf.DUMMYFUNCTION("""COMPUTED_VALUE"""),"SOC-SP7")</f>
        <v>SOC-SP7</v>
      </c>
      <c r="D382" s="234">
        <f>IFERROR(__xludf.DUMMYFUNCTION("""COMPUTED_VALUE"""),18.0)</f>
        <v>18</v>
      </c>
      <c r="E382" s="237" t="str">
        <f>IFERROR(__xludf.DUMMYFUNCTION("""COMPUTED_VALUE"""),"LT0PBE01R8A21")</f>
        <v>LT0PBE01R8A21</v>
      </c>
      <c r="F382" s="238" t="str">
        <f>IFERROR(__xludf.DUMMYFUNCTION("""COMPUTED_VALUE"""),"FNY2B06")</f>
        <v>FNY2B06</v>
      </c>
      <c r="G382" s="238">
        <f>IFERROR(__xludf.DUMMYFUNCTION("""COMPUTED_VALUE"""),45975.0)</f>
        <v>45975</v>
      </c>
      <c r="H382" s="238">
        <f>IFERROR(__xludf.DUMMYFUNCTION("""COMPUTED_VALUE"""),45975.33333333333)</f>
        <v>45975.33333</v>
      </c>
      <c r="I382" s="237" t="str">
        <f t="shared" si="1"/>
        <v>Fora</v>
      </c>
      <c r="J382" s="239">
        <v>479.9999999930151</v>
      </c>
    </row>
    <row r="383">
      <c r="A383" s="234" t="s">
        <v>2079</v>
      </c>
      <c r="B383" s="234" t="str">
        <f>IFERROR(__xludf.DUMMYFUNCTION("""COMPUTED_VALUE"""),"SoC_SP_Santana")</f>
        <v>SoC_SP_Santana</v>
      </c>
      <c r="C383" s="234" t="str">
        <f>IFERROR(__xludf.DUMMYFUNCTION("""COMPUTED_VALUE"""),"SOC-SP2")</f>
        <v>SOC-SP2</v>
      </c>
      <c r="D383" s="234"/>
      <c r="E383" s="237" t="str">
        <f>IFERROR(__xludf.DUMMYFUNCTION("""COMPUTED_VALUE"""),"LT0PBE01R8W51")</f>
        <v>LT0PBE01R8W51</v>
      </c>
      <c r="F383" s="238" t="str">
        <f>IFERROR(__xludf.DUMMYFUNCTION("""COMPUTED_VALUE"""),"-")</f>
        <v>-</v>
      </c>
      <c r="G383" s="238">
        <f>IFERROR(__xludf.DUMMYFUNCTION("""COMPUTED_VALUE"""),45975.0)</f>
        <v>45975</v>
      </c>
      <c r="H383" s="238">
        <f>IFERROR(__xludf.DUMMYFUNCTION("""COMPUTED_VALUE"""),45975.33333333333)</f>
        <v>45975.33333</v>
      </c>
      <c r="I383" s="237" t="str">
        <f t="shared" si="1"/>
        <v>Fora</v>
      </c>
      <c r="J383" s="239">
        <v>478.99999998975545</v>
      </c>
    </row>
    <row r="384">
      <c r="A384" s="234" t="s">
        <v>2080</v>
      </c>
      <c r="B384" s="234" t="str">
        <f>IFERROR(__xludf.DUMMYFUNCTION("""COMPUTED_VALUE"""),"SoC_MG_Betim")</f>
        <v>SoC_MG_Betim</v>
      </c>
      <c r="C384" s="234" t="str">
        <f>IFERROR(__xludf.DUMMYFUNCTION("""COMPUTED_VALUE"""),"SOC-MG2")</f>
        <v>SOC-MG2</v>
      </c>
      <c r="D384" s="234">
        <f>IFERROR(__xludf.DUMMYFUNCTION("""COMPUTED_VALUE"""),38.0)</f>
        <v>38</v>
      </c>
      <c r="E384" s="237" t="str">
        <f>IFERROR(__xludf.DUMMYFUNCTION("""COMPUTED_VALUE"""),"LT0PBE01R86Y1")</f>
        <v>LT0PBE01R86Y1</v>
      </c>
      <c r="F384" s="238" t="str">
        <f>IFERROR(__xludf.DUMMYFUNCTION("""COMPUTED_VALUE"""),"SUK7E04,GBX1009")</f>
        <v>SUK7E04,GBX1009</v>
      </c>
      <c r="G384" s="238">
        <f>IFERROR(__xludf.DUMMYFUNCTION("""COMPUTED_VALUE"""),45975.00069444445)</f>
        <v>45975.00069</v>
      </c>
      <c r="H384" s="238">
        <f>IFERROR(__xludf.DUMMYFUNCTION("""COMPUTED_VALUE"""),45975.33333333333)</f>
        <v>45975.33333</v>
      </c>
      <c r="I384" s="237" t="str">
        <f t="shared" si="1"/>
        <v>Fora</v>
      </c>
      <c r="J384" s="239">
        <v>478.99999998975545</v>
      </c>
    </row>
    <row r="385">
      <c r="A385" s="234" t="s">
        <v>2081</v>
      </c>
      <c r="B385" s="234" t="str">
        <f>IFERROR(__xludf.DUMMYFUNCTION("""COMPUTED_VALUE"""),"SoC_MG_Betim")</f>
        <v>SoC_MG_Betim</v>
      </c>
      <c r="C385" s="234" t="str">
        <f>IFERROR(__xludf.DUMMYFUNCTION("""COMPUTED_VALUE"""),"SOC-MG2")</f>
        <v>SOC-MG2</v>
      </c>
      <c r="D385" s="234">
        <f>IFERROR(__xludf.DUMMYFUNCTION("""COMPUTED_VALUE"""),33.0)</f>
        <v>33</v>
      </c>
      <c r="E385" s="237" t="str">
        <f>IFERROR(__xludf.DUMMYFUNCTION("""COMPUTED_VALUE"""),"LT0PBE01R8702")</f>
        <v>LT0PBE01R8702</v>
      </c>
      <c r="F385" s="238" t="str">
        <f>IFERROR(__xludf.DUMMYFUNCTION("""COMPUTED_VALUE"""),"FCV3J24")</f>
        <v>FCV3J24</v>
      </c>
      <c r="G385" s="238">
        <f>IFERROR(__xludf.DUMMYFUNCTION("""COMPUTED_VALUE"""),45975.00069444445)</f>
        <v>45975.00069</v>
      </c>
      <c r="H385" s="238">
        <f>IFERROR(__xludf.DUMMYFUNCTION("""COMPUTED_VALUE"""),45975.33333333333)</f>
        <v>45975.33333</v>
      </c>
      <c r="I385" s="237" t="str">
        <f t="shared" si="1"/>
        <v>Fora</v>
      </c>
      <c r="J385" s="239">
        <v>478.99999998975545</v>
      </c>
    </row>
    <row r="386">
      <c r="A386" s="234" t="s">
        <v>2082</v>
      </c>
      <c r="B386" s="234" t="str">
        <f>IFERROR(__xludf.DUMMYFUNCTION("""COMPUTED_VALUE"""),"SoC_MG_Betim")</f>
        <v>SoC_MG_Betim</v>
      </c>
      <c r="C386" s="234" t="str">
        <f>IFERROR(__xludf.DUMMYFUNCTION("""COMPUTED_VALUE"""),"SOC-MG2")</f>
        <v>SOC-MG2</v>
      </c>
      <c r="D386" s="234">
        <f>IFERROR(__xludf.DUMMYFUNCTION("""COMPUTED_VALUE"""),47.0)</f>
        <v>47</v>
      </c>
      <c r="E386" s="237" t="str">
        <f>IFERROR(__xludf.DUMMYFUNCTION("""COMPUTED_VALUE"""),"LT0PBE01R8723")</f>
        <v>LT0PBE01R8723</v>
      </c>
      <c r="F386" s="238" t="str">
        <f>IFERROR(__xludf.DUMMYFUNCTION("""COMPUTED_VALUE"""),"ECZ9A86")</f>
        <v>ECZ9A86</v>
      </c>
      <c r="G386" s="238">
        <f>IFERROR(__xludf.DUMMYFUNCTION("""COMPUTED_VALUE"""),45975.00069444445)</f>
        <v>45975.00069</v>
      </c>
      <c r="H386" s="238">
        <f>IFERROR(__xludf.DUMMYFUNCTION("""COMPUTED_VALUE"""),45975.33333333333)</f>
        <v>45975.33333</v>
      </c>
      <c r="I386" s="237" t="str">
        <f t="shared" si="1"/>
        <v>Fora</v>
      </c>
      <c r="J386" s="239">
        <v>479.9999999930151</v>
      </c>
    </row>
    <row r="387">
      <c r="A387" s="234" t="s">
        <v>2083</v>
      </c>
      <c r="B387" s="234" t="str">
        <f>IFERROR(__xludf.DUMMYFUNCTION("""COMPUTED_VALUE"""),"SoC_PE_Jaboatão dos Guararapes")</f>
        <v>SoC_PE_Jaboatão dos Guararapes</v>
      </c>
      <c r="C387" s="234" t="str">
        <f>IFERROR(__xludf.DUMMYFUNCTION("""COMPUTED_VALUE"""),"SOC-PE2")</f>
        <v>SOC-PE2</v>
      </c>
      <c r="D387" s="234"/>
      <c r="E387" s="237" t="str">
        <f>IFERROR(__xludf.DUMMYFUNCTION("""COMPUTED_VALUE"""),"LT0PBE01RFK01")</f>
        <v>LT0PBE01RFK01</v>
      </c>
      <c r="F387" s="238" t="str">
        <f>IFERROR(__xludf.DUMMYFUNCTION("""COMPUTED_VALUE"""),"AAZ9C22")</f>
        <v>AAZ9C22</v>
      </c>
      <c r="G387" s="238">
        <f>IFERROR(__xludf.DUMMYFUNCTION("""COMPUTED_VALUE"""),45975.04166666667)</f>
        <v>45975.04167</v>
      </c>
      <c r="H387" s="238">
        <f>IFERROR(__xludf.DUMMYFUNCTION("""COMPUTED_VALUE"""),45975.375)</f>
        <v>45975.375</v>
      </c>
      <c r="I387" s="237" t="str">
        <f t="shared" si="1"/>
        <v>Fora</v>
      </c>
      <c r="J387" s="239">
        <v>420.0000000069849</v>
      </c>
    </row>
    <row r="388">
      <c r="A388" s="234" t="s">
        <v>2084</v>
      </c>
      <c r="B388" s="234" t="str">
        <f>IFERROR(__xludf.DUMMYFUNCTION("""COMPUTED_VALUE"""),"SoC_SP_Santana")</f>
        <v>SoC_SP_Santana</v>
      </c>
      <c r="C388" s="234" t="str">
        <f>IFERROR(__xludf.DUMMYFUNCTION("""COMPUTED_VALUE"""),"SOC-SP2")</f>
        <v>SOC-SP2</v>
      </c>
      <c r="D388" s="234"/>
      <c r="E388" s="237" t="str">
        <f>IFERROR(__xludf.DUMMYFUNCTION("""COMPUTED_VALUE"""),"LT0PBE01R8WB1")</f>
        <v>LT0PBE01R8WB1</v>
      </c>
      <c r="F388" s="238" t="str">
        <f>IFERROR(__xludf.DUMMYFUNCTION("""COMPUTED_VALUE"""),"EJY6I98,DJE1615")</f>
        <v>EJY6I98,DJE1615</v>
      </c>
      <c r="G388" s="238">
        <f>IFERROR(__xludf.DUMMYFUNCTION("""COMPUTED_VALUE"""),45975.08333333333)</f>
        <v>45975.08333</v>
      </c>
      <c r="H388" s="238">
        <f>IFERROR(__xludf.DUMMYFUNCTION("""COMPUTED_VALUE"""),45975.375)</f>
        <v>45975.375</v>
      </c>
      <c r="I388" s="237" t="str">
        <f t="shared" si="1"/>
        <v>Fora</v>
      </c>
      <c r="J388" s="239">
        <v>480.00000001396984</v>
      </c>
    </row>
    <row r="389">
      <c r="A389" s="234" t="s">
        <v>2085</v>
      </c>
      <c r="B389" s="234" t="str">
        <f>IFERROR(__xludf.DUMMYFUNCTION("""COMPUTED_VALUE"""),"SoC_SP_Cravinhos")</f>
        <v>SoC_SP_Cravinhos</v>
      </c>
      <c r="C389" s="234" t="str">
        <f>IFERROR(__xludf.DUMMYFUNCTION("""COMPUTED_VALUE"""),"SOC-SP5")</f>
        <v>SOC-SP5</v>
      </c>
      <c r="D389" s="234"/>
      <c r="E389" s="237" t="str">
        <f>IFERROR(__xludf.DUMMYFUNCTION("""COMPUTED_VALUE"""),"LT0PBE01R8951")</f>
        <v>LT0PBE01R8951</v>
      </c>
      <c r="F389" s="238" t="str">
        <f>IFERROR(__xludf.DUMMYFUNCTION("""COMPUTED_VALUE"""),"-")</f>
        <v>-</v>
      </c>
      <c r="G389" s="238">
        <f>IFERROR(__xludf.DUMMYFUNCTION("""COMPUTED_VALUE"""),45975.08333333333)</f>
        <v>45975.08333</v>
      </c>
      <c r="H389" s="238">
        <f>IFERROR(__xludf.DUMMYFUNCTION("""COMPUTED_VALUE"""),45975.41666666667)</f>
        <v>45975.41667</v>
      </c>
      <c r="I389" s="237" t="str">
        <f t="shared" si="1"/>
        <v>Fora</v>
      </c>
      <c r="J389" s="239">
        <v>479.0000000107102</v>
      </c>
    </row>
    <row r="390">
      <c r="A390" s="234" t="s">
        <v>2086</v>
      </c>
      <c r="B390" s="234" t="str">
        <f>IFERROR(__xludf.DUMMYFUNCTION("""COMPUTED_VALUE"""),"SoC_RJ_Duque de Caxias")</f>
        <v>SoC_RJ_Duque de Caxias</v>
      </c>
      <c r="C390" s="234" t="str">
        <f>IFERROR(__xludf.DUMMYFUNCTION("""COMPUTED_VALUE"""),"SOC-RJ2")</f>
        <v>SOC-RJ2</v>
      </c>
      <c r="D390" s="234">
        <f>IFERROR(__xludf.DUMMYFUNCTION("""COMPUTED_VALUE"""),40.0)</f>
        <v>40</v>
      </c>
      <c r="E390" s="237" t="str">
        <f>IFERROR(__xludf.DUMMYFUNCTION("""COMPUTED_VALUE"""),"LT0PBE01RB2W1")</f>
        <v>LT0PBE01RB2W1</v>
      </c>
      <c r="F390" s="238" t="str">
        <f>IFERROR(__xludf.DUMMYFUNCTION("""COMPUTED_VALUE"""),"EJZ8E39")</f>
        <v>EJZ8E39</v>
      </c>
      <c r="G390" s="238">
        <f>IFERROR(__xludf.DUMMYFUNCTION("""COMPUTED_VALUE"""),45975.084027777775)</f>
        <v>45975.08403</v>
      </c>
      <c r="H390" s="238">
        <f>IFERROR(__xludf.DUMMYFUNCTION("""COMPUTED_VALUE"""),45975.41666666667)</f>
        <v>45975.41667</v>
      </c>
      <c r="I390" s="237" t="str">
        <f t="shared" si="1"/>
        <v>Fora</v>
      </c>
      <c r="J390" s="239">
        <v>479.0000000107102</v>
      </c>
    </row>
    <row r="391">
      <c r="A391" s="234" t="s">
        <v>2087</v>
      </c>
      <c r="B391" s="234" t="str">
        <f>IFERROR(__xludf.DUMMYFUNCTION("""COMPUTED_VALUE"""),"SoC_RJ_Duque de Caxias")</f>
        <v>SoC_RJ_Duque de Caxias</v>
      </c>
      <c r="C391" s="234" t="str">
        <f>IFERROR(__xludf.DUMMYFUNCTION("""COMPUTED_VALUE"""),"SOC-RJ2")</f>
        <v>SOC-RJ2</v>
      </c>
      <c r="D391" s="234"/>
      <c r="E391" s="237" t="str">
        <f>IFERROR(__xludf.DUMMYFUNCTION("""COMPUTED_VALUE"""),"LT0PBE01RB2Y2")</f>
        <v>LT0PBE01RB2Y2</v>
      </c>
      <c r="F391" s="238" t="str">
        <f>IFERROR(__xludf.DUMMYFUNCTION("""COMPUTED_VALUE"""),"NTU8H21,DBL8I06")</f>
        <v>NTU8H21,DBL8I06</v>
      </c>
      <c r="G391" s="238">
        <f>IFERROR(__xludf.DUMMYFUNCTION("""COMPUTED_VALUE"""),45975.084027777775)</f>
        <v>45975.08403</v>
      </c>
      <c r="H391" s="238">
        <f>IFERROR(__xludf.DUMMYFUNCTION("""COMPUTED_VALUE"""),45975.41666666667)</f>
        <v>45975.41667</v>
      </c>
      <c r="I391" s="237" t="str">
        <f t="shared" si="1"/>
        <v>Fora</v>
      </c>
      <c r="J391" s="239">
        <v>479.9999999930151</v>
      </c>
    </row>
    <row r="392">
      <c r="A392" s="234" t="s">
        <v>2088</v>
      </c>
      <c r="B392" s="234" t="str">
        <f>IFERROR(__xludf.DUMMYFUNCTION("""COMPUTED_VALUE"""),"SoC_BA_Simoes Filho")</f>
        <v>SoC_BA_Simoes Filho</v>
      </c>
      <c r="C392" s="234" t="str">
        <f>IFERROR(__xludf.DUMMYFUNCTION("""COMPUTED_VALUE"""),"SOC-BA2")</f>
        <v>SOC-BA2</v>
      </c>
      <c r="D392" s="234"/>
      <c r="E392" s="237" t="str">
        <f>IFERROR(__xludf.DUMMYFUNCTION("""COMPUTED_VALUE"""),"LT0PBE01RFOV1")</f>
        <v>LT0PBE01RFOV1</v>
      </c>
      <c r="F392" s="238" t="str">
        <f>IFERROR(__xludf.DUMMYFUNCTION("""COMPUTED_VALUE"""),"-")</f>
        <v>-</v>
      </c>
      <c r="G392" s="238">
        <f>IFERROR(__xludf.DUMMYFUNCTION("""COMPUTED_VALUE"""),45975.125)</f>
        <v>45975.125</v>
      </c>
      <c r="H392" s="238">
        <f>IFERROR(__xludf.DUMMYFUNCTION("""COMPUTED_VALUE"""),45975.45833333333)</f>
        <v>45975.45833</v>
      </c>
      <c r="I392" s="237" t="str">
        <f t="shared" si="1"/>
        <v>Fora</v>
      </c>
      <c r="J392" s="239">
        <v>479.9999999930151</v>
      </c>
    </row>
    <row r="393">
      <c r="A393" s="234" t="s">
        <v>2089</v>
      </c>
      <c r="B393" s="234" t="str">
        <f>IFERROR(__xludf.DUMMYFUNCTION("""COMPUTED_VALUE"""),"SoC_SP_Louveira")</f>
        <v>SoC_SP_Louveira</v>
      </c>
      <c r="C393" s="234" t="str">
        <f>IFERROR(__xludf.DUMMYFUNCTION("""COMPUTED_VALUE"""),"SOC-SP7")</f>
        <v>SOC-SP7</v>
      </c>
      <c r="D393" s="234">
        <f>IFERROR(__xludf.DUMMYFUNCTION("""COMPUTED_VALUE"""),48.0)</f>
        <v>48</v>
      </c>
      <c r="E393" s="237" t="str">
        <f>IFERROR(__xludf.DUMMYFUNCTION("""COMPUTED_VALUE"""),"LT0PBE01R8A81")</f>
        <v>LT0PBE01R8A81</v>
      </c>
      <c r="F393" s="238" t="str">
        <f>IFERROR(__xludf.DUMMYFUNCTION("""COMPUTED_VALUE"""),"GHB5H18")</f>
        <v>GHB5H18</v>
      </c>
      <c r="G393" s="238">
        <f>IFERROR(__xludf.DUMMYFUNCTION("""COMPUTED_VALUE"""),45975.125)</f>
        <v>45975.125</v>
      </c>
      <c r="H393" s="238">
        <f>IFERROR(__xludf.DUMMYFUNCTION("""COMPUTED_VALUE"""),45975.45833333333)</f>
        <v>45975.45833</v>
      </c>
      <c r="I393" s="237" t="str">
        <f t="shared" si="1"/>
        <v>Fora</v>
      </c>
      <c r="J393" s="239">
        <v>119.00000001071021</v>
      </c>
    </row>
    <row r="394">
      <c r="A394" s="234" t="s">
        <v>2090</v>
      </c>
      <c r="B394" s="234" t="str">
        <f>IFERROR(__xludf.DUMMYFUNCTION("""COMPUTED_VALUE"""),"LM Hub_SP_Itapeva")</f>
        <v>LM Hub_SP_Itapeva</v>
      </c>
      <c r="C394" s="234" t="str">
        <f>IFERROR(__xludf.DUMMYFUNCTION("""COMPUTED_VALUE"""),"HUB-LSP-39")</f>
        <v>HUB-LSP-39</v>
      </c>
      <c r="D394" s="234">
        <f>IFERROR(__xludf.DUMMYFUNCTION("""COMPUTED_VALUE"""),7.0)</f>
        <v>7</v>
      </c>
      <c r="E394" s="237" t="str">
        <f>IFERROR(__xludf.DUMMYFUNCTION("""COMPUTED_VALUE"""),"LT0PBE01R8DB1")</f>
        <v>LT0PBE01R8DB1</v>
      </c>
      <c r="F394" s="238" t="str">
        <f>IFERROR(__xludf.DUMMYFUNCTION("""COMPUTED_VALUE"""),"GGU2D18,TBD4J30")</f>
        <v>GGU2D18,TBD4J30</v>
      </c>
      <c r="G394" s="238">
        <f>IFERROR(__xludf.DUMMYFUNCTION("""COMPUTED_VALUE"""),45975.834027777775)</f>
        <v>45975.83403</v>
      </c>
      <c r="H394" s="238">
        <f>IFERROR(__xludf.DUMMYFUNCTION("""COMPUTED_VALUE"""),45975.91666666667)</f>
        <v>45975.91667</v>
      </c>
      <c r="I394" s="237" t="str">
        <f t="shared" si="1"/>
        <v>Fora</v>
      </c>
      <c r="J394" s="239">
        <v>119.99999999301508</v>
      </c>
    </row>
    <row r="395">
      <c r="A395" s="234" t="s">
        <v>2091</v>
      </c>
      <c r="B395" s="234" t="str">
        <f>IFERROR(__xludf.DUMMYFUNCTION("""COMPUTED_VALUE"""),"LM Hub_SP_São Carlos")</f>
        <v>LM Hub_SP_São Carlos</v>
      </c>
      <c r="C395" s="234" t="str">
        <f>IFERROR(__xludf.DUMMYFUNCTION("""COMPUTED_VALUE"""),"HUB-LSP-31")</f>
        <v>HUB-LSP-31</v>
      </c>
      <c r="D395" s="234">
        <f>IFERROR(__xludf.DUMMYFUNCTION("""COMPUTED_VALUE"""),12.0)</f>
        <v>12</v>
      </c>
      <c r="E395" s="237" t="str">
        <f>IFERROR(__xludf.DUMMYFUNCTION("""COMPUTED_VALUE"""),"LT0PBE01R8FX1")</f>
        <v>LT0PBE01R8FX1</v>
      </c>
      <c r="F395" s="238" t="str">
        <f>IFERROR(__xludf.DUMMYFUNCTION("""COMPUTED_VALUE"""),"MYP2D33,MYP2D32")</f>
        <v>MYP2D33,MYP2D32</v>
      </c>
      <c r="G395" s="238">
        <f>IFERROR(__xludf.DUMMYFUNCTION("""COMPUTED_VALUE"""),45975.85416666667)</f>
        <v>45975.85417</v>
      </c>
      <c r="H395" s="238">
        <f>IFERROR(__xludf.DUMMYFUNCTION("""COMPUTED_VALUE"""),45975.9375)</f>
        <v>45975.9375</v>
      </c>
      <c r="I395" s="237" t="str">
        <f t="shared" si="1"/>
        <v>Fora</v>
      </c>
      <c r="J395" s="239">
        <v>299.9999999930151</v>
      </c>
    </row>
    <row r="396">
      <c r="A396" s="234" t="s">
        <v>2092</v>
      </c>
      <c r="B396" s="234" t="str">
        <f>IFERROR(__xludf.DUMMYFUNCTION("""COMPUTED_VALUE"""),"SoC_SP_Santana")</f>
        <v>SoC_SP_Santana</v>
      </c>
      <c r="C396" s="234" t="str">
        <f>IFERROR(__xludf.DUMMYFUNCTION("""COMPUTED_VALUE"""),"SOC-SP2")</f>
        <v>SOC-SP2</v>
      </c>
      <c r="D396" s="234">
        <f>IFERROR(__xludf.DUMMYFUNCTION("""COMPUTED_VALUE"""),15.0)</f>
        <v>15</v>
      </c>
      <c r="E396" s="237" t="str">
        <f>IFERROR(__xludf.DUMMYFUNCTION("""COMPUTED_VALUE"""),"LT0PBE01R8WE1")</f>
        <v>LT0PBE01R8WE1</v>
      </c>
      <c r="F396" s="238" t="str">
        <f>IFERROR(__xludf.DUMMYFUNCTION("""COMPUTED_VALUE"""),"ESU5E39,BWS6G35")</f>
        <v>ESU5E39,BWS6G35</v>
      </c>
      <c r="G396" s="238">
        <f>IFERROR(__xludf.DUMMYFUNCTION("""COMPUTED_VALUE"""),45975.75)</f>
        <v>45975.75</v>
      </c>
      <c r="H396" s="238">
        <f>IFERROR(__xludf.DUMMYFUNCTION("""COMPUTED_VALUE"""),45975.95833333333)</f>
        <v>45975.95833</v>
      </c>
      <c r="I396" s="237" t="str">
        <f t="shared" si="1"/>
        <v>Fora</v>
      </c>
      <c r="J396" s="239">
        <v>119.00000000023283</v>
      </c>
    </row>
    <row r="397">
      <c r="A397" s="234" t="s">
        <v>2093</v>
      </c>
      <c r="B397" s="234" t="str">
        <f>IFERROR(__xludf.DUMMYFUNCTION("""COMPUTED_VALUE"""),"LM Hub_SP_Osasco_02")</f>
        <v>LM Hub_SP_Osasco_02</v>
      </c>
      <c r="C397" s="234" t="str">
        <f>IFERROR(__xludf.DUMMYFUNCTION("""COMPUTED_VALUE"""),"HUB-LSP-60")</f>
        <v>HUB-LSP-60</v>
      </c>
      <c r="D397" s="234">
        <f>IFERROR(__xludf.DUMMYFUNCTION("""COMPUTED_VALUE"""),19.0)</f>
        <v>19</v>
      </c>
      <c r="E397" s="237" t="str">
        <f>IFERROR(__xludf.DUMMYFUNCTION("""COMPUTED_VALUE"""),"LT0PBE01R8CA1")</f>
        <v>LT0PBE01R8CA1</v>
      </c>
      <c r="F397" s="234" t="str">
        <f>IFERROR(__xludf.DUMMYFUNCTION("""COMPUTED_VALUE"""),"JRP7D13,TLY8F28")</f>
        <v>JRP7D13,TLY8F28</v>
      </c>
      <c r="G397" s="242">
        <f>IFERROR(__xludf.DUMMYFUNCTION("""COMPUTED_VALUE"""),45975.87569444445)</f>
        <v>45975.87569</v>
      </c>
      <c r="H397" s="238">
        <f>IFERROR(__xludf.DUMMYFUNCTION("""COMPUTED_VALUE"""),45975.958333333336)</f>
        <v>45975.95833</v>
      </c>
      <c r="I397" s="237" t="str">
        <f t="shared" si="1"/>
        <v>Fora</v>
      </c>
      <c r="J397" s="239">
        <v>120.00000001396984</v>
      </c>
    </row>
    <row r="398">
      <c r="A398" s="234" t="s">
        <v>2094</v>
      </c>
      <c r="B398" s="234" t="str">
        <f>IFERROR(__xludf.DUMMYFUNCTION("""COMPUTED_VALUE"""),"LM Hub_SP_Jurubatuba")</f>
        <v>LM Hub_SP_Jurubatuba</v>
      </c>
      <c r="C398" s="234" t="str">
        <f>IFERROR(__xludf.DUMMYFUNCTION("""COMPUTED_VALUE"""),"HUB-LSP-16")</f>
        <v>HUB-LSP-16</v>
      </c>
      <c r="D398" s="234">
        <f>IFERROR(__xludf.DUMMYFUNCTION("""COMPUTED_VALUE"""),12.0)</f>
        <v>12</v>
      </c>
      <c r="E398" s="237" t="str">
        <f>IFERROR(__xludf.DUMMYFUNCTION("""COMPUTED_VALUE"""),"LT0PBE01RIXF1")</f>
        <v>LT0PBE01RIXF1</v>
      </c>
      <c r="F398" s="238" t="str">
        <f>IFERROR(__xludf.DUMMYFUNCTION("""COMPUTED_VALUE"""),"DTD4722,NCK7E66")</f>
        <v>DTD4722,NCK7E66</v>
      </c>
      <c r="G398" s="238">
        <f>IFERROR(__xludf.DUMMYFUNCTION("""COMPUTED_VALUE"""),45975.89583333333)</f>
        <v>45975.89583</v>
      </c>
      <c r="H398" s="238">
        <f>IFERROR(__xludf.DUMMYFUNCTION("""COMPUTED_VALUE"""),45975.97916666667)</f>
        <v>45975.97917</v>
      </c>
      <c r="I398" s="237" t="str">
        <f t="shared" si="1"/>
        <v>Fora</v>
      </c>
      <c r="J398" s="239">
        <v>120.00000001396984</v>
      </c>
    </row>
    <row r="399">
      <c r="A399" s="234" t="s">
        <v>2095</v>
      </c>
      <c r="B399" s="234" t="str">
        <f>IFERROR(__xludf.DUMMYFUNCTION("""COMPUTED_VALUE"""),"LM Hub_SP_Mogi das Cruzes_Jund")</f>
        <v>LM Hub_SP_Mogi das Cruzes_Jund</v>
      </c>
      <c r="C399" s="234" t="str">
        <f>IFERROR(__xludf.DUMMYFUNCTION("""COMPUTED_VALUE"""),"HUB-LSP-78")</f>
        <v>HUB-LSP-78</v>
      </c>
      <c r="D399" s="234">
        <f>IFERROR(__xludf.DUMMYFUNCTION("""COMPUTED_VALUE"""),16.0)</f>
        <v>16</v>
      </c>
      <c r="E399" s="237" t="str">
        <f>IFERROR(__xludf.DUMMYFUNCTION("""COMPUTED_VALUE"""),"LT0PBE01RC161")</f>
        <v>LT0PBE01RC161</v>
      </c>
      <c r="F399" s="238" t="str">
        <f>IFERROR(__xludf.DUMMYFUNCTION("""COMPUTED_VALUE"""),"EWJ1H50")</f>
        <v>EWJ1H50</v>
      </c>
      <c r="G399" s="238">
        <f>IFERROR(__xludf.DUMMYFUNCTION("""COMPUTED_VALUE"""),45975.89583333333)</f>
        <v>45975.89583</v>
      </c>
      <c r="H399" s="238">
        <f>IFERROR(__xludf.DUMMYFUNCTION("""COMPUTED_VALUE"""),45975.97916666667)</f>
        <v>45975.97917</v>
      </c>
      <c r="I399" s="237" t="str">
        <f t="shared" si="1"/>
        <v>Fora</v>
      </c>
      <c r="J399" s="239">
        <v>120.00000001396984</v>
      </c>
    </row>
    <row r="400">
      <c r="A400" s="234" t="s">
        <v>2096</v>
      </c>
      <c r="B400" s="234" t="str">
        <f>IFERROR(__xludf.DUMMYFUNCTION("""COMPUTED_VALUE"""),"LM Hub_SP_Santos_Praia Grande")</f>
        <v>LM Hub_SP_Santos_Praia Grande</v>
      </c>
      <c r="C400" s="234" t="str">
        <f>IFERROR(__xludf.DUMMYFUNCTION("""COMPUTED_VALUE"""),"HUB-LSP-09")</f>
        <v>HUB-LSP-09</v>
      </c>
      <c r="D400" s="234">
        <f>IFERROR(__xludf.DUMMYFUNCTION("""COMPUTED_VALUE"""),19.0)</f>
        <v>19</v>
      </c>
      <c r="E400" s="237" t="str">
        <f>IFERROR(__xludf.DUMMYFUNCTION("""COMPUTED_VALUE"""),"LT0PBE01R8EN1")</f>
        <v>LT0PBE01R8EN1</v>
      </c>
      <c r="F400" s="238" t="str">
        <f>IFERROR(__xludf.DUMMYFUNCTION("""COMPUTED_VALUE"""),"FPT3I23,GHQ7E05")</f>
        <v>FPT3I23,GHQ7E05</v>
      </c>
      <c r="G400" s="238">
        <f>IFERROR(__xludf.DUMMYFUNCTION("""COMPUTED_VALUE"""),45975.89583333333)</f>
        <v>45975.89583</v>
      </c>
      <c r="H400" s="238">
        <f>IFERROR(__xludf.DUMMYFUNCTION("""COMPUTED_VALUE"""),45975.97916666667)</f>
        <v>45975.97917</v>
      </c>
      <c r="I400" s="237" t="str">
        <f t="shared" si="1"/>
        <v>Fora</v>
      </c>
      <c r="J400" s="239">
        <v>120.00000001396984</v>
      </c>
    </row>
    <row r="401">
      <c r="A401" s="234" t="s">
        <v>2097</v>
      </c>
      <c r="B401" s="234" t="str">
        <f>IFERROR(__xludf.DUMMYFUNCTION("""COMPUTED_VALUE"""),"LM Hub_SP_São Paulo_Lapa")</f>
        <v>LM Hub_SP_São Paulo_Lapa</v>
      </c>
      <c r="C401" s="234" t="str">
        <f>IFERROR(__xludf.DUMMYFUNCTION("""COMPUTED_VALUE"""),"HUB-LSP-15")</f>
        <v>HUB-LSP-15</v>
      </c>
      <c r="D401" s="234">
        <f>IFERROR(__xludf.DUMMYFUNCTION("""COMPUTED_VALUE"""),22.0)</f>
        <v>22</v>
      </c>
      <c r="E401" s="237" t="str">
        <f>IFERROR(__xludf.DUMMYFUNCTION("""COMPUTED_VALUE"""),"LT0PBE01R8BA1")</f>
        <v>LT0PBE01R8BA1</v>
      </c>
      <c r="F401" s="238" t="str">
        <f>IFERROR(__xludf.DUMMYFUNCTION("""COMPUTED_VALUE"""),"GBE0G47,FJP5G21")</f>
        <v>GBE0G47,FJP5G21</v>
      </c>
      <c r="G401" s="238">
        <f>IFERROR(__xludf.DUMMYFUNCTION("""COMPUTED_VALUE"""),45975.89583333333)</f>
        <v>45975.89583</v>
      </c>
      <c r="H401" s="238">
        <f>IFERROR(__xludf.DUMMYFUNCTION("""COMPUTED_VALUE"""),45975.97916666667)</f>
        <v>45975.97917</v>
      </c>
      <c r="I401" s="237" t="str">
        <f t="shared" si="1"/>
        <v>Fora</v>
      </c>
      <c r="J401" s="239">
        <v>120.00000001396984</v>
      </c>
    </row>
    <row r="402">
      <c r="A402" s="234" t="s">
        <v>2098</v>
      </c>
      <c r="B402" s="234" t="str">
        <f>IFERROR(__xludf.DUMMYFUNCTION("""COMPUTED_VALUE"""),"LM Hub_SP_Zimba")</f>
        <v>LM Hub_SP_Zimba</v>
      </c>
      <c r="C402" s="234" t="str">
        <f>IFERROR(__xludf.DUMMYFUNCTION("""COMPUTED_VALUE"""),"HUB-LSP-74")</f>
        <v>HUB-LSP-74</v>
      </c>
      <c r="D402" s="234">
        <f>IFERROR(__xludf.DUMMYFUNCTION("""COMPUTED_VALUE"""),23.0)</f>
        <v>23</v>
      </c>
      <c r="E402" s="237" t="str">
        <f>IFERROR(__xludf.DUMMYFUNCTION("""COMPUTED_VALUE"""),"LT0PBE01R8CN1")</f>
        <v>LT0PBE01R8CN1</v>
      </c>
      <c r="F402" s="238" t="str">
        <f>IFERROR(__xludf.DUMMYFUNCTION("""COMPUTED_VALUE"""),"SUQ5C99,TLD5B82")</f>
        <v>SUQ5C99,TLD5B82</v>
      </c>
      <c r="G402" s="238">
        <f>IFERROR(__xludf.DUMMYFUNCTION("""COMPUTED_VALUE"""),45975.89583333333)</f>
        <v>45975.89583</v>
      </c>
      <c r="H402" s="238">
        <f>IFERROR(__xludf.DUMMYFUNCTION("""COMPUTED_VALUE"""),45975.97916666667)</f>
        <v>45975.97917</v>
      </c>
      <c r="I402" s="237" t="str">
        <f t="shared" si="1"/>
        <v>Fora</v>
      </c>
      <c r="J402" s="239">
        <v>60.00000000698492</v>
      </c>
    </row>
    <row r="403">
      <c r="A403" s="234" t="s">
        <v>2099</v>
      </c>
      <c r="B403" s="234" t="str">
        <f>IFERROR(__xludf.DUMMYFUNCTION("""COMPUTED_VALUE"""),"LM Hub_SP_São José dos Campos")</f>
        <v>LM Hub_SP_São José dos Campos</v>
      </c>
      <c r="C403" s="234" t="str">
        <f>IFERROR(__xludf.DUMMYFUNCTION("""COMPUTED_VALUE"""),"HUB-LSP-04")</f>
        <v>HUB-LSP-04</v>
      </c>
      <c r="D403" s="234">
        <f>IFERROR(__xludf.DUMMYFUNCTION("""COMPUTED_VALUE"""),28.0)</f>
        <v>28</v>
      </c>
      <c r="E403" s="237" t="str">
        <f>IFERROR(__xludf.DUMMYFUNCTION("""COMPUTED_VALUE"""),"LT0PBE01RIY11")</f>
        <v>LT0PBE01RIY11</v>
      </c>
      <c r="F403" s="238" t="str">
        <f>IFERROR(__xludf.DUMMYFUNCTION("""COMPUTED_VALUE"""),"TIR7J78")</f>
        <v>TIR7J78</v>
      </c>
      <c r="G403" s="238">
        <f>IFERROR(__xludf.DUMMYFUNCTION("""COMPUTED_VALUE"""),45975.9375)</f>
        <v>45975.9375</v>
      </c>
      <c r="H403" s="238">
        <f>IFERROR(__xludf.DUMMYFUNCTION("""COMPUTED_VALUE"""),45975.97916666667)</f>
        <v>45975.97917</v>
      </c>
      <c r="I403" s="237" t="str">
        <f t="shared" si="1"/>
        <v>Fora</v>
      </c>
      <c r="J403" s="239">
        <v>58.00000000046566</v>
      </c>
    </row>
    <row r="404">
      <c r="A404" s="234" t="s">
        <v>2100</v>
      </c>
      <c r="B404" s="234" t="str">
        <f>IFERROR(__xludf.DUMMYFUNCTION("""COMPUTED_VALUE"""),"LM Hub_SP_Guarujá")</f>
        <v>LM Hub_SP_Guarujá</v>
      </c>
      <c r="C404" s="234" t="str">
        <f>IFERROR(__xludf.DUMMYFUNCTION("""COMPUTED_VALUE"""),"HUB-LSP-06")</f>
        <v>HUB-LSP-06</v>
      </c>
      <c r="D404" s="234">
        <f>IFERROR(__xludf.DUMMYFUNCTION("""COMPUTED_VALUE"""),20.0)</f>
        <v>20</v>
      </c>
      <c r="E404" s="237" t="str">
        <f>IFERROR(__xludf.DUMMYFUNCTION("""COMPUTED_VALUE"""),"LT0PBE01R8DN1")</f>
        <v>LT0PBE01R8DN1</v>
      </c>
      <c r="F404" s="238" t="str">
        <f>IFERROR(__xludf.DUMMYFUNCTION("""COMPUTED_VALUE"""),"EXC1752")</f>
        <v>EXC1752</v>
      </c>
      <c r="G404" s="238">
        <f>IFERROR(__xludf.DUMMYFUNCTION("""COMPUTED_VALUE"""),45975.959027777775)</f>
        <v>45975.95903</v>
      </c>
      <c r="H404" s="238">
        <f>IFERROR(__xludf.DUMMYFUNCTION("""COMPUTED_VALUE"""),45975.99930555555)</f>
        <v>45975.99931</v>
      </c>
      <c r="I404" s="237" t="str">
        <f t="shared" si="1"/>
        <v>Fora</v>
      </c>
      <c r="J404" s="239">
        <v>119.99999999301508</v>
      </c>
    </row>
    <row r="405">
      <c r="A405" s="234" t="s">
        <v>2101</v>
      </c>
      <c r="B405" s="234" t="str">
        <f>IFERROR(__xludf.DUMMYFUNCTION("""COMPUTED_VALUE"""),"LM Hub_SP_Itapevi")</f>
        <v>LM Hub_SP_Itapevi</v>
      </c>
      <c r="C405" s="234" t="str">
        <f>IFERROR(__xludf.DUMMYFUNCTION("""COMPUTED_VALUE"""),"HUB-LSP-41")</f>
        <v>HUB-LSP-41</v>
      </c>
      <c r="D405" s="234">
        <f>IFERROR(__xludf.DUMMYFUNCTION("""COMPUTED_VALUE"""),5.0)</f>
        <v>5</v>
      </c>
      <c r="E405" s="237" t="str">
        <f>IFERROR(__xludf.DUMMYFUNCTION("""COMPUTED_VALUE"""),"LT0PBE01R8C31")</f>
        <v>LT0PBE01R8C31</v>
      </c>
      <c r="F405" s="238" t="str">
        <f>IFERROR(__xludf.DUMMYFUNCTION("""COMPUTED_VALUE"""),"FRM9I93,UGN6B16")</f>
        <v>FRM9I93,UGN6B16</v>
      </c>
      <c r="G405" s="238">
        <f>IFERROR(__xludf.DUMMYFUNCTION("""COMPUTED_VALUE"""),45975.91666666667)</f>
        <v>45975.91667</v>
      </c>
      <c r="H405" s="238">
        <f>IFERROR(__xludf.DUMMYFUNCTION("""COMPUTED_VALUE"""),45976.0)</f>
        <v>45976</v>
      </c>
      <c r="I405" s="237" t="str">
        <f t="shared" si="1"/>
        <v>Fora</v>
      </c>
      <c r="J405" s="239">
        <v>119.99999999301508</v>
      </c>
    </row>
    <row r="406">
      <c r="A406" s="234" t="s">
        <v>2102</v>
      </c>
      <c r="B406" s="234" t="str">
        <f>IFERROR(__xludf.DUMMYFUNCTION("""COMPUTED_VALUE"""),"LM Hub_SP_Mauá")</f>
        <v>LM Hub_SP_Mauá</v>
      </c>
      <c r="C406" s="234" t="str">
        <f>IFERROR(__xludf.DUMMYFUNCTION("""COMPUTED_VALUE"""),"HUB-LSP-64")</f>
        <v>HUB-LSP-64</v>
      </c>
      <c r="D406" s="234">
        <f>IFERROR(__xludf.DUMMYFUNCTION("""COMPUTED_VALUE"""),17.0)</f>
        <v>17</v>
      </c>
      <c r="E406" s="237" t="str">
        <f>IFERROR(__xludf.DUMMYFUNCTION("""COMPUTED_VALUE"""),"LT0PBE01R8CG1")</f>
        <v>LT0PBE01R8CG1</v>
      </c>
      <c r="F406" s="238" t="str">
        <f>IFERROR(__xludf.DUMMYFUNCTION("""COMPUTED_VALUE"""),"FQF6B98,DTA7802")</f>
        <v>FQF6B98,DTA7802</v>
      </c>
      <c r="G406" s="238">
        <f>IFERROR(__xludf.DUMMYFUNCTION("""COMPUTED_VALUE"""),45975.91666666667)</f>
        <v>45975.91667</v>
      </c>
      <c r="H406" s="238">
        <f>IFERROR(__xludf.DUMMYFUNCTION("""COMPUTED_VALUE"""),45976.0)</f>
        <v>45976</v>
      </c>
      <c r="I406" s="237" t="str">
        <f t="shared" si="1"/>
        <v>Fora</v>
      </c>
      <c r="J406" s="239">
        <v>119.99999999301508</v>
      </c>
    </row>
    <row r="407">
      <c r="A407" s="234" t="s">
        <v>2103</v>
      </c>
      <c r="B407" s="234" t="str">
        <f>IFERROR(__xludf.DUMMYFUNCTION("""COMPUTED_VALUE"""),"LM Hub_SP_Santo André")</f>
        <v>LM Hub_SP_Santo André</v>
      </c>
      <c r="C407" s="234" t="str">
        <f>IFERROR(__xludf.DUMMYFUNCTION("""COMPUTED_VALUE"""),"HUB-LSP-93")</f>
        <v>HUB-LSP-93</v>
      </c>
      <c r="D407" s="234">
        <f>IFERROR(__xludf.DUMMYFUNCTION("""COMPUTED_VALUE"""),27.0)</f>
        <v>27</v>
      </c>
      <c r="E407" s="237" t="str">
        <f>IFERROR(__xludf.DUMMYFUNCTION("""COMPUTED_VALUE"""),"LT0PBE01RBQ91")</f>
        <v>LT0PBE01RBQ91</v>
      </c>
      <c r="F407" s="238" t="str">
        <f>IFERROR(__xludf.DUMMYFUNCTION("""COMPUTED_VALUE"""),"CLU2E90,EJY4604")</f>
        <v>CLU2E90,EJY4604</v>
      </c>
      <c r="G407" s="238">
        <f>IFERROR(__xludf.DUMMYFUNCTION("""COMPUTED_VALUE"""),45975.91666666667)</f>
        <v>45975.91667</v>
      </c>
      <c r="H407" s="238">
        <f>IFERROR(__xludf.DUMMYFUNCTION("""COMPUTED_VALUE"""),45976.0)</f>
        <v>45976</v>
      </c>
      <c r="I407" s="237" t="str">
        <f t="shared" si="1"/>
        <v>Fora</v>
      </c>
      <c r="J407" s="239">
        <v>119.00000000023283</v>
      </c>
    </row>
    <row r="408">
      <c r="A408" s="234" t="s">
        <v>2104</v>
      </c>
      <c r="B408" s="234" t="str">
        <f>IFERROR(__xludf.DUMMYFUNCTION("""COMPUTED_VALUE"""),"LM Hub_SP_Artur Alvim")</f>
        <v>LM Hub_SP_Artur Alvim</v>
      </c>
      <c r="C408" s="234" t="str">
        <f>IFERROR(__xludf.DUMMYFUNCTION("""COMPUTED_VALUE"""),"HUB-LSP-07")</f>
        <v>HUB-LSP-07</v>
      </c>
      <c r="D408" s="234">
        <f>IFERROR(__xludf.DUMMYFUNCTION("""COMPUTED_VALUE"""),22.0)</f>
        <v>22</v>
      </c>
      <c r="E408" s="237" t="str">
        <f>IFERROR(__xludf.DUMMYFUNCTION("""COMPUTED_VALUE"""),"LT0PBE01R8B01")</f>
        <v>LT0PBE01R8B01</v>
      </c>
      <c r="F408" s="238" t="str">
        <f>IFERROR(__xludf.DUMMYFUNCTION("""COMPUTED_VALUE"""),"EJV5B85,NKW2H59")</f>
        <v>EJV5B85,NKW2H59</v>
      </c>
      <c r="G408" s="238">
        <f>IFERROR(__xludf.DUMMYFUNCTION("""COMPUTED_VALUE"""),45975.91736111111)</f>
        <v>45975.91736</v>
      </c>
      <c r="H408" s="238">
        <f>IFERROR(__xludf.DUMMYFUNCTION("""COMPUTED_VALUE"""),45976.0)</f>
        <v>45976</v>
      </c>
      <c r="I408" s="237" t="str">
        <f t="shared" si="1"/>
        <v>Fora</v>
      </c>
      <c r="J408" s="239">
        <v>119.00000000023283</v>
      </c>
    </row>
    <row r="409">
      <c r="A409" s="234" t="s">
        <v>2105</v>
      </c>
      <c r="B409" s="234" t="str">
        <f>IFERROR(__xludf.DUMMYFUNCTION("""COMPUTED_VALUE"""),"LM Hub_SP_Guarulhos")</f>
        <v>LM Hub_SP_Guarulhos</v>
      </c>
      <c r="C409" s="234" t="str">
        <f>IFERROR(__xludf.DUMMYFUNCTION("""COMPUTED_VALUE"""),"HUB-LSP-77")</f>
        <v>HUB-LSP-77</v>
      </c>
      <c r="D409" s="234">
        <f>IFERROR(__xludf.DUMMYFUNCTION("""COMPUTED_VALUE"""),14.0)</f>
        <v>14</v>
      </c>
      <c r="E409" s="237" t="str">
        <f>IFERROR(__xludf.DUMMYFUNCTION("""COMPUTED_VALUE"""),"LT0PBE01R9741")</f>
        <v>LT0PBE01R9741</v>
      </c>
      <c r="F409" s="238" t="str">
        <f>IFERROR(__xludf.DUMMYFUNCTION("""COMPUTED_VALUE"""),"ESU9B10,JOK0B33")</f>
        <v>ESU9B10,JOK0B33</v>
      </c>
      <c r="G409" s="238">
        <f>IFERROR(__xludf.DUMMYFUNCTION("""COMPUTED_VALUE"""),45975.91736111111)</f>
        <v>45975.91736</v>
      </c>
      <c r="H409" s="238">
        <f>IFERROR(__xludf.DUMMYFUNCTION("""COMPUTED_VALUE"""),45976.0)</f>
        <v>45976</v>
      </c>
      <c r="I409" s="237" t="str">
        <f t="shared" si="1"/>
        <v>Fora</v>
      </c>
      <c r="J409" s="239">
        <v>60.00000000698492</v>
      </c>
    </row>
    <row r="410">
      <c r="A410" s="234" t="s">
        <v>2106</v>
      </c>
      <c r="B410" s="234" t="str">
        <f>IFERROR(__xludf.DUMMYFUNCTION("""COMPUTED_VALUE"""),"LM Hub_SP_Barueri_01")</f>
        <v>LM Hub_SP_Barueri_01</v>
      </c>
      <c r="C410" s="234" t="str">
        <f>IFERROR(__xludf.DUMMYFUNCTION("""COMPUTED_VALUE"""),"HUB-LSP-81")</f>
        <v>HUB-LSP-81</v>
      </c>
      <c r="D410" s="234">
        <f>IFERROR(__xludf.DUMMYFUNCTION("""COMPUTED_VALUE"""),13.0)</f>
        <v>13</v>
      </c>
      <c r="E410" s="237" t="str">
        <f>IFERROR(__xludf.DUMMYFUNCTION("""COMPUTED_VALUE"""),"LT0PBE01RF9V1")</f>
        <v>LT0PBE01RF9V1</v>
      </c>
      <c r="F410" s="238" t="str">
        <f>IFERROR(__xludf.DUMMYFUNCTION("""COMPUTED_VALUE"""),"GEV2J37")</f>
        <v>GEV2J37</v>
      </c>
      <c r="G410" s="238">
        <f>IFERROR(__xludf.DUMMYFUNCTION("""COMPUTED_VALUE"""),45975.95833333333)</f>
        <v>45975.95833</v>
      </c>
      <c r="H410" s="238">
        <f>IFERROR(__xludf.DUMMYFUNCTION("""COMPUTED_VALUE"""),45976.0)</f>
        <v>45976</v>
      </c>
      <c r="I410" s="237" t="str">
        <f t="shared" si="1"/>
        <v>Fora</v>
      </c>
      <c r="J410" s="239">
        <v>59.00000000372529</v>
      </c>
    </row>
    <row r="411">
      <c r="A411" s="234" t="s">
        <v>2107</v>
      </c>
      <c r="B411" s="234" t="str">
        <f>IFERROR(__xludf.DUMMYFUNCTION("""COMPUTED_VALUE"""),"LM Hub_SP_Jardim Adriana")</f>
        <v>LM Hub_SP_Jardim Adriana</v>
      </c>
      <c r="C411" s="234" t="str">
        <f>IFERROR(__xludf.DUMMYFUNCTION("""COMPUTED_VALUE"""),"HUB-LSP-12")</f>
        <v>HUB-LSP-12</v>
      </c>
      <c r="D411" s="234">
        <f>IFERROR(__xludf.DUMMYFUNCTION("""COMPUTED_VALUE"""),6.0)</f>
        <v>6</v>
      </c>
      <c r="E411" s="237" t="str">
        <f>IFERROR(__xludf.DUMMYFUNCTION("""COMPUTED_VALUE"""),"LT0PBE01RIWY1")</f>
        <v>LT0PBE01RIWY1</v>
      </c>
      <c r="F411" s="238" t="str">
        <f>IFERROR(__xludf.DUMMYFUNCTION("""COMPUTED_VALUE"""),"NZI9C32")</f>
        <v>NZI9C32</v>
      </c>
      <c r="G411" s="238">
        <f>IFERROR(__xludf.DUMMYFUNCTION("""COMPUTED_VALUE"""),45975.959027777775)</f>
        <v>45975.95903</v>
      </c>
      <c r="H411" s="238">
        <f>IFERROR(__xludf.DUMMYFUNCTION("""COMPUTED_VALUE"""),45976.0)</f>
        <v>45976</v>
      </c>
      <c r="I411" s="237" t="str">
        <f t="shared" si="1"/>
        <v>Fora</v>
      </c>
      <c r="J411" s="239">
        <v>119.99999999301508</v>
      </c>
    </row>
    <row r="412">
      <c r="A412" s="234" t="s">
        <v>2108</v>
      </c>
      <c r="B412" s="234" t="str">
        <f>IFERROR(__xludf.DUMMYFUNCTION("""COMPUTED_VALUE"""),"LM Hub_SP_Parque Novo Mundo")</f>
        <v>LM Hub_SP_Parque Novo Mundo</v>
      </c>
      <c r="C412" s="234" t="str">
        <f>IFERROR(__xludf.DUMMYFUNCTION("""COMPUTED_VALUE"""),"HUB-LSP-89")</f>
        <v>HUB-LSP-89</v>
      </c>
      <c r="D412" s="234">
        <f>IFERROR(__xludf.DUMMYFUNCTION("""COMPUTED_VALUE"""),7.0)</f>
        <v>7</v>
      </c>
      <c r="E412" s="237" t="str">
        <f>IFERROR(__xludf.DUMMYFUNCTION("""COMPUTED_VALUE"""),"LT0PBE01R9GH1")</f>
        <v>LT0PBE01R9GH1</v>
      </c>
      <c r="F412" s="238" t="str">
        <f>IFERROR(__xludf.DUMMYFUNCTION("""COMPUTED_VALUE"""),"GIQ1C13,AKZ0B43")</f>
        <v>GIQ1C13,AKZ0B43</v>
      </c>
      <c r="G412" s="238">
        <f>IFERROR(__xludf.DUMMYFUNCTION("""COMPUTED_VALUE"""),45975.9375)</f>
        <v>45975.9375</v>
      </c>
      <c r="H412" s="238">
        <f>IFERROR(__xludf.DUMMYFUNCTION("""COMPUTED_VALUE"""),45976.02083333333)</f>
        <v>45976.02083</v>
      </c>
      <c r="I412" s="237" t="str">
        <f t="shared" si="1"/>
        <v>Fora</v>
      </c>
      <c r="J412" s="239">
        <v>119.99999999301508</v>
      </c>
    </row>
    <row r="413">
      <c r="A413" s="234" t="s">
        <v>2109</v>
      </c>
      <c r="B413" s="234" t="str">
        <f>IFERROR(__xludf.DUMMYFUNCTION("""COMPUTED_VALUE"""),"LM Hub_SP_Piracicaba")</f>
        <v>LM Hub_SP_Piracicaba</v>
      </c>
      <c r="C413" s="234" t="str">
        <f>IFERROR(__xludf.DUMMYFUNCTION("""COMPUTED_VALUE"""),"HUB-LSP-62")</f>
        <v>HUB-LSP-62</v>
      </c>
      <c r="D413" s="234">
        <f>IFERROR(__xludf.DUMMYFUNCTION("""COMPUTED_VALUE"""),8.0)</f>
        <v>8</v>
      </c>
      <c r="E413" s="237" t="str">
        <f>IFERROR(__xludf.DUMMYFUNCTION("""COMPUTED_VALUE"""),"LT0PBE01R97A1")</f>
        <v>LT0PBE01R97A1</v>
      </c>
      <c r="F413" s="238" t="str">
        <f>IFERROR(__xludf.DUMMYFUNCTION("""COMPUTED_VALUE"""),"EOF4D32,MTM1015")</f>
        <v>EOF4D32,MTM1015</v>
      </c>
      <c r="G413" s="238">
        <f>IFERROR(__xludf.DUMMYFUNCTION("""COMPUTED_VALUE"""),45975.9375)</f>
        <v>45975.9375</v>
      </c>
      <c r="H413" s="238">
        <f>IFERROR(__xludf.DUMMYFUNCTION("""COMPUTED_VALUE"""),45976.02083333333)</f>
        <v>45976.02083</v>
      </c>
      <c r="I413" s="237" t="str">
        <f t="shared" si="1"/>
        <v>Fora</v>
      </c>
      <c r="J413" s="239">
        <v>118.99999998975545</v>
      </c>
    </row>
    <row r="414">
      <c r="A414" s="234" t="s">
        <v>2110</v>
      </c>
      <c r="B414" s="234" t="str">
        <f>IFERROR(__xludf.DUMMYFUNCTION("""COMPUTED_VALUE"""),"LM Hub_SP_VilaGuilherme")</f>
        <v>LM Hub_SP_VilaGuilherme</v>
      </c>
      <c r="C414" s="234" t="str">
        <f>IFERROR(__xludf.DUMMYFUNCTION("""COMPUTED_VALUE"""),"HUB-LSP-68")</f>
        <v>HUB-LSP-68</v>
      </c>
      <c r="D414" s="234">
        <f>IFERROR(__xludf.DUMMYFUNCTION("""COMPUTED_VALUE"""),18.0)</f>
        <v>18</v>
      </c>
      <c r="E414" s="237" t="str">
        <f>IFERROR(__xludf.DUMMYFUNCTION("""COMPUTED_VALUE"""),"LT0PBE01RIXL1")</f>
        <v>LT0PBE01RIXL1</v>
      </c>
      <c r="F414" s="238" t="str">
        <f>IFERROR(__xludf.DUMMYFUNCTION("""COMPUTED_VALUE"""),"HFD4H27,JXG9745")</f>
        <v>HFD4H27,JXG9745</v>
      </c>
      <c r="G414" s="238">
        <f>IFERROR(__xludf.DUMMYFUNCTION("""COMPUTED_VALUE"""),45975.93819444445)</f>
        <v>45975.93819</v>
      </c>
      <c r="H414" s="238">
        <f>IFERROR(__xludf.DUMMYFUNCTION("""COMPUTED_VALUE"""),45976.02083333333)</f>
        <v>45976.02083</v>
      </c>
      <c r="I414" s="237" t="str">
        <f t="shared" si="1"/>
        <v>Fora</v>
      </c>
      <c r="J414" s="239">
        <v>59.99999998603016</v>
      </c>
    </row>
    <row r="415">
      <c r="A415" s="234" t="s">
        <v>2111</v>
      </c>
      <c r="B415" s="234" t="str">
        <f>IFERROR(__xludf.DUMMYFUNCTION("""COMPUTED_VALUE"""),"LM Hub_MG_Juiz de Fora_Dist Ind")</f>
        <v>LM Hub_MG_Juiz de Fora_Dist Ind</v>
      </c>
      <c r="C415" s="234" t="str">
        <f>IFERROR(__xludf.DUMMYFUNCTION("""COMPUTED_VALUE"""),"HUB-LMG-59")</f>
        <v>HUB-LMG-59</v>
      </c>
      <c r="D415" s="234">
        <f>IFERROR(__xludf.DUMMYFUNCTION("""COMPUTED_VALUE"""),16.0)</f>
        <v>16</v>
      </c>
      <c r="E415" s="237" t="str">
        <f>IFERROR(__xludf.DUMMYFUNCTION("""COMPUTED_VALUE"""),"LT0PBE01RGMN1")</f>
        <v>LT0PBE01RGMN1</v>
      </c>
      <c r="F415" s="238" t="str">
        <f>IFERROR(__xludf.DUMMYFUNCTION("""COMPUTED_VALUE"""),"BBF6F68")</f>
        <v>BBF6F68</v>
      </c>
      <c r="G415" s="238">
        <f>IFERROR(__xludf.DUMMYFUNCTION("""COMPUTED_VALUE"""),45975.97916666667)</f>
        <v>45975.97917</v>
      </c>
      <c r="H415" s="238">
        <f>IFERROR(__xludf.DUMMYFUNCTION("""COMPUTED_VALUE"""),45976.02083333333)</f>
        <v>45976.02083</v>
      </c>
      <c r="I415" s="237" t="str">
        <f t="shared" si="1"/>
        <v>Fora</v>
      </c>
      <c r="J415" s="239">
        <v>58.99999999324791</v>
      </c>
    </row>
    <row r="416">
      <c r="A416" s="234" t="s">
        <v>2112</v>
      </c>
      <c r="B416" s="234" t="str">
        <f>IFERROR(__xludf.DUMMYFUNCTION("""COMPUTED_VALUE"""),"LM Hub_SP_São Paulo_Carandiru")</f>
        <v>LM Hub_SP_São Paulo_Carandiru</v>
      </c>
      <c r="C416" s="234" t="str">
        <f>IFERROR(__xludf.DUMMYFUNCTION("""COMPUTED_VALUE"""),"HUB-LSP-18")</f>
        <v>HUB-LSP-18</v>
      </c>
      <c r="D416" s="234">
        <f>IFERROR(__xludf.DUMMYFUNCTION("""COMPUTED_VALUE"""),26.0)</f>
        <v>26</v>
      </c>
      <c r="E416" s="237" t="str">
        <f>IFERROR(__xludf.DUMMYFUNCTION("""COMPUTED_VALUE"""),"LT0PBE01R8BL1")</f>
        <v>LT0PBE01R8BL1</v>
      </c>
      <c r="F416" s="238" t="str">
        <f>IFERROR(__xludf.DUMMYFUNCTION("""COMPUTED_VALUE"""),"NVO0561")</f>
        <v>NVO0561</v>
      </c>
      <c r="G416" s="238">
        <f>IFERROR(__xludf.DUMMYFUNCTION("""COMPUTED_VALUE"""),45975.97986111111)</f>
        <v>45975.97986</v>
      </c>
      <c r="H416" s="238">
        <f>IFERROR(__xludf.DUMMYFUNCTION("""COMPUTED_VALUE"""),45976.02083333333)</f>
        <v>45976.02083</v>
      </c>
      <c r="I416" s="237" t="str">
        <f t="shared" si="1"/>
        <v>Fora</v>
      </c>
      <c r="J416" s="239">
        <v>180.0</v>
      </c>
    </row>
    <row r="417">
      <c r="A417" s="234" t="s">
        <v>2113</v>
      </c>
      <c r="B417" s="234" t="str">
        <f>IFERROR(__xludf.DUMMYFUNCTION("""COMPUTED_VALUE"""),"SoC_BA_Simoes Filho")</f>
        <v>SoC_BA_Simoes Filho</v>
      </c>
      <c r="C417" s="234" t="str">
        <f>IFERROR(__xludf.DUMMYFUNCTION("""COMPUTED_VALUE"""),"SOC-BA2")</f>
        <v>SOC-BA2</v>
      </c>
      <c r="D417" s="234">
        <f>IFERROR(__xludf.DUMMYFUNCTION("""COMPUTED_VALUE"""),45.0)</f>
        <v>45</v>
      </c>
      <c r="E417" s="237" t="str">
        <f>IFERROR(__xludf.DUMMYFUNCTION("""COMPUTED_VALUE"""),"LT1PBE01S5271")</f>
        <v>LT1PBE01S5271</v>
      </c>
      <c r="F417" s="238" t="str">
        <f>IFERROR(__xludf.DUMMYFUNCTION("""COMPUTED_VALUE"""),"AZF9J44,AZF7H74,AZF7H44")</f>
        <v>AZF9J44,AZF7H74,AZF7H44</v>
      </c>
      <c r="G417" s="238">
        <f>IFERROR(__xludf.DUMMYFUNCTION("""COMPUTED_VALUE"""),45975.91666666667)</f>
        <v>45975.91667</v>
      </c>
      <c r="H417" s="238">
        <f>IFERROR(__xludf.DUMMYFUNCTION("""COMPUTED_VALUE"""),45976.04166666667)</f>
        <v>45976.04167</v>
      </c>
      <c r="I417" s="237" t="str">
        <f t="shared" si="1"/>
        <v>Fora</v>
      </c>
      <c r="J417" s="239">
        <v>180.0</v>
      </c>
    </row>
    <row r="418">
      <c r="A418" s="234" t="s">
        <v>2113</v>
      </c>
      <c r="B418" s="234" t="str">
        <f>IFERROR(__xludf.DUMMYFUNCTION("""COMPUTED_VALUE"""),"SoC_BA_Simoes Filho")</f>
        <v>SoC_BA_Simoes Filho</v>
      </c>
      <c r="C418" s="234" t="str">
        <f>IFERROR(__xludf.DUMMYFUNCTION("""COMPUTED_VALUE"""),"SOC-BA2")</f>
        <v>SOC-BA2</v>
      </c>
      <c r="D418" s="234">
        <f>IFERROR(__xludf.DUMMYFUNCTION("""COMPUTED_VALUE"""),44.0)</f>
        <v>44</v>
      </c>
      <c r="E418" s="237" t="str">
        <f>IFERROR(__xludf.DUMMYFUNCTION("""COMPUTED_VALUE"""),"LT1PBE01S5271")</f>
        <v>LT1PBE01S5271</v>
      </c>
      <c r="F418" s="238" t="str">
        <f>IFERROR(__xludf.DUMMYFUNCTION("""COMPUTED_VALUE"""),"AZF9J44,AZF7H74,AZF7H44")</f>
        <v>AZF9J44,AZF7H74,AZF7H44</v>
      </c>
      <c r="G418" s="238">
        <f>IFERROR(__xludf.DUMMYFUNCTION("""COMPUTED_VALUE"""),45975.91666666667)</f>
        <v>45975.91667</v>
      </c>
      <c r="H418" s="238">
        <f>IFERROR(__xludf.DUMMYFUNCTION("""COMPUTED_VALUE"""),45976.04166666667)</f>
        <v>45976.04167</v>
      </c>
      <c r="I418" s="237" t="str">
        <f t="shared" si="1"/>
        <v>Fora</v>
      </c>
      <c r="J418" s="239">
        <v>120.00000001396984</v>
      </c>
    </row>
    <row r="419">
      <c r="A419" s="234" t="s">
        <v>2114</v>
      </c>
      <c r="B419" s="234" t="str">
        <f>IFERROR(__xludf.DUMMYFUNCTION("""COMPUTED_VALUE"""),"SoC_PE_Jaboatão dos Guararapes")</f>
        <v>SoC_PE_Jaboatão dos Guararapes</v>
      </c>
      <c r="C419" s="234" t="str">
        <f>IFERROR(__xludf.DUMMYFUNCTION("""COMPUTED_VALUE"""),"SOC-PE2")</f>
        <v>SOC-PE2</v>
      </c>
      <c r="D419" s="234">
        <f>IFERROR(__xludf.DUMMYFUNCTION("""COMPUTED_VALUE"""),36.0)</f>
        <v>36</v>
      </c>
      <c r="E419" s="237" t="str">
        <f>IFERROR(__xludf.DUMMYFUNCTION("""COMPUTED_VALUE"""),"LT1PBE01RS531")</f>
        <v>LT1PBE01RS531</v>
      </c>
      <c r="F419" s="238" t="str">
        <f>IFERROR(__xludf.DUMMYFUNCTION("""COMPUTED_VALUE"""),"FZC5G39,TDJ1H09")</f>
        <v>FZC5G39,TDJ1H09</v>
      </c>
      <c r="G419" s="238">
        <f>IFERROR(__xludf.DUMMYFUNCTION("""COMPUTED_VALUE"""),45975.95833333333)</f>
        <v>45975.95833</v>
      </c>
      <c r="H419" s="238">
        <f>IFERROR(__xludf.DUMMYFUNCTION("""COMPUTED_VALUE"""),45976.04166666667)</f>
        <v>45976.04167</v>
      </c>
      <c r="I419" s="237" t="str">
        <f t="shared" si="1"/>
        <v>Fora</v>
      </c>
      <c r="J419" s="239">
        <v>119.00000001071021</v>
      </c>
    </row>
    <row r="420">
      <c r="A420" s="234" t="s">
        <v>2115</v>
      </c>
      <c r="B420" s="234" t="str">
        <f>IFERROR(__xludf.DUMMYFUNCTION("""COMPUTED_VALUE"""),"LM Hub_SP_Limeira_Campo Belo")</f>
        <v>LM Hub_SP_Limeira_Campo Belo</v>
      </c>
      <c r="C420" s="234" t="str">
        <f>IFERROR(__xludf.DUMMYFUNCTION("""COMPUTED_VALUE"""),"HUB-LSP-24")</f>
        <v>HUB-LSP-24</v>
      </c>
      <c r="D420" s="234">
        <f>IFERROR(__xludf.DUMMYFUNCTION("""COMPUTED_VALUE"""),12.0)</f>
        <v>12</v>
      </c>
      <c r="E420" s="237" t="str">
        <f>IFERROR(__xludf.DUMMYFUNCTION("""COMPUTED_VALUE"""),"LT0PBE01R8F71")</f>
        <v>LT0PBE01R8F71</v>
      </c>
      <c r="F420" s="238" t="str">
        <f>IFERROR(__xludf.DUMMYFUNCTION("""COMPUTED_VALUE"""),"GES8A28,STT6A13")</f>
        <v>GES8A28,STT6A13</v>
      </c>
      <c r="G420" s="238">
        <f>IFERROR(__xludf.DUMMYFUNCTION("""COMPUTED_VALUE"""),45975.959027777775)</f>
        <v>45975.95903</v>
      </c>
      <c r="H420" s="238">
        <f>IFERROR(__xludf.DUMMYFUNCTION("""COMPUTED_VALUE"""),45976.04166666667)</f>
        <v>45976.04167</v>
      </c>
      <c r="I420" s="237" t="str">
        <f t="shared" si="1"/>
        <v>Fora</v>
      </c>
      <c r="J420" s="239">
        <v>119.00000001071021</v>
      </c>
    </row>
    <row r="421">
      <c r="A421" s="234" t="s">
        <v>2116</v>
      </c>
      <c r="B421" s="234" t="str">
        <f>IFERROR(__xludf.DUMMYFUNCTION("""COMPUTED_VALUE"""),"LM Hub_SP_Mogi Mirim")</f>
        <v>LM Hub_SP_Mogi Mirim</v>
      </c>
      <c r="C421" s="234" t="str">
        <f>IFERROR(__xludf.DUMMYFUNCTION("""COMPUTED_VALUE"""),"HUB-LSP-37")</f>
        <v>HUB-LSP-37</v>
      </c>
      <c r="D421" s="234">
        <f>IFERROR(__xludf.DUMMYFUNCTION("""COMPUTED_VALUE"""),8.0)</f>
        <v>8</v>
      </c>
      <c r="E421" s="237" t="str">
        <f>IFERROR(__xludf.DUMMYFUNCTION("""COMPUTED_VALUE"""),"LT0PBE01R8G81")</f>
        <v>LT0PBE01R8G81</v>
      </c>
      <c r="F421" s="238" t="str">
        <f>IFERROR(__xludf.DUMMYFUNCTION("""COMPUTED_VALUE"""),"UEY6G90,TAX1I61")</f>
        <v>UEY6G90,TAX1I61</v>
      </c>
      <c r="G421" s="238">
        <f>IFERROR(__xludf.DUMMYFUNCTION("""COMPUTED_VALUE"""),45975.959027777775)</f>
        <v>45975.95903</v>
      </c>
      <c r="H421" s="238">
        <f>IFERROR(__xludf.DUMMYFUNCTION("""COMPUTED_VALUE"""),45976.04166666667)</f>
        <v>45976.04167</v>
      </c>
      <c r="I421" s="237" t="str">
        <f t="shared" si="1"/>
        <v>Fora</v>
      </c>
      <c r="J421" s="239">
        <v>119.99999999301508</v>
      </c>
    </row>
    <row r="422">
      <c r="A422" s="234" t="s">
        <v>2117</v>
      </c>
      <c r="B422" s="234" t="str">
        <f>IFERROR(__xludf.DUMMYFUNCTION("""COMPUTED_VALUE"""),"LM Hub_SP_Atibaia_Ponte_Alta")</f>
        <v>LM Hub_SP_Atibaia_Ponte_Alta</v>
      </c>
      <c r="C422" s="234" t="str">
        <f>IFERROR(__xludf.DUMMYFUNCTION("""COMPUTED_VALUE"""),"HUB-LSP-87")</f>
        <v>HUB-LSP-87</v>
      </c>
      <c r="D422" s="234">
        <f>IFERROR(__xludf.DUMMYFUNCTION("""COMPUTED_VALUE"""),13.0)</f>
        <v>13</v>
      </c>
      <c r="E422" s="237" t="str">
        <f>IFERROR(__xludf.DUMMYFUNCTION("""COMPUTED_VALUE"""),"LT0PBE01RDCX1")</f>
        <v>LT0PBE01RDCX1</v>
      </c>
      <c r="F422" s="238" t="str">
        <f>IFERROR(__xludf.DUMMYFUNCTION("""COMPUTED_VALUE"""),"TBQ8J48,GBT5B76")</f>
        <v>TBQ8J48,GBT5B76</v>
      </c>
      <c r="G422" s="238">
        <f>IFERROR(__xludf.DUMMYFUNCTION("""COMPUTED_VALUE"""),45975.97916666667)</f>
        <v>45975.97917</v>
      </c>
      <c r="H422" s="238">
        <f>IFERROR(__xludf.DUMMYFUNCTION("""COMPUTED_VALUE"""),45976.0625)</f>
        <v>45976.0625</v>
      </c>
      <c r="I422" s="237" t="str">
        <f t="shared" si="1"/>
        <v>Fora</v>
      </c>
      <c r="J422" s="239">
        <v>119.00000000023283</v>
      </c>
    </row>
    <row r="423">
      <c r="A423" s="234" t="s">
        <v>2118</v>
      </c>
      <c r="B423" s="234" t="str">
        <f>IFERROR(__xludf.DUMMYFUNCTION("""COMPUTED_VALUE"""),"LM Hub_SP_Araraquara")</f>
        <v>LM Hub_SP_Araraquara</v>
      </c>
      <c r="C423" s="234" t="str">
        <f>IFERROR(__xludf.DUMMYFUNCTION("""COMPUTED_VALUE"""),"HUB-LSP-29")</f>
        <v>HUB-LSP-29</v>
      </c>
      <c r="D423" s="234">
        <f>IFERROR(__xludf.DUMMYFUNCTION("""COMPUTED_VALUE"""),14.0)</f>
        <v>14</v>
      </c>
      <c r="E423" s="237" t="str">
        <f>IFERROR(__xludf.DUMMYFUNCTION("""COMPUTED_VALUE"""),"LT0PBE01R8GF1")</f>
        <v>LT0PBE01R8GF1</v>
      </c>
      <c r="F423" s="238" t="str">
        <f>IFERROR(__xludf.DUMMYFUNCTION("""COMPUTED_VALUE"""),"EWJ2H21")</f>
        <v>EWJ2H21</v>
      </c>
      <c r="G423" s="238">
        <f>IFERROR(__xludf.DUMMYFUNCTION("""COMPUTED_VALUE"""),45975.97986111111)</f>
        <v>45975.97986</v>
      </c>
      <c r="H423" s="238">
        <f>IFERROR(__xludf.DUMMYFUNCTION("""COMPUTED_VALUE"""),45976.0625)</f>
        <v>45976.0625</v>
      </c>
      <c r="I423" s="237" t="str">
        <f t="shared" si="1"/>
        <v>Fora</v>
      </c>
      <c r="J423" s="239">
        <v>119.00000000023283</v>
      </c>
    </row>
    <row r="424">
      <c r="A424" s="234" t="s">
        <v>2119</v>
      </c>
      <c r="B424" s="234" t="str">
        <f>IFERROR(__xludf.DUMMYFUNCTION("""COMPUTED_VALUE"""),"LM Hub_SP_Várzea Paulista")</f>
        <v>LM Hub_SP_Várzea Paulista</v>
      </c>
      <c r="C424" s="234" t="str">
        <f>IFERROR(__xludf.DUMMYFUNCTION("""COMPUTED_VALUE"""),"HUB-LSP-61")</f>
        <v>HUB-LSP-61</v>
      </c>
      <c r="D424" s="234">
        <f>IFERROR(__xludf.DUMMYFUNCTION("""COMPUTED_VALUE"""),24.0)</f>
        <v>24</v>
      </c>
      <c r="E424" s="237" t="str">
        <f>IFERROR(__xludf.DUMMYFUNCTION("""COMPUTED_VALUE"""),"LT0PBE01R8FI1")</f>
        <v>LT0PBE01R8FI1</v>
      </c>
      <c r="F424" s="238" t="str">
        <f>IFERROR(__xludf.DUMMYFUNCTION("""COMPUTED_VALUE"""),"CUC6J82,CUB1E64")</f>
        <v>CUC6J82,CUB1E64</v>
      </c>
      <c r="G424" s="238">
        <f>IFERROR(__xludf.DUMMYFUNCTION("""COMPUTED_VALUE"""),45975.97986111111)</f>
        <v>45975.97986</v>
      </c>
      <c r="H424" s="238">
        <f>IFERROR(__xludf.DUMMYFUNCTION("""COMPUTED_VALUE"""),45976.0625)</f>
        <v>45976.0625</v>
      </c>
      <c r="I424" s="237" t="str">
        <f t="shared" si="1"/>
        <v>Fora</v>
      </c>
      <c r="J424" s="239">
        <v>118.00000000745058</v>
      </c>
    </row>
    <row r="425">
      <c r="A425" s="234" t="s">
        <v>2120</v>
      </c>
      <c r="B425" s="234" t="str">
        <f>IFERROR(__xludf.DUMMYFUNCTION("""COMPUTED_VALUE"""),"LM Hub_SP_Jundiaí")</f>
        <v>LM Hub_SP_Jundiaí</v>
      </c>
      <c r="C425" s="234" t="str">
        <f>IFERROR(__xludf.DUMMYFUNCTION("""COMPUTED_VALUE"""),"HUB-LSP-20")</f>
        <v>HUB-LSP-20</v>
      </c>
      <c r="D425" s="234">
        <f>IFERROR(__xludf.DUMMYFUNCTION("""COMPUTED_VALUE"""),7.0)</f>
        <v>7</v>
      </c>
      <c r="E425" s="237" t="str">
        <f>IFERROR(__xludf.DUMMYFUNCTION("""COMPUTED_VALUE"""),"LT0PBE01R8GO1")</f>
        <v>LT0PBE01R8GO1</v>
      </c>
      <c r="F425" s="238" t="str">
        <f>IFERROR(__xludf.DUMMYFUNCTION("""COMPUTED_VALUE"""),"GCN4I02,DEN9209")</f>
        <v>GCN4I02,DEN9209</v>
      </c>
      <c r="G425" s="238">
        <f>IFERROR(__xludf.DUMMYFUNCTION("""COMPUTED_VALUE"""),45975.98055555555)</f>
        <v>45975.98056</v>
      </c>
      <c r="H425" s="238">
        <f>IFERROR(__xludf.DUMMYFUNCTION("""COMPUTED_VALUE"""),45976.0625)</f>
        <v>45976.0625</v>
      </c>
      <c r="I425" s="237" t="str">
        <f t="shared" si="1"/>
        <v>Fora</v>
      </c>
      <c r="J425" s="239">
        <v>119.99999999301508</v>
      </c>
    </row>
    <row r="426">
      <c r="A426" s="234" t="s">
        <v>2121</v>
      </c>
      <c r="B426" s="234" t="str">
        <f>IFERROR(__xludf.DUMMYFUNCTION("""COMPUTED_VALUE"""),"SoC_PR_Curitiba")</f>
        <v>SoC_PR_Curitiba</v>
      </c>
      <c r="C426" s="234" t="str">
        <f>IFERROR(__xludf.DUMMYFUNCTION("""COMPUTED_VALUE"""),"SOC-PR1")</f>
        <v>SOC-PR1</v>
      </c>
      <c r="D426" s="234">
        <f>IFERROR(__xludf.DUMMYFUNCTION("""COMPUTED_VALUE"""),32.0)</f>
        <v>32</v>
      </c>
      <c r="E426" s="237" t="str">
        <f>IFERROR(__xludf.DUMMYFUNCTION("""COMPUTED_VALUE"""),"LT0PBF01R8871")</f>
        <v>LT0PBF01R8871</v>
      </c>
      <c r="F426" s="238" t="str">
        <f>IFERROR(__xludf.DUMMYFUNCTION("""COMPUTED_VALUE"""),"FSN5E96,BEY5C09")</f>
        <v>FSN5E96,BEY5C09</v>
      </c>
      <c r="G426" s="238">
        <f>IFERROR(__xludf.DUMMYFUNCTION("""COMPUTED_VALUE"""),45976.0)</f>
        <v>45976</v>
      </c>
      <c r="H426" s="238">
        <f>IFERROR(__xludf.DUMMYFUNCTION("""COMPUTED_VALUE"""),45976.08333333333)</f>
        <v>45976.08333</v>
      </c>
      <c r="I426" s="237" t="str">
        <f t="shared" si="1"/>
        <v>Fora</v>
      </c>
      <c r="J426" s="239">
        <v>119.99999999301508</v>
      </c>
    </row>
    <row r="427">
      <c r="A427" s="234" t="s">
        <v>2122</v>
      </c>
      <c r="B427" s="234" t="str">
        <f>IFERROR(__xludf.DUMMYFUNCTION("""COMPUTED_VALUE"""),"SoC_RJ_Duque de Caxias")</f>
        <v>SoC_RJ_Duque de Caxias</v>
      </c>
      <c r="C427" s="234" t="str">
        <f>IFERROR(__xludf.DUMMYFUNCTION("""COMPUTED_VALUE"""),"SOC-RJ2")</f>
        <v>SOC-RJ2</v>
      </c>
      <c r="D427" s="234"/>
      <c r="E427" s="237" t="str">
        <f>IFERROR(__xludf.DUMMYFUNCTION("""COMPUTED_VALUE"""),"LT1PBF01S5K21")</f>
        <v>LT1PBF01S5K21</v>
      </c>
      <c r="F427" s="234"/>
      <c r="G427" s="238">
        <f>IFERROR(__xludf.DUMMYFUNCTION("""COMPUTED_VALUE"""),45976.0)</f>
        <v>45976</v>
      </c>
      <c r="H427" s="238">
        <f>IFERROR(__xludf.DUMMYFUNCTION("""COMPUTED_VALUE"""),45976.08333333333)</f>
        <v>45976.08333</v>
      </c>
      <c r="I427" s="237" t="str">
        <f t="shared" si="1"/>
        <v>Fora</v>
      </c>
      <c r="J427" s="239">
        <v>119.99999999301508</v>
      </c>
    </row>
    <row r="428">
      <c r="A428" s="234" t="s">
        <v>2123</v>
      </c>
      <c r="B428" s="234" t="str">
        <f>IFERROR(__xludf.DUMMYFUNCTION("""COMPUTED_VALUE"""),"SoC_RS_Gravataí_02")</f>
        <v>SoC_RS_Gravataí_02</v>
      </c>
      <c r="C428" s="234" t="str">
        <f>IFERROR(__xludf.DUMMYFUNCTION("""COMPUTED_VALUE"""),"SOC-RS2")</f>
        <v>SOC-RS2</v>
      </c>
      <c r="D428" s="234">
        <f>IFERROR(__xludf.DUMMYFUNCTION("""COMPUTED_VALUE"""),33.0)</f>
        <v>33</v>
      </c>
      <c r="E428" s="237" t="str">
        <f>IFERROR(__xludf.DUMMYFUNCTION("""COMPUTED_VALUE"""),"LT0PBF01RG2R1")</f>
        <v>LT0PBF01RG2R1</v>
      </c>
      <c r="F428" s="238" t="str">
        <f>IFERROR(__xludf.DUMMYFUNCTION("""COMPUTED_VALUE"""),"QJO9I79,IZW3G59")</f>
        <v>QJO9I79,IZW3G59</v>
      </c>
      <c r="G428" s="238">
        <f>IFERROR(__xludf.DUMMYFUNCTION("""COMPUTED_VALUE"""),45976.0)</f>
        <v>45976</v>
      </c>
      <c r="H428" s="238">
        <f>IFERROR(__xludf.DUMMYFUNCTION("""COMPUTED_VALUE"""),45976.08333333333)</f>
        <v>45976.08333</v>
      </c>
      <c r="I428" s="237" t="str">
        <f t="shared" si="1"/>
        <v>Fora</v>
      </c>
      <c r="J428" s="239">
        <v>119.99999999301508</v>
      </c>
    </row>
    <row r="429">
      <c r="A429" s="234" t="s">
        <v>2124</v>
      </c>
      <c r="B429" s="234" t="str">
        <f>IFERROR(__xludf.DUMMYFUNCTION("""COMPUTED_VALUE"""),"SoC_GO_Goiânia_02")</f>
        <v>SoC_GO_Goiânia_02</v>
      </c>
      <c r="C429" s="234" t="str">
        <f>IFERROR(__xludf.DUMMYFUNCTION("""COMPUTED_VALUE"""),"SOC-GO2")</f>
        <v>SOC-GO2</v>
      </c>
      <c r="D429" s="234"/>
      <c r="E429" s="237" t="str">
        <f>IFERROR(__xludf.DUMMYFUNCTION("""COMPUTED_VALUE"""),"LT1PBF01S52H1")</f>
        <v>LT1PBF01S52H1</v>
      </c>
      <c r="F429" s="238" t="str">
        <f>IFERROR(__xludf.DUMMYFUNCTION("""COMPUTED_VALUE"""),"-")</f>
        <v>-</v>
      </c>
      <c r="G429" s="238">
        <f>IFERROR(__xludf.DUMMYFUNCTION("""COMPUTED_VALUE"""),45976.04166666667)</f>
        <v>45976.04167</v>
      </c>
      <c r="H429" s="238">
        <f>IFERROR(__xludf.DUMMYFUNCTION("""COMPUTED_VALUE"""),45976.125)</f>
        <v>45976.125</v>
      </c>
      <c r="I429" s="237" t="str">
        <f t="shared" si="1"/>
        <v>Fora</v>
      </c>
      <c r="J429" s="239">
        <v>119.99999999301508</v>
      </c>
    </row>
    <row r="430">
      <c r="A430" s="234" t="s">
        <v>2125</v>
      </c>
      <c r="B430" s="234" t="str">
        <f>IFERROR(__xludf.DUMMYFUNCTION("""COMPUTED_VALUE"""),"SoC_SC_Itajaí")</f>
        <v>SoC_SC_Itajaí</v>
      </c>
      <c r="C430" s="234" t="str">
        <f>IFERROR(__xludf.DUMMYFUNCTION("""COMPUTED_VALUE"""),"SOC-SC1")</f>
        <v>SOC-SC1</v>
      </c>
      <c r="D430" s="234">
        <f>IFERROR(__xludf.DUMMYFUNCTION("""COMPUTED_VALUE"""),25.0)</f>
        <v>25</v>
      </c>
      <c r="E430" s="237" t="str">
        <f>IFERROR(__xludf.DUMMYFUNCTION("""COMPUTED_VALUE"""),"LT1PBE01S52D1")</f>
        <v>LT1PBE01S52D1</v>
      </c>
      <c r="F430" s="238" t="str">
        <f>IFERROR(__xludf.DUMMYFUNCTION("""COMPUTED_VALUE"""),"EJY1G37,BXB3B96")</f>
        <v>EJY1G37,BXB3B96</v>
      </c>
      <c r="G430" s="238">
        <f>IFERROR(__xludf.DUMMYFUNCTION("""COMPUTED_VALUE"""),45976.04166666667)</f>
        <v>45976.04167</v>
      </c>
      <c r="H430" s="238">
        <f>IFERROR(__xludf.DUMMYFUNCTION("""COMPUTED_VALUE"""),45976.125)</f>
        <v>45976.125</v>
      </c>
      <c r="I430" s="237" t="str">
        <f t="shared" si="1"/>
        <v>Fora</v>
      </c>
      <c r="J430" s="239">
        <v>240.00000000698492</v>
      </c>
    </row>
    <row r="431">
      <c r="A431" s="234" t="s">
        <v>2126</v>
      </c>
      <c r="B431" s="234" t="str">
        <f>IFERROR(__xludf.DUMMYFUNCTION("""COMPUTED_VALUE"""),"SoC_BA_Simoes Filho")</f>
        <v>SoC_BA_Simoes Filho</v>
      </c>
      <c r="C431" s="234" t="str">
        <f>IFERROR(__xludf.DUMMYFUNCTION("""COMPUTED_VALUE"""),"SOC-BA2")</f>
        <v>SOC-BA2</v>
      </c>
      <c r="D431" s="234">
        <f>IFERROR(__xludf.DUMMYFUNCTION("""COMPUTED_VALUE"""),38.0)</f>
        <v>38</v>
      </c>
      <c r="E431" s="237" t="str">
        <f>IFERROR(__xludf.DUMMYFUNCTION("""COMPUTED_VALUE"""),"LT0PBE01RFPI1")</f>
        <v>LT0PBE01RFPI1</v>
      </c>
      <c r="F431" s="238" t="str">
        <f>IFERROR(__xludf.DUMMYFUNCTION("""COMPUTED_VALUE"""),"EDC7I61,SHZ1F78")</f>
        <v>EDC7I61,SHZ1F78</v>
      </c>
      <c r="G431" s="238">
        <f>IFERROR(__xludf.DUMMYFUNCTION("""COMPUTED_VALUE"""),45976.0)</f>
        <v>45976</v>
      </c>
      <c r="H431" s="238">
        <f>IFERROR(__xludf.DUMMYFUNCTION("""COMPUTED_VALUE"""),45976.16666666667)</f>
        <v>45976.16667</v>
      </c>
      <c r="I431" s="237" t="str">
        <f t="shared" si="1"/>
        <v>Fora</v>
      </c>
      <c r="J431" s="239">
        <v>120.00000001396984</v>
      </c>
    </row>
    <row r="432">
      <c r="A432" s="234" t="s">
        <v>2127</v>
      </c>
      <c r="B432" s="234" t="str">
        <f>IFERROR(__xludf.DUMMYFUNCTION("""COMPUTED_VALUE"""),"SoC_RJ_Duque de Caxias")</f>
        <v>SoC_RJ_Duque de Caxias</v>
      </c>
      <c r="C432" s="234" t="str">
        <f>IFERROR(__xludf.DUMMYFUNCTION("""COMPUTED_VALUE"""),"SOC-RJ2")</f>
        <v>SOC-RJ2</v>
      </c>
      <c r="D432" s="234"/>
      <c r="E432" s="237" t="str">
        <f>IFERROR(__xludf.DUMMYFUNCTION("""COMPUTED_VALUE"""),"LT1PBF01S5K31")</f>
        <v>LT1PBF01S5K31</v>
      </c>
      <c r="F432" s="234"/>
      <c r="G432" s="238">
        <f>IFERROR(__xludf.DUMMYFUNCTION("""COMPUTED_VALUE"""),45976.08333333333)</f>
        <v>45976.08333</v>
      </c>
      <c r="H432" s="238">
        <f>IFERROR(__xludf.DUMMYFUNCTION("""COMPUTED_VALUE"""),45976.16666666667)</f>
        <v>45976.16667</v>
      </c>
      <c r="I432" s="237" t="str">
        <f t="shared" si="1"/>
        <v>Fora</v>
      </c>
      <c r="J432" s="239">
        <v>120.00000001396984</v>
      </c>
    </row>
    <row r="433">
      <c r="A433" s="234" t="s">
        <v>2128</v>
      </c>
      <c r="B433" s="234" t="str">
        <f>IFERROR(__xludf.DUMMYFUNCTION("""COMPUTED_VALUE"""),"SoC_RS_Gravataí_02")</f>
        <v>SoC_RS_Gravataí_02</v>
      </c>
      <c r="C433" s="234" t="str">
        <f>IFERROR(__xludf.DUMMYFUNCTION("""COMPUTED_VALUE"""),"SOC-RS2")</f>
        <v>SOC-RS2</v>
      </c>
      <c r="D433" s="234">
        <f>IFERROR(__xludf.DUMMYFUNCTION("""COMPUTED_VALUE"""),37.0)</f>
        <v>37</v>
      </c>
      <c r="E433" s="237" t="str">
        <f>IFERROR(__xludf.DUMMYFUNCTION("""COMPUTED_VALUE"""),"LT1PBF01S7WY1")</f>
        <v>LT1PBF01S7WY1</v>
      </c>
      <c r="F433" s="238" t="str">
        <f>IFERROR(__xludf.DUMMYFUNCTION("""COMPUTED_VALUE"""),"ECM7F13,JCY9J80")</f>
        <v>ECM7F13,JCY9J80</v>
      </c>
      <c r="G433" s="238">
        <f>IFERROR(__xludf.DUMMYFUNCTION("""COMPUTED_VALUE"""),45976.08333333333)</f>
        <v>45976.08333</v>
      </c>
      <c r="H433" s="238">
        <f>IFERROR(__xludf.DUMMYFUNCTION("""COMPUTED_VALUE"""),45976.16666666667)</f>
        <v>45976.16667</v>
      </c>
      <c r="I433" s="237" t="str">
        <f t="shared" si="1"/>
        <v>Fora</v>
      </c>
      <c r="J433" s="239">
        <v>119.00000001071021</v>
      </c>
    </row>
    <row r="434">
      <c r="A434" s="234" t="s">
        <v>2129</v>
      </c>
      <c r="B434" s="234" t="str">
        <f>IFERROR(__xludf.DUMMYFUNCTION("""COMPUTED_VALUE"""),"LM Hub_SP_Tatuí")</f>
        <v>LM Hub_SP_Tatuí</v>
      </c>
      <c r="C434" s="234" t="str">
        <f>IFERROR(__xludf.DUMMYFUNCTION("""COMPUTED_VALUE"""),"HUB-LSP-51")</f>
        <v>HUB-LSP-51</v>
      </c>
      <c r="D434" s="234">
        <f>IFERROR(__xludf.DUMMYFUNCTION("""COMPUTED_VALUE"""),13.0)</f>
        <v>13</v>
      </c>
      <c r="E434" s="237" t="str">
        <f>IFERROR(__xludf.DUMMYFUNCTION("""COMPUTED_VALUE"""),"LT0PBF01R8D01")</f>
        <v>LT0PBF01R8D01</v>
      </c>
      <c r="F434" s="238" t="str">
        <f>IFERROR(__xludf.DUMMYFUNCTION("""COMPUTED_VALUE"""),"FLO1G76")</f>
        <v>FLO1G76</v>
      </c>
      <c r="G434" s="238">
        <f>IFERROR(__xludf.DUMMYFUNCTION("""COMPUTED_VALUE"""),45976.084027777775)</f>
        <v>45976.08403</v>
      </c>
      <c r="H434" s="238">
        <f>IFERROR(__xludf.DUMMYFUNCTION("""COMPUTED_VALUE"""),45976.16666666667)</f>
        <v>45976.16667</v>
      </c>
      <c r="I434" s="237" t="str">
        <f t="shared" si="1"/>
        <v>Fora</v>
      </c>
      <c r="J434" s="239">
        <v>60.00000000698492</v>
      </c>
    </row>
    <row r="435">
      <c r="A435" s="234" t="s">
        <v>2130</v>
      </c>
      <c r="B435" s="234" t="str">
        <f>IFERROR(__xludf.DUMMYFUNCTION("""COMPUTED_VALUE"""),"LM Hub_MG_Varginha_Fausto")</f>
        <v>LM Hub_MG_Varginha_Fausto</v>
      </c>
      <c r="C435" s="234" t="str">
        <f>IFERROR(__xludf.DUMMYFUNCTION("""COMPUTED_VALUE"""),"HUB-LMG-45")</f>
        <v>HUB-LMG-45</v>
      </c>
      <c r="D435" s="234">
        <f>IFERROR(__xludf.DUMMYFUNCTION("""COMPUTED_VALUE"""),15.0)</f>
        <v>15</v>
      </c>
      <c r="E435" s="237" t="str">
        <f>IFERROR(__xludf.DUMMYFUNCTION("""COMPUTED_VALUE"""),"LT0PBF01RF9E1")</f>
        <v>LT0PBF01RF9E1</v>
      </c>
      <c r="F435" s="238" t="str">
        <f>IFERROR(__xludf.DUMMYFUNCTION("""COMPUTED_VALUE"""),"GGK6J35")</f>
        <v>GGK6J35</v>
      </c>
      <c r="G435" s="238">
        <f>IFERROR(__xludf.DUMMYFUNCTION("""COMPUTED_VALUE"""),45976.14583333333)</f>
        <v>45976.14583</v>
      </c>
      <c r="H435" s="238">
        <f>IFERROR(__xludf.DUMMYFUNCTION("""COMPUTED_VALUE"""),45976.1875)</f>
        <v>45976.1875</v>
      </c>
      <c r="I435" s="237" t="str">
        <f t="shared" si="1"/>
        <v>Fora</v>
      </c>
      <c r="J435" s="239">
        <v>60.00000000698492</v>
      </c>
    </row>
    <row r="436">
      <c r="A436" s="234" t="s">
        <v>2131</v>
      </c>
      <c r="B436" s="234" t="str">
        <f>IFERROR(__xludf.DUMMYFUNCTION("""COMPUTED_VALUE"""),"LM Hub_SP_São Carlos")</f>
        <v>LM Hub_SP_São Carlos</v>
      </c>
      <c r="C436" s="234" t="str">
        <f>IFERROR(__xludf.DUMMYFUNCTION("""COMPUTED_VALUE"""),"HUB-LSP-31")</f>
        <v>HUB-LSP-31</v>
      </c>
      <c r="D436" s="234"/>
      <c r="E436" s="237" t="str">
        <f>IFERROR(__xludf.DUMMYFUNCTION("""COMPUTED_VALUE"""),"LT0PBF01R8FS1")</f>
        <v>LT0PBF01R8FS1</v>
      </c>
      <c r="F436" s="238" t="str">
        <f>IFERROR(__xludf.DUMMYFUNCTION("""COMPUTED_VALUE"""),"SVI0E00")</f>
        <v>SVI0E00</v>
      </c>
      <c r="G436" s="238">
        <f>IFERROR(__xludf.DUMMYFUNCTION("""COMPUTED_VALUE"""),45976.14583333333)</f>
        <v>45976.14583</v>
      </c>
      <c r="H436" s="238">
        <f>IFERROR(__xludf.DUMMYFUNCTION("""COMPUTED_VALUE"""),45976.1875)</f>
        <v>45976.1875</v>
      </c>
      <c r="I436" s="237" t="str">
        <f t="shared" si="1"/>
        <v>Fora</v>
      </c>
      <c r="J436" s="239">
        <v>59.00000000372529</v>
      </c>
    </row>
    <row r="437">
      <c r="A437" s="234" t="s">
        <v>2132</v>
      </c>
      <c r="B437" s="234" t="str">
        <f>IFERROR(__xludf.DUMMYFUNCTION("""COMPUTED_VALUE"""),"LM Hub_SP_Itapetininga")</f>
        <v>LM Hub_SP_Itapetininga</v>
      </c>
      <c r="C437" s="234" t="str">
        <f>IFERROR(__xludf.DUMMYFUNCTION("""COMPUTED_VALUE"""),"HUB-LSP-53")</f>
        <v>HUB-LSP-53</v>
      </c>
      <c r="D437" s="234">
        <f>IFERROR(__xludf.DUMMYFUNCTION("""COMPUTED_VALUE"""),24.0)</f>
        <v>24</v>
      </c>
      <c r="E437" s="237" t="str">
        <f>IFERROR(__xludf.DUMMYFUNCTION("""COMPUTED_VALUE"""),"LT0PBF01R8CT1")</f>
        <v>LT0PBF01R8CT1</v>
      </c>
      <c r="F437" s="238" t="str">
        <f>IFERROR(__xludf.DUMMYFUNCTION("""COMPUTED_VALUE"""),"FZY3F48")</f>
        <v>FZY3F48</v>
      </c>
      <c r="G437" s="238">
        <f>IFERROR(__xludf.DUMMYFUNCTION("""COMPUTED_VALUE"""),45976.146527777775)</f>
        <v>45976.14653</v>
      </c>
      <c r="H437" s="238">
        <f>IFERROR(__xludf.DUMMYFUNCTION("""COMPUTED_VALUE"""),45976.1875)</f>
        <v>45976.1875</v>
      </c>
      <c r="I437" s="237" t="str">
        <f t="shared" si="1"/>
        <v>Fora</v>
      </c>
      <c r="J437" s="239">
        <v>119.99999999301508</v>
      </c>
    </row>
    <row r="438">
      <c r="A438" s="234" t="s">
        <v>2133</v>
      </c>
      <c r="B438" s="234" t="str">
        <f>IFERROR(__xludf.DUMMYFUNCTION("""COMPUTED_VALUE"""),"SoC_PE_Jaboatão dos Guararapes")</f>
        <v>SoC_PE_Jaboatão dos Guararapes</v>
      </c>
      <c r="C438" s="234" t="str">
        <f>IFERROR(__xludf.DUMMYFUNCTION("""COMPUTED_VALUE"""),"SOC-PE2")</f>
        <v>SOC-PE2</v>
      </c>
      <c r="D438" s="234">
        <f>IFERROR(__xludf.DUMMYFUNCTION("""COMPUTED_VALUE"""),35.0)</f>
        <v>35</v>
      </c>
      <c r="E438" s="237" t="str">
        <f>IFERROR(__xludf.DUMMYFUNCTION("""COMPUTED_VALUE"""),"LT1PBF01S5241")</f>
        <v>LT1PBF01S5241</v>
      </c>
      <c r="F438" s="238" t="str">
        <f>IFERROR(__xludf.DUMMYFUNCTION("""COMPUTED_VALUE"""),"LLT7J47,FZM5664")</f>
        <v>LLT7J47,FZM5664</v>
      </c>
      <c r="G438" s="238">
        <f>IFERROR(__xludf.DUMMYFUNCTION("""COMPUTED_VALUE"""),45976.125)</f>
        <v>45976.125</v>
      </c>
      <c r="H438" s="238">
        <f>IFERROR(__xludf.DUMMYFUNCTION("""COMPUTED_VALUE"""),45976.20833333333)</f>
        <v>45976.20833</v>
      </c>
      <c r="I438" s="237" t="str">
        <f t="shared" si="1"/>
        <v>Fora</v>
      </c>
      <c r="J438" s="239">
        <v>119.99999999301508</v>
      </c>
    </row>
    <row r="439">
      <c r="A439" s="238" t="s">
        <v>2134</v>
      </c>
      <c r="B439" s="238" t="str">
        <f>IFERROR(__xludf.DUMMYFUNCTION("""COMPUTED_VALUE"""),"SoC_RJ_Duque de Caxias")</f>
        <v>SoC_RJ_Duque de Caxias</v>
      </c>
      <c r="C439" s="238" t="str">
        <f>IFERROR(__xludf.DUMMYFUNCTION("""COMPUTED_VALUE"""),"SOC-RJ2")</f>
        <v>SOC-RJ2</v>
      </c>
      <c r="D439" s="238">
        <f>IFERROR(__xludf.DUMMYFUNCTION("""COMPUTED_VALUE"""),39.0)</f>
        <v>39</v>
      </c>
      <c r="E439" s="243" t="str">
        <f>IFERROR(__xludf.DUMMYFUNCTION("""COMPUTED_VALUE"""),"LT1PBF01S51Z1")</f>
        <v>LT1PBF01S51Z1</v>
      </c>
      <c r="F439" s="238" t="str">
        <f>IFERROR(__xludf.DUMMYFUNCTION("""COMPUTED_VALUE"""),"BZF4B42,ATP5H78")</f>
        <v>BZF4B42,ATP5H78</v>
      </c>
      <c r="G439" s="238">
        <f>IFERROR(__xludf.DUMMYFUNCTION("""COMPUTED_VALUE"""),45976.125)</f>
        <v>45976.125</v>
      </c>
      <c r="H439" s="238">
        <f>IFERROR(__xludf.DUMMYFUNCTION("""COMPUTED_VALUE"""),45976.20833333333)</f>
        <v>45976.20833</v>
      </c>
      <c r="I439" s="237" t="str">
        <f t="shared" si="1"/>
        <v>Fora</v>
      </c>
      <c r="J439" s="239">
        <v>119.99999999301508</v>
      </c>
    </row>
    <row r="440">
      <c r="A440" s="234" t="s">
        <v>2135</v>
      </c>
      <c r="B440" s="234" t="str">
        <f>IFERROR(__xludf.DUMMYFUNCTION("""COMPUTED_VALUE"""),"SoC_RS_Gravataí_02")</f>
        <v>SoC_RS_Gravataí_02</v>
      </c>
      <c r="C440" s="234" t="str">
        <f>IFERROR(__xludf.DUMMYFUNCTION("""COMPUTED_VALUE"""),"SOC-RS2")</f>
        <v>SOC-RS2</v>
      </c>
      <c r="D440" s="234">
        <f>IFERROR(__xludf.DUMMYFUNCTION("""COMPUTED_VALUE"""),34.0)</f>
        <v>34</v>
      </c>
      <c r="E440" s="237" t="str">
        <f>IFERROR(__xludf.DUMMYFUNCTION("""COMPUTED_VALUE"""),"LT0PBF01RG2W1")</f>
        <v>LT0PBF01RG2W1</v>
      </c>
      <c r="F440" s="238" t="str">
        <f>IFERROR(__xludf.DUMMYFUNCTION("""COMPUTED_VALUE"""),"JBC0F96,JCL4G88")</f>
        <v>JBC0F96,JCL4G88</v>
      </c>
      <c r="G440" s="238">
        <f>IFERROR(__xludf.DUMMYFUNCTION("""COMPUTED_VALUE"""),45976.125)</f>
        <v>45976.125</v>
      </c>
      <c r="H440" s="238">
        <f>IFERROR(__xludf.DUMMYFUNCTION("""COMPUTED_VALUE"""),45976.20833333333)</f>
        <v>45976.20833</v>
      </c>
      <c r="I440" s="237" t="str">
        <f t="shared" si="1"/>
        <v>Fora</v>
      </c>
      <c r="J440" s="239">
        <v>119.99999999301508</v>
      </c>
    </row>
    <row r="441">
      <c r="A441" s="234" t="s">
        <v>2136</v>
      </c>
      <c r="B441" s="234" t="str">
        <f>IFERROR(__xludf.DUMMYFUNCTION("""COMPUTED_VALUE"""),"SoC_RS_Gravataí_02")</f>
        <v>SoC_RS_Gravataí_02</v>
      </c>
      <c r="C441" s="234" t="str">
        <f>IFERROR(__xludf.DUMMYFUNCTION("""COMPUTED_VALUE"""),"SOC-RS2")</f>
        <v>SOC-RS2</v>
      </c>
      <c r="D441" s="234"/>
      <c r="E441" s="237" t="str">
        <f>IFERROR(__xludf.DUMMYFUNCTION("""COMPUTED_VALUE"""),"LT1PBF01S52E1")</f>
        <v>LT1PBF01S52E1</v>
      </c>
      <c r="F441" s="238" t="str">
        <f>IFERROR(__xludf.DUMMYFUNCTION("""COMPUTED_VALUE"""),"RYR4J83,GFJ3G06")</f>
        <v>RYR4J83,GFJ3G06</v>
      </c>
      <c r="G441" s="238">
        <f>IFERROR(__xludf.DUMMYFUNCTION("""COMPUTED_VALUE"""),45976.125)</f>
        <v>45976.125</v>
      </c>
      <c r="H441" s="238">
        <f>IFERROR(__xludf.DUMMYFUNCTION("""COMPUTED_VALUE"""),45976.20833333333)</f>
        <v>45976.20833</v>
      </c>
      <c r="I441" s="237" t="str">
        <f t="shared" si="1"/>
        <v>Fora</v>
      </c>
      <c r="J441" s="239">
        <v>59.99999998603016</v>
      </c>
    </row>
    <row r="442">
      <c r="A442" s="234" t="s">
        <v>2137</v>
      </c>
      <c r="B442" s="234" t="str">
        <f>IFERROR(__xludf.DUMMYFUNCTION("""COMPUTED_VALUE"""),"LM Hub_SP_Itapeva")</f>
        <v>LM Hub_SP_Itapeva</v>
      </c>
      <c r="C442" s="234" t="str">
        <f>IFERROR(__xludf.DUMMYFUNCTION("""COMPUTED_VALUE"""),"HUB-LSP-39")</f>
        <v>HUB-LSP-39</v>
      </c>
      <c r="D442" s="234">
        <f>IFERROR(__xludf.DUMMYFUNCTION("""COMPUTED_VALUE"""),8.0)</f>
        <v>8</v>
      </c>
      <c r="E442" s="237" t="str">
        <f>IFERROR(__xludf.DUMMYFUNCTION("""COMPUTED_VALUE"""),"LT0PBF01R8D51")</f>
        <v>LT0PBF01R8D51</v>
      </c>
      <c r="F442" s="238" t="str">
        <f>IFERROR(__xludf.DUMMYFUNCTION("""COMPUTED_VALUE"""),"DTC3E38")</f>
        <v>DTC3E38</v>
      </c>
      <c r="G442" s="238">
        <f>IFERROR(__xludf.DUMMYFUNCTION("""COMPUTED_VALUE"""),45976.16666666667)</f>
        <v>45976.16667</v>
      </c>
      <c r="H442" s="238">
        <f>IFERROR(__xludf.DUMMYFUNCTION("""COMPUTED_VALUE"""),45976.20833333333)</f>
        <v>45976.20833</v>
      </c>
      <c r="I442" s="237" t="str">
        <f t="shared" si="1"/>
        <v>Fora</v>
      </c>
      <c r="J442" s="239">
        <v>59.99999998603016</v>
      </c>
    </row>
    <row r="443">
      <c r="A443" s="234" t="s">
        <v>2138</v>
      </c>
      <c r="B443" s="234" t="str">
        <f>IFERROR(__xludf.DUMMYFUNCTION("""COMPUTED_VALUE"""),"LM Hub_SP_Registro")</f>
        <v>LM Hub_SP_Registro</v>
      </c>
      <c r="C443" s="234" t="str">
        <f>IFERROR(__xludf.DUMMYFUNCTION("""COMPUTED_VALUE"""),"HUB-LSP-40")</f>
        <v>HUB-LSP-40</v>
      </c>
      <c r="D443" s="234">
        <f>IFERROR(__xludf.DUMMYFUNCTION("""COMPUTED_VALUE"""),13.0)</f>
        <v>13</v>
      </c>
      <c r="E443" s="237" t="str">
        <f>IFERROR(__xludf.DUMMYFUNCTION("""COMPUTED_VALUE"""),"LT0PBF01R8DS1")</f>
        <v>LT0PBF01R8DS1</v>
      </c>
      <c r="F443" s="238" t="str">
        <f>IFERROR(__xludf.DUMMYFUNCTION("""COMPUTED_VALUE"""),"FSV9B90")</f>
        <v>FSV9B90</v>
      </c>
      <c r="G443" s="238">
        <f>IFERROR(__xludf.DUMMYFUNCTION("""COMPUTED_VALUE"""),45976.16666666667)</f>
        <v>45976.16667</v>
      </c>
      <c r="H443" s="238">
        <f>IFERROR(__xludf.DUMMYFUNCTION("""COMPUTED_VALUE"""),45976.20833333333)</f>
        <v>45976.20833</v>
      </c>
      <c r="I443" s="237" t="str">
        <f t="shared" si="1"/>
        <v>Fora</v>
      </c>
      <c r="J443" s="239">
        <v>59.99999998603016</v>
      </c>
    </row>
    <row r="444">
      <c r="A444" s="234" t="s">
        <v>2139</v>
      </c>
      <c r="B444" s="234" t="str">
        <f>IFERROR(__xludf.DUMMYFUNCTION("""COMPUTED_VALUE"""),"LM Hub_SP_Sumaré_Nova Veneza_1")</f>
        <v>LM Hub_SP_Sumaré_Nova Veneza_1</v>
      </c>
      <c r="C444" s="234" t="str">
        <f>IFERROR(__xludf.DUMMYFUNCTION("""COMPUTED_VALUE"""),"HUB-LSP-88")</f>
        <v>HUB-LSP-88</v>
      </c>
      <c r="D444" s="234">
        <f>IFERROR(__xludf.DUMMYFUNCTION("""COMPUTED_VALUE"""),18.0)</f>
        <v>18</v>
      </c>
      <c r="E444" s="237" t="str">
        <f>IFERROR(__xludf.DUMMYFUNCTION("""COMPUTED_VALUE"""),"LT0PBF01RF3L1")</f>
        <v>LT0PBF01RF3L1</v>
      </c>
      <c r="F444" s="238" t="str">
        <f>IFERROR(__xludf.DUMMYFUNCTION("""COMPUTED_VALUE"""),"EGJ9547")</f>
        <v>EGJ9547</v>
      </c>
      <c r="G444" s="238">
        <f>IFERROR(__xludf.DUMMYFUNCTION("""COMPUTED_VALUE"""),45976.16666666667)</f>
        <v>45976.16667</v>
      </c>
      <c r="H444" s="238">
        <f>IFERROR(__xludf.DUMMYFUNCTION("""COMPUTED_VALUE"""),45976.20833333333)</f>
        <v>45976.20833</v>
      </c>
      <c r="I444" s="237" t="str">
        <f t="shared" si="1"/>
        <v>Fora</v>
      </c>
      <c r="J444" s="239">
        <v>120.00000001396984</v>
      </c>
    </row>
    <row r="445">
      <c r="A445" s="234" t="s">
        <v>2140</v>
      </c>
      <c r="B445" s="234" t="str">
        <f>IFERROR(__xludf.DUMMYFUNCTION("""COMPUTED_VALUE"""),"LM Hub_SP_Sorocaba_Região Norte")</f>
        <v>LM Hub_SP_Sorocaba_Região Norte</v>
      </c>
      <c r="C445" s="234" t="str">
        <f>IFERROR(__xludf.DUMMYFUNCTION("""COMPUTED_VALUE"""),"HUB-LSP-10")</f>
        <v>HUB-LSP-10</v>
      </c>
      <c r="D445" s="234">
        <f>IFERROR(__xludf.DUMMYFUNCTION("""COMPUTED_VALUE"""),14.0)</f>
        <v>14</v>
      </c>
      <c r="E445" s="237" t="str">
        <f>IFERROR(__xludf.DUMMYFUNCTION("""COMPUTED_VALUE"""),"LT0PBF01R8ES1")</f>
        <v>LT0PBF01R8ES1</v>
      </c>
      <c r="F445" s="238" t="str">
        <f>IFERROR(__xludf.DUMMYFUNCTION("""COMPUTED_VALUE"""),"OUU8J45,GHJ3E37")</f>
        <v>OUU8J45,GHJ3E37</v>
      </c>
      <c r="G445" s="238">
        <f>IFERROR(__xludf.DUMMYFUNCTION("""COMPUTED_VALUE"""),45976.14583333333)</f>
        <v>45976.14583</v>
      </c>
      <c r="H445" s="238">
        <f>IFERROR(__xludf.DUMMYFUNCTION("""COMPUTED_VALUE"""),45976.22916666667)</f>
        <v>45976.22917</v>
      </c>
      <c r="I445" s="237" t="str">
        <f t="shared" si="1"/>
        <v>Fora</v>
      </c>
      <c r="J445" s="239">
        <v>60.00000000698492</v>
      </c>
    </row>
    <row r="446">
      <c r="A446" s="234" t="s">
        <v>2141</v>
      </c>
      <c r="B446" s="234" t="str">
        <f>IFERROR(__xludf.DUMMYFUNCTION("""COMPUTED_VALUE"""),"LM Hub_SP_Campinas_São Martinho")</f>
        <v>LM Hub_SP_Campinas_São Martinho</v>
      </c>
      <c r="C446" s="234" t="str">
        <f>IFERROR(__xludf.DUMMYFUNCTION("""COMPUTED_VALUE"""),"HUB-LSP-19")</f>
        <v>HUB-LSP-19</v>
      </c>
      <c r="D446" s="234">
        <f>IFERROR(__xludf.DUMMYFUNCTION("""COMPUTED_VALUE"""),19.0)</f>
        <v>19</v>
      </c>
      <c r="E446" s="237" t="str">
        <f>IFERROR(__xludf.DUMMYFUNCTION("""COMPUTED_VALUE"""),"LT0PBF01R8GT1")</f>
        <v>LT0PBF01R8GT1</v>
      </c>
      <c r="F446" s="238" t="str">
        <f>IFERROR(__xludf.DUMMYFUNCTION("""COMPUTED_VALUE"""),"AUN9G67")</f>
        <v>AUN9G67</v>
      </c>
      <c r="G446" s="238">
        <f>IFERROR(__xludf.DUMMYFUNCTION("""COMPUTED_VALUE"""),45976.1875)</f>
        <v>45976.1875</v>
      </c>
      <c r="H446" s="238">
        <f>IFERROR(__xludf.DUMMYFUNCTION("""COMPUTED_VALUE"""),45976.22916666667)</f>
        <v>45976.22917</v>
      </c>
      <c r="I446" s="237" t="str">
        <f t="shared" si="1"/>
        <v>Fora</v>
      </c>
      <c r="J446" s="239">
        <v>60.00000000698492</v>
      </c>
    </row>
    <row r="447">
      <c r="A447" s="234" t="s">
        <v>2142</v>
      </c>
      <c r="B447" s="234" t="str">
        <f>IFERROR(__xludf.DUMMYFUNCTION("""COMPUTED_VALUE"""),"LM Hub_SP_Mogi Mirim")</f>
        <v>LM Hub_SP_Mogi Mirim</v>
      </c>
      <c r="C447" s="234" t="str">
        <f>IFERROR(__xludf.DUMMYFUNCTION("""COMPUTED_VALUE"""),"HUB-LSP-37")</f>
        <v>HUB-LSP-37</v>
      </c>
      <c r="D447" s="234">
        <f>IFERROR(__xludf.DUMMYFUNCTION("""COMPUTED_VALUE"""),17.0)</f>
        <v>17</v>
      </c>
      <c r="E447" s="237" t="str">
        <f>IFERROR(__xludf.DUMMYFUNCTION("""COMPUTED_VALUE"""),"LT0PBF01R8G21")</f>
        <v>LT0PBF01R8G21</v>
      </c>
      <c r="F447" s="238" t="str">
        <f>IFERROR(__xludf.DUMMYFUNCTION("""COMPUTED_VALUE"""),"SVD7A43")</f>
        <v>SVD7A43</v>
      </c>
      <c r="G447" s="238">
        <f>IFERROR(__xludf.DUMMYFUNCTION("""COMPUTED_VALUE"""),45976.1875)</f>
        <v>45976.1875</v>
      </c>
      <c r="H447" s="238">
        <f>IFERROR(__xludf.DUMMYFUNCTION("""COMPUTED_VALUE"""),45976.22916666667)</f>
        <v>45976.22917</v>
      </c>
      <c r="I447" s="237" t="str">
        <f t="shared" si="1"/>
        <v>Fora</v>
      </c>
      <c r="J447" s="239">
        <v>60.00000000698492</v>
      </c>
    </row>
    <row r="448">
      <c r="A448" s="234" t="s">
        <v>2143</v>
      </c>
      <c r="B448" s="234" t="str">
        <f>IFERROR(__xludf.DUMMYFUNCTION("""COMPUTED_VALUE"""),"LM Hub_SP_Osasco_02")</f>
        <v>LM Hub_SP_Osasco_02</v>
      </c>
      <c r="C448" s="234" t="str">
        <f>IFERROR(__xludf.DUMMYFUNCTION("""COMPUTED_VALUE"""),"HUB-LSP-60")</f>
        <v>HUB-LSP-60</v>
      </c>
      <c r="D448" s="234"/>
      <c r="E448" s="237" t="str">
        <f>IFERROR(__xludf.DUMMYFUNCTION("""COMPUTED_VALUE"""),"LT0PBF01R9P81")</f>
        <v>LT0PBF01R9P81</v>
      </c>
      <c r="F448" s="238" t="str">
        <f>IFERROR(__xludf.DUMMYFUNCTION("""COMPUTED_VALUE"""),"LPH3G72")</f>
        <v>LPH3G72</v>
      </c>
      <c r="G448" s="238">
        <f>IFERROR(__xludf.DUMMYFUNCTION("""COMPUTED_VALUE"""),45976.1875)</f>
        <v>45976.1875</v>
      </c>
      <c r="H448" s="238">
        <f>IFERROR(__xludf.DUMMYFUNCTION("""COMPUTED_VALUE"""),45976.22916666667)</f>
        <v>45976.22917</v>
      </c>
      <c r="I448" s="237" t="str">
        <f t="shared" si="1"/>
        <v>Fora</v>
      </c>
      <c r="J448" s="239">
        <v>119.99999999301508</v>
      </c>
    </row>
    <row r="449">
      <c r="A449" s="234" t="s">
        <v>2144</v>
      </c>
      <c r="B449" s="234" t="str">
        <f>IFERROR(__xludf.DUMMYFUNCTION("""COMPUTED_VALUE"""),"SoC_PR_Curitiba")</f>
        <v>SoC_PR_Curitiba</v>
      </c>
      <c r="C449" s="234" t="str">
        <f>IFERROR(__xludf.DUMMYFUNCTION("""COMPUTED_VALUE"""),"SOC-PR1")</f>
        <v>SOC-PR1</v>
      </c>
      <c r="D449" s="234">
        <f>IFERROR(__xludf.DUMMYFUNCTION("""COMPUTED_VALUE"""),23.0)</f>
        <v>23</v>
      </c>
      <c r="E449" s="237" t="str">
        <f>IFERROR(__xludf.DUMMYFUNCTION("""COMPUTED_VALUE"""),"LT0PBF01R88C1")</f>
        <v>LT0PBF01R88C1</v>
      </c>
      <c r="F449" s="238" t="str">
        <f>IFERROR(__xludf.DUMMYFUNCTION("""COMPUTED_VALUE"""),"BDP1B44,BEY5C16")</f>
        <v>BDP1B44,BEY5C16</v>
      </c>
      <c r="G449" s="238">
        <f>IFERROR(__xludf.DUMMYFUNCTION("""COMPUTED_VALUE"""),45976.16666666667)</f>
        <v>45976.16667</v>
      </c>
      <c r="H449" s="238">
        <f>IFERROR(__xludf.DUMMYFUNCTION("""COMPUTED_VALUE"""),45976.25)</f>
        <v>45976.25</v>
      </c>
      <c r="I449" s="237" t="str">
        <f t="shared" si="1"/>
        <v>Fora</v>
      </c>
      <c r="J449" s="239">
        <v>119.99999999301508</v>
      </c>
    </row>
    <row r="450">
      <c r="A450" s="234" t="s">
        <v>2145</v>
      </c>
      <c r="B450" s="234" t="str">
        <f>IFERROR(__xludf.DUMMYFUNCTION("""COMPUTED_VALUE"""),"SoC_RJ_Duque de Caxias")</f>
        <v>SoC_RJ_Duque de Caxias</v>
      </c>
      <c r="C450" s="234" t="str">
        <f>IFERROR(__xludf.DUMMYFUNCTION("""COMPUTED_VALUE"""),"SOC-RJ2")</f>
        <v>SOC-RJ2</v>
      </c>
      <c r="D450" s="234"/>
      <c r="E450" s="237" t="str">
        <f>IFERROR(__xludf.DUMMYFUNCTION("""COMPUTED_VALUE"""),"LT1PBF01S5K41")</f>
        <v>LT1PBF01S5K41</v>
      </c>
      <c r="F450" s="234"/>
      <c r="G450" s="238">
        <f>IFERROR(__xludf.DUMMYFUNCTION("""COMPUTED_VALUE"""),45976.16666666667)</f>
        <v>45976.16667</v>
      </c>
      <c r="H450" s="238">
        <f>IFERROR(__xludf.DUMMYFUNCTION("""COMPUTED_VALUE"""),45976.25)</f>
        <v>45976.25</v>
      </c>
      <c r="I450" s="237" t="str">
        <f t="shared" si="1"/>
        <v>Fora</v>
      </c>
      <c r="J450" s="239">
        <v>60.00000000698492</v>
      </c>
    </row>
    <row r="451">
      <c r="A451" s="234" t="s">
        <v>2146</v>
      </c>
      <c r="B451" s="234" t="str">
        <f>IFERROR(__xludf.DUMMYFUNCTION("""COMPUTED_VALUE"""),"LM Hub_SP_Guaratinguetá")</f>
        <v>LM Hub_SP_Guaratinguetá</v>
      </c>
      <c r="C451" s="234" t="str">
        <f>IFERROR(__xludf.DUMMYFUNCTION("""COMPUTED_VALUE"""),"HUB-LSP-33")</f>
        <v>HUB-LSP-33</v>
      </c>
      <c r="D451" s="234">
        <f>IFERROR(__xludf.DUMMYFUNCTION("""COMPUTED_VALUE"""),7.0)</f>
        <v>7</v>
      </c>
      <c r="E451" s="237" t="str">
        <f>IFERROR(__xludf.DUMMYFUNCTION("""COMPUTED_VALUE"""),"LT0PBF01R8E31")</f>
        <v>LT0PBF01R8E31</v>
      </c>
      <c r="F451" s="238" t="str">
        <f>IFERROR(__xludf.DUMMYFUNCTION("""COMPUTED_VALUE"""),"EKH3880")</f>
        <v>EKH3880</v>
      </c>
      <c r="G451" s="238">
        <f>IFERROR(__xludf.DUMMYFUNCTION("""COMPUTED_VALUE"""),45976.20833333333)</f>
        <v>45976.20833</v>
      </c>
      <c r="H451" s="238">
        <f>IFERROR(__xludf.DUMMYFUNCTION("""COMPUTED_VALUE"""),45976.25)</f>
        <v>45976.25</v>
      </c>
      <c r="I451" s="237" t="str">
        <f t="shared" si="1"/>
        <v>Fora</v>
      </c>
      <c r="J451" s="239">
        <v>60.00000000698492</v>
      </c>
    </row>
    <row r="452">
      <c r="A452" s="234" t="s">
        <v>2147</v>
      </c>
      <c r="B452" s="234" t="str">
        <f>IFERROR(__xludf.DUMMYFUNCTION("""COMPUTED_VALUE"""),"LM Hub_SP_Várzea Paulista")</f>
        <v>LM Hub_SP_Várzea Paulista</v>
      </c>
      <c r="C452" s="234" t="str">
        <f>IFERROR(__xludf.DUMMYFUNCTION("""COMPUTED_VALUE"""),"HUB-LSP-61")</f>
        <v>HUB-LSP-61</v>
      </c>
      <c r="D452" s="234">
        <f>IFERROR(__xludf.DUMMYFUNCTION("""COMPUTED_VALUE"""),12.0)</f>
        <v>12</v>
      </c>
      <c r="E452" s="237" t="str">
        <f>IFERROR(__xludf.DUMMYFUNCTION("""COMPUTED_VALUE"""),"LT0PBF01R8FC1")</f>
        <v>LT0PBF01R8FC1</v>
      </c>
      <c r="F452" s="238" t="str">
        <f>IFERROR(__xludf.DUMMYFUNCTION("""COMPUTED_VALUE"""),"HNQ8267")</f>
        <v>HNQ8267</v>
      </c>
      <c r="G452" s="238">
        <f>IFERROR(__xludf.DUMMYFUNCTION("""COMPUTED_VALUE"""),45976.20833333333)</f>
        <v>45976.20833</v>
      </c>
      <c r="H452" s="238">
        <f>IFERROR(__xludf.DUMMYFUNCTION("""COMPUTED_VALUE"""),45976.25)</f>
        <v>45976.25</v>
      </c>
      <c r="I452" s="237" t="str">
        <f t="shared" si="1"/>
        <v>Fora</v>
      </c>
      <c r="J452" s="239" t="e">
        <v>#VALUE!</v>
      </c>
    </row>
    <row r="453">
      <c r="A453" s="234" t="s">
        <v>2148</v>
      </c>
      <c r="B453" s="234" t="str">
        <f>IFERROR(__xludf.DUMMYFUNCTION("""COMPUTED_VALUE"""),"LM Hub_SP_Atibaia_Ponte_Alta")</f>
        <v>LM Hub_SP_Atibaia_Ponte_Alta</v>
      </c>
      <c r="C453" s="234" t="str">
        <f>IFERROR(__xludf.DUMMYFUNCTION("""COMPUTED_VALUE"""),"HUB-LSP-87")</f>
        <v>HUB-LSP-87</v>
      </c>
      <c r="D453" s="234">
        <f>IFERROR(__xludf.DUMMYFUNCTION("""COMPUTED_VALUE"""),19.0)</f>
        <v>19</v>
      </c>
      <c r="E453" s="237" t="str">
        <f>IFERROR(__xludf.DUMMYFUNCTION("""COMPUTED_VALUE"""),"LT0PBF01RDCS1")</f>
        <v>LT0PBF01RDCS1</v>
      </c>
      <c r="F453" s="238" t="str">
        <f>IFERROR(__xludf.DUMMYFUNCTION("""COMPUTED_VALUE"""),"EOV6B66")</f>
        <v>EOV6B66</v>
      </c>
      <c r="G453" s="238" t="str">
        <f>IFERROR(__xludf.DUMMYFUNCTION("""COMPUTED_VALUE"""),"-")</f>
        <v>-</v>
      </c>
      <c r="H453" s="238">
        <f>IFERROR(__xludf.DUMMYFUNCTION("""COMPUTED_VALUE"""),45976.27083333333)</f>
        <v>45976.27083</v>
      </c>
      <c r="I453" s="237" t="str">
        <f t="shared" si="1"/>
        <v>Dentro</v>
      </c>
      <c r="J453" s="239">
        <v>480.00000001396984</v>
      </c>
    </row>
    <row r="454">
      <c r="A454" s="234" t="s">
        <v>2149</v>
      </c>
      <c r="B454" s="234" t="str">
        <f>IFERROR(__xludf.DUMMYFUNCTION("""COMPUTED_VALUE"""),"SoC_MG_Betim")</f>
        <v>SoC_MG_Betim</v>
      </c>
      <c r="C454" s="234" t="str">
        <f>IFERROR(__xludf.DUMMYFUNCTION("""COMPUTED_VALUE"""),"SOC-MG2")</f>
        <v>SOC-MG2</v>
      </c>
      <c r="D454" s="234"/>
      <c r="E454" s="237" t="str">
        <f>IFERROR(__xludf.DUMMYFUNCTION("""COMPUTED_VALUE"""),"LT0PBE01R87L1")</f>
        <v>LT0PBE01R87L1</v>
      </c>
      <c r="F454" s="234"/>
      <c r="G454" s="238">
        <f>IFERROR(__xludf.DUMMYFUNCTION("""COMPUTED_VALUE"""),45975.95833333333)</f>
        <v>45975.95833</v>
      </c>
      <c r="H454" s="238">
        <f>IFERROR(__xludf.DUMMYFUNCTION("""COMPUTED_VALUE"""),45976.29166666667)</f>
        <v>45976.29167</v>
      </c>
      <c r="I454" s="237" t="str">
        <f t="shared" si="1"/>
        <v>Fora</v>
      </c>
      <c r="J454" s="239">
        <v>480.00000001396984</v>
      </c>
    </row>
    <row r="455">
      <c r="A455" s="234" t="s">
        <v>2150</v>
      </c>
      <c r="B455" s="234" t="str">
        <f>IFERROR(__xludf.DUMMYFUNCTION("""COMPUTED_VALUE"""),"SoC_MG_Betim")</f>
        <v>SoC_MG_Betim</v>
      </c>
      <c r="C455" s="234" t="str">
        <f>IFERROR(__xludf.DUMMYFUNCTION("""COMPUTED_VALUE"""),"SOC-MG2")</f>
        <v>SOC-MG2</v>
      </c>
      <c r="D455" s="234"/>
      <c r="E455" s="237" t="str">
        <f>IFERROR(__xludf.DUMMYFUNCTION("""COMPUTED_VALUE"""),"LT0PBE01R87V1")</f>
        <v>LT0PBE01R87V1</v>
      </c>
      <c r="F455" s="234"/>
      <c r="G455" s="238">
        <f>IFERROR(__xludf.DUMMYFUNCTION("""COMPUTED_VALUE"""),45975.95833333333)</f>
        <v>45975.95833</v>
      </c>
      <c r="H455" s="238">
        <f>IFERROR(__xludf.DUMMYFUNCTION("""COMPUTED_VALUE"""),45976.29166666667)</f>
        <v>45976.29167</v>
      </c>
      <c r="I455" s="237" t="str">
        <f t="shared" si="1"/>
        <v>Fora</v>
      </c>
      <c r="J455" s="239">
        <v>479.0000000107102</v>
      </c>
    </row>
    <row r="456">
      <c r="A456" s="234" t="s">
        <v>2151</v>
      </c>
      <c r="B456" s="234" t="str">
        <f>IFERROR(__xludf.DUMMYFUNCTION("""COMPUTED_VALUE"""),"SoC_RJ_Duque de Caxias")</f>
        <v>SoC_RJ_Duque de Caxias</v>
      </c>
      <c r="C456" s="234" t="str">
        <f>IFERROR(__xludf.DUMMYFUNCTION("""COMPUTED_VALUE"""),"SOC-RJ2")</f>
        <v>SOC-RJ2</v>
      </c>
      <c r="D456" s="234">
        <f>IFERROR(__xludf.DUMMYFUNCTION("""COMPUTED_VALUE"""),39.0)</f>
        <v>39</v>
      </c>
      <c r="E456" s="237" t="str">
        <f>IFERROR(__xludf.DUMMYFUNCTION("""COMPUTED_VALUE"""),"LT0PBE01RB431")</f>
        <v>LT0PBE01RB431</v>
      </c>
      <c r="F456" s="238" t="str">
        <f>IFERROR(__xludf.DUMMYFUNCTION("""COMPUTED_VALUE"""),"ARW6H90,DBL9F03")</f>
        <v>ARW6H90,DBL9F03</v>
      </c>
      <c r="G456" s="238">
        <f>IFERROR(__xludf.DUMMYFUNCTION("""COMPUTED_VALUE"""),45975.959027777775)</f>
        <v>45975.95903</v>
      </c>
      <c r="H456" s="238">
        <f>IFERROR(__xludf.DUMMYFUNCTION("""COMPUTED_VALUE"""),45976.29166666667)</f>
        <v>45976.29167</v>
      </c>
      <c r="I456" s="237" t="str">
        <f t="shared" si="1"/>
        <v>Fora</v>
      </c>
      <c r="J456" s="239">
        <v>479.9999999930151</v>
      </c>
    </row>
    <row r="457">
      <c r="A457" s="234" t="s">
        <v>2152</v>
      </c>
      <c r="B457" s="234" t="str">
        <f>IFERROR(__xludf.DUMMYFUNCTION("""COMPUTED_VALUE"""),"SoC_BA_Simoes Filho")</f>
        <v>SoC_BA_Simoes Filho</v>
      </c>
      <c r="C457" s="234" t="str">
        <f>IFERROR(__xludf.DUMMYFUNCTION("""COMPUTED_VALUE"""),"SOC-BA2")</f>
        <v>SOC-BA2</v>
      </c>
      <c r="D457" s="234">
        <f>IFERROR(__xludf.DUMMYFUNCTION("""COMPUTED_VALUE"""),40.0)</f>
        <v>40</v>
      </c>
      <c r="E457" s="237" t="str">
        <f>IFERROR(__xludf.DUMMYFUNCTION("""COMPUTED_VALUE"""),"LT0PBF01RFOQ1")</f>
        <v>LT0PBF01RFOQ1</v>
      </c>
      <c r="F457" s="238" t="str">
        <f>IFERROR(__xludf.DUMMYFUNCTION("""COMPUTED_VALUE"""),"SWE2H93,TWZ4F15")</f>
        <v>SWE2H93,TWZ4F15</v>
      </c>
      <c r="G457" s="238">
        <f>IFERROR(__xludf.DUMMYFUNCTION("""COMPUTED_VALUE"""),45976.0)</f>
        <v>45976</v>
      </c>
      <c r="H457" s="238">
        <f>IFERROR(__xludf.DUMMYFUNCTION("""COMPUTED_VALUE"""),45976.33333333333)</f>
        <v>45976.33333</v>
      </c>
      <c r="I457" s="237" t="str">
        <f t="shared" si="1"/>
        <v>Fora</v>
      </c>
      <c r="J457" s="239">
        <v>479.9999999930151</v>
      </c>
    </row>
    <row r="458">
      <c r="A458" s="234" t="s">
        <v>2153</v>
      </c>
      <c r="B458" s="234" t="str">
        <f>IFERROR(__xludf.DUMMYFUNCTION("""COMPUTED_VALUE"""),"SoC_GO_Goiânia_02")</f>
        <v>SoC_GO_Goiânia_02</v>
      </c>
      <c r="C458" s="234" t="str">
        <f>IFERROR(__xludf.DUMMYFUNCTION("""COMPUTED_VALUE"""),"SOC-GO2")</f>
        <v>SOC-GO2</v>
      </c>
      <c r="D458" s="234">
        <f>IFERROR(__xludf.DUMMYFUNCTION("""COMPUTED_VALUE"""),33.0)</f>
        <v>33</v>
      </c>
      <c r="E458" s="237" t="str">
        <f>IFERROR(__xludf.DUMMYFUNCTION("""COMPUTED_VALUE"""),"LT0PBF01RFY01")</f>
        <v>LT0PBF01RFY01</v>
      </c>
      <c r="F458" s="238" t="str">
        <f>IFERROR(__xludf.DUMMYFUNCTION("""COMPUTED_VALUE"""),"TIR6J37,FSM1G51")</f>
        <v>TIR6J37,FSM1G51</v>
      </c>
      <c r="G458" s="238">
        <f>IFERROR(__xludf.DUMMYFUNCTION("""COMPUTED_VALUE"""),45976.0)</f>
        <v>45976</v>
      </c>
      <c r="H458" s="238">
        <f>IFERROR(__xludf.DUMMYFUNCTION("""COMPUTED_VALUE"""),45976.33333333333)</f>
        <v>45976.33333</v>
      </c>
      <c r="I458" s="237" t="str">
        <f t="shared" si="1"/>
        <v>Fora</v>
      </c>
      <c r="J458" s="239">
        <v>479.9999999930151</v>
      </c>
    </row>
    <row r="459">
      <c r="A459" s="234" t="s">
        <v>2154</v>
      </c>
      <c r="B459" s="234" t="str">
        <f>IFERROR(__xludf.DUMMYFUNCTION("""COMPUTED_VALUE"""),"SoC_RJ_Duque de Caxias")</f>
        <v>SoC_RJ_Duque de Caxias</v>
      </c>
      <c r="C459" s="234" t="str">
        <f>IFERROR(__xludf.DUMMYFUNCTION("""COMPUTED_VALUE"""),"SOC-RJ2")</f>
        <v>SOC-RJ2</v>
      </c>
      <c r="D459" s="234">
        <f>IFERROR(__xludf.DUMMYFUNCTION("""COMPUTED_VALUE"""),42.0)</f>
        <v>42</v>
      </c>
      <c r="E459" s="237" t="str">
        <f>IFERROR(__xludf.DUMMYFUNCTION("""COMPUTED_VALUE"""),"LT0PBF01RB2L1")</f>
        <v>LT0PBF01RB2L1</v>
      </c>
      <c r="F459" s="238" t="str">
        <f>IFERROR(__xludf.DUMMYFUNCTION("""COMPUTED_VALUE"""),"OLE2G02,NFC1G78")</f>
        <v>OLE2G02,NFC1G78</v>
      </c>
      <c r="G459" s="238">
        <f>IFERROR(__xludf.DUMMYFUNCTION("""COMPUTED_VALUE"""),45976.0)</f>
        <v>45976</v>
      </c>
      <c r="H459" s="238">
        <f>IFERROR(__xludf.DUMMYFUNCTION("""COMPUTED_VALUE"""),45976.33333333333)</f>
        <v>45976.33333</v>
      </c>
      <c r="I459" s="237" t="str">
        <f t="shared" si="1"/>
        <v>Fora</v>
      </c>
      <c r="J459" s="239">
        <v>479.9999999930151</v>
      </c>
    </row>
    <row r="460">
      <c r="A460" s="234" t="s">
        <v>2155</v>
      </c>
      <c r="B460" s="234" t="str">
        <f>IFERROR(__xludf.DUMMYFUNCTION("""COMPUTED_VALUE"""),"SoC_SC_Itajaí")</f>
        <v>SoC_SC_Itajaí</v>
      </c>
      <c r="C460" s="234" t="str">
        <f>IFERROR(__xludf.DUMMYFUNCTION("""COMPUTED_VALUE"""),"SOC-SC1")</f>
        <v>SOC-SC1</v>
      </c>
      <c r="D460" s="234">
        <f>IFERROR(__xludf.DUMMYFUNCTION("""COMPUTED_VALUE"""),22.0)</f>
        <v>22</v>
      </c>
      <c r="E460" s="237" t="str">
        <f>IFERROR(__xludf.DUMMYFUNCTION("""COMPUTED_VALUE"""),"LT0PBF01RE7T1")</f>
        <v>LT0PBF01RE7T1</v>
      </c>
      <c r="F460" s="238" t="str">
        <f>IFERROR(__xludf.DUMMYFUNCTION("""COMPUTED_VALUE"""),"FSH3A54,TPM2H63")</f>
        <v>FSH3A54,TPM2H63</v>
      </c>
      <c r="G460" s="238">
        <f>IFERROR(__xludf.DUMMYFUNCTION("""COMPUTED_VALUE"""),45976.0)</f>
        <v>45976</v>
      </c>
      <c r="H460" s="238">
        <f>IFERROR(__xludf.DUMMYFUNCTION("""COMPUTED_VALUE"""),45976.33333333333)</f>
        <v>45976.33333</v>
      </c>
      <c r="I460" s="237" t="str">
        <f t="shared" si="1"/>
        <v>Fora</v>
      </c>
      <c r="J460" s="239">
        <v>479.9999999930151</v>
      </c>
    </row>
    <row r="461">
      <c r="A461" s="234" t="s">
        <v>2156</v>
      </c>
      <c r="B461" s="234" t="str">
        <f>IFERROR(__xludf.DUMMYFUNCTION("""COMPUTED_VALUE"""),"SoC_SP_Cravinhos")</f>
        <v>SoC_SP_Cravinhos</v>
      </c>
      <c r="C461" s="234" t="str">
        <f>IFERROR(__xludf.DUMMYFUNCTION("""COMPUTED_VALUE"""),"SOC-SP5")</f>
        <v>SOC-SP5</v>
      </c>
      <c r="D461" s="234"/>
      <c r="E461" s="237" t="str">
        <f>IFERROR(__xludf.DUMMYFUNCTION("""COMPUTED_VALUE"""),"LT0PBF01R8932")</f>
        <v>LT0PBF01R8932</v>
      </c>
      <c r="F461" s="234"/>
      <c r="G461" s="238">
        <f>IFERROR(__xludf.DUMMYFUNCTION("""COMPUTED_VALUE"""),45976.0)</f>
        <v>45976</v>
      </c>
      <c r="H461" s="238">
        <f>IFERROR(__xludf.DUMMYFUNCTION("""COMPUTED_VALUE"""),45976.33333333333)</f>
        <v>45976.33333</v>
      </c>
      <c r="I461" s="237" t="str">
        <f t="shared" si="1"/>
        <v>Fora</v>
      </c>
      <c r="J461" s="239">
        <v>479.9999999930151</v>
      </c>
    </row>
    <row r="462">
      <c r="A462" s="234" t="s">
        <v>2157</v>
      </c>
      <c r="B462" s="234" t="str">
        <f>IFERROR(__xludf.DUMMYFUNCTION("""COMPUTED_VALUE"""),"SoC_SP_Louveira")</f>
        <v>SoC_SP_Louveira</v>
      </c>
      <c r="C462" s="234" t="str">
        <f>IFERROR(__xludf.DUMMYFUNCTION("""COMPUTED_VALUE"""),"SOC-SP7")</f>
        <v>SOC-SP7</v>
      </c>
      <c r="D462" s="234">
        <f>IFERROR(__xludf.DUMMYFUNCTION("""COMPUTED_VALUE"""),29.0)</f>
        <v>29</v>
      </c>
      <c r="E462" s="237" t="str">
        <f>IFERROR(__xludf.DUMMYFUNCTION("""COMPUTED_VALUE"""),"LT0PBF01R8A41")</f>
        <v>LT0PBF01R8A41</v>
      </c>
      <c r="F462" s="238" t="str">
        <f>IFERROR(__xludf.DUMMYFUNCTION("""COMPUTED_VALUE"""),"SWU9B89,RBC5B90")</f>
        <v>SWU9B89,RBC5B90</v>
      </c>
      <c r="G462" s="238">
        <f>IFERROR(__xludf.DUMMYFUNCTION("""COMPUTED_VALUE"""),45976.0)</f>
        <v>45976</v>
      </c>
      <c r="H462" s="238">
        <f>IFERROR(__xludf.DUMMYFUNCTION("""COMPUTED_VALUE"""),45976.33333333333)</f>
        <v>45976.33333</v>
      </c>
      <c r="I462" s="237" t="str">
        <f t="shared" si="1"/>
        <v>Fora</v>
      </c>
      <c r="J462" s="239">
        <v>475.99999999045394</v>
      </c>
    </row>
    <row r="463">
      <c r="A463" s="234" t="s">
        <v>2158</v>
      </c>
      <c r="B463" s="234" t="str">
        <f>IFERROR(__xludf.DUMMYFUNCTION("""COMPUTED_VALUE"""),"SoC_MG_Betim")</f>
        <v>SoC_MG_Betim</v>
      </c>
      <c r="C463" s="234" t="str">
        <f>IFERROR(__xludf.DUMMYFUNCTION("""COMPUTED_VALUE"""),"SOC-MG2")</f>
        <v>SOC-MG2</v>
      </c>
      <c r="D463" s="234"/>
      <c r="E463" s="237" t="str">
        <f>IFERROR(__xludf.DUMMYFUNCTION("""COMPUTED_VALUE"""),"LT0PBF01R8741")</f>
        <v>LT0PBF01R8741</v>
      </c>
      <c r="F463" s="238" t="str">
        <f>IFERROR(__xludf.DUMMYFUNCTION("""COMPUTED_VALUE"""),"SWJ6C56,RXK6D30")</f>
        <v>SWJ6C56,RXK6D30</v>
      </c>
      <c r="G463" s="238">
        <f>IFERROR(__xludf.DUMMYFUNCTION("""COMPUTED_VALUE"""),45976.00277777778)</f>
        <v>45976.00278</v>
      </c>
      <c r="H463" s="238">
        <f>IFERROR(__xludf.DUMMYFUNCTION("""COMPUTED_VALUE"""),45976.33333333333)</f>
        <v>45976.33333</v>
      </c>
      <c r="I463" s="237" t="str">
        <f t="shared" si="1"/>
        <v>Fora</v>
      </c>
      <c r="J463" s="239">
        <v>475.99999999045394</v>
      </c>
    </row>
    <row r="464">
      <c r="A464" s="234" t="s">
        <v>2159</v>
      </c>
      <c r="B464" s="234" t="str">
        <f>IFERROR(__xludf.DUMMYFUNCTION("""COMPUTED_VALUE"""),"SoC_MG_Betim")</f>
        <v>SoC_MG_Betim</v>
      </c>
      <c r="C464" s="234" t="str">
        <f>IFERROR(__xludf.DUMMYFUNCTION("""COMPUTED_VALUE"""),"SOC-MG2")</f>
        <v>SOC-MG2</v>
      </c>
      <c r="D464" s="234">
        <f>IFERROR(__xludf.DUMMYFUNCTION("""COMPUTED_VALUE"""),41.0)</f>
        <v>41</v>
      </c>
      <c r="E464" s="237" t="str">
        <f>IFERROR(__xludf.DUMMYFUNCTION("""COMPUTED_VALUE"""),"LT0PBF01R8762")</f>
        <v>LT0PBF01R8762</v>
      </c>
      <c r="F464" s="238" t="str">
        <f>IFERROR(__xludf.DUMMYFUNCTION("""COMPUTED_VALUE"""),"FNU0D51,RXK7I60")</f>
        <v>FNU0D51,RXK7I60</v>
      </c>
      <c r="G464" s="238">
        <f>IFERROR(__xludf.DUMMYFUNCTION("""COMPUTED_VALUE"""),45976.00277777778)</f>
        <v>45976.00278</v>
      </c>
      <c r="H464" s="238">
        <f>IFERROR(__xludf.DUMMYFUNCTION("""COMPUTED_VALUE"""),45976.33333333333)</f>
        <v>45976.33333</v>
      </c>
      <c r="I464" s="237" t="str">
        <f t="shared" si="1"/>
        <v>Fora</v>
      </c>
      <c r="J464" s="239">
        <v>479.9999999930151</v>
      </c>
    </row>
    <row r="465">
      <c r="A465" s="234" t="s">
        <v>2160</v>
      </c>
      <c r="B465" s="234" t="str">
        <f>IFERROR(__xludf.DUMMYFUNCTION("""COMPUTED_VALUE"""),"SoC_PE_Jaboatão dos Guararapes")</f>
        <v>SoC_PE_Jaboatão dos Guararapes</v>
      </c>
      <c r="C465" s="234" t="str">
        <f>IFERROR(__xludf.DUMMYFUNCTION("""COMPUTED_VALUE"""),"SOC-PE2")</f>
        <v>SOC-PE2</v>
      </c>
      <c r="D465" s="234">
        <f>IFERROR(__xludf.DUMMYFUNCTION("""COMPUTED_VALUE"""),36.0)</f>
        <v>36</v>
      </c>
      <c r="E465" s="237" t="str">
        <f>IFERROR(__xludf.DUMMYFUNCTION("""COMPUTED_VALUE"""),"LT0PBF01RFK11")</f>
        <v>LT0PBF01RFK11</v>
      </c>
      <c r="F465" s="238" t="str">
        <f>IFERROR(__xludf.DUMMYFUNCTION("""COMPUTED_VALUE"""),"FCG3B00,GHX6G72")</f>
        <v>FCG3B00,GHX6G72</v>
      </c>
      <c r="G465" s="238">
        <f>IFERROR(__xludf.DUMMYFUNCTION("""COMPUTED_VALUE"""),45976.04166666667)</f>
        <v>45976.04167</v>
      </c>
      <c r="H465" s="238">
        <f>IFERROR(__xludf.DUMMYFUNCTION("""COMPUTED_VALUE"""),45976.375)</f>
        <v>45976.375</v>
      </c>
      <c r="I465" s="237" t="str">
        <f t="shared" si="1"/>
        <v>Fora</v>
      </c>
      <c r="J465" s="239">
        <v>420.0000000069849</v>
      </c>
    </row>
    <row r="466">
      <c r="A466" s="234" t="s">
        <v>2161</v>
      </c>
      <c r="B466" s="234" t="str">
        <f>IFERROR(__xludf.DUMMYFUNCTION("""COMPUTED_VALUE"""),"SoC_SP_Santana")</f>
        <v>SoC_SP_Santana</v>
      </c>
      <c r="C466" s="234" t="str">
        <f>IFERROR(__xludf.DUMMYFUNCTION("""COMPUTED_VALUE"""),"SOC-SP2")</f>
        <v>SOC-SP2</v>
      </c>
      <c r="D466" s="234">
        <f>IFERROR(__xludf.DUMMYFUNCTION("""COMPUTED_VALUE"""),16.0)</f>
        <v>16</v>
      </c>
      <c r="E466" s="237" t="str">
        <f>IFERROR(__xludf.DUMMYFUNCTION("""COMPUTED_VALUE"""),"LT0PBF01R8WC1")</f>
        <v>LT0PBF01R8WC1</v>
      </c>
      <c r="F466" s="238" t="str">
        <f>IFERROR(__xludf.DUMMYFUNCTION("""COMPUTED_VALUE"""),"EJY6I98,DJE1615")</f>
        <v>EJY6I98,DJE1615</v>
      </c>
      <c r="G466" s="238">
        <f>IFERROR(__xludf.DUMMYFUNCTION("""COMPUTED_VALUE"""),45976.08333333333)</f>
        <v>45976.08333</v>
      </c>
      <c r="H466" s="238">
        <f>IFERROR(__xludf.DUMMYFUNCTION("""COMPUTED_VALUE"""),45976.375)</f>
        <v>45976.375</v>
      </c>
      <c r="I466" s="237" t="str">
        <f t="shared" si="1"/>
        <v>Fora</v>
      </c>
      <c r="J466" s="239">
        <v>480.00000001396984</v>
      </c>
    </row>
    <row r="467">
      <c r="A467" s="234" t="s">
        <v>2162</v>
      </c>
      <c r="B467" s="234" t="str">
        <f>IFERROR(__xludf.DUMMYFUNCTION("""COMPUTED_VALUE"""),"SoC_SP_Cravinhos")</f>
        <v>SoC_SP_Cravinhos</v>
      </c>
      <c r="C467" s="234" t="str">
        <f>IFERROR(__xludf.DUMMYFUNCTION("""COMPUTED_VALUE"""),"SOC-SP5")</f>
        <v>SOC-SP5</v>
      </c>
      <c r="D467" s="234">
        <f>IFERROR(__xludf.DUMMYFUNCTION("""COMPUTED_VALUE"""),44.0)</f>
        <v>44</v>
      </c>
      <c r="E467" s="237" t="str">
        <f>IFERROR(__xludf.DUMMYFUNCTION("""COMPUTED_VALUE"""),"LT0PBF01R8961")</f>
        <v>LT0PBF01R8961</v>
      </c>
      <c r="F467" s="238" t="str">
        <f>IFERROR(__xludf.DUMMYFUNCTION("""COMPUTED_VALUE"""),"TTS1B09,SWC1I56")</f>
        <v>TTS1B09,SWC1I56</v>
      </c>
      <c r="G467" s="238">
        <f>IFERROR(__xludf.DUMMYFUNCTION("""COMPUTED_VALUE"""),45976.08333333333)</f>
        <v>45976.08333</v>
      </c>
      <c r="H467" s="238">
        <f>IFERROR(__xludf.DUMMYFUNCTION("""COMPUTED_VALUE"""),45976.41666666667)</f>
        <v>45976.41667</v>
      </c>
      <c r="I467" s="237" t="str">
        <f t="shared" si="1"/>
        <v>Fora</v>
      </c>
      <c r="J467" s="239">
        <v>479.0000000107102</v>
      </c>
    </row>
    <row r="468">
      <c r="A468" s="234" t="s">
        <v>2163</v>
      </c>
      <c r="B468" s="234" t="str">
        <f>IFERROR(__xludf.DUMMYFUNCTION("""COMPUTED_VALUE"""),"SoC_RJ_Duque de Caxias")</f>
        <v>SoC_RJ_Duque de Caxias</v>
      </c>
      <c r="C468" s="234" t="str">
        <f>IFERROR(__xludf.DUMMYFUNCTION("""COMPUTED_VALUE"""),"SOC-RJ2")</f>
        <v>SOC-RJ2</v>
      </c>
      <c r="D468" s="234">
        <f>IFERROR(__xludf.DUMMYFUNCTION("""COMPUTED_VALUE"""),43.0)</f>
        <v>43</v>
      </c>
      <c r="E468" s="237" t="str">
        <f>IFERROR(__xludf.DUMMYFUNCTION("""COMPUTED_VALUE"""),"LT0PBF01RB2Z1")</f>
        <v>LT0PBF01RB2Z1</v>
      </c>
      <c r="F468" s="238" t="str">
        <f>IFERROR(__xludf.DUMMYFUNCTION("""COMPUTED_VALUE"""),"EJW5F77,MQF1293")</f>
        <v>EJW5F77,MQF1293</v>
      </c>
      <c r="G468" s="238">
        <f>IFERROR(__xludf.DUMMYFUNCTION("""COMPUTED_VALUE"""),45976.084027777775)</f>
        <v>45976.08403</v>
      </c>
      <c r="H468" s="238">
        <f>IFERROR(__xludf.DUMMYFUNCTION("""COMPUTED_VALUE"""),45976.41666666667)</f>
        <v>45976.41667</v>
      </c>
      <c r="I468" s="237" t="str">
        <f t="shared" si="1"/>
        <v>Fora</v>
      </c>
      <c r="J468" s="239">
        <v>479.0000000107102</v>
      </c>
    </row>
    <row r="469">
      <c r="A469" s="234" t="s">
        <v>2164</v>
      </c>
      <c r="B469" s="234" t="str">
        <f>IFERROR(__xludf.DUMMYFUNCTION("""COMPUTED_VALUE"""),"SoC_RJ_Duque de Caxias")</f>
        <v>SoC_RJ_Duque de Caxias</v>
      </c>
      <c r="C469" s="234" t="str">
        <f>IFERROR(__xludf.DUMMYFUNCTION("""COMPUTED_VALUE"""),"SOC-RJ2")</f>
        <v>SOC-RJ2</v>
      </c>
      <c r="D469" s="234">
        <f>IFERROR(__xludf.DUMMYFUNCTION("""COMPUTED_VALUE"""),45.0)</f>
        <v>45</v>
      </c>
      <c r="E469" s="237" t="str">
        <f>IFERROR(__xludf.DUMMYFUNCTION("""COMPUTED_VALUE"""),"LT0PBF01RB312")</f>
        <v>LT0PBF01RB312</v>
      </c>
      <c r="F469" s="238" t="str">
        <f>IFERROR(__xludf.DUMMYFUNCTION("""COMPUTED_VALUE"""),"FFD7D29,EZE0860")</f>
        <v>FFD7D29,EZE0860</v>
      </c>
      <c r="G469" s="238">
        <f>IFERROR(__xludf.DUMMYFUNCTION("""COMPUTED_VALUE"""),45976.084027777775)</f>
        <v>45976.08403</v>
      </c>
      <c r="H469" s="238">
        <f>IFERROR(__xludf.DUMMYFUNCTION("""COMPUTED_VALUE"""),45976.41666666667)</f>
        <v>45976.41667</v>
      </c>
      <c r="I469" s="237" t="str">
        <f t="shared" si="1"/>
        <v>Fora</v>
      </c>
      <c r="J469" s="239">
        <v>479.9999999930151</v>
      </c>
    </row>
    <row r="470">
      <c r="A470" s="234" t="s">
        <v>2165</v>
      </c>
      <c r="B470" s="234" t="str">
        <f>IFERROR(__xludf.DUMMYFUNCTION("""COMPUTED_VALUE"""),"SoC_BA_Simoes Filho")</f>
        <v>SoC_BA_Simoes Filho</v>
      </c>
      <c r="C470" s="234" t="str">
        <f>IFERROR(__xludf.DUMMYFUNCTION("""COMPUTED_VALUE"""),"SOC-BA2")</f>
        <v>SOC-BA2</v>
      </c>
      <c r="D470" s="234">
        <f>IFERROR(__xludf.DUMMYFUNCTION("""COMPUTED_VALUE"""),37.0)</f>
        <v>37</v>
      </c>
      <c r="E470" s="237" t="str">
        <f>IFERROR(__xludf.DUMMYFUNCTION("""COMPUTED_VALUE"""),"LT0PBF01RFOW1")</f>
        <v>LT0PBF01RFOW1</v>
      </c>
      <c r="F470" s="238" t="str">
        <f>IFERROR(__xludf.DUMMYFUNCTION("""COMPUTED_VALUE"""),"FJH8A41,TEX4B02")</f>
        <v>FJH8A41,TEX4B02</v>
      </c>
      <c r="G470" s="238">
        <f>IFERROR(__xludf.DUMMYFUNCTION("""COMPUTED_VALUE"""),45976.125)</f>
        <v>45976.125</v>
      </c>
      <c r="H470" s="238">
        <f>IFERROR(__xludf.DUMMYFUNCTION("""COMPUTED_VALUE"""),45976.45833333333)</f>
        <v>45976.45833</v>
      </c>
      <c r="I470" s="237" t="str">
        <f t="shared" si="1"/>
        <v>Fora</v>
      </c>
      <c r="J470" s="239">
        <v>479.9999999930151</v>
      </c>
    </row>
    <row r="471">
      <c r="A471" s="234" t="s">
        <v>2166</v>
      </c>
      <c r="B471" s="234" t="str">
        <f>IFERROR(__xludf.DUMMYFUNCTION("""COMPUTED_VALUE"""),"SoC_SP_Louveira")</f>
        <v>SoC_SP_Louveira</v>
      </c>
      <c r="C471" s="234" t="str">
        <f>IFERROR(__xludf.DUMMYFUNCTION("""COMPUTED_VALUE"""),"SOC-SP7")</f>
        <v>SOC-SP7</v>
      </c>
      <c r="D471" s="234"/>
      <c r="E471" s="237" t="str">
        <f>IFERROR(__xludf.DUMMYFUNCTION("""COMPUTED_VALUE"""),"LT0PBF01R8A91")</f>
        <v>LT0PBF01R8A91</v>
      </c>
      <c r="F471" s="238" t="str">
        <f>IFERROR(__xludf.DUMMYFUNCTION("""COMPUTED_VALUE"""),"-")</f>
        <v>-</v>
      </c>
      <c r="G471" s="238">
        <f>IFERROR(__xludf.DUMMYFUNCTION("""COMPUTED_VALUE"""),45976.125)</f>
        <v>45976.125</v>
      </c>
      <c r="H471" s="238">
        <f>IFERROR(__xludf.DUMMYFUNCTION("""COMPUTED_VALUE"""),45976.45833333333)</f>
        <v>45976.45833</v>
      </c>
      <c r="I471" s="237" t="str">
        <f t="shared" si="1"/>
        <v>Fora</v>
      </c>
      <c r="J471" s="239">
        <v>0.0</v>
      </c>
    </row>
    <row r="472">
      <c r="A472" s="234" t="s">
        <v>2167</v>
      </c>
      <c r="B472" s="234" t="str">
        <f>IFERROR(__xludf.DUMMYFUNCTION("""COMPUTED_VALUE"""),"LM Hub_SP_Artur Alvim")</f>
        <v>LM Hub_SP_Artur Alvim</v>
      </c>
      <c r="C472" s="234" t="str">
        <f>IFERROR(__xludf.DUMMYFUNCTION("""COMPUTED_VALUE"""),"HUB-LSP-07")</f>
        <v>HUB-LSP-07</v>
      </c>
      <c r="D472" s="234"/>
      <c r="E472" s="237" t="str">
        <f>IFERROR(__xludf.DUMMYFUNCTION("""COMPUTED_VALUE"""),"LT1PBE01RSF81")</f>
        <v>LT1PBE01RSF81</v>
      </c>
      <c r="F472" s="238" t="str">
        <f>IFERROR(__xludf.DUMMYFUNCTION("""COMPUTED_VALUE"""),"-")</f>
        <v>-</v>
      </c>
      <c r="G472" s="234"/>
      <c r="H472" s="234"/>
      <c r="I472" s="237" t="str">
        <f t="shared" si="1"/>
        <v>Dentro</v>
      </c>
      <c r="J472" s="239">
        <v>0.0</v>
      </c>
    </row>
    <row r="473">
      <c r="A473" s="234" t="s">
        <v>2168</v>
      </c>
      <c r="B473" s="234" t="str">
        <f>IFERROR(__xludf.DUMMYFUNCTION("""COMPUTED_VALUE"""),"LM Hub_SP_São José dos Campos")</f>
        <v>LM Hub_SP_São José dos Campos</v>
      </c>
      <c r="C473" s="234" t="str">
        <f>IFERROR(__xludf.DUMMYFUNCTION("""COMPUTED_VALUE"""),"HUB-LSP-04")</f>
        <v>HUB-LSP-04</v>
      </c>
      <c r="D473" s="234"/>
      <c r="E473" s="237" t="str">
        <f>IFERROR(__xludf.DUMMYFUNCTION("""COMPUTED_VALUE"""),"LT1PBE01RSFC1")</f>
        <v>LT1PBE01RSFC1</v>
      </c>
      <c r="F473" s="234" t="str">
        <f>IFERROR(__xludf.DUMMYFUNCTION("""COMPUTED_VALUE"""),"TIR7J78")</f>
        <v>TIR7J78</v>
      </c>
      <c r="G473" s="234"/>
      <c r="H473" s="234"/>
      <c r="I473" s="237" t="str">
        <f t="shared" si="1"/>
        <v>Dentro</v>
      </c>
      <c r="J473" s="239">
        <v>0.0</v>
      </c>
    </row>
    <row r="474">
      <c r="A474" s="234" t="s">
        <v>2169</v>
      </c>
      <c r="B474" s="234" t="str">
        <f>IFERROR(__xludf.DUMMYFUNCTION("""COMPUTED_VALUE"""),"LM Hub_SP_São Paulo_Carandiru")</f>
        <v>LM Hub_SP_São Paulo_Carandiru</v>
      </c>
      <c r="C474" s="234" t="str">
        <f>IFERROR(__xludf.DUMMYFUNCTION("""COMPUTED_VALUE"""),"HUB-LSP-18")</f>
        <v>HUB-LSP-18</v>
      </c>
      <c r="D474" s="234"/>
      <c r="E474" s="237" t="str">
        <f>IFERROR(__xludf.DUMMYFUNCTION("""COMPUTED_VALUE"""),"LT1PBE01RSFB1")</f>
        <v>LT1PBE01RSFB1</v>
      </c>
      <c r="F474" s="238" t="str">
        <f>IFERROR(__xludf.DUMMYFUNCTION("""COMPUTED_VALUE"""),"-")</f>
        <v>-</v>
      </c>
      <c r="G474" s="234"/>
      <c r="H474" s="234"/>
      <c r="I474" s="237" t="str">
        <f t="shared" si="1"/>
        <v>Dentro</v>
      </c>
      <c r="J474" s="239" t="e">
        <v>#VALUE!</v>
      </c>
    </row>
    <row r="475">
      <c r="A475" s="234" t="s">
        <v>2170</v>
      </c>
      <c r="B475" s="234" t="str">
        <f>IFERROR(__xludf.DUMMYFUNCTION("""COMPUTED_VALUE"""),"LM Hub_ES_Viana")</f>
        <v>LM Hub_ES_Viana</v>
      </c>
      <c r="C475" s="234" t="str">
        <f>IFERROR(__xludf.DUMMYFUNCTION("""COMPUTED_VALUE"""),"HUB-LES-09")</f>
        <v>HUB-LES-09</v>
      </c>
      <c r="D475" s="234">
        <f>IFERROR(__xludf.DUMMYFUNCTION("""COMPUTED_VALUE"""),6.0)</f>
        <v>6</v>
      </c>
      <c r="E475" s="237" t="str">
        <f>IFERROR(__xludf.DUMMYFUNCTION("""COMPUTED_VALUE"""),"LT0PBF01RDKC1")</f>
        <v>LT0PBF01RDKC1</v>
      </c>
      <c r="F475" s="238" t="str">
        <f>IFERROR(__xludf.DUMMYFUNCTION("""COMPUTED_VALUE"""),"-")</f>
        <v>-</v>
      </c>
      <c r="G475" s="238" t="str">
        <f>IFERROR(__xludf.DUMMYFUNCTION("""COMPUTED_VALUE"""),"-")</f>
        <v>-</v>
      </c>
      <c r="H475" s="238" t="str">
        <f>IFERROR(__xludf.DUMMYFUNCTION("""COMPUTED_VALUE"""),"-")</f>
        <v>-</v>
      </c>
      <c r="I475" s="237" t="str">
        <f t="shared" si="1"/>
        <v>Dentro</v>
      </c>
      <c r="J475" s="239" t="e">
        <v>#VALUE!</v>
      </c>
    </row>
    <row r="476">
      <c r="A476" s="234" t="s">
        <v>2171</v>
      </c>
      <c r="B476" s="234" t="str">
        <f>IFERROR(__xludf.DUMMYFUNCTION("""COMPUTED_VALUE"""),"SoC_BA_Simoes Filho")</f>
        <v>SoC_BA_Simoes Filho</v>
      </c>
      <c r="C476" s="234" t="str">
        <f>IFERROR(__xludf.DUMMYFUNCTION("""COMPUTED_VALUE"""),"SOC-BA2")</f>
        <v>SOC-BA2</v>
      </c>
      <c r="D476" s="234">
        <f>IFERROR(__xludf.DUMMYFUNCTION("""COMPUTED_VALUE"""),12.0)</f>
        <v>12</v>
      </c>
      <c r="E476" s="237" t="str">
        <f>IFERROR(__xludf.DUMMYFUNCTION("""COMPUTED_VALUE"""),"LT0PBF01RFPC1")</f>
        <v>LT0PBF01RFPC1</v>
      </c>
      <c r="F476" s="238" t="str">
        <f>IFERROR(__xludf.DUMMYFUNCTION("""COMPUTED_VALUE"""),"-")</f>
        <v>-</v>
      </c>
      <c r="G476" s="238" t="str">
        <f>IFERROR(__xludf.DUMMYFUNCTION("""COMPUTED_VALUE"""),"-")</f>
        <v>-</v>
      </c>
      <c r="H476" s="238" t="str">
        <f>IFERROR(__xludf.DUMMYFUNCTION("""COMPUTED_VALUE"""),"-")</f>
        <v>-</v>
      </c>
      <c r="I476" s="237" t="str">
        <f t="shared" si="1"/>
        <v>Dentro</v>
      </c>
      <c r="J476" s="239" t="e">
        <v>#VALUE!</v>
      </c>
    </row>
    <row r="477">
      <c r="A477" s="234" t="s">
        <v>2172</v>
      </c>
      <c r="B477" s="234" t="str">
        <f>IFERROR(__xludf.DUMMYFUNCTION("""COMPUTED_VALUE"""),"SoC_BA_Simoes Filho")</f>
        <v>SoC_BA_Simoes Filho</v>
      </c>
      <c r="C477" s="234" t="str">
        <f>IFERROR(__xludf.DUMMYFUNCTION("""COMPUTED_VALUE"""),"SOC-BA2")</f>
        <v>SOC-BA2</v>
      </c>
      <c r="D477" s="234">
        <f>IFERROR(__xludf.DUMMYFUNCTION("""COMPUTED_VALUE"""),13.0)</f>
        <v>13</v>
      </c>
      <c r="E477" s="237" t="str">
        <f>IFERROR(__xludf.DUMMYFUNCTION("""COMPUTED_VALUE"""),"LT0PBG01RFOR1")</f>
        <v>LT0PBG01RFOR1</v>
      </c>
      <c r="F477" s="238" t="str">
        <f>IFERROR(__xludf.DUMMYFUNCTION("""COMPUTED_VALUE"""),"-")</f>
        <v>-</v>
      </c>
      <c r="G477" s="238" t="str">
        <f>IFERROR(__xludf.DUMMYFUNCTION("""COMPUTED_VALUE"""),"-")</f>
        <v>-</v>
      </c>
      <c r="H477" s="238" t="str">
        <f>IFERROR(__xludf.DUMMYFUNCTION("""COMPUTED_VALUE"""),"-")</f>
        <v>-</v>
      </c>
      <c r="I477" s="237" t="str">
        <f t="shared" si="1"/>
        <v>Dentro</v>
      </c>
      <c r="J477" s="239" t="e">
        <v>#VALUE!</v>
      </c>
    </row>
    <row r="478">
      <c r="A478" s="234" t="s">
        <v>2173</v>
      </c>
      <c r="B478" s="234" t="str">
        <f>IFERROR(__xludf.DUMMYFUNCTION("""COMPUTED_VALUE"""),"SoC_BA_Simoes Filho")</f>
        <v>SoC_BA_Simoes Filho</v>
      </c>
      <c r="C478" s="234" t="str">
        <f>IFERROR(__xludf.DUMMYFUNCTION("""COMPUTED_VALUE"""),"SOC-BA2")</f>
        <v>SOC-BA2</v>
      </c>
      <c r="D478" s="234">
        <f>IFERROR(__xludf.DUMMYFUNCTION("""COMPUTED_VALUE"""),15.0)</f>
        <v>15</v>
      </c>
      <c r="E478" s="237" t="str">
        <f>IFERROR(__xludf.DUMMYFUNCTION("""COMPUTED_VALUE"""),"LT0PBG01RFOX1")</f>
        <v>LT0PBG01RFOX1</v>
      </c>
      <c r="F478" s="238" t="str">
        <f>IFERROR(__xludf.DUMMYFUNCTION("""COMPUTED_VALUE"""),"-")</f>
        <v>-</v>
      </c>
      <c r="G478" s="238" t="str">
        <f>IFERROR(__xludf.DUMMYFUNCTION("""COMPUTED_VALUE"""),"-")</f>
        <v>-</v>
      </c>
      <c r="H478" s="238" t="str">
        <f>IFERROR(__xludf.DUMMYFUNCTION("""COMPUTED_VALUE"""),"-")</f>
        <v>-</v>
      </c>
      <c r="I478" s="237" t="str">
        <f t="shared" si="1"/>
        <v>Dentro</v>
      </c>
      <c r="J478" s="239" t="e">
        <v>#VALUE!</v>
      </c>
    </row>
    <row r="479">
      <c r="A479" s="234" t="s">
        <v>2174</v>
      </c>
      <c r="B479" s="234" t="str">
        <f>IFERROR(__xludf.DUMMYFUNCTION("""COMPUTED_VALUE"""),"SoC_PE_Jaboatão dos Guararapes")</f>
        <v>SoC_PE_Jaboatão dos Guararapes</v>
      </c>
      <c r="C479" s="234" t="str">
        <f>IFERROR(__xludf.DUMMYFUNCTION("""COMPUTED_VALUE"""),"SOC-PE2")</f>
        <v>SOC-PE2</v>
      </c>
      <c r="D479" s="234">
        <f>IFERROR(__xludf.DUMMYFUNCTION("""COMPUTED_VALUE"""),33.0)</f>
        <v>33</v>
      </c>
      <c r="E479" s="237" t="str">
        <f>IFERROR(__xludf.DUMMYFUNCTION("""COMPUTED_VALUE"""),"LT0PBG01RFJZ1")</f>
        <v>LT0PBG01RFJZ1</v>
      </c>
      <c r="F479" s="238" t="str">
        <f>IFERROR(__xludf.DUMMYFUNCTION("""COMPUTED_VALUE"""),"-")</f>
        <v>-</v>
      </c>
      <c r="G479" s="238" t="str">
        <f>IFERROR(__xludf.DUMMYFUNCTION("""COMPUTED_VALUE"""),"-")</f>
        <v>-</v>
      </c>
      <c r="H479" s="238" t="str">
        <f>IFERROR(__xludf.DUMMYFUNCTION("""COMPUTED_VALUE"""),"-")</f>
        <v>-</v>
      </c>
      <c r="I479" s="237" t="str">
        <f t="shared" si="1"/>
        <v>Dentro</v>
      </c>
      <c r="J479" s="239">
        <v>0.0</v>
      </c>
    </row>
    <row r="480">
      <c r="A480" s="234" t="s">
        <v>2175</v>
      </c>
      <c r="B480" s="234" t="str">
        <f>IFERROR(__xludf.DUMMYFUNCTION("""COMPUTED_VALUE"""),"LM Hub_SP_Barueri_01")</f>
        <v>LM Hub_SP_Barueri_01</v>
      </c>
      <c r="C480" s="234" t="str">
        <f>IFERROR(__xludf.DUMMYFUNCTION("""COMPUTED_VALUE"""),"HUB-LSP-81")</f>
        <v>HUB-LSP-81</v>
      </c>
      <c r="D480" s="234">
        <f>IFERROR(__xludf.DUMMYFUNCTION("""COMPUTED_VALUE"""),8.0)</f>
        <v>8</v>
      </c>
      <c r="E480" s="237" t="str">
        <f>IFERROR(__xludf.DUMMYFUNCTION("""COMPUTED_VALUE"""),"LT0PBF01RF9Q1")</f>
        <v>LT0PBF01RF9Q1</v>
      </c>
      <c r="F480" s="238" t="str">
        <f>IFERROR(__xludf.DUMMYFUNCTION("""COMPUTED_VALUE"""),"-")</f>
        <v>-</v>
      </c>
      <c r="G480" s="234"/>
      <c r="H480" s="234"/>
      <c r="I480" s="237" t="str">
        <f t="shared" si="1"/>
        <v>Dentro</v>
      </c>
      <c r="J480" s="239">
        <v>0.0</v>
      </c>
    </row>
    <row r="481">
      <c r="A481" s="234" t="s">
        <v>2176</v>
      </c>
      <c r="B481" s="234" t="str">
        <f>IFERROR(__xludf.DUMMYFUNCTION("""COMPUTED_VALUE"""),"LM Hub_SP_Embu das Artes_02")</f>
        <v>LM Hub_SP_Embu das Artes_02</v>
      </c>
      <c r="C481" s="234" t="str">
        <f>IFERROR(__xludf.DUMMYFUNCTION("""COMPUTED_VALUE"""),"HUB-LSP-96")</f>
        <v>HUB-LSP-96</v>
      </c>
      <c r="D481" s="234">
        <f>IFERROR(__xludf.DUMMYFUNCTION("""COMPUTED_VALUE"""),14.0)</f>
        <v>14</v>
      </c>
      <c r="E481" s="237" t="str">
        <f>IFERROR(__xludf.DUMMYFUNCTION("""COMPUTED_VALUE"""),"LT0PBF01RD3X1")</f>
        <v>LT0PBF01RD3X1</v>
      </c>
      <c r="F481" s="238" t="str">
        <f>IFERROR(__xludf.DUMMYFUNCTION("""COMPUTED_VALUE"""),"-")</f>
        <v>-</v>
      </c>
      <c r="G481" s="234"/>
      <c r="H481" s="234"/>
      <c r="I481" s="237" t="str">
        <f t="shared" si="1"/>
        <v>Dentro</v>
      </c>
      <c r="J481" s="239">
        <v>0.0</v>
      </c>
    </row>
    <row r="482">
      <c r="A482" s="234" t="s">
        <v>2177</v>
      </c>
      <c r="B482" s="234" t="str">
        <f>IFERROR(__xludf.DUMMYFUNCTION("""COMPUTED_VALUE"""),"LM Hub_SP_Guarujá")</f>
        <v>LM Hub_SP_Guarujá</v>
      </c>
      <c r="C482" s="234" t="str">
        <f>IFERROR(__xludf.DUMMYFUNCTION("""COMPUTED_VALUE"""),"HUB-LSP-06")</f>
        <v>HUB-LSP-06</v>
      </c>
      <c r="D482" s="234">
        <f>IFERROR(__xludf.DUMMYFUNCTION("""COMPUTED_VALUE"""),12.0)</f>
        <v>12</v>
      </c>
      <c r="E482" s="237" t="str">
        <f>IFERROR(__xludf.DUMMYFUNCTION("""COMPUTED_VALUE"""),"LT0PBF01R8DH1")</f>
        <v>LT0PBF01R8DH1</v>
      </c>
      <c r="F482" s="238" t="str">
        <f>IFERROR(__xludf.DUMMYFUNCTION("""COMPUTED_VALUE"""),"-")</f>
        <v>-</v>
      </c>
      <c r="G482" s="234"/>
      <c r="H482" s="234"/>
      <c r="I482" s="237" t="str">
        <f t="shared" si="1"/>
        <v>Dentro</v>
      </c>
      <c r="J482" s="239">
        <v>0.0</v>
      </c>
    </row>
    <row r="483">
      <c r="A483" s="234" t="s">
        <v>2178</v>
      </c>
      <c r="B483" s="234" t="str">
        <f>IFERROR(__xludf.DUMMYFUNCTION("""COMPUTED_VALUE"""),"LM Hub_SP_Jardim Adriana")</f>
        <v>LM Hub_SP_Jardim Adriana</v>
      </c>
      <c r="C483" s="234" t="str">
        <f>IFERROR(__xludf.DUMMYFUNCTION("""COMPUTED_VALUE"""),"HUB-LSP-12")</f>
        <v>HUB-LSP-12</v>
      </c>
      <c r="D483" s="234">
        <f>IFERROR(__xludf.DUMMYFUNCTION("""COMPUTED_VALUE"""),7.0)</f>
        <v>7</v>
      </c>
      <c r="E483" s="237" t="str">
        <f>IFERROR(__xludf.DUMMYFUNCTION("""COMPUTED_VALUE"""),"LT0PBF01RIWZ1")</f>
        <v>LT0PBF01RIWZ1</v>
      </c>
      <c r="F483" s="238" t="str">
        <f>IFERROR(__xludf.DUMMYFUNCTION("""COMPUTED_VALUE"""),"-")</f>
        <v>-</v>
      </c>
      <c r="G483" s="234"/>
      <c r="H483" s="234"/>
      <c r="I483" s="237" t="str">
        <f t="shared" si="1"/>
        <v>Dentro</v>
      </c>
      <c r="J483" s="239">
        <v>0.0</v>
      </c>
    </row>
    <row r="484">
      <c r="A484" s="234" t="s">
        <v>2179</v>
      </c>
      <c r="B484" s="234" t="str">
        <f>IFERROR(__xludf.DUMMYFUNCTION("""COMPUTED_VALUE"""),"LM Hub_SP_Santo André")</f>
        <v>LM Hub_SP_Santo André</v>
      </c>
      <c r="C484" s="234" t="str">
        <f>IFERROR(__xludf.DUMMYFUNCTION("""COMPUTED_VALUE"""),"HUB-LSP-93")</f>
        <v>HUB-LSP-93</v>
      </c>
      <c r="D484" s="234">
        <f>IFERROR(__xludf.DUMMYFUNCTION("""COMPUTED_VALUE"""),23.0)</f>
        <v>23</v>
      </c>
      <c r="E484" s="237" t="str">
        <f>IFERROR(__xludf.DUMMYFUNCTION("""COMPUTED_VALUE"""),"LT0PBF01RBQ41")</f>
        <v>LT0PBF01RBQ41</v>
      </c>
      <c r="F484" s="238" t="str">
        <f>IFERROR(__xludf.DUMMYFUNCTION("""COMPUTED_VALUE"""),"-")</f>
        <v>-</v>
      </c>
      <c r="G484" s="234"/>
      <c r="H484" s="234"/>
      <c r="I484" s="237" t="str">
        <f t="shared" si="1"/>
        <v>Dentro</v>
      </c>
      <c r="J484" s="239">
        <v>0.0</v>
      </c>
    </row>
    <row r="485">
      <c r="A485" s="234" t="s">
        <v>2180</v>
      </c>
      <c r="B485" s="234" t="str">
        <f>IFERROR(__xludf.DUMMYFUNCTION("""COMPUTED_VALUE"""),"LM Hub_SP_São Paulo_Carandiru")</f>
        <v>LM Hub_SP_São Paulo_Carandiru</v>
      </c>
      <c r="C485" s="234" t="str">
        <f>IFERROR(__xludf.DUMMYFUNCTION("""COMPUTED_VALUE"""),"HUB-LSP-18")</f>
        <v>HUB-LSP-18</v>
      </c>
      <c r="D485" s="234">
        <f>IFERROR(__xludf.DUMMYFUNCTION("""COMPUTED_VALUE"""),25.0)</f>
        <v>25</v>
      </c>
      <c r="E485" s="237" t="str">
        <f>IFERROR(__xludf.DUMMYFUNCTION("""COMPUTED_VALUE"""),"LT0PBF01R8BF1")</f>
        <v>LT0PBF01R8BF1</v>
      </c>
      <c r="F485" s="238" t="str">
        <f>IFERROR(__xludf.DUMMYFUNCTION("""COMPUTED_VALUE"""),"-")</f>
        <v>-</v>
      </c>
      <c r="G485" s="234"/>
      <c r="H485" s="234"/>
      <c r="I485" s="237" t="str">
        <f t="shared" si="1"/>
        <v>Dentro</v>
      </c>
      <c r="J485" s="239">
        <v>0.0</v>
      </c>
    </row>
    <row r="486">
      <c r="A486" s="234" t="s">
        <v>2181</v>
      </c>
      <c r="B486" s="234" t="str">
        <f>IFERROR(__xludf.DUMMYFUNCTION("""COMPUTED_VALUE"""),"LM Hub_SP_Sumaré_Nova Veneza_1")</f>
        <v>LM Hub_SP_Sumaré_Nova Veneza_1</v>
      </c>
      <c r="C486" s="234" t="str">
        <f>IFERROR(__xludf.DUMMYFUNCTION("""COMPUTED_VALUE"""),"HUB-LSP-88")</f>
        <v>HUB-LSP-88</v>
      </c>
      <c r="D486" s="234">
        <f>IFERROR(__xludf.DUMMYFUNCTION("""COMPUTED_VALUE"""),13.0)</f>
        <v>13</v>
      </c>
      <c r="E486" s="237" t="str">
        <f>IFERROR(__xludf.DUMMYFUNCTION("""COMPUTED_VALUE"""),"LT0PBF01RF3R1")</f>
        <v>LT0PBF01RF3R1</v>
      </c>
      <c r="F486" s="238" t="str">
        <f>IFERROR(__xludf.DUMMYFUNCTION("""COMPUTED_VALUE"""),"-")</f>
        <v>-</v>
      </c>
      <c r="G486" s="234"/>
      <c r="H486" s="234"/>
      <c r="I486" s="237" t="str">
        <f t="shared" si="1"/>
        <v>Dentro</v>
      </c>
      <c r="J486" s="239">
        <v>0.0</v>
      </c>
    </row>
    <row r="487">
      <c r="A487" s="234" t="s">
        <v>2182</v>
      </c>
      <c r="B487" s="234" t="str">
        <f>IFERROR(__xludf.DUMMYFUNCTION("""COMPUTED_VALUE"""),"LM Hub_SP_Zimba")</f>
        <v>LM Hub_SP_Zimba</v>
      </c>
      <c r="C487" s="234" t="str">
        <f>IFERROR(__xludf.DUMMYFUNCTION("""COMPUTED_VALUE"""),"-")</f>
        <v>-</v>
      </c>
      <c r="D487" s="234">
        <f>IFERROR(__xludf.DUMMYFUNCTION("""COMPUTED_VALUE"""),5.0)</f>
        <v>5</v>
      </c>
      <c r="E487" s="237" t="str">
        <f>IFERROR(__xludf.DUMMYFUNCTION("""COMPUTED_VALUE"""),"LT1PBF01S8T41")</f>
        <v>LT1PBF01S8T41</v>
      </c>
      <c r="F487" s="238" t="str">
        <f>IFERROR(__xludf.DUMMYFUNCTION("""COMPUTED_VALUE"""),"-")</f>
        <v>-</v>
      </c>
      <c r="G487" s="234"/>
      <c r="H487" s="234"/>
      <c r="I487" s="237" t="str">
        <f t="shared" si="1"/>
        <v>Dentro</v>
      </c>
      <c r="J487" s="239">
        <v>0.0</v>
      </c>
    </row>
    <row r="488">
      <c r="A488" s="234" t="s">
        <v>2183</v>
      </c>
      <c r="B488" s="234" t="str">
        <f>IFERROR(__xludf.DUMMYFUNCTION("""COMPUTED_VALUE"""),"SoC_BA_Simoes Filho")</f>
        <v>SoC_BA_Simoes Filho</v>
      </c>
      <c r="C488" s="234" t="str">
        <f>IFERROR(__xludf.DUMMYFUNCTION("""COMPUTED_VALUE"""),"SOC-BA2")</f>
        <v>SOC-BA2</v>
      </c>
      <c r="D488" s="234"/>
      <c r="E488" s="237" t="str">
        <f>IFERROR(__xludf.DUMMYFUNCTION("""COMPUTED_VALUE"""),"LT1PBG01S8AW1")</f>
        <v>LT1PBG01S8AW1</v>
      </c>
      <c r="F488" s="238" t="str">
        <f>IFERROR(__xludf.DUMMYFUNCTION("""COMPUTED_VALUE"""),"-")</f>
        <v>-</v>
      </c>
      <c r="G488" s="234"/>
      <c r="H488" s="234"/>
      <c r="I488" s="237" t="str">
        <f t="shared" si="1"/>
        <v>Dentro</v>
      </c>
      <c r="J488" s="239">
        <v>0.0</v>
      </c>
    </row>
    <row r="489">
      <c r="A489" s="234" t="s">
        <v>2184</v>
      </c>
      <c r="B489" s="234" t="str">
        <f>IFERROR(__xludf.DUMMYFUNCTION("""COMPUTED_VALUE"""),"SoC_BA_Simoes Filho")</f>
        <v>SoC_BA_Simoes Filho</v>
      </c>
      <c r="C489" s="234" t="str">
        <f>IFERROR(__xludf.DUMMYFUNCTION("""COMPUTED_VALUE"""),"SOC-BA2")</f>
        <v>SOC-BA2</v>
      </c>
      <c r="D489" s="234"/>
      <c r="E489" s="237" t="str">
        <f>IFERROR(__xludf.DUMMYFUNCTION("""COMPUTED_VALUE"""),"LT1PBG01S8O91")</f>
        <v>LT1PBG01S8O91</v>
      </c>
      <c r="F489" s="238" t="str">
        <f>IFERROR(__xludf.DUMMYFUNCTION("""COMPUTED_VALUE"""),"-")</f>
        <v>-</v>
      </c>
      <c r="G489" s="234"/>
      <c r="H489" s="234"/>
      <c r="I489" s="237" t="str">
        <f t="shared" si="1"/>
        <v>Dentro</v>
      </c>
      <c r="J489" s="239">
        <v>0.0</v>
      </c>
    </row>
    <row r="490">
      <c r="A490" s="234" t="s">
        <v>2185</v>
      </c>
      <c r="B490" s="234" t="str">
        <f>IFERROR(__xludf.DUMMYFUNCTION("""COMPUTED_VALUE"""),"SoC_BA_Simoes Filho")</f>
        <v>SoC_BA_Simoes Filho</v>
      </c>
      <c r="C490" s="234" t="str">
        <f>IFERROR(__xludf.DUMMYFUNCTION("""COMPUTED_VALUE"""),"SOC-BA2")</f>
        <v>SOC-BA2</v>
      </c>
      <c r="D490" s="234">
        <f>IFERROR(__xludf.DUMMYFUNCTION("""COMPUTED_VALUE"""),33.0)</f>
        <v>33</v>
      </c>
      <c r="E490" s="237" t="str">
        <f>IFERROR(__xludf.DUMMYFUNCTION("""COMPUTED_VALUE"""),"LT1PBG01S8TB1")</f>
        <v>LT1PBG01S8TB1</v>
      </c>
      <c r="F490" s="238" t="str">
        <f>IFERROR(__xludf.DUMMYFUNCTION("""COMPUTED_VALUE"""),"-")</f>
        <v>-</v>
      </c>
      <c r="G490" s="234"/>
      <c r="H490" s="234"/>
      <c r="I490" s="237" t="str">
        <f t="shared" si="1"/>
        <v>Dentro</v>
      </c>
      <c r="J490" s="239">
        <v>0.0</v>
      </c>
    </row>
    <row r="491">
      <c r="A491" s="234" t="s">
        <v>2186</v>
      </c>
      <c r="B491" s="234" t="str">
        <f>IFERROR(__xludf.DUMMYFUNCTION("""COMPUTED_VALUE"""),"SoC_GO_Goiânia_02")</f>
        <v>SoC_GO_Goiânia_02</v>
      </c>
      <c r="C491" s="234" t="str">
        <f>IFERROR(__xludf.DUMMYFUNCTION("""COMPUTED_VALUE"""),"SOC-GO2")</f>
        <v>SOC-GO2</v>
      </c>
      <c r="D491" s="234">
        <f>IFERROR(__xludf.DUMMYFUNCTION("""COMPUTED_VALUE"""),23.0)</f>
        <v>23</v>
      </c>
      <c r="E491" s="237" t="str">
        <f>IFERROR(__xludf.DUMMYFUNCTION("""COMPUTED_VALUE"""),"LT1PBG01S5KI1")</f>
        <v>LT1PBG01S5KI1</v>
      </c>
      <c r="F491" s="238" t="str">
        <f>IFERROR(__xludf.DUMMYFUNCTION("""COMPUTED_VALUE"""),"-")</f>
        <v>-</v>
      </c>
      <c r="G491" s="234"/>
      <c r="H491" s="234"/>
      <c r="I491" s="237" t="str">
        <f t="shared" si="1"/>
        <v>Dentro</v>
      </c>
      <c r="J491" s="239">
        <v>0.0</v>
      </c>
    </row>
    <row r="492">
      <c r="A492" s="234" t="s">
        <v>2187</v>
      </c>
      <c r="B492" s="234" t="str">
        <f>IFERROR(__xludf.DUMMYFUNCTION("""COMPUTED_VALUE"""),"SoC_GO_Goiânia_02")</f>
        <v>SoC_GO_Goiânia_02</v>
      </c>
      <c r="C492" s="234" t="str">
        <f>IFERROR(__xludf.DUMMYFUNCTION("""COMPUTED_VALUE"""),"SOC-GO2")</f>
        <v>SOC-GO2</v>
      </c>
      <c r="D492" s="234">
        <f>IFERROR(__xludf.DUMMYFUNCTION("""COMPUTED_VALUE"""),25.0)</f>
        <v>25</v>
      </c>
      <c r="E492" s="237" t="str">
        <f>IFERROR(__xludf.DUMMYFUNCTION("""COMPUTED_VALUE"""),"LT1PBG01S5KJ1")</f>
        <v>LT1PBG01S5KJ1</v>
      </c>
      <c r="F492" s="238" t="str">
        <f>IFERROR(__xludf.DUMMYFUNCTION("""COMPUTED_VALUE"""),"-")</f>
        <v>-</v>
      </c>
      <c r="G492" s="234"/>
      <c r="H492" s="234"/>
      <c r="I492" s="237" t="str">
        <f t="shared" si="1"/>
        <v>Dentro</v>
      </c>
      <c r="J492" s="239">
        <v>0.0</v>
      </c>
    </row>
    <row r="493">
      <c r="A493" s="234" t="s">
        <v>2188</v>
      </c>
      <c r="B493" s="234" t="str">
        <f>IFERROR(__xludf.DUMMYFUNCTION("""COMPUTED_VALUE"""),"SoC_MG_Betim")</f>
        <v>SoC_MG_Betim</v>
      </c>
      <c r="C493" s="234" t="str">
        <f>IFERROR(__xludf.DUMMYFUNCTION("""COMPUTED_VALUE"""),"SOC-MG2")</f>
        <v>SOC-MG2</v>
      </c>
      <c r="D493" s="234">
        <f>IFERROR(__xludf.DUMMYFUNCTION("""COMPUTED_VALUE"""),17.0)</f>
        <v>17</v>
      </c>
      <c r="E493" s="237" t="str">
        <f>IFERROR(__xludf.DUMMYFUNCTION("""COMPUTED_VALUE"""),"LT1PBG01S5JM1")</f>
        <v>LT1PBG01S5JM1</v>
      </c>
      <c r="F493" s="238" t="str">
        <f>IFERROR(__xludf.DUMMYFUNCTION("""COMPUTED_VALUE"""),"-")</f>
        <v>-</v>
      </c>
      <c r="G493" s="234"/>
      <c r="H493" s="234"/>
      <c r="I493" s="237" t="str">
        <f t="shared" si="1"/>
        <v>Dentro</v>
      </c>
      <c r="J493" s="239">
        <v>0.0</v>
      </c>
    </row>
    <row r="494">
      <c r="A494" s="234" t="s">
        <v>2189</v>
      </c>
      <c r="B494" s="234" t="str">
        <f>IFERROR(__xludf.DUMMYFUNCTION("""COMPUTED_VALUE"""),"SoC_MG_Betim")</f>
        <v>SoC_MG_Betim</v>
      </c>
      <c r="C494" s="234" t="str">
        <f>IFERROR(__xludf.DUMMYFUNCTION("""COMPUTED_VALUE"""),"SOC-MG2")</f>
        <v>SOC-MG2</v>
      </c>
      <c r="D494" s="234">
        <f>IFERROR(__xludf.DUMMYFUNCTION("""COMPUTED_VALUE"""),16.0)</f>
        <v>16</v>
      </c>
      <c r="E494" s="237" t="str">
        <f>IFERROR(__xludf.DUMMYFUNCTION("""COMPUTED_VALUE"""),"LT1PBG01S8NW1")</f>
        <v>LT1PBG01S8NW1</v>
      </c>
      <c r="F494" s="238" t="str">
        <f>IFERROR(__xludf.DUMMYFUNCTION("""COMPUTED_VALUE"""),"-")</f>
        <v>-</v>
      </c>
      <c r="G494" s="234"/>
      <c r="H494" s="234"/>
      <c r="I494" s="237" t="str">
        <f t="shared" si="1"/>
        <v>Dentro</v>
      </c>
      <c r="J494" s="239">
        <v>0.0</v>
      </c>
    </row>
    <row r="495">
      <c r="A495" s="234" t="s">
        <v>2190</v>
      </c>
      <c r="B495" s="234" t="str">
        <f>IFERROR(__xludf.DUMMYFUNCTION("""COMPUTED_VALUE"""),"SoC_MG_Betim")</f>
        <v>SoC_MG_Betim</v>
      </c>
      <c r="C495" s="234" t="str">
        <f>IFERROR(__xludf.DUMMYFUNCTION("""COMPUTED_VALUE"""),"SOC-MG2")</f>
        <v>SOC-MG2</v>
      </c>
      <c r="D495" s="234">
        <f>IFERROR(__xludf.DUMMYFUNCTION("""COMPUTED_VALUE"""),18.0)</f>
        <v>18</v>
      </c>
      <c r="E495" s="237" t="str">
        <f>IFERROR(__xludf.DUMMYFUNCTION("""COMPUTED_VALUE"""),"LT1PBG01S5JN1")</f>
        <v>LT1PBG01S5JN1</v>
      </c>
      <c r="F495" s="238" t="str">
        <f>IFERROR(__xludf.DUMMYFUNCTION("""COMPUTED_VALUE"""),"-")</f>
        <v>-</v>
      </c>
      <c r="G495" s="234"/>
      <c r="H495" s="234"/>
      <c r="I495" s="237" t="str">
        <f t="shared" si="1"/>
        <v>Dentro</v>
      </c>
      <c r="J495" s="239">
        <v>0.0</v>
      </c>
    </row>
    <row r="496">
      <c r="A496" s="234" t="s">
        <v>2191</v>
      </c>
      <c r="B496" s="234" t="str">
        <f>IFERROR(__xludf.DUMMYFUNCTION("""COMPUTED_VALUE"""),"SoC_MG_Betim")</f>
        <v>SoC_MG_Betim</v>
      </c>
      <c r="C496" s="234" t="str">
        <f>IFERROR(__xludf.DUMMYFUNCTION("""COMPUTED_VALUE"""),"SOC-MG2")</f>
        <v>SOC-MG2</v>
      </c>
      <c r="D496" s="234">
        <f>IFERROR(__xludf.DUMMYFUNCTION("""COMPUTED_VALUE"""),14.0)</f>
        <v>14</v>
      </c>
      <c r="E496" s="237" t="str">
        <f>IFERROR(__xludf.DUMMYFUNCTION("""COMPUTED_VALUE"""),"LT1PBG01S8AU1")</f>
        <v>LT1PBG01S8AU1</v>
      </c>
      <c r="F496" s="238" t="str">
        <f>IFERROR(__xludf.DUMMYFUNCTION("""COMPUTED_VALUE"""),"-")</f>
        <v>-</v>
      </c>
      <c r="G496" s="234"/>
      <c r="H496" s="234"/>
      <c r="I496" s="237" t="str">
        <f t="shared" si="1"/>
        <v>Dentro</v>
      </c>
      <c r="J496" s="239">
        <v>0.0</v>
      </c>
    </row>
    <row r="497">
      <c r="A497" s="234" t="s">
        <v>2192</v>
      </c>
      <c r="B497" s="234" t="str">
        <f>IFERROR(__xludf.DUMMYFUNCTION("""COMPUTED_VALUE"""),"SoC_MG_Betim")</f>
        <v>SoC_MG_Betim</v>
      </c>
      <c r="C497" s="234" t="str">
        <f>IFERROR(__xludf.DUMMYFUNCTION("""COMPUTED_VALUE"""),"SOC-MG2")</f>
        <v>SOC-MG2</v>
      </c>
      <c r="D497" s="234">
        <f>IFERROR(__xludf.DUMMYFUNCTION("""COMPUTED_VALUE"""),19.0)</f>
        <v>19</v>
      </c>
      <c r="E497" s="237" t="str">
        <f>IFERROR(__xludf.DUMMYFUNCTION("""COMPUTED_VALUE"""),"LT0PBG01R86W1")</f>
        <v>LT0PBG01R86W1</v>
      </c>
      <c r="F497" s="238" t="str">
        <f>IFERROR(__xludf.DUMMYFUNCTION("""COMPUTED_VALUE"""),"-")</f>
        <v>-</v>
      </c>
      <c r="G497" s="234"/>
      <c r="H497" s="234"/>
      <c r="I497" s="237" t="str">
        <f t="shared" si="1"/>
        <v>Dentro</v>
      </c>
      <c r="J497" s="239">
        <v>0.0</v>
      </c>
    </row>
    <row r="498">
      <c r="A498" s="234" t="s">
        <v>2193</v>
      </c>
      <c r="B498" s="234" t="str">
        <f>IFERROR(__xludf.DUMMYFUNCTION("""COMPUTED_VALUE"""),"SoC_MG_Betim")</f>
        <v>SoC_MG_Betim</v>
      </c>
      <c r="C498" s="234" t="str">
        <f>IFERROR(__xludf.DUMMYFUNCTION("""COMPUTED_VALUE"""),"SOC-MG2")</f>
        <v>SOC-MG2</v>
      </c>
      <c r="D498" s="234">
        <f>IFERROR(__xludf.DUMMYFUNCTION("""COMPUTED_VALUE"""),23.0)</f>
        <v>23</v>
      </c>
      <c r="E498" s="237" t="str">
        <f>IFERROR(__xludf.DUMMYFUNCTION("""COMPUTED_VALUE"""),"LT0PBG01R8771")</f>
        <v>LT0PBG01R8771</v>
      </c>
      <c r="F498" s="238" t="str">
        <f>IFERROR(__xludf.DUMMYFUNCTION("""COMPUTED_VALUE"""),"-")</f>
        <v>-</v>
      </c>
      <c r="G498" s="234"/>
      <c r="H498" s="234"/>
      <c r="I498" s="237" t="str">
        <f t="shared" si="1"/>
        <v>Dentro</v>
      </c>
      <c r="J498" s="239">
        <v>0.0</v>
      </c>
    </row>
    <row r="499">
      <c r="A499" s="234" t="s">
        <v>2194</v>
      </c>
      <c r="B499" s="234" t="str">
        <f>IFERROR(__xludf.DUMMYFUNCTION("""COMPUTED_VALUE"""),"SoC_PE_Jaboatão dos Guararapes")</f>
        <v>SoC_PE_Jaboatão dos Guararapes</v>
      </c>
      <c r="C499" s="234" t="str">
        <f>IFERROR(__xludf.DUMMYFUNCTION("""COMPUTED_VALUE"""),"SOC-PE2")</f>
        <v>SOC-PE2</v>
      </c>
      <c r="D499" s="234"/>
      <c r="E499" s="237" t="str">
        <f>IFERROR(__xludf.DUMMYFUNCTION("""COMPUTED_VALUE"""),"LT0PBG01RFK51")</f>
        <v>LT0PBG01RFK51</v>
      </c>
      <c r="F499" s="238" t="str">
        <f>IFERROR(__xludf.DUMMYFUNCTION("""COMPUTED_VALUE"""),"-")</f>
        <v>-</v>
      </c>
      <c r="G499" s="234"/>
      <c r="H499" s="234"/>
      <c r="I499" s="237" t="str">
        <f t="shared" si="1"/>
        <v>Dentro</v>
      </c>
      <c r="J499" s="239">
        <v>0.0</v>
      </c>
    </row>
    <row r="500">
      <c r="A500" s="234" t="s">
        <v>2195</v>
      </c>
      <c r="B500" s="234" t="str">
        <f>IFERROR(__xludf.DUMMYFUNCTION("""COMPUTED_VALUE"""),"SoC_PR_Curitiba")</f>
        <v>SoC_PR_Curitiba</v>
      </c>
      <c r="C500" s="234" t="str">
        <f>IFERROR(__xludf.DUMMYFUNCTION("""COMPUTED_VALUE"""),"SOC-PR1")</f>
        <v>SOC-PR1</v>
      </c>
      <c r="D500" s="234">
        <f>IFERROR(__xludf.DUMMYFUNCTION("""COMPUTED_VALUE"""),24.0)</f>
        <v>24</v>
      </c>
      <c r="E500" s="237" t="str">
        <f>IFERROR(__xludf.DUMMYFUNCTION("""COMPUTED_VALUE"""),"LT0PBG01R88D1")</f>
        <v>LT0PBG01R88D1</v>
      </c>
      <c r="F500" s="238" t="str">
        <f>IFERROR(__xludf.DUMMYFUNCTION("""COMPUTED_VALUE"""),"-")</f>
        <v>-</v>
      </c>
      <c r="G500" s="234"/>
      <c r="H500" s="234"/>
      <c r="I500" s="237" t="str">
        <f t="shared" si="1"/>
        <v>Dentro</v>
      </c>
      <c r="J500" s="239">
        <v>0.0</v>
      </c>
    </row>
    <row r="501">
      <c r="A501" s="234" t="s">
        <v>2196</v>
      </c>
      <c r="B501" s="234" t="str">
        <f>IFERROR(__xludf.DUMMYFUNCTION("""COMPUTED_VALUE"""),"SoC_RJ_Duque de Caxias")</f>
        <v>SoC_RJ_Duque de Caxias</v>
      </c>
      <c r="C501" s="234" t="str">
        <f>IFERROR(__xludf.DUMMYFUNCTION("""COMPUTED_VALUE"""),"SOC-RJ2")</f>
        <v>SOC-RJ2</v>
      </c>
      <c r="D501" s="234">
        <f>IFERROR(__xludf.DUMMYFUNCTION("""COMPUTED_VALUE"""),39.0)</f>
        <v>39</v>
      </c>
      <c r="E501" s="237" t="str">
        <f>IFERROR(__xludf.DUMMYFUNCTION("""COMPUTED_VALUE"""),"LT1PBG01S8AO1")</f>
        <v>LT1PBG01S8AO1</v>
      </c>
      <c r="F501" s="238" t="str">
        <f>IFERROR(__xludf.DUMMYFUNCTION("""COMPUTED_VALUE"""),"-")</f>
        <v>-</v>
      </c>
      <c r="G501" s="234"/>
      <c r="H501" s="234"/>
      <c r="I501" s="237" t="str">
        <f t="shared" si="1"/>
        <v>Dentro</v>
      </c>
      <c r="J501" s="239">
        <v>0.0</v>
      </c>
    </row>
    <row r="502">
      <c r="A502" s="234" t="s">
        <v>2197</v>
      </c>
      <c r="B502" s="234" t="str">
        <f>IFERROR(__xludf.DUMMYFUNCTION("""COMPUTED_VALUE"""),"SoC_RJ_Duque de Caxias")</f>
        <v>SoC_RJ_Duque de Caxias</v>
      </c>
      <c r="C502" s="234" t="str">
        <f>IFERROR(__xludf.DUMMYFUNCTION("""COMPUTED_VALUE"""),"SOC-RJ2")</f>
        <v>SOC-RJ2</v>
      </c>
      <c r="D502" s="234">
        <f>IFERROR(__xludf.DUMMYFUNCTION("""COMPUTED_VALUE"""),41.0)</f>
        <v>41</v>
      </c>
      <c r="E502" s="237" t="str">
        <f>IFERROR(__xludf.DUMMYFUNCTION("""COMPUTED_VALUE"""),"LT1PBG01S8NX1")</f>
        <v>LT1PBG01S8NX1</v>
      </c>
      <c r="F502" s="238" t="str">
        <f>IFERROR(__xludf.DUMMYFUNCTION("""COMPUTED_VALUE"""),"-")</f>
        <v>-</v>
      </c>
      <c r="G502" s="234"/>
      <c r="H502" s="234"/>
      <c r="I502" s="237" t="str">
        <f t="shared" si="1"/>
        <v>Dentro</v>
      </c>
      <c r="J502" s="239">
        <v>0.0</v>
      </c>
    </row>
    <row r="503">
      <c r="A503" s="234" t="s">
        <v>2198</v>
      </c>
      <c r="B503" s="234" t="str">
        <f>IFERROR(__xludf.DUMMYFUNCTION("""COMPUTED_VALUE"""),"SoC_RJ_Duque de Caxias")</f>
        <v>SoC_RJ_Duque de Caxias</v>
      </c>
      <c r="C503" s="234" t="str">
        <f>IFERROR(__xludf.DUMMYFUNCTION("""COMPUTED_VALUE"""),"SOC-RJ2")</f>
        <v>SOC-RJ2</v>
      </c>
      <c r="D503" s="234">
        <f>IFERROR(__xludf.DUMMYFUNCTION("""COMPUTED_VALUE"""),40.0)</f>
        <v>40</v>
      </c>
      <c r="E503" s="237" t="str">
        <f>IFERROR(__xludf.DUMMYFUNCTION("""COMPUTED_VALUE"""),"LT1PBG01S8SJ1")</f>
        <v>LT1PBG01S8SJ1</v>
      </c>
      <c r="F503" s="238" t="str">
        <f>IFERROR(__xludf.DUMMYFUNCTION("""COMPUTED_VALUE"""),"-")</f>
        <v>-</v>
      </c>
      <c r="G503" s="234"/>
      <c r="H503" s="234"/>
      <c r="I503" s="237" t="str">
        <f t="shared" si="1"/>
        <v>Dentro</v>
      </c>
      <c r="J503" s="239">
        <v>0.0</v>
      </c>
    </row>
    <row r="504">
      <c r="A504" s="234" t="s">
        <v>2199</v>
      </c>
      <c r="B504" s="234" t="str">
        <f>IFERROR(__xludf.DUMMYFUNCTION("""COMPUTED_VALUE"""),"SoC_RJ_Duque de Caxias")</f>
        <v>SoC_RJ_Duque de Caxias</v>
      </c>
      <c r="C504" s="234" t="str">
        <f>IFERROR(__xludf.DUMMYFUNCTION("""COMPUTED_VALUE"""),"SOC-RJ2")</f>
        <v>SOC-RJ2</v>
      </c>
      <c r="D504" s="234">
        <f>IFERROR(__xludf.DUMMYFUNCTION("""COMPUTED_VALUE"""),48.0)</f>
        <v>48</v>
      </c>
      <c r="E504" s="237" t="str">
        <f>IFERROR(__xludf.DUMMYFUNCTION("""COMPUTED_VALUE"""),"LT0PBG01RB2Q1")</f>
        <v>LT0PBG01RB2Q1</v>
      </c>
      <c r="F504" s="238" t="str">
        <f>IFERROR(__xludf.DUMMYFUNCTION("""COMPUTED_VALUE"""),"-")</f>
        <v>-</v>
      </c>
      <c r="G504" s="234"/>
      <c r="H504" s="234"/>
      <c r="I504" s="237" t="str">
        <f t="shared" si="1"/>
        <v>Dentro</v>
      </c>
      <c r="J504" s="239">
        <v>0.0</v>
      </c>
    </row>
    <row r="505">
      <c r="A505" s="234" t="s">
        <v>2200</v>
      </c>
      <c r="B505" s="234" t="str">
        <f>IFERROR(__xludf.DUMMYFUNCTION("""COMPUTED_VALUE"""),"SoC_RJ_Duque de Caxias")</f>
        <v>SoC_RJ_Duque de Caxias</v>
      </c>
      <c r="C505" s="234" t="str">
        <f>IFERROR(__xludf.DUMMYFUNCTION("""COMPUTED_VALUE"""),"SOC-RJ2")</f>
        <v>SOC-RJ2</v>
      </c>
      <c r="D505" s="234">
        <f>IFERROR(__xludf.DUMMYFUNCTION("""COMPUTED_VALUE"""),47.0)</f>
        <v>47</v>
      </c>
      <c r="E505" s="237" t="str">
        <f>IFERROR(__xludf.DUMMYFUNCTION("""COMPUTED_VALUE"""),"LT0PBG01RJDS1")</f>
        <v>LT0PBG01RJDS1</v>
      </c>
      <c r="F505" s="238" t="str">
        <f>IFERROR(__xludf.DUMMYFUNCTION("""COMPUTED_VALUE"""),"-")</f>
        <v>-</v>
      </c>
      <c r="G505" s="234"/>
      <c r="H505" s="234"/>
      <c r="I505" s="237" t="str">
        <f t="shared" si="1"/>
        <v>Dentro</v>
      </c>
      <c r="J505" s="239">
        <v>0.0</v>
      </c>
    </row>
    <row r="506">
      <c r="A506" s="234" t="s">
        <v>2201</v>
      </c>
      <c r="B506" s="234" t="str">
        <f>IFERROR(__xludf.DUMMYFUNCTION("""COMPUTED_VALUE"""),"SoC_RS_Gravataí_02")</f>
        <v>SoC_RS_Gravataí_02</v>
      </c>
      <c r="C506" s="234" t="str">
        <f>IFERROR(__xludf.DUMMYFUNCTION("""COMPUTED_VALUE"""),"SOC-RS2")</f>
        <v>SOC-RS2</v>
      </c>
      <c r="D506" s="234"/>
      <c r="E506" s="237" t="str">
        <f>IFERROR(__xludf.DUMMYFUNCTION("""COMPUTED_VALUE"""),"LT1PBF01S8AX1")</f>
        <v>LT1PBF01S8AX1</v>
      </c>
      <c r="F506" s="238" t="str">
        <f>IFERROR(__xludf.DUMMYFUNCTION("""COMPUTED_VALUE"""),"-")</f>
        <v>-</v>
      </c>
      <c r="G506" s="234"/>
      <c r="H506" s="234"/>
      <c r="I506" s="237" t="str">
        <f t="shared" si="1"/>
        <v>Dentro</v>
      </c>
      <c r="J506" s="239">
        <v>0.0</v>
      </c>
    </row>
    <row r="507">
      <c r="A507" s="234" t="s">
        <v>2202</v>
      </c>
      <c r="B507" s="234" t="str">
        <f>IFERROR(__xludf.DUMMYFUNCTION("""COMPUTED_VALUE"""),"SoC_RS_Gravataí_02")</f>
        <v>SoC_RS_Gravataí_02</v>
      </c>
      <c r="C507" s="234" t="str">
        <f>IFERROR(__xludf.DUMMYFUNCTION("""COMPUTED_VALUE"""),"SOC-RS2")</f>
        <v>SOC-RS2</v>
      </c>
      <c r="D507" s="234">
        <f>IFERROR(__xludf.DUMMYFUNCTION("""COMPUTED_VALUE"""),36.0)</f>
        <v>36</v>
      </c>
      <c r="E507" s="237" t="str">
        <f>IFERROR(__xludf.DUMMYFUNCTION("""COMPUTED_VALUE"""),"LT1PBG01S8LV1")</f>
        <v>LT1PBG01S8LV1</v>
      </c>
      <c r="F507" s="238" t="str">
        <f>IFERROR(__xludf.DUMMYFUNCTION("""COMPUTED_VALUE"""),"-")</f>
        <v>-</v>
      </c>
      <c r="G507" s="234"/>
      <c r="H507" s="234"/>
      <c r="I507" s="237" t="str">
        <f t="shared" si="1"/>
        <v>Dentro</v>
      </c>
      <c r="J507" s="239">
        <v>0.0</v>
      </c>
    </row>
    <row r="508">
      <c r="A508" s="234" t="s">
        <v>2203</v>
      </c>
      <c r="B508" s="234" t="str">
        <f>IFERROR(__xludf.DUMMYFUNCTION("""COMPUTED_VALUE"""),"SoC_RS_Gravataí_02")</f>
        <v>SoC_RS_Gravataí_02</v>
      </c>
      <c r="C508" s="234" t="str">
        <f>IFERROR(__xludf.DUMMYFUNCTION("""COMPUTED_VALUE"""),"SOC-RS2")</f>
        <v>SOC-RS2</v>
      </c>
      <c r="D508" s="234">
        <f>IFERROR(__xludf.DUMMYFUNCTION("""COMPUTED_VALUE"""),35.0)</f>
        <v>35</v>
      </c>
      <c r="E508" s="237" t="str">
        <f>IFERROR(__xludf.DUMMYFUNCTION("""COMPUTED_VALUE"""),"LT1PBG01S8AY1")</f>
        <v>LT1PBG01S8AY1</v>
      </c>
      <c r="F508" s="238" t="str">
        <f>IFERROR(__xludf.DUMMYFUNCTION("""COMPUTED_VALUE"""),"-")</f>
        <v>-</v>
      </c>
      <c r="G508" s="234"/>
      <c r="H508" s="234"/>
      <c r="I508" s="237" t="str">
        <f t="shared" si="1"/>
        <v>Dentro</v>
      </c>
      <c r="J508" s="239">
        <v>0.0</v>
      </c>
    </row>
    <row r="509">
      <c r="A509" s="234" t="s">
        <v>2204</v>
      </c>
      <c r="B509" s="234" t="str">
        <f>IFERROR(__xludf.DUMMYFUNCTION("""COMPUTED_VALUE"""),"SoC_RS_Gravataí_02")</f>
        <v>SoC_RS_Gravataí_02</v>
      </c>
      <c r="C509" s="234" t="str">
        <f>IFERROR(__xludf.DUMMYFUNCTION("""COMPUTED_VALUE"""),"SOC-RS2")</f>
        <v>SOC-RS2</v>
      </c>
      <c r="D509" s="234">
        <f>IFERROR(__xludf.DUMMYFUNCTION("""COMPUTED_VALUE"""),32.0)</f>
        <v>32</v>
      </c>
      <c r="E509" s="237" t="str">
        <f>IFERROR(__xludf.DUMMYFUNCTION("""COMPUTED_VALUE"""),"LT1PBG01S8AZ1")</f>
        <v>LT1PBG01S8AZ1</v>
      </c>
      <c r="F509" s="238" t="str">
        <f>IFERROR(__xludf.DUMMYFUNCTION("""COMPUTED_VALUE"""),"-")</f>
        <v>-</v>
      </c>
      <c r="G509" s="234"/>
      <c r="H509" s="234"/>
      <c r="I509" s="237" t="str">
        <f t="shared" si="1"/>
        <v>Dentro</v>
      </c>
      <c r="J509" s="239">
        <v>0.0</v>
      </c>
    </row>
    <row r="510">
      <c r="A510" s="234" t="s">
        <v>2205</v>
      </c>
      <c r="B510" s="234" t="str">
        <f>IFERROR(__xludf.DUMMYFUNCTION("""COMPUTED_VALUE"""),"SoC_SC_Itajaí")</f>
        <v>SoC_SC_Itajaí</v>
      </c>
      <c r="C510" s="234" t="str">
        <f>IFERROR(__xludf.DUMMYFUNCTION("""COMPUTED_VALUE"""),"SOC-SC1")</f>
        <v>SOC-SC1</v>
      </c>
      <c r="D510" s="234">
        <f>IFERROR(__xludf.DUMMYFUNCTION("""COMPUTED_VALUE"""),22.0)</f>
        <v>22</v>
      </c>
      <c r="E510" s="237" t="str">
        <f>IFERROR(__xludf.DUMMYFUNCTION("""COMPUTED_VALUE"""),"LT1PBG01S8B01")</f>
        <v>LT1PBG01S8B01</v>
      </c>
      <c r="F510" s="238" t="str">
        <f>IFERROR(__xludf.DUMMYFUNCTION("""COMPUTED_VALUE"""),"-")</f>
        <v>-</v>
      </c>
      <c r="G510" s="234"/>
      <c r="H510" s="234"/>
      <c r="I510" s="237" t="str">
        <f t="shared" si="1"/>
        <v>Dentro</v>
      </c>
      <c r="J510" s="239">
        <v>0.0</v>
      </c>
    </row>
    <row r="511">
      <c r="A511" s="234" t="s">
        <v>2206</v>
      </c>
      <c r="B511" s="234" t="str">
        <f>IFERROR(__xludf.DUMMYFUNCTION("""COMPUTED_VALUE"""),"SoC_SP_Cravinhos")</f>
        <v>SoC_SP_Cravinhos</v>
      </c>
      <c r="C511" s="234" t="str">
        <f>IFERROR(__xludf.DUMMYFUNCTION("""COMPUTED_VALUE"""),"SOC-SP5")</f>
        <v>SOC-SP5</v>
      </c>
      <c r="D511" s="234"/>
      <c r="E511" s="237" t="str">
        <f>IFERROR(__xludf.DUMMYFUNCTION("""COMPUTED_VALUE"""),"LT1PBF01S5A21")</f>
        <v>LT1PBF01S5A21</v>
      </c>
      <c r="F511" s="238" t="str">
        <f>IFERROR(__xludf.DUMMYFUNCTION("""COMPUTED_VALUE"""),"-")</f>
        <v>-</v>
      </c>
      <c r="G511" s="234"/>
      <c r="H511" s="234"/>
      <c r="I511" s="237" t="str">
        <f t="shared" si="1"/>
        <v>Dentro</v>
      </c>
      <c r="J511" s="239">
        <v>0.0</v>
      </c>
    </row>
    <row r="512">
      <c r="A512" s="234" t="s">
        <v>2207</v>
      </c>
      <c r="B512" s="234" t="str">
        <f>IFERROR(__xludf.DUMMYFUNCTION("""COMPUTED_VALUE"""),"SoC_SP_Cravinhos")</f>
        <v>SoC_SP_Cravinhos</v>
      </c>
      <c r="C512" s="234" t="str">
        <f>IFERROR(__xludf.DUMMYFUNCTION("""COMPUTED_VALUE"""),"SOC-SP5")</f>
        <v>SOC-SP5</v>
      </c>
      <c r="D512" s="234">
        <f>IFERROR(__xludf.DUMMYFUNCTION("""COMPUTED_VALUE"""),42.0)</f>
        <v>42</v>
      </c>
      <c r="E512" s="237" t="str">
        <f>IFERROR(__xludf.DUMMYFUNCTION("""COMPUTED_VALUE"""),"LT1PBF01S5JY1")</f>
        <v>LT1PBF01S5JY1</v>
      </c>
      <c r="F512" s="238" t="str">
        <f>IFERROR(__xludf.DUMMYFUNCTION("""COMPUTED_VALUE"""),"-")</f>
        <v>-</v>
      </c>
      <c r="G512" s="234"/>
      <c r="H512" s="234"/>
      <c r="I512" s="237" t="str">
        <f t="shared" si="1"/>
        <v>Dentro</v>
      </c>
      <c r="J512" s="239">
        <v>0.0</v>
      </c>
    </row>
    <row r="513">
      <c r="A513" s="234" t="s">
        <v>2208</v>
      </c>
      <c r="B513" s="234" t="str">
        <f>IFERROR(__xludf.DUMMYFUNCTION("""COMPUTED_VALUE"""),"SoC_SP_Cravinhos")</f>
        <v>SoC_SP_Cravinhos</v>
      </c>
      <c r="C513" s="234" t="str">
        <f>IFERROR(__xludf.DUMMYFUNCTION("""COMPUTED_VALUE"""),"SOC-SP5")</f>
        <v>SOC-SP5</v>
      </c>
      <c r="D513" s="234">
        <f>IFERROR(__xludf.DUMMYFUNCTION("""COMPUTED_VALUE"""),43.0)</f>
        <v>43</v>
      </c>
      <c r="E513" s="237" t="str">
        <f>IFERROR(__xludf.DUMMYFUNCTION("""COMPUTED_VALUE"""),"LT1PBG01S8NY1")</f>
        <v>LT1PBG01S8NY1</v>
      </c>
      <c r="F513" s="238" t="str">
        <f>IFERROR(__xludf.DUMMYFUNCTION("""COMPUTED_VALUE"""),"-")</f>
        <v>-</v>
      </c>
      <c r="G513" s="234"/>
      <c r="H513" s="234"/>
      <c r="I513" s="237" t="str">
        <f t="shared" si="1"/>
        <v>Dentro</v>
      </c>
      <c r="J513" s="239">
        <v>0.0</v>
      </c>
    </row>
    <row r="514">
      <c r="A514" s="234" t="s">
        <v>2209</v>
      </c>
      <c r="B514" s="234" t="str">
        <f>IFERROR(__xludf.DUMMYFUNCTION("""COMPUTED_VALUE"""),"SoC_SP_Cravinhos")</f>
        <v>SoC_SP_Cravinhos</v>
      </c>
      <c r="C514" s="234" t="str">
        <f>IFERROR(__xludf.DUMMYFUNCTION("""COMPUTED_VALUE"""),"SOC-SP5")</f>
        <v>SOC-SP5</v>
      </c>
      <c r="D514" s="234">
        <f>IFERROR(__xludf.DUMMYFUNCTION("""COMPUTED_VALUE"""),46.0)</f>
        <v>46</v>
      </c>
      <c r="E514" s="237" t="str">
        <f>IFERROR(__xludf.DUMMYFUNCTION("""COMPUTED_VALUE"""),"LT0PBF01R89U1")</f>
        <v>LT0PBF01R89U1</v>
      </c>
      <c r="F514" s="238" t="str">
        <f>IFERROR(__xludf.DUMMYFUNCTION("""COMPUTED_VALUE"""),"-")</f>
        <v>-</v>
      </c>
      <c r="G514" s="234"/>
      <c r="H514" s="234"/>
      <c r="I514" s="237" t="str">
        <f t="shared" si="1"/>
        <v>Dentro</v>
      </c>
      <c r="J514" s="239">
        <v>0.0</v>
      </c>
    </row>
    <row r="515">
      <c r="A515" s="234" t="s">
        <v>2210</v>
      </c>
      <c r="B515" s="234" t="str">
        <f>IFERROR(__xludf.DUMMYFUNCTION("""COMPUTED_VALUE"""),"SoC_SP_Louveira")</f>
        <v>SoC_SP_Louveira</v>
      </c>
      <c r="C515" s="234" t="str">
        <f>IFERROR(__xludf.DUMMYFUNCTION("""COMPUTED_VALUE"""),"SOC-SP7")</f>
        <v>SOC-SP7</v>
      </c>
      <c r="D515" s="234">
        <f>IFERROR(__xludf.DUMMYFUNCTION("""COMPUTED_VALUE"""),29.0)</f>
        <v>29</v>
      </c>
      <c r="E515" s="237" t="str">
        <f>IFERROR(__xludf.DUMMYFUNCTION("""COMPUTED_VALUE"""),"LT0PBF01R8AQ1")</f>
        <v>LT0PBF01R8AQ1</v>
      </c>
      <c r="F515" s="238" t="str">
        <f>IFERROR(__xludf.DUMMYFUNCTION("""COMPUTED_VALUE"""),"-")</f>
        <v>-</v>
      </c>
      <c r="G515" s="234"/>
      <c r="H515" s="234"/>
      <c r="I515" s="237" t="str">
        <f t="shared" si="1"/>
        <v>Dentro</v>
      </c>
      <c r="J515" s="239">
        <v>0.0</v>
      </c>
    </row>
    <row r="516">
      <c r="A516" s="234" t="s">
        <v>2211</v>
      </c>
      <c r="B516" s="234" t="str">
        <f>IFERROR(__xludf.DUMMYFUNCTION("""COMPUTED_VALUE"""),"SoC_SP_Louveira")</f>
        <v>SoC_SP_Louveira</v>
      </c>
      <c r="C516" s="234" t="str">
        <f>IFERROR(__xludf.DUMMYFUNCTION("""COMPUTED_VALUE"""),"SOC-SP7")</f>
        <v>SOC-SP7</v>
      </c>
      <c r="D516" s="234">
        <f>IFERROR(__xludf.DUMMYFUNCTION("""COMPUTED_VALUE"""),28.0)</f>
        <v>28</v>
      </c>
      <c r="E516" s="237" t="str">
        <f>IFERROR(__xludf.DUMMYFUNCTION("""COMPUTED_VALUE"""),"LT0PBF01R8AL1")</f>
        <v>LT0PBF01R8AL1</v>
      </c>
      <c r="F516" s="238" t="str">
        <f>IFERROR(__xludf.DUMMYFUNCTION("""COMPUTED_VALUE"""),"-")</f>
        <v>-</v>
      </c>
      <c r="G516" s="234"/>
      <c r="H516" s="234"/>
      <c r="I516" s="237" t="str">
        <f t="shared" si="1"/>
        <v>Dentro</v>
      </c>
      <c r="J516" s="239">
        <v>0.0</v>
      </c>
    </row>
    <row r="517">
      <c r="A517" s="234" t="s">
        <v>2212</v>
      </c>
      <c r="B517" s="234" t="str">
        <f>IFERROR(__xludf.DUMMYFUNCTION("""COMPUTED_VALUE"""),"SoC_SP_Santana")</f>
        <v>SoC_SP_Santana</v>
      </c>
      <c r="C517" s="234" t="str">
        <f>IFERROR(__xludf.DUMMYFUNCTION("""COMPUTED_VALUE"""),"SOC-SP2")</f>
        <v>SOC-SP2</v>
      </c>
      <c r="D517" s="234"/>
      <c r="E517" s="237" t="str">
        <f>IFERROR(__xludf.DUMMYFUNCTION("""COMPUTED_VALUE"""),"LT0PBF01R8WV1")</f>
        <v>LT0PBF01R8WV1</v>
      </c>
      <c r="F517" s="238" t="str">
        <f>IFERROR(__xludf.DUMMYFUNCTION("""COMPUTED_VALUE"""),"-")</f>
        <v>-</v>
      </c>
      <c r="G517" s="234"/>
      <c r="H517" s="234"/>
      <c r="I517" s="237" t="str">
        <f t="shared" si="1"/>
        <v>Dentro</v>
      </c>
      <c r="J517" s="239">
        <v>0.0</v>
      </c>
    </row>
    <row r="518">
      <c r="A518" s="234" t="s">
        <v>2213</v>
      </c>
      <c r="B518" s="234" t="str">
        <f>IFERROR(__xludf.DUMMYFUNCTION("""COMPUTED_VALUE"""),"SoC_SP_Santana")</f>
        <v>SoC_SP_Santana</v>
      </c>
      <c r="C518" s="234" t="str">
        <f>IFERROR(__xludf.DUMMYFUNCTION("""COMPUTED_VALUE"""),"SOC-SP2")</f>
        <v>SOC-SP2</v>
      </c>
      <c r="D518" s="234"/>
      <c r="E518" s="237" t="str">
        <f>IFERROR(__xludf.DUMMYFUNCTION("""COMPUTED_VALUE"""),"LT0PBG01R8W71")</f>
        <v>LT0PBG01R8W71</v>
      </c>
      <c r="F518" s="238" t="str">
        <f>IFERROR(__xludf.DUMMYFUNCTION("""COMPUTED_VALUE"""),"-")</f>
        <v>-</v>
      </c>
      <c r="G518" s="234"/>
      <c r="H518" s="234"/>
      <c r="I518" s="237" t="str">
        <f t="shared" si="1"/>
        <v>Dentro</v>
      </c>
      <c r="J518" s="239">
        <v>119.99999999301508</v>
      </c>
    </row>
    <row r="519">
      <c r="A519" s="234" t="s">
        <v>2214</v>
      </c>
      <c r="B519" s="234" t="str">
        <f>IFERROR(__xludf.DUMMYFUNCTION("""COMPUTED_VALUE"""),"SoC_SP_Cravinhos")</f>
        <v>SoC_SP_Cravinhos</v>
      </c>
      <c r="C519" s="234" t="str">
        <f>IFERROR(__xludf.DUMMYFUNCTION("""COMPUTED_VALUE"""),"SOC-SP5")</f>
        <v>SOC-SP5</v>
      </c>
      <c r="D519" s="234"/>
      <c r="E519" s="237" t="str">
        <f>IFERROR(__xludf.DUMMYFUNCTION("""COMPUTED_VALUE"""),"LT1PBG01S5JT1")</f>
        <v>LT1PBG01S5JT1</v>
      </c>
      <c r="F519" s="234"/>
      <c r="G519" s="238">
        <f>IFERROR(__xludf.DUMMYFUNCTION("""COMPUTED_VALUE"""),45977.5)</f>
        <v>45977.5</v>
      </c>
      <c r="H519" s="238">
        <f>IFERROR(__xludf.DUMMYFUNCTION("""COMPUTED_VALUE"""),45977.58333333333)</f>
        <v>45977.58333</v>
      </c>
      <c r="I519" s="237" t="str">
        <f t="shared" si="1"/>
        <v>Fora</v>
      </c>
      <c r="J519" s="239">
        <v>119.99999999301508</v>
      </c>
    </row>
    <row r="520">
      <c r="A520" s="234" t="s">
        <v>2215</v>
      </c>
      <c r="B520" s="234" t="str">
        <f>IFERROR(__xludf.DUMMYFUNCTION("""COMPUTED_VALUE"""),"SoC_SP_Louveira")</f>
        <v>SoC_SP_Louveira</v>
      </c>
      <c r="C520" s="234" t="str">
        <f>IFERROR(__xludf.DUMMYFUNCTION("""COMPUTED_VALUE"""),"SOC-SP7")</f>
        <v>SOC-SP7</v>
      </c>
      <c r="D520" s="234"/>
      <c r="E520" s="237" t="str">
        <f>IFERROR(__xludf.DUMMYFUNCTION("""COMPUTED_VALUE"""),"LT1PBG01S5JZ1")</f>
        <v>LT1PBG01S5JZ1</v>
      </c>
      <c r="F520" s="234"/>
      <c r="G520" s="238">
        <f>IFERROR(__xludf.DUMMYFUNCTION("""COMPUTED_VALUE"""),45977.5)</f>
        <v>45977.5</v>
      </c>
      <c r="H520" s="238">
        <f>IFERROR(__xludf.DUMMYFUNCTION("""COMPUTED_VALUE"""),45977.58333333333)</f>
        <v>45977.58333</v>
      </c>
      <c r="I520" s="237" t="str">
        <f t="shared" si="1"/>
        <v>Fora</v>
      </c>
      <c r="J520" s="239">
        <v>119.99999999301508</v>
      </c>
    </row>
    <row r="521">
      <c r="A521" s="234" t="s">
        <v>2216</v>
      </c>
      <c r="B521" s="234" t="str">
        <f>IFERROR(__xludf.DUMMYFUNCTION("""COMPUTED_VALUE"""),"SoC_SP_Louveira")</f>
        <v>SoC_SP_Louveira</v>
      </c>
      <c r="C521" s="234" t="str">
        <f>IFERROR(__xludf.DUMMYFUNCTION("""COMPUTED_VALUE"""),"SOC-SP7")</f>
        <v>SOC-SP7</v>
      </c>
      <c r="D521" s="234"/>
      <c r="E521" s="237" t="str">
        <f>IFERROR(__xludf.DUMMYFUNCTION("""COMPUTED_VALUE"""),"LT1PBG01S8JG1")</f>
        <v>LT1PBG01S8JG1</v>
      </c>
      <c r="F521" s="234"/>
      <c r="G521" s="238">
        <f>IFERROR(__xludf.DUMMYFUNCTION("""COMPUTED_VALUE"""),45977.5)</f>
        <v>45977.5</v>
      </c>
      <c r="H521" s="238">
        <f>IFERROR(__xludf.DUMMYFUNCTION("""COMPUTED_VALUE"""),45977.58333333333)</f>
        <v>45977.58333</v>
      </c>
      <c r="I521" s="237" t="str">
        <f t="shared" si="1"/>
        <v>Fora</v>
      </c>
      <c r="J521" s="239">
        <v>119.99999999301508</v>
      </c>
    </row>
    <row r="522">
      <c r="A522" s="234" t="s">
        <v>2217</v>
      </c>
      <c r="B522" s="234" t="str">
        <f>IFERROR(__xludf.DUMMYFUNCTION("""COMPUTED_VALUE"""),"SoC_SP_Louveira")</f>
        <v>SoC_SP_Louveira</v>
      </c>
      <c r="C522" s="234" t="str">
        <f>IFERROR(__xludf.DUMMYFUNCTION("""COMPUTED_VALUE"""),"SOC-SP7")</f>
        <v>SOC-SP7</v>
      </c>
      <c r="D522" s="234"/>
      <c r="E522" s="237" t="str">
        <f>IFERROR(__xludf.DUMMYFUNCTION("""COMPUTED_VALUE"""),"LT1PBG01S5K01")</f>
        <v>LT1PBG01S5K01</v>
      </c>
      <c r="F522" s="234"/>
      <c r="G522" s="238">
        <f>IFERROR(__xludf.DUMMYFUNCTION("""COMPUTED_VALUE"""),45977.54166666667)</f>
        <v>45977.54167</v>
      </c>
      <c r="H522" s="238">
        <f>IFERROR(__xludf.DUMMYFUNCTION("""COMPUTED_VALUE"""),45977.625)</f>
        <v>45977.625</v>
      </c>
      <c r="I522" s="237" t="str">
        <f t="shared" si="1"/>
        <v>Fora</v>
      </c>
      <c r="J522" s="239">
        <v>120.00000001396984</v>
      </c>
    </row>
    <row r="523">
      <c r="A523" s="234" t="s">
        <v>2218</v>
      </c>
      <c r="B523" s="234" t="str">
        <f>IFERROR(__xludf.DUMMYFUNCTION("""COMPUTED_VALUE"""),"SoC_BA_Simoes Filho")</f>
        <v>SoC_BA_Simoes Filho</v>
      </c>
      <c r="C523" s="234" t="str">
        <f>IFERROR(__xludf.DUMMYFUNCTION("""COMPUTED_VALUE"""),"SOC-BA2")</f>
        <v>SOC-BA2</v>
      </c>
      <c r="D523" s="234"/>
      <c r="E523" s="237" t="str">
        <f>IFERROR(__xludf.DUMMYFUNCTION("""COMPUTED_VALUE"""),"LT1PBG01S8K91")</f>
        <v>LT1PBG01S8K91</v>
      </c>
      <c r="F523" s="234"/>
      <c r="G523" s="238">
        <f>IFERROR(__xludf.DUMMYFUNCTION("""COMPUTED_VALUE"""),45977.58333333333)</f>
        <v>45977.58333</v>
      </c>
      <c r="H523" s="238">
        <f>IFERROR(__xludf.DUMMYFUNCTION("""COMPUTED_VALUE"""),45977.66666666667)</f>
        <v>45977.66667</v>
      </c>
      <c r="I523" s="237" t="str">
        <f t="shared" si="1"/>
        <v>Fora</v>
      </c>
      <c r="J523" s="239">
        <v>120.00000001396984</v>
      </c>
    </row>
    <row r="524">
      <c r="A524" s="234" t="s">
        <v>2219</v>
      </c>
      <c r="B524" s="234" t="str">
        <f>IFERROR(__xludf.DUMMYFUNCTION("""COMPUTED_VALUE"""),"SoC_BA_Simoes Filho")</f>
        <v>SoC_BA_Simoes Filho</v>
      </c>
      <c r="C524" s="234" t="str">
        <f>IFERROR(__xludf.DUMMYFUNCTION("""COMPUTED_VALUE"""),"SOC-BA2")</f>
        <v>SOC-BA2</v>
      </c>
      <c r="D524" s="234"/>
      <c r="E524" s="237" t="str">
        <f>IFERROR(__xludf.DUMMYFUNCTION("""COMPUTED_VALUE"""),"LT1PBG01S8KA1")</f>
        <v>LT1PBG01S8KA1</v>
      </c>
      <c r="F524" s="234"/>
      <c r="G524" s="238">
        <f>IFERROR(__xludf.DUMMYFUNCTION("""COMPUTED_VALUE"""),45977.58333333333)</f>
        <v>45977.58333</v>
      </c>
      <c r="H524" s="238">
        <f>IFERROR(__xludf.DUMMYFUNCTION("""COMPUTED_VALUE"""),45977.66666666667)</f>
        <v>45977.66667</v>
      </c>
      <c r="I524" s="237" t="str">
        <f t="shared" si="1"/>
        <v>Fora</v>
      </c>
      <c r="J524" s="239">
        <v>120.00000001396984</v>
      </c>
    </row>
    <row r="525">
      <c r="A525" s="234" t="s">
        <v>2220</v>
      </c>
      <c r="B525" s="234" t="str">
        <f>IFERROR(__xludf.DUMMYFUNCTION("""COMPUTED_VALUE"""),"SoC_GO_Goiânia_02")</f>
        <v>SoC_GO_Goiânia_02</v>
      </c>
      <c r="C525" s="234" t="str">
        <f>IFERROR(__xludf.DUMMYFUNCTION("""COMPUTED_VALUE"""),"SOC-GO2")</f>
        <v>SOC-GO2</v>
      </c>
      <c r="D525" s="234">
        <f>IFERROR(__xludf.DUMMYFUNCTION("""COMPUTED_VALUE"""),16.0)</f>
        <v>16</v>
      </c>
      <c r="E525" s="237" t="str">
        <f>IFERROR(__xludf.DUMMYFUNCTION("""COMPUTED_VALUE"""),"LT1PBG01S5KL1")</f>
        <v>LT1PBG01S5KL1</v>
      </c>
      <c r="F525" s="238" t="str">
        <f>IFERROR(__xludf.DUMMYFUNCTION("""COMPUTED_VALUE"""),"FVS7J52,FJP9A87")</f>
        <v>FVS7J52,FJP9A87</v>
      </c>
      <c r="G525" s="238">
        <f>IFERROR(__xludf.DUMMYFUNCTION("""COMPUTED_VALUE"""),45977.58333333333)</f>
        <v>45977.58333</v>
      </c>
      <c r="H525" s="238">
        <f>IFERROR(__xludf.DUMMYFUNCTION("""COMPUTED_VALUE"""),45977.66666666667)</f>
        <v>45977.66667</v>
      </c>
      <c r="I525" s="237" t="str">
        <f t="shared" si="1"/>
        <v>Fora</v>
      </c>
      <c r="J525" s="239">
        <v>120.00000001396984</v>
      </c>
    </row>
    <row r="526">
      <c r="A526" s="234" t="s">
        <v>2221</v>
      </c>
      <c r="B526" s="234" t="str">
        <f>IFERROR(__xludf.DUMMYFUNCTION("""COMPUTED_VALUE"""),"SoC_GO_Goiânia_02")</f>
        <v>SoC_GO_Goiânia_02</v>
      </c>
      <c r="C526" s="234" t="str">
        <f>IFERROR(__xludf.DUMMYFUNCTION("""COMPUTED_VALUE"""),"SOC-GO2")</f>
        <v>SOC-GO2</v>
      </c>
      <c r="D526" s="234">
        <f>IFERROR(__xludf.DUMMYFUNCTION("""COMPUTED_VALUE"""),19.0)</f>
        <v>19</v>
      </c>
      <c r="E526" s="237" t="str">
        <f>IFERROR(__xludf.DUMMYFUNCTION("""COMPUTED_VALUE"""),"LT1PBG01S5KM1")</f>
        <v>LT1PBG01S5KM1</v>
      </c>
      <c r="F526" s="238" t="str">
        <f>IFERROR(__xludf.DUMMYFUNCTION("""COMPUTED_VALUE"""),"TKO1G38,FJP6J95")</f>
        <v>TKO1G38,FJP6J95</v>
      </c>
      <c r="G526" s="238">
        <f>IFERROR(__xludf.DUMMYFUNCTION("""COMPUTED_VALUE"""),45977.58333333333)</f>
        <v>45977.58333</v>
      </c>
      <c r="H526" s="238">
        <f>IFERROR(__xludf.DUMMYFUNCTION("""COMPUTED_VALUE"""),45977.66666666667)</f>
        <v>45977.66667</v>
      </c>
      <c r="I526" s="237" t="str">
        <f t="shared" si="1"/>
        <v>Fora</v>
      </c>
      <c r="J526" s="239">
        <v>120.00000001396984</v>
      </c>
    </row>
    <row r="527">
      <c r="A527" s="234" t="s">
        <v>2222</v>
      </c>
      <c r="B527" s="234" t="str">
        <f>IFERROR(__xludf.DUMMYFUNCTION("""COMPUTED_VALUE"""),"SoC_GO_Goiânia_02")</f>
        <v>SoC_GO_Goiânia_02</v>
      </c>
      <c r="C527" s="234" t="str">
        <f>IFERROR(__xludf.DUMMYFUNCTION("""COMPUTED_VALUE"""),"SOC-GO2")</f>
        <v>SOC-GO2</v>
      </c>
      <c r="D527" s="234">
        <f>IFERROR(__xludf.DUMMYFUNCTION("""COMPUTED_VALUE"""),15.0)</f>
        <v>15</v>
      </c>
      <c r="E527" s="237" t="str">
        <f>IFERROR(__xludf.DUMMYFUNCTION("""COMPUTED_VALUE"""),"LT1PBG01S5KN1")</f>
        <v>LT1PBG01S5KN1</v>
      </c>
      <c r="F527" s="238" t="str">
        <f>IFERROR(__xludf.DUMMYFUNCTION("""COMPUTED_VALUE"""),"FFC5I93,ADZ0H19")</f>
        <v>FFC5I93,ADZ0H19</v>
      </c>
      <c r="G527" s="238">
        <f>IFERROR(__xludf.DUMMYFUNCTION("""COMPUTED_VALUE"""),45977.58333333333)</f>
        <v>45977.58333</v>
      </c>
      <c r="H527" s="238">
        <f>IFERROR(__xludf.DUMMYFUNCTION("""COMPUTED_VALUE"""),45977.66666666667)</f>
        <v>45977.66667</v>
      </c>
      <c r="I527" s="237" t="str">
        <f t="shared" si="1"/>
        <v>Fora</v>
      </c>
      <c r="J527" s="239">
        <v>120.00000001396984</v>
      </c>
    </row>
    <row r="528">
      <c r="A528" s="234" t="s">
        <v>2223</v>
      </c>
      <c r="B528" s="234" t="str">
        <f>IFERROR(__xludf.DUMMYFUNCTION("""COMPUTED_VALUE"""),"SoC_RJ_Duque de Caxias")</f>
        <v>SoC_RJ_Duque de Caxias</v>
      </c>
      <c r="C528" s="234" t="str">
        <f>IFERROR(__xludf.DUMMYFUNCTION("""COMPUTED_VALUE"""),"SOC-RJ2")</f>
        <v>SOC-RJ2</v>
      </c>
      <c r="D528" s="234">
        <f>IFERROR(__xludf.DUMMYFUNCTION("""COMPUTED_VALUE"""),6.0)</f>
        <v>6</v>
      </c>
      <c r="E528" s="237" t="str">
        <f>IFERROR(__xludf.DUMMYFUNCTION("""COMPUTED_VALUE"""),"LT1PBG01S5K51")</f>
        <v>LT1PBG01S5K51</v>
      </c>
      <c r="F528" s="238" t="str">
        <f>IFERROR(__xludf.DUMMYFUNCTION("""COMPUTED_VALUE"""),"TTS1B09,SWC1I56")</f>
        <v>TTS1B09,SWC1I56</v>
      </c>
      <c r="G528" s="238">
        <f>IFERROR(__xludf.DUMMYFUNCTION("""COMPUTED_VALUE"""),45977.58333333333)</f>
        <v>45977.58333</v>
      </c>
      <c r="H528" s="238">
        <f>IFERROR(__xludf.DUMMYFUNCTION("""COMPUTED_VALUE"""),45977.66666666667)</f>
        <v>45977.66667</v>
      </c>
      <c r="I528" s="237" t="str">
        <f t="shared" si="1"/>
        <v>Fora</v>
      </c>
      <c r="J528" s="239">
        <v>120.00000001396984</v>
      </c>
    </row>
    <row r="529">
      <c r="A529" s="234" t="s">
        <v>2224</v>
      </c>
      <c r="B529" s="234" t="str">
        <f>IFERROR(__xludf.DUMMYFUNCTION("""COMPUTED_VALUE"""),"SoC_RJ_Duque de Caxias")</f>
        <v>SoC_RJ_Duque de Caxias</v>
      </c>
      <c r="C529" s="234" t="str">
        <f>IFERROR(__xludf.DUMMYFUNCTION("""COMPUTED_VALUE"""),"SOC-RJ2")</f>
        <v>SOC-RJ2</v>
      </c>
      <c r="D529" s="234"/>
      <c r="E529" s="237" t="str">
        <f>IFERROR(__xludf.DUMMYFUNCTION("""COMPUTED_VALUE"""),"LT1PBG01S8JY1")</f>
        <v>LT1PBG01S8JY1</v>
      </c>
      <c r="F529" s="234"/>
      <c r="G529" s="238">
        <f>IFERROR(__xludf.DUMMYFUNCTION("""COMPUTED_VALUE"""),45977.58333333333)</f>
        <v>45977.58333</v>
      </c>
      <c r="H529" s="238">
        <f>IFERROR(__xludf.DUMMYFUNCTION("""COMPUTED_VALUE"""),45977.66666666667)</f>
        <v>45977.66667</v>
      </c>
      <c r="I529" s="237" t="str">
        <f t="shared" si="1"/>
        <v>Fora</v>
      </c>
      <c r="J529" s="239">
        <v>120.00000001396984</v>
      </c>
    </row>
    <row r="530">
      <c r="A530" s="234" t="s">
        <v>2225</v>
      </c>
      <c r="B530" s="234" t="str">
        <f>IFERROR(__xludf.DUMMYFUNCTION("""COMPUTED_VALUE"""),"SoC_RJ_Duque de Caxias")</f>
        <v>SoC_RJ_Duque de Caxias</v>
      </c>
      <c r="C530" s="234" t="str">
        <f>IFERROR(__xludf.DUMMYFUNCTION("""COMPUTED_VALUE"""),"SOC-RJ2")</f>
        <v>SOC-RJ2</v>
      </c>
      <c r="D530" s="234">
        <f>IFERROR(__xludf.DUMMYFUNCTION("""COMPUTED_VALUE"""),7.0)</f>
        <v>7</v>
      </c>
      <c r="E530" s="237" t="str">
        <f>IFERROR(__xludf.DUMMYFUNCTION("""COMPUTED_VALUE"""),"LT1PBG01S8JZ1")</f>
        <v>LT1PBG01S8JZ1</v>
      </c>
      <c r="F530" s="238" t="str">
        <f>IFERROR(__xludf.DUMMYFUNCTION("""COMPUTED_VALUE"""),"GIT4F78,FPN2E98")</f>
        <v>GIT4F78,FPN2E98</v>
      </c>
      <c r="G530" s="238">
        <f>IFERROR(__xludf.DUMMYFUNCTION("""COMPUTED_VALUE"""),45977.58333333333)</f>
        <v>45977.58333</v>
      </c>
      <c r="H530" s="238">
        <f>IFERROR(__xludf.DUMMYFUNCTION("""COMPUTED_VALUE"""),45977.66666666667)</f>
        <v>45977.66667</v>
      </c>
      <c r="I530" s="237" t="str">
        <f t="shared" si="1"/>
        <v>Fora</v>
      </c>
      <c r="J530" s="239">
        <v>120.00000001396984</v>
      </c>
    </row>
    <row r="531">
      <c r="A531" s="234" t="s">
        <v>2226</v>
      </c>
      <c r="B531" s="234" t="str">
        <f>IFERROR(__xludf.DUMMYFUNCTION("""COMPUTED_VALUE"""),"SoC_RS_Gravataí_02")</f>
        <v>SoC_RS_Gravataí_02</v>
      </c>
      <c r="C531" s="234" t="str">
        <f>IFERROR(__xludf.DUMMYFUNCTION("""COMPUTED_VALUE"""),"SOC-RS2")</f>
        <v>SOC-RS2</v>
      </c>
      <c r="D531" s="234"/>
      <c r="E531" s="237" t="str">
        <f>IFERROR(__xludf.DUMMYFUNCTION("""COMPUTED_VALUE"""),"LT1PBG01S5KT1")</f>
        <v>LT1PBG01S5KT1</v>
      </c>
      <c r="F531" s="234"/>
      <c r="G531" s="238">
        <f>IFERROR(__xludf.DUMMYFUNCTION("""COMPUTED_VALUE"""),45977.58333333333)</f>
        <v>45977.58333</v>
      </c>
      <c r="H531" s="238">
        <f>IFERROR(__xludf.DUMMYFUNCTION("""COMPUTED_VALUE"""),45977.66666666667)</f>
        <v>45977.66667</v>
      </c>
      <c r="I531" s="237" t="str">
        <f t="shared" si="1"/>
        <v>Fora</v>
      </c>
      <c r="J531" s="239">
        <v>120.00000001396984</v>
      </c>
    </row>
    <row r="532">
      <c r="A532" s="234" t="s">
        <v>2227</v>
      </c>
      <c r="B532" s="234" t="str">
        <f>IFERROR(__xludf.DUMMYFUNCTION("""COMPUTED_VALUE"""),"SoC_SP_Cravinhos")</f>
        <v>SoC_SP_Cravinhos</v>
      </c>
      <c r="C532" s="234" t="str">
        <f>IFERROR(__xludf.DUMMYFUNCTION("""COMPUTED_VALUE"""),"SOC-SP5")</f>
        <v>SOC-SP5</v>
      </c>
      <c r="D532" s="234">
        <f>IFERROR(__xludf.DUMMYFUNCTION("""COMPUTED_VALUE"""),14.0)</f>
        <v>14</v>
      </c>
      <c r="E532" s="237" t="str">
        <f>IFERROR(__xludf.DUMMYFUNCTION("""COMPUTED_VALUE"""),"LT1PBG01S5JV1")</f>
        <v>LT1PBG01S5JV1</v>
      </c>
      <c r="F532" s="238" t="str">
        <f>IFERROR(__xludf.DUMMYFUNCTION("""COMPUTED_VALUE"""),"BZF4B42,ATP5H78")</f>
        <v>BZF4B42,ATP5H78</v>
      </c>
      <c r="G532" s="238">
        <f>IFERROR(__xludf.DUMMYFUNCTION("""COMPUTED_VALUE"""),45977.58333333333)</f>
        <v>45977.58333</v>
      </c>
      <c r="H532" s="238">
        <f>IFERROR(__xludf.DUMMYFUNCTION("""COMPUTED_VALUE"""),45977.66666666667)</f>
        <v>45977.66667</v>
      </c>
      <c r="I532" s="237" t="str">
        <f t="shared" si="1"/>
        <v>Fora</v>
      </c>
      <c r="J532" s="239">
        <v>120.00000001396984</v>
      </c>
    </row>
    <row r="533">
      <c r="A533" s="234" t="s">
        <v>2228</v>
      </c>
      <c r="B533" s="234" t="str">
        <f>IFERROR(__xludf.DUMMYFUNCTION("""COMPUTED_VALUE"""),"SoC_SP_Cravinhos")</f>
        <v>SoC_SP_Cravinhos</v>
      </c>
      <c r="C533" s="234" t="str">
        <f>IFERROR(__xludf.DUMMYFUNCTION("""COMPUTED_VALUE"""),"SOC-SP5")</f>
        <v>SOC-SP5</v>
      </c>
      <c r="D533" s="234">
        <f>IFERROR(__xludf.DUMMYFUNCTION("""COMPUTED_VALUE"""),17.0)</f>
        <v>17</v>
      </c>
      <c r="E533" s="237" t="str">
        <f>IFERROR(__xludf.DUMMYFUNCTION("""COMPUTED_VALUE"""),"LT1PBG01S8JE1")</f>
        <v>LT1PBG01S8JE1</v>
      </c>
      <c r="F533" s="238" t="str">
        <f>IFERROR(__xludf.DUMMYFUNCTION("""COMPUTED_VALUE"""),"EFW1I35,FRS9B04")</f>
        <v>EFW1I35,FRS9B04</v>
      </c>
      <c r="G533" s="238">
        <f>IFERROR(__xludf.DUMMYFUNCTION("""COMPUTED_VALUE"""),45977.58333333333)</f>
        <v>45977.58333</v>
      </c>
      <c r="H533" s="238">
        <f>IFERROR(__xludf.DUMMYFUNCTION("""COMPUTED_VALUE"""),45977.66666666667)</f>
        <v>45977.66667</v>
      </c>
      <c r="I533" s="237" t="str">
        <f t="shared" si="1"/>
        <v>Fora</v>
      </c>
      <c r="J533" s="239">
        <v>120.00000001396984</v>
      </c>
    </row>
    <row r="534">
      <c r="A534" s="234" t="s">
        <v>2229</v>
      </c>
      <c r="B534" s="234" t="str">
        <f>IFERROR(__xludf.DUMMYFUNCTION("""COMPUTED_VALUE"""),"SoC_SP_Cravinhos")</f>
        <v>SoC_SP_Cravinhos</v>
      </c>
      <c r="C534" s="234" t="str">
        <f>IFERROR(__xludf.DUMMYFUNCTION("""COMPUTED_VALUE"""),"SOC-SP5")</f>
        <v>SOC-SP5</v>
      </c>
      <c r="D534" s="234">
        <f>IFERROR(__xludf.DUMMYFUNCTION("""COMPUTED_VALUE"""),13.0)</f>
        <v>13</v>
      </c>
      <c r="E534" s="237" t="str">
        <f>IFERROR(__xludf.DUMMYFUNCTION("""COMPUTED_VALUE"""),"LT1PBG01S8JF1")</f>
        <v>LT1PBG01S8JF1</v>
      </c>
      <c r="F534" s="238" t="str">
        <f>IFERROR(__xludf.DUMMYFUNCTION("""COMPUTED_VALUE"""),"ETU7F60,RLI2H28")</f>
        <v>ETU7F60,RLI2H28</v>
      </c>
      <c r="G534" s="238">
        <f>IFERROR(__xludf.DUMMYFUNCTION("""COMPUTED_VALUE"""),45977.58333333333)</f>
        <v>45977.58333</v>
      </c>
      <c r="H534" s="238">
        <f>IFERROR(__xludf.DUMMYFUNCTION("""COMPUTED_VALUE"""),45977.66666666667)</f>
        <v>45977.66667</v>
      </c>
      <c r="I534" s="237" t="str">
        <f t="shared" si="1"/>
        <v>Fora</v>
      </c>
      <c r="J534" s="239">
        <v>60.00000000698492</v>
      </c>
    </row>
    <row r="535">
      <c r="A535" s="234" t="s">
        <v>2230</v>
      </c>
      <c r="B535" s="234" t="str">
        <f>IFERROR(__xludf.DUMMYFUNCTION("""COMPUTED_VALUE"""),"SoC_SP_Guarulhos")</f>
        <v>SoC_SP_Guarulhos</v>
      </c>
      <c r="C535" s="234" t="str">
        <f>IFERROR(__xludf.DUMMYFUNCTION("""COMPUTED_VALUE"""),"SOC-SP6")</f>
        <v>SOC-SP6</v>
      </c>
      <c r="D535" s="234">
        <f>IFERROR(__xludf.DUMMYFUNCTION("""COMPUTED_VALUE"""),19.0)</f>
        <v>19</v>
      </c>
      <c r="E535" s="237" t="str">
        <f>IFERROR(__xludf.DUMMYFUNCTION("""COMPUTED_VALUE"""),"LT1PBG01S9011")</f>
        <v>LT1PBG01S9011</v>
      </c>
      <c r="F535" s="238" t="str">
        <f>IFERROR(__xludf.DUMMYFUNCTION("""COMPUTED_VALUE"""),"FFW3D68")</f>
        <v>FFW3D68</v>
      </c>
      <c r="G535" s="238">
        <f>IFERROR(__xludf.DUMMYFUNCTION("""COMPUTED_VALUE"""),45977.625)</f>
        <v>45977.625</v>
      </c>
      <c r="H535" s="238">
        <f>IFERROR(__xludf.DUMMYFUNCTION("""COMPUTED_VALUE"""),45977.66666666667)</f>
        <v>45977.66667</v>
      </c>
      <c r="I535" s="237" t="str">
        <f t="shared" si="1"/>
        <v>Fora</v>
      </c>
      <c r="J535" s="239">
        <v>-180.0</v>
      </c>
    </row>
    <row r="536">
      <c r="A536" s="234" t="s">
        <v>2231</v>
      </c>
      <c r="B536" s="234" t="str">
        <f>IFERROR(__xludf.DUMMYFUNCTION("""COMPUTED_VALUE"""),"SoC_RJ_Duque de Caxias")</f>
        <v>SoC_RJ_Duque de Caxias</v>
      </c>
      <c r="C536" s="234" t="str">
        <f>IFERROR(__xludf.DUMMYFUNCTION("""COMPUTED_VALUE"""),"SOC-RJ2")</f>
        <v>SOC-RJ2</v>
      </c>
      <c r="D536" s="234">
        <f>IFERROR(__xludf.DUMMYFUNCTION("""COMPUTED_VALUE"""),7.0)</f>
        <v>7</v>
      </c>
      <c r="E536" s="237" t="str">
        <f>IFERROR(__xludf.DUMMYFUNCTION("""COMPUTED_VALUE"""),"LT1PBG01S8JW1")</f>
        <v>LT1PBG01S8JW1</v>
      </c>
      <c r="F536" s="238" t="str">
        <f>IFERROR(__xludf.DUMMYFUNCTION("""COMPUTED_VALUE"""),"TIV8C68,ADI9G66")</f>
        <v>TIV8C68,ADI9G66</v>
      </c>
      <c r="G536" s="238">
        <f>IFERROR(__xludf.DUMMYFUNCTION("""COMPUTED_VALUE"""),45977.79166666667)</f>
        <v>45977.79167</v>
      </c>
      <c r="H536" s="238">
        <f>IFERROR(__xludf.DUMMYFUNCTION("""COMPUTED_VALUE"""),45977.66666666667)</f>
        <v>45977.66667</v>
      </c>
      <c r="I536" s="237" t="str">
        <f t="shared" si="1"/>
        <v>Dentro</v>
      </c>
      <c r="J536" s="239">
        <v>-120.00000001396984</v>
      </c>
    </row>
    <row r="537">
      <c r="A537" s="234" t="s">
        <v>2232</v>
      </c>
      <c r="B537" s="234" t="str">
        <f>IFERROR(__xludf.DUMMYFUNCTION("""COMPUTED_VALUE"""),"SoC_RJ_Duque de Caxias")</f>
        <v>SoC_RJ_Duque de Caxias</v>
      </c>
      <c r="C537" s="234" t="str">
        <f>IFERROR(__xludf.DUMMYFUNCTION("""COMPUTED_VALUE"""),"SOC-RJ2")</f>
        <v>SOC-RJ2</v>
      </c>
      <c r="D537" s="234">
        <f>IFERROR(__xludf.DUMMYFUNCTION("""COMPUTED_VALUE"""),8.0)</f>
        <v>8</v>
      </c>
      <c r="E537" s="237" t="str">
        <f>IFERROR(__xludf.DUMMYFUNCTION("""COMPUTED_VALUE"""),"LT1PBG01S5K81")</f>
        <v>LT1PBG01S5K81</v>
      </c>
      <c r="F537" s="238" t="str">
        <f>IFERROR(__xludf.DUMMYFUNCTION("""COMPUTED_VALUE"""),"LMZ8E48,FZI5J64")</f>
        <v>LMZ8E48,FZI5J64</v>
      </c>
      <c r="G537" s="238">
        <f>IFERROR(__xludf.DUMMYFUNCTION("""COMPUTED_VALUE"""),45977.79166666667)</f>
        <v>45977.79167</v>
      </c>
      <c r="H537" s="238">
        <f>IFERROR(__xludf.DUMMYFUNCTION("""COMPUTED_VALUE"""),45977.70833333333)</f>
        <v>45977.70833</v>
      </c>
      <c r="I537" s="237" t="str">
        <f t="shared" si="1"/>
        <v>Dentro</v>
      </c>
      <c r="J537" s="239">
        <v>119.99999999301508</v>
      </c>
    </row>
    <row r="538">
      <c r="A538" s="234" t="s">
        <v>2233</v>
      </c>
      <c r="B538" s="234" t="str">
        <f>IFERROR(__xludf.DUMMYFUNCTION("""COMPUTED_VALUE"""),"SoC_RS_Gravataí_02")</f>
        <v>SoC_RS_Gravataí_02</v>
      </c>
      <c r="C538" s="234" t="str">
        <f>IFERROR(__xludf.DUMMYFUNCTION("""COMPUTED_VALUE"""),"SOC-RS2")</f>
        <v>SOC-RS2</v>
      </c>
      <c r="D538" s="234">
        <f>IFERROR(__xludf.DUMMYFUNCTION("""COMPUTED_VALUE"""),24.0)</f>
        <v>24</v>
      </c>
      <c r="E538" s="237" t="str">
        <f>IFERROR(__xludf.DUMMYFUNCTION("""COMPUTED_VALUE"""),"LT1PBG01S8KF1")</f>
        <v>LT1PBG01S8KF1</v>
      </c>
      <c r="F538" s="238" t="str">
        <f>IFERROR(__xludf.DUMMYFUNCTION("""COMPUTED_VALUE"""),"IZR4H76,IZT9H00")</f>
        <v>IZR4H76,IZT9H00</v>
      </c>
      <c r="G538" s="238">
        <f>IFERROR(__xludf.DUMMYFUNCTION("""COMPUTED_VALUE"""),45977.66666666667)</f>
        <v>45977.66667</v>
      </c>
      <c r="H538" s="238">
        <f>IFERROR(__xludf.DUMMYFUNCTION("""COMPUTED_VALUE"""),45977.75)</f>
        <v>45977.75</v>
      </c>
      <c r="I538" s="237" t="str">
        <f t="shared" si="1"/>
        <v>Fora</v>
      </c>
      <c r="J538" s="239">
        <v>119.99999999301508</v>
      </c>
    </row>
    <row r="539">
      <c r="A539" s="234" t="s">
        <v>2234</v>
      </c>
      <c r="B539" s="234" t="str">
        <f>IFERROR(__xludf.DUMMYFUNCTION("""COMPUTED_VALUE"""),"SoC_RS_Gravataí_02")</f>
        <v>SoC_RS_Gravataí_02</v>
      </c>
      <c r="C539" s="234" t="str">
        <f>IFERROR(__xludf.DUMMYFUNCTION("""COMPUTED_VALUE"""),"SOC-RS2")</f>
        <v>SOC-RS2</v>
      </c>
      <c r="D539" s="234">
        <f>IFERROR(__xludf.DUMMYFUNCTION("""COMPUTED_VALUE"""),27.0)</f>
        <v>27</v>
      </c>
      <c r="E539" s="237" t="str">
        <f>IFERROR(__xludf.DUMMYFUNCTION("""COMPUTED_VALUE"""),"LT1PBG01S8KH1")</f>
        <v>LT1PBG01S8KH1</v>
      </c>
      <c r="F539" s="238" t="str">
        <f>IFERROR(__xludf.DUMMYFUNCTION("""COMPUTED_VALUE"""),"IQX8E14,AXI3D81")</f>
        <v>IQX8E14,AXI3D81</v>
      </c>
      <c r="G539" s="238">
        <f>IFERROR(__xludf.DUMMYFUNCTION("""COMPUTED_VALUE"""),45977.66666666667)</f>
        <v>45977.66667</v>
      </c>
      <c r="H539" s="238">
        <f>IFERROR(__xludf.DUMMYFUNCTION("""COMPUTED_VALUE"""),45977.75)</f>
        <v>45977.75</v>
      </c>
      <c r="I539" s="237" t="str">
        <f t="shared" si="1"/>
        <v>Fora</v>
      </c>
      <c r="J539" s="239">
        <v>119.99999999301508</v>
      </c>
    </row>
    <row r="540">
      <c r="A540" s="234" t="s">
        <v>2235</v>
      </c>
      <c r="B540" s="234" t="str">
        <f>IFERROR(__xludf.DUMMYFUNCTION("""COMPUTED_VALUE"""),"SoC_RS_Gravataí_02")</f>
        <v>SoC_RS_Gravataí_02</v>
      </c>
      <c r="C540" s="234" t="str">
        <f>IFERROR(__xludf.DUMMYFUNCTION("""COMPUTED_VALUE"""),"SOC-RS2")</f>
        <v>SOC-RS2</v>
      </c>
      <c r="D540" s="234"/>
      <c r="E540" s="237" t="str">
        <f>IFERROR(__xludf.DUMMYFUNCTION("""COMPUTED_VALUE"""),"LT1PBG01S8KI1")</f>
        <v>LT1PBG01S8KI1</v>
      </c>
      <c r="F540" s="238" t="str">
        <f>IFERROR(__xludf.DUMMYFUNCTION("""COMPUTED_VALUE"""),"ISU9D87,IUM0A74")</f>
        <v>ISU9D87,IUM0A74</v>
      </c>
      <c r="G540" s="238">
        <f>IFERROR(__xludf.DUMMYFUNCTION("""COMPUTED_VALUE"""),45977.66666666667)</f>
        <v>45977.66667</v>
      </c>
      <c r="H540" s="238">
        <f>IFERROR(__xludf.DUMMYFUNCTION("""COMPUTED_VALUE"""),45977.75)</f>
        <v>45977.75</v>
      </c>
      <c r="I540" s="237" t="str">
        <f t="shared" si="1"/>
        <v>Fora</v>
      </c>
      <c r="J540" s="239">
        <v>119.99999999301508</v>
      </c>
    </row>
    <row r="541">
      <c r="A541" s="234" t="s">
        <v>2236</v>
      </c>
      <c r="B541" s="234" t="str">
        <f>IFERROR(__xludf.DUMMYFUNCTION("""COMPUTED_VALUE"""),"SoC_RS_Gravataí_02")</f>
        <v>SoC_RS_Gravataí_02</v>
      </c>
      <c r="C541" s="234" t="str">
        <f>IFERROR(__xludf.DUMMYFUNCTION("""COMPUTED_VALUE"""),"SOC-RS2")</f>
        <v>SOC-RS2</v>
      </c>
      <c r="D541" s="234"/>
      <c r="E541" s="237" t="str">
        <f>IFERROR(__xludf.DUMMYFUNCTION("""COMPUTED_VALUE"""),"LT1PBG01S8KJ1")</f>
        <v>LT1PBG01S8KJ1</v>
      </c>
      <c r="F541" s="238" t="str">
        <f>IFERROR(__xludf.DUMMYFUNCTION("""COMPUTED_VALUE"""),"FHF4B74,CUJ4H75")</f>
        <v>FHF4B74,CUJ4H75</v>
      </c>
      <c r="G541" s="238">
        <f>IFERROR(__xludf.DUMMYFUNCTION("""COMPUTED_VALUE"""),45977.66666666667)</f>
        <v>45977.66667</v>
      </c>
      <c r="H541" s="238">
        <f>IFERROR(__xludf.DUMMYFUNCTION("""COMPUTED_VALUE"""),45977.75)</f>
        <v>45977.75</v>
      </c>
      <c r="I541" s="237" t="str">
        <f t="shared" si="1"/>
        <v>Fora</v>
      </c>
      <c r="J541" s="239">
        <v>119.99999999301508</v>
      </c>
    </row>
    <row r="542">
      <c r="A542" s="234" t="s">
        <v>2237</v>
      </c>
      <c r="B542" s="234" t="str">
        <f>IFERROR(__xludf.DUMMYFUNCTION("""COMPUTED_VALUE"""),"SoC_RS_Gravataí_02")</f>
        <v>SoC_RS_Gravataí_02</v>
      </c>
      <c r="C542" s="234" t="str">
        <f>IFERROR(__xludf.DUMMYFUNCTION("""COMPUTED_VALUE"""),"SOC-RS2")</f>
        <v>SOC-RS2</v>
      </c>
      <c r="D542" s="234"/>
      <c r="E542" s="237" t="str">
        <f>IFERROR(__xludf.DUMMYFUNCTION("""COMPUTED_VALUE"""),"LT1PBG01S8KK1")</f>
        <v>LT1PBG01S8KK1</v>
      </c>
      <c r="F542" s="238" t="str">
        <f>IFERROR(__xludf.DUMMYFUNCTION("""COMPUTED_VALUE"""),"QIS8J77,MKI9I84")</f>
        <v>QIS8J77,MKI9I84</v>
      </c>
      <c r="G542" s="238">
        <f>IFERROR(__xludf.DUMMYFUNCTION("""COMPUTED_VALUE"""),45977.66666666667)</f>
        <v>45977.66667</v>
      </c>
      <c r="H542" s="238">
        <f>IFERROR(__xludf.DUMMYFUNCTION("""COMPUTED_VALUE"""),45977.75)</f>
        <v>45977.75</v>
      </c>
      <c r="I542" s="237" t="str">
        <f t="shared" si="1"/>
        <v>Fora</v>
      </c>
      <c r="J542" s="239">
        <v>117.00000000419095</v>
      </c>
    </row>
    <row r="543">
      <c r="A543" s="234" t="s">
        <v>2238</v>
      </c>
      <c r="B543" s="234" t="str">
        <f>IFERROR(__xludf.DUMMYFUNCTION("""COMPUTED_VALUE"""),"SoC_MG_Betim")</f>
        <v>SoC_MG_Betim</v>
      </c>
      <c r="C543" s="234" t="str">
        <f>IFERROR(__xludf.DUMMYFUNCTION("""COMPUTED_VALUE"""),"SOC-MG2")</f>
        <v>SOC-MG2</v>
      </c>
      <c r="D543" s="234">
        <f>IFERROR(__xludf.DUMMYFUNCTION("""COMPUTED_VALUE"""),25.0)</f>
        <v>25</v>
      </c>
      <c r="E543" s="237" t="str">
        <f>IFERROR(__xludf.DUMMYFUNCTION("""COMPUTED_VALUE"""),"LT1PBG01S9021")</f>
        <v>LT1PBG01S9021</v>
      </c>
      <c r="F543" s="238" t="str">
        <f>IFERROR(__xludf.DUMMYFUNCTION("""COMPUTED_VALUE"""),"MIQ2A40,EFV3H04")</f>
        <v>MIQ2A40,EFV3H04</v>
      </c>
      <c r="G543" s="238">
        <f>IFERROR(__xludf.DUMMYFUNCTION("""COMPUTED_VALUE"""),45977.66875)</f>
        <v>45977.66875</v>
      </c>
      <c r="H543" s="238">
        <f>IFERROR(__xludf.DUMMYFUNCTION("""COMPUTED_VALUE"""),45977.75)</f>
        <v>45977.75</v>
      </c>
      <c r="I543" s="237" t="str">
        <f t="shared" si="1"/>
        <v>Fora</v>
      </c>
      <c r="J543" s="239">
        <v>60.00000000698492</v>
      </c>
    </row>
    <row r="544">
      <c r="A544" s="234" t="s">
        <v>2239</v>
      </c>
      <c r="B544" s="234" t="str">
        <f>IFERROR(__xludf.DUMMYFUNCTION("""COMPUTED_VALUE"""),"SoC_MG_Betim")</f>
        <v>SoC_MG_Betim</v>
      </c>
      <c r="C544" s="234" t="str">
        <f>IFERROR(__xludf.DUMMYFUNCTION("""COMPUTED_VALUE"""),"SOC-MG2")</f>
        <v>SOC-MG2</v>
      </c>
      <c r="D544" s="234">
        <f>IFERROR(__xludf.DUMMYFUNCTION("""COMPUTED_VALUE"""),26.0)</f>
        <v>26</v>
      </c>
      <c r="E544" s="237" t="str">
        <f>IFERROR(__xludf.DUMMYFUNCTION("""COMPUTED_VALUE"""),"LT0PBG01RGYI1")</f>
        <v>LT0PBG01RGYI1</v>
      </c>
      <c r="F544" s="238" t="str">
        <f>IFERROR(__xludf.DUMMYFUNCTION("""COMPUTED_VALUE"""),"STY3A64,TAT8D53")</f>
        <v>STY3A64,TAT8D53</v>
      </c>
      <c r="G544" s="238">
        <f>IFERROR(__xludf.DUMMYFUNCTION("""COMPUTED_VALUE"""),45977.70833333333)</f>
        <v>45977.70833</v>
      </c>
      <c r="H544" s="238">
        <f>IFERROR(__xludf.DUMMYFUNCTION("""COMPUTED_VALUE"""),45977.75)</f>
        <v>45977.75</v>
      </c>
      <c r="I544" s="237" t="str">
        <f t="shared" si="1"/>
        <v>Fora</v>
      </c>
      <c r="J544" s="239">
        <v>120.00000001396984</v>
      </c>
    </row>
    <row r="545">
      <c r="A545" s="234" t="s">
        <v>2240</v>
      </c>
      <c r="B545" s="234" t="str">
        <f>IFERROR(__xludf.DUMMYFUNCTION("""COMPUTED_VALUE"""),"SoC_MG_Betim")</f>
        <v>SoC_MG_Betim</v>
      </c>
      <c r="C545" s="234" t="str">
        <f>IFERROR(__xludf.DUMMYFUNCTION("""COMPUTED_VALUE"""),"SOC-MG2")</f>
        <v>SOC-MG2</v>
      </c>
      <c r="D545" s="234"/>
      <c r="E545" s="237" t="str">
        <f>IFERROR(__xludf.DUMMYFUNCTION("""COMPUTED_VALUE"""),"LT1PBG01S9031")</f>
        <v>LT1PBG01S9031</v>
      </c>
      <c r="F545" s="234"/>
      <c r="G545" s="238">
        <f>IFERROR(__xludf.DUMMYFUNCTION("""COMPUTED_VALUE"""),45977.70833333333)</f>
        <v>45977.70833</v>
      </c>
      <c r="H545" s="238">
        <f>IFERROR(__xludf.DUMMYFUNCTION("""COMPUTED_VALUE"""),45977.79166666667)</f>
        <v>45977.79167</v>
      </c>
      <c r="I545" s="237" t="str">
        <f t="shared" si="1"/>
        <v>Fora</v>
      </c>
      <c r="J545" s="239">
        <v>120.00000001396984</v>
      </c>
    </row>
    <row r="546">
      <c r="A546" s="234" t="s">
        <v>2241</v>
      </c>
      <c r="B546" s="234" t="str">
        <f>IFERROR(__xludf.DUMMYFUNCTION("""COMPUTED_VALUE"""),"SoC_RJ_Duque de Caxias")</f>
        <v>SoC_RJ_Duque de Caxias</v>
      </c>
      <c r="C546" s="234" t="str">
        <f>IFERROR(__xludf.DUMMYFUNCTION("""COMPUTED_VALUE"""),"SOC-RJ2")</f>
        <v>SOC-RJ2</v>
      </c>
      <c r="D546" s="234"/>
      <c r="E546" s="237" t="str">
        <f>IFERROR(__xludf.DUMMYFUNCTION("""COMPUTED_VALUE"""),"LT1PBG01S5K61")</f>
        <v>LT1PBG01S5K61</v>
      </c>
      <c r="F546" s="238" t="str">
        <f>IFERROR(__xludf.DUMMYFUNCTION("""COMPUTED_VALUE"""),"MIE3A76,NFV9C52")</f>
        <v>MIE3A76,NFV9C52</v>
      </c>
      <c r="G546" s="238">
        <f>IFERROR(__xludf.DUMMYFUNCTION("""COMPUTED_VALUE"""),45977.70833333333)</f>
        <v>45977.70833</v>
      </c>
      <c r="H546" s="238">
        <f>IFERROR(__xludf.DUMMYFUNCTION("""COMPUTED_VALUE"""),45977.79166666667)</f>
        <v>45977.79167</v>
      </c>
      <c r="I546" s="237" t="str">
        <f t="shared" si="1"/>
        <v>Fora</v>
      </c>
      <c r="J546" s="239">
        <v>119.99999999301508</v>
      </c>
    </row>
    <row r="547">
      <c r="A547" s="234" t="s">
        <v>2242</v>
      </c>
      <c r="B547" s="234" t="str">
        <f>IFERROR(__xludf.DUMMYFUNCTION("""COMPUTED_VALUE"""),"SoC_BA_Simoes Filho")</f>
        <v>SoC_BA_Simoes Filho</v>
      </c>
      <c r="C547" s="234" t="str">
        <f>IFERROR(__xludf.DUMMYFUNCTION("""COMPUTED_VALUE"""),"SOC-BA2")</f>
        <v>SOC-BA2</v>
      </c>
      <c r="D547" s="234"/>
      <c r="E547" s="237" t="str">
        <f>IFERROR(__xludf.DUMMYFUNCTION("""COMPUTED_VALUE"""),"LT1PBG01S8KB1")</f>
        <v>LT1PBG01S8KB1</v>
      </c>
      <c r="F547" s="234"/>
      <c r="G547" s="238">
        <f>IFERROR(__xludf.DUMMYFUNCTION("""COMPUTED_VALUE"""),45977.75)</f>
        <v>45977.75</v>
      </c>
      <c r="H547" s="238">
        <f>IFERROR(__xludf.DUMMYFUNCTION("""COMPUTED_VALUE"""),45977.83333333333)</f>
        <v>45977.83333</v>
      </c>
      <c r="I547" s="237" t="str">
        <f t="shared" si="1"/>
        <v>Fora</v>
      </c>
      <c r="J547" s="239">
        <v>119.99999999301508</v>
      </c>
    </row>
    <row r="548">
      <c r="A548" s="234" t="s">
        <v>2243</v>
      </c>
      <c r="B548" s="234" t="str">
        <f>IFERROR(__xludf.DUMMYFUNCTION("""COMPUTED_VALUE"""),"SoC_MG_Betim")</f>
        <v>SoC_MG_Betim</v>
      </c>
      <c r="C548" s="234" t="str">
        <f>IFERROR(__xludf.DUMMYFUNCTION("""COMPUTED_VALUE"""),"SOC-MG2")</f>
        <v>SOC-MG2</v>
      </c>
      <c r="D548" s="234">
        <f>IFERROR(__xludf.DUMMYFUNCTION("""COMPUTED_VALUE"""),46.0)</f>
        <v>46</v>
      </c>
      <c r="E548" s="237" t="str">
        <f>IFERROR(__xludf.DUMMYFUNCTION("""COMPUTED_VALUE"""),"LT0PBG01RGYO1")</f>
        <v>LT0PBG01RGYO1</v>
      </c>
      <c r="F548" s="238" t="str">
        <f>IFERROR(__xludf.DUMMYFUNCTION("""COMPUTED_VALUE"""),"SVM9H44,GDU4H95")</f>
        <v>SVM9H44,GDU4H95</v>
      </c>
      <c r="G548" s="238">
        <f>IFERROR(__xludf.DUMMYFUNCTION("""COMPUTED_VALUE"""),45977.75)</f>
        <v>45977.75</v>
      </c>
      <c r="H548" s="238">
        <f>IFERROR(__xludf.DUMMYFUNCTION("""COMPUTED_VALUE"""),45977.83333333333)</f>
        <v>45977.83333</v>
      </c>
      <c r="I548" s="237" t="str">
        <f t="shared" si="1"/>
        <v>Fora</v>
      </c>
      <c r="J548" s="239">
        <v>119.99999999301508</v>
      </c>
    </row>
    <row r="549">
      <c r="A549" s="234" t="s">
        <v>2244</v>
      </c>
      <c r="B549" s="234" t="str">
        <f>IFERROR(__xludf.DUMMYFUNCTION("""COMPUTED_VALUE"""),"SoC_MG_Betim")</f>
        <v>SoC_MG_Betim</v>
      </c>
      <c r="C549" s="234" t="str">
        <f>IFERROR(__xludf.DUMMYFUNCTION("""COMPUTED_VALUE"""),"SOC-MG2")</f>
        <v>SOC-MG2</v>
      </c>
      <c r="D549" s="234"/>
      <c r="E549" s="237" t="str">
        <f>IFERROR(__xludf.DUMMYFUNCTION("""COMPUTED_VALUE"""),"LT1PBG01S8JB1")</f>
        <v>LT1PBG01S8JB1</v>
      </c>
      <c r="F549" s="234"/>
      <c r="G549" s="238">
        <f>IFERROR(__xludf.DUMMYFUNCTION("""COMPUTED_VALUE"""),45977.75)</f>
        <v>45977.75</v>
      </c>
      <c r="H549" s="238">
        <f>IFERROR(__xludf.DUMMYFUNCTION("""COMPUTED_VALUE"""),45977.83333333333)</f>
        <v>45977.83333</v>
      </c>
      <c r="I549" s="237" t="str">
        <f t="shared" si="1"/>
        <v>Fora</v>
      </c>
      <c r="J549" s="239">
        <v>119.99999999301508</v>
      </c>
    </row>
    <row r="550">
      <c r="A550" s="234" t="s">
        <v>2245</v>
      </c>
      <c r="B550" s="234" t="str">
        <f>IFERROR(__xludf.DUMMYFUNCTION("""COMPUTED_VALUE"""),"SoC_MG_Betim")</f>
        <v>SoC_MG_Betim</v>
      </c>
      <c r="C550" s="234" t="str">
        <f>IFERROR(__xludf.DUMMYFUNCTION("""COMPUTED_VALUE"""),"SOC-MG2")</f>
        <v>SOC-MG2</v>
      </c>
      <c r="D550" s="234"/>
      <c r="E550" s="237" t="str">
        <f>IFERROR(__xludf.DUMMYFUNCTION("""COMPUTED_VALUE"""),"LT1PBG01S8JC1")</f>
        <v>LT1PBG01S8JC1</v>
      </c>
      <c r="F550" s="234"/>
      <c r="G550" s="238">
        <f>IFERROR(__xludf.DUMMYFUNCTION("""COMPUTED_VALUE"""),45977.75)</f>
        <v>45977.75</v>
      </c>
      <c r="H550" s="238">
        <f>IFERROR(__xludf.DUMMYFUNCTION("""COMPUTED_VALUE"""),45977.83333333333)</f>
        <v>45977.83333</v>
      </c>
      <c r="I550" s="237" t="str">
        <f t="shared" si="1"/>
        <v>Fora</v>
      </c>
      <c r="J550" s="239">
        <v>119.99999999301508</v>
      </c>
    </row>
    <row r="551">
      <c r="A551" s="234" t="s">
        <v>2246</v>
      </c>
      <c r="B551" s="234" t="str">
        <f>IFERROR(__xludf.DUMMYFUNCTION("""COMPUTED_VALUE"""),"SoC_MG_Betim")</f>
        <v>SoC_MG_Betim</v>
      </c>
      <c r="C551" s="234" t="str">
        <f>IFERROR(__xludf.DUMMYFUNCTION("""COMPUTED_VALUE"""),"SOC-MG2")</f>
        <v>SOC-MG2</v>
      </c>
      <c r="D551" s="234"/>
      <c r="E551" s="237" t="str">
        <f>IFERROR(__xludf.DUMMYFUNCTION("""COMPUTED_VALUE"""),"LT1PBG01S9041")</f>
        <v>LT1PBG01S9041</v>
      </c>
      <c r="F551" s="234"/>
      <c r="G551" s="238">
        <f>IFERROR(__xludf.DUMMYFUNCTION("""COMPUTED_VALUE"""),45977.75)</f>
        <v>45977.75</v>
      </c>
      <c r="H551" s="238">
        <f>IFERROR(__xludf.DUMMYFUNCTION("""COMPUTED_VALUE"""),45977.83333333333)</f>
        <v>45977.83333</v>
      </c>
      <c r="I551" s="237" t="str">
        <f t="shared" si="1"/>
        <v>Fora</v>
      </c>
      <c r="J551" s="239">
        <v>119.99999999301508</v>
      </c>
    </row>
    <row r="552">
      <c r="A552" s="234" t="s">
        <v>2247</v>
      </c>
      <c r="B552" s="234" t="str">
        <f>IFERROR(__xludf.DUMMYFUNCTION("""COMPUTED_VALUE"""),"SoC_SC_Itajaí")</f>
        <v>SoC_SC_Itajaí</v>
      </c>
      <c r="C552" s="234" t="str">
        <f>IFERROR(__xludf.DUMMYFUNCTION("""COMPUTED_VALUE"""),"SOC-SC1")</f>
        <v>SOC-SC1</v>
      </c>
      <c r="D552" s="234">
        <f>IFERROR(__xludf.DUMMYFUNCTION("""COMPUTED_VALUE"""),23.0)</f>
        <v>23</v>
      </c>
      <c r="E552" s="237" t="str">
        <f>IFERROR(__xludf.DUMMYFUNCTION("""COMPUTED_VALUE"""),"LT1PBG01S8K71")</f>
        <v>LT1PBG01S8K71</v>
      </c>
      <c r="F552" s="238" t="str">
        <f>IFERROR(__xludf.DUMMYFUNCTION("""COMPUTED_VALUE"""),"RYT3B25,RXS5J47")</f>
        <v>RYT3B25,RXS5J47</v>
      </c>
      <c r="G552" s="238">
        <f>IFERROR(__xludf.DUMMYFUNCTION("""COMPUTED_VALUE"""),45977.75)</f>
        <v>45977.75</v>
      </c>
      <c r="H552" s="238">
        <f>IFERROR(__xludf.DUMMYFUNCTION("""COMPUTED_VALUE"""),45977.83333333333)</f>
        <v>45977.83333</v>
      </c>
      <c r="I552" s="237" t="str">
        <f t="shared" si="1"/>
        <v>Fora</v>
      </c>
      <c r="J552" s="239">
        <v>119.99999999301508</v>
      </c>
    </row>
    <row r="553">
      <c r="A553" s="234" t="s">
        <v>2248</v>
      </c>
      <c r="B553" s="234" t="str">
        <f>IFERROR(__xludf.DUMMYFUNCTION("""COMPUTED_VALUE"""),"SoC_SC_Itajaí")</f>
        <v>SoC_SC_Itajaí</v>
      </c>
      <c r="C553" s="234" t="str">
        <f>IFERROR(__xludf.DUMMYFUNCTION("""COMPUTED_VALUE"""),"SOC-SC1")</f>
        <v>SOC-SC1</v>
      </c>
      <c r="D553" s="234">
        <f>IFERROR(__xludf.DUMMYFUNCTION("""COMPUTED_VALUE"""),22.0)</f>
        <v>22</v>
      </c>
      <c r="E553" s="237" t="str">
        <f>IFERROR(__xludf.DUMMYFUNCTION("""COMPUTED_VALUE"""),"LT1PBG01S8K81")</f>
        <v>LT1PBG01S8K81</v>
      </c>
      <c r="F553" s="238" t="str">
        <f>IFERROR(__xludf.DUMMYFUNCTION("""COMPUTED_VALUE"""),"RYT0B53,RYT0C33")</f>
        <v>RYT0B53,RYT0C33</v>
      </c>
      <c r="G553" s="238">
        <f>IFERROR(__xludf.DUMMYFUNCTION("""COMPUTED_VALUE"""),45977.75)</f>
        <v>45977.75</v>
      </c>
      <c r="H553" s="238">
        <f>IFERROR(__xludf.DUMMYFUNCTION("""COMPUTED_VALUE"""),45977.83333333333)</f>
        <v>45977.83333</v>
      </c>
      <c r="I553" s="237" t="str">
        <f t="shared" si="1"/>
        <v>Fora</v>
      </c>
      <c r="J553" s="239">
        <v>119.99999999301508</v>
      </c>
    </row>
    <row r="554">
      <c r="A554" s="234" t="s">
        <v>2249</v>
      </c>
      <c r="B554" s="234" t="str">
        <f>IFERROR(__xludf.DUMMYFUNCTION("""COMPUTED_VALUE"""),"SoC_SP_Guarulhos")</f>
        <v>SoC_SP_Guarulhos</v>
      </c>
      <c r="C554" s="234" t="str">
        <f>IFERROR(__xludf.DUMMYFUNCTION("""COMPUTED_VALUE"""),"SOC-SP6")</f>
        <v>SOC-SP6</v>
      </c>
      <c r="D554" s="234"/>
      <c r="E554" s="237" t="str">
        <f>IFERROR(__xludf.DUMMYFUNCTION("""COMPUTED_VALUE"""),"LT1PBG01S5K11")</f>
        <v>LT1PBG01S5K11</v>
      </c>
      <c r="F554" s="234"/>
      <c r="G554" s="238">
        <f>IFERROR(__xludf.DUMMYFUNCTION("""COMPUTED_VALUE"""),45977.75)</f>
        <v>45977.75</v>
      </c>
      <c r="H554" s="238">
        <f>IFERROR(__xludf.DUMMYFUNCTION("""COMPUTED_VALUE"""),45977.83333333333)</f>
        <v>45977.83333</v>
      </c>
      <c r="I554" s="237" t="str">
        <f t="shared" si="1"/>
        <v>Fora</v>
      </c>
      <c r="J554" s="239">
        <v>119.99999999301508</v>
      </c>
    </row>
    <row r="555">
      <c r="A555" s="234" t="s">
        <v>2250</v>
      </c>
      <c r="B555" s="234" t="str">
        <f>IFERROR(__xludf.DUMMYFUNCTION("""COMPUTED_VALUE"""),"SoC_SP_Louveira")</f>
        <v>SoC_SP_Louveira</v>
      </c>
      <c r="C555" s="234" t="str">
        <f>IFERROR(__xludf.DUMMYFUNCTION("""COMPUTED_VALUE"""),"SOC-SP7")</f>
        <v>SOC-SP7</v>
      </c>
      <c r="D555" s="234"/>
      <c r="E555" s="237" t="str">
        <f>IFERROR(__xludf.DUMMYFUNCTION("""COMPUTED_VALUE"""),"LT1PBG01S8JH1")</f>
        <v>LT1PBG01S8JH1</v>
      </c>
      <c r="F555" s="234"/>
      <c r="G555" s="238">
        <f>IFERROR(__xludf.DUMMYFUNCTION("""COMPUTED_VALUE"""),45977.75)</f>
        <v>45977.75</v>
      </c>
      <c r="H555" s="238">
        <f>IFERROR(__xludf.DUMMYFUNCTION("""COMPUTED_VALUE"""),45977.83333333333)</f>
        <v>45977.83333</v>
      </c>
      <c r="I555" s="237" t="str">
        <f t="shared" si="1"/>
        <v>Fora</v>
      </c>
      <c r="J555" s="239">
        <v>420.0000000069849</v>
      </c>
    </row>
    <row r="556">
      <c r="A556" s="234" t="s">
        <v>2251</v>
      </c>
      <c r="B556" s="234" t="str">
        <f>IFERROR(__xludf.DUMMYFUNCTION("""COMPUTED_VALUE"""),"SoC_BA_Simoes Filho")</f>
        <v>SoC_BA_Simoes Filho</v>
      </c>
      <c r="C556" s="234" t="str">
        <f>IFERROR(__xludf.DUMMYFUNCTION("""COMPUTED_VALUE"""),"SOC-BA2")</f>
        <v>SOC-BA2</v>
      </c>
      <c r="D556" s="234">
        <f>IFERROR(__xludf.DUMMYFUNCTION("""COMPUTED_VALUE"""),32.0)</f>
        <v>32</v>
      </c>
      <c r="E556" s="237" t="str">
        <f>IFERROR(__xludf.DUMMYFUNCTION("""COMPUTED_VALUE"""),"LT1PBG01S8TC1")</f>
        <v>LT1PBG01S8TC1</v>
      </c>
      <c r="F556" s="238" t="str">
        <f>IFERROR(__xludf.DUMMYFUNCTION("""COMPUTED_VALUE"""),"RLH6C88,FUW4019")</f>
        <v>RLH6C88,FUW4019</v>
      </c>
      <c r="G556" s="238">
        <f>IFERROR(__xludf.DUMMYFUNCTION("""COMPUTED_VALUE"""),45977.58333333333)</f>
        <v>45977.58333</v>
      </c>
      <c r="H556" s="238">
        <f>IFERROR(__xludf.DUMMYFUNCTION("""COMPUTED_VALUE"""),45977.875)</f>
        <v>45977.875</v>
      </c>
      <c r="I556" s="237" t="str">
        <f t="shared" si="1"/>
        <v>Fora</v>
      </c>
      <c r="J556" s="239">
        <v>299.9999999930151</v>
      </c>
    </row>
    <row r="557">
      <c r="A557" s="234" t="s">
        <v>2252</v>
      </c>
      <c r="B557" s="234" t="str">
        <f>IFERROR(__xludf.DUMMYFUNCTION("""COMPUTED_VALUE"""),"SoC_GO_Goiânia_02")</f>
        <v>SoC_GO_Goiânia_02</v>
      </c>
      <c r="C557" s="234" t="str">
        <f>IFERROR(__xludf.DUMMYFUNCTION("""COMPUTED_VALUE"""),"SOC-GO2")</f>
        <v>SOC-GO2</v>
      </c>
      <c r="D557" s="234">
        <f>IFERROR(__xludf.DUMMYFUNCTION("""COMPUTED_VALUE"""),15.0)</f>
        <v>15</v>
      </c>
      <c r="E557" s="237" t="str">
        <f>IFERROR(__xludf.DUMMYFUNCTION("""COMPUTED_VALUE"""),"LT1PBG01S5KO1")</f>
        <v>LT1PBG01S5KO1</v>
      </c>
      <c r="F557" s="238" t="str">
        <f>IFERROR(__xludf.DUMMYFUNCTION("""COMPUTED_VALUE"""),"FXS9D32,AXE7I13")</f>
        <v>FXS9D32,AXE7I13</v>
      </c>
      <c r="G557" s="238">
        <f>IFERROR(__xludf.DUMMYFUNCTION("""COMPUTED_VALUE"""),45977.66666666667)</f>
        <v>45977.66667</v>
      </c>
      <c r="H557" s="238">
        <f>IFERROR(__xludf.DUMMYFUNCTION("""COMPUTED_VALUE"""),45977.875)</f>
        <v>45977.875</v>
      </c>
      <c r="I557" s="237" t="str">
        <f t="shared" si="1"/>
        <v>Fora</v>
      </c>
      <c r="J557" s="239">
        <v>240.00000000698492</v>
      </c>
    </row>
    <row r="558">
      <c r="A558" s="234" t="s">
        <v>2253</v>
      </c>
      <c r="B558" s="234" t="str">
        <f>IFERROR(__xludf.DUMMYFUNCTION("""COMPUTED_VALUE"""),"SoC_BA_Simoes Filho")</f>
        <v>SoC_BA_Simoes Filho</v>
      </c>
      <c r="C558" s="234" t="str">
        <f>IFERROR(__xludf.DUMMYFUNCTION("""COMPUTED_VALUE"""),"SOC-BA2")</f>
        <v>SOC-BA2</v>
      </c>
      <c r="D558" s="234" t="str">
        <f>IFERROR(__xludf.DUMMYFUNCTION("""COMPUTED_VALUE"""),"33/34")</f>
        <v>33/34</v>
      </c>
      <c r="E558" s="237" t="str">
        <f>IFERROR(__xludf.DUMMYFUNCTION("""COMPUTED_VALUE"""),"LT1PBG01S92D1")</f>
        <v>LT1PBG01S92D1</v>
      </c>
      <c r="F558" s="238" t="str">
        <f>IFERROR(__xludf.DUMMYFUNCTION("""COMPUTED_VALUE"""),"QHS6C93,KLI6F07,FYD5H37")</f>
        <v>QHS6C93,KLI6F07,FYD5H37</v>
      </c>
      <c r="G558" s="238">
        <f>IFERROR(__xludf.DUMMYFUNCTION("""COMPUTED_VALUE"""),45977.70833333333)</f>
        <v>45977.70833</v>
      </c>
      <c r="H558" s="238">
        <f>IFERROR(__xludf.DUMMYFUNCTION("""COMPUTED_VALUE"""),45977.875)</f>
        <v>45977.875</v>
      </c>
      <c r="I558" s="237" t="str">
        <f t="shared" si="1"/>
        <v>Fora</v>
      </c>
      <c r="J558" s="239">
        <v>119.99999999301508</v>
      </c>
    </row>
    <row r="559">
      <c r="A559" s="234" t="s">
        <v>2252</v>
      </c>
      <c r="B559" s="234" t="str">
        <f>IFERROR(__xludf.DUMMYFUNCTION("""COMPUTED_VALUE"""),"SoC_GO_Goiânia_02")</f>
        <v>SoC_GO_Goiânia_02</v>
      </c>
      <c r="C559" s="234" t="str">
        <f>IFERROR(__xludf.DUMMYFUNCTION("""COMPUTED_VALUE"""),"SOC-GO2")</f>
        <v>SOC-GO2</v>
      </c>
      <c r="D559" s="234">
        <f>IFERROR(__xludf.DUMMYFUNCTION("""COMPUTED_VALUE"""),15.0)</f>
        <v>15</v>
      </c>
      <c r="E559" s="237" t="str">
        <f>IFERROR(__xludf.DUMMYFUNCTION("""COMPUTED_VALUE"""),"LT1PBG01S5KO1")</f>
        <v>LT1PBG01S5KO1</v>
      </c>
      <c r="F559" s="238" t="str">
        <f>IFERROR(__xludf.DUMMYFUNCTION("""COMPUTED_VALUE"""),"FXS9D32,AXE7I13")</f>
        <v>FXS9D32,AXE7I13</v>
      </c>
      <c r="G559" s="238">
        <f>IFERROR(__xludf.DUMMYFUNCTION("""COMPUTED_VALUE"""),45977.79166666667)</f>
        <v>45977.79167</v>
      </c>
      <c r="H559" s="238">
        <f>IFERROR(__xludf.DUMMYFUNCTION("""COMPUTED_VALUE"""),45977.875)</f>
        <v>45977.875</v>
      </c>
      <c r="I559" s="237" t="str">
        <f t="shared" si="1"/>
        <v>Fora</v>
      </c>
      <c r="J559" s="239">
        <v>119.99999999301508</v>
      </c>
    </row>
    <row r="560">
      <c r="A560" s="234" t="s">
        <v>2254</v>
      </c>
      <c r="B560" s="234" t="str">
        <f>IFERROR(__xludf.DUMMYFUNCTION("""COMPUTED_VALUE"""),"SoC_SP_Cravinhos")</f>
        <v>SoC_SP_Cravinhos</v>
      </c>
      <c r="C560" s="234" t="str">
        <f>IFERROR(__xludf.DUMMYFUNCTION("""COMPUTED_VALUE"""),"SOC-SP5")</f>
        <v>SOC-SP5</v>
      </c>
      <c r="D560" s="234">
        <f>IFERROR(__xludf.DUMMYFUNCTION("""COMPUTED_VALUE"""),40.0)</f>
        <v>40</v>
      </c>
      <c r="E560" s="237" t="str">
        <f>IFERROR(__xludf.DUMMYFUNCTION("""COMPUTED_VALUE"""),"LT1PBG01S8JX1")</f>
        <v>LT1PBG01S8JX1</v>
      </c>
      <c r="F560" s="238" t="str">
        <f>IFERROR(__xludf.DUMMYFUNCTION("""COMPUTED_VALUE"""),"ARW6H90,DBL9F03")</f>
        <v>ARW6H90,DBL9F03</v>
      </c>
      <c r="G560" s="238">
        <f>IFERROR(__xludf.DUMMYFUNCTION("""COMPUTED_VALUE"""),45977.79166666667)</f>
        <v>45977.79167</v>
      </c>
      <c r="H560" s="238">
        <f>IFERROR(__xludf.DUMMYFUNCTION("""COMPUTED_VALUE"""),45977.875)</f>
        <v>45977.875</v>
      </c>
      <c r="I560" s="237" t="str">
        <f t="shared" si="1"/>
        <v>Fora</v>
      </c>
      <c r="J560" s="239">
        <v>120.00000001396984</v>
      </c>
    </row>
    <row r="561">
      <c r="A561" s="234" t="s">
        <v>2255</v>
      </c>
      <c r="B561" s="234" t="str">
        <f>IFERROR(__xludf.DUMMYFUNCTION("""COMPUTED_VALUE"""),"SoC_GO_Goiânia_02")</f>
        <v>SoC_GO_Goiânia_02</v>
      </c>
      <c r="C561" s="234" t="str">
        <f>IFERROR(__xludf.DUMMYFUNCTION("""COMPUTED_VALUE"""),"SOC-GO2")</f>
        <v>SOC-GO2</v>
      </c>
      <c r="D561" s="234"/>
      <c r="E561" s="237" t="str">
        <f>IFERROR(__xludf.DUMMYFUNCTION("""COMPUTED_VALUE"""),"LT1PBG01S8KC1")</f>
        <v>LT1PBG01S8KC1</v>
      </c>
      <c r="F561" s="238" t="str">
        <f>IFERROR(__xludf.DUMMYFUNCTION("""COMPUTED_VALUE"""),"TBG4B93,EZL9D53")</f>
        <v>TBG4B93,EZL9D53</v>
      </c>
      <c r="G561" s="238">
        <f>IFERROR(__xludf.DUMMYFUNCTION("""COMPUTED_VALUE"""),45977.83333333333)</f>
        <v>45977.83333</v>
      </c>
      <c r="H561" s="238">
        <f>IFERROR(__xludf.DUMMYFUNCTION("""COMPUTED_VALUE"""),45977.91666666667)</f>
        <v>45977.91667</v>
      </c>
      <c r="I561" s="237" t="str">
        <f t="shared" si="1"/>
        <v>Fora</v>
      </c>
      <c r="J561" s="239">
        <v>120.00000001396984</v>
      </c>
    </row>
    <row r="562">
      <c r="A562" s="234" t="s">
        <v>2256</v>
      </c>
      <c r="B562" s="234" t="str">
        <f>IFERROR(__xludf.DUMMYFUNCTION("""COMPUTED_VALUE"""),"SoC_GO_Goiânia_02")</f>
        <v>SoC_GO_Goiânia_02</v>
      </c>
      <c r="C562" s="234" t="str">
        <f>IFERROR(__xludf.DUMMYFUNCTION("""COMPUTED_VALUE"""),"SOC-GO2")</f>
        <v>SOC-GO2</v>
      </c>
      <c r="D562" s="234"/>
      <c r="E562" s="237" t="str">
        <f>IFERROR(__xludf.DUMMYFUNCTION("""COMPUTED_VALUE"""),"LT1PBG01S8KD1")</f>
        <v>LT1PBG01S8KD1</v>
      </c>
      <c r="F562" s="238" t="str">
        <f>IFERROR(__xludf.DUMMYFUNCTION("""COMPUTED_VALUE"""),"CDI3C05,EUK4359")</f>
        <v>CDI3C05,EUK4359</v>
      </c>
      <c r="G562" s="238">
        <f>IFERROR(__xludf.DUMMYFUNCTION("""COMPUTED_VALUE"""),45977.83333333333)</f>
        <v>45977.83333</v>
      </c>
      <c r="H562" s="238">
        <f>IFERROR(__xludf.DUMMYFUNCTION("""COMPUTED_VALUE"""),45977.91666666667)</f>
        <v>45977.91667</v>
      </c>
      <c r="I562" s="237" t="str">
        <f t="shared" si="1"/>
        <v>Fora</v>
      </c>
      <c r="J562" s="239">
        <v>120.00000001396984</v>
      </c>
    </row>
    <row r="563">
      <c r="A563" s="234" t="s">
        <v>2257</v>
      </c>
      <c r="B563" s="234" t="str">
        <f>IFERROR(__xludf.DUMMYFUNCTION("""COMPUTED_VALUE"""),"SoC_MG_Betim")</f>
        <v>SoC_MG_Betim</v>
      </c>
      <c r="C563" s="234" t="str">
        <f>IFERROR(__xludf.DUMMYFUNCTION("""COMPUTED_VALUE"""),"SOC-MG2")</f>
        <v>SOC-MG2</v>
      </c>
      <c r="D563" s="234">
        <f>IFERROR(__xludf.DUMMYFUNCTION("""COMPUTED_VALUE"""),6.0)</f>
        <v>6</v>
      </c>
      <c r="E563" s="237" t="str">
        <f>IFERROR(__xludf.DUMMYFUNCTION("""COMPUTED_VALUE"""),"LT0PBG01R8811")</f>
        <v>LT0PBG01R8811</v>
      </c>
      <c r="F563" s="238" t="str">
        <f>IFERROR(__xludf.DUMMYFUNCTION("""COMPUTED_VALUE"""),"HIJ7I78,HOE8C94")</f>
        <v>HIJ7I78,HOE8C94</v>
      </c>
      <c r="G563" s="238">
        <f>IFERROR(__xludf.DUMMYFUNCTION("""COMPUTED_VALUE"""),45977.83333333333)</f>
        <v>45977.83333</v>
      </c>
      <c r="H563" s="238">
        <f>IFERROR(__xludf.DUMMYFUNCTION("""COMPUTED_VALUE"""),45977.91666666667)</f>
        <v>45977.91667</v>
      </c>
      <c r="I563" s="237" t="str">
        <f t="shared" si="1"/>
        <v>Fora</v>
      </c>
      <c r="J563" s="239">
        <v>120.00000001396984</v>
      </c>
    </row>
    <row r="564">
      <c r="A564" s="234" t="s">
        <v>2258</v>
      </c>
      <c r="B564" s="234" t="str">
        <f>IFERROR(__xludf.DUMMYFUNCTION("""COMPUTED_VALUE"""),"SoC_MG_Betim")</f>
        <v>SoC_MG_Betim</v>
      </c>
      <c r="C564" s="234" t="str">
        <f>IFERROR(__xludf.DUMMYFUNCTION("""COMPUTED_VALUE"""),"SOC-MG2")</f>
        <v>SOC-MG2</v>
      </c>
      <c r="D564" s="234">
        <f>IFERROR(__xludf.DUMMYFUNCTION("""COMPUTED_VALUE"""),47.0)</f>
        <v>47</v>
      </c>
      <c r="E564" s="237" t="str">
        <f>IFERROR(__xludf.DUMMYFUNCTION("""COMPUTED_VALUE"""),"LT0PBG01R8832")</f>
        <v>LT0PBG01R8832</v>
      </c>
      <c r="F564" s="238" t="str">
        <f>IFERROR(__xludf.DUMMYFUNCTION("""COMPUTED_VALUE"""),"GGC2A51,MQI2F16")</f>
        <v>GGC2A51,MQI2F16</v>
      </c>
      <c r="G564" s="238">
        <f>IFERROR(__xludf.DUMMYFUNCTION("""COMPUTED_VALUE"""),45977.83333333333)</f>
        <v>45977.83333</v>
      </c>
      <c r="H564" s="238">
        <f>IFERROR(__xludf.DUMMYFUNCTION("""COMPUTED_VALUE"""),45977.91666666667)</f>
        <v>45977.91667</v>
      </c>
      <c r="I564" s="237" t="str">
        <f t="shared" si="1"/>
        <v>Fora</v>
      </c>
      <c r="J564" s="239">
        <v>120.00000001396984</v>
      </c>
    </row>
    <row r="565">
      <c r="A565" s="234" t="s">
        <v>2259</v>
      </c>
      <c r="B565" s="234" t="str">
        <f>IFERROR(__xludf.DUMMYFUNCTION("""COMPUTED_VALUE"""),"SoC_MG_Betim")</f>
        <v>SoC_MG_Betim</v>
      </c>
      <c r="C565" s="234" t="str">
        <f>IFERROR(__xludf.DUMMYFUNCTION("""COMPUTED_VALUE"""),"SOC-MG2")</f>
        <v>SOC-MG2</v>
      </c>
      <c r="D565" s="234"/>
      <c r="E565" s="237" t="str">
        <f>IFERROR(__xludf.DUMMYFUNCTION("""COMPUTED_VALUE"""),"LT1PBG01S8JD1")</f>
        <v>LT1PBG01S8JD1</v>
      </c>
      <c r="F565" s="234"/>
      <c r="G565" s="238">
        <f>IFERROR(__xludf.DUMMYFUNCTION("""COMPUTED_VALUE"""),45977.83333333333)</f>
        <v>45977.83333</v>
      </c>
      <c r="H565" s="238">
        <f>IFERROR(__xludf.DUMMYFUNCTION("""COMPUTED_VALUE"""),45977.91666666667)</f>
        <v>45977.91667</v>
      </c>
      <c r="I565" s="237" t="str">
        <f t="shared" si="1"/>
        <v>Fora</v>
      </c>
      <c r="J565" s="239">
        <v>120.00000001396984</v>
      </c>
    </row>
    <row r="566">
      <c r="A566" s="234" t="s">
        <v>2260</v>
      </c>
      <c r="B566" s="234" t="str">
        <f>IFERROR(__xludf.DUMMYFUNCTION("""COMPUTED_VALUE"""),"SoC_SP_Cravinhos")</f>
        <v>SoC_SP_Cravinhos</v>
      </c>
      <c r="C566" s="234" t="str">
        <f>IFERROR(__xludf.DUMMYFUNCTION("""COMPUTED_VALUE"""),"SOC-SP5")</f>
        <v>SOC-SP5</v>
      </c>
      <c r="D566" s="234">
        <f>IFERROR(__xludf.DUMMYFUNCTION("""COMPUTED_VALUE"""),12.0)</f>
        <v>12</v>
      </c>
      <c r="E566" s="237" t="str">
        <f>IFERROR(__xludf.DUMMYFUNCTION("""COMPUTED_VALUE"""),"LT1PBG01S8AJ1")</f>
        <v>LT1PBG01S8AJ1</v>
      </c>
      <c r="F566" s="238" t="str">
        <f>IFERROR(__xludf.DUMMYFUNCTION("""COMPUTED_VALUE"""),"UFV3D66,DKP0140")</f>
        <v>UFV3D66,DKP0140</v>
      </c>
      <c r="G566" s="238">
        <f>IFERROR(__xludf.DUMMYFUNCTION("""COMPUTED_VALUE"""),45977.83333333333)</f>
        <v>45977.83333</v>
      </c>
      <c r="H566" s="238">
        <f>IFERROR(__xludf.DUMMYFUNCTION("""COMPUTED_VALUE"""),45977.91666666667)</f>
        <v>45977.91667</v>
      </c>
      <c r="I566" s="237" t="str">
        <f t="shared" si="1"/>
        <v>Fora</v>
      </c>
      <c r="J566" s="239">
        <v>120.00000001396984</v>
      </c>
    </row>
    <row r="567">
      <c r="A567" s="234" t="s">
        <v>2261</v>
      </c>
      <c r="B567" s="234" t="str">
        <f>IFERROR(__xludf.DUMMYFUNCTION("""COMPUTED_VALUE"""),"SoC_SP_Cravinhos")</f>
        <v>SoC_SP_Cravinhos</v>
      </c>
      <c r="C567" s="234" t="str">
        <f>IFERROR(__xludf.DUMMYFUNCTION("""COMPUTED_VALUE"""),"SOC-SP5")</f>
        <v>SOC-SP5</v>
      </c>
      <c r="D567" s="234"/>
      <c r="E567" s="237" t="str">
        <f>IFERROR(__xludf.DUMMYFUNCTION("""COMPUTED_VALUE"""),"LT1PBG01S9001")</f>
        <v>LT1PBG01S9001</v>
      </c>
      <c r="F567" s="234"/>
      <c r="G567" s="238">
        <f>IFERROR(__xludf.DUMMYFUNCTION("""COMPUTED_VALUE"""),45977.83333333333)</f>
        <v>45977.83333</v>
      </c>
      <c r="H567" s="238">
        <f>IFERROR(__xludf.DUMMYFUNCTION("""COMPUTED_VALUE"""),45977.91666666667)</f>
        <v>45977.91667</v>
      </c>
      <c r="I567" s="237" t="str">
        <f t="shared" si="1"/>
        <v>Fora</v>
      </c>
      <c r="J567" s="239">
        <v>120.00000001396984</v>
      </c>
    </row>
    <row r="568">
      <c r="A568" s="234" t="s">
        <v>2262</v>
      </c>
      <c r="B568" s="234" t="str">
        <f>IFERROR(__xludf.DUMMYFUNCTION("""COMPUTED_VALUE"""),"SoC_SP_Guarulhos")</f>
        <v>SoC_SP_Guarulhos</v>
      </c>
      <c r="C568" s="234" t="str">
        <f>IFERROR(__xludf.DUMMYFUNCTION("""COMPUTED_VALUE"""),"SOC-SP6")</f>
        <v>SOC-SP6</v>
      </c>
      <c r="D568" s="234"/>
      <c r="E568" s="237" t="str">
        <f>IFERROR(__xludf.DUMMYFUNCTION("""COMPUTED_VALUE"""),"LT1PBG01S95R1")</f>
        <v>LT1PBG01S95R1</v>
      </c>
      <c r="F568" s="234"/>
      <c r="G568" s="238">
        <f>IFERROR(__xludf.DUMMYFUNCTION("""COMPUTED_VALUE"""),45977.83333333333)</f>
        <v>45977.83333</v>
      </c>
      <c r="H568" s="238">
        <f>IFERROR(__xludf.DUMMYFUNCTION("""COMPUTED_VALUE"""),45977.91666666667)</f>
        <v>45977.91667</v>
      </c>
      <c r="I568" s="237" t="str">
        <f t="shared" si="1"/>
        <v>Fora</v>
      </c>
      <c r="J568" s="239">
        <v>120.00000001396984</v>
      </c>
    </row>
    <row r="569">
      <c r="A569" s="234" t="s">
        <v>2263</v>
      </c>
      <c r="B569" s="234" t="str">
        <f>IFERROR(__xludf.DUMMYFUNCTION("""COMPUTED_VALUE"""),"SoC_SP_Louveira")</f>
        <v>SoC_SP_Louveira</v>
      </c>
      <c r="C569" s="234" t="str">
        <f>IFERROR(__xludf.DUMMYFUNCTION("""COMPUTED_VALUE"""),"SOC-SP7")</f>
        <v>SOC-SP7</v>
      </c>
      <c r="D569" s="234"/>
      <c r="E569" s="237" t="str">
        <f>IFERROR(__xludf.DUMMYFUNCTION("""COMPUTED_VALUE"""),"LT1PBG01S8ZZ1")</f>
        <v>LT1PBG01S8ZZ1</v>
      </c>
      <c r="F569" s="234"/>
      <c r="G569" s="238">
        <f>IFERROR(__xludf.DUMMYFUNCTION("""COMPUTED_VALUE"""),45977.83333333333)</f>
        <v>45977.83333</v>
      </c>
      <c r="H569" s="238">
        <f>IFERROR(__xludf.DUMMYFUNCTION("""COMPUTED_VALUE"""),45977.91666666667)</f>
        <v>45977.91667</v>
      </c>
      <c r="I569" s="237" t="str">
        <f t="shared" si="1"/>
        <v>Fora</v>
      </c>
      <c r="J569" s="239">
        <v>120.00000001396984</v>
      </c>
    </row>
    <row r="570">
      <c r="A570" s="234" t="s">
        <v>2264</v>
      </c>
      <c r="B570" s="234" t="str">
        <f>IFERROR(__xludf.DUMMYFUNCTION("""COMPUTED_VALUE"""),"SoC_SP_Louveira")</f>
        <v>SoC_SP_Louveira</v>
      </c>
      <c r="C570" s="234" t="str">
        <f>IFERROR(__xludf.DUMMYFUNCTION("""COMPUTED_VALUE"""),"SOC-SP7")</f>
        <v>SOC-SP7</v>
      </c>
      <c r="D570" s="234"/>
      <c r="E570" s="237" t="str">
        <f>IFERROR(__xludf.DUMMYFUNCTION("""COMPUTED_VALUE"""),"LT1PBG01S95Q1")</f>
        <v>LT1PBG01S95Q1</v>
      </c>
      <c r="F570" s="234"/>
      <c r="G570" s="238">
        <f>IFERROR(__xludf.DUMMYFUNCTION("""COMPUTED_VALUE"""),45977.83333333333)</f>
        <v>45977.83333</v>
      </c>
      <c r="H570" s="238">
        <f>IFERROR(__xludf.DUMMYFUNCTION("""COMPUTED_VALUE"""),45977.91666666667)</f>
        <v>45977.91667</v>
      </c>
      <c r="I570" s="237" t="str">
        <f t="shared" si="1"/>
        <v>Fora</v>
      </c>
      <c r="J570" s="239">
        <v>119.99999999301508</v>
      </c>
    </row>
    <row r="571">
      <c r="A571" s="234" t="s">
        <v>2265</v>
      </c>
      <c r="B571" s="234" t="str">
        <f>IFERROR(__xludf.DUMMYFUNCTION("""COMPUTED_VALUE"""),"LM Hub_SP_Jurubatuba")</f>
        <v>LM Hub_SP_Jurubatuba</v>
      </c>
      <c r="C571" s="234" t="str">
        <f>IFERROR(__xludf.DUMMYFUNCTION("""COMPUTED_VALUE"""),"HUB-LSP-16")</f>
        <v>HUB-LSP-16</v>
      </c>
      <c r="D571" s="234">
        <f>IFERROR(__xludf.DUMMYFUNCTION("""COMPUTED_VALUE"""),12.0)</f>
        <v>12</v>
      </c>
      <c r="E571" s="237" t="str">
        <f>IFERROR(__xludf.DUMMYFUNCTION("""COMPUTED_VALUE"""),"LT1PBH01S9M11")</f>
        <v>LT1PBH01S9M11</v>
      </c>
      <c r="F571" s="238" t="str">
        <f>IFERROR(__xludf.DUMMYFUNCTION("""COMPUTED_VALUE"""),"EPU5B13,GLB6C22")</f>
        <v>EPU5B13,GLB6C22</v>
      </c>
      <c r="G571" s="238">
        <f>IFERROR(__xludf.DUMMYFUNCTION("""COMPUTED_VALUE"""),45978.875)</f>
        <v>45978.875</v>
      </c>
      <c r="H571" s="238">
        <f>IFERROR(__xludf.DUMMYFUNCTION("""COMPUTED_VALUE"""),45978.95833333333)</f>
        <v>45978.95833</v>
      </c>
      <c r="I571" s="237" t="str">
        <f t="shared" si="1"/>
        <v>Fora</v>
      </c>
      <c r="J571" s="239">
        <v>119.99999999301508</v>
      </c>
    </row>
    <row r="572">
      <c r="A572" s="234" t="s">
        <v>2266</v>
      </c>
      <c r="B572" s="234" t="str">
        <f>IFERROR(__xludf.DUMMYFUNCTION("""COMPUTED_VALUE"""),"LM Hub_SP_Taubaté")</f>
        <v>LM Hub_SP_Taubaté</v>
      </c>
      <c r="C572" s="234" t="str">
        <f>IFERROR(__xludf.DUMMYFUNCTION("""COMPUTED_VALUE"""),"HUB-LSP-08")</f>
        <v>HUB-LSP-08</v>
      </c>
      <c r="D572" s="234">
        <f>IFERROR(__xludf.DUMMYFUNCTION("""COMPUTED_VALUE"""),17.0)</f>
        <v>17</v>
      </c>
      <c r="E572" s="237" t="str">
        <f>IFERROR(__xludf.DUMMYFUNCTION("""COMPUTED_VALUE"""),"LT0PBH01RV121")</f>
        <v>LT0PBH01RV121</v>
      </c>
      <c r="F572" s="238" t="str">
        <f>IFERROR(__xludf.DUMMYFUNCTION("""COMPUTED_VALUE"""),"QQB2G09")</f>
        <v>QQB2G09</v>
      </c>
      <c r="G572" s="238">
        <f>IFERROR(__xludf.DUMMYFUNCTION("""COMPUTED_VALUE"""),45978.875)</f>
        <v>45978.875</v>
      </c>
      <c r="H572" s="238">
        <f>IFERROR(__xludf.DUMMYFUNCTION("""COMPUTED_VALUE"""),45978.95833333333)</f>
        <v>45978.95833</v>
      </c>
      <c r="I572" s="237" t="str">
        <f t="shared" si="1"/>
        <v>Fora</v>
      </c>
      <c r="J572" s="239">
        <v>120.00000001396984</v>
      </c>
    </row>
    <row r="573">
      <c r="A573" s="234" t="s">
        <v>2267</v>
      </c>
      <c r="B573" s="234" t="str">
        <f>IFERROR(__xludf.DUMMYFUNCTION("""COMPUTED_VALUE"""),"LM Hub_SP_Jurubatuba")</f>
        <v>LM Hub_SP_Jurubatuba</v>
      </c>
      <c r="C573" s="234" t="str">
        <f>IFERROR(__xludf.DUMMYFUNCTION("""COMPUTED_VALUE"""),"HUB-LSP-16")</f>
        <v>HUB-LSP-16</v>
      </c>
      <c r="D573" s="234">
        <f>IFERROR(__xludf.DUMMYFUNCTION("""COMPUTED_VALUE"""),15.0)</f>
        <v>15</v>
      </c>
      <c r="E573" s="237" t="str">
        <f>IFERROR(__xludf.DUMMYFUNCTION("""COMPUTED_VALUE"""),"LT0PBH01RUYJ1")</f>
        <v>LT0PBH01RUYJ1</v>
      </c>
      <c r="F573" s="238" t="str">
        <f>IFERROR(__xludf.DUMMYFUNCTION("""COMPUTED_VALUE"""),"CUA7C61")</f>
        <v>CUA7C61</v>
      </c>
      <c r="G573" s="238">
        <f>IFERROR(__xludf.DUMMYFUNCTION("""COMPUTED_VALUE"""),45978.89583333333)</f>
        <v>45978.89583</v>
      </c>
      <c r="H573" s="238">
        <f>IFERROR(__xludf.DUMMYFUNCTION("""COMPUTED_VALUE"""),45978.97916666667)</f>
        <v>45978.97917</v>
      </c>
      <c r="I573" s="237" t="str">
        <f t="shared" si="1"/>
        <v>Fora</v>
      </c>
      <c r="J573" s="239">
        <v>120.00000001396984</v>
      </c>
    </row>
    <row r="574">
      <c r="A574" s="234" t="s">
        <v>2268</v>
      </c>
      <c r="B574" s="234" t="str">
        <f>IFERROR(__xludf.DUMMYFUNCTION("""COMPUTED_VALUE"""),"LM Hub_SP_Santos_Praia Grande")</f>
        <v>LM Hub_SP_Santos_Praia Grande</v>
      </c>
      <c r="C574" s="234" t="str">
        <f>IFERROR(__xludf.DUMMYFUNCTION("""COMPUTED_VALUE"""),"HUB-LSP-09")</f>
        <v>HUB-LSP-09</v>
      </c>
      <c r="D574" s="234">
        <f>IFERROR(__xludf.DUMMYFUNCTION("""COMPUTED_VALUE"""),24.0)</f>
        <v>24</v>
      </c>
      <c r="E574" s="237" t="str">
        <f>IFERROR(__xludf.DUMMYFUNCTION("""COMPUTED_VALUE"""),"LT0PBH01RV181")</f>
        <v>LT0PBH01RV181</v>
      </c>
      <c r="F574" s="238" t="str">
        <f>IFERROR(__xludf.DUMMYFUNCTION("""COMPUTED_VALUE"""),"GIT9H24,TLQ4B97")</f>
        <v>GIT9H24,TLQ4B97</v>
      </c>
      <c r="G574" s="238">
        <f>IFERROR(__xludf.DUMMYFUNCTION("""COMPUTED_VALUE"""),45978.89583333333)</f>
        <v>45978.89583</v>
      </c>
      <c r="H574" s="238">
        <f>IFERROR(__xludf.DUMMYFUNCTION("""COMPUTED_VALUE"""),45978.97916666667)</f>
        <v>45978.97917</v>
      </c>
      <c r="I574" s="237" t="str">
        <f t="shared" si="1"/>
        <v>Fora</v>
      </c>
      <c r="J574" s="239">
        <v>120.00000001396984</v>
      </c>
    </row>
    <row r="575">
      <c r="A575" s="234" t="s">
        <v>2269</v>
      </c>
      <c r="B575" s="234" t="str">
        <f>IFERROR(__xludf.DUMMYFUNCTION("""COMPUTED_VALUE"""),"LM Hub_SP_São José dos Campos")</f>
        <v>LM Hub_SP_São José dos Campos</v>
      </c>
      <c r="C575" s="234" t="str">
        <f>IFERROR(__xludf.DUMMYFUNCTION("""COMPUTED_VALUE"""),"HUB-LSP-04")</f>
        <v>HUB-LSP-04</v>
      </c>
      <c r="D575" s="234">
        <f>IFERROR(__xludf.DUMMYFUNCTION("""COMPUTED_VALUE"""),22.0)</f>
        <v>22</v>
      </c>
      <c r="E575" s="237" t="str">
        <f>IFERROR(__xludf.DUMMYFUNCTION("""COMPUTED_VALUE"""),"LT0PBH01RV2A1")</f>
        <v>LT0PBH01RV2A1</v>
      </c>
      <c r="F575" s="238" t="str">
        <f>IFERROR(__xludf.DUMMYFUNCTION("""COMPUTED_VALUE"""),"PRI3H29")</f>
        <v>PRI3H29</v>
      </c>
      <c r="G575" s="238">
        <f>IFERROR(__xludf.DUMMYFUNCTION("""COMPUTED_VALUE"""),45978.89583333333)</f>
        <v>45978.89583</v>
      </c>
      <c r="H575" s="238">
        <f>IFERROR(__xludf.DUMMYFUNCTION("""COMPUTED_VALUE"""),45978.97916666667)</f>
        <v>45978.97917</v>
      </c>
      <c r="I575" s="237" t="str">
        <f t="shared" si="1"/>
        <v>Fora</v>
      </c>
      <c r="J575" s="239">
        <v>120.00000001396984</v>
      </c>
    </row>
    <row r="576">
      <c r="A576" s="234" t="s">
        <v>2270</v>
      </c>
      <c r="B576" s="234" t="str">
        <f>IFERROR(__xludf.DUMMYFUNCTION("""COMPUTED_VALUE"""),"LM Hub_SP_Zimba")</f>
        <v>LM Hub_SP_Zimba</v>
      </c>
      <c r="C576" s="234" t="str">
        <f>IFERROR(__xludf.DUMMYFUNCTION("""COMPUTED_VALUE"""),"HUB-LSP-74")</f>
        <v>HUB-LSP-74</v>
      </c>
      <c r="D576" s="234">
        <f>IFERROR(__xludf.DUMMYFUNCTION("""COMPUTED_VALUE"""),41.0)</f>
        <v>41</v>
      </c>
      <c r="E576" s="237" t="str">
        <f>IFERROR(__xludf.DUMMYFUNCTION("""COMPUTED_VALUE"""),"LT0PBH01RUZB1")</f>
        <v>LT0PBH01RUZB1</v>
      </c>
      <c r="F576" s="238" t="str">
        <f>IFERROR(__xludf.DUMMYFUNCTION("""COMPUTED_VALUE"""),"SUQ5C99,TLD5B82")</f>
        <v>SUQ5C99,TLD5B82</v>
      </c>
      <c r="G576" s="238">
        <f>IFERROR(__xludf.DUMMYFUNCTION("""COMPUTED_VALUE"""),45978.89583333333)</f>
        <v>45978.89583</v>
      </c>
      <c r="H576" s="238">
        <f>IFERROR(__xludf.DUMMYFUNCTION("""COMPUTED_VALUE"""),45978.97916666667)</f>
        <v>45978.97917</v>
      </c>
      <c r="I576" s="237" t="str">
        <f t="shared" si="1"/>
        <v>Fora</v>
      </c>
      <c r="J576" s="239">
        <v>119.00000001071021</v>
      </c>
    </row>
    <row r="577">
      <c r="A577" s="234" t="s">
        <v>2271</v>
      </c>
      <c r="B577" s="234" t="str">
        <f>IFERROR(__xludf.DUMMYFUNCTION("""COMPUTED_VALUE"""),"LM Hub_SP_São Paulo_Lapa")</f>
        <v>LM Hub_SP_São Paulo_Lapa</v>
      </c>
      <c r="C577" s="234" t="str">
        <f>IFERROR(__xludf.DUMMYFUNCTION("""COMPUTED_VALUE"""),"HUB-LSP-15")</f>
        <v>HUB-LSP-15</v>
      </c>
      <c r="D577" s="234">
        <f>IFERROR(__xludf.DUMMYFUNCTION("""COMPUTED_VALUE"""),12.0)</f>
        <v>12</v>
      </c>
      <c r="E577" s="237" t="str">
        <f>IFERROR(__xludf.DUMMYFUNCTION("""COMPUTED_VALUE"""),"LT0PBH01RUYE1")</f>
        <v>LT0PBH01RUYE1</v>
      </c>
      <c r="F577" s="238" t="str">
        <f>IFERROR(__xludf.DUMMYFUNCTION("""COMPUTED_VALUE"""),"GBE0G47,FJP5G21")</f>
        <v>GBE0G47,FJP5G21</v>
      </c>
      <c r="G577" s="238">
        <f>IFERROR(__xludf.DUMMYFUNCTION("""COMPUTED_VALUE"""),45978.896527777775)</f>
        <v>45978.89653</v>
      </c>
      <c r="H577" s="238">
        <f>IFERROR(__xludf.DUMMYFUNCTION("""COMPUTED_VALUE"""),45978.97916666667)</f>
        <v>45978.97917</v>
      </c>
      <c r="I577" s="237" t="str">
        <f t="shared" si="1"/>
        <v>Fora</v>
      </c>
      <c r="J577" s="239">
        <v>118.99999998975545</v>
      </c>
    </row>
    <row r="578">
      <c r="A578" s="234" t="s">
        <v>2272</v>
      </c>
      <c r="B578" s="234" t="str">
        <f>IFERROR(__xludf.DUMMYFUNCTION("""COMPUTED_VALUE"""),"LM Hub_SP_Guarujá")</f>
        <v>LM Hub_SP_Guarujá</v>
      </c>
      <c r="C578" s="234" t="str">
        <f>IFERROR(__xludf.DUMMYFUNCTION("""COMPUTED_VALUE"""),"HUB-LSP-06")</f>
        <v>HUB-LSP-06</v>
      </c>
      <c r="D578" s="234">
        <f>IFERROR(__xludf.DUMMYFUNCTION("""COMPUTED_VALUE"""),6.0)</f>
        <v>6</v>
      </c>
      <c r="E578" s="237" t="str">
        <f>IFERROR(__xludf.DUMMYFUNCTION("""COMPUTED_VALUE"""),"LT0PBH01RV061")</f>
        <v>LT0PBH01RV061</v>
      </c>
      <c r="F578" s="238" t="str">
        <f>IFERROR(__xludf.DUMMYFUNCTION("""COMPUTED_VALUE"""),"TJN5H17")</f>
        <v>TJN5H17</v>
      </c>
      <c r="G578" s="238">
        <f>IFERROR(__xludf.DUMMYFUNCTION("""COMPUTED_VALUE"""),45978.91666666667)</f>
        <v>45978.91667</v>
      </c>
      <c r="H578" s="238">
        <f>IFERROR(__xludf.DUMMYFUNCTION("""COMPUTED_VALUE"""),45978.99930555555)</f>
        <v>45978.99931</v>
      </c>
      <c r="I578" s="237" t="str">
        <f t="shared" si="1"/>
        <v>Fora</v>
      </c>
      <c r="J578" s="239">
        <v>119.99999999301508</v>
      </c>
    </row>
    <row r="579">
      <c r="A579" s="234" t="s">
        <v>2273</v>
      </c>
      <c r="B579" s="234" t="str">
        <f>IFERROR(__xludf.DUMMYFUNCTION("""COMPUTED_VALUE"""),"LM Hub_RS_Porto Alegre_Floresta")</f>
        <v>LM Hub_RS_Porto Alegre_Floresta</v>
      </c>
      <c r="C579" s="234" t="str">
        <f>IFERROR(__xludf.DUMMYFUNCTION("""COMPUTED_VALUE"""),"HUB-LRS-03")</f>
        <v>HUB-LRS-03</v>
      </c>
      <c r="D579" s="234">
        <f>IFERROR(__xludf.DUMMYFUNCTION("""COMPUTED_VALUE"""),28.0)</f>
        <v>28</v>
      </c>
      <c r="E579" s="237" t="str">
        <f>IFERROR(__xludf.DUMMYFUNCTION("""COMPUTED_VALUE"""),"LT0PBH01S1HL1")</f>
        <v>LT0PBH01S1HL1</v>
      </c>
      <c r="F579" s="238" t="str">
        <f>IFERROR(__xludf.DUMMYFUNCTION("""COMPUTED_VALUE"""),"MEZ4C58")</f>
        <v>MEZ4C58</v>
      </c>
      <c r="G579" s="238">
        <f>IFERROR(__xludf.DUMMYFUNCTION("""COMPUTED_VALUE"""),45978.91666666667)</f>
        <v>45978.91667</v>
      </c>
      <c r="H579" s="238">
        <f>IFERROR(__xludf.DUMMYFUNCTION("""COMPUTED_VALUE"""),45979.0)</f>
        <v>45979</v>
      </c>
      <c r="I579" s="237" t="str">
        <f t="shared" si="1"/>
        <v>Fora</v>
      </c>
      <c r="J579" s="239">
        <v>119.99999999301508</v>
      </c>
    </row>
    <row r="580">
      <c r="A580" s="234" t="s">
        <v>2274</v>
      </c>
      <c r="B580" s="234" t="str">
        <f>IFERROR(__xludf.DUMMYFUNCTION("""COMPUTED_VALUE"""),"LM Hub_SP_Artur Alvim")</f>
        <v>LM Hub_SP_Artur Alvim</v>
      </c>
      <c r="C580" s="234" t="str">
        <f>IFERROR(__xludf.DUMMYFUNCTION("""COMPUTED_VALUE"""),"HUB-LSP-07")</f>
        <v>HUB-LSP-07</v>
      </c>
      <c r="D580" s="234">
        <f>IFERROR(__xludf.DUMMYFUNCTION("""COMPUTED_VALUE"""),16.0)</f>
        <v>16</v>
      </c>
      <c r="E580" s="237" t="str">
        <f>IFERROR(__xludf.DUMMYFUNCTION("""COMPUTED_VALUE"""),"LT0PBH01RUXZ1")</f>
        <v>LT0PBH01RUXZ1</v>
      </c>
      <c r="F580" s="238" t="str">
        <f>IFERROR(__xludf.DUMMYFUNCTION("""COMPUTED_VALUE"""),"EPU4G01")</f>
        <v>EPU4G01</v>
      </c>
      <c r="G580" s="238">
        <f>IFERROR(__xludf.DUMMYFUNCTION("""COMPUTED_VALUE"""),45978.91666666667)</f>
        <v>45978.91667</v>
      </c>
      <c r="H580" s="238">
        <f>IFERROR(__xludf.DUMMYFUNCTION("""COMPUTED_VALUE"""),45979.0)</f>
        <v>45979</v>
      </c>
      <c r="I580" s="237" t="str">
        <f t="shared" si="1"/>
        <v>Fora</v>
      </c>
      <c r="J580" s="239">
        <v>119.99999999301508</v>
      </c>
    </row>
    <row r="581">
      <c r="A581" s="234" t="s">
        <v>2275</v>
      </c>
      <c r="B581" s="234" t="str">
        <f>IFERROR(__xludf.DUMMYFUNCTION("""COMPUTED_VALUE"""),"LM Hub_SP_Barueri_01")</f>
        <v>LM Hub_SP_Barueri_01</v>
      </c>
      <c r="C581" s="234" t="str">
        <f>IFERROR(__xludf.DUMMYFUNCTION("""COMPUTED_VALUE"""),"HUB-LSP-81")</f>
        <v>HUB-LSP-81</v>
      </c>
      <c r="D581" s="234">
        <f>IFERROR(__xludf.DUMMYFUNCTION("""COMPUTED_VALUE"""),13.0)</f>
        <v>13</v>
      </c>
      <c r="E581" s="237" t="str">
        <f>IFERROR(__xludf.DUMMYFUNCTION("""COMPUTED_VALUE"""),"LT0PBH01S0E31")</f>
        <v>LT0PBH01S0E31</v>
      </c>
      <c r="F581" s="238" t="str">
        <f>IFERROR(__xludf.DUMMYFUNCTION("""COMPUTED_VALUE"""),"GEV2J37")</f>
        <v>GEV2J37</v>
      </c>
      <c r="G581" s="238">
        <f>IFERROR(__xludf.DUMMYFUNCTION("""COMPUTED_VALUE"""),45978.91666666667)</f>
        <v>45978.91667</v>
      </c>
      <c r="H581" s="238">
        <f>IFERROR(__xludf.DUMMYFUNCTION("""COMPUTED_VALUE"""),45979.0)</f>
        <v>45979</v>
      </c>
      <c r="I581" s="237" t="str">
        <f t="shared" si="1"/>
        <v>Fora</v>
      </c>
      <c r="J581" s="239">
        <v>119.99999999301508</v>
      </c>
    </row>
    <row r="582">
      <c r="A582" s="234" t="s">
        <v>2276</v>
      </c>
      <c r="B582" s="234" t="str">
        <f>IFERROR(__xludf.DUMMYFUNCTION("""COMPUTED_VALUE"""),"LM Hub_SP_Itapevi")</f>
        <v>LM Hub_SP_Itapevi</v>
      </c>
      <c r="C582" s="234" t="str">
        <f>IFERROR(__xludf.DUMMYFUNCTION("""COMPUTED_VALUE"""),"HUB-LSP-41")</f>
        <v>HUB-LSP-41</v>
      </c>
      <c r="D582" s="234">
        <f>IFERROR(__xludf.DUMMYFUNCTION("""COMPUTED_VALUE"""),5.0)</f>
        <v>5</v>
      </c>
      <c r="E582" s="237" t="str">
        <f>IFERROR(__xludf.DUMMYFUNCTION("""COMPUTED_VALUE"""),"LT0PBH01RUZ21")</f>
        <v>LT0PBH01RUZ21</v>
      </c>
      <c r="F582" s="238" t="str">
        <f>IFERROR(__xludf.DUMMYFUNCTION("""COMPUTED_VALUE"""),"AQG1687")</f>
        <v>AQG1687</v>
      </c>
      <c r="G582" s="238">
        <f>IFERROR(__xludf.DUMMYFUNCTION("""COMPUTED_VALUE"""),45978.91666666667)</f>
        <v>45978.91667</v>
      </c>
      <c r="H582" s="238">
        <f>IFERROR(__xludf.DUMMYFUNCTION("""COMPUTED_VALUE"""),45979.0)</f>
        <v>45979</v>
      </c>
      <c r="I582" s="237" t="str">
        <f t="shared" si="1"/>
        <v>Fora</v>
      </c>
      <c r="J582" s="239">
        <v>119.99999999301508</v>
      </c>
    </row>
    <row r="583">
      <c r="A583" s="234" t="s">
        <v>2277</v>
      </c>
      <c r="B583" s="234" t="str">
        <f>IFERROR(__xludf.DUMMYFUNCTION("""COMPUTED_VALUE"""),"LM Hub_SP_Limeira_Campo Belo")</f>
        <v>LM Hub_SP_Limeira_Campo Belo</v>
      </c>
      <c r="C583" s="234" t="str">
        <f>IFERROR(__xludf.DUMMYFUNCTION("""COMPUTED_VALUE"""),"HUB-LSP-24")</f>
        <v>HUB-LSP-24</v>
      </c>
      <c r="D583" s="234">
        <f>IFERROR(__xludf.DUMMYFUNCTION("""COMPUTED_VALUE"""),18.0)</f>
        <v>18</v>
      </c>
      <c r="E583" s="237" t="str">
        <f>IFERROR(__xludf.DUMMYFUNCTION("""COMPUTED_VALUE"""),"LT0PBH01RV1P1")</f>
        <v>LT0PBH01RV1P1</v>
      </c>
      <c r="F583" s="238" t="str">
        <f>IFERROR(__xludf.DUMMYFUNCTION("""COMPUTED_VALUE"""),"FGU5I81,JXA7D06")</f>
        <v>FGU5I81,JXA7D06</v>
      </c>
      <c r="G583" s="238">
        <f>IFERROR(__xludf.DUMMYFUNCTION("""COMPUTED_VALUE"""),45978.91666666667)</f>
        <v>45978.91667</v>
      </c>
      <c r="H583" s="238">
        <f>IFERROR(__xludf.DUMMYFUNCTION("""COMPUTED_VALUE"""),45979.0)</f>
        <v>45979</v>
      </c>
      <c r="I583" s="237" t="str">
        <f t="shared" si="1"/>
        <v>Fora</v>
      </c>
      <c r="J583" s="239">
        <v>119.99999999301508</v>
      </c>
    </row>
    <row r="584">
      <c r="A584" s="234" t="s">
        <v>2278</v>
      </c>
      <c r="B584" s="234" t="str">
        <f>IFERROR(__xludf.DUMMYFUNCTION("""COMPUTED_VALUE"""),"LM Hub_SP_Mauá")</f>
        <v>LM Hub_SP_Mauá</v>
      </c>
      <c r="C584" s="234" t="str">
        <f>IFERROR(__xludf.DUMMYFUNCTION("""COMPUTED_VALUE"""),"HUB-LSP-64")</f>
        <v>HUB-LSP-64</v>
      </c>
      <c r="D584" s="234">
        <f>IFERROR(__xludf.DUMMYFUNCTION("""COMPUTED_VALUE"""),8.0)</f>
        <v>8</v>
      </c>
      <c r="E584" s="237" t="str">
        <f>IFERROR(__xludf.DUMMYFUNCTION("""COMPUTED_VALUE"""),"LT0PBH01RUZ91")</f>
        <v>LT0PBH01RUZ91</v>
      </c>
      <c r="F584" s="238" t="str">
        <f>IFERROR(__xludf.DUMMYFUNCTION("""COMPUTED_VALUE"""),"FQF6B98,DTA7802")</f>
        <v>FQF6B98,DTA7802</v>
      </c>
      <c r="G584" s="238">
        <f>IFERROR(__xludf.DUMMYFUNCTION("""COMPUTED_VALUE"""),45978.91666666667)</f>
        <v>45978.91667</v>
      </c>
      <c r="H584" s="238">
        <f>IFERROR(__xludf.DUMMYFUNCTION("""COMPUTED_VALUE"""),45979.0)</f>
        <v>45979</v>
      </c>
      <c r="I584" s="237" t="str">
        <f t="shared" si="1"/>
        <v>Fora</v>
      </c>
      <c r="J584" s="239">
        <v>119.99999999301508</v>
      </c>
    </row>
    <row r="585">
      <c r="A585" s="234" t="s">
        <v>2279</v>
      </c>
      <c r="B585" s="234" t="str">
        <f>IFERROR(__xludf.DUMMYFUNCTION("""COMPUTED_VALUE"""),"LM Hub_SP_Santo André")</f>
        <v>LM Hub_SP_Santo André</v>
      </c>
      <c r="C585" s="234" t="str">
        <f>IFERROR(__xludf.DUMMYFUNCTION("""COMPUTED_VALUE"""),"HUB-LSP-93")</f>
        <v>HUB-LSP-93</v>
      </c>
      <c r="D585" s="234">
        <f>IFERROR(__xludf.DUMMYFUNCTION("""COMPUTED_VALUE"""),25.0)</f>
        <v>25</v>
      </c>
      <c r="E585" s="237" t="str">
        <f>IFERROR(__xludf.DUMMYFUNCTION("""COMPUTED_VALUE"""),"LT0PBH01RXOG1")</f>
        <v>LT0PBH01RXOG1</v>
      </c>
      <c r="F585" s="238" t="str">
        <f>IFERROR(__xludf.DUMMYFUNCTION("""COMPUTED_VALUE"""),"EVO8A79,AXE8E26")</f>
        <v>EVO8A79,AXE8E26</v>
      </c>
      <c r="G585" s="238">
        <f>IFERROR(__xludf.DUMMYFUNCTION("""COMPUTED_VALUE"""),45978.91666666667)</f>
        <v>45978.91667</v>
      </c>
      <c r="H585" s="238">
        <f>IFERROR(__xludf.DUMMYFUNCTION("""COMPUTED_VALUE"""),45979.0)</f>
        <v>45979</v>
      </c>
      <c r="I585" s="237" t="str">
        <f t="shared" si="1"/>
        <v>Fora</v>
      </c>
      <c r="J585" s="239">
        <v>119.99999999301508</v>
      </c>
    </row>
    <row r="586">
      <c r="A586" s="234" t="s">
        <v>2280</v>
      </c>
      <c r="B586" s="234" t="str">
        <f>IFERROR(__xludf.DUMMYFUNCTION("""COMPUTED_VALUE"""),"LM Hub_MG_Juiz de Fora_Dist Ind")</f>
        <v>LM Hub_MG_Juiz de Fora_Dist Ind</v>
      </c>
      <c r="C586" s="234" t="str">
        <f>IFERROR(__xludf.DUMMYFUNCTION("""COMPUTED_VALUE"""),"HUB-LMG-59")</f>
        <v>HUB-LMG-59</v>
      </c>
      <c r="D586" s="234">
        <f>IFERROR(__xludf.DUMMYFUNCTION("""COMPUTED_VALUE"""),29.0)</f>
        <v>29</v>
      </c>
      <c r="E586" s="237" t="str">
        <f>IFERROR(__xludf.DUMMYFUNCTION("""COMPUTED_VALUE"""),"LT0PBH01S1I51")</f>
        <v>LT0PBH01S1I51</v>
      </c>
      <c r="F586" s="238" t="str">
        <f>IFERROR(__xludf.DUMMYFUNCTION("""COMPUTED_VALUE"""),"EZP2D49")</f>
        <v>EZP2D49</v>
      </c>
      <c r="G586" s="238">
        <f>IFERROR(__xludf.DUMMYFUNCTION("""COMPUTED_VALUE"""),45978.9375)</f>
        <v>45978.9375</v>
      </c>
      <c r="H586" s="238">
        <f>IFERROR(__xludf.DUMMYFUNCTION("""COMPUTED_VALUE"""),45979.02083333333)</f>
        <v>45979.02083</v>
      </c>
      <c r="I586" s="237" t="str">
        <f t="shared" si="1"/>
        <v>Fora</v>
      </c>
      <c r="J586" s="239">
        <v>119.99999999301508</v>
      </c>
    </row>
    <row r="587">
      <c r="A587" s="234" t="s">
        <v>2281</v>
      </c>
      <c r="B587" s="234" t="str">
        <f>IFERROR(__xludf.DUMMYFUNCTION("""COMPUTED_VALUE"""),"LM Hub_SP_Jardim Adriana")</f>
        <v>LM Hub_SP_Jardim Adriana</v>
      </c>
      <c r="C587" s="234" t="str">
        <f>IFERROR(__xludf.DUMMYFUNCTION("""COMPUTED_VALUE"""),"HUB-LSP-12")</f>
        <v>HUB-LSP-12</v>
      </c>
      <c r="D587" s="234">
        <f>IFERROR(__xludf.DUMMYFUNCTION("""COMPUTED_VALUE"""),7.0)</f>
        <v>7</v>
      </c>
      <c r="E587" s="237" t="str">
        <f>IFERROR(__xludf.DUMMYFUNCTION("""COMPUTED_VALUE"""),"LT0PBH01RUY41")</f>
        <v>LT0PBH01RUY41</v>
      </c>
      <c r="F587" s="238" t="str">
        <f>IFERROR(__xludf.DUMMYFUNCTION("""COMPUTED_VALUE"""),"CUA4J46")</f>
        <v>CUA4J46</v>
      </c>
      <c r="G587" s="238">
        <f>IFERROR(__xludf.DUMMYFUNCTION("""COMPUTED_VALUE"""),45978.9375)</f>
        <v>45978.9375</v>
      </c>
      <c r="H587" s="238">
        <f>IFERROR(__xludf.DUMMYFUNCTION("""COMPUTED_VALUE"""),45979.02083333333)</f>
        <v>45979.02083</v>
      </c>
      <c r="I587" s="237" t="str">
        <f t="shared" si="1"/>
        <v>Fora</v>
      </c>
      <c r="J587" s="239">
        <v>119.99999999301508</v>
      </c>
    </row>
    <row r="588">
      <c r="A588" s="234" t="s">
        <v>2282</v>
      </c>
      <c r="B588" s="234" t="str">
        <f>IFERROR(__xludf.DUMMYFUNCTION("""COMPUTED_VALUE"""),"LM Hub_SP_Parque Novo Mundo")</f>
        <v>LM Hub_SP_Parque Novo Mundo</v>
      </c>
      <c r="C588" s="234" t="str">
        <f>IFERROR(__xludf.DUMMYFUNCTION("""COMPUTED_VALUE"""),"HUB-LSP-89")</f>
        <v>HUB-LSP-89</v>
      </c>
      <c r="D588" s="234">
        <f>IFERROR(__xludf.DUMMYFUNCTION("""COMPUTED_VALUE"""),27.0)</f>
        <v>27</v>
      </c>
      <c r="E588" s="237" t="str">
        <f>IFERROR(__xludf.DUMMYFUNCTION("""COMPUTED_VALUE"""),"LT0PBH01RVUT1")</f>
        <v>LT0PBH01RVUT1</v>
      </c>
      <c r="F588" s="238" t="str">
        <f>IFERROR(__xludf.DUMMYFUNCTION("""COMPUTED_VALUE"""),"GIQ1C13,AKZ0B43")</f>
        <v>GIQ1C13,AKZ0B43</v>
      </c>
      <c r="G588" s="238">
        <f>IFERROR(__xludf.DUMMYFUNCTION("""COMPUTED_VALUE"""),45978.9375)</f>
        <v>45978.9375</v>
      </c>
      <c r="H588" s="238">
        <f>IFERROR(__xludf.DUMMYFUNCTION("""COMPUTED_VALUE"""),45979.02083333333)</f>
        <v>45979.02083</v>
      </c>
      <c r="I588" s="237" t="str">
        <f t="shared" si="1"/>
        <v>Fora</v>
      </c>
      <c r="J588" s="239">
        <v>119.99999999301508</v>
      </c>
    </row>
    <row r="589">
      <c r="A589" s="234" t="s">
        <v>2283</v>
      </c>
      <c r="B589" s="234" t="str">
        <f>IFERROR(__xludf.DUMMYFUNCTION("""COMPUTED_VALUE"""),"LM Hub_SP_Piracicaba")</f>
        <v>LM Hub_SP_Piracicaba</v>
      </c>
      <c r="C589" s="234" t="str">
        <f>IFERROR(__xludf.DUMMYFUNCTION("""COMPUTED_VALUE"""),"HUB-LSP-62")</f>
        <v>HUB-LSP-62</v>
      </c>
      <c r="D589" s="234">
        <f>IFERROR(__xludf.DUMMYFUNCTION("""COMPUTED_VALUE"""),20.0)</f>
        <v>20</v>
      </c>
      <c r="E589" s="237" t="str">
        <f>IFERROR(__xludf.DUMMYFUNCTION("""COMPUTED_VALUE"""),"LT0PBH01S3YG1")</f>
        <v>LT0PBH01S3YG1</v>
      </c>
      <c r="F589" s="238" t="str">
        <f>IFERROR(__xludf.DUMMYFUNCTION("""COMPUTED_VALUE"""),"EWJ1C48")</f>
        <v>EWJ1C48</v>
      </c>
      <c r="G589" s="238">
        <f>IFERROR(__xludf.DUMMYFUNCTION("""COMPUTED_VALUE"""),45978.9375)</f>
        <v>45978.9375</v>
      </c>
      <c r="H589" s="238">
        <f>IFERROR(__xludf.DUMMYFUNCTION("""COMPUTED_VALUE"""),45979.02083333333)</f>
        <v>45979.02083</v>
      </c>
      <c r="I589" s="237" t="str">
        <f t="shared" si="1"/>
        <v>Fora</v>
      </c>
      <c r="J589" s="239">
        <v>119.99999999301508</v>
      </c>
    </row>
    <row r="590">
      <c r="A590" s="234" t="s">
        <v>2284</v>
      </c>
      <c r="B590" s="234" t="str">
        <f>IFERROR(__xludf.DUMMYFUNCTION("""COMPUTED_VALUE"""),"LM Hub_SP_São Paulo_Carandiru")</f>
        <v>LM Hub_SP_São Paulo_Carandiru</v>
      </c>
      <c r="C590" s="234" t="str">
        <f>IFERROR(__xludf.DUMMYFUNCTION("""COMPUTED_VALUE"""),"HUB-LSP-18")</f>
        <v>HUB-LSP-18</v>
      </c>
      <c r="D590" s="234">
        <f>IFERROR(__xludf.DUMMYFUNCTION("""COMPUTED_VALUE"""),14.0)</f>
        <v>14</v>
      </c>
      <c r="E590" s="237" t="str">
        <f>IFERROR(__xludf.DUMMYFUNCTION("""COMPUTED_VALUE"""),"LT0PBH01RUYM1")</f>
        <v>LT0PBH01RUYM1</v>
      </c>
      <c r="F590" s="238" t="str">
        <f>IFERROR(__xludf.DUMMYFUNCTION("""COMPUTED_VALUE"""),"FBH4883")</f>
        <v>FBH4883</v>
      </c>
      <c r="G590" s="238">
        <f>IFERROR(__xludf.DUMMYFUNCTION("""COMPUTED_VALUE"""),45978.9375)</f>
        <v>45978.9375</v>
      </c>
      <c r="H590" s="238">
        <f>IFERROR(__xludf.DUMMYFUNCTION("""COMPUTED_VALUE"""),45979.02083333333)</f>
        <v>45979.02083</v>
      </c>
      <c r="I590" s="237" t="str">
        <f t="shared" si="1"/>
        <v>Fora</v>
      </c>
      <c r="J590" s="239">
        <v>119.99999999301508</v>
      </c>
    </row>
    <row r="591">
      <c r="A591" s="234" t="s">
        <v>2285</v>
      </c>
      <c r="B591" s="234" t="str">
        <f>IFERROR(__xludf.DUMMYFUNCTION("""COMPUTED_VALUE"""),"LM Hub_SP_VilaGuilherme")</f>
        <v>LM Hub_SP_VilaGuilherme</v>
      </c>
      <c r="C591" s="234" t="str">
        <f>IFERROR(__xludf.DUMMYFUNCTION("""COMPUTED_VALUE"""),"HUB-LSP-68")</f>
        <v>HUB-LSP-68</v>
      </c>
      <c r="D591" s="234">
        <f>IFERROR(__xludf.DUMMYFUNCTION("""COMPUTED_VALUE"""),17.0)</f>
        <v>17</v>
      </c>
      <c r="E591" s="237" t="str">
        <f>IFERROR(__xludf.DUMMYFUNCTION("""COMPUTED_VALUE"""),"LT0PBH01RUZA1")</f>
        <v>LT0PBH01RUZA1</v>
      </c>
      <c r="F591" s="238" t="str">
        <f>IFERROR(__xludf.DUMMYFUNCTION("""COMPUTED_VALUE"""),"EHH9B85,FFN2F39")</f>
        <v>EHH9B85,FFN2F39</v>
      </c>
      <c r="G591" s="238">
        <f>IFERROR(__xludf.DUMMYFUNCTION("""COMPUTED_VALUE"""),45978.9375)</f>
        <v>45978.9375</v>
      </c>
      <c r="H591" s="238">
        <f>IFERROR(__xludf.DUMMYFUNCTION("""COMPUTED_VALUE"""),45979.02083333333)</f>
        <v>45979.02083</v>
      </c>
      <c r="I591" s="237" t="str">
        <f t="shared" si="1"/>
        <v>Fora</v>
      </c>
      <c r="J591" s="239">
        <v>120.00000001396984</v>
      </c>
    </row>
    <row r="592">
      <c r="A592" s="234" t="s">
        <v>2286</v>
      </c>
      <c r="B592" s="234" t="str">
        <f>IFERROR(__xludf.DUMMYFUNCTION("""COMPUTED_VALUE"""),"LM Hub_SP_Mogi Mirim")</f>
        <v>LM Hub_SP_Mogi Mirim</v>
      </c>
      <c r="C592" s="234" t="str">
        <f>IFERROR(__xludf.DUMMYFUNCTION("""COMPUTED_VALUE"""),"HUB-LSP-37")</f>
        <v>HUB-LSP-37</v>
      </c>
      <c r="D592" s="234">
        <f>IFERROR(__xludf.DUMMYFUNCTION("""COMPUTED_VALUE"""),19.0)</f>
        <v>19</v>
      </c>
      <c r="E592" s="237" t="str">
        <f>IFERROR(__xludf.DUMMYFUNCTION("""COMPUTED_VALUE"""),"LT0PBH01RV2M1")</f>
        <v>LT0PBH01RV2M1</v>
      </c>
      <c r="F592" s="238" t="str">
        <f>IFERROR(__xludf.DUMMYFUNCTION("""COMPUTED_VALUE"""),"FQV7E24,EFU9D57")</f>
        <v>FQV7E24,EFU9D57</v>
      </c>
      <c r="G592" s="238">
        <f>IFERROR(__xludf.DUMMYFUNCTION("""COMPUTED_VALUE"""),45978.95833333333)</f>
        <v>45978.95833</v>
      </c>
      <c r="H592" s="238">
        <f>IFERROR(__xludf.DUMMYFUNCTION("""COMPUTED_VALUE"""),45979.04166666667)</f>
        <v>45979.04167</v>
      </c>
      <c r="I592" s="237" t="str">
        <f t="shared" si="1"/>
        <v>Fora</v>
      </c>
      <c r="J592" s="239">
        <v>119.99999999301508</v>
      </c>
    </row>
    <row r="593">
      <c r="A593" s="234" t="s">
        <v>2287</v>
      </c>
      <c r="B593" s="234" t="str">
        <f>IFERROR(__xludf.DUMMYFUNCTION("""COMPUTED_VALUE"""),"LM Hub_SP_Araraquara")</f>
        <v>LM Hub_SP_Araraquara</v>
      </c>
      <c r="C593" s="234" t="str">
        <f>IFERROR(__xludf.DUMMYFUNCTION("""COMPUTED_VALUE"""),"HUB-LSP-29")</f>
        <v>HUB-LSP-29</v>
      </c>
      <c r="D593" s="234">
        <f>IFERROR(__xludf.DUMMYFUNCTION("""COMPUTED_VALUE"""),13.0)</f>
        <v>13</v>
      </c>
      <c r="E593" s="237" t="str">
        <f>IFERROR(__xludf.DUMMYFUNCTION("""COMPUTED_VALUE"""),"LT0PBH01RV2R1")</f>
        <v>LT0PBH01RV2R1</v>
      </c>
      <c r="F593" s="238" t="str">
        <f>IFERROR(__xludf.DUMMYFUNCTION("""COMPUTED_VALUE"""),"EWJ2H21")</f>
        <v>EWJ2H21</v>
      </c>
      <c r="G593" s="238">
        <f>IFERROR(__xludf.DUMMYFUNCTION("""COMPUTED_VALUE"""),45978.97916666667)</f>
        <v>45978.97917</v>
      </c>
      <c r="H593" s="238">
        <f>IFERROR(__xludf.DUMMYFUNCTION("""COMPUTED_VALUE"""),45979.0625)</f>
        <v>45979.0625</v>
      </c>
      <c r="I593" s="237" t="str">
        <f t="shared" si="1"/>
        <v>Fora</v>
      </c>
      <c r="J593" s="239">
        <v>119.99999999301508</v>
      </c>
    </row>
    <row r="594">
      <c r="A594" s="234" t="s">
        <v>2288</v>
      </c>
      <c r="B594" s="234" t="str">
        <f>IFERROR(__xludf.DUMMYFUNCTION("""COMPUTED_VALUE"""),"LM Hub_SP_Atibaia_Ponte_Alta")</f>
        <v>LM Hub_SP_Atibaia_Ponte_Alta</v>
      </c>
      <c r="C594" s="234" t="str">
        <f>IFERROR(__xludf.DUMMYFUNCTION("""COMPUTED_VALUE"""),"HUB-LSP-87")</f>
        <v>HUB-LSP-87</v>
      </c>
      <c r="D594" s="234">
        <f>IFERROR(__xludf.DUMMYFUNCTION("""COMPUTED_VALUE"""),17.0)</f>
        <v>17</v>
      </c>
      <c r="E594" s="237" t="str">
        <f>IFERROR(__xludf.DUMMYFUNCTION("""COMPUTED_VALUE"""),"LT0PBH01RYX21")</f>
        <v>LT0PBH01RYX21</v>
      </c>
      <c r="F594" s="238" t="str">
        <f>IFERROR(__xludf.DUMMYFUNCTION("""COMPUTED_VALUE"""),"TBX6C27")</f>
        <v>TBX6C27</v>
      </c>
      <c r="G594" s="238">
        <f>IFERROR(__xludf.DUMMYFUNCTION("""COMPUTED_VALUE"""),45978.97916666667)</f>
        <v>45978.97917</v>
      </c>
      <c r="H594" s="238">
        <f>IFERROR(__xludf.DUMMYFUNCTION("""COMPUTED_VALUE"""),45979.0625)</f>
        <v>45979.0625</v>
      </c>
      <c r="I594" s="237" t="str">
        <f t="shared" si="1"/>
        <v>Fora</v>
      </c>
      <c r="J594" s="239">
        <v>119.99999999301508</v>
      </c>
    </row>
    <row r="595">
      <c r="A595" s="234" t="s">
        <v>2289</v>
      </c>
      <c r="B595" s="234" t="str">
        <f>IFERROR(__xludf.DUMMYFUNCTION("""COMPUTED_VALUE"""),"LM Hub_SP_Jundiaí")</f>
        <v>LM Hub_SP_Jundiaí</v>
      </c>
      <c r="C595" s="234" t="str">
        <f>IFERROR(__xludf.DUMMYFUNCTION("""COMPUTED_VALUE"""),"HUB-LSP-20")</f>
        <v>HUB-LSP-20</v>
      </c>
      <c r="D595" s="234">
        <f>IFERROR(__xludf.DUMMYFUNCTION("""COMPUTED_VALUE"""),8.0)</f>
        <v>8</v>
      </c>
      <c r="E595" s="237" t="str">
        <f>IFERROR(__xludf.DUMMYFUNCTION("""COMPUTED_VALUE"""),"LT0PBH01RV321")</f>
        <v>LT0PBH01RV321</v>
      </c>
      <c r="F595" s="238" t="str">
        <f>IFERROR(__xludf.DUMMYFUNCTION("""COMPUTED_VALUE"""),"TBX6C72")</f>
        <v>TBX6C72</v>
      </c>
      <c r="G595" s="238">
        <f>IFERROR(__xludf.DUMMYFUNCTION("""COMPUTED_VALUE"""),45978.97916666667)</f>
        <v>45978.97917</v>
      </c>
      <c r="H595" s="238">
        <f>IFERROR(__xludf.DUMMYFUNCTION("""COMPUTED_VALUE"""),45979.0625)</f>
        <v>45979.0625</v>
      </c>
      <c r="I595" s="237" t="str">
        <f t="shared" si="1"/>
        <v>Fora</v>
      </c>
      <c r="J595" s="239">
        <v>119.99999999301508</v>
      </c>
    </row>
    <row r="596">
      <c r="A596" s="234" t="s">
        <v>2290</v>
      </c>
      <c r="B596" s="234" t="str">
        <f>IFERROR(__xludf.DUMMYFUNCTION("""COMPUTED_VALUE"""),"LM Hub_SP_Várzea Paulista")</f>
        <v>LM Hub_SP_Várzea Paulista</v>
      </c>
      <c r="C596" s="234" t="str">
        <f>IFERROR(__xludf.DUMMYFUNCTION("""COMPUTED_VALUE"""),"HUB-LSP-61")</f>
        <v>HUB-LSP-61</v>
      </c>
      <c r="D596" s="234"/>
      <c r="E596" s="237" t="str">
        <f>IFERROR(__xludf.DUMMYFUNCTION("""COMPUTED_VALUE"""),"LT0PBH01RV1Z1")</f>
        <v>LT0PBH01RV1Z1</v>
      </c>
      <c r="F596" s="238" t="str">
        <f>IFERROR(__xludf.DUMMYFUNCTION("""COMPUTED_VALUE"""),"HID2600")</f>
        <v>HID2600</v>
      </c>
      <c r="G596" s="238">
        <f>IFERROR(__xludf.DUMMYFUNCTION("""COMPUTED_VALUE"""),45978.97916666667)</f>
        <v>45978.97917</v>
      </c>
      <c r="H596" s="238">
        <f>IFERROR(__xludf.DUMMYFUNCTION("""COMPUTED_VALUE"""),45979.0625)</f>
        <v>45979.0625</v>
      </c>
      <c r="I596" s="237" t="str">
        <f t="shared" si="1"/>
        <v>Fora</v>
      </c>
      <c r="J596" s="239">
        <v>119.99999999301508</v>
      </c>
    </row>
    <row r="597">
      <c r="A597" s="234" t="s">
        <v>2291</v>
      </c>
      <c r="B597" s="234" t="str">
        <f>IFERROR(__xludf.DUMMYFUNCTION("""COMPUTED_VALUE"""),"LM Hub_SP_Várzea Paulista")</f>
        <v>LM Hub_SP_Várzea Paulista</v>
      </c>
      <c r="C597" s="234" t="str">
        <f>IFERROR(__xludf.DUMMYFUNCTION("""COMPUTED_VALUE"""),"HUB-LSP-61")</f>
        <v>HUB-LSP-61</v>
      </c>
      <c r="D597" s="234">
        <f>IFERROR(__xludf.DUMMYFUNCTION("""COMPUTED_VALUE"""),14.0)</f>
        <v>14</v>
      </c>
      <c r="E597" s="237" t="str">
        <f>IFERROR(__xludf.DUMMYFUNCTION("""COMPUTED_VALUE"""),"LT0PBH01RV212")</f>
        <v>LT0PBH01RV212</v>
      </c>
      <c r="F597" s="238" t="str">
        <f>IFERROR(__xludf.DUMMYFUNCTION("""COMPUTED_VALUE"""),"DPF6F59")</f>
        <v>DPF6F59</v>
      </c>
      <c r="G597" s="238">
        <f>IFERROR(__xludf.DUMMYFUNCTION("""COMPUTED_VALUE"""),45978.97916666667)</f>
        <v>45978.97917</v>
      </c>
      <c r="H597" s="238">
        <f>IFERROR(__xludf.DUMMYFUNCTION("""COMPUTED_VALUE"""),45979.0625)</f>
        <v>45979.0625</v>
      </c>
      <c r="I597" s="237" t="str">
        <f t="shared" si="1"/>
        <v>Fora</v>
      </c>
      <c r="J597" s="239">
        <v>299.9999999930151</v>
      </c>
    </row>
    <row r="598">
      <c r="A598" s="234" t="s">
        <v>2292</v>
      </c>
      <c r="B598" s="234" t="str">
        <f>IFERROR(__xludf.DUMMYFUNCTION("""COMPUTED_VALUE"""),"SoC_MG_Betim")</f>
        <v>SoC_MG_Betim</v>
      </c>
      <c r="C598" s="234" t="str">
        <f>IFERROR(__xludf.DUMMYFUNCTION("""COMPUTED_VALUE"""),"SOC-MG2")</f>
        <v>SOC-MG2</v>
      </c>
      <c r="D598" s="234">
        <f>IFERROR(__xludf.DUMMYFUNCTION("""COMPUTED_VALUE"""),34.0)</f>
        <v>34</v>
      </c>
      <c r="E598" s="237" t="str">
        <f>IFERROR(__xludf.DUMMYFUNCTION("""COMPUTED_VALUE"""),"LT0PBH01S1RK1")</f>
        <v>LT0PBH01S1RK1</v>
      </c>
      <c r="F598" s="234" t="str">
        <f>IFERROR(__xludf.DUMMYFUNCTION("""COMPUTED_VALUE"""),"PXQ9H26")</f>
        <v>PXQ9H26</v>
      </c>
      <c r="G598" s="238">
        <f>IFERROR(__xludf.DUMMYFUNCTION("""COMPUTED_VALUE"""),45978.875)</f>
        <v>45978.875</v>
      </c>
      <c r="H598" s="238">
        <f>IFERROR(__xludf.DUMMYFUNCTION("""COMPUTED_VALUE"""),45979.08333333333)</f>
        <v>45979.08333</v>
      </c>
      <c r="I598" s="237" t="str">
        <f t="shared" si="1"/>
        <v>Fora</v>
      </c>
      <c r="J598" s="239">
        <v>59.99999998603016</v>
      </c>
    </row>
    <row r="599">
      <c r="A599" s="234" t="s">
        <v>2293</v>
      </c>
      <c r="B599" s="234" t="str">
        <f>IFERROR(__xludf.DUMMYFUNCTION("""COMPUTED_VALUE"""),"LM Hub_SP_Zimba")</f>
        <v>LM Hub_SP_Zimba</v>
      </c>
      <c r="C599" s="234" t="str">
        <f>IFERROR(__xludf.DUMMYFUNCTION("""COMPUTED_VALUE"""),"HUB-LSP-74")</f>
        <v>HUB-LSP-74</v>
      </c>
      <c r="D599" s="234">
        <f>IFERROR(__xludf.DUMMYFUNCTION("""COMPUTED_VALUE"""),18.0)</f>
        <v>18</v>
      </c>
      <c r="E599" s="237" t="str">
        <f>IFERROR(__xludf.DUMMYFUNCTION("""COMPUTED_VALUE"""),"LT1PBI01SA4W1")</f>
        <v>LT1PBI01SA4W1</v>
      </c>
      <c r="F599" s="238" t="str">
        <f>IFERROR(__xludf.DUMMYFUNCTION("""COMPUTED_VALUE"""),"AXH9D10")</f>
        <v>AXH9D10</v>
      </c>
      <c r="G599" s="238">
        <f>IFERROR(__xludf.DUMMYFUNCTION("""COMPUTED_VALUE"""),45979.04166666667)</f>
        <v>45979.04167</v>
      </c>
      <c r="H599" s="238">
        <f>IFERROR(__xludf.DUMMYFUNCTION("""COMPUTED_VALUE"""),45979.08333333333)</f>
        <v>45979.08333</v>
      </c>
      <c r="I599" s="237" t="str">
        <f t="shared" si="1"/>
        <v>Fora</v>
      </c>
      <c r="J599" s="239">
        <v>240.00000000698492</v>
      </c>
    </row>
    <row r="600">
      <c r="A600" s="234" t="s">
        <v>2294</v>
      </c>
      <c r="B600" s="234" t="str">
        <f>IFERROR(__xludf.DUMMYFUNCTION("""COMPUTED_VALUE"""),"SoC_BA_Simoes Filho")</f>
        <v>SoC_BA_Simoes Filho</v>
      </c>
      <c r="C600" s="234" t="str">
        <f>IFERROR(__xludf.DUMMYFUNCTION("""COMPUTED_VALUE"""),"SOC-BA2")</f>
        <v>SOC-BA2</v>
      </c>
      <c r="D600" s="234">
        <f>IFERROR(__xludf.DUMMYFUNCTION("""COMPUTED_VALUE"""),38.0)</f>
        <v>38</v>
      </c>
      <c r="E600" s="237" t="str">
        <f>IFERROR(__xludf.DUMMYFUNCTION("""COMPUTED_VALUE"""),"LT0PBH01S0QV1")</f>
        <v>LT0PBH01S0QV1</v>
      </c>
      <c r="F600" s="238" t="str">
        <f>IFERROR(__xludf.DUMMYFUNCTION("""COMPUTED_VALUE"""),"FSY0G31,SIF0G29")</f>
        <v>FSY0G31,SIF0G29</v>
      </c>
      <c r="G600" s="238">
        <f>IFERROR(__xludf.DUMMYFUNCTION("""COMPUTED_VALUE"""),45978.95833333333)</f>
        <v>45978.95833</v>
      </c>
      <c r="H600" s="238">
        <f>IFERROR(__xludf.DUMMYFUNCTION("""COMPUTED_VALUE"""),45979.125)</f>
        <v>45979.125</v>
      </c>
      <c r="I600" s="237" t="str">
        <f t="shared" si="1"/>
        <v>Fora</v>
      </c>
      <c r="J600" s="239">
        <v>240.00000000698492</v>
      </c>
    </row>
    <row r="601">
      <c r="A601" s="234" t="s">
        <v>2295</v>
      </c>
      <c r="B601" s="234" t="str">
        <f>IFERROR(__xludf.DUMMYFUNCTION("""COMPUTED_VALUE"""),"SoC_MG_Betim")</f>
        <v>SoC_MG_Betim</v>
      </c>
      <c r="C601" s="234" t="str">
        <f>IFERROR(__xludf.DUMMYFUNCTION("""COMPUTED_VALUE"""),"SOC-MG2")</f>
        <v>SOC-MG2</v>
      </c>
      <c r="D601" s="234">
        <f>IFERROR(__xludf.DUMMYFUNCTION("""COMPUTED_VALUE"""),15.0)</f>
        <v>15</v>
      </c>
      <c r="E601" s="237" t="str">
        <f>IFERROR(__xludf.DUMMYFUNCTION("""COMPUTED_VALUE"""),"LT0PBH01RUVK1")</f>
        <v>LT0PBH01RUVK1</v>
      </c>
      <c r="F601" s="238" t="str">
        <f>IFERROR(__xludf.DUMMYFUNCTION("""COMPUTED_VALUE"""),"SWJ6C56,RXK6D30")</f>
        <v>SWJ6C56,RXK6D30</v>
      </c>
      <c r="G601" s="238">
        <f>IFERROR(__xludf.DUMMYFUNCTION("""COMPUTED_VALUE"""),45978.95833333333)</f>
        <v>45978.95833</v>
      </c>
      <c r="H601" s="238">
        <f>IFERROR(__xludf.DUMMYFUNCTION("""COMPUTED_VALUE"""),45979.125)</f>
        <v>45979.125</v>
      </c>
      <c r="I601" s="237" t="str">
        <f t="shared" si="1"/>
        <v>Fora</v>
      </c>
      <c r="J601" s="239">
        <v>240.00000000698492</v>
      </c>
    </row>
    <row r="602">
      <c r="A602" s="234" t="s">
        <v>2296</v>
      </c>
      <c r="B602" s="234" t="str">
        <f>IFERROR(__xludf.DUMMYFUNCTION("""COMPUTED_VALUE"""),"SoC_RJ_Duque de Caxias")</f>
        <v>SoC_RJ_Duque de Caxias</v>
      </c>
      <c r="C602" s="234" t="str">
        <f>IFERROR(__xludf.DUMMYFUNCTION("""COMPUTED_VALUE"""),"SOC-RJ2")</f>
        <v>SOC-RJ2</v>
      </c>
      <c r="D602" s="234">
        <f>IFERROR(__xludf.DUMMYFUNCTION("""COMPUTED_VALUE"""),7.0)</f>
        <v>7</v>
      </c>
      <c r="E602" s="237" t="str">
        <f>IFERROR(__xludf.DUMMYFUNCTION("""COMPUTED_VALUE"""),"LT0PBH01RX7T1")</f>
        <v>LT0PBH01RX7T1</v>
      </c>
      <c r="F602" s="238" t="str">
        <f>IFERROR(__xludf.DUMMYFUNCTION("""COMPUTED_VALUE"""),"FFD7D29,EZE0860")</f>
        <v>FFD7D29,EZE0860</v>
      </c>
      <c r="G602" s="238">
        <f>IFERROR(__xludf.DUMMYFUNCTION("""COMPUTED_VALUE"""),45978.95833333333)</f>
        <v>45978.95833</v>
      </c>
      <c r="H602" s="238">
        <f>IFERROR(__xludf.DUMMYFUNCTION("""COMPUTED_VALUE"""),45979.125)</f>
        <v>45979.125</v>
      </c>
      <c r="I602" s="237" t="str">
        <f t="shared" si="1"/>
        <v>Fora</v>
      </c>
      <c r="J602" s="239">
        <v>119.99999999301508</v>
      </c>
    </row>
    <row r="603">
      <c r="A603" s="234" t="s">
        <v>2297</v>
      </c>
      <c r="B603" s="234" t="str">
        <f>IFERROR(__xludf.DUMMYFUNCTION("""COMPUTED_VALUE"""),"SoC_MG_Betim")</f>
        <v>SoC_MG_Betim</v>
      </c>
      <c r="C603" s="234" t="str">
        <f>IFERROR(__xludf.DUMMYFUNCTION("""COMPUTED_VALUE"""),"SOC-MG2")</f>
        <v>SOC-MG2</v>
      </c>
      <c r="D603" s="234">
        <f>IFERROR(__xludf.DUMMYFUNCTION("""COMPUTED_VALUE"""),35.0)</f>
        <v>35</v>
      </c>
      <c r="E603" s="237" t="str">
        <f>IFERROR(__xludf.DUMMYFUNCTION("""COMPUTED_VALUE"""),"LT1PBI01S9EX1")</f>
        <v>LT1PBI01S9EX1</v>
      </c>
      <c r="F603" s="238" t="str">
        <f>IFERROR(__xludf.DUMMYFUNCTION("""COMPUTED_VALUE"""),"RYY3D46,RYI8A89")</f>
        <v>RYY3D46,RYI8A89</v>
      </c>
      <c r="G603" s="238">
        <f>IFERROR(__xludf.DUMMYFUNCTION("""COMPUTED_VALUE"""),45979.04166666667)</f>
        <v>45979.04167</v>
      </c>
      <c r="H603" s="238">
        <f>IFERROR(__xludf.DUMMYFUNCTION("""COMPUTED_VALUE"""),45979.125)</f>
        <v>45979.125</v>
      </c>
      <c r="I603" s="237" t="str">
        <f t="shared" si="1"/>
        <v>Fora</v>
      </c>
      <c r="J603" s="239">
        <v>119.99999999301508</v>
      </c>
    </row>
    <row r="604">
      <c r="A604" s="234" t="s">
        <v>2298</v>
      </c>
      <c r="B604" s="234" t="str">
        <f>IFERROR(__xludf.DUMMYFUNCTION("""COMPUTED_VALUE"""),"SoC_RJ_Duque de Caxias")</f>
        <v>SoC_RJ_Duque de Caxias</v>
      </c>
      <c r="C604" s="234" t="str">
        <f>IFERROR(__xludf.DUMMYFUNCTION("""COMPUTED_VALUE"""),"SOC-RJ2")</f>
        <v>SOC-RJ2</v>
      </c>
      <c r="D604" s="234">
        <f>IFERROR(__xludf.DUMMYFUNCTION("""COMPUTED_VALUE"""),16.0)</f>
        <v>16</v>
      </c>
      <c r="E604" s="237" t="str">
        <f>IFERROR(__xludf.DUMMYFUNCTION("""COMPUTED_VALUE"""),"LT1PBI01S9EV1")</f>
        <v>LT1PBI01S9EV1</v>
      </c>
      <c r="F604" s="238" t="str">
        <f>IFERROR(__xludf.DUMMYFUNCTION("""COMPUTED_VALUE"""),"RYG4G90,SXS3G37")</f>
        <v>RYG4G90,SXS3G37</v>
      </c>
      <c r="G604" s="238">
        <f>IFERROR(__xludf.DUMMYFUNCTION("""COMPUTED_VALUE"""),45979.04166666667)</f>
        <v>45979.04167</v>
      </c>
      <c r="H604" s="238">
        <f>IFERROR(__xludf.DUMMYFUNCTION("""COMPUTED_VALUE"""),45979.125)</f>
        <v>45979.125</v>
      </c>
      <c r="I604" s="237" t="str">
        <f t="shared" si="1"/>
        <v>Fora</v>
      </c>
      <c r="J604" s="239">
        <v>119.99999999301508</v>
      </c>
    </row>
    <row r="605">
      <c r="A605" s="234" t="s">
        <v>2299</v>
      </c>
      <c r="B605" s="234" t="str">
        <f>IFERROR(__xludf.DUMMYFUNCTION("""COMPUTED_VALUE"""),"SoC_SC_Itajaí")</f>
        <v>SoC_SC_Itajaí</v>
      </c>
      <c r="C605" s="234" t="str">
        <f>IFERROR(__xludf.DUMMYFUNCTION("""COMPUTED_VALUE"""),"SOC-SC1")</f>
        <v>SOC-SC1</v>
      </c>
      <c r="D605" s="234">
        <f>IFERROR(__xludf.DUMMYFUNCTION("""COMPUTED_VALUE"""),24.0)</f>
        <v>24</v>
      </c>
      <c r="E605" s="237" t="str">
        <f>IFERROR(__xludf.DUMMYFUNCTION("""COMPUTED_VALUE"""),"LT0PBI01RZMO1")</f>
        <v>LT0PBI01RZMO1</v>
      </c>
      <c r="F605" s="238" t="str">
        <f>IFERROR(__xludf.DUMMYFUNCTION("""COMPUTED_VALUE"""),"RDY5F04,SXA6F22")</f>
        <v>RDY5F04,SXA6F22</v>
      </c>
      <c r="G605" s="238">
        <f>IFERROR(__xludf.DUMMYFUNCTION("""COMPUTED_VALUE"""),45979.04166666667)</f>
        <v>45979.04167</v>
      </c>
      <c r="H605" s="238">
        <f>IFERROR(__xludf.DUMMYFUNCTION("""COMPUTED_VALUE"""),45979.125)</f>
        <v>45979.125</v>
      </c>
      <c r="I605" s="237" t="str">
        <f t="shared" si="1"/>
        <v>Fora</v>
      </c>
      <c r="J605" s="239">
        <v>240.00000000698492</v>
      </c>
    </row>
    <row r="606">
      <c r="A606" s="234" t="s">
        <v>2300</v>
      </c>
      <c r="B606" s="234" t="str">
        <f>IFERROR(__xludf.DUMMYFUNCTION("""COMPUTED_VALUE"""),"SoC_GO_Goiânia_02")</f>
        <v>SoC_GO_Goiânia_02</v>
      </c>
      <c r="C606" s="234" t="str">
        <f>IFERROR(__xludf.DUMMYFUNCTION("""COMPUTED_VALUE"""),"SOC-GO2")</f>
        <v>SOC-GO2</v>
      </c>
      <c r="D606" s="234">
        <f>IFERROR(__xludf.DUMMYFUNCTION("""COMPUTED_VALUE"""),23.0)</f>
        <v>23</v>
      </c>
      <c r="E606" s="237" t="str">
        <f>IFERROR(__xludf.DUMMYFUNCTION("""COMPUTED_VALUE"""),"LT0PBI01S0XA1")</f>
        <v>LT0PBI01S0XA1</v>
      </c>
      <c r="F606" s="238" t="str">
        <f>IFERROR(__xludf.DUMMYFUNCTION("""COMPUTED_VALUE"""),"GVE9G08,DJC5D70")</f>
        <v>GVE9G08,DJC5D70</v>
      </c>
      <c r="G606" s="238">
        <f>IFERROR(__xludf.DUMMYFUNCTION("""COMPUTED_VALUE"""),45979.0)</f>
        <v>45979</v>
      </c>
      <c r="H606" s="238">
        <f>IFERROR(__xludf.DUMMYFUNCTION("""COMPUTED_VALUE"""),45979.16666666667)</f>
        <v>45979.16667</v>
      </c>
      <c r="I606" s="237" t="str">
        <f t="shared" si="1"/>
        <v>Fora</v>
      </c>
      <c r="J606" s="239">
        <v>240.00000000698492</v>
      </c>
    </row>
    <row r="607">
      <c r="A607" s="234" t="s">
        <v>2301</v>
      </c>
      <c r="B607" s="234" t="str">
        <f>IFERROR(__xludf.DUMMYFUNCTION("""COMPUTED_VALUE"""),"SoC_PE_Jaboatão dos Guararapes")</f>
        <v>SoC_PE_Jaboatão dos Guararapes</v>
      </c>
      <c r="C607" s="234" t="str">
        <f>IFERROR(__xludf.DUMMYFUNCTION("""COMPUTED_VALUE"""),"SOC-PE2")</f>
        <v>SOC-PE2</v>
      </c>
      <c r="D607" s="234">
        <f>IFERROR(__xludf.DUMMYFUNCTION("""COMPUTED_VALUE"""),22.0)</f>
        <v>22</v>
      </c>
      <c r="E607" s="237" t="str">
        <f>IFERROR(__xludf.DUMMYFUNCTION("""COMPUTED_VALUE"""),"LT0PBI01S0MB1")</f>
        <v>LT0PBI01S0MB1</v>
      </c>
      <c r="F607" s="238" t="str">
        <f>IFERROR(__xludf.DUMMYFUNCTION("""COMPUTED_VALUE"""),"HBN8G06,GXM8D20")</f>
        <v>HBN8G06,GXM8D20</v>
      </c>
      <c r="G607" s="238">
        <f>IFERROR(__xludf.DUMMYFUNCTION("""COMPUTED_VALUE"""),45979.0)</f>
        <v>45979</v>
      </c>
      <c r="H607" s="238">
        <f>IFERROR(__xludf.DUMMYFUNCTION("""COMPUTED_VALUE"""),45979.16666666667)</f>
        <v>45979.16667</v>
      </c>
      <c r="I607" s="237" t="str">
        <f t="shared" si="1"/>
        <v>Fora</v>
      </c>
      <c r="J607" s="239">
        <v>239.0000000037253</v>
      </c>
    </row>
    <row r="608">
      <c r="A608" s="234" t="s">
        <v>2302</v>
      </c>
      <c r="B608" s="234" t="str">
        <f>IFERROR(__xludf.DUMMYFUNCTION("""COMPUTED_VALUE"""),"SoC_RJ_Duque de Caxias")</f>
        <v>SoC_RJ_Duque de Caxias</v>
      </c>
      <c r="C608" s="234" t="str">
        <f>IFERROR(__xludf.DUMMYFUNCTION("""COMPUTED_VALUE"""),"SOC-RJ2")</f>
        <v>SOC-RJ2</v>
      </c>
      <c r="D608" s="234">
        <f>IFERROR(__xludf.DUMMYFUNCTION("""COMPUTED_VALUE"""),8.0)</f>
        <v>8</v>
      </c>
      <c r="E608" s="237" t="str">
        <f>IFERROR(__xludf.DUMMYFUNCTION("""COMPUTED_VALUE"""),"LT0PBI01RX6S1")</f>
        <v>LT0PBI01RX6S1</v>
      </c>
      <c r="F608" s="238" t="str">
        <f>IFERROR(__xludf.DUMMYFUNCTION("""COMPUTED_VALUE"""),"DVS7H95,HOA1D64")</f>
        <v>DVS7H95,HOA1D64</v>
      </c>
      <c r="G608" s="238">
        <f>IFERROR(__xludf.DUMMYFUNCTION("""COMPUTED_VALUE"""),45979.00069444445)</f>
        <v>45979.00069</v>
      </c>
      <c r="H608" s="238">
        <f>IFERROR(__xludf.DUMMYFUNCTION("""COMPUTED_VALUE"""),45979.16666666667)</f>
        <v>45979.16667</v>
      </c>
      <c r="I608" s="237" t="str">
        <f t="shared" si="1"/>
        <v>Fora</v>
      </c>
      <c r="J608" s="239">
        <v>239.0000000037253</v>
      </c>
    </row>
    <row r="609">
      <c r="A609" s="234" t="s">
        <v>2303</v>
      </c>
      <c r="B609" s="234" t="str">
        <f>IFERROR(__xludf.DUMMYFUNCTION("""COMPUTED_VALUE"""),"SoC_RJ_Duque de Caxias")</f>
        <v>SoC_RJ_Duque de Caxias</v>
      </c>
      <c r="C609" s="234" t="str">
        <f>IFERROR(__xludf.DUMMYFUNCTION("""COMPUTED_VALUE"""),"SOC-RJ2")</f>
        <v>SOC-RJ2</v>
      </c>
      <c r="D609" s="234">
        <f>IFERROR(__xludf.DUMMYFUNCTION("""COMPUTED_VALUE"""),5.0)</f>
        <v>5</v>
      </c>
      <c r="E609" s="237" t="str">
        <f>IFERROR(__xludf.DUMMYFUNCTION("""COMPUTED_VALUE"""),"LT0PBI01RX6U2")</f>
        <v>LT0PBI01RX6U2</v>
      </c>
      <c r="F609" s="238" t="str">
        <f>IFERROR(__xludf.DUMMYFUNCTION("""COMPUTED_VALUE"""),"EPU5C78,TIV0I78")</f>
        <v>EPU5C78,TIV0I78</v>
      </c>
      <c r="G609" s="238">
        <f>IFERROR(__xludf.DUMMYFUNCTION("""COMPUTED_VALUE"""),45979.00069444445)</f>
        <v>45979.00069</v>
      </c>
      <c r="H609" s="238">
        <f>IFERROR(__xludf.DUMMYFUNCTION("""COMPUTED_VALUE"""),45979.16666666667)</f>
        <v>45979.16667</v>
      </c>
      <c r="I609" s="237" t="str">
        <f t="shared" si="1"/>
        <v>Fora</v>
      </c>
      <c r="J609" s="239">
        <v>239.0000000037253</v>
      </c>
    </row>
    <row r="610">
      <c r="A610" s="234" t="s">
        <v>2304</v>
      </c>
      <c r="B610" s="234" t="str">
        <f>IFERROR(__xludf.DUMMYFUNCTION("""COMPUTED_VALUE"""),"SoC_SP_Cravinhos")</f>
        <v>SoC_SP_Cravinhos</v>
      </c>
      <c r="C610" s="234" t="str">
        <f>IFERROR(__xludf.DUMMYFUNCTION("""COMPUTED_VALUE"""),"SOC-SP5")</f>
        <v>SOC-SP5</v>
      </c>
      <c r="D610" s="234">
        <f>IFERROR(__xludf.DUMMYFUNCTION("""COMPUTED_VALUE"""),39.0)</f>
        <v>39</v>
      </c>
      <c r="E610" s="237" t="str">
        <f>IFERROR(__xludf.DUMMYFUNCTION("""COMPUTED_VALUE"""),"LT0PBI01RUWE1")</f>
        <v>LT0PBI01RUWE1</v>
      </c>
      <c r="F610" s="238" t="str">
        <f>IFERROR(__xludf.DUMMYFUNCTION("""COMPUTED_VALUE"""),"IQS6G15,DJE9G45")</f>
        <v>IQS6G15,DJE9G45</v>
      </c>
      <c r="G610" s="238">
        <f>IFERROR(__xludf.DUMMYFUNCTION("""COMPUTED_VALUE"""),45979.00069444445)</f>
        <v>45979.00069</v>
      </c>
      <c r="H610" s="238">
        <f>IFERROR(__xludf.DUMMYFUNCTION("""COMPUTED_VALUE"""),45979.16666666667)</f>
        <v>45979.16667</v>
      </c>
      <c r="I610" s="237" t="str">
        <f t="shared" si="1"/>
        <v>Fora</v>
      </c>
      <c r="J610" s="239">
        <v>237.0000000076834</v>
      </c>
    </row>
    <row r="611">
      <c r="A611" s="234" t="s">
        <v>2305</v>
      </c>
      <c r="B611" s="234" t="str">
        <f>IFERROR(__xludf.DUMMYFUNCTION("""COMPUTED_VALUE"""),"SoC_MG_Betim")</f>
        <v>SoC_MG_Betim</v>
      </c>
      <c r="C611" s="234" t="str">
        <f>IFERROR(__xludf.DUMMYFUNCTION("""COMPUTED_VALUE"""),"SOC-MG2")</f>
        <v>SOC-MG2</v>
      </c>
      <c r="D611" s="234">
        <f>IFERROR(__xludf.DUMMYFUNCTION("""COMPUTED_VALUE"""),33.0)</f>
        <v>33</v>
      </c>
      <c r="E611" s="237" t="str">
        <f>IFERROR(__xludf.DUMMYFUNCTION("""COMPUTED_VALUE"""),"LT0PBI01RUUS1")</f>
        <v>LT0PBI01RUUS1</v>
      </c>
      <c r="F611" s="238" t="str">
        <f>IFERROR(__xludf.DUMMYFUNCTION("""COMPUTED_VALUE"""),"FKB6C94,DVS4C82")</f>
        <v>FKB6C94,DVS4C82</v>
      </c>
      <c r="G611" s="238">
        <f>IFERROR(__xludf.DUMMYFUNCTION("""COMPUTED_VALUE"""),45979.00208333333)</f>
        <v>45979.00208</v>
      </c>
      <c r="H611" s="238">
        <f>IFERROR(__xludf.DUMMYFUNCTION("""COMPUTED_VALUE"""),45979.16666666667)</f>
        <v>45979.16667</v>
      </c>
      <c r="I611" s="237" t="str">
        <f t="shared" si="1"/>
        <v>Fora</v>
      </c>
      <c r="J611" s="239">
        <v>237.0000000076834</v>
      </c>
    </row>
    <row r="612">
      <c r="A612" s="234" t="s">
        <v>2306</v>
      </c>
      <c r="B612" s="234" t="str">
        <f>IFERROR(__xludf.DUMMYFUNCTION("""COMPUTED_VALUE"""),"SoC_MG_Betim")</f>
        <v>SoC_MG_Betim</v>
      </c>
      <c r="C612" s="234" t="str">
        <f>IFERROR(__xludf.DUMMYFUNCTION("""COMPUTED_VALUE"""),"SOC-MG2")</f>
        <v>SOC-MG2</v>
      </c>
      <c r="D612" s="234">
        <f>IFERROR(__xludf.DUMMYFUNCTION("""COMPUTED_VALUE"""),23.0)</f>
        <v>23</v>
      </c>
      <c r="E612" s="237" t="str">
        <f>IFERROR(__xludf.DUMMYFUNCTION("""COMPUTED_VALUE"""),"LT0PBI01RUUU2")</f>
        <v>LT0PBI01RUUU2</v>
      </c>
      <c r="F612" s="238" t="str">
        <f>IFERROR(__xludf.DUMMYFUNCTION("""COMPUTED_VALUE"""),"SWH0E90,SWG3F74")</f>
        <v>SWH0E90,SWG3F74</v>
      </c>
      <c r="G612" s="238">
        <f>IFERROR(__xludf.DUMMYFUNCTION("""COMPUTED_VALUE"""),45979.00208333333)</f>
        <v>45979.00208</v>
      </c>
      <c r="H612" s="238">
        <f>IFERROR(__xludf.DUMMYFUNCTION("""COMPUTED_VALUE"""),45979.16666666667)</f>
        <v>45979.16667</v>
      </c>
      <c r="I612" s="237" t="str">
        <f t="shared" si="1"/>
        <v>Fora</v>
      </c>
      <c r="J612" s="239">
        <v>237.0000000076834</v>
      </c>
    </row>
    <row r="613">
      <c r="A613" s="234" t="s">
        <v>2307</v>
      </c>
      <c r="B613" s="234" t="str">
        <f>IFERROR(__xludf.DUMMYFUNCTION("""COMPUTED_VALUE"""),"SoC_MG_Betim")</f>
        <v>SoC_MG_Betim</v>
      </c>
      <c r="C613" s="234" t="str">
        <f>IFERROR(__xludf.DUMMYFUNCTION("""COMPUTED_VALUE"""),"SOC-MG2")</f>
        <v>SOC-MG2</v>
      </c>
      <c r="D613" s="234">
        <f>IFERROR(__xludf.DUMMYFUNCTION("""COMPUTED_VALUE"""),41.0)</f>
        <v>41</v>
      </c>
      <c r="E613" s="237" t="str">
        <f>IFERROR(__xludf.DUMMYFUNCTION("""COMPUTED_VALUE"""),"LT0PBI01RUUX3")</f>
        <v>LT0PBI01RUUX3</v>
      </c>
      <c r="F613" s="238" t="str">
        <f>IFERROR(__xludf.DUMMYFUNCTION("""COMPUTED_VALUE"""),"DCU9C23,TJQ3B56")</f>
        <v>DCU9C23,TJQ3B56</v>
      </c>
      <c r="G613" s="238">
        <f>IFERROR(__xludf.DUMMYFUNCTION("""COMPUTED_VALUE"""),45979.00208333333)</f>
        <v>45979.00208</v>
      </c>
      <c r="H613" s="238">
        <f>IFERROR(__xludf.DUMMYFUNCTION("""COMPUTED_VALUE"""),45979.16666666667)</f>
        <v>45979.16667</v>
      </c>
      <c r="I613" s="237" t="str">
        <f t="shared" si="1"/>
        <v>Fora</v>
      </c>
      <c r="J613" s="239">
        <v>180.0</v>
      </c>
    </row>
    <row r="614">
      <c r="A614" s="234" t="s">
        <v>2308</v>
      </c>
      <c r="B614" s="234" t="str">
        <f>IFERROR(__xludf.DUMMYFUNCTION("""COMPUTED_VALUE"""),"SoC_SP_Santana")</f>
        <v>SoC_SP_Santana</v>
      </c>
      <c r="C614" s="234" t="str">
        <f>IFERROR(__xludf.DUMMYFUNCTION("""COMPUTED_VALUE"""),"SOC-SP2")</f>
        <v>SOC-SP2</v>
      </c>
      <c r="D614" s="234"/>
      <c r="E614" s="237" t="str">
        <f>IFERROR(__xludf.DUMMYFUNCTION("""COMPUTED_VALUE"""),"LT0PBI01RVFD1")</f>
        <v>LT0PBI01RVFD1</v>
      </c>
      <c r="F614" s="238" t="str">
        <f>IFERROR(__xludf.DUMMYFUNCTION("""COMPUTED_VALUE"""),"-")</f>
        <v>-</v>
      </c>
      <c r="G614" s="238">
        <f>IFERROR(__xludf.DUMMYFUNCTION("""COMPUTED_VALUE"""),45979.04166666667)</f>
        <v>45979.04167</v>
      </c>
      <c r="H614" s="238">
        <f>IFERROR(__xludf.DUMMYFUNCTION("""COMPUTED_VALUE"""),45979.16666666667)</f>
        <v>45979.16667</v>
      </c>
      <c r="I614" s="237" t="str">
        <f t="shared" si="1"/>
        <v>Fora</v>
      </c>
      <c r="J614" s="239">
        <v>120.00000001396984</v>
      </c>
    </row>
    <row r="615">
      <c r="A615" s="234" t="s">
        <v>2309</v>
      </c>
      <c r="B615" s="234" t="str">
        <f>IFERROR(__xludf.DUMMYFUNCTION("""COMPUTED_VALUE"""),"LM Hub_SP_Tatuí")</f>
        <v>LM Hub_SP_Tatuí</v>
      </c>
      <c r="C615" s="234" t="str">
        <f>IFERROR(__xludf.DUMMYFUNCTION("""COMPUTED_VALUE"""),"HUB-LSP-51")</f>
        <v>HUB-LSP-51</v>
      </c>
      <c r="D615" s="234">
        <f>IFERROR(__xludf.DUMMYFUNCTION("""COMPUTED_VALUE"""),13.0)</f>
        <v>13</v>
      </c>
      <c r="E615" s="237" t="str">
        <f>IFERROR(__xludf.DUMMYFUNCTION("""COMPUTED_VALUE"""),"LT0PBI01RUZM1")</f>
        <v>LT0PBI01RUZM1</v>
      </c>
      <c r="F615" s="238" t="str">
        <f>IFERROR(__xludf.DUMMYFUNCTION("""COMPUTED_VALUE"""),"FLO1G76")</f>
        <v>FLO1G76</v>
      </c>
      <c r="G615" s="238">
        <f>IFERROR(__xludf.DUMMYFUNCTION("""COMPUTED_VALUE"""),45979.08333333333)</f>
        <v>45979.08333</v>
      </c>
      <c r="H615" s="238">
        <f>IFERROR(__xludf.DUMMYFUNCTION("""COMPUTED_VALUE"""),45979.16666666667)</f>
        <v>45979.16667</v>
      </c>
      <c r="I615" s="237" t="str">
        <f t="shared" si="1"/>
        <v>Fora</v>
      </c>
      <c r="J615" s="239">
        <v>120.00000001396984</v>
      </c>
    </row>
    <row r="616">
      <c r="A616" s="234" t="s">
        <v>2310</v>
      </c>
      <c r="B616" s="234" t="str">
        <f>IFERROR(__xludf.DUMMYFUNCTION("""COMPUTED_VALUE"""),"SoC_BA_Simoes Filho")</f>
        <v>SoC_BA_Simoes Filho</v>
      </c>
      <c r="C616" s="234" t="str">
        <f>IFERROR(__xludf.DUMMYFUNCTION("""COMPUTED_VALUE"""),"SOC-BA2")</f>
        <v>SOC-BA2</v>
      </c>
      <c r="D616" s="234">
        <f>IFERROR(__xludf.DUMMYFUNCTION("""COMPUTED_VALUE"""),34.0)</f>
        <v>34</v>
      </c>
      <c r="E616" s="237" t="str">
        <f>IFERROR(__xludf.DUMMYFUNCTION("""COMPUTED_VALUE"""),"LT1PBI01S9F21")</f>
        <v>LT1PBI01S9F21</v>
      </c>
      <c r="F616" s="238" t="str">
        <f>IFERROR(__xludf.DUMMYFUNCTION("""COMPUTED_VALUE"""),"RDV0J91,MHJ0441")</f>
        <v>RDV0J91,MHJ0441</v>
      </c>
      <c r="G616" s="238">
        <f>IFERROR(__xludf.DUMMYFUNCTION("""COMPUTED_VALUE"""),45979.08333333333)</f>
        <v>45979.08333</v>
      </c>
      <c r="H616" s="238">
        <f>IFERROR(__xludf.DUMMYFUNCTION("""COMPUTED_VALUE"""),45979.16666666667)</f>
        <v>45979.16667</v>
      </c>
      <c r="I616" s="237" t="str">
        <f t="shared" si="1"/>
        <v>Fora</v>
      </c>
      <c r="J616" s="239">
        <v>119.99999999301508</v>
      </c>
    </row>
    <row r="617">
      <c r="A617" s="234" t="s">
        <v>2311</v>
      </c>
      <c r="B617" s="234" t="str">
        <f>IFERROR(__xludf.DUMMYFUNCTION("""COMPUTED_VALUE"""),"LM Hub_MG_Varginha_Fausto")</f>
        <v>LM Hub_MG_Varginha_Fausto</v>
      </c>
      <c r="C617" s="234" t="str">
        <f>IFERROR(__xludf.DUMMYFUNCTION("""COMPUTED_VALUE"""),"HUB-LMG-45")</f>
        <v>HUB-LMG-45</v>
      </c>
      <c r="D617" s="234">
        <f>IFERROR(__xludf.DUMMYFUNCTION("""COMPUTED_VALUE"""),12.0)</f>
        <v>12</v>
      </c>
      <c r="E617" s="237" t="str">
        <f>IFERROR(__xludf.DUMMYFUNCTION("""COMPUTED_VALUE"""),"LT0PBI01S0DN1")</f>
        <v>LT0PBI01S0DN1</v>
      </c>
      <c r="F617" s="238" t="str">
        <f>IFERROR(__xludf.DUMMYFUNCTION("""COMPUTED_VALUE"""),"HIJ9H16")</f>
        <v>HIJ9H16</v>
      </c>
      <c r="G617" s="238">
        <f>IFERROR(__xludf.DUMMYFUNCTION("""COMPUTED_VALUE"""),45979.10416666667)</f>
        <v>45979.10417</v>
      </c>
      <c r="H617" s="238">
        <f>IFERROR(__xludf.DUMMYFUNCTION("""COMPUTED_VALUE"""),45979.1875)</f>
        <v>45979.1875</v>
      </c>
      <c r="I617" s="237" t="str">
        <f t="shared" si="1"/>
        <v>Fora</v>
      </c>
      <c r="J617" s="239">
        <v>119.99999999301508</v>
      </c>
    </row>
    <row r="618">
      <c r="A618" s="234" t="s">
        <v>2312</v>
      </c>
      <c r="B618" s="234" t="str">
        <f>IFERROR(__xludf.DUMMYFUNCTION("""COMPUTED_VALUE"""),"LM Hub_SP_Itapetininga")</f>
        <v>LM Hub_SP_Itapetininga</v>
      </c>
      <c r="C618" s="234" t="str">
        <f>IFERROR(__xludf.DUMMYFUNCTION("""COMPUTED_VALUE"""),"HUB-LSP-53")</f>
        <v>HUB-LSP-53</v>
      </c>
      <c r="D618" s="234">
        <f>IFERROR(__xludf.DUMMYFUNCTION("""COMPUTED_VALUE"""),14.0)</f>
        <v>14</v>
      </c>
      <c r="E618" s="237" t="str">
        <f>IFERROR(__xludf.DUMMYFUNCTION("""COMPUTED_VALUE"""),"LT0PBI01RUZH1")</f>
        <v>LT0PBI01RUZH1</v>
      </c>
      <c r="F618" s="238" t="str">
        <f>IFERROR(__xludf.DUMMYFUNCTION("""COMPUTED_VALUE"""),"FZY3F48")</f>
        <v>FZY3F48</v>
      </c>
      <c r="G618" s="238">
        <f>IFERROR(__xludf.DUMMYFUNCTION("""COMPUTED_VALUE"""),45979.10416666667)</f>
        <v>45979.10417</v>
      </c>
      <c r="H618" s="238">
        <f>IFERROR(__xludf.DUMMYFUNCTION("""COMPUTED_VALUE"""),45979.1875)</f>
        <v>45979.1875</v>
      </c>
      <c r="I618" s="237" t="str">
        <f t="shared" si="1"/>
        <v>Fora</v>
      </c>
      <c r="J618" s="239">
        <v>119.99999999301508</v>
      </c>
    </row>
    <row r="619">
      <c r="A619" s="234" t="s">
        <v>2313</v>
      </c>
      <c r="B619" s="234" t="str">
        <f>IFERROR(__xludf.DUMMYFUNCTION("""COMPUTED_VALUE"""),"LM Hub_SP_São Carlos")</f>
        <v>LM Hub_SP_São Carlos</v>
      </c>
      <c r="C619" s="234" t="str">
        <f>IFERROR(__xludf.DUMMYFUNCTION("""COMPUTED_VALUE"""),"HUB-LSP-31")</f>
        <v>HUB-LSP-31</v>
      </c>
      <c r="D619" s="234">
        <f>IFERROR(__xludf.DUMMYFUNCTION("""COMPUTED_VALUE"""),38.0)</f>
        <v>38</v>
      </c>
      <c r="E619" s="237" t="str">
        <f>IFERROR(__xludf.DUMMYFUNCTION("""COMPUTED_VALUE"""),"LT0PBI01RV2B1")</f>
        <v>LT0PBI01RV2B1</v>
      </c>
      <c r="F619" s="238" t="str">
        <f>IFERROR(__xludf.DUMMYFUNCTION("""COMPUTED_VALUE"""),"FZQ1I50")</f>
        <v>FZQ1I50</v>
      </c>
      <c r="G619" s="238">
        <f>IFERROR(__xludf.DUMMYFUNCTION("""COMPUTED_VALUE"""),45979.10416666667)</f>
        <v>45979.10417</v>
      </c>
      <c r="H619" s="238">
        <f>IFERROR(__xludf.DUMMYFUNCTION("""COMPUTED_VALUE"""),45979.1875)</f>
        <v>45979.1875</v>
      </c>
      <c r="I619" s="237" t="str">
        <f t="shared" si="1"/>
        <v>Fora</v>
      </c>
      <c r="J619" s="239">
        <v>299.9999999930151</v>
      </c>
    </row>
    <row r="620">
      <c r="A620" s="234" t="s">
        <v>2314</v>
      </c>
      <c r="B620" s="234" t="str">
        <f>IFERROR(__xludf.DUMMYFUNCTION("""COMPUTED_VALUE"""),"SoC_RS_Gravataí_02")</f>
        <v>SoC_RS_Gravataí_02</v>
      </c>
      <c r="C620" s="234" t="str">
        <f>IFERROR(__xludf.DUMMYFUNCTION("""COMPUTED_VALUE"""),"SOC-RS2")</f>
        <v>SOC-RS2</v>
      </c>
      <c r="D620" s="234">
        <f>IFERROR(__xludf.DUMMYFUNCTION("""COMPUTED_VALUE"""),25.0)</f>
        <v>25</v>
      </c>
      <c r="E620" s="237" t="str">
        <f>IFERROR(__xludf.DUMMYFUNCTION("""COMPUTED_VALUE"""),"LT0PBI01S10W1")</f>
        <v>LT0PBI01S10W1</v>
      </c>
      <c r="F620" s="238" t="str">
        <f>IFERROR(__xludf.DUMMYFUNCTION("""COMPUTED_VALUE"""),"GIB6B68,ATR8I85")</f>
        <v>GIB6B68,ATR8I85</v>
      </c>
      <c r="G620" s="238">
        <f>IFERROR(__xludf.DUMMYFUNCTION("""COMPUTED_VALUE"""),45979.0)</f>
        <v>45979</v>
      </c>
      <c r="H620" s="238">
        <f>IFERROR(__xludf.DUMMYFUNCTION("""COMPUTED_VALUE"""),45979.20833333333)</f>
        <v>45979.20833</v>
      </c>
      <c r="I620" s="237" t="str">
        <f t="shared" si="1"/>
        <v>Fora</v>
      </c>
      <c r="J620" s="239">
        <v>299.9999999930151</v>
      </c>
    </row>
    <row r="621">
      <c r="A621" s="234" t="s">
        <v>2315</v>
      </c>
      <c r="B621" s="234" t="str">
        <f>IFERROR(__xludf.DUMMYFUNCTION("""COMPUTED_VALUE"""),"SoC_RS_Gravataí_02")</f>
        <v>SoC_RS_Gravataí_02</v>
      </c>
      <c r="C621" s="234" t="str">
        <f>IFERROR(__xludf.DUMMYFUNCTION("""COMPUTED_VALUE"""),"SOC-RS2")</f>
        <v>SOC-RS2</v>
      </c>
      <c r="D621" s="234">
        <f>IFERROR(__xludf.DUMMYFUNCTION("""COMPUTED_VALUE"""),25.0)</f>
        <v>25</v>
      </c>
      <c r="E621" s="237" t="str">
        <f>IFERROR(__xludf.DUMMYFUNCTION("""COMPUTED_VALUE"""),"LT0PBI01S10X2")</f>
        <v>LT0PBI01S10X2</v>
      </c>
      <c r="F621" s="238" t="str">
        <f>IFERROR(__xludf.DUMMYFUNCTION("""COMPUTED_VALUE"""),"IUR3A04,IRE9F10")</f>
        <v>IUR3A04,IRE9F10</v>
      </c>
      <c r="G621" s="238">
        <f>IFERROR(__xludf.DUMMYFUNCTION("""COMPUTED_VALUE"""),45979.0)</f>
        <v>45979</v>
      </c>
      <c r="H621" s="238">
        <f>IFERROR(__xludf.DUMMYFUNCTION("""COMPUTED_VALUE"""),45979.20833333333)</f>
        <v>45979.20833</v>
      </c>
      <c r="I621" s="237" t="str">
        <f t="shared" si="1"/>
        <v>Fora</v>
      </c>
      <c r="J621" s="239">
        <v>299.9999999930151</v>
      </c>
    </row>
    <row r="622">
      <c r="A622" s="234" t="s">
        <v>2316</v>
      </c>
      <c r="B622" s="234" t="str">
        <f>IFERROR(__xludf.DUMMYFUNCTION("""COMPUTED_VALUE"""),"SoC_SP_Louveira")</f>
        <v>SoC_SP_Louveira</v>
      </c>
      <c r="C622" s="234" t="str">
        <f>IFERROR(__xludf.DUMMYFUNCTION("""COMPUTED_VALUE"""),"SOC-SP7")</f>
        <v>SOC-SP7</v>
      </c>
      <c r="D622" s="234">
        <f>IFERROR(__xludf.DUMMYFUNCTION("""COMPUTED_VALUE"""),40.0)</f>
        <v>40</v>
      </c>
      <c r="E622" s="237" t="str">
        <f>IFERROR(__xludf.DUMMYFUNCTION("""COMPUTED_VALUE"""),"LT0PBI01RUXF1")</f>
        <v>LT0PBI01RUXF1</v>
      </c>
      <c r="F622" s="238" t="str">
        <f>IFERROR(__xludf.DUMMYFUNCTION("""COMPUTED_VALUE"""),"FGU5I81,JXA7D06")</f>
        <v>FGU5I81,JXA7D06</v>
      </c>
      <c r="G622" s="238">
        <f>IFERROR(__xludf.DUMMYFUNCTION("""COMPUTED_VALUE"""),45979.0)</f>
        <v>45979</v>
      </c>
      <c r="H622" s="238">
        <f>IFERROR(__xludf.DUMMYFUNCTION("""COMPUTED_VALUE"""),45979.20833333333)</f>
        <v>45979.20833</v>
      </c>
      <c r="I622" s="237" t="str">
        <f t="shared" si="1"/>
        <v>Fora</v>
      </c>
      <c r="J622" s="239">
        <v>298.99999998975545</v>
      </c>
    </row>
    <row r="623">
      <c r="A623" s="234" t="s">
        <v>2317</v>
      </c>
      <c r="B623" s="234" t="str">
        <f>IFERROR(__xludf.DUMMYFUNCTION("""COMPUTED_VALUE"""),"SoC_PR_Curitiba")</f>
        <v>SoC_PR_Curitiba</v>
      </c>
      <c r="C623" s="234" t="str">
        <f>IFERROR(__xludf.DUMMYFUNCTION("""COMPUTED_VALUE"""),"SOC-PR1")</f>
        <v>SOC-PR1</v>
      </c>
      <c r="D623" s="234">
        <f>IFERROR(__xludf.DUMMYFUNCTION("""COMPUTED_VALUE"""),42.0)</f>
        <v>42</v>
      </c>
      <c r="E623" s="237" t="str">
        <f>IFERROR(__xludf.DUMMYFUNCTION("""COMPUTED_VALUE"""),"LT0PBI01RUVQ1")</f>
        <v>LT0PBI01RUVQ1</v>
      </c>
      <c r="F623" s="238" t="str">
        <f>IFERROR(__xludf.DUMMYFUNCTION("""COMPUTED_VALUE"""),"RHJ0E45,BEX8B12")</f>
        <v>RHJ0E45,BEX8B12</v>
      </c>
      <c r="G623" s="238">
        <f>IFERROR(__xludf.DUMMYFUNCTION("""COMPUTED_VALUE"""),45979.00069444445)</f>
        <v>45979.00069</v>
      </c>
      <c r="H623" s="238">
        <f>IFERROR(__xludf.DUMMYFUNCTION("""COMPUTED_VALUE"""),45979.20833333333)</f>
        <v>45979.20833</v>
      </c>
      <c r="I623" s="237" t="str">
        <f t="shared" si="1"/>
        <v>Fora</v>
      </c>
      <c r="J623" s="239">
        <v>298.99999998975545</v>
      </c>
    </row>
    <row r="624">
      <c r="A624" s="234" t="s">
        <v>2318</v>
      </c>
      <c r="B624" s="234" t="str">
        <f>IFERROR(__xludf.DUMMYFUNCTION("""COMPUTED_VALUE"""),"SoC_PR_Curitiba")</f>
        <v>SoC_PR_Curitiba</v>
      </c>
      <c r="C624" s="234" t="str">
        <f>IFERROR(__xludf.DUMMYFUNCTION("""COMPUTED_VALUE"""),"SOC-PR1")</f>
        <v>SOC-PR1</v>
      </c>
      <c r="D624" s="234">
        <f>IFERROR(__xludf.DUMMYFUNCTION("""COMPUTED_VALUE"""),26.0)</f>
        <v>26</v>
      </c>
      <c r="E624" s="237" t="str">
        <f>IFERROR(__xludf.DUMMYFUNCTION("""COMPUTED_VALUE"""),"LT0PBI01RUVS2")</f>
        <v>LT0PBI01RUVS2</v>
      </c>
      <c r="F624" s="238" t="str">
        <f>IFERROR(__xludf.DUMMYFUNCTION("""COMPUTED_VALUE"""),"EQB1G82,RXU1B53")</f>
        <v>EQB1G82,RXU1B53</v>
      </c>
      <c r="G624" s="238">
        <f>IFERROR(__xludf.DUMMYFUNCTION("""COMPUTED_VALUE"""),45979.00069444445)</f>
        <v>45979.00069</v>
      </c>
      <c r="H624" s="238">
        <f>IFERROR(__xludf.DUMMYFUNCTION("""COMPUTED_VALUE"""),45979.20833333333)</f>
        <v>45979.20833</v>
      </c>
      <c r="I624" s="237" t="str">
        <f t="shared" si="1"/>
        <v>Fora</v>
      </c>
      <c r="J624" s="239">
        <v>297.9999999864958</v>
      </c>
    </row>
    <row r="625">
      <c r="A625" s="234" t="s">
        <v>2319</v>
      </c>
      <c r="B625" s="234" t="str">
        <f>IFERROR(__xludf.DUMMYFUNCTION("""COMPUTED_VALUE"""),"SoC_BA_Simoes Filho")</f>
        <v>SoC_BA_Simoes Filho</v>
      </c>
      <c r="C625" s="234" t="str">
        <f>IFERROR(__xludf.DUMMYFUNCTION("""COMPUTED_VALUE"""),"SOC-BA2")</f>
        <v>SOC-BA2</v>
      </c>
      <c r="D625" s="234">
        <f>IFERROR(__xludf.DUMMYFUNCTION("""COMPUTED_VALUE"""),32.0)</f>
        <v>32</v>
      </c>
      <c r="E625" s="237" t="str">
        <f>IFERROR(__xludf.DUMMYFUNCTION("""COMPUTED_VALUE"""),"LT0PBI01S0Q21")</f>
        <v>LT0PBI01S0Q21</v>
      </c>
      <c r="F625" s="238" t="str">
        <f>IFERROR(__xludf.DUMMYFUNCTION("""COMPUTED_VALUE"""),"FZM2E38,SHH0J79")</f>
        <v>FZM2E38,SHH0J79</v>
      </c>
      <c r="G625" s="238">
        <f>IFERROR(__xludf.DUMMYFUNCTION("""COMPUTED_VALUE"""),45979.00138888889)</f>
        <v>45979.00139</v>
      </c>
      <c r="H625" s="238">
        <f>IFERROR(__xludf.DUMMYFUNCTION("""COMPUTED_VALUE"""),45979.20833333333)</f>
        <v>45979.20833</v>
      </c>
      <c r="I625" s="237" t="str">
        <f t="shared" si="1"/>
        <v>Fora</v>
      </c>
      <c r="J625" s="239">
        <v>297.9999999864958</v>
      </c>
    </row>
    <row r="626">
      <c r="A626" s="234" t="s">
        <v>2320</v>
      </c>
      <c r="B626" s="234" t="str">
        <f>IFERROR(__xludf.DUMMYFUNCTION("""COMPUTED_VALUE"""),"SoC_BA_Simoes Filho")</f>
        <v>SoC_BA_Simoes Filho</v>
      </c>
      <c r="C626" s="234" t="str">
        <f>IFERROR(__xludf.DUMMYFUNCTION("""COMPUTED_VALUE"""),"SOC-BA2")</f>
        <v>SOC-BA2</v>
      </c>
      <c r="D626" s="234">
        <f>IFERROR(__xludf.DUMMYFUNCTION("""COMPUTED_VALUE"""),35.0)</f>
        <v>35</v>
      </c>
      <c r="E626" s="237" t="str">
        <f>IFERROR(__xludf.DUMMYFUNCTION("""COMPUTED_VALUE"""),"LT0PBI01S0Q42")</f>
        <v>LT0PBI01S0Q42</v>
      </c>
      <c r="F626" s="238" t="str">
        <f>IFERROR(__xludf.DUMMYFUNCTION("""COMPUTED_VALUE"""),"FJR2F64,RMU1F15")</f>
        <v>FJR2F64,RMU1F15</v>
      </c>
      <c r="G626" s="238">
        <f>IFERROR(__xludf.DUMMYFUNCTION("""COMPUTED_VALUE"""),45979.00138888889)</f>
        <v>45979.00139</v>
      </c>
      <c r="H626" s="238">
        <f>IFERROR(__xludf.DUMMYFUNCTION("""COMPUTED_VALUE"""),45979.20833333333)</f>
        <v>45979.20833</v>
      </c>
      <c r="I626" s="237" t="str">
        <f t="shared" si="1"/>
        <v>Fora</v>
      </c>
      <c r="J626" s="239">
        <v>119.99999999301508</v>
      </c>
    </row>
    <row r="627">
      <c r="A627" s="234" t="s">
        <v>2321</v>
      </c>
      <c r="B627" s="234" t="str">
        <f>IFERROR(__xludf.DUMMYFUNCTION("""COMPUTED_VALUE"""),"LM Hub_SP_Itapeva")</f>
        <v>LM Hub_SP_Itapeva</v>
      </c>
      <c r="C627" s="234" t="str">
        <f>IFERROR(__xludf.DUMMYFUNCTION("""COMPUTED_VALUE"""),"HUB-LSP-39")</f>
        <v>HUB-LSP-39</v>
      </c>
      <c r="D627" s="234">
        <f>IFERROR(__xludf.DUMMYFUNCTION("""COMPUTED_VALUE"""),7.0)</f>
        <v>7</v>
      </c>
      <c r="E627" s="237" t="str">
        <f>IFERROR(__xludf.DUMMYFUNCTION("""COMPUTED_VALUE"""),"LT0PBI01RUZR1")</f>
        <v>LT0PBI01RUZR1</v>
      </c>
      <c r="F627" s="238" t="str">
        <f>IFERROR(__xludf.DUMMYFUNCTION("""COMPUTED_VALUE"""),"DTC3E38")</f>
        <v>DTC3E38</v>
      </c>
      <c r="G627" s="238">
        <f>IFERROR(__xludf.DUMMYFUNCTION("""COMPUTED_VALUE"""),45979.125)</f>
        <v>45979.125</v>
      </c>
      <c r="H627" s="238">
        <f>IFERROR(__xludf.DUMMYFUNCTION("""COMPUTED_VALUE"""),45979.20833333333)</f>
        <v>45979.20833</v>
      </c>
      <c r="I627" s="237" t="str">
        <f t="shared" si="1"/>
        <v>Fora</v>
      </c>
      <c r="J627" s="239">
        <v>119.99999999301508</v>
      </c>
    </row>
    <row r="628">
      <c r="A628" s="234" t="s">
        <v>2322</v>
      </c>
      <c r="B628" s="234" t="str">
        <f>IFERROR(__xludf.DUMMYFUNCTION("""COMPUTED_VALUE"""),"LM Hub_SP_Registro")</f>
        <v>LM Hub_SP_Registro</v>
      </c>
      <c r="C628" s="234" t="str">
        <f>IFERROR(__xludf.DUMMYFUNCTION("""COMPUTED_VALUE"""),"HUB-LSP-40")</f>
        <v>HUB-LSP-40</v>
      </c>
      <c r="D628" s="234">
        <f>IFERROR(__xludf.DUMMYFUNCTION("""COMPUTED_VALUE"""),13.0)</f>
        <v>13</v>
      </c>
      <c r="E628" s="237" t="str">
        <f>IFERROR(__xludf.DUMMYFUNCTION("""COMPUTED_VALUE"""),"LT0PBI01RV0C1")</f>
        <v>LT0PBI01RV0C1</v>
      </c>
      <c r="F628" s="238" t="str">
        <f>IFERROR(__xludf.DUMMYFUNCTION("""COMPUTED_VALUE"""),"FSV9B90")</f>
        <v>FSV9B90</v>
      </c>
      <c r="G628" s="238">
        <f>IFERROR(__xludf.DUMMYFUNCTION("""COMPUTED_VALUE"""),45979.125)</f>
        <v>45979.125</v>
      </c>
      <c r="H628" s="238">
        <f>IFERROR(__xludf.DUMMYFUNCTION("""COMPUTED_VALUE"""),45979.20833333333)</f>
        <v>45979.20833</v>
      </c>
      <c r="I628" s="237" t="str">
        <f t="shared" si="1"/>
        <v>Fora</v>
      </c>
      <c r="J628" s="239">
        <v>119.99999999301508</v>
      </c>
    </row>
    <row r="629">
      <c r="A629" s="234" t="s">
        <v>2323</v>
      </c>
      <c r="B629" s="234" t="str">
        <f>IFERROR(__xludf.DUMMYFUNCTION("""COMPUTED_VALUE"""),"LM Hub_SP_Sumaré_Nova Veneza_1")</f>
        <v>LM Hub_SP_Sumaré_Nova Veneza_1</v>
      </c>
      <c r="C629" s="234" t="str">
        <f>IFERROR(__xludf.DUMMYFUNCTION("""COMPUTED_VALUE"""),"HUB-LSP-88")</f>
        <v>HUB-LSP-88</v>
      </c>
      <c r="D629" s="234"/>
      <c r="E629" s="237" t="str">
        <f>IFERROR(__xludf.DUMMYFUNCTION("""COMPUTED_VALUE"""),"LT0PBI01S09Y1")</f>
        <v>LT0PBI01S09Y1</v>
      </c>
      <c r="F629" s="238" t="str">
        <f>IFERROR(__xludf.DUMMYFUNCTION("""COMPUTED_VALUE"""),"EGJ9547")</f>
        <v>EGJ9547</v>
      </c>
      <c r="G629" s="238">
        <f>IFERROR(__xludf.DUMMYFUNCTION("""COMPUTED_VALUE"""),45979.125)</f>
        <v>45979.125</v>
      </c>
      <c r="H629" s="238">
        <f>IFERROR(__xludf.DUMMYFUNCTION("""COMPUTED_VALUE"""),45979.20833333333)</f>
        <v>45979.20833</v>
      </c>
      <c r="I629" s="237" t="str">
        <f t="shared" si="1"/>
        <v>Fora</v>
      </c>
      <c r="J629" s="239">
        <v>119.99999999301508</v>
      </c>
    </row>
    <row r="630">
      <c r="A630" s="234" t="s">
        <v>2324</v>
      </c>
      <c r="B630" s="234" t="str">
        <f>IFERROR(__xludf.DUMMYFUNCTION("""COMPUTED_VALUE"""),"SoC_GO_Goiânia_02")</f>
        <v>SoC_GO_Goiânia_02</v>
      </c>
      <c r="C630" s="234" t="str">
        <f>IFERROR(__xludf.DUMMYFUNCTION("""COMPUTED_VALUE"""),"SOC-GO2")</f>
        <v>SOC-GO2</v>
      </c>
      <c r="D630" s="234"/>
      <c r="E630" s="237" t="str">
        <f>IFERROR(__xludf.DUMMYFUNCTION("""COMPUTED_VALUE"""),"LT0PBI01S0XE1")</f>
        <v>LT0PBI01S0XE1</v>
      </c>
      <c r="F630" s="238" t="str">
        <f>IFERROR(__xludf.DUMMYFUNCTION("""COMPUTED_VALUE"""),"JBN4B17")</f>
        <v>JBN4B17</v>
      </c>
      <c r="G630" s="238">
        <f>IFERROR(__xludf.DUMMYFUNCTION("""COMPUTED_VALUE"""),45979.125)</f>
        <v>45979.125</v>
      </c>
      <c r="H630" s="238">
        <f>IFERROR(__xludf.DUMMYFUNCTION("""COMPUTED_VALUE"""),45979.20833333333)</f>
        <v>45979.20833</v>
      </c>
      <c r="I630" s="237" t="str">
        <f t="shared" si="1"/>
        <v>Fora</v>
      </c>
      <c r="J630" s="239">
        <v>119.99999999301508</v>
      </c>
    </row>
    <row r="631">
      <c r="A631" s="234" t="s">
        <v>2325</v>
      </c>
      <c r="B631" s="234" t="str">
        <f>IFERROR(__xludf.DUMMYFUNCTION("""COMPUTED_VALUE"""),"SoC_PE_Jaboatão dos Guararapes")</f>
        <v>SoC_PE_Jaboatão dos Guararapes</v>
      </c>
      <c r="C631" s="234" t="str">
        <f>IFERROR(__xludf.DUMMYFUNCTION("""COMPUTED_VALUE"""),"SOC-PE2")</f>
        <v>SOC-PE2</v>
      </c>
      <c r="D631" s="234">
        <f>IFERROR(__xludf.DUMMYFUNCTION("""COMPUTED_VALUE"""),24.0)</f>
        <v>24</v>
      </c>
      <c r="E631" s="237" t="str">
        <f>IFERROR(__xludf.DUMMYFUNCTION("""COMPUTED_VALUE"""),"LT1PBI01S9F01")</f>
        <v>LT1PBI01S9F01</v>
      </c>
      <c r="F631" s="238" t="str">
        <f>IFERROR(__xludf.DUMMYFUNCTION("""COMPUTED_VALUE"""),"QNF7F90,FSW7B71")</f>
        <v>QNF7F90,FSW7B71</v>
      </c>
      <c r="G631" s="238">
        <f>IFERROR(__xludf.DUMMYFUNCTION("""COMPUTED_VALUE"""),45979.125)</f>
        <v>45979.125</v>
      </c>
      <c r="H631" s="238">
        <f>IFERROR(__xludf.DUMMYFUNCTION("""COMPUTED_VALUE"""),45979.20833333333)</f>
        <v>45979.20833</v>
      </c>
      <c r="I631" s="237" t="str">
        <f t="shared" si="1"/>
        <v>Fora</v>
      </c>
      <c r="J631" s="239">
        <v>119.99999999301508</v>
      </c>
    </row>
    <row r="632">
      <c r="A632" s="234" t="s">
        <v>2326</v>
      </c>
      <c r="B632" s="234" t="str">
        <f>IFERROR(__xludf.DUMMYFUNCTION("""COMPUTED_VALUE"""),"SoC_RJ_Duque de Caxias")</f>
        <v>SoC_RJ_Duque de Caxias</v>
      </c>
      <c r="C632" s="234" t="str">
        <f>IFERROR(__xludf.DUMMYFUNCTION("""COMPUTED_VALUE"""),"SOC-RJ2")</f>
        <v>SOC-RJ2</v>
      </c>
      <c r="D632" s="234">
        <f>IFERROR(__xludf.DUMMYFUNCTION("""COMPUTED_VALUE"""),16.0)</f>
        <v>16</v>
      </c>
      <c r="E632" s="237" t="str">
        <f>IFERROR(__xludf.DUMMYFUNCTION("""COMPUTED_VALUE"""),"LT1PBI01S9EW1")</f>
        <v>LT1PBI01S9EW1</v>
      </c>
      <c r="F632" s="238" t="str">
        <f>IFERROR(__xludf.DUMMYFUNCTION("""COMPUTED_VALUE"""),"MMH2F35,HRS6C42")</f>
        <v>MMH2F35,HRS6C42</v>
      </c>
      <c r="G632" s="238">
        <f>IFERROR(__xludf.DUMMYFUNCTION("""COMPUTED_VALUE"""),45979.125)</f>
        <v>45979.125</v>
      </c>
      <c r="H632" s="238">
        <f>IFERROR(__xludf.DUMMYFUNCTION("""COMPUTED_VALUE"""),45979.20833333333)</f>
        <v>45979.20833</v>
      </c>
      <c r="I632" s="237" t="str">
        <f t="shared" si="1"/>
        <v>Fora</v>
      </c>
      <c r="J632" s="239">
        <v>119.99999999301508</v>
      </c>
    </row>
    <row r="633">
      <c r="A633" s="234" t="s">
        <v>2327</v>
      </c>
      <c r="B633" s="234" t="str">
        <f>IFERROR(__xludf.DUMMYFUNCTION("""COMPUTED_VALUE"""),"SoC_RS_Gravataí_02")</f>
        <v>SoC_RS_Gravataí_02</v>
      </c>
      <c r="C633" s="234" t="str">
        <f>IFERROR(__xludf.DUMMYFUNCTION("""COMPUTED_VALUE"""),"SOC-RS2")</f>
        <v>SOC-RS2</v>
      </c>
      <c r="D633" s="234"/>
      <c r="E633" s="237" t="str">
        <f>IFERROR(__xludf.DUMMYFUNCTION("""COMPUTED_VALUE"""),"LT1PBI01S9F51")</f>
        <v>LT1PBI01S9F51</v>
      </c>
      <c r="F633" s="238" t="str">
        <f>IFERROR(__xludf.DUMMYFUNCTION("""COMPUTED_VALUE"""),"JDL3G70")</f>
        <v>JDL3G70</v>
      </c>
      <c r="G633" s="238">
        <f>IFERROR(__xludf.DUMMYFUNCTION("""COMPUTED_VALUE"""),45979.125)</f>
        <v>45979.125</v>
      </c>
      <c r="H633" s="238">
        <f>IFERROR(__xludf.DUMMYFUNCTION("""COMPUTED_VALUE"""),45979.20833333333)</f>
        <v>45979.20833</v>
      </c>
      <c r="I633" s="237" t="str">
        <f t="shared" si="1"/>
        <v>Fora</v>
      </c>
      <c r="J633" s="239">
        <v>119.99999999301508</v>
      </c>
    </row>
    <row r="634">
      <c r="A634" s="234" t="s">
        <v>2328</v>
      </c>
      <c r="B634" s="234" t="str">
        <f>IFERROR(__xludf.DUMMYFUNCTION("""COMPUTED_VALUE"""),"SoC_SP_Guarulhos")</f>
        <v>SoC_SP_Guarulhos</v>
      </c>
      <c r="C634" s="234" t="str">
        <f>IFERROR(__xludf.DUMMYFUNCTION("""COMPUTED_VALUE"""),"SOC-SP6")</f>
        <v>SOC-SP6</v>
      </c>
      <c r="D634" s="234">
        <f>IFERROR(__xludf.DUMMYFUNCTION("""COMPUTED_VALUE"""),34.0)</f>
        <v>34</v>
      </c>
      <c r="E634" s="237" t="str">
        <f>IFERROR(__xludf.DUMMYFUNCTION("""COMPUTED_VALUE"""),"LT1PBI01S9ET1")</f>
        <v>LT1PBI01S9ET1</v>
      </c>
      <c r="F634" s="238" t="str">
        <f>IFERROR(__xludf.DUMMYFUNCTION("""COMPUTED_VALUE"""),"EMU5F62,FGK3A38")</f>
        <v>EMU5F62,FGK3A38</v>
      </c>
      <c r="G634" s="238">
        <f>IFERROR(__xludf.DUMMYFUNCTION("""COMPUTED_VALUE"""),45979.125)</f>
        <v>45979.125</v>
      </c>
      <c r="H634" s="238">
        <f>IFERROR(__xludf.DUMMYFUNCTION("""COMPUTED_VALUE"""),45979.20833333333)</f>
        <v>45979.20833</v>
      </c>
      <c r="I634" s="237" t="str">
        <f t="shared" si="1"/>
        <v>Fora</v>
      </c>
      <c r="J634" s="239">
        <v>119.99999999301508</v>
      </c>
    </row>
    <row r="635">
      <c r="A635" s="234" t="s">
        <v>2329</v>
      </c>
      <c r="B635" s="234" t="str">
        <f>IFERROR(__xludf.DUMMYFUNCTION("""COMPUTED_VALUE"""),"SoC_SP_Louveira")</f>
        <v>SoC_SP_Louveira</v>
      </c>
      <c r="C635" s="234" t="str">
        <f>IFERROR(__xludf.DUMMYFUNCTION("""COMPUTED_VALUE"""),"SOC-SP7")</f>
        <v>SOC-SP7</v>
      </c>
      <c r="D635" s="234">
        <f>IFERROR(__xludf.DUMMYFUNCTION("""COMPUTED_VALUE"""),43.0)</f>
        <v>43</v>
      </c>
      <c r="E635" s="237" t="str">
        <f>IFERROR(__xludf.DUMMYFUNCTION("""COMPUTED_VALUE"""),"LT1PBI01S9EQ1")</f>
        <v>LT1PBI01S9EQ1</v>
      </c>
      <c r="F635" s="238" t="str">
        <f>IFERROR(__xludf.DUMMYFUNCTION("""COMPUTED_VALUE"""),"BBX6D70,ADZ0C99")</f>
        <v>BBX6D70,ADZ0C99</v>
      </c>
      <c r="G635" s="238">
        <f>IFERROR(__xludf.DUMMYFUNCTION("""COMPUTED_VALUE"""),45979.125)</f>
        <v>45979.125</v>
      </c>
      <c r="H635" s="238">
        <f>IFERROR(__xludf.DUMMYFUNCTION("""COMPUTED_VALUE"""),45979.20833333333)</f>
        <v>45979.20833</v>
      </c>
      <c r="I635" s="237" t="str">
        <f t="shared" si="1"/>
        <v>Fora</v>
      </c>
      <c r="J635" s="239">
        <v>120.00000001396984</v>
      </c>
    </row>
    <row r="636">
      <c r="A636" s="234" t="s">
        <v>2330</v>
      </c>
      <c r="B636" s="234" t="str">
        <f>IFERROR(__xludf.DUMMYFUNCTION("""COMPUTED_VALUE"""),"LM Hub_SP_Campinas_São Martinho")</f>
        <v>LM Hub_SP_Campinas_São Martinho</v>
      </c>
      <c r="C636" s="234" t="str">
        <f>IFERROR(__xludf.DUMMYFUNCTION("""COMPUTED_VALUE"""),"HUB-LSP-19")</f>
        <v>HUB-LSP-19</v>
      </c>
      <c r="D636" s="234">
        <f>IFERROR(__xludf.DUMMYFUNCTION("""COMPUTED_VALUE"""),29.0)</f>
        <v>29</v>
      </c>
      <c r="E636" s="237" t="str">
        <f>IFERROR(__xludf.DUMMYFUNCTION("""COMPUTED_VALUE"""),"LT0PBI01RV371")</f>
        <v>LT0PBI01RV371</v>
      </c>
      <c r="F636" s="238" t="str">
        <f>IFERROR(__xludf.DUMMYFUNCTION("""COMPUTED_VALUE"""),"ESU9H90,EUL5B82")</f>
        <v>ESU9H90,EUL5B82</v>
      </c>
      <c r="G636" s="238">
        <f>IFERROR(__xludf.DUMMYFUNCTION("""COMPUTED_VALUE"""),45979.14583333333)</f>
        <v>45979.14583</v>
      </c>
      <c r="H636" s="238">
        <f>IFERROR(__xludf.DUMMYFUNCTION("""COMPUTED_VALUE"""),45979.22916666667)</f>
        <v>45979.22917</v>
      </c>
      <c r="I636" s="237" t="str">
        <f t="shared" si="1"/>
        <v>Fora</v>
      </c>
      <c r="J636" s="239">
        <v>120.00000001396984</v>
      </c>
    </row>
    <row r="637">
      <c r="A637" s="234" t="s">
        <v>2331</v>
      </c>
      <c r="B637" s="234" t="str">
        <f>IFERROR(__xludf.DUMMYFUNCTION("""COMPUTED_VALUE"""),"LM Hub_SP_Mogi Mirim")</f>
        <v>LM Hub_SP_Mogi Mirim</v>
      </c>
      <c r="C637" s="234" t="str">
        <f>IFERROR(__xludf.DUMMYFUNCTION("""COMPUTED_VALUE"""),"HUB-LSP-37")</f>
        <v>HUB-LSP-37</v>
      </c>
      <c r="D637" s="234">
        <f>IFERROR(__xludf.DUMMYFUNCTION("""COMPUTED_VALUE"""),44.0)</f>
        <v>44</v>
      </c>
      <c r="E637" s="237" t="str">
        <f>IFERROR(__xludf.DUMMYFUNCTION("""COMPUTED_VALUE"""),"LT0PBI01RV2I1")</f>
        <v>LT0PBI01RV2I1</v>
      </c>
      <c r="F637" s="238" t="str">
        <f>IFERROR(__xludf.DUMMYFUNCTION("""COMPUTED_VALUE"""),"TLE4D84")</f>
        <v>TLE4D84</v>
      </c>
      <c r="G637" s="238">
        <f>IFERROR(__xludf.DUMMYFUNCTION("""COMPUTED_VALUE"""),45979.14583333333)</f>
        <v>45979.14583</v>
      </c>
      <c r="H637" s="238">
        <f>IFERROR(__xludf.DUMMYFUNCTION("""COMPUTED_VALUE"""),45979.22916666667)</f>
        <v>45979.22917</v>
      </c>
      <c r="I637" s="237" t="str">
        <f t="shared" si="1"/>
        <v>Fora</v>
      </c>
      <c r="J637" s="239">
        <v>120.00000001396984</v>
      </c>
    </row>
    <row r="638">
      <c r="A638" s="234" t="s">
        <v>2332</v>
      </c>
      <c r="B638" s="234" t="str">
        <f>IFERROR(__xludf.DUMMYFUNCTION("""COMPUTED_VALUE"""),"LM Hub_SP_Osasco_02")</f>
        <v>LM Hub_SP_Osasco_02</v>
      </c>
      <c r="C638" s="234" t="str">
        <f>IFERROR(__xludf.DUMMYFUNCTION("""COMPUTED_VALUE"""),"HUB-LSP-60")</f>
        <v>HUB-LSP-60</v>
      </c>
      <c r="D638" s="234">
        <f>IFERROR(__xludf.DUMMYFUNCTION("""COMPUTED_VALUE"""),15.0)</f>
        <v>15</v>
      </c>
      <c r="E638" s="237" t="str">
        <f>IFERROR(__xludf.DUMMYFUNCTION("""COMPUTED_VALUE"""),"LT0PBI01RW2Y1")</f>
        <v>LT0PBI01RW2Y1</v>
      </c>
      <c r="F638" s="238" t="str">
        <f>IFERROR(__xludf.DUMMYFUNCTION("""COMPUTED_VALUE"""),"FEU6H63")</f>
        <v>FEU6H63</v>
      </c>
      <c r="G638" s="238">
        <f>IFERROR(__xludf.DUMMYFUNCTION("""COMPUTED_VALUE"""),45979.14583333333)</f>
        <v>45979.14583</v>
      </c>
      <c r="H638" s="238">
        <f>IFERROR(__xludf.DUMMYFUNCTION("""COMPUTED_VALUE"""),45979.22916666667)</f>
        <v>45979.22917</v>
      </c>
      <c r="I638" s="237" t="str">
        <f t="shared" si="1"/>
        <v>Fora</v>
      </c>
      <c r="J638" s="239">
        <v>120.00000001396984</v>
      </c>
    </row>
    <row r="639">
      <c r="A639" s="234" t="s">
        <v>2333</v>
      </c>
      <c r="B639" s="234" t="str">
        <f>IFERROR(__xludf.DUMMYFUNCTION("""COMPUTED_VALUE"""),"LM Hub_SP_Sorocaba_Região Norte")</f>
        <v>LM Hub_SP_Sorocaba_Região Norte</v>
      </c>
      <c r="C639" s="234" t="str">
        <f>IFERROR(__xludf.DUMMYFUNCTION("""COMPUTED_VALUE"""),"HUB-LSP-10")</f>
        <v>HUB-LSP-10</v>
      </c>
      <c r="D639" s="234">
        <f>IFERROR(__xludf.DUMMYFUNCTION("""COMPUTED_VALUE"""),16.0)</f>
        <v>16</v>
      </c>
      <c r="E639" s="237" t="str">
        <f>IFERROR(__xludf.DUMMYFUNCTION("""COMPUTED_VALUE"""),"LT0PBI01S3TA1")</f>
        <v>LT0PBI01S3TA1</v>
      </c>
      <c r="F639" s="238" t="str">
        <f>IFERROR(__xludf.DUMMYFUNCTION("""COMPUTED_VALUE"""),"EJW6G15,DBC5I22")</f>
        <v>EJW6G15,DBC5I22</v>
      </c>
      <c r="G639" s="238">
        <f>IFERROR(__xludf.DUMMYFUNCTION("""COMPUTED_VALUE"""),45979.14583333333)</f>
        <v>45979.14583</v>
      </c>
      <c r="H639" s="238">
        <f>IFERROR(__xludf.DUMMYFUNCTION("""COMPUTED_VALUE"""),45979.22916666667)</f>
        <v>45979.22917</v>
      </c>
      <c r="I639" s="237" t="str">
        <f t="shared" si="1"/>
        <v>Fora</v>
      </c>
      <c r="J639" s="239">
        <v>118.99999998975545</v>
      </c>
    </row>
    <row r="640">
      <c r="A640" s="234" t="s">
        <v>2334</v>
      </c>
      <c r="B640" s="234" t="str">
        <f>IFERROR(__xludf.DUMMYFUNCTION("""COMPUTED_VALUE"""),"SoC_GO_Goiânia_02")</f>
        <v>SoC_GO_Goiânia_02</v>
      </c>
      <c r="C640" s="234" t="str">
        <f>IFERROR(__xludf.DUMMYFUNCTION("""COMPUTED_VALUE"""),"SOC-GO2")</f>
        <v>SOC-GO2</v>
      </c>
      <c r="D640" s="234">
        <f>IFERROR(__xludf.DUMMYFUNCTION("""COMPUTED_VALUE"""),27.0)</f>
        <v>27</v>
      </c>
      <c r="E640" s="237" t="str">
        <f>IFERROR(__xludf.DUMMYFUNCTION("""COMPUTED_VALUE"""),"LT1PBI01S9F81")</f>
        <v>LT1PBI01S9F81</v>
      </c>
      <c r="F640" s="238" t="str">
        <f>IFERROR(__xludf.DUMMYFUNCTION("""COMPUTED_VALUE"""),"DVT6J21,TKN5G00")</f>
        <v>DVT6J21,TKN5G00</v>
      </c>
      <c r="G640" s="238">
        <f>IFERROR(__xludf.DUMMYFUNCTION("""COMPUTED_VALUE"""),45979.16666666667)</f>
        <v>45979.16667</v>
      </c>
      <c r="H640" s="238">
        <f>IFERROR(__xludf.DUMMYFUNCTION("""COMPUTED_VALUE"""),45979.24930555555)</f>
        <v>45979.24931</v>
      </c>
      <c r="I640" s="237" t="str">
        <f t="shared" si="1"/>
        <v>Fora</v>
      </c>
      <c r="J640" s="239">
        <v>299.00000000023283</v>
      </c>
    </row>
    <row r="641">
      <c r="A641" s="234" t="s">
        <v>2335</v>
      </c>
      <c r="B641" s="234" t="str">
        <f>IFERROR(__xludf.DUMMYFUNCTION("""COMPUTED_VALUE"""),"SoC_PE_Jaboatão dos Guararapes")</f>
        <v>SoC_PE_Jaboatão dos Guararapes</v>
      </c>
      <c r="C641" s="234" t="str">
        <f>IFERROR(__xludf.DUMMYFUNCTION("""COMPUTED_VALUE"""),"SOC-PE2")</f>
        <v>SOC-PE2</v>
      </c>
      <c r="D641" s="234"/>
      <c r="E641" s="237" t="str">
        <f>IFERROR(__xludf.DUMMYFUNCTION("""COMPUTED_VALUE"""),"LT0PBI01S0MG1")</f>
        <v>LT0PBI01S0MG1</v>
      </c>
      <c r="F641" s="238" t="str">
        <f>IFERROR(__xludf.DUMMYFUNCTION("""COMPUTED_VALUE"""),"QNF7F90")</f>
        <v>QNF7F90</v>
      </c>
      <c r="G641" s="238">
        <f>IFERROR(__xludf.DUMMYFUNCTION("""COMPUTED_VALUE"""),45979.04236111111)</f>
        <v>45979.04236</v>
      </c>
      <c r="H641" s="238">
        <f>IFERROR(__xludf.DUMMYFUNCTION("""COMPUTED_VALUE"""),45979.25)</f>
        <v>45979.25</v>
      </c>
      <c r="I641" s="237" t="str">
        <f t="shared" si="1"/>
        <v>Fora</v>
      </c>
      <c r="J641" s="239">
        <v>240.00000000698492</v>
      </c>
    </row>
    <row r="642">
      <c r="A642" s="234" t="s">
        <v>2336</v>
      </c>
      <c r="B642" s="234" t="str">
        <f>IFERROR(__xludf.DUMMYFUNCTION("""COMPUTED_VALUE"""),"SoC_SP_Cravinhos")</f>
        <v>SoC_SP_Cravinhos</v>
      </c>
      <c r="C642" s="234" t="str">
        <f>IFERROR(__xludf.DUMMYFUNCTION("""COMPUTED_VALUE"""),"SOC-SP5")</f>
        <v>SOC-SP5</v>
      </c>
      <c r="D642" s="234"/>
      <c r="E642" s="237" t="str">
        <f>IFERROR(__xludf.DUMMYFUNCTION("""COMPUTED_VALUE"""),"LT0PBI01RUWI1")</f>
        <v>LT0PBI01RUWI1</v>
      </c>
      <c r="F642" s="238" t="str">
        <f>IFERROR(__xludf.DUMMYFUNCTION("""COMPUTED_VALUE"""),"-")</f>
        <v>-</v>
      </c>
      <c r="G642" s="238">
        <f>IFERROR(__xludf.DUMMYFUNCTION("""COMPUTED_VALUE"""),45979.08333333333)</f>
        <v>45979.08333</v>
      </c>
      <c r="H642" s="238">
        <f>IFERROR(__xludf.DUMMYFUNCTION("""COMPUTED_VALUE"""),45979.25)</f>
        <v>45979.25</v>
      </c>
      <c r="I642" s="237" t="str">
        <f t="shared" si="1"/>
        <v>Fora</v>
      </c>
      <c r="J642" s="239">
        <v>119.99999999301508</v>
      </c>
    </row>
    <row r="643">
      <c r="A643" s="234" t="s">
        <v>2337</v>
      </c>
      <c r="B643" s="234" t="str">
        <f>IFERROR(__xludf.DUMMYFUNCTION("""COMPUTED_VALUE"""),"LM Hub_ES_Viana")</f>
        <v>LM Hub_ES_Viana</v>
      </c>
      <c r="C643" s="234" t="str">
        <f>IFERROR(__xludf.DUMMYFUNCTION("""COMPUTED_VALUE"""),"HUB-LES-09")</f>
        <v>HUB-LES-09</v>
      </c>
      <c r="D643" s="234">
        <f>IFERROR(__xludf.DUMMYFUNCTION("""COMPUTED_VALUE"""),17.0)</f>
        <v>17</v>
      </c>
      <c r="E643" s="237" t="str">
        <f>IFERROR(__xludf.DUMMYFUNCTION("""COMPUTED_VALUE"""),"LT0PBI01RZ2E1")</f>
        <v>LT0PBI01RZ2E1</v>
      </c>
      <c r="F643" s="238" t="str">
        <f>IFERROR(__xludf.DUMMYFUNCTION("""COMPUTED_VALUE"""),"CUT8J65")</f>
        <v>CUT8J65</v>
      </c>
      <c r="G643" s="238">
        <f>IFERROR(__xludf.DUMMYFUNCTION("""COMPUTED_VALUE"""),45979.16666666667)</f>
        <v>45979.16667</v>
      </c>
      <c r="H643" s="238">
        <f>IFERROR(__xludf.DUMMYFUNCTION("""COMPUTED_VALUE"""),45979.25)</f>
        <v>45979.25</v>
      </c>
      <c r="I643" s="237" t="str">
        <f t="shared" si="1"/>
        <v>Fora</v>
      </c>
      <c r="J643" s="239">
        <v>119.99999999301508</v>
      </c>
    </row>
    <row r="644">
      <c r="A644" s="234" t="s">
        <v>2338</v>
      </c>
      <c r="B644" s="234" t="str">
        <f>IFERROR(__xludf.DUMMYFUNCTION("""COMPUTED_VALUE"""),"LM Hub_SP_Guaratinguetá")</f>
        <v>LM Hub_SP_Guaratinguetá</v>
      </c>
      <c r="C644" s="234" t="str">
        <f>IFERROR(__xludf.DUMMYFUNCTION("""COMPUTED_VALUE"""),"HUB-LSP-33")</f>
        <v>HUB-LSP-33</v>
      </c>
      <c r="D644" s="234">
        <f>IFERROR(__xludf.DUMMYFUNCTION("""COMPUTED_VALUE"""),18.0)</f>
        <v>18</v>
      </c>
      <c r="E644" s="237" t="str">
        <f>IFERROR(__xludf.DUMMYFUNCTION("""COMPUTED_VALUE"""),"LT0PBI01RV0N1")</f>
        <v>LT0PBI01RV0N1</v>
      </c>
      <c r="F644" s="238" t="str">
        <f>IFERROR(__xludf.DUMMYFUNCTION("""COMPUTED_VALUE"""),"EKH3880")</f>
        <v>EKH3880</v>
      </c>
      <c r="G644" s="238">
        <f>IFERROR(__xludf.DUMMYFUNCTION("""COMPUTED_VALUE"""),45979.16666666667)</f>
        <v>45979.16667</v>
      </c>
      <c r="H644" s="238">
        <f>IFERROR(__xludf.DUMMYFUNCTION("""COMPUTED_VALUE"""),45979.25)</f>
        <v>45979.25</v>
      </c>
      <c r="I644" s="237" t="str">
        <f t="shared" si="1"/>
        <v>Fora</v>
      </c>
      <c r="J644" s="239">
        <v>119.99999999301508</v>
      </c>
    </row>
    <row r="645">
      <c r="A645" s="234" t="s">
        <v>2339</v>
      </c>
      <c r="B645" s="234" t="str">
        <f>IFERROR(__xludf.DUMMYFUNCTION("""COMPUTED_VALUE"""),"LM Hub_SP_Limeira_Campo Belo")</f>
        <v>LM Hub_SP_Limeira_Campo Belo</v>
      </c>
      <c r="C645" s="234" t="str">
        <f>IFERROR(__xludf.DUMMYFUNCTION("""COMPUTED_VALUE"""),"HUB-LSP-24")</f>
        <v>HUB-LSP-24</v>
      </c>
      <c r="D645" s="234">
        <f>IFERROR(__xludf.DUMMYFUNCTION("""COMPUTED_VALUE"""),19.0)</f>
        <v>19</v>
      </c>
      <c r="E645" s="237" t="str">
        <f>IFERROR(__xludf.DUMMYFUNCTION("""COMPUTED_VALUE"""),"LT0PBI01RV1K1")</f>
        <v>LT0PBI01RV1K1</v>
      </c>
      <c r="F645" s="238" t="str">
        <f>IFERROR(__xludf.DUMMYFUNCTION("""COMPUTED_VALUE"""),"UDI0A98")</f>
        <v>UDI0A98</v>
      </c>
      <c r="G645" s="238">
        <f>IFERROR(__xludf.DUMMYFUNCTION("""COMPUTED_VALUE"""),45979.16666666667)</f>
        <v>45979.16667</v>
      </c>
      <c r="H645" s="238">
        <f>IFERROR(__xludf.DUMMYFUNCTION("""COMPUTED_VALUE"""),45979.25)</f>
        <v>45979.25</v>
      </c>
      <c r="I645" s="237" t="str">
        <f t="shared" si="1"/>
        <v>Fora</v>
      </c>
      <c r="J645" s="239">
        <v>119.99999999301508</v>
      </c>
    </row>
    <row r="646">
      <c r="A646" s="234" t="s">
        <v>2340</v>
      </c>
      <c r="B646" s="234" t="str">
        <f>IFERROR(__xludf.DUMMYFUNCTION("""COMPUTED_VALUE"""),"LM Hub_SP_Várzea Paulista")</f>
        <v>LM Hub_SP_Várzea Paulista</v>
      </c>
      <c r="C646" s="234" t="str">
        <f>IFERROR(__xludf.DUMMYFUNCTION("""COMPUTED_VALUE"""),"HUB-LSP-61")</f>
        <v>HUB-LSP-61</v>
      </c>
      <c r="D646" s="234">
        <f>IFERROR(__xludf.DUMMYFUNCTION("""COMPUTED_VALUE"""),45.0)</f>
        <v>45</v>
      </c>
      <c r="E646" s="237" t="str">
        <f>IFERROR(__xludf.DUMMYFUNCTION("""COMPUTED_VALUE"""),"LT0PBI01RV1U1")</f>
        <v>LT0PBI01RV1U1</v>
      </c>
      <c r="F646" s="238" t="str">
        <f>IFERROR(__xludf.DUMMYFUNCTION("""COMPUTED_VALUE"""),"HNQ8267")</f>
        <v>HNQ8267</v>
      </c>
      <c r="G646" s="238">
        <f>IFERROR(__xludf.DUMMYFUNCTION("""COMPUTED_VALUE"""),45979.16666666667)</f>
        <v>45979.16667</v>
      </c>
      <c r="H646" s="238">
        <f>IFERROR(__xludf.DUMMYFUNCTION("""COMPUTED_VALUE"""),45979.25)</f>
        <v>45979.25</v>
      </c>
      <c r="I646" s="237" t="str">
        <f t="shared" si="1"/>
        <v>Fora</v>
      </c>
      <c r="J646" s="239">
        <v>119.99999999301508</v>
      </c>
    </row>
    <row r="647">
      <c r="A647" s="234" t="s">
        <v>2341</v>
      </c>
      <c r="B647" s="234" t="str">
        <f>IFERROR(__xludf.DUMMYFUNCTION("""COMPUTED_VALUE"""),"SoC_SC_Itajaí")</f>
        <v>SoC_SC_Itajaí</v>
      </c>
      <c r="C647" s="234" t="str">
        <f>IFERROR(__xludf.DUMMYFUNCTION("""COMPUTED_VALUE"""),"SOC-SC1")</f>
        <v>SOC-SC1</v>
      </c>
      <c r="D647" s="234"/>
      <c r="E647" s="237" t="str">
        <f>IFERROR(__xludf.DUMMYFUNCTION("""COMPUTED_VALUE"""),"LT1PBI01S9F61")</f>
        <v>LT1PBI01S9F61</v>
      </c>
      <c r="F647" s="238" t="str">
        <f>IFERROR(__xludf.DUMMYFUNCTION("""COMPUTED_VALUE"""),"RXR7H65,FNZ8174")</f>
        <v>RXR7H65,FNZ8174</v>
      </c>
      <c r="G647" s="238">
        <f>IFERROR(__xludf.DUMMYFUNCTION("""COMPUTED_VALUE"""),45979.16666666667)</f>
        <v>45979.16667</v>
      </c>
      <c r="H647" s="238">
        <f>IFERROR(__xludf.DUMMYFUNCTION("""COMPUTED_VALUE"""),45979.25)</f>
        <v>45979.25</v>
      </c>
      <c r="I647" s="237" t="str">
        <f t="shared" si="1"/>
        <v>Fora</v>
      </c>
      <c r="J647" s="239">
        <v>119.99999999301508</v>
      </c>
    </row>
    <row r="648">
      <c r="A648" s="234" t="s">
        <v>2342</v>
      </c>
      <c r="B648" s="234" t="str">
        <f>IFERROR(__xludf.DUMMYFUNCTION("""COMPUTED_VALUE"""),"LM Hub_SP_Atibaia_Ponte_Alta")</f>
        <v>LM Hub_SP_Atibaia_Ponte_Alta</v>
      </c>
      <c r="C648" s="234" t="str">
        <f>IFERROR(__xludf.DUMMYFUNCTION("""COMPUTED_VALUE"""),"HUB-LSP-87")</f>
        <v>HUB-LSP-87</v>
      </c>
      <c r="D648" s="234"/>
      <c r="E648" s="237" t="str">
        <f>IFERROR(__xludf.DUMMYFUNCTION("""COMPUTED_VALUE"""),"LT0PBI01RYWX1")</f>
        <v>LT0PBI01RYWX1</v>
      </c>
      <c r="F648" s="238" t="str">
        <f>IFERROR(__xludf.DUMMYFUNCTION("""COMPUTED_VALUE"""),"TBX6B96")</f>
        <v>TBX6B96</v>
      </c>
      <c r="G648" s="238">
        <f>IFERROR(__xludf.DUMMYFUNCTION("""COMPUTED_VALUE"""),45979.1875)</f>
        <v>45979.1875</v>
      </c>
      <c r="H648" s="238">
        <f>IFERROR(__xludf.DUMMYFUNCTION("""COMPUTED_VALUE"""),45979.27083333333)</f>
        <v>45979.27083</v>
      </c>
      <c r="I648" s="237" t="str">
        <f t="shared" si="1"/>
        <v>Fora</v>
      </c>
      <c r="J648" s="239">
        <v>119.99999999301508</v>
      </c>
    </row>
    <row r="649">
      <c r="A649" s="234" t="s">
        <v>2343</v>
      </c>
      <c r="B649" s="234" t="str">
        <f>IFERROR(__xludf.DUMMYFUNCTION("""COMPUTED_VALUE"""),"LM Hub_SP_Embu das Artes")</f>
        <v>LM Hub_SP_Embu das Artes</v>
      </c>
      <c r="C649" s="234" t="str">
        <f>IFERROR(__xludf.DUMMYFUNCTION("""COMPUTED_VALUE"""),"HUB-LSP-36")</f>
        <v>HUB-LSP-36</v>
      </c>
      <c r="D649" s="234">
        <f>IFERROR(__xludf.DUMMYFUNCTION("""COMPUTED_VALUE"""),14.0)</f>
        <v>14</v>
      </c>
      <c r="E649" s="237" t="str">
        <f>IFERROR(__xludf.DUMMYFUNCTION("""COMPUTED_VALUE"""),"LT0PBI01RW471")</f>
        <v>LT0PBI01RW471</v>
      </c>
      <c r="F649" s="238" t="str">
        <f>IFERROR(__xludf.DUMMYFUNCTION("""COMPUTED_VALUE"""),"BVT4B34")</f>
        <v>BVT4B34</v>
      </c>
      <c r="G649" s="238">
        <f>IFERROR(__xludf.DUMMYFUNCTION("""COMPUTED_VALUE"""),45979.1875)</f>
        <v>45979.1875</v>
      </c>
      <c r="H649" s="238">
        <f>IFERROR(__xludf.DUMMYFUNCTION("""COMPUTED_VALUE"""),45979.27083333333)</f>
        <v>45979.27083</v>
      </c>
      <c r="I649" s="237" t="str">
        <f t="shared" si="1"/>
        <v>Fora</v>
      </c>
      <c r="J649" s="239">
        <v>119.99999999301508</v>
      </c>
    </row>
    <row r="650">
      <c r="A650" s="234" t="s">
        <v>2344</v>
      </c>
      <c r="B650" s="234" t="str">
        <f>IFERROR(__xludf.DUMMYFUNCTION("""COMPUTED_VALUE"""),"LM Hub_SP_Taubaté")</f>
        <v>LM Hub_SP_Taubaté</v>
      </c>
      <c r="C650" s="234" t="str">
        <f>IFERROR(__xludf.DUMMYFUNCTION("""COMPUTED_VALUE"""),"HUB-LSP-08")</f>
        <v>HUB-LSP-08</v>
      </c>
      <c r="D650" s="234"/>
      <c r="E650" s="237" t="str">
        <f>IFERROR(__xludf.DUMMYFUNCTION("""COMPUTED_VALUE"""),"LT0PBI01RV0X1")</f>
        <v>LT0PBI01RV0X1</v>
      </c>
      <c r="F650" s="238" t="str">
        <f>IFERROR(__xludf.DUMMYFUNCTION("""COMPUTED_VALUE"""),"ECT4I26")</f>
        <v>ECT4I26</v>
      </c>
      <c r="G650" s="238">
        <f>IFERROR(__xludf.DUMMYFUNCTION("""COMPUTED_VALUE"""),45979.1875)</f>
        <v>45979.1875</v>
      </c>
      <c r="H650" s="238">
        <f>IFERROR(__xludf.DUMMYFUNCTION("""COMPUTED_VALUE"""),45979.27083333333)</f>
        <v>45979.27083</v>
      </c>
      <c r="I650" s="237" t="str">
        <f t="shared" si="1"/>
        <v>Fora</v>
      </c>
      <c r="J650" s="239">
        <v>120.00000001396984</v>
      </c>
    </row>
    <row r="651">
      <c r="A651" s="234" t="s">
        <v>2345</v>
      </c>
      <c r="B651" s="234" t="str">
        <f>IFERROR(__xludf.DUMMYFUNCTION("""COMPUTED_VALUE"""),"LM Hub_SP_Barueri_01")</f>
        <v>LM Hub_SP_Barueri_01</v>
      </c>
      <c r="C651" s="234" t="str">
        <f>IFERROR(__xludf.DUMMYFUNCTION("""COMPUTED_VALUE"""),"HUB-LSP-81")</f>
        <v>HUB-LSP-81</v>
      </c>
      <c r="D651" s="234"/>
      <c r="E651" s="237" t="str">
        <f>IFERROR(__xludf.DUMMYFUNCTION("""COMPUTED_VALUE"""),"LT0PBI01S0DY1")</f>
        <v>LT0PBI01S0DY1</v>
      </c>
      <c r="F651" s="238" t="str">
        <f>IFERROR(__xludf.DUMMYFUNCTION("""COMPUTED_VALUE"""),"DTB2H63")</f>
        <v>DTB2H63</v>
      </c>
      <c r="G651" s="238">
        <f>IFERROR(__xludf.DUMMYFUNCTION("""COMPUTED_VALUE"""),45979.20833333333)</f>
        <v>45979.20833</v>
      </c>
      <c r="H651" s="238">
        <f>IFERROR(__xludf.DUMMYFUNCTION("""COMPUTED_VALUE"""),45979.29166666667)</f>
        <v>45979.29167</v>
      </c>
      <c r="I651" s="237" t="str">
        <f t="shared" si="1"/>
        <v>Fora</v>
      </c>
      <c r="J651" s="239">
        <v>120.00000001396984</v>
      </c>
    </row>
    <row r="652">
      <c r="A652" s="234" t="s">
        <v>2346</v>
      </c>
      <c r="B652" s="234" t="str">
        <f>IFERROR(__xludf.DUMMYFUNCTION("""COMPUTED_VALUE"""),"LM Hub_SP_Jurubatuba")</f>
        <v>LM Hub_SP_Jurubatuba</v>
      </c>
      <c r="C652" s="234" t="str">
        <f>IFERROR(__xludf.DUMMYFUNCTION("""COMPUTED_VALUE"""),"HUB-LSP-16")</f>
        <v>HUB-LSP-16</v>
      </c>
      <c r="D652" s="234"/>
      <c r="E652" s="237" t="str">
        <f>IFERROR(__xludf.DUMMYFUNCTION("""COMPUTED_VALUE"""),"LT0PBI01RW2S1")</f>
        <v>LT0PBI01RW2S1</v>
      </c>
      <c r="F652" s="238" t="str">
        <f>IFERROR(__xludf.DUMMYFUNCTION("""COMPUTED_VALUE"""),"JYA9C60,CUG9G47")</f>
        <v>JYA9C60,CUG9G47</v>
      </c>
      <c r="G652" s="238">
        <f>IFERROR(__xludf.DUMMYFUNCTION("""COMPUTED_VALUE"""),45979.20833333333)</f>
        <v>45979.20833</v>
      </c>
      <c r="H652" s="238">
        <f>IFERROR(__xludf.DUMMYFUNCTION("""COMPUTED_VALUE"""),45979.29166666667)</f>
        <v>45979.29167</v>
      </c>
      <c r="I652" s="237" t="str">
        <f t="shared" si="1"/>
        <v>Fora</v>
      </c>
      <c r="J652" s="239">
        <v>120.00000001396984</v>
      </c>
    </row>
    <row r="653">
      <c r="A653" s="234" t="s">
        <v>2347</v>
      </c>
      <c r="B653" s="234" t="str">
        <f>IFERROR(__xludf.DUMMYFUNCTION("""COMPUTED_VALUE"""),"LM Hub_SP_Piracicaba")</f>
        <v>LM Hub_SP_Piracicaba</v>
      </c>
      <c r="C653" s="234" t="str">
        <f>IFERROR(__xludf.DUMMYFUNCTION("""COMPUTED_VALUE"""),"HUB-LSP-62")</f>
        <v>HUB-LSP-62</v>
      </c>
      <c r="D653" s="234"/>
      <c r="E653" s="237" t="str">
        <f>IFERROR(__xludf.DUMMYFUNCTION("""COMPUTED_VALUE"""),"LT0PBI01RVNM1")</f>
        <v>LT0PBI01RVNM1</v>
      </c>
      <c r="F653" s="238" t="str">
        <f>IFERROR(__xludf.DUMMYFUNCTION("""COMPUTED_VALUE"""),"EOF4D32")</f>
        <v>EOF4D32</v>
      </c>
      <c r="G653" s="238">
        <f>IFERROR(__xludf.DUMMYFUNCTION("""COMPUTED_VALUE"""),45979.20833333333)</f>
        <v>45979.20833</v>
      </c>
      <c r="H653" s="238">
        <f>IFERROR(__xludf.DUMMYFUNCTION("""COMPUTED_VALUE"""),45979.29166666667)</f>
        <v>45979.29167</v>
      </c>
      <c r="I653" s="237" t="str">
        <f t="shared" si="1"/>
        <v>Fora</v>
      </c>
      <c r="J653" s="239">
        <v>120.00000001396984</v>
      </c>
    </row>
    <row r="654">
      <c r="A654" s="234" t="s">
        <v>2348</v>
      </c>
      <c r="B654" s="234" t="str">
        <f>IFERROR(__xludf.DUMMYFUNCTION("""COMPUTED_VALUE"""),"LM Hub_SP_Santos_PraiaGrande_02")</f>
        <v>LM Hub_SP_Santos_PraiaGrande_02</v>
      </c>
      <c r="C654" s="234" t="str">
        <f>IFERROR(__xludf.DUMMYFUNCTION("""COMPUTED_VALUE"""),"HUB-LSP-63")</f>
        <v>HUB-LSP-63</v>
      </c>
      <c r="D654" s="234"/>
      <c r="E654" s="237" t="str">
        <f>IFERROR(__xludf.DUMMYFUNCTION("""COMPUTED_VALUE"""),"LT0PBI01RW421")</f>
        <v>LT0PBI01RW421</v>
      </c>
      <c r="F654" s="238" t="str">
        <f>IFERROR(__xludf.DUMMYFUNCTION("""COMPUTED_VALUE"""),"GKE3632,TKZ2A07")</f>
        <v>GKE3632,TKZ2A07</v>
      </c>
      <c r="G654" s="238">
        <f>IFERROR(__xludf.DUMMYFUNCTION("""COMPUTED_VALUE"""),45979.20833333333)</f>
        <v>45979.20833</v>
      </c>
      <c r="H654" s="238">
        <f>IFERROR(__xludf.DUMMYFUNCTION("""COMPUTED_VALUE"""),45979.29166666667)</f>
        <v>45979.29167</v>
      </c>
      <c r="I654" s="237" t="str">
        <f t="shared" si="1"/>
        <v>Fora</v>
      </c>
      <c r="J654" s="239">
        <v>239.99999998603016</v>
      </c>
    </row>
    <row r="655">
      <c r="A655" s="234" t="s">
        <v>2349</v>
      </c>
      <c r="B655" s="234" t="str">
        <f>IFERROR(__xludf.DUMMYFUNCTION("""COMPUTED_VALUE"""),"SoC_RJ_Duque de Caxias")</f>
        <v>SoC_RJ_Duque de Caxias</v>
      </c>
      <c r="C655" s="234" t="str">
        <f>IFERROR(__xludf.DUMMYFUNCTION("""COMPUTED_VALUE"""),"SOC-RJ2")</f>
        <v>SOC-RJ2</v>
      </c>
      <c r="D655" s="234">
        <f>IFERROR(__xludf.DUMMYFUNCTION("""COMPUTED_VALUE"""),8.0)</f>
        <v>8</v>
      </c>
      <c r="E655" s="237" t="str">
        <f>IFERROR(__xludf.DUMMYFUNCTION("""COMPUTED_VALUE"""),"LT0PBI01RX6W1")</f>
        <v>LT0PBI01RX6W1</v>
      </c>
      <c r="F655" s="238" t="str">
        <f>IFERROR(__xludf.DUMMYFUNCTION("""COMPUTED_VALUE"""),"ELQ8395,EFV7665")</f>
        <v>ELQ8395,EFV7665</v>
      </c>
      <c r="G655" s="238">
        <f>IFERROR(__xludf.DUMMYFUNCTION("""COMPUTED_VALUE"""),45979.22916666667)</f>
        <v>45979.22917</v>
      </c>
      <c r="H655" s="238">
        <f>IFERROR(__xludf.DUMMYFUNCTION("""COMPUTED_VALUE"""),45979.39583333333)</f>
        <v>45979.39583</v>
      </c>
      <c r="I655" s="237" t="str">
        <f t="shared" si="1"/>
        <v>Fora</v>
      </c>
      <c r="J655" s="239">
        <v>0.0</v>
      </c>
    </row>
    <row r="656">
      <c r="A656" s="234" t="s">
        <v>2350</v>
      </c>
      <c r="B656" s="234" t="str">
        <f>IFERROR(__xludf.DUMMYFUNCTION("""COMPUTED_VALUE"""),"-")</f>
        <v>-</v>
      </c>
      <c r="C656" s="234" t="str">
        <f>IFERROR(__xludf.DUMMYFUNCTION("""COMPUTED_VALUE"""),"-")</f>
        <v>-</v>
      </c>
      <c r="D656" s="234"/>
      <c r="E656" s="237" t="str">
        <f>IFERROR(__xludf.DUMMYFUNCTION("""COMPUTED_VALUE"""),"LT0PBH01RVNG1")</f>
        <v>LT0PBH01RVNG1</v>
      </c>
      <c r="F656" s="238" t="str">
        <f>IFERROR(__xludf.DUMMYFUNCTION("""COMPUTED_VALUE"""),"-")</f>
        <v>-</v>
      </c>
      <c r="G656" s="234"/>
      <c r="H656" s="234"/>
      <c r="I656" s="237" t="str">
        <f t="shared" si="1"/>
        <v>Dentro</v>
      </c>
      <c r="J656" s="239">
        <v>0.0</v>
      </c>
    </row>
    <row r="657">
      <c r="A657" s="234" t="s">
        <v>2351</v>
      </c>
      <c r="B657" s="234" t="str">
        <f>IFERROR(__xludf.DUMMYFUNCTION("""COMPUTED_VALUE"""),"-")</f>
        <v>-</v>
      </c>
      <c r="C657" s="234" t="str">
        <f>IFERROR(__xludf.DUMMYFUNCTION("""COMPUTED_VALUE"""),"-")</f>
        <v>-</v>
      </c>
      <c r="D657" s="234"/>
      <c r="E657" s="237" t="str">
        <f>IFERROR(__xludf.DUMMYFUNCTION("""COMPUTED_VALUE"""),"LT1PBI01S9TK1")</f>
        <v>LT1PBI01S9TK1</v>
      </c>
      <c r="F657" s="238" t="str">
        <f>IFERROR(__xludf.DUMMYFUNCTION("""COMPUTED_VALUE"""),"-")</f>
        <v>-</v>
      </c>
      <c r="G657" s="234"/>
      <c r="H657" s="234"/>
      <c r="I657" s="237" t="str">
        <f t="shared" si="1"/>
        <v>Dentro</v>
      </c>
      <c r="J657" s="239">
        <v>59.99999998603016</v>
      </c>
    </row>
    <row r="658">
      <c r="A658" s="234" t="s">
        <v>2352</v>
      </c>
      <c r="B658" s="234" t="str">
        <f>IFERROR(__xludf.DUMMYFUNCTION("""COMPUTED_VALUE"""),"LM Hub_SP_Taubaté")</f>
        <v>LM Hub_SP_Taubaté</v>
      </c>
      <c r="C658" s="234" t="str">
        <f>IFERROR(__xludf.DUMMYFUNCTION("""COMPUTED_VALUE"""),"HUB-LSP-08")</f>
        <v>HUB-LSP-08</v>
      </c>
      <c r="D658" s="234"/>
      <c r="E658" s="237" t="str">
        <f>IFERROR(__xludf.DUMMYFUNCTION("""COMPUTED_VALUE"""),"LT1PBI01S9TJ1")</f>
        <v>LT1PBI01S9TJ1</v>
      </c>
      <c r="F658" s="238" t="str">
        <f>IFERROR(__xludf.DUMMYFUNCTION("""COMPUTED_VALUE"""),"RYF4F07")</f>
        <v>RYF4F07</v>
      </c>
      <c r="G658" s="238">
        <f>IFERROR(__xludf.DUMMYFUNCTION("""COMPUTED_VALUE"""),45979.91666666667)</f>
        <v>45979.91667</v>
      </c>
      <c r="H658" s="238">
        <f>IFERROR(__xludf.DUMMYFUNCTION("""COMPUTED_VALUE"""),45979.95833333333)</f>
        <v>45979.95833</v>
      </c>
      <c r="I658" s="237" t="str">
        <f t="shared" si="1"/>
        <v>Fora</v>
      </c>
      <c r="J658" s="239">
        <v>120.00000001396984</v>
      </c>
    </row>
    <row r="659">
      <c r="A659" s="234" t="s">
        <v>2353</v>
      </c>
      <c r="B659" s="234" t="str">
        <f>IFERROR(__xludf.DUMMYFUNCTION("""COMPUTED_VALUE"""),"LM Hub_SP_Jurubatuba")</f>
        <v>LM Hub_SP_Jurubatuba</v>
      </c>
      <c r="C659" s="234" t="str">
        <f>IFERROR(__xludf.DUMMYFUNCTION("""COMPUTED_VALUE"""),"HUB-LSP-16")</f>
        <v>HUB-LSP-16</v>
      </c>
      <c r="D659" s="234">
        <f>IFERROR(__xludf.DUMMYFUNCTION("""COMPUTED_VALUE"""),26.0)</f>
        <v>26</v>
      </c>
      <c r="E659" s="237" t="str">
        <f>IFERROR(__xludf.DUMMYFUNCTION("""COMPUTED_VALUE"""),"LT0PBI01RUYK1")</f>
        <v>LT0PBI01RUYK1</v>
      </c>
      <c r="F659" s="238" t="str">
        <f>IFERROR(__xludf.DUMMYFUNCTION("""COMPUTED_VALUE"""),"CUA7C61,FPW0F14")</f>
        <v>CUA7C61,FPW0F14</v>
      </c>
      <c r="G659" s="238">
        <f>IFERROR(__xludf.DUMMYFUNCTION("""COMPUTED_VALUE"""),45979.89583333333)</f>
        <v>45979.89583</v>
      </c>
      <c r="H659" s="238">
        <f>IFERROR(__xludf.DUMMYFUNCTION("""COMPUTED_VALUE"""),45979.97916666667)</f>
        <v>45979.97917</v>
      </c>
      <c r="I659" s="237" t="str">
        <f t="shared" si="1"/>
        <v>Fora</v>
      </c>
      <c r="J659" s="239">
        <v>120.00000001396984</v>
      </c>
    </row>
    <row r="660">
      <c r="A660" s="234" t="s">
        <v>2354</v>
      </c>
      <c r="B660" s="234" t="str">
        <f>IFERROR(__xludf.DUMMYFUNCTION("""COMPUTED_VALUE"""),"LM Hub_SP_Mogi das Cruzes_Jund")</f>
        <v>LM Hub_SP_Mogi das Cruzes_Jund</v>
      </c>
      <c r="C660" s="234" t="str">
        <f>IFERROR(__xludf.DUMMYFUNCTION("""COMPUTED_VALUE"""),"HUB-LSP-78")</f>
        <v>HUB-LSP-78</v>
      </c>
      <c r="D660" s="234">
        <f>IFERROR(__xludf.DUMMYFUNCTION("""COMPUTED_VALUE"""),7.0)</f>
        <v>7</v>
      </c>
      <c r="E660" s="237" t="str">
        <f>IFERROR(__xludf.DUMMYFUNCTION("""COMPUTED_VALUE"""),"LT0PBI01RXXS1")</f>
        <v>LT0PBI01RXXS1</v>
      </c>
      <c r="F660" s="238" t="str">
        <f>IFERROR(__xludf.DUMMYFUNCTION("""COMPUTED_VALUE"""),"IUE5F82,IPT7872")</f>
        <v>IUE5F82,IPT7872</v>
      </c>
      <c r="G660" s="238">
        <f>IFERROR(__xludf.DUMMYFUNCTION("""COMPUTED_VALUE"""),45979.89583333333)</f>
        <v>45979.89583</v>
      </c>
      <c r="H660" s="238">
        <f>IFERROR(__xludf.DUMMYFUNCTION("""COMPUTED_VALUE"""),45979.97916666667)</f>
        <v>45979.97917</v>
      </c>
      <c r="I660" s="237" t="str">
        <f t="shared" si="1"/>
        <v>Fora</v>
      </c>
      <c r="J660" s="239">
        <v>120.00000001396984</v>
      </c>
    </row>
    <row r="661">
      <c r="A661" s="234" t="s">
        <v>2355</v>
      </c>
      <c r="B661" s="234" t="str">
        <f>IFERROR(__xludf.DUMMYFUNCTION("""COMPUTED_VALUE"""),"LM Hub_SP_Santos_Praia Grande")</f>
        <v>LM Hub_SP_Santos_Praia Grande</v>
      </c>
      <c r="C661" s="234" t="str">
        <f>IFERROR(__xludf.DUMMYFUNCTION("""COMPUTED_VALUE"""),"HUB-LSP-09")</f>
        <v>HUB-LSP-09</v>
      </c>
      <c r="D661" s="234">
        <f>IFERROR(__xludf.DUMMYFUNCTION("""COMPUTED_VALUE"""),13.0)</f>
        <v>13</v>
      </c>
      <c r="E661" s="237" t="str">
        <f>IFERROR(__xludf.DUMMYFUNCTION("""COMPUTED_VALUE"""),"LT0PBI01RV191")</f>
        <v>LT0PBI01RV191</v>
      </c>
      <c r="F661" s="238" t="str">
        <f>IFERROR(__xludf.DUMMYFUNCTION("""COMPUTED_VALUE"""),"GIT9H24")</f>
        <v>GIT9H24</v>
      </c>
      <c r="G661" s="238">
        <f>IFERROR(__xludf.DUMMYFUNCTION("""COMPUTED_VALUE"""),45979.89583333333)</f>
        <v>45979.89583</v>
      </c>
      <c r="H661" s="238">
        <f>IFERROR(__xludf.DUMMYFUNCTION("""COMPUTED_VALUE"""),45979.97916666667)</f>
        <v>45979.97917</v>
      </c>
      <c r="I661" s="237" t="str">
        <f t="shared" si="1"/>
        <v>Fora</v>
      </c>
      <c r="J661" s="239">
        <v>120.00000001396984</v>
      </c>
    </row>
    <row r="662">
      <c r="A662" s="234" t="s">
        <v>2356</v>
      </c>
      <c r="B662" s="234" t="str">
        <f>IFERROR(__xludf.DUMMYFUNCTION("""COMPUTED_VALUE"""),"LM Hub_SP_Zimba")</f>
        <v>LM Hub_SP_Zimba</v>
      </c>
      <c r="C662" s="234" t="str">
        <f>IFERROR(__xludf.DUMMYFUNCTION("""COMPUTED_VALUE"""),"HUB-LSP-74")</f>
        <v>HUB-LSP-74</v>
      </c>
      <c r="D662" s="234">
        <f>IFERROR(__xludf.DUMMYFUNCTION("""COMPUTED_VALUE"""),36.0)</f>
        <v>36</v>
      </c>
      <c r="E662" s="237" t="str">
        <f>IFERROR(__xludf.DUMMYFUNCTION("""COMPUTED_VALUE"""),"LT0PBI01RUZC1")</f>
        <v>LT0PBI01RUZC1</v>
      </c>
      <c r="F662" s="238" t="str">
        <f>IFERROR(__xludf.DUMMYFUNCTION("""COMPUTED_VALUE"""),"SUQ5C99")</f>
        <v>SUQ5C99</v>
      </c>
      <c r="G662" s="238">
        <f>IFERROR(__xludf.DUMMYFUNCTION("""COMPUTED_VALUE"""),45979.89583333333)</f>
        <v>45979.89583</v>
      </c>
      <c r="H662" s="238">
        <f>IFERROR(__xludf.DUMMYFUNCTION("""COMPUTED_VALUE"""),45979.97916666667)</f>
        <v>45979.97917</v>
      </c>
      <c r="I662" s="237" t="str">
        <f t="shared" si="1"/>
        <v>Fora</v>
      </c>
      <c r="J662" s="239">
        <v>119.00000001071021</v>
      </c>
    </row>
    <row r="663">
      <c r="A663" s="234" t="s">
        <v>2357</v>
      </c>
      <c r="B663" s="234" t="str">
        <f>IFERROR(__xludf.DUMMYFUNCTION("""COMPUTED_VALUE"""),"LM Hub_SP_São José dos Campos")</f>
        <v>LM Hub_SP_São José dos Campos</v>
      </c>
      <c r="C663" s="234" t="str">
        <f>IFERROR(__xludf.DUMMYFUNCTION("""COMPUTED_VALUE"""),"HUB-LSP-04")</f>
        <v>HUB-LSP-04</v>
      </c>
      <c r="D663" s="234">
        <f>IFERROR(__xludf.DUMMYFUNCTION("""COMPUTED_VALUE"""),28.0)</f>
        <v>28</v>
      </c>
      <c r="E663" s="237" t="str">
        <f>IFERROR(__xludf.DUMMYFUNCTION("""COMPUTED_VALUE"""),"LT0PBI01S3TG1")</f>
        <v>LT0PBI01S3TG1</v>
      </c>
      <c r="F663" s="238" t="str">
        <f>IFERROR(__xludf.DUMMYFUNCTION("""COMPUTED_VALUE"""),"TIR7J78")</f>
        <v>TIR7J78</v>
      </c>
      <c r="G663" s="238">
        <f>IFERROR(__xludf.DUMMYFUNCTION("""COMPUTED_VALUE"""),45979.896527777775)</f>
        <v>45979.89653</v>
      </c>
      <c r="H663" s="238">
        <f>IFERROR(__xludf.DUMMYFUNCTION("""COMPUTED_VALUE"""),45979.97916666667)</f>
        <v>45979.97917</v>
      </c>
      <c r="I663" s="237" t="str">
        <f t="shared" si="1"/>
        <v>Fora</v>
      </c>
      <c r="J663" s="239">
        <v>119.00000001071021</v>
      </c>
    </row>
    <row r="664">
      <c r="A664" s="234" t="s">
        <v>2358</v>
      </c>
      <c r="B664" s="234" t="str">
        <f>IFERROR(__xludf.DUMMYFUNCTION("""COMPUTED_VALUE"""),"LM Hub_SP_São Paulo_Lapa")</f>
        <v>LM Hub_SP_São Paulo_Lapa</v>
      </c>
      <c r="C664" s="234" t="str">
        <f>IFERROR(__xludf.DUMMYFUNCTION("""COMPUTED_VALUE"""),"HUB-LSP-15")</f>
        <v>HUB-LSP-15</v>
      </c>
      <c r="D664" s="234">
        <f>IFERROR(__xludf.DUMMYFUNCTION("""COMPUTED_VALUE"""),27.0)</f>
        <v>27</v>
      </c>
      <c r="E664" s="237" t="str">
        <f>IFERROR(__xludf.DUMMYFUNCTION("""COMPUTED_VALUE"""),"LT0PBI01RUYF1")</f>
        <v>LT0PBI01RUYF1</v>
      </c>
      <c r="F664" s="238" t="str">
        <f>IFERROR(__xludf.DUMMYFUNCTION("""COMPUTED_VALUE"""),"GBE0G47")</f>
        <v>GBE0G47</v>
      </c>
      <c r="G664" s="238">
        <f>IFERROR(__xludf.DUMMYFUNCTION("""COMPUTED_VALUE"""),45979.896527777775)</f>
        <v>45979.89653</v>
      </c>
      <c r="H664" s="238">
        <f>IFERROR(__xludf.DUMMYFUNCTION("""COMPUTED_VALUE"""),45979.97916666667)</f>
        <v>45979.97917</v>
      </c>
      <c r="I664" s="237" t="str">
        <f t="shared" si="1"/>
        <v>Fora</v>
      </c>
      <c r="J664" s="239">
        <v>118.99999998975545</v>
      </c>
    </row>
    <row r="665">
      <c r="A665" s="234" t="s">
        <v>2359</v>
      </c>
      <c r="B665" s="234" t="str">
        <f>IFERROR(__xludf.DUMMYFUNCTION("""COMPUTED_VALUE"""),"LM Hub_SP_Guarujá")</f>
        <v>LM Hub_SP_Guarujá</v>
      </c>
      <c r="C665" s="234" t="str">
        <f>IFERROR(__xludf.DUMMYFUNCTION("""COMPUTED_VALUE"""),"HUB-LSP-06")</f>
        <v>HUB-LSP-06</v>
      </c>
      <c r="D665" s="234">
        <f>IFERROR(__xludf.DUMMYFUNCTION("""COMPUTED_VALUE"""),20.0)</f>
        <v>20</v>
      </c>
      <c r="E665" s="237" t="str">
        <f>IFERROR(__xludf.DUMMYFUNCTION("""COMPUTED_VALUE"""),"LT0PBI01RV071")</f>
        <v>LT0PBI01RV071</v>
      </c>
      <c r="F665" s="238" t="str">
        <f>IFERROR(__xludf.DUMMYFUNCTION("""COMPUTED_VALUE"""),"TJN5H17")</f>
        <v>TJN5H17</v>
      </c>
      <c r="G665" s="238">
        <f>IFERROR(__xludf.DUMMYFUNCTION("""COMPUTED_VALUE"""),45979.91666666667)</f>
        <v>45979.91667</v>
      </c>
      <c r="H665" s="238">
        <f>IFERROR(__xludf.DUMMYFUNCTION("""COMPUTED_VALUE"""),45979.99930555555)</f>
        <v>45979.99931</v>
      </c>
      <c r="I665" s="237" t="str">
        <f t="shared" si="1"/>
        <v>Fora</v>
      </c>
      <c r="J665" s="239">
        <v>120.00000000349246</v>
      </c>
    </row>
    <row r="666">
      <c r="A666" s="234" t="s">
        <v>2360</v>
      </c>
      <c r="B666" s="234" t="str">
        <f>IFERROR(__xludf.DUMMYFUNCTION("""COMPUTED_VALUE"""),"SoC_RJ_Duque de Caxias")</f>
        <v>SoC_RJ_Duque de Caxias</v>
      </c>
      <c r="C666" s="234" t="str">
        <f>IFERROR(__xludf.DUMMYFUNCTION("""COMPUTED_VALUE"""),"SOC-RJ2")</f>
        <v>SOC-RJ2</v>
      </c>
      <c r="D666" s="234">
        <f>IFERROR(__xludf.DUMMYFUNCTION("""COMPUTED_VALUE"""),12.0)</f>
        <v>12</v>
      </c>
      <c r="E666" s="237" t="str">
        <f>IFERROR(__xludf.DUMMYFUNCTION("""COMPUTED_VALUE"""),"LT0PBI01RX7N1")</f>
        <v>LT0PBI01RX7N1</v>
      </c>
      <c r="F666" s="234" t="str">
        <f>IFERROR(__xludf.DUMMYFUNCTION("""COMPUTED_VALUE"""),"EJZ8E65")</f>
        <v>EJZ8E65</v>
      </c>
      <c r="G666" s="238">
        <f>IFERROR(__xludf.DUMMYFUNCTION("""COMPUTED_VALUE"""),45979.916666666664)</f>
        <v>45979.91667</v>
      </c>
      <c r="H666" s="238">
        <f>IFERROR(__xludf.DUMMYFUNCTION("""COMPUTED_VALUE"""),45980.0)</f>
        <v>45980</v>
      </c>
      <c r="I666" s="237" t="str">
        <f t="shared" si="1"/>
        <v>Fora</v>
      </c>
      <c r="J666" s="239">
        <v>119.99999999301508</v>
      </c>
    </row>
    <row r="667">
      <c r="A667" s="234" t="s">
        <v>2361</v>
      </c>
      <c r="B667" s="234" t="str">
        <f>IFERROR(__xludf.DUMMYFUNCTION("""COMPUTED_VALUE"""),"LM Hub_RS_Porto Alegre_Floresta")</f>
        <v>LM Hub_RS_Porto Alegre_Floresta</v>
      </c>
      <c r="C667" s="234" t="str">
        <f>IFERROR(__xludf.DUMMYFUNCTION("""COMPUTED_VALUE"""),"HUB-LRS-03")</f>
        <v>HUB-LRS-03</v>
      </c>
      <c r="D667" s="234">
        <f>IFERROR(__xludf.DUMMYFUNCTION("""COMPUTED_VALUE"""),16.0)</f>
        <v>16</v>
      </c>
      <c r="E667" s="237" t="str">
        <f>IFERROR(__xludf.DUMMYFUNCTION("""COMPUTED_VALUE"""),"LT0PBI01S1HM1")</f>
        <v>LT0PBI01S1HM1</v>
      </c>
      <c r="F667" s="238" t="str">
        <f>IFERROR(__xludf.DUMMYFUNCTION("""COMPUTED_VALUE"""),"SUO9A93")</f>
        <v>SUO9A93</v>
      </c>
      <c r="G667" s="238">
        <f>IFERROR(__xludf.DUMMYFUNCTION("""COMPUTED_VALUE"""),45979.91666666667)</f>
        <v>45979.91667</v>
      </c>
      <c r="H667" s="238">
        <f>IFERROR(__xludf.DUMMYFUNCTION("""COMPUTED_VALUE"""),45980.0)</f>
        <v>45980</v>
      </c>
      <c r="I667" s="237" t="str">
        <f t="shared" si="1"/>
        <v>Fora</v>
      </c>
      <c r="J667" s="239">
        <v>119.99999999301508</v>
      </c>
    </row>
    <row r="668">
      <c r="A668" s="234" t="s">
        <v>2362</v>
      </c>
      <c r="B668" s="234" t="str">
        <f>IFERROR(__xludf.DUMMYFUNCTION("""COMPUTED_VALUE"""),"LM Hub_SP_Artur Alvim")</f>
        <v>LM Hub_SP_Artur Alvim</v>
      </c>
      <c r="C668" s="234" t="str">
        <f>IFERROR(__xludf.DUMMYFUNCTION("""COMPUTED_VALUE"""),"HUB-LSP-07")</f>
        <v>HUB-LSP-07</v>
      </c>
      <c r="D668" s="234">
        <f>IFERROR(__xludf.DUMMYFUNCTION("""COMPUTED_VALUE"""),29.0)</f>
        <v>29</v>
      </c>
      <c r="E668" s="237" t="str">
        <f>IFERROR(__xludf.DUMMYFUNCTION("""COMPUTED_VALUE"""),"LT0PBI01RUY01")</f>
        <v>LT0PBI01RUY01</v>
      </c>
      <c r="F668" s="238" t="str">
        <f>IFERROR(__xludf.DUMMYFUNCTION("""COMPUTED_VALUE"""),"EPU4G01")</f>
        <v>EPU4G01</v>
      </c>
      <c r="G668" s="238">
        <f>IFERROR(__xludf.DUMMYFUNCTION("""COMPUTED_VALUE"""),45979.91666666667)</f>
        <v>45979.91667</v>
      </c>
      <c r="H668" s="238">
        <f>IFERROR(__xludf.DUMMYFUNCTION("""COMPUTED_VALUE"""),45980.0)</f>
        <v>45980</v>
      </c>
      <c r="I668" s="237" t="str">
        <f t="shared" si="1"/>
        <v>Fora</v>
      </c>
      <c r="J668" s="239">
        <v>119.99999999301508</v>
      </c>
    </row>
    <row r="669">
      <c r="A669" s="234" t="s">
        <v>2363</v>
      </c>
      <c r="B669" s="234" t="str">
        <f>IFERROR(__xludf.DUMMYFUNCTION("""COMPUTED_VALUE"""),"LM Hub_SP_Barueri_01")</f>
        <v>LM Hub_SP_Barueri_01</v>
      </c>
      <c r="C669" s="234" t="str">
        <f>IFERROR(__xludf.DUMMYFUNCTION("""COMPUTED_VALUE"""),"HUB-LSP-81")</f>
        <v>HUB-LSP-81</v>
      </c>
      <c r="D669" s="234">
        <f>IFERROR(__xludf.DUMMYFUNCTION("""COMPUTED_VALUE"""),8.0)</f>
        <v>8</v>
      </c>
      <c r="E669" s="237" t="str">
        <f>IFERROR(__xludf.DUMMYFUNCTION("""COMPUTED_VALUE"""),"LT0PBI01S0E41")</f>
        <v>LT0PBI01S0E41</v>
      </c>
      <c r="F669" s="238" t="str">
        <f>IFERROR(__xludf.DUMMYFUNCTION("""COMPUTED_VALUE"""),"GEV2J37")</f>
        <v>GEV2J37</v>
      </c>
      <c r="G669" s="238">
        <f>IFERROR(__xludf.DUMMYFUNCTION("""COMPUTED_VALUE"""),45979.91666666667)</f>
        <v>45979.91667</v>
      </c>
      <c r="H669" s="238">
        <f>IFERROR(__xludf.DUMMYFUNCTION("""COMPUTED_VALUE"""),45980.0)</f>
        <v>45980</v>
      </c>
      <c r="I669" s="237" t="str">
        <f t="shared" si="1"/>
        <v>Fora</v>
      </c>
      <c r="J669" s="239">
        <v>119.99999999301508</v>
      </c>
    </row>
    <row r="670">
      <c r="A670" s="234" t="s">
        <v>2364</v>
      </c>
      <c r="B670" s="234" t="str">
        <f>IFERROR(__xludf.DUMMYFUNCTION("""COMPUTED_VALUE"""),"LM Hub_SP_Guarulhos")</f>
        <v>LM Hub_SP_Guarulhos</v>
      </c>
      <c r="C670" s="234" t="str">
        <f>IFERROR(__xludf.DUMMYFUNCTION("""COMPUTED_VALUE"""),"HUB-LSP-77")</f>
        <v>HUB-LSP-77</v>
      </c>
      <c r="D670" s="234">
        <f>IFERROR(__xludf.DUMMYFUNCTION("""COMPUTED_VALUE"""),24.0)</f>
        <v>24</v>
      </c>
      <c r="E670" s="237" t="str">
        <f>IFERROR(__xludf.DUMMYFUNCTION("""COMPUTED_VALUE"""),"LT0PBI01RVNH1")</f>
        <v>LT0PBI01RVNH1</v>
      </c>
      <c r="F670" s="238" t="str">
        <f>IFERROR(__xludf.DUMMYFUNCTION("""COMPUTED_VALUE"""),"ESU9B10,JOK0B33")</f>
        <v>ESU9B10,JOK0B33</v>
      </c>
      <c r="G670" s="238">
        <f>IFERROR(__xludf.DUMMYFUNCTION("""COMPUTED_VALUE"""),45979.91666666667)</f>
        <v>45979.91667</v>
      </c>
      <c r="H670" s="238">
        <f>IFERROR(__xludf.DUMMYFUNCTION("""COMPUTED_VALUE"""),45980.0)</f>
        <v>45980</v>
      </c>
      <c r="I670" s="237" t="str">
        <f t="shared" si="1"/>
        <v>Fora</v>
      </c>
      <c r="J670" s="239">
        <v>119.99999999301508</v>
      </c>
    </row>
    <row r="671">
      <c r="A671" s="234" t="s">
        <v>2365</v>
      </c>
      <c r="B671" s="234" t="str">
        <f>IFERROR(__xludf.DUMMYFUNCTION("""COMPUTED_VALUE"""),"LM Hub_SP_Limeira_Campo Belo")</f>
        <v>LM Hub_SP_Limeira_Campo Belo</v>
      </c>
      <c r="C671" s="234" t="str">
        <f>IFERROR(__xludf.DUMMYFUNCTION("""COMPUTED_VALUE"""),"HUB-LSP-24")</f>
        <v>HUB-LSP-24</v>
      </c>
      <c r="D671" s="234">
        <f>IFERROR(__xludf.DUMMYFUNCTION("""COMPUTED_VALUE"""),38.0)</f>
        <v>38</v>
      </c>
      <c r="E671" s="237" t="str">
        <f>IFERROR(__xludf.DUMMYFUNCTION("""COMPUTED_VALUE"""),"LT0PBI01RV1Q1")</f>
        <v>LT0PBI01RV1Q1</v>
      </c>
      <c r="F671" s="238" t="str">
        <f>IFERROR(__xludf.DUMMYFUNCTION("""COMPUTED_VALUE"""),"FGU5I81")</f>
        <v>FGU5I81</v>
      </c>
      <c r="G671" s="238">
        <f>IFERROR(__xludf.DUMMYFUNCTION("""COMPUTED_VALUE"""),45979.91666666667)</f>
        <v>45979.91667</v>
      </c>
      <c r="H671" s="238">
        <f>IFERROR(__xludf.DUMMYFUNCTION("""COMPUTED_VALUE"""),45980.0)</f>
        <v>45980</v>
      </c>
      <c r="I671" s="237" t="str">
        <f t="shared" si="1"/>
        <v>Fora</v>
      </c>
      <c r="J671" s="239">
        <v>119.99999999301508</v>
      </c>
    </row>
    <row r="672">
      <c r="A672" s="234" t="s">
        <v>2366</v>
      </c>
      <c r="B672" s="234" t="str">
        <f>IFERROR(__xludf.DUMMYFUNCTION("""COMPUTED_VALUE"""),"LM Hub_SP_Santo André")</f>
        <v>LM Hub_SP_Santo André</v>
      </c>
      <c r="C672" s="234" t="str">
        <f>IFERROR(__xludf.DUMMYFUNCTION("""COMPUTED_VALUE"""),"HUB-LSP-93")</f>
        <v>HUB-LSP-93</v>
      </c>
      <c r="D672" s="234">
        <f>IFERROR(__xludf.DUMMYFUNCTION("""COMPUTED_VALUE"""),19.0)</f>
        <v>19</v>
      </c>
      <c r="E672" s="237" t="str">
        <f>IFERROR(__xludf.DUMMYFUNCTION("""COMPUTED_VALUE"""),"LT0PBI01RXOH1")</f>
        <v>LT0PBI01RXOH1</v>
      </c>
      <c r="F672" s="238" t="str">
        <f>IFERROR(__xludf.DUMMYFUNCTION("""COMPUTED_VALUE"""),"FQF6B98,DTA7802")</f>
        <v>FQF6B98,DTA7802</v>
      </c>
      <c r="G672" s="238">
        <f>IFERROR(__xludf.DUMMYFUNCTION("""COMPUTED_VALUE"""),45979.91666666667)</f>
        <v>45979.91667</v>
      </c>
      <c r="H672" s="238">
        <f>IFERROR(__xludf.DUMMYFUNCTION("""COMPUTED_VALUE"""),45980.0)</f>
        <v>45980</v>
      </c>
      <c r="I672" s="237" t="str">
        <f t="shared" si="1"/>
        <v>Fora</v>
      </c>
      <c r="J672" s="239">
        <v>119.99999999301508</v>
      </c>
    </row>
    <row r="673">
      <c r="A673" s="234" t="s">
        <v>2367</v>
      </c>
      <c r="B673" s="234" t="str">
        <f>IFERROR(__xludf.DUMMYFUNCTION("""COMPUTED_VALUE"""),"LM Hub_SP_VilaGuilherme")</f>
        <v>LM Hub_SP_VilaGuilherme</v>
      </c>
      <c r="C673" s="234" t="str">
        <f>IFERROR(__xludf.DUMMYFUNCTION("""COMPUTED_VALUE"""),"HUB-LSP-68")</f>
        <v>HUB-LSP-68</v>
      </c>
      <c r="D673" s="234"/>
      <c r="E673" s="237" t="str">
        <f>IFERROR(__xludf.DUMMYFUNCTION("""COMPUTED_VALUE"""),"LT1PBI01SAKB1")</f>
        <v>LT1PBI01SAKB1</v>
      </c>
      <c r="F673" s="234"/>
      <c r="G673" s="238">
        <f>IFERROR(__xludf.DUMMYFUNCTION("""COMPUTED_VALUE"""),45979.91666666667)</f>
        <v>45979.91667</v>
      </c>
      <c r="H673" s="238">
        <f>IFERROR(__xludf.DUMMYFUNCTION("""COMPUTED_VALUE"""),45980.0)</f>
        <v>45980</v>
      </c>
      <c r="I673" s="237" t="str">
        <f t="shared" si="1"/>
        <v>Fora</v>
      </c>
      <c r="J673" s="239">
        <v>119.99999999301508</v>
      </c>
    </row>
    <row r="674">
      <c r="A674" s="234" t="s">
        <v>2368</v>
      </c>
      <c r="B674" s="234" t="str">
        <f>IFERROR(__xludf.DUMMYFUNCTION("""COMPUTED_VALUE"""),"SoC_RJ_Duque de Caxias")</f>
        <v>SoC_RJ_Duque de Caxias</v>
      </c>
      <c r="C674" s="234" t="str">
        <f>IFERROR(__xludf.DUMMYFUNCTION("""COMPUTED_VALUE"""),"SOC-RJ2")</f>
        <v>SOC-RJ2</v>
      </c>
      <c r="D674" s="234">
        <f>IFERROR(__xludf.DUMMYFUNCTION("""COMPUTED_VALUE"""),6.0)</f>
        <v>6</v>
      </c>
      <c r="E674" s="237" t="str">
        <f>IFERROR(__xludf.DUMMYFUNCTION("""COMPUTED_VALUE"""),"LT1PBI01SAF31")</f>
        <v>LT1PBI01SAF31</v>
      </c>
      <c r="F674" s="238" t="str">
        <f>IFERROR(__xludf.DUMMYFUNCTION("""COMPUTED_VALUE"""),"CVN5H75,APK3F13")</f>
        <v>CVN5H75,APK3F13</v>
      </c>
      <c r="G674" s="238">
        <f>IFERROR(__xludf.DUMMYFUNCTION("""COMPUTED_VALUE"""),45979.91666666667)</f>
        <v>45979.91667</v>
      </c>
      <c r="H674" s="238">
        <f>IFERROR(__xludf.DUMMYFUNCTION("""COMPUTED_VALUE"""),45980.0)</f>
        <v>45980</v>
      </c>
      <c r="I674" s="237" t="str">
        <f t="shared" si="1"/>
        <v>Fora</v>
      </c>
      <c r="J674" s="239">
        <v>119.99999999301508</v>
      </c>
    </row>
    <row r="675">
      <c r="A675" s="234" t="s">
        <v>2369</v>
      </c>
      <c r="B675" s="234" t="str">
        <f>IFERROR(__xludf.DUMMYFUNCTION("""COMPUTED_VALUE"""),"SoC_RS_Gravataí_02")</f>
        <v>SoC_RS_Gravataí_02</v>
      </c>
      <c r="C675" s="234" t="str">
        <f>IFERROR(__xludf.DUMMYFUNCTION("""COMPUTED_VALUE"""),"SOC-RS2")</f>
        <v>SOC-RS2</v>
      </c>
      <c r="D675" s="234">
        <f>IFERROR(__xludf.DUMMYFUNCTION("""COMPUTED_VALUE"""),21.0)</f>
        <v>21</v>
      </c>
      <c r="E675" s="237" t="str">
        <f>IFERROR(__xludf.DUMMYFUNCTION("""COMPUTED_VALUE"""),"LT1PBI01SAFC1")</f>
        <v>LT1PBI01SAFC1</v>
      </c>
      <c r="F675" s="238" t="str">
        <f>IFERROR(__xludf.DUMMYFUNCTION("""COMPUTED_VALUE"""),"OPE5G62,HIJ7686")</f>
        <v>OPE5G62,HIJ7686</v>
      </c>
      <c r="G675" s="238">
        <f>IFERROR(__xludf.DUMMYFUNCTION("""COMPUTED_VALUE"""),45979.91666666667)</f>
        <v>45979.91667</v>
      </c>
      <c r="H675" s="238">
        <f>IFERROR(__xludf.DUMMYFUNCTION("""COMPUTED_VALUE"""),45980.0)</f>
        <v>45980</v>
      </c>
      <c r="I675" s="237" t="str">
        <f t="shared" si="1"/>
        <v>Fora</v>
      </c>
      <c r="J675" s="239">
        <v>119.99999999301508</v>
      </c>
    </row>
    <row r="676">
      <c r="A676" s="234" t="s">
        <v>2370</v>
      </c>
      <c r="B676" s="234" t="str">
        <f>IFERROR(__xludf.DUMMYFUNCTION("""COMPUTED_VALUE"""),"SoC_SC_Itajaí")</f>
        <v>SoC_SC_Itajaí</v>
      </c>
      <c r="C676" s="234" t="str">
        <f>IFERROR(__xludf.DUMMYFUNCTION("""COMPUTED_VALUE"""),"SOC-SC1")</f>
        <v>SOC-SC1</v>
      </c>
      <c r="D676" s="234">
        <f>IFERROR(__xludf.DUMMYFUNCTION("""COMPUTED_VALUE"""),22.0)</f>
        <v>22</v>
      </c>
      <c r="E676" s="237" t="str">
        <f>IFERROR(__xludf.DUMMYFUNCTION("""COMPUTED_VALUE"""),"LT1PBI01SAFF1")</f>
        <v>LT1PBI01SAFF1</v>
      </c>
      <c r="F676" s="238" t="str">
        <f>IFERROR(__xludf.DUMMYFUNCTION("""COMPUTED_VALUE"""),"RJA8E01,QHW3I56")</f>
        <v>RJA8E01,QHW3I56</v>
      </c>
      <c r="G676" s="238">
        <f>IFERROR(__xludf.DUMMYFUNCTION("""COMPUTED_VALUE"""),45979.91666666667)</f>
        <v>45979.91667</v>
      </c>
      <c r="H676" s="238">
        <f>IFERROR(__xludf.DUMMYFUNCTION("""COMPUTED_VALUE"""),45980.0)</f>
        <v>45980</v>
      </c>
      <c r="I676" s="237" t="str">
        <f t="shared" si="1"/>
        <v>Fora</v>
      </c>
      <c r="J676" s="239">
        <v>119.00000000023283</v>
      </c>
    </row>
    <row r="677">
      <c r="A677" s="234" t="s">
        <v>2371</v>
      </c>
      <c r="B677" s="234" t="str">
        <f>IFERROR(__xludf.DUMMYFUNCTION("""COMPUTED_VALUE"""),"LM Hub_SP_Itapevi")</f>
        <v>LM Hub_SP_Itapevi</v>
      </c>
      <c r="C677" s="234" t="str">
        <f>IFERROR(__xludf.DUMMYFUNCTION("""COMPUTED_VALUE"""),"HUB-LSP-41")</f>
        <v>HUB-LSP-41</v>
      </c>
      <c r="D677" s="234">
        <f>IFERROR(__xludf.DUMMYFUNCTION("""COMPUTED_VALUE"""),17.0)</f>
        <v>17</v>
      </c>
      <c r="E677" s="237" t="str">
        <f>IFERROR(__xludf.DUMMYFUNCTION("""COMPUTED_VALUE"""),"LT0PBI01S3SV1")</f>
        <v>LT0PBI01S3SV1</v>
      </c>
      <c r="F677" s="238" t="str">
        <f>IFERROR(__xludf.DUMMYFUNCTION("""COMPUTED_VALUE"""),"FYQ5533")</f>
        <v>FYQ5533</v>
      </c>
      <c r="G677" s="238">
        <f>IFERROR(__xludf.DUMMYFUNCTION("""COMPUTED_VALUE"""),45979.91736111111)</f>
        <v>45979.91736</v>
      </c>
      <c r="H677" s="238">
        <f>IFERROR(__xludf.DUMMYFUNCTION("""COMPUTED_VALUE"""),45980.0)</f>
        <v>45980</v>
      </c>
      <c r="I677" s="237" t="str">
        <f t="shared" si="1"/>
        <v>Fora</v>
      </c>
      <c r="J677" s="239">
        <v>119.00000000023283</v>
      </c>
    </row>
    <row r="678">
      <c r="A678" s="234" t="s">
        <v>2372</v>
      </c>
      <c r="B678" s="234" t="str">
        <f>IFERROR(__xludf.DUMMYFUNCTION("""COMPUTED_VALUE"""),"LM Hub_SP_Mauá")</f>
        <v>LM Hub_SP_Mauá</v>
      </c>
      <c r="C678" s="234" t="str">
        <f>IFERROR(__xludf.DUMMYFUNCTION("""COMPUTED_VALUE"""),"HUB-LSP-64")</f>
        <v>HUB-LSP-64</v>
      </c>
      <c r="D678" s="234">
        <f>IFERROR(__xludf.DUMMYFUNCTION("""COMPUTED_VALUE"""),18.0)</f>
        <v>18</v>
      </c>
      <c r="E678" s="237" t="str">
        <f>IFERROR(__xludf.DUMMYFUNCTION("""COMPUTED_VALUE"""),"LT0PBI01S3T01")</f>
        <v>LT0PBI01S3T01</v>
      </c>
      <c r="F678" s="238" t="str">
        <f>IFERROR(__xludf.DUMMYFUNCTION("""COMPUTED_VALUE"""),"ASN0C15,MBC2C84")</f>
        <v>ASN0C15,MBC2C84</v>
      </c>
      <c r="G678" s="238">
        <f>IFERROR(__xludf.DUMMYFUNCTION("""COMPUTED_VALUE"""),45979.91736111111)</f>
        <v>45979.91736</v>
      </c>
      <c r="H678" s="238">
        <f>IFERROR(__xludf.DUMMYFUNCTION("""COMPUTED_VALUE"""),45980.0)</f>
        <v>45980</v>
      </c>
      <c r="I678" s="237" t="str">
        <f t="shared" si="1"/>
        <v>Fora</v>
      </c>
      <c r="J678" s="239">
        <v>60.00000000698492</v>
      </c>
    </row>
    <row r="679">
      <c r="A679" s="234" t="s">
        <v>2373</v>
      </c>
      <c r="B679" s="234" t="str">
        <f>IFERROR(__xludf.DUMMYFUNCTION("""COMPUTED_VALUE"""),"LM Hub_SP_Artur Alvim")</f>
        <v>LM Hub_SP_Artur Alvim</v>
      </c>
      <c r="C679" s="234" t="str">
        <f>IFERROR(__xludf.DUMMYFUNCTION("""COMPUTED_VALUE"""),"HUB-LSP-07")</f>
        <v>HUB-LSP-07</v>
      </c>
      <c r="D679" s="234">
        <f>IFERROR(__xludf.DUMMYFUNCTION("""COMPUTED_VALUE"""),25.0)</f>
        <v>25</v>
      </c>
      <c r="E679" s="237" t="str">
        <f>IFERROR(__xludf.DUMMYFUNCTION("""COMPUTED_VALUE"""),"LT1PBI01S9TH1")</f>
        <v>LT1PBI01S9TH1</v>
      </c>
      <c r="F679" s="238" t="str">
        <f>IFERROR(__xludf.DUMMYFUNCTION("""COMPUTED_VALUE"""),"DAJ3E28")</f>
        <v>DAJ3E28</v>
      </c>
      <c r="G679" s="238">
        <f>IFERROR(__xludf.DUMMYFUNCTION("""COMPUTED_VALUE"""),45979.95833333333)</f>
        <v>45979.95833</v>
      </c>
      <c r="H679" s="238">
        <f>IFERROR(__xludf.DUMMYFUNCTION("""COMPUTED_VALUE"""),45980.0)</f>
        <v>45980</v>
      </c>
      <c r="I679" s="237" t="str">
        <f t="shared" si="1"/>
        <v>Fora</v>
      </c>
      <c r="J679" s="239">
        <v>119.99999999301508</v>
      </c>
    </row>
    <row r="680">
      <c r="A680" s="234" t="s">
        <v>2374</v>
      </c>
      <c r="B680" s="234" t="str">
        <f>IFERROR(__xludf.DUMMYFUNCTION("""COMPUTED_VALUE"""),"LM Hub_MG_Juiz de Fora_Dist Ind")</f>
        <v>LM Hub_MG_Juiz de Fora_Dist Ind</v>
      </c>
      <c r="C680" s="234" t="str">
        <f>IFERROR(__xludf.DUMMYFUNCTION("""COMPUTED_VALUE"""),"HUB-LMG-59")</f>
        <v>HUB-LMG-59</v>
      </c>
      <c r="D680" s="234">
        <f>IFERROR(__xludf.DUMMYFUNCTION("""COMPUTED_VALUE"""),14.0)</f>
        <v>14</v>
      </c>
      <c r="E680" s="237" t="str">
        <f>IFERROR(__xludf.DUMMYFUNCTION("""COMPUTED_VALUE"""),"LT0PBI01S1I61")</f>
        <v>LT0PBI01S1I61</v>
      </c>
      <c r="F680" s="238" t="str">
        <f>IFERROR(__xludf.DUMMYFUNCTION("""COMPUTED_VALUE"""),"SVZ3D32")</f>
        <v>SVZ3D32</v>
      </c>
      <c r="G680" s="238">
        <f>IFERROR(__xludf.DUMMYFUNCTION("""COMPUTED_VALUE"""),45979.9375)</f>
        <v>45979.9375</v>
      </c>
      <c r="H680" s="238">
        <f>IFERROR(__xludf.DUMMYFUNCTION("""COMPUTED_VALUE"""),45980.02083333333)</f>
        <v>45980.02083</v>
      </c>
      <c r="I680" s="237" t="str">
        <f t="shared" si="1"/>
        <v>Fora</v>
      </c>
      <c r="J680" s="239">
        <v>119.99999999301508</v>
      </c>
    </row>
    <row r="681">
      <c r="A681" s="234" t="s">
        <v>2375</v>
      </c>
      <c r="B681" s="234" t="str">
        <f>IFERROR(__xludf.DUMMYFUNCTION("""COMPUTED_VALUE"""),"LM Hub_SP_Jardim Adriana")</f>
        <v>LM Hub_SP_Jardim Adriana</v>
      </c>
      <c r="C681" s="234" t="str">
        <f>IFERROR(__xludf.DUMMYFUNCTION("""COMPUTED_VALUE"""),"HUB-LSP-12")</f>
        <v>HUB-LSP-12</v>
      </c>
      <c r="D681" s="234">
        <f>IFERROR(__xludf.DUMMYFUNCTION("""COMPUTED_VALUE"""),5.0)</f>
        <v>5</v>
      </c>
      <c r="E681" s="237" t="str">
        <f>IFERROR(__xludf.DUMMYFUNCTION("""COMPUTED_VALUE"""),"LT0PBI01RUY51")</f>
        <v>LT0PBI01RUY51</v>
      </c>
      <c r="F681" s="238" t="str">
        <f>IFERROR(__xludf.DUMMYFUNCTION("""COMPUTED_VALUE"""),"FYZ2D15")</f>
        <v>FYZ2D15</v>
      </c>
      <c r="G681" s="238">
        <f>IFERROR(__xludf.DUMMYFUNCTION("""COMPUTED_VALUE"""),45979.9375)</f>
        <v>45979.9375</v>
      </c>
      <c r="H681" s="238">
        <f>IFERROR(__xludf.DUMMYFUNCTION("""COMPUTED_VALUE"""),45980.02083333333)</f>
        <v>45980.02083</v>
      </c>
      <c r="I681" s="237" t="str">
        <f t="shared" si="1"/>
        <v>Fora</v>
      </c>
      <c r="J681" s="239">
        <v>119.99999999301508</v>
      </c>
    </row>
    <row r="682">
      <c r="A682" s="234" t="s">
        <v>2376</v>
      </c>
      <c r="B682" s="234" t="str">
        <f>IFERROR(__xludf.DUMMYFUNCTION("""COMPUTED_VALUE"""),"LM Hub_SP_Parque Novo Mundo")</f>
        <v>LM Hub_SP_Parque Novo Mundo</v>
      </c>
      <c r="C682" s="234" t="str">
        <f>IFERROR(__xludf.DUMMYFUNCTION("""COMPUTED_VALUE"""),"HUB-LSP-89")</f>
        <v>HUB-LSP-89</v>
      </c>
      <c r="D682" s="234">
        <f>IFERROR(__xludf.DUMMYFUNCTION("""COMPUTED_VALUE"""),34.0)</f>
        <v>34</v>
      </c>
      <c r="E682" s="237" t="str">
        <f>IFERROR(__xludf.DUMMYFUNCTION("""COMPUTED_VALUE"""),"LT0PBI01RVUU1")</f>
        <v>LT0PBI01RVUU1</v>
      </c>
      <c r="F682" s="238" t="str">
        <f>IFERROR(__xludf.DUMMYFUNCTION("""COMPUTED_VALUE"""),"GIQ1C13,AKZ0B43")</f>
        <v>GIQ1C13,AKZ0B43</v>
      </c>
      <c r="G682" s="238">
        <f>IFERROR(__xludf.DUMMYFUNCTION("""COMPUTED_VALUE"""),45979.9375)</f>
        <v>45979.9375</v>
      </c>
      <c r="H682" s="238">
        <f>IFERROR(__xludf.DUMMYFUNCTION("""COMPUTED_VALUE"""),45980.02083333333)</f>
        <v>45980.02083</v>
      </c>
      <c r="I682" s="237" t="str">
        <f t="shared" si="1"/>
        <v>Fora</v>
      </c>
      <c r="J682" s="239">
        <v>119.99999999301508</v>
      </c>
    </row>
    <row r="683">
      <c r="A683" s="234" t="s">
        <v>2377</v>
      </c>
      <c r="B683" s="234" t="str">
        <f>IFERROR(__xludf.DUMMYFUNCTION("""COMPUTED_VALUE"""),"LM Hub_SP_São Paulo_Carandiru")</f>
        <v>LM Hub_SP_São Paulo_Carandiru</v>
      </c>
      <c r="C683" s="234" t="str">
        <f>IFERROR(__xludf.DUMMYFUNCTION("""COMPUTED_VALUE"""),"HUB-LSP-18")</f>
        <v>HUB-LSP-18</v>
      </c>
      <c r="D683" s="234">
        <f>IFERROR(__xludf.DUMMYFUNCTION("""COMPUTED_VALUE"""),37.0)</f>
        <v>37</v>
      </c>
      <c r="E683" s="237" t="str">
        <f>IFERROR(__xludf.DUMMYFUNCTION("""COMPUTED_VALUE"""),"LT0PBI01RUYN1")</f>
        <v>LT0PBI01RUYN1</v>
      </c>
      <c r="F683" s="238" t="str">
        <f>IFERROR(__xludf.DUMMYFUNCTION("""COMPUTED_VALUE"""),"FWF3044")</f>
        <v>FWF3044</v>
      </c>
      <c r="G683" s="238">
        <f>IFERROR(__xludf.DUMMYFUNCTION("""COMPUTED_VALUE"""),45979.9375)</f>
        <v>45979.9375</v>
      </c>
      <c r="H683" s="238">
        <f>IFERROR(__xludf.DUMMYFUNCTION("""COMPUTED_VALUE"""),45980.02083333333)</f>
        <v>45980.02083</v>
      </c>
      <c r="I683" s="237" t="str">
        <f t="shared" si="1"/>
        <v>Fora</v>
      </c>
      <c r="J683" s="239">
        <v>118.99999998975545</v>
      </c>
    </row>
    <row r="684">
      <c r="A684" s="234" t="s">
        <v>2378</v>
      </c>
      <c r="B684" s="234" t="str">
        <f>IFERROR(__xludf.DUMMYFUNCTION("""COMPUTED_VALUE"""),"LM Hub_SP_Piracicaba")</f>
        <v>LM Hub_SP_Piracicaba</v>
      </c>
      <c r="C684" s="234" t="str">
        <f>IFERROR(__xludf.DUMMYFUNCTION("""COMPUTED_VALUE"""),"HUB-LSP-62")</f>
        <v>HUB-LSP-62</v>
      </c>
      <c r="D684" s="234">
        <f>IFERROR(__xludf.DUMMYFUNCTION("""COMPUTED_VALUE"""),13.0)</f>
        <v>13</v>
      </c>
      <c r="E684" s="237" t="str">
        <f>IFERROR(__xludf.DUMMYFUNCTION("""COMPUTED_VALUE"""),"LT0PBI01RVNS1")</f>
        <v>LT0PBI01RVNS1</v>
      </c>
      <c r="F684" s="238" t="str">
        <f>IFERROR(__xludf.DUMMYFUNCTION("""COMPUTED_VALUE"""),"EOF4D32")</f>
        <v>EOF4D32</v>
      </c>
      <c r="G684" s="238">
        <f>IFERROR(__xludf.DUMMYFUNCTION("""COMPUTED_VALUE"""),45979.93819444445)</f>
        <v>45979.93819</v>
      </c>
      <c r="H684" s="238">
        <f>IFERROR(__xludf.DUMMYFUNCTION("""COMPUTED_VALUE"""),45980.02083333333)</f>
        <v>45980.02083</v>
      </c>
      <c r="I684" s="237" t="str">
        <f t="shared" si="1"/>
        <v>Fora</v>
      </c>
      <c r="J684" s="239">
        <v>118.99999998975545</v>
      </c>
    </row>
    <row r="685">
      <c r="A685" s="234" t="s">
        <v>2379</v>
      </c>
      <c r="B685" s="234" t="str">
        <f>IFERROR(__xludf.DUMMYFUNCTION("""COMPUTED_VALUE"""),"LM Hub_SP_VilaGuilherme")</f>
        <v>LM Hub_SP_VilaGuilherme</v>
      </c>
      <c r="C685" s="234" t="str">
        <f>IFERROR(__xludf.DUMMYFUNCTION("""COMPUTED_VALUE"""),"HUB-LSP-68")</f>
        <v>HUB-LSP-68</v>
      </c>
      <c r="D685" s="234">
        <f>IFERROR(__xludf.DUMMYFUNCTION("""COMPUTED_VALUE"""),15.0)</f>
        <v>15</v>
      </c>
      <c r="E685" s="237" t="str">
        <f>IFERROR(__xludf.DUMMYFUNCTION("""COMPUTED_VALUE"""),"LT0PBI01S3T41")</f>
        <v>LT0PBI01S3T41</v>
      </c>
      <c r="F685" s="238" t="str">
        <f>IFERROR(__xludf.DUMMYFUNCTION("""COMPUTED_VALUE"""),"HFD4H27")</f>
        <v>HFD4H27</v>
      </c>
      <c r="G685" s="238">
        <f>IFERROR(__xludf.DUMMYFUNCTION("""COMPUTED_VALUE"""),45979.93819444445)</f>
        <v>45979.93819</v>
      </c>
      <c r="H685" s="238">
        <f>IFERROR(__xludf.DUMMYFUNCTION("""COMPUTED_VALUE"""),45980.02083333333)</f>
        <v>45980.02083</v>
      </c>
      <c r="I685" s="237" t="str">
        <f t="shared" si="1"/>
        <v>Fora</v>
      </c>
      <c r="J685" s="239">
        <v>59.99999998603016</v>
      </c>
    </row>
    <row r="686">
      <c r="A686" s="234" t="s">
        <v>2380</v>
      </c>
      <c r="B686" s="234" t="str">
        <f>IFERROR(__xludf.DUMMYFUNCTION("""COMPUTED_VALUE"""),"LM Hub_SP_Mogi das Cruzes_Jund")</f>
        <v>LM Hub_SP_Mogi das Cruzes_Jund</v>
      </c>
      <c r="C686" s="234" t="str">
        <f>IFERROR(__xludf.DUMMYFUNCTION("""COMPUTED_VALUE"""),"HUB-LSP-78")</f>
        <v>HUB-LSP-78</v>
      </c>
      <c r="D686" s="234"/>
      <c r="E686" s="237" t="str">
        <f>IFERROR(__xludf.DUMMYFUNCTION("""COMPUTED_VALUE"""),"LT1PBI01SB0M1")</f>
        <v>LT1PBI01SB0M1</v>
      </c>
      <c r="F686" s="234"/>
      <c r="G686" s="238">
        <f>IFERROR(__xludf.DUMMYFUNCTION("""COMPUTED_VALUE"""),45979.97916666667)</f>
        <v>45979.97917</v>
      </c>
      <c r="H686" s="238">
        <f>IFERROR(__xludf.DUMMYFUNCTION("""COMPUTED_VALUE"""),45980.02083333333)</f>
        <v>45980.02083</v>
      </c>
      <c r="I686" s="237" t="str">
        <f t="shared" si="1"/>
        <v>Fora</v>
      </c>
      <c r="J686" s="239">
        <v>59.99999998603016</v>
      </c>
    </row>
    <row r="687">
      <c r="A687" s="234" t="s">
        <v>2381</v>
      </c>
      <c r="B687" s="234" t="str">
        <f>IFERROR(__xludf.DUMMYFUNCTION("""COMPUTED_VALUE"""),"LM Hub_SP_Várzea Paulista")</f>
        <v>LM Hub_SP_Várzea Paulista</v>
      </c>
      <c r="C687" s="234" t="str">
        <f>IFERROR(__xludf.DUMMYFUNCTION("""COMPUTED_VALUE"""),"HUB-LSP-61")</f>
        <v>HUB-LSP-61</v>
      </c>
      <c r="D687" s="234"/>
      <c r="E687" s="237" t="str">
        <f>IFERROR(__xludf.DUMMYFUNCTION("""COMPUTED_VALUE"""),"LT1PBI01SB0L1")</f>
        <v>LT1PBI01SB0L1</v>
      </c>
      <c r="F687" s="234"/>
      <c r="G687" s="238">
        <f>IFERROR(__xludf.DUMMYFUNCTION("""COMPUTED_VALUE"""),45979.97916666667)</f>
        <v>45979.97917</v>
      </c>
      <c r="H687" s="238">
        <f>IFERROR(__xludf.DUMMYFUNCTION("""COMPUTED_VALUE"""),45980.02083333333)</f>
        <v>45980.02083</v>
      </c>
      <c r="I687" s="237" t="str">
        <f t="shared" si="1"/>
        <v>Fora</v>
      </c>
      <c r="J687" s="239">
        <v>60.00000000698492</v>
      </c>
    </row>
    <row r="688">
      <c r="A688" s="234" t="s">
        <v>2382</v>
      </c>
      <c r="B688" s="234" t="str">
        <f>IFERROR(__xludf.DUMMYFUNCTION("""COMPUTED_VALUE"""),"LM Hub_SP_Santo André")</f>
        <v>LM Hub_SP_Santo André</v>
      </c>
      <c r="C688" s="234" t="str">
        <f>IFERROR(__xludf.DUMMYFUNCTION("""COMPUTED_VALUE"""),"HUB-LSP-93")</f>
        <v>HUB-LSP-93</v>
      </c>
      <c r="D688" s="234">
        <f>IFERROR(__xludf.DUMMYFUNCTION("""COMPUTED_VALUE"""),23.0)</f>
        <v>23</v>
      </c>
      <c r="E688" s="237" t="str">
        <f>IFERROR(__xludf.DUMMYFUNCTION("""COMPUTED_VALUE"""),"LT1PBI01SB0N1")</f>
        <v>LT1PBI01SB0N1</v>
      </c>
      <c r="F688" s="234" t="str">
        <f>IFERROR(__xludf.DUMMYFUNCTION("""COMPUTED_VALUE"""),"ON9D22")</f>
        <v>ON9D22</v>
      </c>
      <c r="G688" s="238">
        <f>IFERROR(__xludf.DUMMYFUNCTION("""COMPUTED_VALUE"""),45979.979166666664)</f>
        <v>45979.97917</v>
      </c>
      <c r="H688" s="238">
        <f>IFERROR(__xludf.DUMMYFUNCTION("""COMPUTED_VALUE"""),45980.020833333336)</f>
        <v>45980.02083</v>
      </c>
      <c r="I688" s="237" t="str">
        <f t="shared" si="1"/>
        <v>Fora</v>
      </c>
      <c r="J688" s="239">
        <v>120.00000001396984</v>
      </c>
    </row>
    <row r="689">
      <c r="A689" s="234" t="s">
        <v>2383</v>
      </c>
      <c r="B689" s="234" t="str">
        <f>IFERROR(__xludf.DUMMYFUNCTION("""COMPUTED_VALUE"""),"LM Hub_SP_Mogi Mirim")</f>
        <v>LM Hub_SP_Mogi Mirim</v>
      </c>
      <c r="C689" s="234" t="str">
        <f>IFERROR(__xludf.DUMMYFUNCTION("""COMPUTED_VALUE"""),"HUB-LSP-37")</f>
        <v>HUB-LSP-37</v>
      </c>
      <c r="D689" s="234">
        <f>IFERROR(__xludf.DUMMYFUNCTION("""COMPUTED_VALUE"""),9.0)</f>
        <v>9</v>
      </c>
      <c r="E689" s="237" t="str">
        <f>IFERROR(__xludf.DUMMYFUNCTION("""COMPUTED_VALUE"""),"LT0PBI01RV2N1")</f>
        <v>LT0PBI01RV2N1</v>
      </c>
      <c r="F689" s="238" t="str">
        <f>IFERROR(__xludf.DUMMYFUNCTION("""COMPUTED_VALUE"""),"FQV7E24,EFU9D57")</f>
        <v>FQV7E24,EFU9D57</v>
      </c>
      <c r="G689" s="238">
        <f>IFERROR(__xludf.DUMMYFUNCTION("""COMPUTED_VALUE"""),45979.95833333333)</f>
        <v>45979.95833</v>
      </c>
      <c r="H689" s="238">
        <f>IFERROR(__xludf.DUMMYFUNCTION("""COMPUTED_VALUE"""),45980.04166666667)</f>
        <v>45980.04167</v>
      </c>
      <c r="I689" s="237" t="str">
        <f t="shared" si="1"/>
        <v>Fora</v>
      </c>
      <c r="J689" s="239">
        <v>120.00000001396984</v>
      </c>
    </row>
    <row r="690">
      <c r="A690" s="234" t="s">
        <v>2384</v>
      </c>
      <c r="B690" s="234" t="str">
        <f>IFERROR(__xludf.DUMMYFUNCTION("""COMPUTED_VALUE"""),"SoC_SP_Cravinhos")</f>
        <v>SoC_SP_Cravinhos</v>
      </c>
      <c r="C690" s="234" t="str">
        <f>IFERROR(__xludf.DUMMYFUNCTION("""COMPUTED_VALUE"""),"SOC-SP5")</f>
        <v>SOC-SP5</v>
      </c>
      <c r="D690" s="234"/>
      <c r="E690" s="237" t="str">
        <f>IFERROR(__xludf.DUMMYFUNCTION("""COMPUTED_VALUE"""),"LT0PBI01RWEU1")</f>
        <v>LT0PBI01RWEU1</v>
      </c>
      <c r="F690" s="234"/>
      <c r="G690" s="238">
        <f>IFERROR(__xludf.DUMMYFUNCTION("""COMPUTED_VALUE"""),45979.95833333333)</f>
        <v>45979.95833</v>
      </c>
      <c r="H690" s="238">
        <f>IFERROR(__xludf.DUMMYFUNCTION("""COMPUTED_VALUE"""),45980.04166666667)</f>
        <v>45980.04167</v>
      </c>
      <c r="I690" s="237" t="str">
        <f t="shared" si="1"/>
        <v>Fora</v>
      </c>
      <c r="J690" s="239">
        <v>119.99999999301508</v>
      </c>
    </row>
    <row r="691">
      <c r="A691" s="234" t="s">
        <v>2385</v>
      </c>
      <c r="B691" s="234" t="str">
        <f>IFERROR(__xludf.DUMMYFUNCTION("""COMPUTED_VALUE"""),"LM Hub_SP_Araraquara")</f>
        <v>LM Hub_SP_Araraquara</v>
      </c>
      <c r="C691" s="234" t="str">
        <f>IFERROR(__xludf.DUMMYFUNCTION("""COMPUTED_VALUE"""),"HUB-LSP-29")</f>
        <v>HUB-LSP-29</v>
      </c>
      <c r="D691" s="234">
        <f>IFERROR(__xludf.DUMMYFUNCTION("""COMPUTED_VALUE"""),35.0)</f>
        <v>35</v>
      </c>
      <c r="E691" s="237" t="str">
        <f>IFERROR(__xludf.DUMMYFUNCTION("""COMPUTED_VALUE"""),"LT0PBI01RV2S1")</f>
        <v>LT0PBI01RV2S1</v>
      </c>
      <c r="F691" s="238" t="str">
        <f>IFERROR(__xludf.DUMMYFUNCTION("""COMPUTED_VALUE"""),"EWJ2H21")</f>
        <v>EWJ2H21</v>
      </c>
      <c r="G691" s="238">
        <f>IFERROR(__xludf.DUMMYFUNCTION("""COMPUTED_VALUE"""),45979.97916666667)</f>
        <v>45979.97917</v>
      </c>
      <c r="H691" s="238">
        <f>IFERROR(__xludf.DUMMYFUNCTION("""COMPUTED_VALUE"""),45980.0625)</f>
        <v>45980.0625</v>
      </c>
      <c r="I691" s="237" t="str">
        <f t="shared" si="1"/>
        <v>Fora</v>
      </c>
      <c r="J691" s="239">
        <v>119.99999999301508</v>
      </c>
    </row>
    <row r="692">
      <c r="A692" s="234" t="s">
        <v>2386</v>
      </c>
      <c r="B692" s="234" t="str">
        <f>IFERROR(__xludf.DUMMYFUNCTION("""COMPUTED_VALUE"""),"LM Hub_SP_Atibaia_Ponte_Alta")</f>
        <v>LM Hub_SP_Atibaia_Ponte_Alta</v>
      </c>
      <c r="C692" s="234" t="str">
        <f>IFERROR(__xludf.DUMMYFUNCTION("""COMPUTED_VALUE"""),"HUB-LSP-87")</f>
        <v>HUB-LSP-87</v>
      </c>
      <c r="D692" s="234">
        <f>IFERROR(__xludf.DUMMYFUNCTION("""COMPUTED_VALUE"""),7.0)</f>
        <v>7</v>
      </c>
      <c r="E692" s="237" t="str">
        <f>IFERROR(__xludf.DUMMYFUNCTION("""COMPUTED_VALUE"""),"LT0PBI01RYX31")</f>
        <v>LT0PBI01RYX31</v>
      </c>
      <c r="F692" s="238" t="str">
        <f>IFERROR(__xludf.DUMMYFUNCTION("""COMPUTED_VALUE"""),"EOK0A95")</f>
        <v>EOK0A95</v>
      </c>
      <c r="G692" s="238">
        <f>IFERROR(__xludf.DUMMYFUNCTION("""COMPUTED_VALUE"""),45979.97916666667)</f>
        <v>45979.97917</v>
      </c>
      <c r="H692" s="238">
        <f>IFERROR(__xludf.DUMMYFUNCTION("""COMPUTED_VALUE"""),45980.0625)</f>
        <v>45980.0625</v>
      </c>
      <c r="I692" s="237" t="str">
        <f t="shared" si="1"/>
        <v>Fora</v>
      </c>
      <c r="J692" s="239">
        <v>119.99999999301508</v>
      </c>
    </row>
    <row r="693">
      <c r="A693" s="234" t="s">
        <v>2387</v>
      </c>
      <c r="B693" s="234" t="str">
        <f>IFERROR(__xludf.DUMMYFUNCTION("""COMPUTED_VALUE"""),"LM Hub_SP_Jundiaí")</f>
        <v>LM Hub_SP_Jundiaí</v>
      </c>
      <c r="C693" s="234" t="str">
        <f>IFERROR(__xludf.DUMMYFUNCTION("""COMPUTED_VALUE"""),"HUB-LSP-20")</f>
        <v>HUB-LSP-20</v>
      </c>
      <c r="D693" s="234">
        <f>IFERROR(__xludf.DUMMYFUNCTION("""COMPUTED_VALUE"""),6.0)</f>
        <v>6</v>
      </c>
      <c r="E693" s="237" t="str">
        <f>IFERROR(__xludf.DUMMYFUNCTION("""COMPUTED_VALUE"""),"LT0PBI01RV331")</f>
        <v>LT0PBI01RV331</v>
      </c>
      <c r="F693" s="238" t="str">
        <f>IFERROR(__xludf.DUMMYFUNCTION("""COMPUTED_VALUE"""),"ENU3E65")</f>
        <v>ENU3E65</v>
      </c>
      <c r="G693" s="238">
        <f>IFERROR(__xludf.DUMMYFUNCTION("""COMPUTED_VALUE"""),45979.97916666667)</f>
        <v>45979.97917</v>
      </c>
      <c r="H693" s="238">
        <f>IFERROR(__xludf.DUMMYFUNCTION("""COMPUTED_VALUE"""),45980.0625)</f>
        <v>45980.0625</v>
      </c>
      <c r="I693" s="237" t="str">
        <f t="shared" si="1"/>
        <v>Fora</v>
      </c>
      <c r="J693" s="239">
        <v>119.00000000023283</v>
      </c>
    </row>
    <row r="694">
      <c r="A694" s="234" t="s">
        <v>2388</v>
      </c>
      <c r="B694" s="234" t="str">
        <f>IFERROR(__xludf.DUMMYFUNCTION("""COMPUTED_VALUE"""),"LM Hub_SP_Várzea Paulista")</f>
        <v>LM Hub_SP_Várzea Paulista</v>
      </c>
      <c r="C694" s="234" t="str">
        <f>IFERROR(__xludf.DUMMYFUNCTION("""COMPUTED_VALUE"""),"HUB-LSP-61")</f>
        <v>HUB-LSP-61</v>
      </c>
      <c r="D694" s="234">
        <f>IFERROR(__xludf.DUMMYFUNCTION("""COMPUTED_VALUE"""),12.0)</f>
        <v>12</v>
      </c>
      <c r="E694" s="237" t="str">
        <f>IFERROR(__xludf.DUMMYFUNCTION("""COMPUTED_VALUE"""),"LT0PBI01RV201")</f>
        <v>LT0PBI01RV201</v>
      </c>
      <c r="F694" s="238" t="str">
        <f>IFERROR(__xludf.DUMMYFUNCTION("""COMPUTED_VALUE"""),"MXC1542,OVJ7491")</f>
        <v>MXC1542,OVJ7491</v>
      </c>
      <c r="G694" s="238">
        <f>IFERROR(__xludf.DUMMYFUNCTION("""COMPUTED_VALUE"""),45979.97986111111)</f>
        <v>45979.97986</v>
      </c>
      <c r="H694" s="238">
        <f>IFERROR(__xludf.DUMMYFUNCTION("""COMPUTED_VALUE"""),45980.0625)</f>
        <v>45980.0625</v>
      </c>
      <c r="I694" s="237" t="str">
        <f t="shared" si="1"/>
        <v>Fora</v>
      </c>
      <c r="J694" s="239">
        <v>240.00000000698492</v>
      </c>
    </row>
    <row r="695">
      <c r="A695" s="234" t="s">
        <v>2389</v>
      </c>
      <c r="B695" s="234" t="str">
        <f>IFERROR(__xludf.DUMMYFUNCTION("""COMPUTED_VALUE"""),"SoC_MG_Betim")</f>
        <v>SoC_MG_Betim</v>
      </c>
      <c r="C695" s="234" t="str">
        <f>IFERROR(__xludf.DUMMYFUNCTION("""COMPUTED_VALUE"""),"SOC-MG2")</f>
        <v>SOC-MG2</v>
      </c>
      <c r="D695" s="234">
        <f>IFERROR(__xludf.DUMMYFUNCTION("""COMPUTED_VALUE"""),43.0)</f>
        <v>43</v>
      </c>
      <c r="E695" s="237" t="str">
        <f>IFERROR(__xludf.DUMMYFUNCTION("""COMPUTED_VALUE"""),"LT0PBI01RUVM1")</f>
        <v>LT0PBI01RUVM1</v>
      </c>
      <c r="F695" s="238" t="str">
        <f>IFERROR(__xludf.DUMMYFUNCTION("""COMPUTED_VALUE"""),"ETM1G42,FUC8H71")</f>
        <v>ETM1G42,FUC8H71</v>
      </c>
      <c r="G695" s="238">
        <f>IFERROR(__xludf.DUMMYFUNCTION("""COMPUTED_VALUE"""),45979.95833333333)</f>
        <v>45979.95833</v>
      </c>
      <c r="H695" s="238">
        <f>IFERROR(__xludf.DUMMYFUNCTION("""COMPUTED_VALUE"""),45980.125)</f>
        <v>45980.125</v>
      </c>
      <c r="I695" s="237" t="str">
        <f t="shared" si="1"/>
        <v>Fora</v>
      </c>
      <c r="J695" s="239">
        <v>240.00000000698492</v>
      </c>
    </row>
    <row r="696">
      <c r="A696" s="234" t="s">
        <v>2390</v>
      </c>
      <c r="B696" s="234" t="str">
        <f>IFERROR(__xludf.DUMMYFUNCTION("""COMPUTED_VALUE"""),"SoC_SP_Cravinhos")</f>
        <v>SoC_SP_Cravinhos</v>
      </c>
      <c r="C696" s="234" t="str">
        <f>IFERROR(__xludf.DUMMYFUNCTION("""COMPUTED_VALUE"""),"SOC-SP5")</f>
        <v>SOC-SP5</v>
      </c>
      <c r="D696" s="234"/>
      <c r="E696" s="237" t="str">
        <f>IFERROR(__xludf.DUMMYFUNCTION("""COMPUTED_VALUE"""),"LT0PBI01RUXB1")</f>
        <v>LT0PBI01RUXB1</v>
      </c>
      <c r="F696" s="238" t="str">
        <f>IFERROR(__xludf.DUMMYFUNCTION("""COMPUTED_VALUE"""),"-")</f>
        <v>-</v>
      </c>
      <c r="G696" s="238">
        <f>IFERROR(__xludf.DUMMYFUNCTION("""COMPUTED_VALUE"""),45979.95833333333)</f>
        <v>45979.95833</v>
      </c>
      <c r="H696" s="238">
        <f>IFERROR(__xludf.DUMMYFUNCTION("""COMPUTED_VALUE"""),45980.125)</f>
        <v>45980.125</v>
      </c>
      <c r="I696" s="237" t="str">
        <f t="shared" si="1"/>
        <v>Fora</v>
      </c>
      <c r="J696" s="239">
        <v>119.99999999301508</v>
      </c>
    </row>
    <row r="697">
      <c r="A697" s="234" t="s">
        <v>2391</v>
      </c>
      <c r="B697" s="234" t="str">
        <f>IFERROR(__xludf.DUMMYFUNCTION("""COMPUTED_VALUE"""),"SoC_RJ_Duque de Caxias")</f>
        <v>SoC_RJ_Duque de Caxias</v>
      </c>
      <c r="C697" s="234" t="str">
        <f>IFERROR(__xludf.DUMMYFUNCTION("""COMPUTED_VALUE"""),"SOC-RJ2")</f>
        <v>SOC-RJ2</v>
      </c>
      <c r="D697" s="234"/>
      <c r="E697" s="237" t="str">
        <f>IFERROR(__xludf.DUMMYFUNCTION("""COMPUTED_VALUE"""),"LT1PBJ01SAF41")</f>
        <v>LT1PBJ01SAF41</v>
      </c>
      <c r="F697" s="238" t="str">
        <f>IFERROR(__xludf.DUMMYFUNCTION("""COMPUTED_VALUE"""),"-")</f>
        <v>-</v>
      </c>
      <c r="G697" s="238">
        <f>IFERROR(__xludf.DUMMYFUNCTION("""COMPUTED_VALUE"""),45980.04166666667)</f>
        <v>45980.04167</v>
      </c>
      <c r="H697" s="238">
        <f>IFERROR(__xludf.DUMMYFUNCTION("""COMPUTED_VALUE"""),45980.125)</f>
        <v>45980.125</v>
      </c>
      <c r="I697" s="237" t="str">
        <f t="shared" si="1"/>
        <v>Fora</v>
      </c>
      <c r="J697" s="239">
        <v>119.99999999301508</v>
      </c>
    </row>
    <row r="698">
      <c r="A698" s="234" t="s">
        <v>2392</v>
      </c>
      <c r="B698" s="234" t="str">
        <f>IFERROR(__xludf.DUMMYFUNCTION("""COMPUTED_VALUE"""),"SoC_RS_Gravataí_02")</f>
        <v>SoC_RS_Gravataí_02</v>
      </c>
      <c r="C698" s="234" t="str">
        <f>IFERROR(__xludf.DUMMYFUNCTION("""COMPUTED_VALUE"""),"SOC-RS2")</f>
        <v>SOC-RS2</v>
      </c>
      <c r="D698" s="234"/>
      <c r="E698" s="237" t="str">
        <f>IFERROR(__xludf.DUMMYFUNCTION("""COMPUTED_VALUE"""),"LT1PBJ01SAFD1")</f>
        <v>LT1PBJ01SAFD1</v>
      </c>
      <c r="F698" s="238" t="str">
        <f>IFERROR(__xludf.DUMMYFUNCTION("""COMPUTED_VALUE"""),"-")</f>
        <v>-</v>
      </c>
      <c r="G698" s="238">
        <f>IFERROR(__xludf.DUMMYFUNCTION("""COMPUTED_VALUE"""),45980.04166666667)</f>
        <v>45980.04167</v>
      </c>
      <c r="H698" s="238">
        <f>IFERROR(__xludf.DUMMYFUNCTION("""COMPUTED_VALUE"""),45980.125)</f>
        <v>45980.125</v>
      </c>
      <c r="I698" s="237" t="str">
        <f t="shared" si="1"/>
        <v>Fora</v>
      </c>
      <c r="J698" s="239">
        <v>119.99999999301508</v>
      </c>
    </row>
    <row r="699">
      <c r="A699" s="234" t="s">
        <v>2393</v>
      </c>
      <c r="B699" s="234" t="str">
        <f>IFERROR(__xludf.DUMMYFUNCTION("""COMPUTED_VALUE"""),"SoC_SC_Itajaí")</f>
        <v>SoC_SC_Itajaí</v>
      </c>
      <c r="C699" s="234" t="str">
        <f>IFERROR(__xludf.DUMMYFUNCTION("""COMPUTED_VALUE"""),"SOC-SC1")</f>
        <v>SOC-SC1</v>
      </c>
      <c r="D699" s="234">
        <f>IFERROR(__xludf.DUMMYFUNCTION("""COMPUTED_VALUE"""),27.0)</f>
        <v>27</v>
      </c>
      <c r="E699" s="237" t="str">
        <f>IFERROR(__xludf.DUMMYFUNCTION("""COMPUTED_VALUE"""),"LT0PBJ01RZMP1")</f>
        <v>LT0PBJ01RZMP1</v>
      </c>
      <c r="F699" s="238" t="str">
        <f>IFERROR(__xludf.DUMMYFUNCTION("""COMPUTED_VALUE"""),"MFH0A35,MBE3F36")</f>
        <v>MFH0A35,MBE3F36</v>
      </c>
      <c r="G699" s="238">
        <f>IFERROR(__xludf.DUMMYFUNCTION("""COMPUTED_VALUE"""),45980.04166666667)</f>
        <v>45980.04167</v>
      </c>
      <c r="H699" s="238">
        <f>IFERROR(__xludf.DUMMYFUNCTION("""COMPUTED_VALUE"""),45980.125)</f>
        <v>45980.125</v>
      </c>
      <c r="I699" s="237" t="str">
        <f t="shared" si="1"/>
        <v>Fora</v>
      </c>
      <c r="J699" s="239">
        <v>119.99999999301508</v>
      </c>
    </row>
    <row r="700">
      <c r="A700" s="234" t="s">
        <v>2394</v>
      </c>
      <c r="B700" s="234" t="str">
        <f>IFERROR(__xludf.DUMMYFUNCTION("""COMPUTED_VALUE"""),"SoC_SP_Cravinhos")</f>
        <v>SoC_SP_Cravinhos</v>
      </c>
      <c r="C700" s="234" t="str">
        <f>IFERROR(__xludf.DUMMYFUNCTION("""COMPUTED_VALUE"""),"SOC-SP5")</f>
        <v>SOC-SP5</v>
      </c>
      <c r="D700" s="234"/>
      <c r="E700" s="237" t="str">
        <f>IFERROR(__xludf.DUMMYFUNCTION("""COMPUTED_VALUE"""),"LT1PBJ01SAEY1")</f>
        <v>LT1PBJ01SAEY1</v>
      </c>
      <c r="F700" s="234"/>
      <c r="G700" s="238">
        <f>IFERROR(__xludf.DUMMYFUNCTION("""COMPUTED_VALUE"""),45980.04166666667)</f>
        <v>45980.04167</v>
      </c>
      <c r="H700" s="238">
        <f>IFERROR(__xludf.DUMMYFUNCTION("""COMPUTED_VALUE"""),45980.125)</f>
        <v>45980.125</v>
      </c>
      <c r="I700" s="237" t="str">
        <f t="shared" si="1"/>
        <v>Fora</v>
      </c>
      <c r="J700" s="239">
        <v>240.00000000698492</v>
      </c>
    </row>
    <row r="701">
      <c r="A701" s="234" t="s">
        <v>2395</v>
      </c>
      <c r="B701" s="234" t="str">
        <f>IFERROR(__xludf.DUMMYFUNCTION("""COMPUTED_VALUE"""),"SoC_GO_Goiânia_02")</f>
        <v>SoC_GO_Goiânia_02</v>
      </c>
      <c r="C701" s="234" t="str">
        <f>IFERROR(__xludf.DUMMYFUNCTION("""COMPUTED_VALUE"""),"SOC-GO2")</f>
        <v>SOC-GO2</v>
      </c>
      <c r="D701" s="234">
        <f>IFERROR(__xludf.DUMMYFUNCTION("""COMPUTED_VALUE"""),21.0)</f>
        <v>21</v>
      </c>
      <c r="E701" s="237" t="str">
        <f>IFERROR(__xludf.DUMMYFUNCTION("""COMPUTED_VALUE"""),"LT0PBJ01S0XB1")</f>
        <v>LT0PBJ01S0XB1</v>
      </c>
      <c r="F701" s="238" t="str">
        <f>IFERROR(__xludf.DUMMYFUNCTION("""COMPUTED_VALUE"""),"ITR0A91,JCK7A38")</f>
        <v>ITR0A91,JCK7A38</v>
      </c>
      <c r="G701" s="238">
        <f>IFERROR(__xludf.DUMMYFUNCTION("""COMPUTED_VALUE"""),45980.0)</f>
        <v>45980</v>
      </c>
      <c r="H701" s="238">
        <f>IFERROR(__xludf.DUMMYFUNCTION("""COMPUTED_VALUE"""),45980.16666666667)</f>
        <v>45980.16667</v>
      </c>
      <c r="I701" s="237" t="str">
        <f t="shared" si="1"/>
        <v>Fora</v>
      </c>
      <c r="J701" s="239">
        <v>240.00000000698492</v>
      </c>
    </row>
    <row r="702">
      <c r="A702" s="234" t="s">
        <v>2396</v>
      </c>
      <c r="B702" s="234" t="str">
        <f>IFERROR(__xludf.DUMMYFUNCTION("""COMPUTED_VALUE"""),"SoC_PE_Jaboatão dos Guararapes")</f>
        <v>SoC_PE_Jaboatão dos Guararapes</v>
      </c>
      <c r="C702" s="234" t="str">
        <f>IFERROR(__xludf.DUMMYFUNCTION("""COMPUTED_VALUE"""),"SOC-PE2")</f>
        <v>SOC-PE2</v>
      </c>
      <c r="D702" s="234">
        <f>IFERROR(__xludf.DUMMYFUNCTION("""COMPUTED_VALUE"""),29.0)</f>
        <v>29</v>
      </c>
      <c r="E702" s="237" t="str">
        <f>IFERROR(__xludf.DUMMYFUNCTION("""COMPUTED_VALUE"""),"LT0PBJ01S0MA1")</f>
        <v>LT0PBJ01S0MA1</v>
      </c>
      <c r="F702" s="238" t="str">
        <f>IFERROR(__xludf.DUMMYFUNCTION("""COMPUTED_VALUE"""),"PDB3F99,TWY5B78")</f>
        <v>PDB3F99,TWY5B78</v>
      </c>
      <c r="G702" s="238">
        <f>IFERROR(__xludf.DUMMYFUNCTION("""COMPUTED_VALUE"""),45980.0)</f>
        <v>45980</v>
      </c>
      <c r="H702" s="238">
        <f>IFERROR(__xludf.DUMMYFUNCTION("""COMPUTED_VALUE"""),45980.16666666667)</f>
        <v>45980.16667</v>
      </c>
      <c r="I702" s="237" t="str">
        <f t="shared" si="1"/>
        <v>Fora</v>
      </c>
      <c r="J702" s="239">
        <v>240.00000000698492</v>
      </c>
    </row>
    <row r="703">
      <c r="A703" s="234" t="s">
        <v>2397</v>
      </c>
      <c r="B703" s="234" t="str">
        <f>IFERROR(__xludf.DUMMYFUNCTION("""COMPUTED_VALUE"""),"SoC_SP_Santana")</f>
        <v>SoC_SP_Santana</v>
      </c>
      <c r="C703" s="234" t="str">
        <f>IFERROR(__xludf.DUMMYFUNCTION("""COMPUTED_VALUE"""),"SOC-SP2")</f>
        <v>SOC-SP2</v>
      </c>
      <c r="D703" s="234"/>
      <c r="E703" s="237" t="str">
        <f>IFERROR(__xludf.DUMMYFUNCTION("""COMPUTED_VALUE"""),"LT0PBJ01RVFB1")</f>
        <v>LT0PBJ01RVFB1</v>
      </c>
      <c r="F703" s="238" t="str">
        <f>IFERROR(__xludf.DUMMYFUNCTION("""COMPUTED_VALUE"""),"NFG8B11")</f>
        <v>NFG8B11</v>
      </c>
      <c r="G703" s="238">
        <f>IFERROR(__xludf.DUMMYFUNCTION("""COMPUTED_VALUE"""),45980.0)</f>
        <v>45980</v>
      </c>
      <c r="H703" s="238">
        <f>IFERROR(__xludf.DUMMYFUNCTION("""COMPUTED_VALUE"""),45980.16666666667)</f>
        <v>45980.16667</v>
      </c>
      <c r="I703" s="237" t="str">
        <f t="shared" si="1"/>
        <v>Fora</v>
      </c>
      <c r="J703" s="239">
        <v>239.0000000037253</v>
      </c>
    </row>
    <row r="704">
      <c r="A704" s="234" t="s">
        <v>2398</v>
      </c>
      <c r="B704" s="234" t="str">
        <f>IFERROR(__xludf.DUMMYFUNCTION("""COMPUTED_VALUE"""),"SoC_RJ_Duque de Caxias")</f>
        <v>SoC_RJ_Duque de Caxias</v>
      </c>
      <c r="C704" s="234" t="str">
        <f>IFERROR(__xludf.DUMMYFUNCTION("""COMPUTED_VALUE"""),"SOC-RJ2")</f>
        <v>SOC-RJ2</v>
      </c>
      <c r="D704" s="234">
        <f>IFERROR(__xludf.DUMMYFUNCTION("""COMPUTED_VALUE"""),13.0)</f>
        <v>13</v>
      </c>
      <c r="E704" s="237" t="str">
        <f>IFERROR(__xludf.DUMMYFUNCTION("""COMPUTED_VALUE"""),"LT0PBJ01RX6T1")</f>
        <v>LT0PBJ01RX6T1</v>
      </c>
      <c r="F704" s="238" t="str">
        <f>IFERROR(__xludf.DUMMYFUNCTION("""COMPUTED_VALUE"""),"HBF0565,EOE8420")</f>
        <v>HBF0565,EOE8420</v>
      </c>
      <c r="G704" s="238">
        <f>IFERROR(__xludf.DUMMYFUNCTION("""COMPUTED_VALUE"""),45980.00069444445)</f>
        <v>45980.00069</v>
      </c>
      <c r="H704" s="238">
        <f>IFERROR(__xludf.DUMMYFUNCTION("""COMPUTED_VALUE"""),45980.16666666667)</f>
        <v>45980.16667</v>
      </c>
      <c r="I704" s="237" t="str">
        <f t="shared" si="1"/>
        <v>Fora</v>
      </c>
      <c r="J704" s="239">
        <v>239.0000000037253</v>
      </c>
    </row>
    <row r="705">
      <c r="A705" s="234" t="s">
        <v>2399</v>
      </c>
      <c r="B705" s="234" t="str">
        <f>IFERROR(__xludf.DUMMYFUNCTION("""COMPUTED_VALUE"""),"SoC_RJ_Duque de Caxias")</f>
        <v>SoC_RJ_Duque de Caxias</v>
      </c>
      <c r="C705" s="234" t="str">
        <f>IFERROR(__xludf.DUMMYFUNCTION("""COMPUTED_VALUE"""),"SOC-RJ2")</f>
        <v>SOC-RJ2</v>
      </c>
      <c r="D705" s="234">
        <f>IFERROR(__xludf.DUMMYFUNCTION("""COMPUTED_VALUE"""),93.0)</f>
        <v>93</v>
      </c>
      <c r="E705" s="237" t="str">
        <f>IFERROR(__xludf.DUMMYFUNCTION("""COMPUTED_VALUE"""),"LT0PBJ01RX6V2")</f>
        <v>LT0PBJ01RX6V2</v>
      </c>
      <c r="F705" s="238" t="str">
        <f>IFERROR(__xludf.DUMMYFUNCTION("""COMPUTED_VALUE"""),"ODM5D47,QIG2D94")</f>
        <v>ODM5D47,QIG2D94</v>
      </c>
      <c r="G705" s="238">
        <f>IFERROR(__xludf.DUMMYFUNCTION("""COMPUTED_VALUE"""),45980.00069444445)</f>
        <v>45980.00069</v>
      </c>
      <c r="H705" s="238">
        <f>IFERROR(__xludf.DUMMYFUNCTION("""COMPUTED_VALUE"""),45980.16666666667)</f>
        <v>45980.16667</v>
      </c>
      <c r="I705" s="237" t="str">
        <f t="shared" si="1"/>
        <v>Fora</v>
      </c>
      <c r="J705" s="239">
        <v>239.0000000037253</v>
      </c>
    </row>
    <row r="706">
      <c r="A706" s="234" t="s">
        <v>2400</v>
      </c>
      <c r="B706" s="234" t="str">
        <f>IFERROR(__xludf.DUMMYFUNCTION("""COMPUTED_VALUE"""),"SoC_SP_Cravinhos")</f>
        <v>SoC_SP_Cravinhos</v>
      </c>
      <c r="C706" s="234" t="str">
        <f>IFERROR(__xludf.DUMMYFUNCTION("""COMPUTED_VALUE"""),"SOC-SP5")</f>
        <v>SOC-SP5</v>
      </c>
      <c r="D706" s="234"/>
      <c r="E706" s="237" t="str">
        <f>IFERROR(__xludf.DUMMYFUNCTION("""COMPUTED_VALUE"""),"LT0PBJ01RUWF1")</f>
        <v>LT0PBJ01RUWF1</v>
      </c>
      <c r="F706" s="238" t="str">
        <f>IFERROR(__xludf.DUMMYFUNCTION("""COMPUTED_VALUE"""),"-")</f>
        <v>-</v>
      </c>
      <c r="G706" s="238">
        <f>IFERROR(__xludf.DUMMYFUNCTION("""COMPUTED_VALUE"""),45980.00069444445)</f>
        <v>45980.00069</v>
      </c>
      <c r="H706" s="238">
        <f>IFERROR(__xludf.DUMMYFUNCTION("""COMPUTED_VALUE"""),45980.16666666667)</f>
        <v>45980.16667</v>
      </c>
      <c r="I706" s="237" t="str">
        <f t="shared" si="1"/>
        <v>Fora</v>
      </c>
      <c r="J706" s="239">
        <v>239.0000000037253</v>
      </c>
    </row>
    <row r="707">
      <c r="A707" s="234" t="s">
        <v>2401</v>
      </c>
      <c r="B707" s="234" t="str">
        <f>IFERROR(__xludf.DUMMYFUNCTION("""COMPUTED_VALUE"""),"SoC_SP_Cravinhos")</f>
        <v>SoC_SP_Cravinhos</v>
      </c>
      <c r="C707" s="234" t="str">
        <f>IFERROR(__xludf.DUMMYFUNCTION("""COMPUTED_VALUE"""),"SOC-SP5")</f>
        <v>SOC-SP5</v>
      </c>
      <c r="D707" s="234"/>
      <c r="E707" s="237" t="str">
        <f>IFERROR(__xludf.DUMMYFUNCTION("""COMPUTED_VALUE"""),"LT0PBJ01RUWH2")</f>
        <v>LT0PBJ01RUWH2</v>
      </c>
      <c r="F707" s="238" t="str">
        <f>IFERROR(__xludf.DUMMYFUNCTION("""COMPUTED_VALUE"""),"-")</f>
        <v>-</v>
      </c>
      <c r="G707" s="238">
        <f>IFERROR(__xludf.DUMMYFUNCTION("""COMPUTED_VALUE"""),45980.00069444445)</f>
        <v>45980.00069</v>
      </c>
      <c r="H707" s="238">
        <f>IFERROR(__xludf.DUMMYFUNCTION("""COMPUTED_VALUE"""),45980.16666666667)</f>
        <v>45980.16667</v>
      </c>
      <c r="I707" s="237" t="str">
        <f t="shared" si="1"/>
        <v>Fora</v>
      </c>
      <c r="J707" s="239">
        <v>237.0000000076834</v>
      </c>
    </row>
    <row r="708">
      <c r="A708" s="234" t="s">
        <v>2402</v>
      </c>
      <c r="B708" s="234" t="str">
        <f>IFERROR(__xludf.DUMMYFUNCTION("""COMPUTED_VALUE"""),"SoC_MG_Betim")</f>
        <v>SoC_MG_Betim</v>
      </c>
      <c r="C708" s="234" t="str">
        <f>IFERROR(__xludf.DUMMYFUNCTION("""COMPUTED_VALUE"""),"SOC-MG2")</f>
        <v>SOC-MG2</v>
      </c>
      <c r="D708" s="234">
        <f>IFERROR(__xludf.DUMMYFUNCTION("""COMPUTED_VALUE"""),47.0)</f>
        <v>47</v>
      </c>
      <c r="E708" s="237" t="str">
        <f>IFERROR(__xludf.DUMMYFUNCTION("""COMPUTED_VALUE"""),"LT0PBJ01RUUT1")</f>
        <v>LT0PBJ01RUUT1</v>
      </c>
      <c r="F708" s="238" t="str">
        <f>IFERROR(__xludf.DUMMYFUNCTION("""COMPUTED_VALUE"""),"GAB5B09,TAX1L63")</f>
        <v>GAB5B09,TAX1L63</v>
      </c>
      <c r="G708" s="238">
        <f>IFERROR(__xludf.DUMMYFUNCTION("""COMPUTED_VALUE"""),45980.00208333333)</f>
        <v>45980.00208</v>
      </c>
      <c r="H708" s="238">
        <f>IFERROR(__xludf.DUMMYFUNCTION("""COMPUTED_VALUE"""),45980.16666666667)</f>
        <v>45980.16667</v>
      </c>
      <c r="I708" s="237" t="str">
        <f t="shared" si="1"/>
        <v>Fora</v>
      </c>
      <c r="J708" s="239">
        <v>237.0000000076834</v>
      </c>
    </row>
    <row r="709">
      <c r="A709" s="234" t="s">
        <v>2403</v>
      </c>
      <c r="B709" s="234" t="str">
        <f>IFERROR(__xludf.DUMMYFUNCTION("""COMPUTED_VALUE"""),"SoC_MG_Betim")</f>
        <v>SoC_MG_Betim</v>
      </c>
      <c r="C709" s="234" t="str">
        <f>IFERROR(__xludf.DUMMYFUNCTION("""COMPUTED_VALUE"""),"SOC-MG2")</f>
        <v>SOC-MG2</v>
      </c>
      <c r="D709" s="234">
        <f>IFERROR(__xludf.DUMMYFUNCTION("""COMPUTED_VALUE"""),46.0)</f>
        <v>46</v>
      </c>
      <c r="E709" s="237" t="str">
        <f>IFERROR(__xludf.DUMMYFUNCTION("""COMPUTED_VALUE"""),"LT0PBJ01RUUV2")</f>
        <v>LT0PBJ01RUUV2</v>
      </c>
      <c r="F709" s="238" t="str">
        <f>IFERROR(__xludf.DUMMYFUNCTION("""COMPUTED_VALUE"""),"CNQ9G84,UEP4I46")</f>
        <v>CNQ9G84,UEP4I46</v>
      </c>
      <c r="G709" s="238">
        <f>IFERROR(__xludf.DUMMYFUNCTION("""COMPUTED_VALUE"""),45980.00208333333)</f>
        <v>45980.00208</v>
      </c>
      <c r="H709" s="238">
        <f>IFERROR(__xludf.DUMMYFUNCTION("""COMPUTED_VALUE"""),45980.16666666667)</f>
        <v>45980.16667</v>
      </c>
      <c r="I709" s="237" t="str">
        <f t="shared" si="1"/>
        <v>Fora</v>
      </c>
      <c r="J709" s="239">
        <v>237.0000000076834</v>
      </c>
    </row>
    <row r="710">
      <c r="A710" s="234" t="s">
        <v>2404</v>
      </c>
      <c r="B710" s="234" t="str">
        <f>IFERROR(__xludf.DUMMYFUNCTION("""COMPUTED_VALUE"""),"SoC_MG_Betim")</f>
        <v>SoC_MG_Betim</v>
      </c>
      <c r="C710" s="234" t="str">
        <f>IFERROR(__xludf.DUMMYFUNCTION("""COMPUTED_VALUE"""),"SOC-MG2")</f>
        <v>SOC-MG2</v>
      </c>
      <c r="D710" s="234">
        <f>IFERROR(__xludf.DUMMYFUNCTION("""COMPUTED_VALUE"""),42.0)</f>
        <v>42</v>
      </c>
      <c r="E710" s="237" t="str">
        <f>IFERROR(__xludf.DUMMYFUNCTION("""COMPUTED_VALUE"""),"LT0PBJ01RUUW3")</f>
        <v>LT0PBJ01RUUW3</v>
      </c>
      <c r="F710" s="238" t="str">
        <f>IFERROR(__xludf.DUMMYFUNCTION("""COMPUTED_VALUE"""),"ELC6G72,CUC6A04")</f>
        <v>ELC6G72,CUC6A04</v>
      </c>
      <c r="G710" s="238">
        <f>IFERROR(__xludf.DUMMYFUNCTION("""COMPUTED_VALUE"""),45980.00208333333)</f>
        <v>45980.00208</v>
      </c>
      <c r="H710" s="238">
        <f>IFERROR(__xludf.DUMMYFUNCTION("""COMPUTED_VALUE"""),45980.16666666667)</f>
        <v>45980.16667</v>
      </c>
      <c r="I710" s="237" t="str">
        <f t="shared" si="1"/>
        <v>Fora</v>
      </c>
      <c r="J710" s="239">
        <v>120.00000001396984</v>
      </c>
    </row>
    <row r="711">
      <c r="A711" s="234" t="s">
        <v>2405</v>
      </c>
      <c r="B711" s="234" t="str">
        <f>IFERROR(__xludf.DUMMYFUNCTION("""COMPUTED_VALUE"""),"LM Hub_SP_Tatuí")</f>
        <v>LM Hub_SP_Tatuí</v>
      </c>
      <c r="C711" s="234" t="str">
        <f>IFERROR(__xludf.DUMMYFUNCTION("""COMPUTED_VALUE"""),"HUB-LSP-51")</f>
        <v>HUB-LSP-51</v>
      </c>
      <c r="D711" s="234">
        <f>IFERROR(__xludf.DUMMYFUNCTION("""COMPUTED_VALUE"""),6.0)</f>
        <v>6</v>
      </c>
      <c r="E711" s="237" t="str">
        <f>IFERROR(__xludf.DUMMYFUNCTION("""COMPUTED_VALUE"""),"LT0PBJ01RUZN1")</f>
        <v>LT0PBJ01RUZN1</v>
      </c>
      <c r="F711" s="238" t="str">
        <f>IFERROR(__xludf.DUMMYFUNCTION("""COMPUTED_VALUE"""),"FLO1G76")</f>
        <v>FLO1G76</v>
      </c>
      <c r="G711" s="238">
        <f>IFERROR(__xludf.DUMMYFUNCTION("""COMPUTED_VALUE"""),45980.08333333333)</f>
        <v>45980.08333</v>
      </c>
      <c r="H711" s="238">
        <f>IFERROR(__xludf.DUMMYFUNCTION("""COMPUTED_VALUE"""),45980.16666666667)</f>
        <v>45980.16667</v>
      </c>
      <c r="I711" s="237" t="str">
        <f t="shared" si="1"/>
        <v>Fora</v>
      </c>
      <c r="J711" s="239">
        <v>120.00000001396984</v>
      </c>
    </row>
    <row r="712">
      <c r="A712" s="234" t="s">
        <v>2406</v>
      </c>
      <c r="B712" s="234" t="str">
        <f>IFERROR(__xludf.DUMMYFUNCTION("""COMPUTED_VALUE"""),"SoC_SP_Louveira")</f>
        <v>SoC_SP_Louveira</v>
      </c>
      <c r="C712" s="234" t="str">
        <f>IFERROR(__xludf.DUMMYFUNCTION("""COMPUTED_VALUE"""),"SOC-SP7")</f>
        <v>SOC-SP7</v>
      </c>
      <c r="D712" s="234">
        <f>IFERROR(__xludf.DUMMYFUNCTION("""COMPUTED_VALUE"""),33.0)</f>
        <v>33</v>
      </c>
      <c r="E712" s="237" t="str">
        <f>IFERROR(__xludf.DUMMYFUNCTION("""COMPUTED_VALUE"""),"LT1PBJ01SAEV1")</f>
        <v>LT1PBJ01SAEV1</v>
      </c>
      <c r="F712" s="238" t="str">
        <f>IFERROR(__xludf.DUMMYFUNCTION("""COMPUTED_VALUE"""),"EHH9B85,FFN2F39")</f>
        <v>EHH9B85,FFN2F39</v>
      </c>
      <c r="G712" s="238">
        <f>IFERROR(__xludf.DUMMYFUNCTION("""COMPUTED_VALUE"""),45980.08333333333)</f>
        <v>45980.08333</v>
      </c>
      <c r="H712" s="238">
        <f>IFERROR(__xludf.DUMMYFUNCTION("""COMPUTED_VALUE"""),45980.16666666667)</f>
        <v>45980.16667</v>
      </c>
      <c r="I712" s="237" t="str">
        <f t="shared" si="1"/>
        <v>Fora</v>
      </c>
      <c r="J712" s="239">
        <v>119.99999999301508</v>
      </c>
    </row>
    <row r="713">
      <c r="A713" s="234" t="s">
        <v>2407</v>
      </c>
      <c r="B713" s="234" t="str">
        <f>IFERROR(__xludf.DUMMYFUNCTION("""COMPUTED_VALUE"""),"LM Hub_MG_Varginha_Fausto")</f>
        <v>LM Hub_MG_Varginha_Fausto</v>
      </c>
      <c r="C713" s="234" t="str">
        <f>IFERROR(__xludf.DUMMYFUNCTION("""COMPUTED_VALUE"""),"HUB-LMG-45")</f>
        <v>HUB-LMG-45</v>
      </c>
      <c r="D713" s="234">
        <f>IFERROR(__xludf.DUMMYFUNCTION("""COMPUTED_VALUE"""),28.0)</f>
        <v>28</v>
      </c>
      <c r="E713" s="237" t="str">
        <f>IFERROR(__xludf.DUMMYFUNCTION("""COMPUTED_VALUE"""),"LT0PBJ01S0DO1")</f>
        <v>LT0PBJ01S0DO1</v>
      </c>
      <c r="F713" s="238" t="str">
        <f>IFERROR(__xludf.DUMMYFUNCTION("""COMPUTED_VALUE"""),"SVN1G23")</f>
        <v>SVN1G23</v>
      </c>
      <c r="G713" s="238">
        <f>IFERROR(__xludf.DUMMYFUNCTION("""COMPUTED_VALUE"""),45980.10416666667)</f>
        <v>45980.10417</v>
      </c>
      <c r="H713" s="238">
        <f>IFERROR(__xludf.DUMMYFUNCTION("""COMPUTED_VALUE"""),45980.1875)</f>
        <v>45980.1875</v>
      </c>
      <c r="I713" s="237" t="str">
        <f t="shared" si="1"/>
        <v>Fora</v>
      </c>
      <c r="J713" s="239">
        <v>119.99999999301508</v>
      </c>
    </row>
    <row r="714">
      <c r="A714" s="234" t="s">
        <v>2408</v>
      </c>
      <c r="B714" s="234" t="str">
        <f>IFERROR(__xludf.DUMMYFUNCTION("""COMPUTED_VALUE"""),"LM Hub_SP_Itapetininga")</f>
        <v>LM Hub_SP_Itapetininga</v>
      </c>
      <c r="C714" s="234" t="str">
        <f>IFERROR(__xludf.DUMMYFUNCTION("""COMPUTED_VALUE"""),"HUB-LSP-53")</f>
        <v>HUB-LSP-53</v>
      </c>
      <c r="D714" s="234">
        <f>IFERROR(__xludf.DUMMYFUNCTION("""COMPUTED_VALUE"""),16.0)</f>
        <v>16</v>
      </c>
      <c r="E714" s="237" t="str">
        <f>IFERROR(__xludf.DUMMYFUNCTION("""COMPUTED_VALUE"""),"LT0PBJ01RUZI1")</f>
        <v>LT0PBJ01RUZI1</v>
      </c>
      <c r="F714" s="238" t="str">
        <f>IFERROR(__xludf.DUMMYFUNCTION("""COMPUTED_VALUE"""),"FZY3F48")</f>
        <v>FZY3F48</v>
      </c>
      <c r="G714" s="238">
        <f>IFERROR(__xludf.DUMMYFUNCTION("""COMPUTED_VALUE"""),45980.10416666667)</f>
        <v>45980.10417</v>
      </c>
      <c r="H714" s="238">
        <f>IFERROR(__xludf.DUMMYFUNCTION("""COMPUTED_VALUE"""),45980.1875)</f>
        <v>45980.1875</v>
      </c>
      <c r="I714" s="237" t="str">
        <f t="shared" si="1"/>
        <v>Fora</v>
      </c>
      <c r="J714" s="239">
        <v>119.99999999301508</v>
      </c>
    </row>
    <row r="715">
      <c r="A715" s="234" t="s">
        <v>2409</v>
      </c>
      <c r="B715" s="234" t="str">
        <f>IFERROR(__xludf.DUMMYFUNCTION("""COMPUTED_VALUE"""),"LM Hub_SP_São Carlos")</f>
        <v>LM Hub_SP_São Carlos</v>
      </c>
      <c r="C715" s="234" t="str">
        <f>IFERROR(__xludf.DUMMYFUNCTION("""COMPUTED_VALUE"""),"HUB-LSP-31")</f>
        <v>HUB-LSP-31</v>
      </c>
      <c r="D715" s="234">
        <f>IFERROR(__xludf.DUMMYFUNCTION("""COMPUTED_VALUE"""),15.0)</f>
        <v>15</v>
      </c>
      <c r="E715" s="237" t="str">
        <f>IFERROR(__xludf.DUMMYFUNCTION("""COMPUTED_VALUE"""),"LT0PBJ01RV2C1")</f>
        <v>LT0PBJ01RV2C1</v>
      </c>
      <c r="F715" s="238" t="str">
        <f>IFERROR(__xludf.DUMMYFUNCTION("""COMPUTED_VALUE"""),"FZQ1I50")</f>
        <v>FZQ1I50</v>
      </c>
      <c r="G715" s="238">
        <f>IFERROR(__xludf.DUMMYFUNCTION("""COMPUTED_VALUE"""),45980.10416666667)</f>
        <v>45980.10417</v>
      </c>
      <c r="H715" s="238">
        <f>IFERROR(__xludf.DUMMYFUNCTION("""COMPUTED_VALUE"""),45980.1875)</f>
        <v>45980.1875</v>
      </c>
      <c r="I715" s="237" t="str">
        <f t="shared" si="1"/>
        <v>Fora</v>
      </c>
      <c r="J715" s="239">
        <v>299.9999999930151</v>
      </c>
    </row>
    <row r="716">
      <c r="A716" s="234" t="s">
        <v>2410</v>
      </c>
      <c r="B716" s="234" t="str">
        <f>IFERROR(__xludf.DUMMYFUNCTION("""COMPUTED_VALUE"""),"SoC_SP_Louveira")</f>
        <v>SoC_SP_Louveira</v>
      </c>
      <c r="C716" s="234" t="str">
        <f>IFERROR(__xludf.DUMMYFUNCTION("""COMPUTED_VALUE"""),"SOC-SP7")</f>
        <v>SOC-SP7</v>
      </c>
      <c r="D716" s="234">
        <f>IFERROR(__xludf.DUMMYFUNCTION("""COMPUTED_VALUE"""),40.0)</f>
        <v>40</v>
      </c>
      <c r="E716" s="237" t="str">
        <f>IFERROR(__xludf.DUMMYFUNCTION("""COMPUTED_VALUE"""),"LT0PBJ01RUXG1")</f>
        <v>LT0PBJ01RUXG1</v>
      </c>
      <c r="F716" s="238" t="str">
        <f>IFERROR(__xludf.DUMMYFUNCTION("""COMPUTED_VALUE"""),"STU3E60,SVG9I28")</f>
        <v>STU3E60,SVG9I28</v>
      </c>
      <c r="G716" s="238">
        <f>IFERROR(__xludf.DUMMYFUNCTION("""COMPUTED_VALUE"""),45980.0)</f>
        <v>45980</v>
      </c>
      <c r="H716" s="238">
        <f>IFERROR(__xludf.DUMMYFUNCTION("""COMPUTED_VALUE"""),45980.20833333333)</f>
        <v>45980.20833</v>
      </c>
      <c r="I716" s="237" t="str">
        <f t="shared" si="1"/>
        <v>Fora</v>
      </c>
      <c r="J716" s="239">
        <v>298.99999998975545</v>
      </c>
    </row>
    <row r="717">
      <c r="A717" s="234" t="s">
        <v>2411</v>
      </c>
      <c r="B717" s="234" t="str">
        <f>IFERROR(__xludf.DUMMYFUNCTION("""COMPUTED_VALUE"""),"SoC_PR_Curitiba")</f>
        <v>SoC_PR_Curitiba</v>
      </c>
      <c r="C717" s="234" t="str">
        <f>IFERROR(__xludf.DUMMYFUNCTION("""COMPUTED_VALUE"""),"SOC-PR1")</f>
        <v>SOC-PR1</v>
      </c>
      <c r="D717" s="234">
        <f>IFERROR(__xludf.DUMMYFUNCTION("""COMPUTED_VALUE"""),41.0)</f>
        <v>41</v>
      </c>
      <c r="E717" s="237" t="str">
        <f>IFERROR(__xludf.DUMMYFUNCTION("""COMPUTED_VALUE"""),"LT0PBJ01RUVR1")</f>
        <v>LT0PBJ01RUVR1</v>
      </c>
      <c r="F717" s="238" t="str">
        <f>IFERROR(__xludf.DUMMYFUNCTION("""COMPUTED_VALUE"""),"CUC1I14,BEX8B17")</f>
        <v>CUC1I14,BEX8B17</v>
      </c>
      <c r="G717" s="238">
        <f>IFERROR(__xludf.DUMMYFUNCTION("""COMPUTED_VALUE"""),45980.00069444445)</f>
        <v>45980.00069</v>
      </c>
      <c r="H717" s="238">
        <f>IFERROR(__xludf.DUMMYFUNCTION("""COMPUTED_VALUE"""),45980.20833333333)</f>
        <v>45980.20833</v>
      </c>
      <c r="I717" s="237" t="str">
        <f t="shared" si="1"/>
        <v>Fora</v>
      </c>
      <c r="J717" s="239">
        <v>298.99999998975545</v>
      </c>
    </row>
    <row r="718">
      <c r="A718" s="234" t="s">
        <v>2412</v>
      </c>
      <c r="B718" s="234" t="str">
        <f>IFERROR(__xludf.DUMMYFUNCTION("""COMPUTED_VALUE"""),"SoC_RS_Gravataí_02")</f>
        <v>SoC_RS_Gravataí_02</v>
      </c>
      <c r="C718" s="234" t="str">
        <f>IFERROR(__xludf.DUMMYFUNCTION("""COMPUTED_VALUE"""),"SOC-RS2")</f>
        <v>SOC-RS2</v>
      </c>
      <c r="D718" s="234">
        <f>IFERROR(__xludf.DUMMYFUNCTION("""COMPUTED_VALUE"""),26.0)</f>
        <v>26</v>
      </c>
      <c r="E718" s="237" t="str">
        <f>IFERROR(__xludf.DUMMYFUNCTION("""COMPUTED_VALUE"""),"LT0PBJ01S10Y1")</f>
        <v>LT0PBJ01S10Y1</v>
      </c>
      <c r="F718" s="238" t="str">
        <f>IFERROR(__xludf.DUMMYFUNCTION("""COMPUTED_VALUE"""),"JAB9D57,JCU3F99")</f>
        <v>JAB9D57,JCU3F99</v>
      </c>
      <c r="G718" s="238">
        <f>IFERROR(__xludf.DUMMYFUNCTION("""COMPUTED_VALUE"""),45980.00069444445)</f>
        <v>45980.00069</v>
      </c>
      <c r="H718" s="238">
        <f>IFERROR(__xludf.DUMMYFUNCTION("""COMPUTED_VALUE"""),45980.20833333333)</f>
        <v>45980.20833</v>
      </c>
      <c r="I718" s="237" t="str">
        <f t="shared" si="1"/>
        <v>Fora</v>
      </c>
      <c r="J718" s="239">
        <v>297.9999999864958</v>
      </c>
    </row>
    <row r="719">
      <c r="A719" s="234" t="s">
        <v>2413</v>
      </c>
      <c r="B719" s="234" t="str">
        <f>IFERROR(__xludf.DUMMYFUNCTION("""COMPUTED_VALUE"""),"SoC_BA_Simoes Filho")</f>
        <v>SoC_BA_Simoes Filho</v>
      </c>
      <c r="C719" s="234" t="str">
        <f>IFERROR(__xludf.DUMMYFUNCTION("""COMPUTED_VALUE"""),"SOC-BA2")</f>
        <v>SOC-BA2</v>
      </c>
      <c r="D719" s="234">
        <f>IFERROR(__xludf.DUMMYFUNCTION("""COMPUTED_VALUE"""),32.0)</f>
        <v>32</v>
      </c>
      <c r="E719" s="237" t="str">
        <f>IFERROR(__xludf.DUMMYFUNCTION("""COMPUTED_VALUE"""),"LT0PBJ01S0Q31")</f>
        <v>LT0PBJ01S0Q31</v>
      </c>
      <c r="F719" s="238" t="str">
        <f>IFERROR(__xludf.DUMMYFUNCTION("""COMPUTED_VALUE"""),"FYQ3A83,TEJ7G43")</f>
        <v>FYQ3A83,TEJ7G43</v>
      </c>
      <c r="G719" s="238">
        <f>IFERROR(__xludf.DUMMYFUNCTION("""COMPUTED_VALUE"""),45980.00138888889)</f>
        <v>45980.00139</v>
      </c>
      <c r="H719" s="238">
        <f>IFERROR(__xludf.DUMMYFUNCTION("""COMPUTED_VALUE"""),45980.20833333333)</f>
        <v>45980.20833</v>
      </c>
      <c r="I719" s="237" t="str">
        <f t="shared" si="1"/>
        <v>Fora</v>
      </c>
      <c r="J719" s="239">
        <v>297.9999999864958</v>
      </c>
    </row>
    <row r="720">
      <c r="A720" s="234" t="s">
        <v>2414</v>
      </c>
      <c r="B720" s="234" t="str">
        <f>IFERROR(__xludf.DUMMYFUNCTION("""COMPUTED_VALUE"""),"SoC_BA_Simoes Filho")</f>
        <v>SoC_BA_Simoes Filho</v>
      </c>
      <c r="C720" s="234" t="str">
        <f>IFERROR(__xludf.DUMMYFUNCTION("""COMPUTED_VALUE"""),"SOC-BA2")</f>
        <v>SOC-BA2</v>
      </c>
      <c r="D720" s="234">
        <f>IFERROR(__xludf.DUMMYFUNCTION("""COMPUTED_VALUE"""),33.0)</f>
        <v>33</v>
      </c>
      <c r="E720" s="237" t="str">
        <f>IFERROR(__xludf.DUMMYFUNCTION("""COMPUTED_VALUE"""),"LT0PBJ01S0Q52")</f>
        <v>LT0PBJ01S0Q52</v>
      </c>
      <c r="F720" s="238" t="str">
        <f>IFERROR(__xludf.DUMMYFUNCTION("""COMPUTED_VALUE"""),"ELU0H20,TEW0A65")</f>
        <v>ELU0H20,TEW0A65</v>
      </c>
      <c r="G720" s="238">
        <f>IFERROR(__xludf.DUMMYFUNCTION("""COMPUTED_VALUE"""),45980.00138888889)</f>
        <v>45980.00139</v>
      </c>
      <c r="H720" s="238">
        <f>IFERROR(__xludf.DUMMYFUNCTION("""COMPUTED_VALUE"""),45980.20833333333)</f>
        <v>45980.20833</v>
      </c>
      <c r="I720" s="237" t="str">
        <f t="shared" si="1"/>
        <v>Fora</v>
      </c>
      <c r="J720" s="239">
        <v>119.99999999301508</v>
      </c>
    </row>
    <row r="721">
      <c r="A721" s="234" t="s">
        <v>2415</v>
      </c>
      <c r="B721" s="234" t="str">
        <f>IFERROR(__xludf.DUMMYFUNCTION("""COMPUTED_VALUE"""),"LM Hub_SP_Itapeva")</f>
        <v>LM Hub_SP_Itapeva</v>
      </c>
      <c r="C721" s="234" t="str">
        <f>IFERROR(__xludf.DUMMYFUNCTION("""COMPUTED_VALUE"""),"HUB-LSP-39")</f>
        <v>HUB-LSP-39</v>
      </c>
      <c r="D721" s="234">
        <f>IFERROR(__xludf.DUMMYFUNCTION("""COMPUTED_VALUE"""),12.0)</f>
        <v>12</v>
      </c>
      <c r="E721" s="237" t="str">
        <f>IFERROR(__xludf.DUMMYFUNCTION("""COMPUTED_VALUE"""),"LT0PBJ01RUZS1")</f>
        <v>LT0PBJ01RUZS1</v>
      </c>
      <c r="F721" s="238" t="str">
        <f>IFERROR(__xludf.DUMMYFUNCTION("""COMPUTED_VALUE"""),"DTC3E38")</f>
        <v>DTC3E38</v>
      </c>
      <c r="G721" s="238">
        <f>IFERROR(__xludf.DUMMYFUNCTION("""COMPUTED_VALUE"""),45980.125)</f>
        <v>45980.125</v>
      </c>
      <c r="H721" s="238">
        <f>IFERROR(__xludf.DUMMYFUNCTION("""COMPUTED_VALUE"""),45980.20833333333)</f>
        <v>45980.20833</v>
      </c>
      <c r="I721" s="237" t="str">
        <f t="shared" si="1"/>
        <v>Fora</v>
      </c>
      <c r="J721" s="239">
        <v>119.99999999301508</v>
      </c>
    </row>
    <row r="722">
      <c r="A722" s="234" t="s">
        <v>2416</v>
      </c>
      <c r="B722" s="234" t="str">
        <f>IFERROR(__xludf.DUMMYFUNCTION("""COMPUTED_VALUE"""),"LM Hub_SP_Registro")</f>
        <v>LM Hub_SP_Registro</v>
      </c>
      <c r="C722" s="234" t="str">
        <f>IFERROR(__xludf.DUMMYFUNCTION("""COMPUTED_VALUE"""),"HUB-LSP-40")</f>
        <v>HUB-LSP-40</v>
      </c>
      <c r="D722" s="234">
        <f>IFERROR(__xludf.DUMMYFUNCTION("""COMPUTED_VALUE"""),17.0)</f>
        <v>17</v>
      </c>
      <c r="E722" s="237" t="str">
        <f>IFERROR(__xludf.DUMMYFUNCTION("""COMPUTED_VALUE"""),"LT0PBJ01RV0D1")</f>
        <v>LT0PBJ01RV0D1</v>
      </c>
      <c r="F722" s="238" t="str">
        <f>IFERROR(__xludf.DUMMYFUNCTION("""COMPUTED_VALUE"""),"FSV9B90")</f>
        <v>FSV9B90</v>
      </c>
      <c r="G722" s="238">
        <f>IFERROR(__xludf.DUMMYFUNCTION("""COMPUTED_VALUE"""),45980.125)</f>
        <v>45980.125</v>
      </c>
      <c r="H722" s="238">
        <f>IFERROR(__xludf.DUMMYFUNCTION("""COMPUTED_VALUE"""),45980.20833333333)</f>
        <v>45980.20833</v>
      </c>
      <c r="I722" s="237" t="str">
        <f t="shared" si="1"/>
        <v>Fora</v>
      </c>
      <c r="J722" s="239">
        <v>119.99999999301508</v>
      </c>
    </row>
    <row r="723">
      <c r="A723" s="234" t="s">
        <v>2417</v>
      </c>
      <c r="B723" s="234" t="str">
        <f>IFERROR(__xludf.DUMMYFUNCTION("""COMPUTED_VALUE"""),"LM Hub_SP_Sumaré_Nova Veneza_1")</f>
        <v>LM Hub_SP_Sumaré_Nova Veneza_1</v>
      </c>
      <c r="C723" s="234" t="str">
        <f>IFERROR(__xludf.DUMMYFUNCTION("""COMPUTED_VALUE"""),"HUB-LSP-88")</f>
        <v>HUB-LSP-88</v>
      </c>
      <c r="D723" s="234">
        <f>IFERROR(__xludf.DUMMYFUNCTION("""COMPUTED_VALUE"""),9.0)</f>
        <v>9</v>
      </c>
      <c r="E723" s="237" t="str">
        <f>IFERROR(__xludf.DUMMYFUNCTION("""COMPUTED_VALUE"""),"LT0PBJ01S09Z1")</f>
        <v>LT0PBJ01S09Z1</v>
      </c>
      <c r="F723" s="238" t="str">
        <f>IFERROR(__xludf.DUMMYFUNCTION("""COMPUTED_VALUE"""),"EGJ9547")</f>
        <v>EGJ9547</v>
      </c>
      <c r="G723" s="238">
        <f>IFERROR(__xludf.DUMMYFUNCTION("""COMPUTED_VALUE"""),45980.125)</f>
        <v>45980.125</v>
      </c>
      <c r="H723" s="238">
        <f>IFERROR(__xludf.DUMMYFUNCTION("""COMPUTED_VALUE"""),45980.20833333333)</f>
        <v>45980.20833</v>
      </c>
      <c r="I723" s="237" t="str">
        <f t="shared" si="1"/>
        <v>Fora</v>
      </c>
      <c r="J723" s="239">
        <v>119.99999999301508</v>
      </c>
    </row>
    <row r="724">
      <c r="A724" s="234" t="s">
        <v>2418</v>
      </c>
      <c r="B724" s="234" t="str">
        <f>IFERROR(__xludf.DUMMYFUNCTION("""COMPUTED_VALUE"""),"SoC_PE_Jaboatão dos Guararapes")</f>
        <v>SoC_PE_Jaboatão dos Guararapes</v>
      </c>
      <c r="C724" s="234" t="str">
        <f>IFERROR(__xludf.DUMMYFUNCTION("""COMPUTED_VALUE"""),"SOC-PE2")</f>
        <v>SOC-PE2</v>
      </c>
      <c r="D724" s="234">
        <f>IFERROR(__xludf.DUMMYFUNCTION("""COMPUTED_VALUE"""),23.0)</f>
        <v>23</v>
      </c>
      <c r="E724" s="237" t="str">
        <f>IFERROR(__xludf.DUMMYFUNCTION("""COMPUTED_VALUE"""),"LT1PBJ01SAFB1")</f>
        <v>LT1PBJ01SAFB1</v>
      </c>
      <c r="F724" s="238" t="str">
        <f>IFERROR(__xludf.DUMMYFUNCTION("""COMPUTED_VALUE"""),"FQH6G88,GJR8I07")</f>
        <v>FQH6G88,GJR8I07</v>
      </c>
      <c r="G724" s="238">
        <f>IFERROR(__xludf.DUMMYFUNCTION("""COMPUTED_VALUE"""),45980.125)</f>
        <v>45980.125</v>
      </c>
      <c r="H724" s="238">
        <f>IFERROR(__xludf.DUMMYFUNCTION("""COMPUTED_VALUE"""),45980.20833333333)</f>
        <v>45980.20833</v>
      </c>
      <c r="I724" s="237" t="str">
        <f t="shared" si="1"/>
        <v>Fora</v>
      </c>
      <c r="J724" s="239">
        <v>119.99999999301508</v>
      </c>
    </row>
    <row r="725">
      <c r="A725" s="234" t="s">
        <v>2419</v>
      </c>
      <c r="B725" s="234" t="str">
        <f>IFERROR(__xludf.DUMMYFUNCTION("""COMPUTED_VALUE"""),"SoC_SC_Itajaí")</f>
        <v>SoC_SC_Itajaí</v>
      </c>
      <c r="C725" s="234" t="str">
        <f>IFERROR(__xludf.DUMMYFUNCTION("""COMPUTED_VALUE"""),"SOC-SC1")</f>
        <v>SOC-SC1</v>
      </c>
      <c r="D725" s="234">
        <f>IFERROR(__xludf.DUMMYFUNCTION("""COMPUTED_VALUE"""),22.0)</f>
        <v>22</v>
      </c>
      <c r="E725" s="237" t="str">
        <f>IFERROR(__xludf.DUMMYFUNCTION("""COMPUTED_VALUE"""),"LT1PBJ01SAFG1")</f>
        <v>LT1PBJ01SAFG1</v>
      </c>
      <c r="F725" s="238" t="str">
        <f>IFERROR(__xludf.DUMMYFUNCTION("""COMPUTED_VALUE"""),"QJF7263,QJL2863")</f>
        <v>QJF7263,QJL2863</v>
      </c>
      <c r="G725" s="238">
        <f>IFERROR(__xludf.DUMMYFUNCTION("""COMPUTED_VALUE"""),45980.125)</f>
        <v>45980.125</v>
      </c>
      <c r="H725" s="238">
        <f>IFERROR(__xludf.DUMMYFUNCTION("""COMPUTED_VALUE"""),45980.20833333333)</f>
        <v>45980.20833</v>
      </c>
      <c r="I725" s="237" t="str">
        <f t="shared" si="1"/>
        <v>Fora</v>
      </c>
      <c r="J725" s="239">
        <v>119.99999999301508</v>
      </c>
    </row>
    <row r="726">
      <c r="A726" s="234" t="s">
        <v>2420</v>
      </c>
      <c r="B726" s="234" t="str">
        <f>IFERROR(__xludf.DUMMYFUNCTION("""COMPUTED_VALUE"""),"SoC_SP_Cravinhos")</f>
        <v>SoC_SP_Cravinhos</v>
      </c>
      <c r="C726" s="234" t="str">
        <f>IFERROR(__xludf.DUMMYFUNCTION("""COMPUTED_VALUE"""),"SOC-SP5")</f>
        <v>SOC-SP5</v>
      </c>
      <c r="D726" s="234">
        <f>IFERROR(__xludf.DUMMYFUNCTION("""COMPUTED_VALUE"""),45.0)</f>
        <v>45</v>
      </c>
      <c r="E726" s="237" t="str">
        <f>IFERROR(__xludf.DUMMYFUNCTION("""COMPUTED_VALUE"""),"LT1PBJ01SAEZ1")</f>
        <v>LT1PBJ01SAEZ1</v>
      </c>
      <c r="F726" s="238" t="str">
        <f>IFERROR(__xludf.DUMMYFUNCTION("""COMPUTED_VALUE"""),"UAW6H35,RYS7F90")</f>
        <v>UAW6H35,RYS7F90</v>
      </c>
      <c r="G726" s="238">
        <f>IFERROR(__xludf.DUMMYFUNCTION("""COMPUTED_VALUE"""),45980.125)</f>
        <v>45980.125</v>
      </c>
      <c r="H726" s="238">
        <f>IFERROR(__xludf.DUMMYFUNCTION("""COMPUTED_VALUE"""),45980.20833333333)</f>
        <v>45980.20833</v>
      </c>
      <c r="I726" s="237" t="str">
        <f t="shared" si="1"/>
        <v>Fora</v>
      </c>
      <c r="J726" s="239">
        <v>119.99999999301508</v>
      </c>
    </row>
    <row r="727">
      <c r="A727" s="234" t="s">
        <v>2421</v>
      </c>
      <c r="B727" s="234" t="str">
        <f>IFERROR(__xludf.DUMMYFUNCTION("""COMPUTED_VALUE"""),"SoC_SP_Cravinhos")</f>
        <v>SoC_SP_Cravinhos</v>
      </c>
      <c r="C727" s="234" t="str">
        <f>IFERROR(__xludf.DUMMYFUNCTION("""COMPUTED_VALUE"""),"SOC-SP5")</f>
        <v>SOC-SP5</v>
      </c>
      <c r="D727" s="234">
        <f>IFERROR(__xludf.DUMMYFUNCTION("""COMPUTED_VALUE"""),39.0)</f>
        <v>39</v>
      </c>
      <c r="E727" s="237" t="str">
        <f>IFERROR(__xludf.DUMMYFUNCTION("""COMPUTED_VALUE"""),"LT0PBJ01S20L1")</f>
        <v>LT0PBJ01S20L1</v>
      </c>
      <c r="F727" s="238" t="str">
        <f>IFERROR(__xludf.DUMMYFUNCTION("""COMPUTED_VALUE"""),"GHJ3J72,TKW6E15")</f>
        <v>GHJ3J72,TKW6E15</v>
      </c>
      <c r="G727" s="238">
        <f>IFERROR(__xludf.DUMMYFUNCTION("""COMPUTED_VALUE"""),45980.125)</f>
        <v>45980.125</v>
      </c>
      <c r="H727" s="238">
        <f>IFERROR(__xludf.DUMMYFUNCTION("""COMPUTED_VALUE"""),45980.20833333333)</f>
        <v>45980.20833</v>
      </c>
      <c r="I727" s="237" t="str">
        <f t="shared" si="1"/>
        <v>Fora</v>
      </c>
      <c r="J727" s="239">
        <v>120.00000001396984</v>
      </c>
    </row>
    <row r="728">
      <c r="A728" s="234" t="s">
        <v>2422</v>
      </c>
      <c r="B728" s="234" t="str">
        <f>IFERROR(__xludf.DUMMYFUNCTION("""COMPUTED_VALUE"""),"LM Hub_SP_Campinas_São Martinho")</f>
        <v>LM Hub_SP_Campinas_São Martinho</v>
      </c>
      <c r="C728" s="234" t="str">
        <f>IFERROR(__xludf.DUMMYFUNCTION("""COMPUTED_VALUE"""),"HUB-LSP-19")</f>
        <v>HUB-LSP-19</v>
      </c>
      <c r="D728" s="234"/>
      <c r="E728" s="237" t="str">
        <f>IFERROR(__xludf.DUMMYFUNCTION("""COMPUTED_VALUE"""),"LT0PBJ01RV381")</f>
        <v>LT0PBJ01RV381</v>
      </c>
      <c r="F728" s="238" t="str">
        <f>IFERROR(__xludf.DUMMYFUNCTION("""COMPUTED_VALUE"""),"EFV5C06")</f>
        <v>EFV5C06</v>
      </c>
      <c r="G728" s="238">
        <f>IFERROR(__xludf.DUMMYFUNCTION("""COMPUTED_VALUE"""),45980.14583333333)</f>
        <v>45980.14583</v>
      </c>
      <c r="H728" s="238">
        <f>IFERROR(__xludf.DUMMYFUNCTION("""COMPUTED_VALUE"""),45980.22916666667)</f>
        <v>45980.22917</v>
      </c>
      <c r="I728" s="237" t="str">
        <f t="shared" si="1"/>
        <v>Fora</v>
      </c>
      <c r="J728" s="239">
        <v>120.00000001396984</v>
      </c>
    </row>
    <row r="729">
      <c r="A729" s="234" t="s">
        <v>2423</v>
      </c>
      <c r="B729" s="234" t="str">
        <f>IFERROR(__xludf.DUMMYFUNCTION("""COMPUTED_VALUE"""),"LM Hub_SP_Mogi Mirim")</f>
        <v>LM Hub_SP_Mogi Mirim</v>
      </c>
      <c r="C729" s="234" t="str">
        <f>IFERROR(__xludf.DUMMYFUNCTION("""COMPUTED_VALUE"""),"HUB-LSP-37")</f>
        <v>HUB-LSP-37</v>
      </c>
      <c r="D729" s="234">
        <f>IFERROR(__xludf.DUMMYFUNCTION("""COMPUTED_VALUE"""),34.0)</f>
        <v>34</v>
      </c>
      <c r="E729" s="237" t="str">
        <f>IFERROR(__xludf.DUMMYFUNCTION("""COMPUTED_VALUE"""),"LT0PBJ01RV2H1")</f>
        <v>LT0PBJ01RV2H1</v>
      </c>
      <c r="F729" s="238" t="str">
        <f>IFERROR(__xludf.DUMMYFUNCTION("""COMPUTED_VALUE"""),"TLE4D84")</f>
        <v>TLE4D84</v>
      </c>
      <c r="G729" s="238">
        <f>IFERROR(__xludf.DUMMYFUNCTION("""COMPUTED_VALUE"""),45980.14583333333)</f>
        <v>45980.14583</v>
      </c>
      <c r="H729" s="238">
        <f>IFERROR(__xludf.DUMMYFUNCTION("""COMPUTED_VALUE"""),45980.22916666667)</f>
        <v>45980.22917</v>
      </c>
      <c r="I729" s="237" t="str">
        <f t="shared" si="1"/>
        <v>Fora</v>
      </c>
      <c r="J729" s="239">
        <v>120.00000001396984</v>
      </c>
    </row>
    <row r="730">
      <c r="A730" s="234" t="s">
        <v>2424</v>
      </c>
      <c r="B730" s="234" t="str">
        <f>IFERROR(__xludf.DUMMYFUNCTION("""COMPUTED_VALUE"""),"LM Hub_SP_Osasco_02")</f>
        <v>LM Hub_SP_Osasco_02</v>
      </c>
      <c r="C730" s="234" t="str">
        <f>IFERROR(__xludf.DUMMYFUNCTION("""COMPUTED_VALUE"""),"HUB-LSP-60")</f>
        <v>HUB-LSP-60</v>
      </c>
      <c r="D730" s="234">
        <f>IFERROR(__xludf.DUMMYFUNCTION("""COMPUTED_VALUE"""),18.0)</f>
        <v>18</v>
      </c>
      <c r="E730" s="237" t="str">
        <f>IFERROR(__xludf.DUMMYFUNCTION("""COMPUTED_VALUE"""),"LT0PBJ01RW2Z1")</f>
        <v>LT0PBJ01RW2Z1</v>
      </c>
      <c r="F730" s="238" t="str">
        <f>IFERROR(__xludf.DUMMYFUNCTION("""COMPUTED_VALUE"""),"FEU6H63")</f>
        <v>FEU6H63</v>
      </c>
      <c r="G730" s="238">
        <f>IFERROR(__xludf.DUMMYFUNCTION("""COMPUTED_VALUE"""),45980.14583333333)</f>
        <v>45980.14583</v>
      </c>
      <c r="H730" s="238">
        <f>IFERROR(__xludf.DUMMYFUNCTION("""COMPUTED_VALUE"""),45980.22916666667)</f>
        <v>45980.22917</v>
      </c>
      <c r="I730" s="237" t="str">
        <f t="shared" si="1"/>
        <v>Fora</v>
      </c>
      <c r="J730" s="239">
        <v>119.00000001071021</v>
      </c>
    </row>
    <row r="731">
      <c r="A731" s="234" t="s">
        <v>2425</v>
      </c>
      <c r="B731" s="234" t="str">
        <f>IFERROR(__xludf.DUMMYFUNCTION("""COMPUTED_VALUE"""),"LM Hub_SP_Sorocaba_Região Norte")</f>
        <v>LM Hub_SP_Sorocaba_Região Norte</v>
      </c>
      <c r="C731" s="234" t="str">
        <f>IFERROR(__xludf.DUMMYFUNCTION("""COMPUTED_VALUE"""),"HUB-LSP-10")</f>
        <v>HUB-LSP-10</v>
      </c>
      <c r="D731" s="234">
        <f>IFERROR(__xludf.DUMMYFUNCTION("""COMPUTED_VALUE"""),16.0)</f>
        <v>16</v>
      </c>
      <c r="E731" s="237" t="str">
        <f>IFERROR(__xludf.DUMMYFUNCTION("""COMPUTED_VALUE"""),"LT0PBJ01RV1E1")</f>
        <v>LT0PBJ01RV1E1</v>
      </c>
      <c r="F731" s="238" t="str">
        <f>IFERROR(__xludf.DUMMYFUNCTION("""COMPUTED_VALUE"""),"GHJ3E37,OUU8J45")</f>
        <v>GHJ3E37,OUU8J45</v>
      </c>
      <c r="G731" s="238">
        <f>IFERROR(__xludf.DUMMYFUNCTION("""COMPUTED_VALUE"""),45980.146527777775)</f>
        <v>45980.14653</v>
      </c>
      <c r="H731" s="238">
        <f>IFERROR(__xludf.DUMMYFUNCTION("""COMPUTED_VALUE"""),45980.22916666667)</f>
        <v>45980.22917</v>
      </c>
      <c r="I731" s="237" t="str">
        <f t="shared" si="1"/>
        <v>Fora</v>
      </c>
      <c r="J731" s="239">
        <v>118.99999998975545</v>
      </c>
    </row>
    <row r="732">
      <c r="A732" s="234" t="s">
        <v>2426</v>
      </c>
      <c r="B732" s="234" t="str">
        <f>IFERROR(__xludf.DUMMYFUNCTION("""COMPUTED_VALUE"""),"SoC_GO_Goiânia_02")</f>
        <v>SoC_GO_Goiânia_02</v>
      </c>
      <c r="C732" s="234" t="str">
        <f>IFERROR(__xludf.DUMMYFUNCTION("""COMPUTED_VALUE"""),"SOC-GO2")</f>
        <v>SOC-GO2</v>
      </c>
      <c r="D732" s="234"/>
      <c r="E732" s="237" t="str">
        <f>IFERROR(__xludf.DUMMYFUNCTION("""COMPUTED_VALUE"""),"LT1PBJ01SAFI1")</f>
        <v>LT1PBJ01SAFI1</v>
      </c>
      <c r="F732" s="238" t="str">
        <f>IFERROR(__xludf.DUMMYFUNCTION("""COMPUTED_VALUE"""),"-")</f>
        <v>-</v>
      </c>
      <c r="G732" s="238">
        <f>IFERROR(__xludf.DUMMYFUNCTION("""COMPUTED_VALUE"""),45980.16666666667)</f>
        <v>45980.16667</v>
      </c>
      <c r="H732" s="238">
        <f>IFERROR(__xludf.DUMMYFUNCTION("""COMPUTED_VALUE"""),45980.24930555555)</f>
        <v>45980.24931</v>
      </c>
      <c r="I732" s="237" t="str">
        <f t="shared" si="1"/>
        <v>Fora</v>
      </c>
      <c r="J732" s="239">
        <v>118.99999998975545</v>
      </c>
    </row>
    <row r="733">
      <c r="A733" s="234" t="s">
        <v>2427</v>
      </c>
      <c r="B733" s="234" t="str">
        <f>IFERROR(__xludf.DUMMYFUNCTION("""COMPUTED_VALUE"""),"SoC_RJ_Duque de Caxias")</f>
        <v>SoC_RJ_Duque de Caxias</v>
      </c>
      <c r="C733" s="234" t="str">
        <f>IFERROR(__xludf.DUMMYFUNCTION("""COMPUTED_VALUE"""),"SOC-RJ2")</f>
        <v>SOC-RJ2</v>
      </c>
      <c r="D733" s="234"/>
      <c r="E733" s="237" t="str">
        <f>IFERROR(__xludf.DUMMYFUNCTION("""COMPUTED_VALUE"""),"LT1PBJ01SAF51")</f>
        <v>LT1PBJ01SAF51</v>
      </c>
      <c r="F733" s="234"/>
      <c r="G733" s="238">
        <f>IFERROR(__xludf.DUMMYFUNCTION("""COMPUTED_VALUE"""),45980.16666666667)</f>
        <v>45980.16667</v>
      </c>
      <c r="H733" s="238">
        <f>IFERROR(__xludf.DUMMYFUNCTION("""COMPUTED_VALUE"""),45980.24930555555)</f>
        <v>45980.24931</v>
      </c>
      <c r="I733" s="237" t="str">
        <f t="shared" si="1"/>
        <v>Fora</v>
      </c>
      <c r="J733" s="239">
        <v>419.0000000037253</v>
      </c>
    </row>
    <row r="734">
      <c r="A734" s="234" t="s">
        <v>2428</v>
      </c>
      <c r="B734" s="234" t="str">
        <f>IFERROR(__xludf.DUMMYFUNCTION("""COMPUTED_VALUE"""),"SoC_RJ_Duque de Caxias")</f>
        <v>SoC_RJ_Duque de Caxias</v>
      </c>
      <c r="C734" s="234" t="str">
        <f>IFERROR(__xludf.DUMMYFUNCTION("""COMPUTED_VALUE"""),"SOC-RJ2")</f>
        <v>SOC-RJ2</v>
      </c>
      <c r="D734" s="234">
        <f>IFERROR(__xludf.DUMMYFUNCTION("""COMPUTED_VALUE"""),5.0)</f>
        <v>5</v>
      </c>
      <c r="E734" s="237" t="str">
        <f>IFERROR(__xludf.DUMMYFUNCTION("""COMPUTED_VALUE"""),"LT0PBI01RX7X1")</f>
        <v>LT0PBI01RX7X1</v>
      </c>
      <c r="F734" s="238" t="str">
        <f>IFERROR(__xludf.DUMMYFUNCTION("""COMPUTED_VALUE"""),"EJW5F77,MQF1293")</f>
        <v>EJW5F77,MQF1293</v>
      </c>
      <c r="G734" s="238">
        <f>IFERROR(__xludf.DUMMYFUNCTION("""COMPUTED_VALUE"""),45979.959027777775)</f>
        <v>45979.95903</v>
      </c>
      <c r="H734" s="238">
        <f>IFERROR(__xludf.DUMMYFUNCTION("""COMPUTED_VALUE"""),45980.25)</f>
        <v>45980.25</v>
      </c>
      <c r="I734" s="237" t="str">
        <f t="shared" si="1"/>
        <v>Fora</v>
      </c>
      <c r="J734" s="239">
        <v>419.0000000037253</v>
      </c>
    </row>
    <row r="735">
      <c r="A735" s="234" t="s">
        <v>2429</v>
      </c>
      <c r="B735" s="234" t="str">
        <f>IFERROR(__xludf.DUMMYFUNCTION("""COMPUTED_VALUE"""),"SoC_RJ_Duque de Caxias")</f>
        <v>SoC_RJ_Duque de Caxias</v>
      </c>
      <c r="C735" s="234" t="str">
        <f>IFERROR(__xludf.DUMMYFUNCTION("""COMPUTED_VALUE"""),"SOC-RJ2")</f>
        <v>SOC-RJ2</v>
      </c>
      <c r="D735" s="234">
        <f>IFERROR(__xludf.DUMMYFUNCTION("""COMPUTED_VALUE"""),92.0)</f>
        <v>92</v>
      </c>
      <c r="E735" s="237" t="str">
        <f>IFERROR(__xludf.DUMMYFUNCTION("""COMPUTED_VALUE"""),"LT0PBI01RX7Z2")</f>
        <v>LT0PBI01RX7Z2</v>
      </c>
      <c r="F735" s="238" t="str">
        <f>IFERROR(__xludf.DUMMYFUNCTION("""COMPUTED_VALUE"""),"MIE3A76,NFV9C52")</f>
        <v>MIE3A76,NFV9C52</v>
      </c>
      <c r="G735" s="238">
        <f>IFERROR(__xludf.DUMMYFUNCTION("""COMPUTED_VALUE"""),45979.959027777775)</f>
        <v>45979.95903</v>
      </c>
      <c r="H735" s="238">
        <f>IFERROR(__xludf.DUMMYFUNCTION("""COMPUTED_VALUE"""),45980.25)</f>
        <v>45980.25</v>
      </c>
      <c r="I735" s="237" t="str">
        <f t="shared" si="1"/>
        <v>Fora</v>
      </c>
      <c r="J735" s="239">
        <v>299.00000000023283</v>
      </c>
    </row>
    <row r="736">
      <c r="A736" s="234" t="s">
        <v>2430</v>
      </c>
      <c r="B736" s="234" t="str">
        <f>IFERROR(__xludf.DUMMYFUNCTION("""COMPUTED_VALUE"""),"SoC_PE_Jaboatão dos Guararapes")</f>
        <v>SoC_PE_Jaboatão dos Guararapes</v>
      </c>
      <c r="C736" s="234" t="str">
        <f>IFERROR(__xludf.DUMMYFUNCTION("""COMPUTED_VALUE"""),"SOC-PE2")</f>
        <v>SOC-PE2</v>
      </c>
      <c r="D736" s="234">
        <f>IFERROR(__xludf.DUMMYFUNCTION("""COMPUTED_VALUE"""),24.0)</f>
        <v>24</v>
      </c>
      <c r="E736" s="237" t="str">
        <f>IFERROR(__xludf.DUMMYFUNCTION("""COMPUTED_VALUE"""),"LT0PBJ01S0MH1")</f>
        <v>LT0PBJ01S0MH1</v>
      </c>
      <c r="F736" s="238" t="str">
        <f>IFERROR(__xludf.DUMMYFUNCTION("""COMPUTED_VALUE"""),"QHB4B38,TME0I46")</f>
        <v>QHB4B38,TME0I46</v>
      </c>
      <c r="G736" s="238">
        <f>IFERROR(__xludf.DUMMYFUNCTION("""COMPUTED_VALUE"""),45980.04236111111)</f>
        <v>45980.04236</v>
      </c>
      <c r="H736" s="238">
        <f>IFERROR(__xludf.DUMMYFUNCTION("""COMPUTED_VALUE"""),45980.25)</f>
        <v>45980.25</v>
      </c>
      <c r="I736" s="237" t="str">
        <f t="shared" si="1"/>
        <v>Fora</v>
      </c>
      <c r="J736" s="239">
        <v>240.00000000698492</v>
      </c>
    </row>
    <row r="737">
      <c r="A737" s="234" t="s">
        <v>2431</v>
      </c>
      <c r="B737" s="234" t="str">
        <f>IFERROR(__xludf.DUMMYFUNCTION("""COMPUTED_VALUE"""),"SoC_RJ_Duque de Caxias")</f>
        <v>SoC_RJ_Duque de Caxias</v>
      </c>
      <c r="C737" s="234" t="str">
        <f>IFERROR(__xludf.DUMMYFUNCTION("""COMPUTED_VALUE"""),"SOC-RJ2")</f>
        <v>SOC-RJ2</v>
      </c>
      <c r="D737" s="234"/>
      <c r="E737" s="237" t="str">
        <f>IFERROR(__xludf.DUMMYFUNCTION("""COMPUTED_VALUE"""),"LT0PBJ01RX6X1")</f>
        <v>LT0PBJ01RX6X1</v>
      </c>
      <c r="F737" s="238" t="str">
        <f>IFERROR(__xludf.DUMMYFUNCTION("""COMPUTED_VALUE"""),"CLJ9I30,RDS4H58")</f>
        <v>CLJ9I30,RDS4H58</v>
      </c>
      <c r="G737" s="238">
        <f>IFERROR(__xludf.DUMMYFUNCTION("""COMPUTED_VALUE"""),45980.08333333333)</f>
        <v>45980.08333</v>
      </c>
      <c r="H737" s="238">
        <f>IFERROR(__xludf.DUMMYFUNCTION("""COMPUTED_VALUE"""),45980.25)</f>
        <v>45980.25</v>
      </c>
      <c r="I737" s="237" t="str">
        <f t="shared" si="1"/>
        <v>Fora</v>
      </c>
      <c r="J737" s="239">
        <v>180.0</v>
      </c>
    </row>
    <row r="738">
      <c r="A738" s="234" t="s">
        <v>2432</v>
      </c>
      <c r="B738" s="234" t="str">
        <f>IFERROR(__xludf.DUMMYFUNCTION("""COMPUTED_VALUE"""),"SoC_SP_Santana")</f>
        <v>SoC_SP_Santana</v>
      </c>
      <c r="C738" s="234" t="str">
        <f>IFERROR(__xludf.DUMMYFUNCTION("""COMPUTED_VALUE"""),"SOC-SP2")</f>
        <v>SOC-SP2</v>
      </c>
      <c r="D738" s="234">
        <f>IFERROR(__xludf.DUMMYFUNCTION("""COMPUTED_VALUE"""),35.0)</f>
        <v>35</v>
      </c>
      <c r="E738" s="237" t="str">
        <f>IFERROR(__xludf.DUMMYFUNCTION("""COMPUTED_VALUE"""),"LT0PBJ01RVFE1")</f>
        <v>LT0PBJ01RVFE1</v>
      </c>
      <c r="F738" s="238" t="str">
        <f>IFERROR(__xludf.DUMMYFUNCTION("""COMPUTED_VALUE"""),"EJY6I98,DJE1615")</f>
        <v>EJY6I98,DJE1615</v>
      </c>
      <c r="G738" s="238">
        <f>IFERROR(__xludf.DUMMYFUNCTION("""COMPUTED_VALUE"""),45980.125)</f>
        <v>45980.125</v>
      </c>
      <c r="H738" s="238">
        <f>IFERROR(__xludf.DUMMYFUNCTION("""COMPUTED_VALUE"""),45980.25)</f>
        <v>45980.25</v>
      </c>
      <c r="I738" s="237" t="str">
        <f t="shared" si="1"/>
        <v>Fora</v>
      </c>
      <c r="J738" s="239">
        <v>119.99999999301508</v>
      </c>
    </row>
    <row r="739">
      <c r="A739" s="234" t="s">
        <v>2433</v>
      </c>
      <c r="B739" s="234" t="str">
        <f>IFERROR(__xludf.DUMMYFUNCTION("""COMPUTED_VALUE"""),"LM Hub_ES_Viana")</f>
        <v>LM Hub_ES_Viana</v>
      </c>
      <c r="C739" s="234" t="str">
        <f>IFERROR(__xludf.DUMMYFUNCTION("""COMPUTED_VALUE"""),"HUB-LES-09")</f>
        <v>HUB-LES-09</v>
      </c>
      <c r="D739" s="234">
        <f>IFERROR(__xludf.DUMMYFUNCTION("""COMPUTED_VALUE"""),14.0)</f>
        <v>14</v>
      </c>
      <c r="E739" s="237" t="str">
        <f>IFERROR(__xludf.DUMMYFUNCTION("""COMPUTED_VALUE"""),"LT0PBJ01RZ2F1")</f>
        <v>LT0PBJ01RZ2F1</v>
      </c>
      <c r="F739" s="238" t="str">
        <f>IFERROR(__xludf.DUMMYFUNCTION("""COMPUTED_VALUE"""),"FIV1H06")</f>
        <v>FIV1H06</v>
      </c>
      <c r="G739" s="238">
        <f>IFERROR(__xludf.DUMMYFUNCTION("""COMPUTED_VALUE"""),45980.16666666667)</f>
        <v>45980.16667</v>
      </c>
      <c r="H739" s="238">
        <f>IFERROR(__xludf.DUMMYFUNCTION("""COMPUTED_VALUE"""),45980.25)</f>
        <v>45980.25</v>
      </c>
      <c r="I739" s="237" t="str">
        <f t="shared" si="1"/>
        <v>Fora</v>
      </c>
      <c r="J739" s="239">
        <v>119.99999999301508</v>
      </c>
    </row>
    <row r="740">
      <c r="A740" s="234" t="s">
        <v>2434</v>
      </c>
      <c r="B740" s="234" t="str">
        <f>IFERROR(__xludf.DUMMYFUNCTION("""COMPUTED_VALUE"""),"LM Hub_SP_Guaratinguetá")</f>
        <v>LM Hub_SP_Guaratinguetá</v>
      </c>
      <c r="C740" s="234" t="str">
        <f>IFERROR(__xludf.DUMMYFUNCTION("""COMPUTED_VALUE"""),"HUB-LSP-33")</f>
        <v>HUB-LSP-33</v>
      </c>
      <c r="D740" s="234">
        <f>IFERROR(__xludf.DUMMYFUNCTION("""COMPUTED_VALUE"""),22.0)</f>
        <v>22</v>
      </c>
      <c r="E740" s="237" t="str">
        <f>IFERROR(__xludf.DUMMYFUNCTION("""COMPUTED_VALUE"""),"LT0PBJ01RV0O1")</f>
        <v>LT0PBJ01RV0O1</v>
      </c>
      <c r="F740" s="238" t="str">
        <f>IFERROR(__xludf.DUMMYFUNCTION("""COMPUTED_VALUE"""),"EKH3880")</f>
        <v>EKH3880</v>
      </c>
      <c r="G740" s="238">
        <f>IFERROR(__xludf.DUMMYFUNCTION("""COMPUTED_VALUE"""),45980.16666666667)</f>
        <v>45980.16667</v>
      </c>
      <c r="H740" s="238">
        <f>IFERROR(__xludf.DUMMYFUNCTION("""COMPUTED_VALUE"""),45980.25)</f>
        <v>45980.25</v>
      </c>
      <c r="I740" s="237" t="str">
        <f t="shared" si="1"/>
        <v>Fora</v>
      </c>
      <c r="J740" s="239">
        <v>119.99999999301508</v>
      </c>
    </row>
    <row r="741">
      <c r="A741" s="234" t="s">
        <v>2435</v>
      </c>
      <c r="B741" s="234" t="str">
        <f>IFERROR(__xludf.DUMMYFUNCTION("""COMPUTED_VALUE"""),"LM Hub_SP_Limeira_Campo Belo")</f>
        <v>LM Hub_SP_Limeira_Campo Belo</v>
      </c>
      <c r="C741" s="234" t="str">
        <f>IFERROR(__xludf.DUMMYFUNCTION("""COMPUTED_VALUE"""),"HUB-LSP-24")</f>
        <v>HUB-LSP-24</v>
      </c>
      <c r="D741" s="234">
        <f>IFERROR(__xludf.DUMMYFUNCTION("""COMPUTED_VALUE"""),23.0)</f>
        <v>23</v>
      </c>
      <c r="E741" s="237" t="str">
        <f>IFERROR(__xludf.DUMMYFUNCTION("""COMPUTED_VALUE"""),"LT0PBJ01RV1L1")</f>
        <v>LT0PBJ01RV1L1</v>
      </c>
      <c r="F741" s="238" t="str">
        <f>IFERROR(__xludf.DUMMYFUNCTION("""COMPUTED_VALUE"""),"UDI0A98")</f>
        <v>UDI0A98</v>
      </c>
      <c r="G741" s="238">
        <f>IFERROR(__xludf.DUMMYFUNCTION("""COMPUTED_VALUE"""),45980.16666666667)</f>
        <v>45980.16667</v>
      </c>
      <c r="H741" s="238">
        <f>IFERROR(__xludf.DUMMYFUNCTION("""COMPUTED_VALUE"""),45980.25)</f>
        <v>45980.25</v>
      </c>
      <c r="I741" s="237" t="str">
        <f t="shared" si="1"/>
        <v>Fora</v>
      </c>
      <c r="J741" s="239">
        <v>119.99999999301508</v>
      </c>
    </row>
    <row r="742">
      <c r="A742" s="234" t="s">
        <v>2436</v>
      </c>
      <c r="B742" s="234" t="str">
        <f>IFERROR(__xludf.DUMMYFUNCTION("""COMPUTED_VALUE"""),"LM Hub_SP_Várzea Paulista")</f>
        <v>LM Hub_SP_Várzea Paulista</v>
      </c>
      <c r="C742" s="234" t="str">
        <f>IFERROR(__xludf.DUMMYFUNCTION("""COMPUTED_VALUE"""),"HUB-LSP-61")</f>
        <v>HUB-LSP-61</v>
      </c>
      <c r="D742" s="234">
        <f>IFERROR(__xludf.DUMMYFUNCTION("""COMPUTED_VALUE"""),7.0)</f>
        <v>7</v>
      </c>
      <c r="E742" s="237" t="str">
        <f>IFERROR(__xludf.DUMMYFUNCTION("""COMPUTED_VALUE"""),"LT0PBJ01RV1V1")</f>
        <v>LT0PBJ01RV1V1</v>
      </c>
      <c r="F742" s="238" t="str">
        <f>IFERROR(__xludf.DUMMYFUNCTION("""COMPUTED_VALUE"""),"HNQ8267")</f>
        <v>HNQ8267</v>
      </c>
      <c r="G742" s="238">
        <f>IFERROR(__xludf.DUMMYFUNCTION("""COMPUTED_VALUE"""),45980.16666666667)</f>
        <v>45980.16667</v>
      </c>
      <c r="H742" s="238">
        <f>IFERROR(__xludf.DUMMYFUNCTION("""COMPUTED_VALUE"""),45980.25)</f>
        <v>45980.25</v>
      </c>
      <c r="I742" s="237" t="str">
        <f t="shared" si="1"/>
        <v>Fora</v>
      </c>
      <c r="J742" s="239">
        <v>119.99999999301508</v>
      </c>
    </row>
    <row r="743">
      <c r="A743" s="234" t="s">
        <v>2437</v>
      </c>
      <c r="B743" s="234" t="str">
        <f>IFERROR(__xludf.DUMMYFUNCTION("""COMPUTED_VALUE"""),"SoC_RS_Gravataí_02")</f>
        <v>SoC_RS_Gravataí_02</v>
      </c>
      <c r="C743" s="234" t="str">
        <f>IFERROR(__xludf.DUMMYFUNCTION("""COMPUTED_VALUE"""),"SOC-RS2")</f>
        <v>SOC-RS2</v>
      </c>
      <c r="D743" s="234">
        <f>IFERROR(__xludf.DUMMYFUNCTION("""COMPUTED_VALUE"""),25.0)</f>
        <v>25</v>
      </c>
      <c r="E743" s="237" t="str">
        <f>IFERROR(__xludf.DUMMYFUNCTION("""COMPUTED_VALUE"""),"LT1PBJ01SAFE1")</f>
        <v>LT1PBJ01SAFE1</v>
      </c>
      <c r="F743" s="238" t="str">
        <f>IFERROR(__xludf.DUMMYFUNCTION("""COMPUTED_VALUE"""),"EZU6H02,STX5H87")</f>
        <v>EZU6H02,STX5H87</v>
      </c>
      <c r="G743" s="238">
        <f>IFERROR(__xludf.DUMMYFUNCTION("""COMPUTED_VALUE"""),45980.16666666667)</f>
        <v>45980.16667</v>
      </c>
      <c r="H743" s="238">
        <f>IFERROR(__xludf.DUMMYFUNCTION("""COMPUTED_VALUE"""),45980.25)</f>
        <v>45980.25</v>
      </c>
      <c r="I743" s="237" t="str">
        <f t="shared" si="1"/>
        <v>Fora</v>
      </c>
      <c r="J743" s="239">
        <v>119.99999999301508</v>
      </c>
    </row>
    <row r="744">
      <c r="A744" s="234" t="s">
        <v>2438</v>
      </c>
      <c r="B744" s="234" t="str">
        <f>IFERROR(__xludf.DUMMYFUNCTION("""COMPUTED_VALUE"""),"SoC_SP_Guarulhos")</f>
        <v>SoC_SP_Guarulhos</v>
      </c>
      <c r="C744" s="234" t="str">
        <f>IFERROR(__xludf.DUMMYFUNCTION("""COMPUTED_VALUE"""),"SOC-SP6")</f>
        <v>SOC-SP6</v>
      </c>
      <c r="D744" s="234">
        <f>IFERROR(__xludf.DUMMYFUNCTION("""COMPUTED_VALUE"""),38.0)</f>
        <v>38</v>
      </c>
      <c r="E744" s="237" t="str">
        <f>IFERROR(__xludf.DUMMYFUNCTION("""COMPUTED_VALUE"""),"LT1PBJ01SB1L1")</f>
        <v>LT1PBJ01SB1L1</v>
      </c>
      <c r="F744" s="238" t="str">
        <f>IFERROR(__xludf.DUMMYFUNCTION("""COMPUTED_VALUE"""),"ASH4C66,BWP2G99")</f>
        <v>ASH4C66,BWP2G99</v>
      </c>
      <c r="G744" s="238">
        <f>IFERROR(__xludf.DUMMYFUNCTION("""COMPUTED_VALUE"""),45980.16666666667)</f>
        <v>45980.16667</v>
      </c>
      <c r="H744" s="238">
        <f>IFERROR(__xludf.DUMMYFUNCTION("""COMPUTED_VALUE"""),45980.25)</f>
        <v>45980.25</v>
      </c>
      <c r="I744" s="237" t="str">
        <f t="shared" si="1"/>
        <v>Fora</v>
      </c>
      <c r="J744" s="239">
        <v>119.99999999301508</v>
      </c>
    </row>
    <row r="745">
      <c r="A745" s="234" t="s">
        <v>2439</v>
      </c>
      <c r="B745" s="234" t="str">
        <f>IFERROR(__xludf.DUMMYFUNCTION("""COMPUTED_VALUE"""),"LM Hub_SP_Atibaia_Ponte_Alta")</f>
        <v>LM Hub_SP_Atibaia_Ponte_Alta</v>
      </c>
      <c r="C745" s="234" t="str">
        <f>IFERROR(__xludf.DUMMYFUNCTION("""COMPUTED_VALUE"""),"HUB-LSP-87")</f>
        <v>HUB-LSP-87</v>
      </c>
      <c r="D745" s="234">
        <f>IFERROR(__xludf.DUMMYFUNCTION("""COMPUTED_VALUE"""),17.0)</f>
        <v>17</v>
      </c>
      <c r="E745" s="237" t="str">
        <f>IFERROR(__xludf.DUMMYFUNCTION("""COMPUTED_VALUE"""),"LT0PBJ01RYWY1")</f>
        <v>LT0PBJ01RYWY1</v>
      </c>
      <c r="F745" s="238" t="str">
        <f>IFERROR(__xludf.DUMMYFUNCTION("""COMPUTED_VALUE"""),"PRI3H29")</f>
        <v>PRI3H29</v>
      </c>
      <c r="G745" s="238">
        <f>IFERROR(__xludf.DUMMYFUNCTION("""COMPUTED_VALUE"""),45980.1875)</f>
        <v>45980.1875</v>
      </c>
      <c r="H745" s="238">
        <f>IFERROR(__xludf.DUMMYFUNCTION("""COMPUTED_VALUE"""),45980.27083333333)</f>
        <v>45980.27083</v>
      </c>
      <c r="I745" s="237" t="str">
        <f t="shared" si="1"/>
        <v>Fora</v>
      </c>
      <c r="J745" s="239">
        <v>119.99999999301508</v>
      </c>
    </row>
    <row r="746">
      <c r="A746" s="234" t="s">
        <v>2440</v>
      </c>
      <c r="B746" s="234" t="str">
        <f>IFERROR(__xludf.DUMMYFUNCTION("""COMPUTED_VALUE"""),"LM Hub_SP_Embu das Artes")</f>
        <v>LM Hub_SP_Embu das Artes</v>
      </c>
      <c r="C746" s="234" t="str">
        <f>IFERROR(__xludf.DUMMYFUNCTION("""COMPUTED_VALUE"""),"HUB-LSP-36")</f>
        <v>HUB-LSP-36</v>
      </c>
      <c r="D746" s="234">
        <f>IFERROR(__xludf.DUMMYFUNCTION("""COMPUTED_VALUE"""),26.0)</f>
        <v>26</v>
      </c>
      <c r="E746" s="237" t="str">
        <f>IFERROR(__xludf.DUMMYFUNCTION("""COMPUTED_VALUE"""),"LT0PBJ01RW481")</f>
        <v>LT0PBJ01RW481</v>
      </c>
      <c r="F746" s="238" t="str">
        <f>IFERROR(__xludf.DUMMYFUNCTION("""COMPUTED_VALUE"""),"SWA1B76")</f>
        <v>SWA1B76</v>
      </c>
      <c r="G746" s="238">
        <f>IFERROR(__xludf.DUMMYFUNCTION("""COMPUTED_VALUE"""),45980.1875)</f>
        <v>45980.1875</v>
      </c>
      <c r="H746" s="238">
        <f>IFERROR(__xludf.DUMMYFUNCTION("""COMPUTED_VALUE"""),45980.27083333333)</f>
        <v>45980.27083</v>
      </c>
      <c r="I746" s="237" t="str">
        <f t="shared" si="1"/>
        <v>Fora</v>
      </c>
      <c r="J746" s="239">
        <v>119.99999999301508</v>
      </c>
    </row>
    <row r="747">
      <c r="A747" s="234" t="s">
        <v>2441</v>
      </c>
      <c r="B747" s="234" t="str">
        <f>IFERROR(__xludf.DUMMYFUNCTION("""COMPUTED_VALUE"""),"LM Hub_SP_Taubaté")</f>
        <v>LM Hub_SP_Taubaté</v>
      </c>
      <c r="C747" s="234" t="str">
        <f>IFERROR(__xludf.DUMMYFUNCTION("""COMPUTED_VALUE"""),"HUB-LSP-08")</f>
        <v>HUB-LSP-08</v>
      </c>
      <c r="D747" s="234">
        <f>IFERROR(__xludf.DUMMYFUNCTION("""COMPUTED_VALUE"""),19.0)</f>
        <v>19</v>
      </c>
      <c r="E747" s="237" t="str">
        <f>IFERROR(__xludf.DUMMYFUNCTION("""COMPUTED_VALUE"""),"LT0PBJ01RV0Y1")</f>
        <v>LT0PBJ01RV0Y1</v>
      </c>
      <c r="F747" s="238" t="str">
        <f>IFERROR(__xludf.DUMMYFUNCTION("""COMPUTED_VALUE"""),"ECT4I26")</f>
        <v>ECT4I26</v>
      </c>
      <c r="G747" s="238">
        <f>IFERROR(__xludf.DUMMYFUNCTION("""COMPUTED_VALUE"""),45980.1875)</f>
        <v>45980.1875</v>
      </c>
      <c r="H747" s="238">
        <f>IFERROR(__xludf.DUMMYFUNCTION("""COMPUTED_VALUE"""),45980.27083333333)</f>
        <v>45980.27083</v>
      </c>
      <c r="I747" s="237" t="str">
        <f t="shared" si="1"/>
        <v>Fora</v>
      </c>
      <c r="J747" s="239">
        <v>120.00000001396984</v>
      </c>
    </row>
    <row r="748">
      <c r="A748" s="234" t="s">
        <v>2442</v>
      </c>
      <c r="B748" s="234" t="str">
        <f>IFERROR(__xludf.DUMMYFUNCTION("""COMPUTED_VALUE"""),"LM Hub_SP_Barueri_01")</f>
        <v>LM Hub_SP_Barueri_01</v>
      </c>
      <c r="C748" s="234" t="str">
        <f>IFERROR(__xludf.DUMMYFUNCTION("""COMPUTED_VALUE"""),"HUB-LSP-81")</f>
        <v>HUB-LSP-81</v>
      </c>
      <c r="D748" s="234">
        <f>IFERROR(__xludf.DUMMYFUNCTION("""COMPUTED_VALUE"""),6.0)</f>
        <v>6</v>
      </c>
      <c r="E748" s="237" t="str">
        <f>IFERROR(__xludf.DUMMYFUNCTION("""COMPUTED_VALUE"""),"LT0PBJ01S0DZ1")</f>
        <v>LT0PBJ01S0DZ1</v>
      </c>
      <c r="F748" s="238" t="str">
        <f>IFERROR(__xludf.DUMMYFUNCTION("""COMPUTED_VALUE"""),"DTB2H63")</f>
        <v>DTB2H63</v>
      </c>
      <c r="G748" s="238">
        <f>IFERROR(__xludf.DUMMYFUNCTION("""COMPUTED_VALUE"""),45980.20833333333)</f>
        <v>45980.20833</v>
      </c>
      <c r="H748" s="238">
        <f>IFERROR(__xludf.DUMMYFUNCTION("""COMPUTED_VALUE"""),45980.29166666667)</f>
        <v>45980.29167</v>
      </c>
      <c r="I748" s="237" t="str">
        <f t="shared" si="1"/>
        <v>Fora</v>
      </c>
      <c r="J748" s="239">
        <v>120.00000001396984</v>
      </c>
    </row>
    <row r="749">
      <c r="A749" s="234" t="s">
        <v>2443</v>
      </c>
      <c r="B749" s="234" t="str">
        <f>IFERROR(__xludf.DUMMYFUNCTION("""COMPUTED_VALUE"""),"LM Hub_SP_Jurubatuba")</f>
        <v>LM Hub_SP_Jurubatuba</v>
      </c>
      <c r="C749" s="234" t="str">
        <f>IFERROR(__xludf.DUMMYFUNCTION("""COMPUTED_VALUE"""),"HUB-LSP-16")</f>
        <v>HUB-LSP-16</v>
      </c>
      <c r="D749" s="234">
        <f>IFERROR(__xludf.DUMMYFUNCTION("""COMPUTED_VALUE"""),27.0)</f>
        <v>27</v>
      </c>
      <c r="E749" s="237" t="str">
        <f>IFERROR(__xludf.DUMMYFUNCTION("""COMPUTED_VALUE"""),"LT0PBJ01RW2T1")</f>
        <v>LT0PBJ01RW2T1</v>
      </c>
      <c r="F749" s="238" t="str">
        <f>IFERROR(__xludf.DUMMYFUNCTION("""COMPUTED_VALUE"""),"JYA9C60,CUG9G47")</f>
        <v>JYA9C60,CUG9G47</v>
      </c>
      <c r="G749" s="238">
        <f>IFERROR(__xludf.DUMMYFUNCTION("""COMPUTED_VALUE"""),45980.20833333333)</f>
        <v>45980.20833</v>
      </c>
      <c r="H749" s="238">
        <f>IFERROR(__xludf.DUMMYFUNCTION("""COMPUTED_VALUE"""),45980.29166666667)</f>
        <v>45980.29167</v>
      </c>
      <c r="I749" s="237" t="str">
        <f t="shared" si="1"/>
        <v>Fora</v>
      </c>
      <c r="J749" s="239">
        <v>120.00000001396984</v>
      </c>
    </row>
    <row r="750">
      <c r="A750" s="234" t="s">
        <v>2444</v>
      </c>
      <c r="B750" s="234" t="str">
        <f>IFERROR(__xludf.DUMMYFUNCTION("""COMPUTED_VALUE"""),"LM Hub_SP_Piracicaba")</f>
        <v>LM Hub_SP_Piracicaba</v>
      </c>
      <c r="C750" s="234" t="str">
        <f>IFERROR(__xludf.DUMMYFUNCTION("""COMPUTED_VALUE"""),"HUB-LSP-62")</f>
        <v>HUB-LSP-62</v>
      </c>
      <c r="D750" s="234">
        <f>IFERROR(__xludf.DUMMYFUNCTION("""COMPUTED_VALUE"""),28.0)</f>
        <v>28</v>
      </c>
      <c r="E750" s="237" t="str">
        <f>IFERROR(__xludf.DUMMYFUNCTION("""COMPUTED_VALUE"""),"LT0PBJ01RVNN1")</f>
        <v>LT0PBJ01RVNN1</v>
      </c>
      <c r="F750" s="238" t="str">
        <f>IFERROR(__xludf.DUMMYFUNCTION("""COMPUTED_VALUE"""),"BYP9A96")</f>
        <v>BYP9A96</v>
      </c>
      <c r="G750" s="238">
        <f>IFERROR(__xludf.DUMMYFUNCTION("""COMPUTED_VALUE"""),45980.20833333333)</f>
        <v>45980.20833</v>
      </c>
      <c r="H750" s="238">
        <f>IFERROR(__xludf.DUMMYFUNCTION("""COMPUTED_VALUE"""),45980.29166666667)</f>
        <v>45980.29167</v>
      </c>
      <c r="I750" s="237" t="str">
        <f t="shared" si="1"/>
        <v>Fora</v>
      </c>
      <c r="J750" s="239">
        <v>120.00000001396984</v>
      </c>
    </row>
    <row r="751">
      <c r="A751" s="234" t="s">
        <v>2445</v>
      </c>
      <c r="B751" s="234" t="str">
        <f>IFERROR(__xludf.DUMMYFUNCTION("""COMPUTED_VALUE"""),"LM Hub_SP_Santos_PraiaGrande_02")</f>
        <v>LM Hub_SP_Santos_PraiaGrande_02</v>
      </c>
      <c r="C751" s="234" t="str">
        <f>IFERROR(__xludf.DUMMYFUNCTION("""COMPUTED_VALUE"""),"HUB-LSP-63")</f>
        <v>HUB-LSP-63</v>
      </c>
      <c r="D751" s="234">
        <f>IFERROR(__xludf.DUMMYFUNCTION("""COMPUTED_VALUE"""),29.0)</f>
        <v>29</v>
      </c>
      <c r="E751" s="237" t="str">
        <f>IFERROR(__xludf.DUMMYFUNCTION("""COMPUTED_VALUE"""),"LT0PBJ01RW431")</f>
        <v>LT0PBJ01RW431</v>
      </c>
      <c r="F751" s="238" t="str">
        <f>IFERROR(__xludf.DUMMYFUNCTION("""COMPUTED_VALUE"""),"GDH5C66,TLA2F54")</f>
        <v>GDH5C66,TLA2F54</v>
      </c>
      <c r="G751" s="238">
        <f>IFERROR(__xludf.DUMMYFUNCTION("""COMPUTED_VALUE"""),45980.20833333333)</f>
        <v>45980.20833</v>
      </c>
      <c r="H751" s="238">
        <f>IFERROR(__xludf.DUMMYFUNCTION("""COMPUTED_VALUE"""),45980.29166666667)</f>
        <v>45980.29167</v>
      </c>
      <c r="I751" s="237" t="str">
        <f t="shared" si="1"/>
        <v>Fora</v>
      </c>
      <c r="J751" s="239">
        <v>119.00000001071021</v>
      </c>
    </row>
    <row r="752">
      <c r="A752" s="234" t="s">
        <v>2446</v>
      </c>
      <c r="B752" s="234" t="str">
        <f>IFERROR(__xludf.DUMMYFUNCTION("""COMPUTED_VALUE"""),"LM Hub_SP_Jurubatuba")</f>
        <v>LM Hub_SP_Jurubatuba</v>
      </c>
      <c r="C752" s="234" t="str">
        <f>IFERROR(__xludf.DUMMYFUNCTION("""COMPUTED_VALUE"""),"HUB-LSP-16")</f>
        <v>HUB-LSP-16</v>
      </c>
      <c r="D752" s="234"/>
      <c r="E752" s="237" t="str">
        <f>IFERROR(__xludf.DUMMYFUNCTION("""COMPUTED_VALUE"""),"LT0PBJ01S4281")</f>
        <v>LT0PBJ01S4281</v>
      </c>
      <c r="F752" s="238" t="str">
        <f>IFERROR(__xludf.DUMMYFUNCTION("""COMPUTED_VALUE"""),"UFR4D80,TJZ0D53")</f>
        <v>UFR4D80,TJZ0D53</v>
      </c>
      <c r="G752" s="238">
        <f>IFERROR(__xludf.DUMMYFUNCTION("""COMPUTED_VALUE"""),45980.209027777775)</f>
        <v>45980.20903</v>
      </c>
      <c r="H752" s="238">
        <f>IFERROR(__xludf.DUMMYFUNCTION("""COMPUTED_VALUE"""),45980.29166666667)</f>
        <v>45980.29167</v>
      </c>
      <c r="I752" s="237" t="str">
        <f t="shared" si="1"/>
        <v>Fora</v>
      </c>
      <c r="J752" s="239">
        <v>299.9999999930151</v>
      </c>
    </row>
    <row r="753">
      <c r="A753" s="234" t="s">
        <v>2447</v>
      </c>
      <c r="B753" s="234" t="str">
        <f>IFERROR(__xludf.DUMMYFUNCTION("""COMPUTED_VALUE"""),"SoC_PR_Curitiba")</f>
        <v>SoC_PR_Curitiba</v>
      </c>
      <c r="C753" s="234" t="str">
        <f>IFERROR(__xludf.DUMMYFUNCTION("""COMPUTED_VALUE"""),"SOC-PR1")</f>
        <v>SOC-PR1</v>
      </c>
      <c r="D753" s="234">
        <f>IFERROR(__xludf.DUMMYFUNCTION("""COMPUTED_VALUE"""),41.0)</f>
        <v>41</v>
      </c>
      <c r="E753" s="237" t="str">
        <f>IFERROR(__xludf.DUMMYFUNCTION("""COMPUTED_VALUE"""),"LT0PBJ01RUVT2")</f>
        <v>LT0PBJ01RUVT2</v>
      </c>
      <c r="F753" s="238" t="str">
        <f>IFERROR(__xludf.DUMMYFUNCTION("""COMPUTED_VALUE"""),"FQJ8B01,TLG8D55")</f>
        <v>FQJ8B01,TLG8D55</v>
      </c>
      <c r="G753" s="238">
        <f>IFERROR(__xludf.DUMMYFUNCTION("""COMPUTED_VALUE"""),45980.125)</f>
        <v>45980.125</v>
      </c>
      <c r="H753" s="238">
        <f>IFERROR(__xludf.DUMMYFUNCTION("""COMPUTED_VALUE"""),45980.33333333333)</f>
        <v>45980.33333</v>
      </c>
      <c r="I753" s="237" t="str">
        <f t="shared" si="1"/>
        <v>Fora</v>
      </c>
      <c r="J753" s="239">
        <v>239.99999998603016</v>
      </c>
    </row>
    <row r="754">
      <c r="A754" s="234" t="s">
        <v>2448</v>
      </c>
      <c r="B754" s="234" t="str">
        <f>IFERROR(__xludf.DUMMYFUNCTION("""COMPUTED_VALUE"""),"SoC_SP_Cravinhos")</f>
        <v>SoC_SP_Cravinhos</v>
      </c>
      <c r="C754" s="234" t="str">
        <f>IFERROR(__xludf.DUMMYFUNCTION("""COMPUTED_VALUE"""),"SOC-SP5")</f>
        <v>SOC-SP5</v>
      </c>
      <c r="D754" s="234">
        <f>IFERROR(__xludf.DUMMYFUNCTION("""COMPUTED_VALUE"""),44.0)</f>
        <v>44</v>
      </c>
      <c r="E754" s="237" t="str">
        <f>IFERROR(__xludf.DUMMYFUNCTION("""COMPUTED_VALUE"""),"LT0PBJ01RUWJ1")</f>
        <v>LT0PBJ01RUWJ1</v>
      </c>
      <c r="F754" s="238" t="str">
        <f>IFERROR(__xludf.DUMMYFUNCTION("""COMPUTED_VALUE"""),"EPU5C78,TIV0I78")</f>
        <v>EPU5C78,TIV0I78</v>
      </c>
      <c r="G754" s="238">
        <f>IFERROR(__xludf.DUMMYFUNCTION("""COMPUTED_VALUE"""),45980.16666666667)</f>
        <v>45980.16667</v>
      </c>
      <c r="H754" s="238">
        <f>IFERROR(__xludf.DUMMYFUNCTION("""COMPUTED_VALUE"""),45980.33333333333)</f>
        <v>45980.33333</v>
      </c>
      <c r="I754" s="237" t="str">
        <f t="shared" si="1"/>
        <v>Fora</v>
      </c>
      <c r="J754" s="239" t="e">
        <v>#VALUE!</v>
      </c>
    </row>
    <row r="755">
      <c r="A755" s="234" t="s">
        <v>2449</v>
      </c>
      <c r="B755" s="234" t="str">
        <f>IFERROR(__xludf.DUMMYFUNCTION("""COMPUTED_VALUE"""),"SoC_MG_Betim")</f>
        <v>SoC_MG_Betim</v>
      </c>
      <c r="C755" s="234" t="str">
        <f>IFERROR(__xludf.DUMMYFUNCTION("""COMPUTED_VALUE"""),"SOC-MG2")</f>
        <v>SOC-MG2</v>
      </c>
      <c r="D755" s="234"/>
      <c r="E755" s="237" t="str">
        <f>IFERROR(__xludf.DUMMYFUNCTION("""COMPUTED_VALUE"""),"LT1PBJ01SAF81")</f>
        <v>LT1PBJ01SAF81</v>
      </c>
      <c r="F755" s="238" t="str">
        <f>IFERROR(__xludf.DUMMYFUNCTION("""COMPUTED_VALUE"""),"-")</f>
        <v>-</v>
      </c>
      <c r="G755" s="238" t="str">
        <f>IFERROR(__xludf.DUMMYFUNCTION("""COMPUTED_VALUE"""),"-")</f>
        <v>-</v>
      </c>
      <c r="H755" s="238" t="str">
        <f>IFERROR(__xludf.DUMMYFUNCTION("""COMPUTED_VALUE"""),"-")</f>
        <v>-</v>
      </c>
      <c r="I755" s="237" t="str">
        <f t="shared" si="1"/>
        <v>Dentro</v>
      </c>
      <c r="J755" s="239">
        <v>120.00000000349246</v>
      </c>
    </row>
    <row r="756">
      <c r="A756" s="234" t="s">
        <v>2450</v>
      </c>
      <c r="B756" s="234" t="str">
        <f>IFERROR(__xludf.DUMMYFUNCTION("""COMPUTED_VALUE"""),"SoC_MG_Betim")</f>
        <v>SoC_MG_Betim</v>
      </c>
      <c r="C756" s="234" t="str">
        <f>IFERROR(__xludf.DUMMYFUNCTION("""COMPUTED_VALUE"""),"SOC-MG2")</f>
        <v>SOC-MG2</v>
      </c>
      <c r="D756" s="234">
        <f>IFERROR(__xludf.DUMMYFUNCTION("""COMPUTED_VALUE"""),44.0)</f>
        <v>44</v>
      </c>
      <c r="E756" s="237" t="str">
        <f>IFERROR(__xludf.DUMMYFUNCTION("""COMPUTED_VALUE"""),"LT1PBJ01SBBN1")</f>
        <v>LT1PBJ01SBBN1</v>
      </c>
      <c r="F756" s="234" t="str">
        <f>IFERROR(__xludf.DUMMYFUNCTION("""COMPUTED_VALUE"""),"RLP9D54")</f>
        <v>RLP9D54</v>
      </c>
      <c r="G756" s="238">
        <f>IFERROR(__xludf.DUMMYFUNCTION("""COMPUTED_VALUE"""),45980.875)</f>
        <v>45980.875</v>
      </c>
      <c r="H756" s="238">
        <f>IFERROR(__xludf.DUMMYFUNCTION("""COMPUTED_VALUE"""),45980.958333333336)</f>
        <v>45980.95833</v>
      </c>
      <c r="I756" s="237" t="str">
        <f t="shared" si="1"/>
        <v>Fora</v>
      </c>
      <c r="J756" s="239">
        <v>120.00000001396984</v>
      </c>
    </row>
    <row r="757">
      <c r="A757" s="234" t="s">
        <v>2451</v>
      </c>
      <c r="B757" s="234" t="str">
        <f>IFERROR(__xludf.DUMMYFUNCTION("""COMPUTED_VALUE"""),"LM Hub_SP_Mogi das Cruzes_Jund")</f>
        <v>LM Hub_SP_Mogi das Cruzes_Jund</v>
      </c>
      <c r="C757" s="234" t="str">
        <f>IFERROR(__xludf.DUMMYFUNCTION("""COMPUTED_VALUE"""),"HUB-LSP-78")</f>
        <v>HUB-LSP-78</v>
      </c>
      <c r="D757" s="234">
        <f>IFERROR(__xludf.DUMMYFUNCTION("""COMPUTED_VALUE"""),40.0)</f>
        <v>40</v>
      </c>
      <c r="E757" s="237" t="str">
        <f>IFERROR(__xludf.DUMMYFUNCTION("""COMPUTED_VALUE"""),"LT0PBJ01RXXT1")</f>
        <v>LT0PBJ01RXXT1</v>
      </c>
      <c r="F757" s="238" t="str">
        <f>IFERROR(__xludf.DUMMYFUNCTION("""COMPUTED_VALUE"""),"NJC7H67,MAG2J12")</f>
        <v>NJC7H67,MAG2J12</v>
      </c>
      <c r="G757" s="238">
        <f>IFERROR(__xludf.DUMMYFUNCTION("""COMPUTED_VALUE"""),45980.89583333333)</f>
        <v>45980.89583</v>
      </c>
      <c r="H757" s="238">
        <f>IFERROR(__xludf.DUMMYFUNCTION("""COMPUTED_VALUE"""),45980.97916666667)</f>
        <v>45980.97917</v>
      </c>
      <c r="I757" s="237" t="str">
        <f t="shared" si="1"/>
        <v>Fora</v>
      </c>
      <c r="J757" s="239">
        <v>120.00000001396984</v>
      </c>
    </row>
    <row r="758">
      <c r="A758" s="234" t="s">
        <v>2452</v>
      </c>
      <c r="B758" s="234" t="str">
        <f>IFERROR(__xludf.DUMMYFUNCTION("""COMPUTED_VALUE"""),"LM Hub_SP_Santos_Praia Grande")</f>
        <v>LM Hub_SP_Santos_Praia Grande</v>
      </c>
      <c r="C758" s="234" t="str">
        <f>IFERROR(__xludf.DUMMYFUNCTION("""COMPUTED_VALUE"""),"HUB-LSP-09")</f>
        <v>HUB-LSP-09</v>
      </c>
      <c r="D758" s="234">
        <f>IFERROR(__xludf.DUMMYFUNCTION("""COMPUTED_VALUE"""),19.0)</f>
        <v>19</v>
      </c>
      <c r="E758" s="237" t="str">
        <f>IFERROR(__xludf.DUMMYFUNCTION("""COMPUTED_VALUE"""),"LT0PBJ01RV1A1")</f>
        <v>LT0PBJ01RV1A1</v>
      </c>
      <c r="F758" s="238" t="str">
        <f>IFERROR(__xludf.DUMMYFUNCTION("""COMPUTED_VALUE"""),"GDH5C66,TLA2F54")</f>
        <v>GDH5C66,TLA2F54</v>
      </c>
      <c r="G758" s="238">
        <f>IFERROR(__xludf.DUMMYFUNCTION("""COMPUTED_VALUE"""),45980.89583333333)</f>
        <v>45980.89583</v>
      </c>
      <c r="H758" s="238">
        <f>IFERROR(__xludf.DUMMYFUNCTION("""COMPUTED_VALUE"""),45980.97916666667)</f>
        <v>45980.97917</v>
      </c>
      <c r="I758" s="237" t="str">
        <f t="shared" si="1"/>
        <v>Fora</v>
      </c>
      <c r="J758" s="239">
        <v>120.00000001396984</v>
      </c>
    </row>
    <row r="759">
      <c r="A759" s="234" t="s">
        <v>2453</v>
      </c>
      <c r="B759" s="234" t="str">
        <f>IFERROR(__xludf.DUMMYFUNCTION("""COMPUTED_VALUE"""),"LM Hub_SP_Zimba")</f>
        <v>LM Hub_SP_Zimba</v>
      </c>
      <c r="C759" s="234" t="str">
        <f>IFERROR(__xludf.DUMMYFUNCTION("""COMPUTED_VALUE"""),"HUB-LSP-74")</f>
        <v>HUB-LSP-74</v>
      </c>
      <c r="D759" s="234">
        <f>IFERROR(__xludf.DUMMYFUNCTION("""COMPUTED_VALUE"""),41.0)</f>
        <v>41</v>
      </c>
      <c r="E759" s="237" t="str">
        <f>IFERROR(__xludf.DUMMYFUNCTION("""COMPUTED_VALUE"""),"LT0PBJ01RUZD1")</f>
        <v>LT0PBJ01RUZD1</v>
      </c>
      <c r="F759" s="238" t="str">
        <f>IFERROR(__xludf.DUMMYFUNCTION("""COMPUTED_VALUE"""),"SUQ5C99,TLD5B82")</f>
        <v>SUQ5C99,TLD5B82</v>
      </c>
      <c r="G759" s="238">
        <f>IFERROR(__xludf.DUMMYFUNCTION("""COMPUTED_VALUE"""),45980.89583333333)</f>
        <v>45980.89583</v>
      </c>
      <c r="H759" s="238">
        <f>IFERROR(__xludf.DUMMYFUNCTION("""COMPUTED_VALUE"""),45980.97916666667)</f>
        <v>45980.97917</v>
      </c>
      <c r="I759" s="237" t="str">
        <f t="shared" si="1"/>
        <v>Fora</v>
      </c>
      <c r="J759" s="239">
        <v>119.00000001071021</v>
      </c>
    </row>
    <row r="760">
      <c r="A760" s="234" t="s">
        <v>2454</v>
      </c>
      <c r="B760" s="234" t="str">
        <f>IFERROR(__xludf.DUMMYFUNCTION("""COMPUTED_VALUE"""),"LM Hub_SP_Jurubatuba")</f>
        <v>LM Hub_SP_Jurubatuba</v>
      </c>
      <c r="C760" s="234" t="str">
        <f>IFERROR(__xludf.DUMMYFUNCTION("""COMPUTED_VALUE"""),"HUB-LSP-16")</f>
        <v>HUB-LSP-16</v>
      </c>
      <c r="D760" s="234">
        <f>IFERROR(__xludf.DUMMYFUNCTION("""COMPUTED_VALUE"""),27.0)</f>
        <v>27</v>
      </c>
      <c r="E760" s="237" t="str">
        <f>IFERROR(__xludf.DUMMYFUNCTION("""COMPUTED_VALUE"""),"LT0PBJ01S3SQ1")</f>
        <v>LT0PBJ01S3SQ1</v>
      </c>
      <c r="F760" s="238" t="str">
        <f>IFERROR(__xludf.DUMMYFUNCTION("""COMPUTED_VALUE"""),"DTD4722,NCK7E66")</f>
        <v>DTD4722,NCK7E66</v>
      </c>
      <c r="G760" s="238">
        <f>IFERROR(__xludf.DUMMYFUNCTION("""COMPUTED_VALUE"""),45980.896527777775)</f>
        <v>45980.89653</v>
      </c>
      <c r="H760" s="238">
        <f>IFERROR(__xludf.DUMMYFUNCTION("""COMPUTED_VALUE"""),45980.97916666667)</f>
        <v>45980.97917</v>
      </c>
      <c r="I760" s="237" t="str">
        <f t="shared" si="1"/>
        <v>Fora</v>
      </c>
      <c r="J760" s="239">
        <v>119.00000001071021</v>
      </c>
    </row>
    <row r="761">
      <c r="A761" s="234" t="s">
        <v>2455</v>
      </c>
      <c r="B761" s="234" t="str">
        <f>IFERROR(__xludf.DUMMYFUNCTION("""COMPUTED_VALUE"""),"LM Hub_SP_São José dos Campos")</f>
        <v>LM Hub_SP_São José dos Campos</v>
      </c>
      <c r="C761" s="234" t="str">
        <f>IFERROR(__xludf.DUMMYFUNCTION("""COMPUTED_VALUE"""),"HUB-LSP-04")</f>
        <v>HUB-LSP-04</v>
      </c>
      <c r="D761" s="234">
        <f>IFERROR(__xludf.DUMMYFUNCTION("""COMPUTED_VALUE"""),26.0)</f>
        <v>26</v>
      </c>
      <c r="E761" s="237" t="str">
        <f>IFERROR(__xludf.DUMMYFUNCTION("""COMPUTED_VALUE"""),"LT0PBJ01S3TH1")</f>
        <v>LT0PBJ01S3TH1</v>
      </c>
      <c r="F761" s="238" t="str">
        <f>IFERROR(__xludf.DUMMYFUNCTION("""COMPUTED_VALUE"""),"TIR7J78")</f>
        <v>TIR7J78</v>
      </c>
      <c r="G761" s="238">
        <f>IFERROR(__xludf.DUMMYFUNCTION("""COMPUTED_VALUE"""),45980.896527777775)</f>
        <v>45980.89653</v>
      </c>
      <c r="H761" s="238">
        <f>IFERROR(__xludf.DUMMYFUNCTION("""COMPUTED_VALUE"""),45980.97916666667)</f>
        <v>45980.97917</v>
      </c>
      <c r="I761" s="237" t="str">
        <f t="shared" si="1"/>
        <v>Fora</v>
      </c>
      <c r="J761" s="239">
        <v>119.00000001071021</v>
      </c>
    </row>
    <row r="762">
      <c r="A762" s="234" t="s">
        <v>2456</v>
      </c>
      <c r="B762" s="234" t="str">
        <f>IFERROR(__xludf.DUMMYFUNCTION("""COMPUTED_VALUE"""),"LM Hub_SP_São Paulo_Lapa")</f>
        <v>LM Hub_SP_São Paulo_Lapa</v>
      </c>
      <c r="C762" s="234" t="str">
        <f>IFERROR(__xludf.DUMMYFUNCTION("""COMPUTED_VALUE"""),"HUB-LSP-15")</f>
        <v>HUB-LSP-15</v>
      </c>
      <c r="D762" s="234">
        <f>IFERROR(__xludf.DUMMYFUNCTION("""COMPUTED_VALUE"""),21.0)</f>
        <v>21</v>
      </c>
      <c r="E762" s="237" t="str">
        <f>IFERROR(__xludf.DUMMYFUNCTION("""COMPUTED_VALUE"""),"LT0PBJ01RUYG1")</f>
        <v>LT0PBJ01RUYG1</v>
      </c>
      <c r="F762" s="238" t="str">
        <f>IFERROR(__xludf.DUMMYFUNCTION("""COMPUTED_VALUE"""),"GGS7H66,ALA3I95")</f>
        <v>GGS7H66,ALA3I95</v>
      </c>
      <c r="G762" s="238">
        <f>IFERROR(__xludf.DUMMYFUNCTION("""COMPUTED_VALUE"""),45980.896527777775)</f>
        <v>45980.89653</v>
      </c>
      <c r="H762" s="238">
        <f>IFERROR(__xludf.DUMMYFUNCTION("""COMPUTED_VALUE"""),45980.97916666667)</f>
        <v>45980.97917</v>
      </c>
      <c r="I762" s="237" t="str">
        <f t="shared" si="1"/>
        <v>Fora</v>
      </c>
      <c r="J762" s="239">
        <v>118.99999998975545</v>
      </c>
    </row>
    <row r="763">
      <c r="A763" s="234" t="s">
        <v>2457</v>
      </c>
      <c r="B763" s="234" t="str">
        <f>IFERROR(__xludf.DUMMYFUNCTION("""COMPUTED_VALUE"""),"LM Hub_SP_Guarujá")</f>
        <v>LM Hub_SP_Guarujá</v>
      </c>
      <c r="C763" s="234" t="str">
        <f>IFERROR(__xludf.DUMMYFUNCTION("""COMPUTED_VALUE"""),"HUB-LSP-06")</f>
        <v>HUB-LSP-06</v>
      </c>
      <c r="D763" s="234"/>
      <c r="E763" s="237" t="str">
        <f>IFERROR(__xludf.DUMMYFUNCTION("""COMPUTED_VALUE"""),"LT0PBJ01RV081")</f>
        <v>LT0PBJ01RV081</v>
      </c>
      <c r="F763" s="238" t="str">
        <f>IFERROR(__xludf.DUMMYFUNCTION("""COMPUTED_VALUE"""),"TJN5H17")</f>
        <v>TJN5H17</v>
      </c>
      <c r="G763" s="238">
        <f>IFERROR(__xludf.DUMMYFUNCTION("""COMPUTED_VALUE"""),45980.91666666667)</f>
        <v>45980.91667</v>
      </c>
      <c r="H763" s="238">
        <f>IFERROR(__xludf.DUMMYFUNCTION("""COMPUTED_VALUE"""),45980.99930555555)</f>
        <v>45980.99931</v>
      </c>
      <c r="I763" s="237" t="str">
        <f t="shared" si="1"/>
        <v>Fora</v>
      </c>
      <c r="J763" s="239">
        <v>119.99999999301508</v>
      </c>
    </row>
    <row r="764">
      <c r="A764" s="234" t="s">
        <v>2458</v>
      </c>
      <c r="B764" s="234" t="str">
        <f>IFERROR(__xludf.DUMMYFUNCTION("""COMPUTED_VALUE"""),"LM Hub_RS_Porto Alegre_Floresta")</f>
        <v>LM Hub_RS_Porto Alegre_Floresta</v>
      </c>
      <c r="C764" s="234" t="str">
        <f>IFERROR(__xludf.DUMMYFUNCTION("""COMPUTED_VALUE"""),"HUB-LRS-03")</f>
        <v>HUB-LRS-03</v>
      </c>
      <c r="D764" s="234">
        <f>IFERROR(__xludf.DUMMYFUNCTION("""COMPUTED_VALUE"""),13.0)</f>
        <v>13</v>
      </c>
      <c r="E764" s="237" t="str">
        <f>IFERROR(__xludf.DUMMYFUNCTION("""COMPUTED_VALUE"""),"LT0PBJ01S1HN1")</f>
        <v>LT0PBJ01S1HN1</v>
      </c>
      <c r="F764" s="238" t="str">
        <f>IFERROR(__xludf.DUMMYFUNCTION("""COMPUTED_VALUE"""),"CUZ0I01")</f>
        <v>CUZ0I01</v>
      </c>
      <c r="G764" s="238">
        <f>IFERROR(__xludf.DUMMYFUNCTION("""COMPUTED_VALUE"""),45980.91666666667)</f>
        <v>45980.91667</v>
      </c>
      <c r="H764" s="238">
        <f>IFERROR(__xludf.DUMMYFUNCTION("""COMPUTED_VALUE"""),45981.0)</f>
        <v>45981</v>
      </c>
      <c r="I764" s="237" t="str">
        <f t="shared" si="1"/>
        <v>Fora</v>
      </c>
      <c r="J764" s="239">
        <v>119.99999999301508</v>
      </c>
    </row>
    <row r="765">
      <c r="A765" s="234" t="s">
        <v>2459</v>
      </c>
      <c r="B765" s="234" t="str">
        <f>IFERROR(__xludf.DUMMYFUNCTION("""COMPUTED_VALUE"""),"LM Hub_SP_Artur Alvim")</f>
        <v>LM Hub_SP_Artur Alvim</v>
      </c>
      <c r="C765" s="234" t="str">
        <f>IFERROR(__xludf.DUMMYFUNCTION("""COMPUTED_VALUE"""),"HUB-LSP-07")</f>
        <v>HUB-LSP-07</v>
      </c>
      <c r="D765" s="234">
        <f>IFERROR(__xludf.DUMMYFUNCTION("""COMPUTED_VALUE"""),35.0)</f>
        <v>35</v>
      </c>
      <c r="E765" s="237" t="str">
        <f>IFERROR(__xludf.DUMMYFUNCTION("""COMPUTED_VALUE"""),"LT0PBJ01RUY11")</f>
        <v>LT0PBJ01RUY11</v>
      </c>
      <c r="F765" s="238" t="str">
        <f>IFERROR(__xludf.DUMMYFUNCTION("""COMPUTED_VALUE"""),"EPU4G01")</f>
        <v>EPU4G01</v>
      </c>
      <c r="G765" s="238">
        <f>IFERROR(__xludf.DUMMYFUNCTION("""COMPUTED_VALUE"""),45980.91666666667)</f>
        <v>45980.91667</v>
      </c>
      <c r="H765" s="238">
        <f>IFERROR(__xludf.DUMMYFUNCTION("""COMPUTED_VALUE"""),45981.0)</f>
        <v>45981</v>
      </c>
      <c r="I765" s="237" t="str">
        <f t="shared" si="1"/>
        <v>Fora</v>
      </c>
      <c r="J765" s="239">
        <v>119.99999999301508</v>
      </c>
    </row>
    <row r="766">
      <c r="A766" s="234" t="s">
        <v>2460</v>
      </c>
      <c r="B766" s="234" t="str">
        <f>IFERROR(__xludf.DUMMYFUNCTION("""COMPUTED_VALUE"""),"LM Hub_SP_Barueri_01")</f>
        <v>LM Hub_SP_Barueri_01</v>
      </c>
      <c r="C766" s="234" t="str">
        <f>IFERROR(__xludf.DUMMYFUNCTION("""COMPUTED_VALUE"""),"HUB-LSP-81")</f>
        <v>HUB-LSP-81</v>
      </c>
      <c r="D766" s="234">
        <f>IFERROR(__xludf.DUMMYFUNCTION("""COMPUTED_VALUE"""),34.0)</f>
        <v>34</v>
      </c>
      <c r="E766" s="237" t="str">
        <f>IFERROR(__xludf.DUMMYFUNCTION("""COMPUTED_VALUE"""),"LT0PBJ01S0E51")</f>
        <v>LT0PBJ01S0E51</v>
      </c>
      <c r="F766" s="234" t="str">
        <f>IFERROR(__xludf.DUMMYFUNCTION("""COMPUTED_VALUE"""),"GEV2J37")</f>
        <v>GEV2J37</v>
      </c>
      <c r="G766" s="238">
        <f>IFERROR(__xludf.DUMMYFUNCTION("""COMPUTED_VALUE"""),45980.91666666667)</f>
        <v>45980.91667</v>
      </c>
      <c r="H766" s="238">
        <f>IFERROR(__xludf.DUMMYFUNCTION("""COMPUTED_VALUE"""),45981.0)</f>
        <v>45981</v>
      </c>
      <c r="I766" s="237" t="str">
        <f t="shared" si="1"/>
        <v>Fora</v>
      </c>
      <c r="J766" s="239">
        <v>119.99999999301508</v>
      </c>
    </row>
    <row r="767">
      <c r="A767" s="234" t="s">
        <v>2461</v>
      </c>
      <c r="B767" s="234" t="str">
        <f>IFERROR(__xludf.DUMMYFUNCTION("""COMPUTED_VALUE"""),"LM Hub_SP_Guarulhos")</f>
        <v>LM Hub_SP_Guarulhos</v>
      </c>
      <c r="C767" s="234" t="str">
        <f>IFERROR(__xludf.DUMMYFUNCTION("""COMPUTED_VALUE"""),"HUB-LSP-77")</f>
        <v>HUB-LSP-77</v>
      </c>
      <c r="D767" s="234">
        <f>IFERROR(__xludf.DUMMYFUNCTION("""COMPUTED_VALUE"""),32.0)</f>
        <v>32</v>
      </c>
      <c r="E767" s="237" t="str">
        <f>IFERROR(__xludf.DUMMYFUNCTION("""COMPUTED_VALUE"""),"LT0PBJ01RVNI1")</f>
        <v>LT0PBJ01RVNI1</v>
      </c>
      <c r="F767" s="238" t="str">
        <f>IFERROR(__xludf.DUMMYFUNCTION("""COMPUTED_VALUE"""),"PRB0D29,NKH4A83")</f>
        <v>PRB0D29,NKH4A83</v>
      </c>
      <c r="G767" s="238">
        <f>IFERROR(__xludf.DUMMYFUNCTION("""COMPUTED_VALUE"""),45980.91666666667)</f>
        <v>45980.91667</v>
      </c>
      <c r="H767" s="238">
        <f>IFERROR(__xludf.DUMMYFUNCTION("""COMPUTED_VALUE"""),45981.0)</f>
        <v>45981</v>
      </c>
      <c r="I767" s="237" t="str">
        <f t="shared" si="1"/>
        <v>Fora</v>
      </c>
      <c r="J767" s="239">
        <v>119.99999999301508</v>
      </c>
    </row>
    <row r="768">
      <c r="A768" s="234" t="s">
        <v>2462</v>
      </c>
      <c r="B768" s="234" t="str">
        <f>IFERROR(__xludf.DUMMYFUNCTION("""COMPUTED_VALUE"""),"LM Hub_SP_Limeira_Campo Belo")</f>
        <v>LM Hub_SP_Limeira_Campo Belo</v>
      </c>
      <c r="C768" s="234" t="str">
        <f>IFERROR(__xludf.DUMMYFUNCTION("""COMPUTED_VALUE"""),"HUB-LSP-24")</f>
        <v>HUB-LSP-24</v>
      </c>
      <c r="D768" s="234">
        <f>IFERROR(__xludf.DUMMYFUNCTION("""COMPUTED_VALUE"""),36.0)</f>
        <v>36</v>
      </c>
      <c r="E768" s="237" t="str">
        <f>IFERROR(__xludf.DUMMYFUNCTION("""COMPUTED_VALUE"""),"LT0PBJ01RV1R1")</f>
        <v>LT0PBJ01RV1R1</v>
      </c>
      <c r="F768" s="238" t="str">
        <f>IFERROR(__xludf.DUMMYFUNCTION("""COMPUTED_VALUE"""),"FGU5I81,JXA7D06")</f>
        <v>FGU5I81,JXA7D06</v>
      </c>
      <c r="G768" s="238">
        <f>IFERROR(__xludf.DUMMYFUNCTION("""COMPUTED_VALUE"""),45980.91666666667)</f>
        <v>45980.91667</v>
      </c>
      <c r="H768" s="238">
        <f>IFERROR(__xludf.DUMMYFUNCTION("""COMPUTED_VALUE"""),45981.0)</f>
        <v>45981</v>
      </c>
      <c r="I768" s="237" t="str">
        <f t="shared" si="1"/>
        <v>Fora</v>
      </c>
      <c r="J768" s="239">
        <v>119.99999999301508</v>
      </c>
    </row>
    <row r="769">
      <c r="A769" s="234" t="s">
        <v>2463</v>
      </c>
      <c r="B769" s="234" t="str">
        <f>IFERROR(__xludf.DUMMYFUNCTION("""COMPUTED_VALUE"""),"LM Hub_SP_Santo André")</f>
        <v>LM Hub_SP_Santo André</v>
      </c>
      <c r="C769" s="234" t="str">
        <f>IFERROR(__xludf.DUMMYFUNCTION("""COMPUTED_VALUE"""),"HUB-LSP-93")</f>
        <v>HUB-LSP-93</v>
      </c>
      <c r="D769" s="234">
        <f>IFERROR(__xludf.DUMMYFUNCTION("""COMPUTED_VALUE"""),23.0)</f>
        <v>23</v>
      </c>
      <c r="E769" s="237" t="str">
        <f>IFERROR(__xludf.DUMMYFUNCTION("""COMPUTED_VALUE"""),"LT0PBJ01RXOI1")</f>
        <v>LT0PBJ01RXOI1</v>
      </c>
      <c r="F769" s="238" t="str">
        <f>IFERROR(__xludf.DUMMYFUNCTION("""COMPUTED_VALUE"""),"FQF6B98,DTA7802")</f>
        <v>FQF6B98,DTA7802</v>
      </c>
      <c r="G769" s="238">
        <f>IFERROR(__xludf.DUMMYFUNCTION("""COMPUTED_VALUE"""),45980.91666666667)</f>
        <v>45980.91667</v>
      </c>
      <c r="H769" s="238">
        <f>IFERROR(__xludf.DUMMYFUNCTION("""COMPUTED_VALUE"""),45981.0)</f>
        <v>45981</v>
      </c>
      <c r="I769" s="237" t="str">
        <f t="shared" si="1"/>
        <v>Fora</v>
      </c>
      <c r="J769" s="239">
        <v>119.99999999301508</v>
      </c>
    </row>
    <row r="770">
      <c r="A770" s="234" t="s">
        <v>2464</v>
      </c>
      <c r="B770" s="234" t="str">
        <f>IFERROR(__xludf.DUMMYFUNCTION("""COMPUTED_VALUE"""),"SoC_GO_Goiânia_02")</f>
        <v>SoC_GO_Goiânia_02</v>
      </c>
      <c r="C770" s="234" t="str">
        <f>IFERROR(__xludf.DUMMYFUNCTION("""COMPUTED_VALUE"""),"SOC-GO2")</f>
        <v>SOC-GO2</v>
      </c>
      <c r="D770" s="234">
        <f>IFERROR(__xludf.DUMMYFUNCTION("""COMPUTED_VALUE"""),17.0)</f>
        <v>17</v>
      </c>
      <c r="E770" s="237" t="str">
        <f>IFERROR(__xludf.DUMMYFUNCTION("""COMPUTED_VALUE"""),"LT1PBJ01SBBT1")</f>
        <v>LT1PBJ01SBBT1</v>
      </c>
      <c r="F770" s="234" t="str">
        <f>IFERROR(__xludf.DUMMYFUNCTION("""COMPUTED_VALUE"""),"EXR6C81")</f>
        <v>EXR6C81</v>
      </c>
      <c r="G770" s="238">
        <f>IFERROR(__xludf.DUMMYFUNCTION("""COMPUTED_VALUE"""),45980.91666666667)</f>
        <v>45980.91667</v>
      </c>
      <c r="H770" s="238">
        <f>IFERROR(__xludf.DUMMYFUNCTION("""COMPUTED_VALUE"""),45981.0)</f>
        <v>45981</v>
      </c>
      <c r="I770" s="237" t="str">
        <f t="shared" si="1"/>
        <v>Fora</v>
      </c>
      <c r="J770" s="239">
        <v>119.99999999301508</v>
      </c>
    </row>
    <row r="771">
      <c r="A771" s="234" t="s">
        <v>2465</v>
      </c>
      <c r="B771" s="234" t="str">
        <f>IFERROR(__xludf.DUMMYFUNCTION("""COMPUTED_VALUE"""),"SoC_RS_Gravataí_02")</f>
        <v>SoC_RS_Gravataí_02</v>
      </c>
      <c r="C771" s="234" t="str">
        <f>IFERROR(__xludf.DUMMYFUNCTION("""COMPUTED_VALUE"""),"SOC-RS2")</f>
        <v>SOC-RS2</v>
      </c>
      <c r="D771" s="234">
        <f>IFERROR(__xludf.DUMMYFUNCTION("""COMPUTED_VALUE"""),15.0)</f>
        <v>15</v>
      </c>
      <c r="E771" s="237" t="str">
        <f>IFERROR(__xludf.DUMMYFUNCTION("""COMPUTED_VALUE"""),"LT1PBJ01SBBR1")</f>
        <v>LT1PBJ01SBBR1</v>
      </c>
      <c r="F771" s="238" t="str">
        <f>IFERROR(__xludf.DUMMYFUNCTION("""COMPUTED_VALUE"""),"QJM7652,RXZ3G44")</f>
        <v>QJM7652,RXZ3G44</v>
      </c>
      <c r="G771" s="238">
        <f>IFERROR(__xludf.DUMMYFUNCTION("""COMPUTED_VALUE"""),45980.91666666667)</f>
        <v>45980.91667</v>
      </c>
      <c r="H771" s="238">
        <f>IFERROR(__xludf.DUMMYFUNCTION("""COMPUTED_VALUE"""),45981.0)</f>
        <v>45981</v>
      </c>
      <c r="I771" s="237" t="str">
        <f t="shared" si="1"/>
        <v>Fora</v>
      </c>
      <c r="J771" s="239">
        <v>119.00000000023283</v>
      </c>
    </row>
    <row r="772">
      <c r="A772" s="234" t="s">
        <v>2466</v>
      </c>
      <c r="B772" s="234" t="str">
        <f>IFERROR(__xludf.DUMMYFUNCTION("""COMPUTED_VALUE"""),"LM Hub_SP_Itapevi")</f>
        <v>LM Hub_SP_Itapevi</v>
      </c>
      <c r="C772" s="234" t="str">
        <f>IFERROR(__xludf.DUMMYFUNCTION("""COMPUTED_VALUE"""),"HUB-LSP-41")</f>
        <v>HUB-LSP-41</v>
      </c>
      <c r="D772" s="234">
        <f>IFERROR(__xludf.DUMMYFUNCTION("""COMPUTED_VALUE"""),9.0)</f>
        <v>9</v>
      </c>
      <c r="E772" s="237" t="str">
        <f>IFERROR(__xludf.DUMMYFUNCTION("""COMPUTED_VALUE"""),"LT0PBJ01S3SW1")</f>
        <v>LT0PBJ01S3SW1</v>
      </c>
      <c r="F772" s="238" t="str">
        <f>IFERROR(__xludf.DUMMYFUNCTION("""COMPUTED_VALUE"""),"FYQ5533")</f>
        <v>FYQ5533</v>
      </c>
      <c r="G772" s="238">
        <f>IFERROR(__xludf.DUMMYFUNCTION("""COMPUTED_VALUE"""),45980.91736111111)</f>
        <v>45980.91736</v>
      </c>
      <c r="H772" s="238">
        <f>IFERROR(__xludf.DUMMYFUNCTION("""COMPUTED_VALUE"""),45981.0)</f>
        <v>45981</v>
      </c>
      <c r="I772" s="237" t="str">
        <f t="shared" si="1"/>
        <v>Fora</v>
      </c>
      <c r="J772" s="239">
        <v>119.00000000023283</v>
      </c>
    </row>
    <row r="773">
      <c r="A773" s="234" t="s">
        <v>2467</v>
      </c>
      <c r="B773" s="234" t="str">
        <f>IFERROR(__xludf.DUMMYFUNCTION("""COMPUTED_VALUE"""),"LM Hub_SP_Mauá")</f>
        <v>LM Hub_SP_Mauá</v>
      </c>
      <c r="C773" s="234" t="str">
        <f>IFERROR(__xludf.DUMMYFUNCTION("""COMPUTED_VALUE"""),"HUB-LSP-64")</f>
        <v>HUB-LSP-64</v>
      </c>
      <c r="D773" s="234">
        <f>IFERROR(__xludf.DUMMYFUNCTION("""COMPUTED_VALUE"""),12.0)</f>
        <v>12</v>
      </c>
      <c r="E773" s="237" t="str">
        <f>IFERROR(__xludf.DUMMYFUNCTION("""COMPUTED_VALUE"""),"LT0PBJ01S3SZ1")</f>
        <v>LT0PBJ01S3SZ1</v>
      </c>
      <c r="F773" s="238" t="str">
        <f>IFERROR(__xludf.DUMMYFUNCTION("""COMPUTED_VALUE"""),"ASN0C15,MBC2C84")</f>
        <v>ASN0C15,MBC2C84</v>
      </c>
      <c r="G773" s="238">
        <f>IFERROR(__xludf.DUMMYFUNCTION("""COMPUTED_VALUE"""),45980.91736111111)</f>
        <v>45980.91736</v>
      </c>
      <c r="H773" s="238">
        <f>IFERROR(__xludf.DUMMYFUNCTION("""COMPUTED_VALUE"""),45981.0)</f>
        <v>45981</v>
      </c>
      <c r="I773" s="237" t="str">
        <f t="shared" si="1"/>
        <v>Fora</v>
      </c>
      <c r="J773" s="239">
        <v>119.99999999301508</v>
      </c>
    </row>
    <row r="774">
      <c r="A774" s="234" t="s">
        <v>2468</v>
      </c>
      <c r="B774" s="234" t="str">
        <f>IFERROR(__xludf.DUMMYFUNCTION("""COMPUTED_VALUE"""),"LM Hub_MG_Juiz de Fora_Dist Ind")</f>
        <v>LM Hub_MG_Juiz de Fora_Dist Ind</v>
      </c>
      <c r="C774" s="234" t="str">
        <f>IFERROR(__xludf.DUMMYFUNCTION("""COMPUTED_VALUE"""),"HUB-LMG-59")</f>
        <v>HUB-LMG-59</v>
      </c>
      <c r="D774" s="234">
        <f>IFERROR(__xludf.DUMMYFUNCTION("""COMPUTED_VALUE"""),27.0)</f>
        <v>27</v>
      </c>
      <c r="E774" s="237" t="str">
        <f>IFERROR(__xludf.DUMMYFUNCTION("""COMPUTED_VALUE"""),"LT0PBJ01S1I71")</f>
        <v>LT0PBJ01S1I71</v>
      </c>
      <c r="F774" s="238" t="str">
        <f>IFERROR(__xludf.DUMMYFUNCTION("""COMPUTED_VALUE"""),"EZP2D49")</f>
        <v>EZP2D49</v>
      </c>
      <c r="G774" s="238">
        <f>IFERROR(__xludf.DUMMYFUNCTION("""COMPUTED_VALUE"""),45980.9375)</f>
        <v>45980.9375</v>
      </c>
      <c r="H774" s="238">
        <f>IFERROR(__xludf.DUMMYFUNCTION("""COMPUTED_VALUE"""),45981.02083333333)</f>
        <v>45981.02083</v>
      </c>
      <c r="I774" s="237" t="str">
        <f t="shared" si="1"/>
        <v>Fora</v>
      </c>
      <c r="J774" s="239">
        <v>119.99999999301508</v>
      </c>
    </row>
    <row r="775">
      <c r="A775" s="234" t="s">
        <v>2469</v>
      </c>
      <c r="B775" s="234" t="str">
        <f>IFERROR(__xludf.DUMMYFUNCTION("""COMPUTED_VALUE"""),"LM Hub_SP_Jardim Adriana")</f>
        <v>LM Hub_SP_Jardim Adriana</v>
      </c>
      <c r="C775" s="234" t="str">
        <f>IFERROR(__xludf.DUMMYFUNCTION("""COMPUTED_VALUE"""),"HUB-LSP-12")</f>
        <v>HUB-LSP-12</v>
      </c>
      <c r="D775" s="234">
        <f>IFERROR(__xludf.DUMMYFUNCTION("""COMPUTED_VALUE"""),18.0)</f>
        <v>18</v>
      </c>
      <c r="E775" s="237" t="str">
        <f>IFERROR(__xludf.DUMMYFUNCTION("""COMPUTED_VALUE"""),"LT0PBJ01RUY61")</f>
        <v>LT0PBJ01RUY61</v>
      </c>
      <c r="F775" s="238" t="str">
        <f>IFERROR(__xludf.DUMMYFUNCTION("""COMPUTED_VALUE"""),"FNW2D28")</f>
        <v>FNW2D28</v>
      </c>
      <c r="G775" s="238">
        <f>IFERROR(__xludf.DUMMYFUNCTION("""COMPUTED_VALUE"""),45980.9375)</f>
        <v>45980.9375</v>
      </c>
      <c r="H775" s="238">
        <f>IFERROR(__xludf.DUMMYFUNCTION("""COMPUTED_VALUE"""),45981.02083333333)</f>
        <v>45981.02083</v>
      </c>
      <c r="I775" s="237" t="str">
        <f t="shared" si="1"/>
        <v>Fora</v>
      </c>
      <c r="J775" s="239">
        <v>119.99999999301508</v>
      </c>
    </row>
    <row r="776">
      <c r="A776" s="234" t="s">
        <v>2470</v>
      </c>
      <c r="B776" s="234" t="str">
        <f>IFERROR(__xludf.DUMMYFUNCTION("""COMPUTED_VALUE"""),"LM Hub_SP_Parque Novo Mundo")</f>
        <v>LM Hub_SP_Parque Novo Mundo</v>
      </c>
      <c r="C776" s="234" t="str">
        <f>IFERROR(__xludf.DUMMYFUNCTION("""COMPUTED_VALUE"""),"HUB-LSP-89")</f>
        <v>HUB-LSP-89</v>
      </c>
      <c r="D776" s="234">
        <f>IFERROR(__xludf.DUMMYFUNCTION("""COMPUTED_VALUE"""),16.0)</f>
        <v>16</v>
      </c>
      <c r="E776" s="237" t="str">
        <f>IFERROR(__xludf.DUMMYFUNCTION("""COMPUTED_VALUE"""),"LT0PBJ01RVUV1")</f>
        <v>LT0PBJ01RVUV1</v>
      </c>
      <c r="F776" s="238" t="str">
        <f>IFERROR(__xludf.DUMMYFUNCTION("""COMPUTED_VALUE"""),"GIQ1C13,AKZ0B43")</f>
        <v>GIQ1C13,AKZ0B43</v>
      </c>
      <c r="G776" s="238">
        <f>IFERROR(__xludf.DUMMYFUNCTION("""COMPUTED_VALUE"""),45980.9375)</f>
        <v>45980.9375</v>
      </c>
      <c r="H776" s="238">
        <f>IFERROR(__xludf.DUMMYFUNCTION("""COMPUTED_VALUE"""),45981.02083333333)</f>
        <v>45981.02083</v>
      </c>
      <c r="I776" s="237" t="str">
        <f t="shared" si="1"/>
        <v>Fora</v>
      </c>
      <c r="J776" s="239">
        <v>119.99999999301508</v>
      </c>
    </row>
    <row r="777">
      <c r="A777" s="234" t="s">
        <v>2471</v>
      </c>
      <c r="B777" s="234" t="str">
        <f>IFERROR(__xludf.DUMMYFUNCTION("""COMPUTED_VALUE"""),"LM Hub_SP_São Paulo_Carandiru")</f>
        <v>LM Hub_SP_São Paulo_Carandiru</v>
      </c>
      <c r="C777" s="234" t="str">
        <f>IFERROR(__xludf.DUMMYFUNCTION("""COMPUTED_VALUE"""),"HUB-LSP-18")</f>
        <v>HUB-LSP-18</v>
      </c>
      <c r="D777" s="234">
        <f>IFERROR(__xludf.DUMMYFUNCTION("""COMPUTED_VALUE"""),33.0)</f>
        <v>33</v>
      </c>
      <c r="E777" s="237" t="str">
        <f>IFERROR(__xludf.DUMMYFUNCTION("""COMPUTED_VALUE"""),"LT0PBJ01RUYO1")</f>
        <v>LT0PBJ01RUYO1</v>
      </c>
      <c r="F777" s="238" t="str">
        <f>IFERROR(__xludf.DUMMYFUNCTION("""COMPUTED_VALUE"""),"AXH9D10")</f>
        <v>AXH9D10</v>
      </c>
      <c r="G777" s="238">
        <f>IFERROR(__xludf.DUMMYFUNCTION("""COMPUTED_VALUE"""),45980.9375)</f>
        <v>45980.9375</v>
      </c>
      <c r="H777" s="238">
        <f>IFERROR(__xludf.DUMMYFUNCTION("""COMPUTED_VALUE"""),45981.02083333333)</f>
        <v>45981.02083</v>
      </c>
      <c r="I777" s="237" t="str">
        <f t="shared" si="1"/>
        <v>Fora</v>
      </c>
      <c r="J777" s="239">
        <v>118.99999998975545</v>
      </c>
    </row>
    <row r="778">
      <c r="A778" s="234" t="s">
        <v>2472</v>
      </c>
      <c r="B778" s="234" t="str">
        <f>IFERROR(__xludf.DUMMYFUNCTION("""COMPUTED_VALUE"""),"LM Hub_SP_Piracicaba")</f>
        <v>LM Hub_SP_Piracicaba</v>
      </c>
      <c r="C778" s="234" t="str">
        <f>IFERROR(__xludf.DUMMYFUNCTION("""COMPUTED_VALUE"""),"HUB-LSP-62")</f>
        <v>HUB-LSP-62</v>
      </c>
      <c r="D778" s="234">
        <f>IFERROR(__xludf.DUMMYFUNCTION("""COMPUTED_VALUE"""),20.0)</f>
        <v>20</v>
      </c>
      <c r="E778" s="237" t="str">
        <f>IFERROR(__xludf.DUMMYFUNCTION("""COMPUTED_VALUE"""),"LT0PBJ01RVNT1")</f>
        <v>LT0PBJ01RVNT1</v>
      </c>
      <c r="F778" s="238" t="str">
        <f>IFERROR(__xludf.DUMMYFUNCTION("""COMPUTED_VALUE"""),"EOF4D32")</f>
        <v>EOF4D32</v>
      </c>
      <c r="G778" s="238">
        <f>IFERROR(__xludf.DUMMYFUNCTION("""COMPUTED_VALUE"""),45980.93819444445)</f>
        <v>45980.93819</v>
      </c>
      <c r="H778" s="238">
        <f>IFERROR(__xludf.DUMMYFUNCTION("""COMPUTED_VALUE"""),45981.02083333333)</f>
        <v>45981.02083</v>
      </c>
      <c r="I778" s="237" t="str">
        <f t="shared" si="1"/>
        <v>Fora</v>
      </c>
      <c r="J778" s="239">
        <v>118.99999998975545</v>
      </c>
    </row>
    <row r="779">
      <c r="A779" s="234" t="s">
        <v>2473</v>
      </c>
      <c r="B779" s="234" t="str">
        <f>IFERROR(__xludf.DUMMYFUNCTION("""COMPUTED_VALUE"""),"LM Hub_SP_VilaGuilherme")</f>
        <v>LM Hub_SP_VilaGuilherme</v>
      </c>
      <c r="C779" s="234" t="str">
        <f>IFERROR(__xludf.DUMMYFUNCTION("""COMPUTED_VALUE"""),"HUB-LSP-68")</f>
        <v>HUB-LSP-68</v>
      </c>
      <c r="D779" s="234">
        <f>IFERROR(__xludf.DUMMYFUNCTION("""COMPUTED_VALUE"""),14.0)</f>
        <v>14</v>
      </c>
      <c r="E779" s="237" t="str">
        <f>IFERROR(__xludf.DUMMYFUNCTION("""COMPUTED_VALUE"""),"LT0PBJ01S3T51")</f>
        <v>LT0PBJ01S3T51</v>
      </c>
      <c r="F779" s="238" t="str">
        <f>IFERROR(__xludf.DUMMYFUNCTION("""COMPUTED_VALUE"""),"HFD4H27,JXG9745")</f>
        <v>HFD4H27,JXG9745</v>
      </c>
      <c r="G779" s="238">
        <f>IFERROR(__xludf.DUMMYFUNCTION("""COMPUTED_VALUE"""),45980.93819444445)</f>
        <v>45980.93819</v>
      </c>
      <c r="H779" s="238">
        <f>IFERROR(__xludf.DUMMYFUNCTION("""COMPUTED_VALUE"""),45981.02083333333)</f>
        <v>45981.02083</v>
      </c>
      <c r="I779" s="237" t="str">
        <f t="shared" si="1"/>
        <v>Fora</v>
      </c>
      <c r="J779" s="239">
        <v>180.0</v>
      </c>
    </row>
    <row r="780">
      <c r="A780" s="234" t="s">
        <v>2474</v>
      </c>
      <c r="B780" s="234" t="str">
        <f>IFERROR(__xludf.DUMMYFUNCTION("""COMPUTED_VALUE"""),"SoC_BA_Simoes Filho")</f>
        <v>SoC_BA_Simoes Filho</v>
      </c>
      <c r="C780" s="234" t="str">
        <f>IFERROR(__xludf.DUMMYFUNCTION("""COMPUTED_VALUE"""),"SOC-BA2")</f>
        <v>SOC-BA2</v>
      </c>
      <c r="D780" s="234">
        <f>IFERROR(__xludf.DUMMYFUNCTION("""COMPUTED_VALUE"""),28.0)</f>
        <v>28</v>
      </c>
      <c r="E780" s="237" t="str">
        <f>IFERROR(__xludf.DUMMYFUNCTION("""COMPUTED_VALUE"""),"LT1PBK01SBBQ1")</f>
        <v>LT1PBK01SBBQ1</v>
      </c>
      <c r="F780" s="238" t="str">
        <f>IFERROR(__xludf.DUMMYFUNCTION("""COMPUTED_VALUE"""),"ESU9I25,FDB5F83,FDB5F82")</f>
        <v>ESU9I25,FDB5F83,FDB5F82</v>
      </c>
      <c r="G780" s="238">
        <f>IFERROR(__xludf.DUMMYFUNCTION("""COMPUTED_VALUE"""),45980.91666666667)</f>
        <v>45980.91667</v>
      </c>
      <c r="H780" s="238">
        <f>IFERROR(__xludf.DUMMYFUNCTION("""COMPUTED_VALUE"""),45981.04166666667)</f>
        <v>45981.04167</v>
      </c>
      <c r="I780" s="237" t="str">
        <f t="shared" si="1"/>
        <v>Fora</v>
      </c>
      <c r="J780" s="239">
        <v>180.0</v>
      </c>
    </row>
    <row r="781">
      <c r="A781" s="234" t="s">
        <v>2475</v>
      </c>
      <c r="B781" s="234" t="str">
        <f>IFERROR(__xludf.DUMMYFUNCTION("""COMPUTED_VALUE"""),"SoC_SP_Santana")</f>
        <v>SoC_SP_Santana</v>
      </c>
      <c r="C781" s="234" t="str">
        <f>IFERROR(__xludf.DUMMYFUNCTION("""COMPUTED_VALUE"""),"SOC-SP2")</f>
        <v>SOC-SP2</v>
      </c>
      <c r="D781" s="234">
        <f>IFERROR(__xludf.DUMMYFUNCTION("""COMPUTED_VALUE"""),38.0)</f>
        <v>38</v>
      </c>
      <c r="E781" s="237" t="str">
        <f>IFERROR(__xludf.DUMMYFUNCTION("""COMPUTED_VALUE"""),"LT0PBJ01RVG41")</f>
        <v>LT0PBJ01RVG41</v>
      </c>
      <c r="F781" s="238" t="str">
        <f>IFERROR(__xludf.DUMMYFUNCTION("""COMPUTED_VALUE"""),"STE6H86,EHH5424,EGK5333")</f>
        <v>STE6H86,EHH5424,EGK5333</v>
      </c>
      <c r="G781" s="238">
        <f>IFERROR(__xludf.DUMMYFUNCTION("""COMPUTED_VALUE"""),45980.91666666667)</f>
        <v>45980.91667</v>
      </c>
      <c r="H781" s="238">
        <f>IFERROR(__xludf.DUMMYFUNCTION("""COMPUTED_VALUE"""),45981.04166666667)</f>
        <v>45981.04167</v>
      </c>
      <c r="I781" s="237" t="str">
        <f t="shared" si="1"/>
        <v>Fora</v>
      </c>
      <c r="J781" s="239">
        <v>120.00000001396984</v>
      </c>
    </row>
    <row r="782">
      <c r="A782" s="234" t="s">
        <v>2476</v>
      </c>
      <c r="B782" s="234" t="str">
        <f>IFERROR(__xludf.DUMMYFUNCTION("""COMPUTED_VALUE"""),"LM Hub_SP_Mogi Mirim")</f>
        <v>LM Hub_SP_Mogi Mirim</v>
      </c>
      <c r="C782" s="234" t="str">
        <f>IFERROR(__xludf.DUMMYFUNCTION("""COMPUTED_VALUE"""),"HUB-LSP-37")</f>
        <v>HUB-LSP-37</v>
      </c>
      <c r="D782" s="234">
        <f>IFERROR(__xludf.DUMMYFUNCTION("""COMPUTED_VALUE"""),37.0)</f>
        <v>37</v>
      </c>
      <c r="E782" s="237" t="str">
        <f>IFERROR(__xludf.DUMMYFUNCTION("""COMPUTED_VALUE"""),"LT0PBJ01RV2O1")</f>
        <v>LT0PBJ01RV2O1</v>
      </c>
      <c r="F782" s="238" t="str">
        <f>IFERROR(__xludf.DUMMYFUNCTION("""COMPUTED_VALUE"""),"FQV7E24,EFU9D57")</f>
        <v>FQV7E24,EFU9D57</v>
      </c>
      <c r="G782" s="238">
        <f>IFERROR(__xludf.DUMMYFUNCTION("""COMPUTED_VALUE"""),45980.95833333333)</f>
        <v>45980.95833</v>
      </c>
      <c r="H782" s="238">
        <f>IFERROR(__xludf.DUMMYFUNCTION("""COMPUTED_VALUE"""),45981.04166666667)</f>
        <v>45981.04167</v>
      </c>
      <c r="I782" s="237" t="str">
        <f t="shared" si="1"/>
        <v>Fora</v>
      </c>
      <c r="J782" s="239">
        <v>120.00000001396984</v>
      </c>
    </row>
    <row r="783">
      <c r="A783" s="234" t="s">
        <v>2477</v>
      </c>
      <c r="B783" s="234" t="str">
        <f>IFERROR(__xludf.DUMMYFUNCTION("""COMPUTED_VALUE"""),"SoC_SP_Guarulhos")</f>
        <v>SoC_SP_Guarulhos</v>
      </c>
      <c r="C783" s="234" t="str">
        <f>IFERROR(__xludf.DUMMYFUNCTION("""COMPUTED_VALUE"""),"SOC-SP6")</f>
        <v>SOC-SP6</v>
      </c>
      <c r="D783" s="234">
        <f>IFERROR(__xludf.DUMMYFUNCTION("""COMPUTED_VALUE"""),35.0)</f>
        <v>35</v>
      </c>
      <c r="E783" s="237" t="str">
        <f>IFERROR(__xludf.DUMMYFUNCTION("""COMPUTED_VALUE"""),"LT1PBJ01SAUF1")</f>
        <v>LT1PBJ01SAUF1</v>
      </c>
      <c r="F783" s="238" t="str">
        <f>IFERROR(__xludf.DUMMYFUNCTION("""COMPUTED_VALUE"""),"FRM9I93,UGN6B16")</f>
        <v>FRM9I93,UGN6B16</v>
      </c>
      <c r="G783" s="238">
        <f>IFERROR(__xludf.DUMMYFUNCTION("""COMPUTED_VALUE"""),45980.95833333333)</f>
        <v>45980.95833</v>
      </c>
      <c r="H783" s="238">
        <f>IFERROR(__xludf.DUMMYFUNCTION("""COMPUTED_VALUE"""),45981.04166666667)</f>
        <v>45981.04167</v>
      </c>
      <c r="I783" s="237" t="str">
        <f t="shared" si="1"/>
        <v>Fora</v>
      </c>
      <c r="J783" s="239">
        <v>119.99999999301508</v>
      </c>
    </row>
    <row r="784">
      <c r="A784" s="234" t="s">
        <v>2478</v>
      </c>
      <c r="B784" s="234" t="str">
        <f>IFERROR(__xludf.DUMMYFUNCTION("""COMPUTED_VALUE"""),"LM Hub_SP_Araraquara")</f>
        <v>LM Hub_SP_Araraquara</v>
      </c>
      <c r="C784" s="234" t="str">
        <f>IFERROR(__xludf.DUMMYFUNCTION("""COMPUTED_VALUE"""),"HUB-LSP-29")</f>
        <v>HUB-LSP-29</v>
      </c>
      <c r="D784" s="234">
        <f>IFERROR(__xludf.DUMMYFUNCTION("""COMPUTED_VALUE"""),22.0)</f>
        <v>22</v>
      </c>
      <c r="E784" s="237" t="str">
        <f>IFERROR(__xludf.DUMMYFUNCTION("""COMPUTED_VALUE"""),"LT0PBJ01RV2T1")</f>
        <v>LT0PBJ01RV2T1</v>
      </c>
      <c r="F784" s="238" t="str">
        <f>IFERROR(__xludf.DUMMYFUNCTION("""COMPUTED_VALUE"""),"EWJ2H21")</f>
        <v>EWJ2H21</v>
      </c>
      <c r="G784" s="238">
        <f>IFERROR(__xludf.DUMMYFUNCTION("""COMPUTED_VALUE"""),45980.97916666667)</f>
        <v>45980.97917</v>
      </c>
      <c r="H784" s="238">
        <f>IFERROR(__xludf.DUMMYFUNCTION("""COMPUTED_VALUE"""),45981.0625)</f>
        <v>45981.0625</v>
      </c>
      <c r="I784" s="237" t="str">
        <f t="shared" si="1"/>
        <v>Fora</v>
      </c>
      <c r="J784" s="239">
        <v>119.99999999301508</v>
      </c>
    </row>
    <row r="785">
      <c r="A785" s="234" t="s">
        <v>2479</v>
      </c>
      <c r="B785" s="234" t="str">
        <f>IFERROR(__xludf.DUMMYFUNCTION("""COMPUTED_VALUE"""),"LM Hub_SP_Atibaia_Ponte_Alta")</f>
        <v>LM Hub_SP_Atibaia_Ponte_Alta</v>
      </c>
      <c r="C785" s="234" t="str">
        <f>IFERROR(__xludf.DUMMYFUNCTION("""COMPUTED_VALUE"""),"HUB-LSP-87")</f>
        <v>HUB-LSP-87</v>
      </c>
      <c r="D785" s="234">
        <f>IFERROR(__xludf.DUMMYFUNCTION("""COMPUTED_VALUE"""),5.0)</f>
        <v>5</v>
      </c>
      <c r="E785" s="237" t="str">
        <f>IFERROR(__xludf.DUMMYFUNCTION("""COMPUTED_VALUE"""),"LT0PBJ01RYX41")</f>
        <v>LT0PBJ01RYX41</v>
      </c>
      <c r="F785" s="238" t="str">
        <f>IFERROR(__xludf.DUMMYFUNCTION("""COMPUTED_VALUE"""),"PRI3H29")</f>
        <v>PRI3H29</v>
      </c>
      <c r="G785" s="238">
        <f>IFERROR(__xludf.DUMMYFUNCTION("""COMPUTED_VALUE"""),45980.97916666667)</f>
        <v>45980.97917</v>
      </c>
      <c r="H785" s="238">
        <f>IFERROR(__xludf.DUMMYFUNCTION("""COMPUTED_VALUE"""),45981.0625)</f>
        <v>45981.0625</v>
      </c>
      <c r="I785" s="237" t="str">
        <f t="shared" si="1"/>
        <v>Fora</v>
      </c>
      <c r="J785" s="239">
        <v>119.99999999301508</v>
      </c>
    </row>
    <row r="786">
      <c r="A786" s="234" t="s">
        <v>2480</v>
      </c>
      <c r="B786" s="234" t="str">
        <f>IFERROR(__xludf.DUMMYFUNCTION("""COMPUTED_VALUE"""),"LM Hub_SP_Jundiaí")</f>
        <v>LM Hub_SP_Jundiaí</v>
      </c>
      <c r="C786" s="234" t="str">
        <f>IFERROR(__xludf.DUMMYFUNCTION("""COMPUTED_VALUE"""),"HUB-LSP-20")</f>
        <v>HUB-LSP-20</v>
      </c>
      <c r="D786" s="234">
        <f>IFERROR(__xludf.DUMMYFUNCTION("""COMPUTED_VALUE"""),7.0)</f>
        <v>7</v>
      </c>
      <c r="E786" s="237" t="str">
        <f>IFERROR(__xludf.DUMMYFUNCTION("""COMPUTED_VALUE"""),"LT0PBJ01RV341")</f>
        <v>LT0PBJ01RV341</v>
      </c>
      <c r="F786" s="238" t="str">
        <f>IFERROR(__xludf.DUMMYFUNCTION("""COMPUTED_VALUE"""),"UGN4B10")</f>
        <v>UGN4B10</v>
      </c>
      <c r="G786" s="238">
        <f>IFERROR(__xludf.DUMMYFUNCTION("""COMPUTED_VALUE"""),45980.97916666667)</f>
        <v>45980.97917</v>
      </c>
      <c r="H786" s="238">
        <f>IFERROR(__xludf.DUMMYFUNCTION("""COMPUTED_VALUE"""),45981.0625)</f>
        <v>45981.0625</v>
      </c>
      <c r="I786" s="237" t="str">
        <f t="shared" si="1"/>
        <v>Fora</v>
      </c>
      <c r="J786" s="239">
        <v>119.00000000023283</v>
      </c>
    </row>
    <row r="787">
      <c r="A787" s="234" t="s">
        <v>2481</v>
      </c>
      <c r="B787" s="234" t="str">
        <f>IFERROR(__xludf.DUMMYFUNCTION("""COMPUTED_VALUE"""),"LM Hub_SP_Várzea Paulista")</f>
        <v>LM Hub_SP_Várzea Paulista</v>
      </c>
      <c r="C787" s="234" t="str">
        <f>IFERROR(__xludf.DUMMYFUNCTION("""COMPUTED_VALUE"""),"HUB-LSP-61")</f>
        <v>HUB-LSP-61</v>
      </c>
      <c r="D787" s="234">
        <f>IFERROR(__xludf.DUMMYFUNCTION("""COMPUTED_VALUE"""),48.0)</f>
        <v>48</v>
      </c>
      <c r="E787" s="237" t="str">
        <f>IFERROR(__xludf.DUMMYFUNCTION("""COMPUTED_VALUE"""),"LT0PBJ01RV221")</f>
        <v>LT0PBJ01RV221</v>
      </c>
      <c r="F787" s="238" t="str">
        <f>IFERROR(__xludf.DUMMYFUNCTION("""COMPUTED_VALUE"""),"ODE8A12,FHL3D71")</f>
        <v>ODE8A12,FHL3D71</v>
      </c>
      <c r="G787" s="238">
        <f>IFERROR(__xludf.DUMMYFUNCTION("""COMPUTED_VALUE"""),45980.97986111111)</f>
        <v>45980.97986</v>
      </c>
      <c r="H787" s="238">
        <f>IFERROR(__xludf.DUMMYFUNCTION("""COMPUTED_VALUE"""),45981.0625)</f>
        <v>45981.0625</v>
      </c>
      <c r="I787" s="237" t="str">
        <f t="shared" si="1"/>
        <v>Fora</v>
      </c>
      <c r="J787" s="239">
        <v>240.00000000698492</v>
      </c>
    </row>
    <row r="788">
      <c r="A788" s="234" t="s">
        <v>2482</v>
      </c>
      <c r="B788" s="234" t="str">
        <f>IFERROR(__xludf.DUMMYFUNCTION("""COMPUTED_VALUE"""),"SoC_MG_Betim")</f>
        <v>SoC_MG_Betim</v>
      </c>
      <c r="C788" s="234" t="str">
        <f>IFERROR(__xludf.DUMMYFUNCTION("""COMPUTED_VALUE"""),"SOC-MG2")</f>
        <v>SOC-MG2</v>
      </c>
      <c r="D788" s="234">
        <f>IFERROR(__xludf.DUMMYFUNCTION("""COMPUTED_VALUE"""),45.0)</f>
        <v>45</v>
      </c>
      <c r="E788" s="237" t="str">
        <f>IFERROR(__xludf.DUMMYFUNCTION("""COMPUTED_VALUE"""),"LT0PBJ01RUVN1")</f>
        <v>LT0PBJ01RUVN1</v>
      </c>
      <c r="F788" s="238" t="str">
        <f>IFERROR(__xludf.DUMMYFUNCTION("""COMPUTED_VALUE"""),"HIJ7I78,HOE8C94")</f>
        <v>HIJ7I78,HOE8C94</v>
      </c>
      <c r="G788" s="238">
        <f>IFERROR(__xludf.DUMMYFUNCTION("""COMPUTED_VALUE"""),45980.95833333333)</f>
        <v>45980.95833</v>
      </c>
      <c r="H788" s="238">
        <f>IFERROR(__xludf.DUMMYFUNCTION("""COMPUTED_VALUE"""),45981.125)</f>
        <v>45981.125</v>
      </c>
      <c r="I788" s="237" t="str">
        <f t="shared" si="1"/>
        <v>Fora</v>
      </c>
      <c r="J788" s="239">
        <v>240.00000000698492</v>
      </c>
    </row>
    <row r="789">
      <c r="A789" s="234" t="s">
        <v>2483</v>
      </c>
      <c r="B789" s="234" t="str">
        <f>IFERROR(__xludf.DUMMYFUNCTION("""COMPUTED_VALUE"""),"SoC_SP_Cravinhos")</f>
        <v>SoC_SP_Cravinhos</v>
      </c>
      <c r="C789" s="234" t="str">
        <f>IFERROR(__xludf.DUMMYFUNCTION("""COMPUTED_VALUE"""),"SOC-SP5")</f>
        <v>SOC-SP5</v>
      </c>
      <c r="D789" s="234">
        <f>IFERROR(__xludf.DUMMYFUNCTION("""COMPUTED_VALUE"""),46.0)</f>
        <v>46</v>
      </c>
      <c r="E789" s="237" t="str">
        <f>IFERROR(__xludf.DUMMYFUNCTION("""COMPUTED_VALUE"""),"LT0PBJ01RUXD1")</f>
        <v>LT0PBJ01RUXD1</v>
      </c>
      <c r="F789" s="238" t="str">
        <f>IFERROR(__xludf.DUMMYFUNCTION("""COMPUTED_VALUE"""),"EQU3H33,IQC4C91")</f>
        <v>EQU3H33,IQC4C91</v>
      </c>
      <c r="G789" s="238">
        <f>IFERROR(__xludf.DUMMYFUNCTION("""COMPUTED_VALUE"""),45980.95833333333)</f>
        <v>45980.95833</v>
      </c>
      <c r="H789" s="238">
        <f>IFERROR(__xludf.DUMMYFUNCTION("""COMPUTED_VALUE"""),45981.125)</f>
        <v>45981.125</v>
      </c>
      <c r="I789" s="237" t="str">
        <f t="shared" si="1"/>
        <v>Fora</v>
      </c>
      <c r="J789" s="239">
        <v>240.00000000698492</v>
      </c>
    </row>
    <row r="790">
      <c r="A790" s="234" t="s">
        <v>2484</v>
      </c>
      <c r="B790" s="234" t="str">
        <f>IFERROR(__xludf.DUMMYFUNCTION("""COMPUTED_VALUE"""),"SoC_GO_Goiânia_02")</f>
        <v>SoC_GO_Goiânia_02</v>
      </c>
      <c r="C790" s="234" t="str">
        <f>IFERROR(__xludf.DUMMYFUNCTION("""COMPUTED_VALUE"""),"SOC-GO2")</f>
        <v>SOC-GO2</v>
      </c>
      <c r="D790" s="234">
        <f>IFERROR(__xludf.DUMMYFUNCTION("""COMPUTED_VALUE"""),23.0)</f>
        <v>23</v>
      </c>
      <c r="E790" s="237" t="str">
        <f>IFERROR(__xludf.DUMMYFUNCTION("""COMPUTED_VALUE"""),"LT0PBK01S0XC1")</f>
        <v>LT0PBK01S0XC1</v>
      </c>
      <c r="F790" s="238" t="str">
        <f>IFERROR(__xludf.DUMMYFUNCTION("""COMPUTED_VALUE"""),"GCV0G87,GCV4B08")</f>
        <v>GCV0G87,GCV4B08</v>
      </c>
      <c r="G790" s="238">
        <f>IFERROR(__xludf.DUMMYFUNCTION("""COMPUTED_VALUE"""),45981.0)</f>
        <v>45981</v>
      </c>
      <c r="H790" s="238">
        <f>IFERROR(__xludf.DUMMYFUNCTION("""COMPUTED_VALUE"""),45981.16666666667)</f>
        <v>45981.16667</v>
      </c>
      <c r="I790" s="237" t="str">
        <f t="shared" si="1"/>
        <v>Fora</v>
      </c>
      <c r="J790" s="239">
        <v>240.00000000698492</v>
      </c>
    </row>
    <row r="791">
      <c r="A791" s="234" t="s">
        <v>2485</v>
      </c>
      <c r="B791" s="234" t="str">
        <f>IFERROR(__xludf.DUMMYFUNCTION("""COMPUTED_VALUE"""),"SoC_PE_Jaboatão dos Guararapes")</f>
        <v>SoC_PE_Jaboatão dos Guararapes</v>
      </c>
      <c r="C791" s="234" t="str">
        <f>IFERROR(__xludf.DUMMYFUNCTION("""COMPUTED_VALUE"""),"SOC-PE2")</f>
        <v>SOC-PE2</v>
      </c>
      <c r="D791" s="234">
        <f>IFERROR(__xludf.DUMMYFUNCTION("""COMPUTED_VALUE"""),21.0)</f>
        <v>21</v>
      </c>
      <c r="E791" s="237" t="str">
        <f>IFERROR(__xludf.DUMMYFUNCTION("""COMPUTED_VALUE"""),"LT0PBK01S0MC1")</f>
        <v>LT0PBK01S0MC1</v>
      </c>
      <c r="F791" s="238" t="str">
        <f>IFERROR(__xludf.DUMMYFUNCTION("""COMPUTED_VALUE"""),"DPB6605,DAJ0J33")</f>
        <v>DPB6605,DAJ0J33</v>
      </c>
      <c r="G791" s="238">
        <f>IFERROR(__xludf.DUMMYFUNCTION("""COMPUTED_VALUE"""),45981.0)</f>
        <v>45981</v>
      </c>
      <c r="H791" s="238">
        <f>IFERROR(__xludf.DUMMYFUNCTION("""COMPUTED_VALUE"""),45981.16666666667)</f>
        <v>45981.16667</v>
      </c>
      <c r="I791" s="237" t="str">
        <f t="shared" si="1"/>
        <v>Fora</v>
      </c>
      <c r="J791" s="239">
        <v>240.00000000698492</v>
      </c>
    </row>
    <row r="792">
      <c r="A792" s="234" t="s">
        <v>2486</v>
      </c>
      <c r="B792" s="234" t="str">
        <f>IFERROR(__xludf.DUMMYFUNCTION("""COMPUTED_VALUE"""),"SoC_RJ_Duque de Caxias")</f>
        <v>SoC_RJ_Duque de Caxias</v>
      </c>
      <c r="C792" s="234" t="str">
        <f>IFERROR(__xludf.DUMMYFUNCTION("""COMPUTED_VALUE"""),"SOC-RJ2")</f>
        <v>SOC-RJ2</v>
      </c>
      <c r="D792" s="234">
        <f>IFERROR(__xludf.DUMMYFUNCTION("""COMPUTED_VALUE"""),6.0)</f>
        <v>6</v>
      </c>
      <c r="E792" s="237" t="str">
        <f>IFERROR(__xludf.DUMMYFUNCTION("""COMPUTED_VALUE"""),"LT0PBK01RX6O1")</f>
        <v>LT0PBK01RX6O1</v>
      </c>
      <c r="F792" s="238" t="str">
        <f>IFERROR(__xludf.DUMMYFUNCTION("""COMPUTED_VALUE"""),"FPP3B13,RMJ6G23")</f>
        <v>FPP3B13,RMJ6G23</v>
      </c>
      <c r="G792" s="238">
        <f>IFERROR(__xludf.DUMMYFUNCTION("""COMPUTED_VALUE"""),45981.0)</f>
        <v>45981</v>
      </c>
      <c r="H792" s="238">
        <f>IFERROR(__xludf.DUMMYFUNCTION("""COMPUTED_VALUE"""),45981.16666666667)</f>
        <v>45981.16667</v>
      </c>
      <c r="I792" s="237" t="str">
        <f t="shared" si="1"/>
        <v>Fora</v>
      </c>
      <c r="J792" s="239">
        <v>240.00000000698492</v>
      </c>
    </row>
    <row r="793">
      <c r="A793" s="234" t="s">
        <v>2487</v>
      </c>
      <c r="B793" s="234" t="str">
        <f>IFERROR(__xludf.DUMMYFUNCTION("""COMPUTED_VALUE"""),"SoC_SP_Cravinhos")</f>
        <v>SoC_SP_Cravinhos</v>
      </c>
      <c r="C793" s="234" t="str">
        <f>IFERROR(__xludf.DUMMYFUNCTION("""COMPUTED_VALUE"""),"SOC-SP5")</f>
        <v>SOC-SP5</v>
      </c>
      <c r="D793" s="234">
        <f>IFERROR(__xludf.DUMMYFUNCTION("""COMPUTED_VALUE"""),43.0)</f>
        <v>43</v>
      </c>
      <c r="E793" s="237" t="str">
        <f>IFERROR(__xludf.DUMMYFUNCTION("""COMPUTED_VALUE"""),"LT0PBK01RUWB1")</f>
        <v>LT0PBK01RUWB1</v>
      </c>
      <c r="F793" s="238" t="str">
        <f>IFERROR(__xludf.DUMMYFUNCTION("""COMPUTED_VALUE"""),"FVL6H27,EWJ9F18")</f>
        <v>FVL6H27,EWJ9F18</v>
      </c>
      <c r="G793" s="238">
        <f>IFERROR(__xludf.DUMMYFUNCTION("""COMPUTED_VALUE"""),45981.0)</f>
        <v>45981</v>
      </c>
      <c r="H793" s="238">
        <f>IFERROR(__xludf.DUMMYFUNCTION("""COMPUTED_VALUE"""),45981.16666666667)</f>
        <v>45981.16667</v>
      </c>
      <c r="I793" s="237" t="str">
        <f t="shared" si="1"/>
        <v>Fora</v>
      </c>
      <c r="J793" s="239">
        <v>120.00000001396984</v>
      </c>
    </row>
    <row r="794">
      <c r="A794" s="234" t="s">
        <v>2488</v>
      </c>
      <c r="B794" s="234" t="str">
        <f>IFERROR(__xludf.DUMMYFUNCTION("""COMPUTED_VALUE"""),"LM Hub_SP_Tatuí")</f>
        <v>LM Hub_SP_Tatuí</v>
      </c>
      <c r="C794" s="234" t="str">
        <f>IFERROR(__xludf.DUMMYFUNCTION("""COMPUTED_VALUE"""),"HUB-LSP-51")</f>
        <v>HUB-LSP-51</v>
      </c>
      <c r="D794" s="234">
        <f>IFERROR(__xludf.DUMMYFUNCTION("""COMPUTED_VALUE"""),12.0)</f>
        <v>12</v>
      </c>
      <c r="E794" s="237" t="str">
        <f>IFERROR(__xludf.DUMMYFUNCTION("""COMPUTED_VALUE"""),"LT0PBK01RUZO1")</f>
        <v>LT0PBK01RUZO1</v>
      </c>
      <c r="F794" s="238" t="str">
        <f>IFERROR(__xludf.DUMMYFUNCTION("""COMPUTED_VALUE"""),"FLO1G76")</f>
        <v>FLO1G76</v>
      </c>
      <c r="G794" s="238">
        <f>IFERROR(__xludf.DUMMYFUNCTION("""COMPUTED_VALUE"""),45981.08333333333)</f>
        <v>45981.08333</v>
      </c>
      <c r="H794" s="238">
        <f>IFERROR(__xludf.DUMMYFUNCTION("""COMPUTED_VALUE"""),45981.16666666667)</f>
        <v>45981.16667</v>
      </c>
      <c r="I794" s="237" t="str">
        <f t="shared" si="1"/>
        <v>Fora</v>
      </c>
      <c r="J794" s="239">
        <v>120.00000001396984</v>
      </c>
    </row>
    <row r="795">
      <c r="A795" s="234" t="s">
        <v>2489</v>
      </c>
      <c r="B795" s="234" t="str">
        <f>IFERROR(__xludf.DUMMYFUNCTION("""COMPUTED_VALUE"""),"SoC_MG_Betim")</f>
        <v>SoC_MG_Betim</v>
      </c>
      <c r="C795" s="234" t="str">
        <f>IFERROR(__xludf.DUMMYFUNCTION("""COMPUTED_VALUE"""),"SOC-MG2")</f>
        <v>SOC-MG2</v>
      </c>
      <c r="D795" s="234">
        <f>IFERROR(__xludf.DUMMYFUNCTION("""COMPUTED_VALUE"""),47.0)</f>
        <v>47</v>
      </c>
      <c r="E795" s="237" t="str">
        <f>IFERROR(__xludf.DUMMYFUNCTION("""COMPUTED_VALUE"""),"LT0PBK01RUUO1")</f>
        <v>LT0PBK01RUUO1</v>
      </c>
      <c r="F795" s="238" t="str">
        <f>IFERROR(__xludf.DUMMYFUNCTION("""COMPUTED_VALUE"""),"FCV3J24,TLS7G35")</f>
        <v>FCV3J24,TLS7G35</v>
      </c>
      <c r="G795" s="238">
        <f>IFERROR(__xludf.DUMMYFUNCTION("""COMPUTED_VALUE"""),45981.08333333333)</f>
        <v>45981.08333</v>
      </c>
      <c r="H795" s="238">
        <f>IFERROR(__xludf.DUMMYFUNCTION("""COMPUTED_VALUE"""),45981.16666666667)</f>
        <v>45981.16667</v>
      </c>
      <c r="I795" s="237" t="str">
        <f t="shared" si="1"/>
        <v>Fora</v>
      </c>
      <c r="J795" s="239">
        <v>120.00000001396984</v>
      </c>
    </row>
    <row r="796">
      <c r="A796" s="234" t="s">
        <v>2490</v>
      </c>
      <c r="B796" s="234" t="str">
        <f>IFERROR(__xludf.DUMMYFUNCTION("""COMPUTED_VALUE"""),"SoC_RS_Gravataí_02")</f>
        <v>SoC_RS_Gravataí_02</v>
      </c>
      <c r="C796" s="234" t="str">
        <f>IFERROR(__xludf.DUMMYFUNCTION("""COMPUTED_VALUE"""),"SOC-RS2")</f>
        <v>SOC-RS2</v>
      </c>
      <c r="D796" s="234"/>
      <c r="E796" s="237" t="str">
        <f>IFERROR(__xludf.DUMMYFUNCTION("""COMPUTED_VALUE"""),"LT0PBJ01S11B2")</f>
        <v>LT0PBJ01S11B2</v>
      </c>
      <c r="F796" s="234"/>
      <c r="G796" s="238">
        <f>IFERROR(__xludf.DUMMYFUNCTION("""COMPUTED_VALUE"""),45981.08333333333)</f>
        <v>45981.08333</v>
      </c>
      <c r="H796" s="238">
        <f>IFERROR(__xludf.DUMMYFUNCTION("""COMPUTED_VALUE"""),45981.16666666667)</f>
        <v>45981.16667</v>
      </c>
      <c r="I796" s="237" t="str">
        <f t="shared" si="1"/>
        <v>Fora</v>
      </c>
      <c r="J796" s="239">
        <v>120.00000001396984</v>
      </c>
    </row>
    <row r="797">
      <c r="A797" s="234" t="s">
        <v>2491</v>
      </c>
      <c r="B797" s="234" t="str">
        <f>IFERROR(__xludf.DUMMYFUNCTION("""COMPUTED_VALUE"""),"SoC_SP_Louveira")</f>
        <v>SoC_SP_Louveira</v>
      </c>
      <c r="C797" s="234" t="str">
        <f>IFERROR(__xludf.DUMMYFUNCTION("""COMPUTED_VALUE"""),"SOC-SP7")</f>
        <v>SOC-SP7</v>
      </c>
      <c r="D797" s="234">
        <f>IFERROR(__xludf.DUMMYFUNCTION("""COMPUTED_VALUE"""),34.0)</f>
        <v>34</v>
      </c>
      <c r="E797" s="237" t="str">
        <f>IFERROR(__xludf.DUMMYFUNCTION("""COMPUTED_VALUE"""),"LT1PBK01SBBG1")</f>
        <v>LT1PBK01SBBG1</v>
      </c>
      <c r="F797" s="238" t="str">
        <f>IFERROR(__xludf.DUMMYFUNCTION("""COMPUTED_VALUE"""),"EGK6F57,BEM5F57")</f>
        <v>EGK6F57,BEM5F57</v>
      </c>
      <c r="G797" s="238">
        <f>IFERROR(__xludf.DUMMYFUNCTION("""COMPUTED_VALUE"""),45981.08333333333)</f>
        <v>45981.08333</v>
      </c>
      <c r="H797" s="238">
        <f>IFERROR(__xludf.DUMMYFUNCTION("""COMPUTED_VALUE"""),45981.16666666667)</f>
        <v>45981.16667</v>
      </c>
      <c r="I797" s="237" t="str">
        <f t="shared" si="1"/>
        <v>Fora</v>
      </c>
      <c r="J797" s="239">
        <v>119.99999999301508</v>
      </c>
    </row>
    <row r="798">
      <c r="A798" s="234" t="s">
        <v>2492</v>
      </c>
      <c r="B798" s="234" t="str">
        <f>IFERROR(__xludf.DUMMYFUNCTION("""COMPUTED_VALUE"""),"LM Hub_MG_Varginha_Fausto")</f>
        <v>LM Hub_MG_Varginha_Fausto</v>
      </c>
      <c r="C798" s="234" t="str">
        <f>IFERROR(__xludf.DUMMYFUNCTION("""COMPUTED_VALUE"""),"HUB-LMG-45")</f>
        <v>HUB-LMG-45</v>
      </c>
      <c r="D798" s="234">
        <f>IFERROR(__xludf.DUMMYFUNCTION("""COMPUTED_VALUE"""),29.0)</f>
        <v>29</v>
      </c>
      <c r="E798" s="237" t="str">
        <f>IFERROR(__xludf.DUMMYFUNCTION("""COMPUTED_VALUE"""),"LT0PBK01S0DP1")</f>
        <v>LT0PBK01S0DP1</v>
      </c>
      <c r="F798" s="238" t="str">
        <f>IFERROR(__xludf.DUMMYFUNCTION("""COMPUTED_VALUE"""),"GGK6J35")</f>
        <v>GGK6J35</v>
      </c>
      <c r="G798" s="238">
        <f>IFERROR(__xludf.DUMMYFUNCTION("""COMPUTED_VALUE"""),45981.10416666667)</f>
        <v>45981.10417</v>
      </c>
      <c r="H798" s="238">
        <f>IFERROR(__xludf.DUMMYFUNCTION("""COMPUTED_VALUE"""),45981.1875)</f>
        <v>45981.1875</v>
      </c>
      <c r="I798" s="237" t="str">
        <f t="shared" si="1"/>
        <v>Fora</v>
      </c>
      <c r="J798" s="239">
        <v>119.99999999301508</v>
      </c>
    </row>
    <row r="799">
      <c r="A799" s="234" t="s">
        <v>2493</v>
      </c>
      <c r="B799" s="234" t="str">
        <f>IFERROR(__xludf.DUMMYFUNCTION("""COMPUTED_VALUE"""),"LM Hub_SP_Itapetininga")</f>
        <v>LM Hub_SP_Itapetininga</v>
      </c>
      <c r="C799" s="234" t="str">
        <f>IFERROR(__xludf.DUMMYFUNCTION("""COMPUTED_VALUE"""),"HUB-LSP-53")</f>
        <v>HUB-LSP-53</v>
      </c>
      <c r="D799" s="234">
        <f>IFERROR(__xludf.DUMMYFUNCTION("""COMPUTED_VALUE"""),16.0)</f>
        <v>16</v>
      </c>
      <c r="E799" s="237" t="str">
        <f>IFERROR(__xludf.DUMMYFUNCTION("""COMPUTED_VALUE"""),"LT0PBK01RUZJ1")</f>
        <v>LT0PBK01RUZJ1</v>
      </c>
      <c r="F799" s="238" t="str">
        <f>IFERROR(__xludf.DUMMYFUNCTION("""COMPUTED_VALUE"""),"FZY3F48")</f>
        <v>FZY3F48</v>
      </c>
      <c r="G799" s="238">
        <f>IFERROR(__xludf.DUMMYFUNCTION("""COMPUTED_VALUE"""),45981.10416666667)</f>
        <v>45981.10417</v>
      </c>
      <c r="H799" s="238">
        <f>IFERROR(__xludf.DUMMYFUNCTION("""COMPUTED_VALUE"""),45981.1875)</f>
        <v>45981.1875</v>
      </c>
      <c r="I799" s="237" t="str">
        <f t="shared" si="1"/>
        <v>Fora</v>
      </c>
      <c r="J799" s="239">
        <v>119.99999999301508</v>
      </c>
    </row>
    <row r="800">
      <c r="A800" s="234" t="s">
        <v>2494</v>
      </c>
      <c r="B800" s="234" t="str">
        <f>IFERROR(__xludf.DUMMYFUNCTION("""COMPUTED_VALUE"""),"LM Hub_SP_São Carlos")</f>
        <v>LM Hub_SP_São Carlos</v>
      </c>
      <c r="C800" s="234" t="str">
        <f>IFERROR(__xludf.DUMMYFUNCTION("""COMPUTED_VALUE"""),"HUB-LSP-31")</f>
        <v>HUB-LSP-31</v>
      </c>
      <c r="D800" s="234">
        <f>IFERROR(__xludf.DUMMYFUNCTION("""COMPUTED_VALUE"""),5.0)</f>
        <v>5</v>
      </c>
      <c r="E800" s="237" t="str">
        <f>IFERROR(__xludf.DUMMYFUNCTION("""COMPUTED_VALUE"""),"LT0PBK01RV2D1")</f>
        <v>LT0PBK01RV2D1</v>
      </c>
      <c r="F800" s="238" t="str">
        <f>IFERROR(__xludf.DUMMYFUNCTION("""COMPUTED_VALUE"""),"FZQ1I50")</f>
        <v>FZQ1I50</v>
      </c>
      <c r="G800" s="238">
        <f>IFERROR(__xludf.DUMMYFUNCTION("""COMPUTED_VALUE"""),45981.10416666667)</f>
        <v>45981.10417</v>
      </c>
      <c r="H800" s="238">
        <f>IFERROR(__xludf.DUMMYFUNCTION("""COMPUTED_VALUE"""),45981.1875)</f>
        <v>45981.1875</v>
      </c>
      <c r="I800" s="237" t="str">
        <f t="shared" si="1"/>
        <v>Fora</v>
      </c>
      <c r="J800" s="239">
        <v>299.9999999930151</v>
      </c>
    </row>
    <row r="801">
      <c r="A801" s="234" t="s">
        <v>2495</v>
      </c>
      <c r="B801" s="234" t="str">
        <f>IFERROR(__xludf.DUMMYFUNCTION("""COMPUTED_VALUE"""),"SoC_PR_Curitiba")</f>
        <v>SoC_PR_Curitiba</v>
      </c>
      <c r="C801" s="234" t="str">
        <f>IFERROR(__xludf.DUMMYFUNCTION("""COMPUTED_VALUE"""),"SOC-PR1")</f>
        <v>SOC-PR1</v>
      </c>
      <c r="D801" s="234">
        <f>IFERROR(__xludf.DUMMYFUNCTION("""COMPUTED_VALUE"""),39.0)</f>
        <v>39</v>
      </c>
      <c r="E801" s="237" t="str">
        <f>IFERROR(__xludf.DUMMYFUNCTION("""COMPUTED_VALUE"""),"LT0PBK01RUVO1")</f>
        <v>LT0PBK01RUVO1</v>
      </c>
      <c r="F801" s="238" t="str">
        <f>IFERROR(__xludf.DUMMYFUNCTION("""COMPUTED_VALUE"""),"RHJ0E45,BEX8B12")</f>
        <v>RHJ0E45,BEX8B12</v>
      </c>
      <c r="G801" s="238">
        <f>IFERROR(__xludf.DUMMYFUNCTION("""COMPUTED_VALUE"""),45981.0)</f>
        <v>45981</v>
      </c>
      <c r="H801" s="238">
        <f>IFERROR(__xludf.DUMMYFUNCTION("""COMPUTED_VALUE"""),45981.20833333333)</f>
        <v>45981.20833</v>
      </c>
      <c r="I801" s="237" t="str">
        <f t="shared" si="1"/>
        <v>Fora</v>
      </c>
      <c r="J801" s="239">
        <v>299.9999999930151</v>
      </c>
    </row>
    <row r="802">
      <c r="A802" s="234" t="s">
        <v>2496</v>
      </c>
      <c r="B802" s="234" t="str">
        <f>IFERROR(__xludf.DUMMYFUNCTION("""COMPUTED_VALUE"""),"SoC_SP_Louveira")</f>
        <v>SoC_SP_Louveira</v>
      </c>
      <c r="C802" s="234" t="str">
        <f>IFERROR(__xludf.DUMMYFUNCTION("""COMPUTED_VALUE"""),"SOC-SP7")</f>
        <v>SOC-SP7</v>
      </c>
      <c r="D802" s="234">
        <f>IFERROR(__xludf.DUMMYFUNCTION("""COMPUTED_VALUE"""),35.0)</f>
        <v>35</v>
      </c>
      <c r="E802" s="237" t="str">
        <f>IFERROR(__xludf.DUMMYFUNCTION("""COMPUTED_VALUE"""),"LT0PBK01RUXH1")</f>
        <v>LT0PBK01RUXH1</v>
      </c>
      <c r="F802" s="238" t="str">
        <f>IFERROR(__xludf.DUMMYFUNCTION("""COMPUTED_VALUE"""),"FNY2B06,FCR2E04")</f>
        <v>FNY2B06,FCR2E04</v>
      </c>
      <c r="G802" s="238">
        <f>IFERROR(__xludf.DUMMYFUNCTION("""COMPUTED_VALUE"""),45981.0)</f>
        <v>45981</v>
      </c>
      <c r="H802" s="238">
        <f>IFERROR(__xludf.DUMMYFUNCTION("""COMPUTED_VALUE"""),45981.20833333333)</f>
        <v>45981.20833</v>
      </c>
      <c r="I802" s="237" t="str">
        <f t="shared" si="1"/>
        <v>Fora</v>
      </c>
      <c r="J802" s="239">
        <v>298.99999998975545</v>
      </c>
    </row>
    <row r="803">
      <c r="A803" s="234" t="s">
        <v>2497</v>
      </c>
      <c r="B803" s="234" t="str">
        <f>IFERROR(__xludf.DUMMYFUNCTION("""COMPUTED_VALUE"""),"SoC_RS_Gravataí_02")</f>
        <v>SoC_RS_Gravataí_02</v>
      </c>
      <c r="C803" s="234" t="str">
        <f>IFERROR(__xludf.DUMMYFUNCTION("""COMPUTED_VALUE"""),"SOC-RS2")</f>
        <v>SOC-RS2</v>
      </c>
      <c r="D803" s="234">
        <f>IFERROR(__xludf.DUMMYFUNCTION("""COMPUTED_VALUE"""),24.0)</f>
        <v>24</v>
      </c>
      <c r="E803" s="237" t="str">
        <f>IFERROR(__xludf.DUMMYFUNCTION("""COMPUTED_VALUE"""),"LT0PBK01S10Z1")</f>
        <v>LT0PBK01S10Z1</v>
      </c>
      <c r="F803" s="238" t="str">
        <f>IFERROR(__xludf.DUMMYFUNCTION("""COMPUTED_VALUE"""),"JDJ8J99,JCX6D21")</f>
        <v>JDJ8J99,JCX6D21</v>
      </c>
      <c r="G803" s="238">
        <f>IFERROR(__xludf.DUMMYFUNCTION("""COMPUTED_VALUE"""),45981.00069444445)</f>
        <v>45981.00069</v>
      </c>
      <c r="H803" s="238">
        <f>IFERROR(__xludf.DUMMYFUNCTION("""COMPUTED_VALUE"""),45981.20833333333)</f>
        <v>45981.20833</v>
      </c>
      <c r="I803" s="237" t="str">
        <f t="shared" si="1"/>
        <v>Fora</v>
      </c>
      <c r="J803" s="239">
        <v>297.9999999864958</v>
      </c>
    </row>
    <row r="804">
      <c r="A804" s="234" t="s">
        <v>2498</v>
      </c>
      <c r="B804" s="234" t="str">
        <f>IFERROR(__xludf.DUMMYFUNCTION("""COMPUTED_VALUE"""),"SoC_BA_Simoes Filho")</f>
        <v>SoC_BA_Simoes Filho</v>
      </c>
      <c r="C804" s="234" t="str">
        <f>IFERROR(__xludf.DUMMYFUNCTION("""COMPUTED_VALUE"""),"SOC-BA2")</f>
        <v>SOC-BA2</v>
      </c>
      <c r="D804" s="234">
        <f>IFERROR(__xludf.DUMMYFUNCTION("""COMPUTED_VALUE"""),33.0)</f>
        <v>33</v>
      </c>
      <c r="E804" s="237" t="str">
        <f>IFERROR(__xludf.DUMMYFUNCTION("""COMPUTED_VALUE"""),"LT0PBK01S0Q61")</f>
        <v>LT0PBK01S0Q61</v>
      </c>
      <c r="F804" s="238" t="str">
        <f>IFERROR(__xludf.DUMMYFUNCTION("""COMPUTED_VALUE"""),"RHA7C68,TEH8A40")</f>
        <v>RHA7C68,TEH8A40</v>
      </c>
      <c r="G804" s="238">
        <f>IFERROR(__xludf.DUMMYFUNCTION("""COMPUTED_VALUE"""),45981.00138888889)</f>
        <v>45981.00139</v>
      </c>
      <c r="H804" s="238">
        <f>IFERROR(__xludf.DUMMYFUNCTION("""COMPUTED_VALUE"""),45981.20833333333)</f>
        <v>45981.20833</v>
      </c>
      <c r="I804" s="237" t="str">
        <f t="shared" si="1"/>
        <v>Fora</v>
      </c>
      <c r="J804" s="239">
        <v>297.9999999864958</v>
      </c>
    </row>
    <row r="805">
      <c r="A805" s="234" t="s">
        <v>2499</v>
      </c>
      <c r="B805" s="234" t="str">
        <f>IFERROR(__xludf.DUMMYFUNCTION("""COMPUTED_VALUE"""),"SoC_BA_Simoes Filho")</f>
        <v>SoC_BA_Simoes Filho</v>
      </c>
      <c r="C805" s="234" t="str">
        <f>IFERROR(__xludf.DUMMYFUNCTION("""COMPUTED_VALUE"""),"SOC-BA2")</f>
        <v>SOC-BA2</v>
      </c>
      <c r="D805" s="234">
        <f>IFERROR(__xludf.DUMMYFUNCTION("""COMPUTED_VALUE"""),32.0)</f>
        <v>32</v>
      </c>
      <c r="E805" s="237" t="str">
        <f>IFERROR(__xludf.DUMMYFUNCTION("""COMPUTED_VALUE"""),"LT0PBK01S0Q82")</f>
        <v>LT0PBK01S0Q82</v>
      </c>
      <c r="F805" s="238" t="str">
        <f>IFERROR(__xludf.DUMMYFUNCTION("""COMPUTED_VALUE"""),"BCT2E05,RFD5A96")</f>
        <v>BCT2E05,RFD5A96</v>
      </c>
      <c r="G805" s="238">
        <f>IFERROR(__xludf.DUMMYFUNCTION("""COMPUTED_VALUE"""),45981.00138888889)</f>
        <v>45981.00139</v>
      </c>
      <c r="H805" s="238">
        <f>IFERROR(__xludf.DUMMYFUNCTION("""COMPUTED_VALUE"""),45981.20833333333)</f>
        <v>45981.20833</v>
      </c>
      <c r="I805" s="237" t="str">
        <f t="shared" si="1"/>
        <v>Fora</v>
      </c>
      <c r="J805" s="239">
        <v>119.99999999301508</v>
      </c>
    </row>
    <row r="806">
      <c r="A806" s="234" t="s">
        <v>2500</v>
      </c>
      <c r="B806" s="234" t="str">
        <f>IFERROR(__xludf.DUMMYFUNCTION("""COMPUTED_VALUE"""),"LM Hub_SP_Itapeva")</f>
        <v>LM Hub_SP_Itapeva</v>
      </c>
      <c r="C806" s="234" t="str">
        <f>IFERROR(__xludf.DUMMYFUNCTION("""COMPUTED_VALUE"""),"HUB-LSP-39")</f>
        <v>HUB-LSP-39</v>
      </c>
      <c r="D806" s="234">
        <f>IFERROR(__xludf.DUMMYFUNCTION("""COMPUTED_VALUE"""),9.0)</f>
        <v>9</v>
      </c>
      <c r="E806" s="237" t="str">
        <f>IFERROR(__xludf.DUMMYFUNCTION("""COMPUTED_VALUE"""),"LT0PBK01RUZT1")</f>
        <v>LT0PBK01RUZT1</v>
      </c>
      <c r="F806" s="238" t="str">
        <f>IFERROR(__xludf.DUMMYFUNCTION("""COMPUTED_VALUE"""),"DTC3E38")</f>
        <v>DTC3E38</v>
      </c>
      <c r="G806" s="238">
        <f>IFERROR(__xludf.DUMMYFUNCTION("""COMPUTED_VALUE"""),45981.125)</f>
        <v>45981.125</v>
      </c>
      <c r="H806" s="238">
        <f>IFERROR(__xludf.DUMMYFUNCTION("""COMPUTED_VALUE"""),45981.20833333333)</f>
        <v>45981.20833</v>
      </c>
      <c r="I806" s="237" t="str">
        <f t="shared" si="1"/>
        <v>Fora</v>
      </c>
      <c r="J806" s="239">
        <v>119.99999999301508</v>
      </c>
    </row>
    <row r="807">
      <c r="A807" s="234" t="s">
        <v>2501</v>
      </c>
      <c r="B807" s="234" t="str">
        <f>IFERROR(__xludf.DUMMYFUNCTION("""COMPUTED_VALUE"""),"LM Hub_SP_Registro")</f>
        <v>LM Hub_SP_Registro</v>
      </c>
      <c r="C807" s="234" t="str">
        <f>IFERROR(__xludf.DUMMYFUNCTION("""COMPUTED_VALUE"""),"HUB-LSP-40")</f>
        <v>HUB-LSP-40</v>
      </c>
      <c r="D807" s="234">
        <f>IFERROR(__xludf.DUMMYFUNCTION("""COMPUTED_VALUE"""),8.0)</f>
        <v>8</v>
      </c>
      <c r="E807" s="237" t="str">
        <f>IFERROR(__xludf.DUMMYFUNCTION("""COMPUTED_VALUE"""),"LT0PBK01RV0E1")</f>
        <v>LT0PBK01RV0E1</v>
      </c>
      <c r="F807" s="238" t="str">
        <f>IFERROR(__xludf.DUMMYFUNCTION("""COMPUTED_VALUE"""),"FSV9B90")</f>
        <v>FSV9B90</v>
      </c>
      <c r="G807" s="238">
        <f>IFERROR(__xludf.DUMMYFUNCTION("""COMPUTED_VALUE"""),45981.125)</f>
        <v>45981.125</v>
      </c>
      <c r="H807" s="238">
        <f>IFERROR(__xludf.DUMMYFUNCTION("""COMPUTED_VALUE"""),45981.20833333333)</f>
        <v>45981.20833</v>
      </c>
      <c r="I807" s="237" t="str">
        <f t="shared" si="1"/>
        <v>Fora</v>
      </c>
      <c r="J807" s="239">
        <v>119.99999999301508</v>
      </c>
    </row>
    <row r="808">
      <c r="A808" s="234" t="s">
        <v>2502</v>
      </c>
      <c r="B808" s="234" t="str">
        <f>IFERROR(__xludf.DUMMYFUNCTION("""COMPUTED_VALUE"""),"LM Hub_SP_Sumaré_Nova Veneza_1")</f>
        <v>LM Hub_SP_Sumaré_Nova Veneza_1</v>
      </c>
      <c r="C808" s="234" t="str">
        <f>IFERROR(__xludf.DUMMYFUNCTION("""COMPUTED_VALUE"""),"HUB-LSP-88")</f>
        <v>HUB-LSP-88</v>
      </c>
      <c r="D808" s="234">
        <f>IFERROR(__xludf.DUMMYFUNCTION("""COMPUTED_VALUE"""),42.0)</f>
        <v>42</v>
      </c>
      <c r="E808" s="237" t="str">
        <f>IFERROR(__xludf.DUMMYFUNCTION("""COMPUTED_VALUE"""),"LT0PBK01S0A01")</f>
        <v>LT0PBK01S0A01</v>
      </c>
      <c r="F808" s="238" t="str">
        <f>IFERROR(__xludf.DUMMYFUNCTION("""COMPUTED_VALUE"""),"CLD1G43")</f>
        <v>CLD1G43</v>
      </c>
      <c r="G808" s="238">
        <f>IFERROR(__xludf.DUMMYFUNCTION("""COMPUTED_VALUE"""),45981.125)</f>
        <v>45981.125</v>
      </c>
      <c r="H808" s="238">
        <f>IFERROR(__xludf.DUMMYFUNCTION("""COMPUTED_VALUE"""),45981.20833333333)</f>
        <v>45981.20833</v>
      </c>
      <c r="I808" s="237" t="str">
        <f t="shared" si="1"/>
        <v>Fora</v>
      </c>
      <c r="J808" s="239">
        <v>119.99999999301508</v>
      </c>
    </row>
    <row r="809">
      <c r="A809" s="234" t="s">
        <v>2503</v>
      </c>
      <c r="B809" s="234" t="str">
        <f>IFERROR(__xludf.DUMMYFUNCTION("""COMPUTED_VALUE"""),"SoC_GO_Goiânia_02")</f>
        <v>SoC_GO_Goiânia_02</v>
      </c>
      <c r="C809" s="234" t="str">
        <f>IFERROR(__xludf.DUMMYFUNCTION("""COMPUTED_VALUE"""),"SOC-GO2")</f>
        <v>SOC-GO2</v>
      </c>
      <c r="D809" s="234">
        <f>IFERROR(__xludf.DUMMYFUNCTION("""COMPUTED_VALUE"""),22.0)</f>
        <v>22</v>
      </c>
      <c r="E809" s="237" t="str">
        <f>IFERROR(__xludf.DUMMYFUNCTION("""COMPUTED_VALUE"""),"LT0PBK01S0XG1")</f>
        <v>LT0PBK01S0XG1</v>
      </c>
      <c r="F809" s="238" t="str">
        <f>IFERROR(__xludf.DUMMYFUNCTION("""COMPUTED_VALUE"""),"TBG4B93,EZL9D42")</f>
        <v>TBG4B93,EZL9D42</v>
      </c>
      <c r="G809" s="238">
        <f>IFERROR(__xludf.DUMMYFUNCTION("""COMPUTED_VALUE"""),45981.125)</f>
        <v>45981.125</v>
      </c>
      <c r="H809" s="238">
        <f>IFERROR(__xludf.DUMMYFUNCTION("""COMPUTED_VALUE"""),45981.20833333333)</f>
        <v>45981.20833</v>
      </c>
      <c r="I809" s="237" t="str">
        <f t="shared" si="1"/>
        <v>Fora</v>
      </c>
      <c r="J809" s="239">
        <v>119.99999999301508</v>
      </c>
    </row>
    <row r="810">
      <c r="A810" s="234" t="s">
        <v>2504</v>
      </c>
      <c r="B810" s="234" t="str">
        <f>IFERROR(__xludf.DUMMYFUNCTION("""COMPUTED_VALUE"""),"SoC_PR_Curitiba")</f>
        <v>SoC_PR_Curitiba</v>
      </c>
      <c r="C810" s="234" t="str">
        <f>IFERROR(__xludf.DUMMYFUNCTION("""COMPUTED_VALUE"""),"SOC-PR1")</f>
        <v>SOC-PR1</v>
      </c>
      <c r="D810" s="234"/>
      <c r="E810" s="237" t="str">
        <f>IFERROR(__xludf.DUMMYFUNCTION("""COMPUTED_VALUE"""),"LT1PBK01SBTZ1")</f>
        <v>LT1PBK01SBTZ1</v>
      </c>
      <c r="F810" s="238" t="str">
        <f>IFERROR(__xludf.DUMMYFUNCTION("""COMPUTED_VALUE"""),"TAY4D13,CNR5H54")</f>
        <v>TAY4D13,CNR5H54</v>
      </c>
      <c r="G810" s="238">
        <f>IFERROR(__xludf.DUMMYFUNCTION("""COMPUTED_VALUE"""),45981.125)</f>
        <v>45981.125</v>
      </c>
      <c r="H810" s="238">
        <f>IFERROR(__xludf.DUMMYFUNCTION("""COMPUTED_VALUE"""),45981.20833333333)</f>
        <v>45981.20833</v>
      </c>
      <c r="I810" s="237" t="str">
        <f t="shared" si="1"/>
        <v>Fora</v>
      </c>
      <c r="J810" s="239">
        <v>119.99999999301508</v>
      </c>
    </row>
    <row r="811">
      <c r="A811" s="234" t="s">
        <v>2505</v>
      </c>
      <c r="B811" s="234" t="str">
        <f>IFERROR(__xludf.DUMMYFUNCTION("""COMPUTED_VALUE"""),"SoC_RS_Gravataí_02")</f>
        <v>SoC_RS_Gravataí_02</v>
      </c>
      <c r="C811" s="234" t="str">
        <f>IFERROR(__xludf.DUMMYFUNCTION("""COMPUTED_VALUE"""),"SOC-RS2")</f>
        <v>SOC-RS2</v>
      </c>
      <c r="D811" s="234">
        <f>IFERROR(__xludf.DUMMYFUNCTION("""COMPUTED_VALUE"""),27.0)</f>
        <v>27</v>
      </c>
      <c r="E811" s="237" t="str">
        <f>IFERROR(__xludf.DUMMYFUNCTION("""COMPUTED_VALUE"""),"LT1PBK01SBBS1")</f>
        <v>LT1PBK01SBBS1</v>
      </c>
      <c r="F811" s="238" t="str">
        <f>IFERROR(__xludf.DUMMYFUNCTION("""COMPUTED_VALUE"""),"IZS6E78,KZV6E54")</f>
        <v>IZS6E78,KZV6E54</v>
      </c>
      <c r="G811" s="238">
        <f>IFERROR(__xludf.DUMMYFUNCTION("""COMPUTED_VALUE"""),45981.125)</f>
        <v>45981.125</v>
      </c>
      <c r="H811" s="238">
        <f>IFERROR(__xludf.DUMMYFUNCTION("""COMPUTED_VALUE"""),45981.20833333333)</f>
        <v>45981.20833</v>
      </c>
      <c r="I811" s="237" t="str">
        <f t="shared" si="1"/>
        <v>Fora</v>
      </c>
      <c r="J811" s="239">
        <v>119.99999999301508</v>
      </c>
    </row>
    <row r="812">
      <c r="A812" s="234" t="s">
        <v>2506</v>
      </c>
      <c r="B812" s="234" t="str">
        <f>IFERROR(__xludf.DUMMYFUNCTION("""COMPUTED_VALUE"""),"SoC_SC_Itajaí")</f>
        <v>SoC_SC_Itajaí</v>
      </c>
      <c r="C812" s="234" t="str">
        <f>IFERROR(__xludf.DUMMYFUNCTION("""COMPUTED_VALUE"""),"SOC-SC1")</f>
        <v>SOC-SC1</v>
      </c>
      <c r="D812" s="234">
        <f>IFERROR(__xludf.DUMMYFUNCTION("""COMPUTED_VALUE"""),23.0)</f>
        <v>23</v>
      </c>
      <c r="E812" s="237" t="str">
        <f>IFERROR(__xludf.DUMMYFUNCTION("""COMPUTED_VALUE"""),"LT0PBK01RZMQ1")</f>
        <v>LT0PBK01RZMQ1</v>
      </c>
      <c r="F812" s="238" t="str">
        <f>IFERROR(__xludf.DUMMYFUNCTION("""COMPUTED_VALUE"""),"RLF4B54,RYH0J55")</f>
        <v>RLF4B54,RYH0J55</v>
      </c>
      <c r="G812" s="238">
        <f>IFERROR(__xludf.DUMMYFUNCTION("""COMPUTED_VALUE"""),45981.125)</f>
        <v>45981.125</v>
      </c>
      <c r="H812" s="238">
        <f>IFERROR(__xludf.DUMMYFUNCTION("""COMPUTED_VALUE"""),45981.20833333333)</f>
        <v>45981.20833</v>
      </c>
      <c r="I812" s="237" t="str">
        <f t="shared" si="1"/>
        <v>Fora</v>
      </c>
      <c r="J812" s="239">
        <v>119.99999999301508</v>
      </c>
    </row>
    <row r="813">
      <c r="A813" s="234" t="s">
        <v>2507</v>
      </c>
      <c r="B813" s="234" t="str">
        <f>IFERROR(__xludf.DUMMYFUNCTION("""COMPUTED_VALUE"""),"SoC_SC_Itajaí")</f>
        <v>SoC_SC_Itajaí</v>
      </c>
      <c r="C813" s="234" t="str">
        <f>IFERROR(__xludf.DUMMYFUNCTION("""COMPUTED_VALUE"""),"SOC-SC1")</f>
        <v>SOC-SC1</v>
      </c>
      <c r="D813" s="234">
        <f>IFERROR(__xludf.DUMMYFUNCTION("""COMPUTED_VALUE"""),25.0)</f>
        <v>25</v>
      </c>
      <c r="E813" s="237" t="str">
        <f>IFERROR(__xludf.DUMMYFUNCTION("""COMPUTED_VALUE"""),"LT1PBK01SBU41")</f>
        <v>LT1PBK01SBU41</v>
      </c>
      <c r="F813" s="238" t="str">
        <f>IFERROR(__xludf.DUMMYFUNCTION("""COMPUTED_VALUE"""),"RYP4C23,RXT4A83")</f>
        <v>RYP4C23,RXT4A83</v>
      </c>
      <c r="G813" s="238">
        <f>IFERROR(__xludf.DUMMYFUNCTION("""COMPUTED_VALUE"""),45981.125)</f>
        <v>45981.125</v>
      </c>
      <c r="H813" s="238">
        <f>IFERROR(__xludf.DUMMYFUNCTION("""COMPUTED_VALUE"""),45981.20833333333)</f>
        <v>45981.20833</v>
      </c>
      <c r="I813" s="237" t="str">
        <f t="shared" si="1"/>
        <v>Fora</v>
      </c>
      <c r="J813" s="239">
        <v>117.99999998649582</v>
      </c>
    </row>
    <row r="814">
      <c r="A814" s="234" t="s">
        <v>2508</v>
      </c>
      <c r="B814" s="234" t="str">
        <f>IFERROR(__xludf.DUMMYFUNCTION("""COMPUTED_VALUE"""),"SoC_MG_Betim")</f>
        <v>SoC_MG_Betim</v>
      </c>
      <c r="C814" s="234" t="str">
        <f>IFERROR(__xludf.DUMMYFUNCTION("""COMPUTED_VALUE"""),"SOC-MG2")</f>
        <v>SOC-MG2</v>
      </c>
      <c r="D814" s="234">
        <f>IFERROR(__xludf.DUMMYFUNCTION("""COMPUTED_VALUE"""),40.0)</f>
        <v>40</v>
      </c>
      <c r="E814" s="237" t="str">
        <f>IFERROR(__xludf.DUMMYFUNCTION("""COMPUTED_VALUE"""),"LT0PBK01RUUQ2")</f>
        <v>LT0PBK01RUUQ2</v>
      </c>
      <c r="F814" s="238" t="str">
        <f>IFERROR(__xludf.DUMMYFUNCTION("""COMPUTED_VALUE"""),"STY3A64,TAT8D53")</f>
        <v>STY3A64,TAT8D53</v>
      </c>
      <c r="G814" s="238">
        <f>IFERROR(__xludf.DUMMYFUNCTION("""COMPUTED_VALUE"""),45981.12638888889)</f>
        <v>45981.12639</v>
      </c>
      <c r="H814" s="238">
        <f>IFERROR(__xludf.DUMMYFUNCTION("""COMPUTED_VALUE"""),45981.20833333333)</f>
        <v>45981.20833</v>
      </c>
      <c r="I814" s="237" t="str">
        <f t="shared" si="1"/>
        <v>Fora</v>
      </c>
      <c r="J814" s="239">
        <v>120.00000001396984</v>
      </c>
    </row>
    <row r="815">
      <c r="A815" s="234" t="s">
        <v>2509</v>
      </c>
      <c r="B815" s="234" t="str">
        <f>IFERROR(__xludf.DUMMYFUNCTION("""COMPUTED_VALUE"""),"LM Hub_SP_Campinas_São Martinho")</f>
        <v>LM Hub_SP_Campinas_São Martinho</v>
      </c>
      <c r="C815" s="234" t="str">
        <f>IFERROR(__xludf.DUMMYFUNCTION("""COMPUTED_VALUE"""),"HUB-LSP-19")</f>
        <v>HUB-LSP-19</v>
      </c>
      <c r="D815" s="234">
        <f>IFERROR(__xludf.DUMMYFUNCTION("""COMPUTED_VALUE"""),44.0)</f>
        <v>44</v>
      </c>
      <c r="E815" s="237" t="str">
        <f>IFERROR(__xludf.DUMMYFUNCTION("""COMPUTED_VALUE"""),"LT0PBK01RV391")</f>
        <v>LT0PBK01RV391</v>
      </c>
      <c r="F815" s="238" t="str">
        <f>IFERROR(__xludf.DUMMYFUNCTION("""COMPUTED_VALUE"""),"EFV5C06")</f>
        <v>EFV5C06</v>
      </c>
      <c r="G815" s="238">
        <f>IFERROR(__xludf.DUMMYFUNCTION("""COMPUTED_VALUE"""),45981.14583333333)</f>
        <v>45981.14583</v>
      </c>
      <c r="H815" s="238">
        <f>IFERROR(__xludf.DUMMYFUNCTION("""COMPUTED_VALUE"""),45981.22916666667)</f>
        <v>45981.22917</v>
      </c>
      <c r="I815" s="237" t="str">
        <f t="shared" si="1"/>
        <v>Fora</v>
      </c>
      <c r="J815" s="239">
        <v>120.00000001396984</v>
      </c>
    </row>
    <row r="816">
      <c r="A816" s="234" t="s">
        <v>2510</v>
      </c>
      <c r="B816" s="234" t="str">
        <f>IFERROR(__xludf.DUMMYFUNCTION("""COMPUTED_VALUE"""),"LM Hub_SP_Mogi Mirim")</f>
        <v>LM Hub_SP_Mogi Mirim</v>
      </c>
      <c r="C816" s="234" t="str">
        <f>IFERROR(__xludf.DUMMYFUNCTION("""COMPUTED_VALUE"""),"HUB-LSP-37")</f>
        <v>HUB-LSP-37</v>
      </c>
      <c r="D816" s="234">
        <f>IFERROR(__xludf.DUMMYFUNCTION("""COMPUTED_VALUE"""),41.0)</f>
        <v>41</v>
      </c>
      <c r="E816" s="237" t="str">
        <f>IFERROR(__xludf.DUMMYFUNCTION("""COMPUTED_VALUE"""),"LT0PBK01RV2J1")</f>
        <v>LT0PBK01RV2J1</v>
      </c>
      <c r="F816" s="238" t="str">
        <f>IFERROR(__xludf.DUMMYFUNCTION("""COMPUTED_VALUE"""),"TLE4D84")</f>
        <v>TLE4D84</v>
      </c>
      <c r="G816" s="238">
        <f>IFERROR(__xludf.DUMMYFUNCTION("""COMPUTED_VALUE"""),45981.14583333333)</f>
        <v>45981.14583</v>
      </c>
      <c r="H816" s="238">
        <f>IFERROR(__xludf.DUMMYFUNCTION("""COMPUTED_VALUE"""),45981.22916666667)</f>
        <v>45981.22917</v>
      </c>
      <c r="I816" s="237" t="str">
        <f t="shared" si="1"/>
        <v>Fora</v>
      </c>
      <c r="J816" s="239">
        <v>120.00000001396984</v>
      </c>
    </row>
    <row r="817">
      <c r="A817" s="234" t="s">
        <v>2511</v>
      </c>
      <c r="B817" s="234" t="str">
        <f>IFERROR(__xludf.DUMMYFUNCTION("""COMPUTED_VALUE"""),"LM Hub_SP_Osasco_02")</f>
        <v>LM Hub_SP_Osasco_02</v>
      </c>
      <c r="C817" s="234" t="str">
        <f>IFERROR(__xludf.DUMMYFUNCTION("""COMPUTED_VALUE"""),"HUB-LSP-60")</f>
        <v>HUB-LSP-60</v>
      </c>
      <c r="D817" s="234">
        <f>IFERROR(__xludf.DUMMYFUNCTION("""COMPUTED_VALUE"""),14.0)</f>
        <v>14</v>
      </c>
      <c r="E817" s="237" t="str">
        <f>IFERROR(__xludf.DUMMYFUNCTION("""COMPUTED_VALUE"""),"LT0PBK01RW301")</f>
        <v>LT0PBK01RW301</v>
      </c>
      <c r="F817" s="238" t="str">
        <f>IFERROR(__xludf.DUMMYFUNCTION("""COMPUTED_VALUE"""),"FEU6H63")</f>
        <v>FEU6H63</v>
      </c>
      <c r="G817" s="238">
        <f>IFERROR(__xludf.DUMMYFUNCTION("""COMPUTED_VALUE"""),45981.14583333333)</f>
        <v>45981.14583</v>
      </c>
      <c r="H817" s="238">
        <f>IFERROR(__xludf.DUMMYFUNCTION("""COMPUTED_VALUE"""),45981.22916666667)</f>
        <v>45981.22917</v>
      </c>
      <c r="I817" s="237" t="str">
        <f t="shared" si="1"/>
        <v>Fora</v>
      </c>
      <c r="J817" s="239">
        <v>119.00000001071021</v>
      </c>
    </row>
    <row r="818">
      <c r="A818" s="234" t="s">
        <v>2512</v>
      </c>
      <c r="B818" s="234" t="str">
        <f>IFERROR(__xludf.DUMMYFUNCTION("""COMPUTED_VALUE"""),"LM Hub_SP_Sorocaba_Região Norte")</f>
        <v>LM Hub_SP_Sorocaba_Região Norte</v>
      </c>
      <c r="C818" s="234" t="str">
        <f>IFERROR(__xludf.DUMMYFUNCTION("""COMPUTED_VALUE"""),"HUB-LSP-10")</f>
        <v>HUB-LSP-10</v>
      </c>
      <c r="D818" s="234">
        <f>IFERROR(__xludf.DUMMYFUNCTION("""COMPUTED_VALUE"""),19.0)</f>
        <v>19</v>
      </c>
      <c r="E818" s="237" t="str">
        <f>IFERROR(__xludf.DUMMYFUNCTION("""COMPUTED_VALUE"""),"LT0PBK01RV1F1")</f>
        <v>LT0PBK01RV1F1</v>
      </c>
      <c r="F818" s="238" t="str">
        <f>IFERROR(__xludf.DUMMYFUNCTION("""COMPUTED_VALUE"""),"GHJ3E37,OUU8J45")</f>
        <v>GHJ3E37,OUU8J45</v>
      </c>
      <c r="G818" s="238">
        <f>IFERROR(__xludf.DUMMYFUNCTION("""COMPUTED_VALUE"""),45981.146527777775)</f>
        <v>45981.14653</v>
      </c>
      <c r="H818" s="238">
        <f>IFERROR(__xludf.DUMMYFUNCTION("""COMPUTED_VALUE"""),45981.22916666667)</f>
        <v>45981.22917</v>
      </c>
      <c r="I818" s="237" t="str">
        <f t="shared" si="1"/>
        <v>Fora</v>
      </c>
      <c r="J818" s="239">
        <v>420.0000000069849</v>
      </c>
    </row>
    <row r="819">
      <c r="A819" s="234" t="s">
        <v>2513</v>
      </c>
      <c r="B819" s="234" t="str">
        <f>IFERROR(__xludf.DUMMYFUNCTION("""COMPUTED_VALUE"""),"SoC_RJ_Duque de Caxias")</f>
        <v>SoC_RJ_Duque de Caxias</v>
      </c>
      <c r="C819" s="234" t="str">
        <f>IFERROR(__xludf.DUMMYFUNCTION("""COMPUTED_VALUE"""),"SOC-RJ2")</f>
        <v>SOC-RJ2</v>
      </c>
      <c r="D819" s="234"/>
      <c r="E819" s="237" t="str">
        <f>IFERROR(__xludf.DUMMYFUNCTION("""COMPUTED_VALUE"""),"LT0PBJ01RX7U1")</f>
        <v>LT0PBJ01RX7U1</v>
      </c>
      <c r="F819" s="238" t="str">
        <f>IFERROR(__xludf.DUMMYFUNCTION("""COMPUTED_VALUE"""),"TIV8C68,ADI9G66")</f>
        <v>TIV8C68,ADI9G66</v>
      </c>
      <c r="G819" s="238">
        <f>IFERROR(__xludf.DUMMYFUNCTION("""COMPUTED_VALUE"""),45980.95833333333)</f>
        <v>45980.95833</v>
      </c>
      <c r="H819" s="238">
        <f>IFERROR(__xludf.DUMMYFUNCTION("""COMPUTED_VALUE"""),45981.25)</f>
        <v>45981.25</v>
      </c>
      <c r="I819" s="237" t="str">
        <f t="shared" si="1"/>
        <v>Fora</v>
      </c>
      <c r="J819" s="239">
        <v>299.00000000023283</v>
      </c>
    </row>
    <row r="820">
      <c r="A820" s="234" t="s">
        <v>2514</v>
      </c>
      <c r="B820" s="234" t="str">
        <f>IFERROR(__xludf.DUMMYFUNCTION("""COMPUTED_VALUE"""),"SoC_PE_Jaboatão dos Guararapes")</f>
        <v>SoC_PE_Jaboatão dos Guararapes</v>
      </c>
      <c r="C820" s="234" t="str">
        <f>IFERROR(__xludf.DUMMYFUNCTION("""COMPUTED_VALUE"""),"SOC-PE2")</f>
        <v>SOC-PE2</v>
      </c>
      <c r="D820" s="234">
        <f>IFERROR(__xludf.DUMMYFUNCTION("""COMPUTED_VALUE"""),26.0)</f>
        <v>26</v>
      </c>
      <c r="E820" s="237" t="str">
        <f>IFERROR(__xludf.DUMMYFUNCTION("""COMPUTED_VALUE"""),"LT0PBK01S0MI1")</f>
        <v>LT0PBK01S0MI1</v>
      </c>
      <c r="F820" s="238" t="str">
        <f>IFERROR(__xludf.DUMMYFUNCTION("""COMPUTED_VALUE"""),"MKF2J84,ECT1B47")</f>
        <v>MKF2J84,ECT1B47</v>
      </c>
      <c r="G820" s="238">
        <f>IFERROR(__xludf.DUMMYFUNCTION("""COMPUTED_VALUE"""),45981.04236111111)</f>
        <v>45981.04236</v>
      </c>
      <c r="H820" s="238">
        <f>IFERROR(__xludf.DUMMYFUNCTION("""COMPUTED_VALUE"""),45981.25)</f>
        <v>45981.25</v>
      </c>
      <c r="I820" s="237" t="str">
        <f t="shared" si="1"/>
        <v>Fora</v>
      </c>
      <c r="J820" s="239">
        <v>240.00000000698492</v>
      </c>
    </row>
    <row r="821">
      <c r="A821" s="234" t="s">
        <v>2515</v>
      </c>
      <c r="B821" s="234" t="str">
        <f>IFERROR(__xludf.DUMMYFUNCTION("""COMPUTED_VALUE"""),"SoC_RJ_Duque de Caxias")</f>
        <v>SoC_RJ_Duque de Caxias</v>
      </c>
      <c r="C821" s="234" t="str">
        <f>IFERROR(__xludf.DUMMYFUNCTION("""COMPUTED_VALUE"""),"SOC-RJ2")</f>
        <v>SOC-RJ2</v>
      </c>
      <c r="D821" s="234">
        <f>IFERROR(__xludf.DUMMYFUNCTION("""COMPUTED_VALUE"""),93.0)</f>
        <v>93</v>
      </c>
      <c r="E821" s="237" t="str">
        <f>IFERROR(__xludf.DUMMYFUNCTION("""COMPUTED_VALUE"""),"LT0PBK01RX6Y1")</f>
        <v>LT0PBK01RX6Y1</v>
      </c>
      <c r="F821" s="238" t="str">
        <f>IFERROR(__xludf.DUMMYFUNCTION("""COMPUTED_VALUE"""),"EJW5F77,MQF1293")</f>
        <v>EJW5F77,MQF1293</v>
      </c>
      <c r="G821" s="238">
        <f>IFERROR(__xludf.DUMMYFUNCTION("""COMPUTED_VALUE"""),45981.08333333333)</f>
        <v>45981.08333</v>
      </c>
      <c r="H821" s="238">
        <f>IFERROR(__xludf.DUMMYFUNCTION("""COMPUTED_VALUE"""),45981.25)</f>
        <v>45981.25</v>
      </c>
      <c r="I821" s="237" t="str">
        <f t="shared" si="1"/>
        <v>Fora</v>
      </c>
      <c r="J821" s="239">
        <v>180.0</v>
      </c>
    </row>
    <row r="822">
      <c r="A822" s="234" t="s">
        <v>2516</v>
      </c>
      <c r="B822" s="234" t="str">
        <f>IFERROR(__xludf.DUMMYFUNCTION("""COMPUTED_VALUE"""),"SoC_SP_Santana")</f>
        <v>SoC_SP_Santana</v>
      </c>
      <c r="C822" s="234" t="str">
        <f>IFERROR(__xludf.DUMMYFUNCTION("""COMPUTED_VALUE"""),"SOC-SP2")</f>
        <v>SOC-SP2</v>
      </c>
      <c r="D822" s="234">
        <f>IFERROR(__xludf.DUMMYFUNCTION("""COMPUTED_VALUE"""),36.0)</f>
        <v>36</v>
      </c>
      <c r="E822" s="237" t="str">
        <f>IFERROR(__xludf.DUMMYFUNCTION("""COMPUTED_VALUE"""),"LT0PBK01RVFF1")</f>
        <v>LT0PBK01RVFF1</v>
      </c>
      <c r="F822" s="238" t="str">
        <f>IFERROR(__xludf.DUMMYFUNCTION("""COMPUTED_VALUE"""),"FZZ7B61,IEQ3J02")</f>
        <v>FZZ7B61,IEQ3J02</v>
      </c>
      <c r="G822" s="238">
        <f>IFERROR(__xludf.DUMMYFUNCTION("""COMPUTED_VALUE"""),45981.125)</f>
        <v>45981.125</v>
      </c>
      <c r="H822" s="238">
        <f>IFERROR(__xludf.DUMMYFUNCTION("""COMPUTED_VALUE"""),45981.25)</f>
        <v>45981.25</v>
      </c>
      <c r="I822" s="237" t="str">
        <f t="shared" si="1"/>
        <v>Fora</v>
      </c>
      <c r="J822" s="239">
        <v>119.99999999301508</v>
      </c>
    </row>
    <row r="823">
      <c r="A823" s="234" t="s">
        <v>2517</v>
      </c>
      <c r="B823" s="234" t="str">
        <f>IFERROR(__xludf.DUMMYFUNCTION("""COMPUTED_VALUE"""),"LM Hub_ES_Viana")</f>
        <v>LM Hub_ES_Viana</v>
      </c>
      <c r="C823" s="234" t="str">
        <f>IFERROR(__xludf.DUMMYFUNCTION("""COMPUTED_VALUE"""),"HUB-LES-09")</f>
        <v>HUB-LES-09</v>
      </c>
      <c r="D823" s="234">
        <f>IFERROR(__xludf.DUMMYFUNCTION("""COMPUTED_VALUE"""),7.0)</f>
        <v>7</v>
      </c>
      <c r="E823" s="237" t="str">
        <f>IFERROR(__xludf.DUMMYFUNCTION("""COMPUTED_VALUE"""),"LT0PBK01RZ2G1")</f>
        <v>LT0PBK01RZ2G1</v>
      </c>
      <c r="F823" s="238" t="str">
        <f>IFERROR(__xludf.DUMMYFUNCTION("""COMPUTED_VALUE"""),"FNN7D24")</f>
        <v>FNN7D24</v>
      </c>
      <c r="G823" s="238">
        <f>IFERROR(__xludf.DUMMYFUNCTION("""COMPUTED_VALUE"""),45981.16666666667)</f>
        <v>45981.16667</v>
      </c>
      <c r="H823" s="238">
        <f>IFERROR(__xludf.DUMMYFUNCTION("""COMPUTED_VALUE"""),45981.25)</f>
        <v>45981.25</v>
      </c>
      <c r="I823" s="237" t="str">
        <f t="shared" si="1"/>
        <v>Fora</v>
      </c>
      <c r="J823" s="239">
        <v>119.99999999301508</v>
      </c>
    </row>
    <row r="824">
      <c r="A824" s="234" t="s">
        <v>2518</v>
      </c>
      <c r="B824" s="234" t="str">
        <f>IFERROR(__xludf.DUMMYFUNCTION("""COMPUTED_VALUE"""),"LM Hub_SP_Guaratinguetá")</f>
        <v>LM Hub_SP_Guaratinguetá</v>
      </c>
      <c r="C824" s="234" t="str">
        <f>IFERROR(__xludf.DUMMYFUNCTION("""COMPUTED_VALUE"""),"HUB-LSP-33")</f>
        <v>HUB-LSP-33</v>
      </c>
      <c r="D824" s="234">
        <f>IFERROR(__xludf.DUMMYFUNCTION("""COMPUTED_VALUE"""),15.0)</f>
        <v>15</v>
      </c>
      <c r="E824" s="237" t="str">
        <f>IFERROR(__xludf.DUMMYFUNCTION("""COMPUTED_VALUE"""),"LT0PBK01RV0P1")</f>
        <v>LT0PBK01RV0P1</v>
      </c>
      <c r="F824" s="238" t="str">
        <f>IFERROR(__xludf.DUMMYFUNCTION("""COMPUTED_VALUE"""),"EKH3880")</f>
        <v>EKH3880</v>
      </c>
      <c r="G824" s="238">
        <f>IFERROR(__xludf.DUMMYFUNCTION("""COMPUTED_VALUE"""),45981.16666666667)</f>
        <v>45981.16667</v>
      </c>
      <c r="H824" s="238">
        <f>IFERROR(__xludf.DUMMYFUNCTION("""COMPUTED_VALUE"""),45981.25)</f>
        <v>45981.25</v>
      </c>
      <c r="I824" s="237" t="str">
        <f t="shared" si="1"/>
        <v>Fora</v>
      </c>
      <c r="J824" s="239">
        <v>119.99999999301508</v>
      </c>
    </row>
    <row r="825">
      <c r="A825" s="234" t="s">
        <v>2519</v>
      </c>
      <c r="B825" s="234" t="str">
        <f>IFERROR(__xludf.DUMMYFUNCTION("""COMPUTED_VALUE"""),"LM Hub_SP_Limeira_Campo Belo")</f>
        <v>LM Hub_SP_Limeira_Campo Belo</v>
      </c>
      <c r="C825" s="234" t="str">
        <f>IFERROR(__xludf.DUMMYFUNCTION("""COMPUTED_VALUE"""),"HUB-LSP-24")</f>
        <v>HUB-LSP-24</v>
      </c>
      <c r="D825" s="234">
        <f>IFERROR(__xludf.DUMMYFUNCTION("""COMPUTED_VALUE"""),37.0)</f>
        <v>37</v>
      </c>
      <c r="E825" s="237" t="str">
        <f>IFERROR(__xludf.DUMMYFUNCTION("""COMPUTED_VALUE"""),"LT0PBK01RV1M1")</f>
        <v>LT0PBK01RV1M1</v>
      </c>
      <c r="F825" s="238" t="str">
        <f>IFERROR(__xludf.DUMMYFUNCTION("""COMPUTED_VALUE"""),"UDI0A98")</f>
        <v>UDI0A98</v>
      </c>
      <c r="G825" s="238">
        <f>IFERROR(__xludf.DUMMYFUNCTION("""COMPUTED_VALUE"""),45981.16666666667)</f>
        <v>45981.16667</v>
      </c>
      <c r="H825" s="238">
        <f>IFERROR(__xludf.DUMMYFUNCTION("""COMPUTED_VALUE"""),45981.25)</f>
        <v>45981.25</v>
      </c>
      <c r="I825" s="237" t="str">
        <f t="shared" si="1"/>
        <v>Fora</v>
      </c>
      <c r="J825" s="239">
        <v>119.99999999301508</v>
      </c>
    </row>
    <row r="826">
      <c r="A826" s="234" t="s">
        <v>2520</v>
      </c>
      <c r="B826" s="234" t="str">
        <f>IFERROR(__xludf.DUMMYFUNCTION("""COMPUTED_VALUE"""),"LM Hub_SP_Várzea Paulista")</f>
        <v>LM Hub_SP_Várzea Paulista</v>
      </c>
      <c r="C826" s="234" t="str">
        <f>IFERROR(__xludf.DUMMYFUNCTION("""COMPUTED_VALUE"""),"HUB-LSP-61")</f>
        <v>HUB-LSP-61</v>
      </c>
      <c r="D826" s="234">
        <f>IFERROR(__xludf.DUMMYFUNCTION("""COMPUTED_VALUE"""),46.0)</f>
        <v>46</v>
      </c>
      <c r="E826" s="237" t="str">
        <f>IFERROR(__xludf.DUMMYFUNCTION("""COMPUTED_VALUE"""),"LT0PBK01RV1W1")</f>
        <v>LT0PBK01RV1W1</v>
      </c>
      <c r="F826" s="238" t="str">
        <f>IFERROR(__xludf.DUMMYFUNCTION("""COMPUTED_VALUE"""),"HNQ8267")</f>
        <v>HNQ8267</v>
      </c>
      <c r="G826" s="238">
        <f>IFERROR(__xludf.DUMMYFUNCTION("""COMPUTED_VALUE"""),45981.16666666667)</f>
        <v>45981.16667</v>
      </c>
      <c r="H826" s="238">
        <f>IFERROR(__xludf.DUMMYFUNCTION("""COMPUTED_VALUE"""),45981.25)</f>
        <v>45981.25</v>
      </c>
      <c r="I826" s="237" t="str">
        <f t="shared" si="1"/>
        <v>Fora</v>
      </c>
      <c r="J826" s="239">
        <v>119.99999999301508</v>
      </c>
    </row>
    <row r="827">
      <c r="A827" s="234" t="s">
        <v>2521</v>
      </c>
      <c r="B827" s="234" t="str">
        <f>IFERROR(__xludf.DUMMYFUNCTION("""COMPUTED_VALUE"""),"SoC_GO_Goiânia_02")</f>
        <v>SoC_GO_Goiânia_02</v>
      </c>
      <c r="C827" s="234" t="str">
        <f>IFERROR(__xludf.DUMMYFUNCTION("""COMPUTED_VALUE"""),"SOC-GO2")</f>
        <v>SOC-GO2</v>
      </c>
      <c r="D827" s="234">
        <f>IFERROR(__xludf.DUMMYFUNCTION("""COMPUTED_VALUE"""),18.0)</f>
        <v>18</v>
      </c>
      <c r="E827" s="237" t="str">
        <f>IFERROR(__xludf.DUMMYFUNCTION("""COMPUTED_VALUE"""),"LT1PBK01SBU31")</f>
        <v>LT1PBK01SBU31</v>
      </c>
      <c r="F827" s="238" t="str">
        <f>IFERROR(__xludf.DUMMYFUNCTION("""COMPUTED_VALUE"""),"FQL4J23,EJZ2E47")</f>
        <v>FQL4J23,EJZ2E47</v>
      </c>
      <c r="G827" s="238">
        <f>IFERROR(__xludf.DUMMYFUNCTION("""COMPUTED_VALUE"""),45981.16666666667)</f>
        <v>45981.16667</v>
      </c>
      <c r="H827" s="238">
        <f>IFERROR(__xludf.DUMMYFUNCTION("""COMPUTED_VALUE"""),45981.25)</f>
        <v>45981.25</v>
      </c>
      <c r="I827" s="237" t="str">
        <f t="shared" si="1"/>
        <v>Fora</v>
      </c>
      <c r="J827" s="239">
        <v>119.99999999301508</v>
      </c>
    </row>
    <row r="828">
      <c r="A828" s="234" t="s">
        <v>2522</v>
      </c>
      <c r="B828" s="234" t="str">
        <f>IFERROR(__xludf.DUMMYFUNCTION("""COMPUTED_VALUE"""),"LM Hub_SP_Atibaia_Ponte_Alta")</f>
        <v>LM Hub_SP_Atibaia_Ponte_Alta</v>
      </c>
      <c r="C828" s="234" t="str">
        <f>IFERROR(__xludf.DUMMYFUNCTION("""COMPUTED_VALUE"""),"HUB-LSP-87")</f>
        <v>HUB-LSP-87</v>
      </c>
      <c r="D828" s="234">
        <f>IFERROR(__xludf.DUMMYFUNCTION("""COMPUTED_VALUE"""),13.0)</f>
        <v>13</v>
      </c>
      <c r="E828" s="237" t="str">
        <f>IFERROR(__xludf.DUMMYFUNCTION("""COMPUTED_VALUE"""),"LT0PBK01RYWZ1")</f>
        <v>LT0PBK01RYWZ1</v>
      </c>
      <c r="F828" s="238" t="str">
        <f>IFERROR(__xludf.DUMMYFUNCTION("""COMPUTED_VALUE"""),"-")</f>
        <v>-</v>
      </c>
      <c r="G828" s="238">
        <f>IFERROR(__xludf.DUMMYFUNCTION("""COMPUTED_VALUE"""),45981.1875)</f>
        <v>45981.1875</v>
      </c>
      <c r="H828" s="238">
        <f>IFERROR(__xludf.DUMMYFUNCTION("""COMPUTED_VALUE"""),45981.27083333333)</f>
        <v>45981.27083</v>
      </c>
      <c r="I828" s="237" t="str">
        <f t="shared" si="1"/>
        <v>Fora</v>
      </c>
      <c r="J828" s="239">
        <v>119.99999999301508</v>
      </c>
    </row>
    <row r="829">
      <c r="A829" s="234" t="s">
        <v>2523</v>
      </c>
      <c r="B829" s="234" t="str">
        <f>IFERROR(__xludf.DUMMYFUNCTION("""COMPUTED_VALUE"""),"LM Hub_SP_Embu das Artes")</f>
        <v>LM Hub_SP_Embu das Artes</v>
      </c>
      <c r="C829" s="234" t="str">
        <f>IFERROR(__xludf.DUMMYFUNCTION("""COMPUTED_VALUE"""),"HUB-LSP-36")</f>
        <v>HUB-LSP-36</v>
      </c>
      <c r="D829" s="234">
        <f>IFERROR(__xludf.DUMMYFUNCTION("""COMPUTED_VALUE"""),38.0)</f>
        <v>38</v>
      </c>
      <c r="E829" s="237" t="str">
        <f>IFERROR(__xludf.DUMMYFUNCTION("""COMPUTED_VALUE"""),"LT0PBK01RW491")</f>
        <v>LT0PBK01RW491</v>
      </c>
      <c r="F829" s="238" t="str">
        <f>IFERROR(__xludf.DUMMYFUNCTION("""COMPUTED_VALUE"""),"BVT4B34")</f>
        <v>BVT4B34</v>
      </c>
      <c r="G829" s="238">
        <f>IFERROR(__xludf.DUMMYFUNCTION("""COMPUTED_VALUE"""),45981.1875)</f>
        <v>45981.1875</v>
      </c>
      <c r="H829" s="238">
        <f>IFERROR(__xludf.DUMMYFUNCTION("""COMPUTED_VALUE"""),45981.27083333333)</f>
        <v>45981.27083</v>
      </c>
      <c r="I829" s="237" t="str">
        <f t="shared" si="1"/>
        <v>Fora</v>
      </c>
      <c r="J829" s="239">
        <v>119.99999999301508</v>
      </c>
    </row>
    <row r="830">
      <c r="A830" s="234" t="s">
        <v>2524</v>
      </c>
      <c r="B830" s="234" t="str">
        <f>IFERROR(__xludf.DUMMYFUNCTION("""COMPUTED_VALUE"""),"LM Hub_SP_Taubaté")</f>
        <v>LM Hub_SP_Taubaté</v>
      </c>
      <c r="C830" s="234" t="str">
        <f>IFERROR(__xludf.DUMMYFUNCTION("""COMPUTED_VALUE"""),"HUB-LSP-08")</f>
        <v>HUB-LSP-08</v>
      </c>
      <c r="D830" s="234">
        <f>IFERROR(__xludf.DUMMYFUNCTION("""COMPUTED_VALUE"""),12.0)</f>
        <v>12</v>
      </c>
      <c r="E830" s="237" t="str">
        <f>IFERROR(__xludf.DUMMYFUNCTION("""COMPUTED_VALUE"""),"LT0PBK01RV0Z1")</f>
        <v>LT0PBK01RV0Z1</v>
      </c>
      <c r="F830" s="238" t="str">
        <f>IFERROR(__xludf.DUMMYFUNCTION("""COMPUTED_VALUE"""),"FMV5A01")</f>
        <v>FMV5A01</v>
      </c>
      <c r="G830" s="238">
        <f>IFERROR(__xludf.DUMMYFUNCTION("""COMPUTED_VALUE"""),45981.1875)</f>
        <v>45981.1875</v>
      </c>
      <c r="H830" s="238">
        <f>IFERROR(__xludf.DUMMYFUNCTION("""COMPUTED_VALUE"""),45981.27083333333)</f>
        <v>45981.27083</v>
      </c>
      <c r="I830" s="237" t="str">
        <f t="shared" si="1"/>
        <v>Fora</v>
      </c>
      <c r="J830" s="239">
        <v>120.00000001396984</v>
      </c>
    </row>
    <row r="831">
      <c r="A831" s="234" t="s">
        <v>2525</v>
      </c>
      <c r="B831" s="234" t="str">
        <f>IFERROR(__xludf.DUMMYFUNCTION("""COMPUTED_VALUE"""),"LM Hub_SP_Barueri_01")</f>
        <v>LM Hub_SP_Barueri_01</v>
      </c>
      <c r="C831" s="234" t="str">
        <f>IFERROR(__xludf.DUMMYFUNCTION("""COMPUTED_VALUE"""),"HUB-LSP-81")</f>
        <v>HUB-LSP-81</v>
      </c>
      <c r="D831" s="234">
        <f>IFERROR(__xludf.DUMMYFUNCTION("""COMPUTED_VALUE"""),9.0)</f>
        <v>9</v>
      </c>
      <c r="E831" s="237" t="str">
        <f>IFERROR(__xludf.DUMMYFUNCTION("""COMPUTED_VALUE"""),"LT0PBK01S0E01")</f>
        <v>LT0PBK01S0E01</v>
      </c>
      <c r="F831" s="238" t="str">
        <f>IFERROR(__xludf.DUMMYFUNCTION("""COMPUTED_VALUE"""),"DTB2H63")</f>
        <v>DTB2H63</v>
      </c>
      <c r="G831" s="238">
        <f>IFERROR(__xludf.DUMMYFUNCTION("""COMPUTED_VALUE"""),45981.20833333333)</f>
        <v>45981.20833</v>
      </c>
      <c r="H831" s="238">
        <f>IFERROR(__xludf.DUMMYFUNCTION("""COMPUTED_VALUE"""),45981.29166666667)</f>
        <v>45981.29167</v>
      </c>
      <c r="I831" s="237" t="str">
        <f t="shared" si="1"/>
        <v>Fora</v>
      </c>
      <c r="J831" s="239">
        <v>120.00000001396984</v>
      </c>
    </row>
    <row r="832">
      <c r="A832" s="234" t="s">
        <v>2526</v>
      </c>
      <c r="B832" s="234" t="str">
        <f>IFERROR(__xludf.DUMMYFUNCTION("""COMPUTED_VALUE"""),"LM Hub_SP_Jurubatuba")</f>
        <v>LM Hub_SP_Jurubatuba</v>
      </c>
      <c r="C832" s="234" t="str">
        <f>IFERROR(__xludf.DUMMYFUNCTION("""COMPUTED_VALUE"""),"HUB-LSP-16")</f>
        <v>HUB-LSP-16</v>
      </c>
      <c r="D832" s="234">
        <f>IFERROR(__xludf.DUMMYFUNCTION("""COMPUTED_VALUE"""),21.0)</f>
        <v>21</v>
      </c>
      <c r="E832" s="237" t="str">
        <f>IFERROR(__xludf.DUMMYFUNCTION("""COMPUTED_VALUE"""),"LT0PBK01RW2U1")</f>
        <v>LT0PBK01RW2U1</v>
      </c>
      <c r="F832" s="238" t="str">
        <f>IFERROR(__xludf.DUMMYFUNCTION("""COMPUTED_VALUE"""),"JYA9C60")</f>
        <v>JYA9C60</v>
      </c>
      <c r="G832" s="238">
        <f>IFERROR(__xludf.DUMMYFUNCTION("""COMPUTED_VALUE"""),45981.20833333333)</f>
        <v>45981.20833</v>
      </c>
      <c r="H832" s="238">
        <f>IFERROR(__xludf.DUMMYFUNCTION("""COMPUTED_VALUE"""),45981.29166666667)</f>
        <v>45981.29167</v>
      </c>
      <c r="I832" s="237" t="str">
        <f t="shared" si="1"/>
        <v>Fora</v>
      </c>
      <c r="J832" s="239">
        <v>120.00000001396984</v>
      </c>
    </row>
    <row r="833">
      <c r="A833" s="234" t="s">
        <v>2527</v>
      </c>
      <c r="B833" s="234" t="str">
        <f>IFERROR(__xludf.DUMMYFUNCTION("""COMPUTED_VALUE"""),"LM Hub_SP_Piracicaba")</f>
        <v>LM Hub_SP_Piracicaba</v>
      </c>
      <c r="C833" s="234" t="str">
        <f>IFERROR(__xludf.DUMMYFUNCTION("""COMPUTED_VALUE"""),"HUB-LSP-62")</f>
        <v>HUB-LSP-62</v>
      </c>
      <c r="D833" s="234">
        <f>IFERROR(__xludf.DUMMYFUNCTION("""COMPUTED_VALUE"""),17.0)</f>
        <v>17</v>
      </c>
      <c r="E833" s="237" t="str">
        <f>IFERROR(__xludf.DUMMYFUNCTION("""COMPUTED_VALUE"""),"LT0PBK01RVNO1")</f>
        <v>LT0PBK01RVNO1</v>
      </c>
      <c r="F833" s="238" t="str">
        <f>IFERROR(__xludf.DUMMYFUNCTION("""COMPUTED_VALUE"""),"BYP9A96")</f>
        <v>BYP9A96</v>
      </c>
      <c r="G833" s="238">
        <f>IFERROR(__xludf.DUMMYFUNCTION("""COMPUTED_VALUE"""),45981.20833333333)</f>
        <v>45981.20833</v>
      </c>
      <c r="H833" s="238">
        <f>IFERROR(__xludf.DUMMYFUNCTION("""COMPUTED_VALUE"""),45981.29166666667)</f>
        <v>45981.29167</v>
      </c>
      <c r="I833" s="237" t="str">
        <f t="shared" si="1"/>
        <v>Fora</v>
      </c>
      <c r="J833" s="239">
        <v>120.00000001396984</v>
      </c>
    </row>
    <row r="834">
      <c r="A834" s="234" t="s">
        <v>2528</v>
      </c>
      <c r="B834" s="234" t="str">
        <f>IFERROR(__xludf.DUMMYFUNCTION("""COMPUTED_VALUE"""),"LM Hub_SP_Santos_PraiaGrande_02")</f>
        <v>LM Hub_SP_Santos_PraiaGrande_02</v>
      </c>
      <c r="C834" s="234" t="str">
        <f>IFERROR(__xludf.DUMMYFUNCTION("""COMPUTED_VALUE"""),"HUB-LSP-63")</f>
        <v>HUB-LSP-63</v>
      </c>
      <c r="D834" s="234">
        <f>IFERROR(__xludf.DUMMYFUNCTION("""COMPUTED_VALUE"""),16.0)</f>
        <v>16</v>
      </c>
      <c r="E834" s="237" t="str">
        <f>IFERROR(__xludf.DUMMYFUNCTION("""COMPUTED_VALUE"""),"LT0PBK01RW441")</f>
        <v>LT0PBK01RW441</v>
      </c>
      <c r="F834" s="238" t="str">
        <f>IFERROR(__xludf.DUMMYFUNCTION("""COMPUTED_VALUE"""),"FOZ4671")</f>
        <v>FOZ4671</v>
      </c>
      <c r="G834" s="238">
        <f>IFERROR(__xludf.DUMMYFUNCTION("""COMPUTED_VALUE"""),45981.20833333333)</f>
        <v>45981.20833</v>
      </c>
      <c r="H834" s="238">
        <f>IFERROR(__xludf.DUMMYFUNCTION("""COMPUTED_VALUE"""),45981.29166666667)</f>
        <v>45981.29167</v>
      </c>
      <c r="I834" s="237" t="str">
        <f t="shared" si="1"/>
        <v>Fora</v>
      </c>
      <c r="J834" s="239">
        <v>180.0</v>
      </c>
    </row>
    <row r="835">
      <c r="A835" s="234" t="s">
        <v>2529</v>
      </c>
      <c r="B835" s="234" t="str">
        <f>IFERROR(__xludf.DUMMYFUNCTION("""COMPUTED_VALUE"""),"SoC_SP_Cravinhos")</f>
        <v>SoC_SP_Cravinhos</v>
      </c>
      <c r="C835" s="234" t="str">
        <f>IFERROR(__xludf.DUMMYFUNCTION("""COMPUTED_VALUE"""),"SOC-SP5")</f>
        <v>SOC-SP5</v>
      </c>
      <c r="D835" s="234"/>
      <c r="E835" s="237" t="str">
        <f>IFERROR(__xludf.DUMMYFUNCTION("""COMPUTED_VALUE"""),"LT0PBK01RUWK1")</f>
        <v>LT0PBK01RUWK1</v>
      </c>
      <c r="F835" s="238" t="str">
        <f>IFERROR(__xludf.DUMMYFUNCTION("""COMPUTED_VALUE"""),"EZU9I81,FTX5D42")</f>
        <v>EZU9I81,FTX5D42</v>
      </c>
      <c r="G835" s="238">
        <f>IFERROR(__xludf.DUMMYFUNCTION("""COMPUTED_VALUE"""),45981.25)</f>
        <v>45981.25</v>
      </c>
      <c r="H835" s="238">
        <f>IFERROR(__xludf.DUMMYFUNCTION("""COMPUTED_VALUE"""),45981.375)</f>
        <v>45981.375</v>
      </c>
      <c r="I835" s="237" t="str">
        <f t="shared" si="1"/>
        <v>Fora</v>
      </c>
      <c r="J835" s="239">
        <v>119.99999999301508</v>
      </c>
    </row>
    <row r="836">
      <c r="A836" s="234" t="s">
        <v>2530</v>
      </c>
      <c r="B836" s="234" t="str">
        <f>IFERROR(__xludf.DUMMYFUNCTION("""COMPUTED_VALUE"""),"SoC_SC_Itajaí")</f>
        <v>SoC_SC_Itajaí</v>
      </c>
      <c r="C836" s="234" t="str">
        <f>IFERROR(__xludf.DUMMYFUNCTION("""COMPUTED_VALUE"""),"SOC-SC1")</f>
        <v>SOC-SC1</v>
      </c>
      <c r="D836" s="234"/>
      <c r="E836" s="237" t="str">
        <f>IFERROR(__xludf.DUMMYFUNCTION("""COMPUTED_VALUE"""),"LT1PBK01SBU51")</f>
        <v>LT1PBK01SBU51</v>
      </c>
      <c r="F836" s="238" t="str">
        <f>IFERROR(__xludf.DUMMYFUNCTION("""COMPUTED_VALUE"""),"QHN2B41,QJN1727")</f>
        <v>QHN2B41,QJN1727</v>
      </c>
      <c r="G836" s="238">
        <f>IFERROR(__xludf.DUMMYFUNCTION("""COMPUTED_VALUE"""),45981.41666666667)</f>
        <v>45981.41667</v>
      </c>
      <c r="H836" s="238">
        <f>IFERROR(__xludf.DUMMYFUNCTION("""COMPUTED_VALUE"""),45981.5)</f>
        <v>45981.5</v>
      </c>
      <c r="I836" s="237" t="str">
        <f t="shared" si="1"/>
        <v>Fora</v>
      </c>
      <c r="J836" s="239">
        <v>420.0000000069849</v>
      </c>
    </row>
    <row r="837">
      <c r="A837" s="234" t="s">
        <v>2531</v>
      </c>
      <c r="B837" s="234" t="str">
        <f>IFERROR(__xludf.DUMMYFUNCTION("""COMPUTED_VALUE"""),"SoC_SC_Itajaí")</f>
        <v>SoC_SC_Itajaí</v>
      </c>
      <c r="C837" s="234" t="str">
        <f>IFERROR(__xludf.DUMMYFUNCTION("""COMPUTED_VALUE"""),"SOC-SC1")</f>
        <v>SOC-SC1</v>
      </c>
      <c r="D837" s="234">
        <f>IFERROR(__xludf.DUMMYFUNCTION("""COMPUTED_VALUE"""),22.0)</f>
        <v>22</v>
      </c>
      <c r="E837" s="237" t="str">
        <f>IFERROR(__xludf.DUMMYFUNCTION("""COMPUTED_VALUE"""),"LT0PBK01RZN81")</f>
        <v>LT0PBK01RZN81</v>
      </c>
      <c r="F837" s="238" t="str">
        <f>IFERROR(__xludf.DUMMYFUNCTION("""COMPUTED_VALUE"""),"OPN3H95,IPN8J87")</f>
        <v>OPN3H95,IPN8J87</v>
      </c>
      <c r="G837" s="238">
        <f>IFERROR(__xludf.DUMMYFUNCTION("""COMPUTED_VALUE"""),45981.58333333333)</f>
        <v>45981.58333</v>
      </c>
      <c r="H837" s="238">
        <f>IFERROR(__xludf.DUMMYFUNCTION("""COMPUTED_VALUE"""),45981.875)</f>
        <v>45981.875</v>
      </c>
      <c r="I837" s="237" t="str">
        <f t="shared" si="1"/>
        <v>Fora</v>
      </c>
      <c r="J837" s="239">
        <v>119.99999999301508</v>
      </c>
    </row>
    <row r="838">
      <c r="A838" s="234" t="s">
        <v>2532</v>
      </c>
      <c r="B838" s="234" t="str">
        <f>IFERROR(__xludf.DUMMYFUNCTION("""COMPUTED_VALUE"""),"SoC_SP_Guarulhos")</f>
        <v>SoC_SP_Guarulhos</v>
      </c>
      <c r="C838" s="234" t="str">
        <f>IFERROR(__xludf.DUMMYFUNCTION("""COMPUTED_VALUE"""),"SOC-SP6")</f>
        <v>SOC-SP6</v>
      </c>
      <c r="D838" s="234">
        <f>IFERROR(__xludf.DUMMYFUNCTION("""COMPUTED_VALUE"""),38.0)</f>
        <v>38</v>
      </c>
      <c r="E838" s="237" t="str">
        <f>IFERROR(__xludf.DUMMYFUNCTION("""COMPUTED_VALUE"""),"LT0PBK01RVWQ1")</f>
        <v>LT0PBK01RVWQ1</v>
      </c>
      <c r="F838" s="238" t="str">
        <f>IFERROR(__xludf.DUMMYFUNCTION("""COMPUTED_VALUE"""),"DPC1A14,FTC9083")</f>
        <v>DPC1A14,FTC9083</v>
      </c>
      <c r="G838" s="238">
        <f>IFERROR(__xludf.DUMMYFUNCTION("""COMPUTED_VALUE"""),45981.79166666667)</f>
        <v>45981.79167</v>
      </c>
      <c r="H838" s="238">
        <f>IFERROR(__xludf.DUMMYFUNCTION("""COMPUTED_VALUE"""),45981.875)</f>
        <v>45981.875</v>
      </c>
      <c r="I838" s="237" t="str">
        <f t="shared" si="1"/>
        <v>Fora</v>
      </c>
      <c r="J838" s="239">
        <v>120.00000001396984</v>
      </c>
    </row>
    <row r="839">
      <c r="A839" s="234" t="s">
        <v>2533</v>
      </c>
      <c r="B839" s="234" t="str">
        <f>IFERROR(__xludf.DUMMYFUNCTION("""COMPUTED_VALUE"""),"SoC_RJ_Duque de Caxias")</f>
        <v>SoC_RJ_Duque de Caxias</v>
      </c>
      <c r="C839" s="234" t="str">
        <f>IFERROR(__xludf.DUMMYFUNCTION("""COMPUTED_VALUE"""),"SOC-RJ2")</f>
        <v>SOC-RJ2</v>
      </c>
      <c r="D839" s="234">
        <f>IFERROR(__xludf.DUMMYFUNCTION("""COMPUTED_VALUE"""),6.0)</f>
        <v>6</v>
      </c>
      <c r="E839" s="237" t="str">
        <f>IFERROR(__xludf.DUMMYFUNCTION("""COMPUTED_VALUE"""),"LT0PBK01RX7I2")</f>
        <v>LT0PBK01RX7I2</v>
      </c>
      <c r="F839" s="238" t="str">
        <f>IFERROR(__xludf.DUMMYFUNCTION("""COMPUTED_VALUE"""),"ODM5D47,QIG2D94")</f>
        <v>ODM5D47,QIG2D94</v>
      </c>
      <c r="G839" s="238">
        <f>IFERROR(__xludf.DUMMYFUNCTION("""COMPUTED_VALUE"""),45981.83333333333)</f>
        <v>45981.83333</v>
      </c>
      <c r="H839" s="238">
        <f>IFERROR(__xludf.DUMMYFUNCTION("""COMPUTED_VALUE"""),45981.91666666667)</f>
        <v>45981.91667</v>
      </c>
      <c r="I839" s="237" t="str">
        <f t="shared" si="1"/>
        <v>Fora</v>
      </c>
      <c r="J839" s="239">
        <v>119.99999999301508</v>
      </c>
    </row>
    <row r="840">
      <c r="A840" s="234" t="s">
        <v>2534</v>
      </c>
      <c r="B840" s="234" t="str">
        <f>IFERROR(__xludf.DUMMYFUNCTION("""COMPUTED_VALUE"""),"LM Hub_ES_Viana")</f>
        <v>LM Hub_ES_Viana</v>
      </c>
      <c r="C840" s="234" t="str">
        <f>IFERROR(__xludf.DUMMYFUNCTION("""COMPUTED_VALUE"""),"HUB-LES-09")</f>
        <v>HUB-LES-09</v>
      </c>
      <c r="D840" s="234">
        <f>IFERROR(__xludf.DUMMYFUNCTION("""COMPUTED_VALUE"""),28.0)</f>
        <v>28</v>
      </c>
      <c r="E840" s="237" t="str">
        <f>IFERROR(__xludf.DUMMYFUNCTION("""COMPUTED_VALUE"""),"LT0PBK01RZ2L1")</f>
        <v>LT0PBK01RZ2L1</v>
      </c>
      <c r="F840" s="238" t="str">
        <f>IFERROR(__xludf.DUMMYFUNCTION("""COMPUTED_VALUE"""),"TMD5G27,UGQ1F92")</f>
        <v>TMD5G27,UGQ1F92</v>
      </c>
      <c r="G840" s="238">
        <f>IFERROR(__xludf.DUMMYFUNCTION("""COMPUTED_VALUE"""),45981.85416666667)</f>
        <v>45981.85417</v>
      </c>
      <c r="H840" s="238">
        <f>IFERROR(__xludf.DUMMYFUNCTION("""COMPUTED_VALUE"""),45981.9375)</f>
        <v>45981.9375</v>
      </c>
      <c r="I840" s="237" t="str">
        <f t="shared" si="1"/>
        <v>Fora</v>
      </c>
      <c r="J840" s="239">
        <v>119.00000000023283</v>
      </c>
    </row>
    <row r="841">
      <c r="A841" s="234" t="s">
        <v>2535</v>
      </c>
      <c r="B841" s="234" t="str">
        <f>IFERROR(__xludf.DUMMYFUNCTION("""COMPUTED_VALUE"""),"LM Hub_SP_Guaratinguetá")</f>
        <v>LM Hub_SP_Guaratinguetá</v>
      </c>
      <c r="C841" s="234" t="str">
        <f>IFERROR(__xludf.DUMMYFUNCTION("""COMPUTED_VALUE"""),"HUB-LSP-33")</f>
        <v>HUB-LSP-33</v>
      </c>
      <c r="D841" s="234">
        <f>IFERROR(__xludf.DUMMYFUNCTION("""COMPUTED_VALUE"""),16.0)</f>
        <v>16</v>
      </c>
      <c r="E841" s="237" t="str">
        <f>IFERROR(__xludf.DUMMYFUNCTION("""COMPUTED_VALUE"""),"LT0PBK01RV0V1")</f>
        <v>LT0PBK01RV0V1</v>
      </c>
      <c r="F841" s="238" t="str">
        <f>IFERROR(__xludf.DUMMYFUNCTION("""COMPUTED_VALUE"""),"RYF7D49")</f>
        <v>RYF7D49</v>
      </c>
      <c r="G841" s="238">
        <f>IFERROR(__xludf.DUMMYFUNCTION("""COMPUTED_VALUE"""),45981.85486111111)</f>
        <v>45981.85486</v>
      </c>
      <c r="H841" s="238">
        <f>IFERROR(__xludf.DUMMYFUNCTION("""COMPUTED_VALUE"""),45981.9375)</f>
        <v>45981.9375</v>
      </c>
      <c r="I841" s="237" t="str">
        <f t="shared" si="1"/>
        <v>Fora</v>
      </c>
      <c r="J841" s="239">
        <v>119.99999999301508</v>
      </c>
    </row>
    <row r="842">
      <c r="A842" s="234" t="s">
        <v>2536</v>
      </c>
      <c r="B842" s="234" t="str">
        <f>IFERROR(__xludf.DUMMYFUNCTION("""COMPUTED_VALUE"""),"LM Hub_SP_Embu das Artes")</f>
        <v>LM Hub_SP_Embu das Artes</v>
      </c>
      <c r="C842" s="234" t="str">
        <f>IFERROR(__xludf.DUMMYFUNCTION("""COMPUTED_VALUE"""),"HUB-LSP-36")</f>
        <v>HUB-LSP-36</v>
      </c>
      <c r="D842" s="234">
        <f>IFERROR(__xludf.DUMMYFUNCTION("""COMPUTED_VALUE"""),35.0)</f>
        <v>35</v>
      </c>
      <c r="E842" s="237" t="str">
        <f>IFERROR(__xludf.DUMMYFUNCTION("""COMPUTED_VALUE"""),"LT0PBK01RUYV1")</f>
        <v>LT0PBK01RUYV1</v>
      </c>
      <c r="F842" s="238" t="str">
        <f>IFERROR(__xludf.DUMMYFUNCTION("""COMPUTED_VALUE"""),"FGL3B43,FQB3D75")</f>
        <v>FGL3B43,FQB3D75</v>
      </c>
      <c r="G842" s="238">
        <f>IFERROR(__xludf.DUMMYFUNCTION("""COMPUTED_VALUE"""),45981.875)</f>
        <v>45981.875</v>
      </c>
      <c r="H842" s="238">
        <f>IFERROR(__xludf.DUMMYFUNCTION("""COMPUTED_VALUE"""),45981.95833333333)</f>
        <v>45981.95833</v>
      </c>
      <c r="I842" s="237" t="str">
        <f t="shared" si="1"/>
        <v>Fora</v>
      </c>
      <c r="J842" s="239">
        <v>119.99999999301508</v>
      </c>
    </row>
    <row r="843">
      <c r="A843" s="234" t="s">
        <v>2537</v>
      </c>
      <c r="B843" s="234" t="str">
        <f>IFERROR(__xludf.DUMMYFUNCTION("""COMPUTED_VALUE"""),"LM Hub_SP_Embu das Artes_02")</f>
        <v>LM Hub_SP_Embu das Artes_02</v>
      </c>
      <c r="C843" s="234" t="str">
        <f>IFERROR(__xludf.DUMMYFUNCTION("""COMPUTED_VALUE"""),"HUB-LSP-96")</f>
        <v>HUB-LSP-96</v>
      </c>
      <c r="D843" s="234">
        <f>IFERROR(__xludf.DUMMYFUNCTION("""COMPUTED_VALUE"""),39.0)</f>
        <v>39</v>
      </c>
      <c r="E843" s="237" t="str">
        <f>IFERROR(__xludf.DUMMYFUNCTION("""COMPUTED_VALUE"""),"LT0PBK01RYQ21")</f>
        <v>LT0PBK01RYQ21</v>
      </c>
      <c r="F843" s="238" t="str">
        <f>IFERROR(__xludf.DUMMYFUNCTION("""COMPUTED_VALUE"""),"DPC5C91,JJZ8B19")</f>
        <v>DPC5C91,JJZ8B19</v>
      </c>
      <c r="G843" s="238">
        <f>IFERROR(__xludf.DUMMYFUNCTION("""COMPUTED_VALUE"""),45981.875)</f>
        <v>45981.875</v>
      </c>
      <c r="H843" s="238">
        <f>IFERROR(__xludf.DUMMYFUNCTION("""COMPUTED_VALUE"""),45981.95833333333)</f>
        <v>45981.95833</v>
      </c>
      <c r="I843" s="237" t="str">
        <f t="shared" si="1"/>
        <v>Fora</v>
      </c>
      <c r="J843" s="239">
        <v>119.99999999301508</v>
      </c>
    </row>
    <row r="844">
      <c r="A844" s="234" t="s">
        <v>2538</v>
      </c>
      <c r="B844" s="234" t="str">
        <f>IFERROR(__xludf.DUMMYFUNCTION("""COMPUTED_VALUE"""),"LM Hub_SP_São Carlos")</f>
        <v>LM Hub_SP_São Carlos</v>
      </c>
      <c r="C844" s="234" t="str">
        <f>IFERROR(__xludf.DUMMYFUNCTION("""COMPUTED_VALUE"""),"HUB-LSP-31")</f>
        <v>HUB-LSP-31</v>
      </c>
      <c r="D844" s="234">
        <f>IFERROR(__xludf.DUMMYFUNCTION("""COMPUTED_VALUE"""),8.0)</f>
        <v>8</v>
      </c>
      <c r="E844" s="237" t="str">
        <f>IFERROR(__xludf.DUMMYFUNCTION("""COMPUTED_VALUE"""),"LT0PBK01S3TN1")</f>
        <v>LT0PBK01S3TN1</v>
      </c>
      <c r="F844" s="238" t="str">
        <f>IFERROR(__xludf.DUMMYFUNCTION("""COMPUTED_VALUE"""),"EWJ1C48")</f>
        <v>EWJ1C48</v>
      </c>
      <c r="G844" s="238">
        <f>IFERROR(__xludf.DUMMYFUNCTION("""COMPUTED_VALUE"""),45981.875)</f>
        <v>45981.875</v>
      </c>
      <c r="H844" s="238">
        <f>IFERROR(__xludf.DUMMYFUNCTION("""COMPUTED_VALUE"""),45981.95833333333)</f>
        <v>45981.95833</v>
      </c>
      <c r="I844" s="237" t="str">
        <f t="shared" si="1"/>
        <v>Fora</v>
      </c>
      <c r="J844" s="239">
        <v>118.99999998975545</v>
      </c>
    </row>
    <row r="845">
      <c r="A845" s="234" t="s">
        <v>2539</v>
      </c>
      <c r="B845" s="234" t="str">
        <f>IFERROR(__xludf.DUMMYFUNCTION("""COMPUTED_VALUE"""),"LM Hub_SP_Osasco_02")</f>
        <v>LM Hub_SP_Osasco_02</v>
      </c>
      <c r="C845" s="234" t="str">
        <f>IFERROR(__xludf.DUMMYFUNCTION("""COMPUTED_VALUE"""),"HUB-LSP-60")</f>
        <v>HUB-LSP-60</v>
      </c>
      <c r="D845" s="234">
        <f>IFERROR(__xludf.DUMMYFUNCTION("""COMPUTED_VALUE"""),18.0)</f>
        <v>18</v>
      </c>
      <c r="E845" s="237" t="str">
        <f>IFERROR(__xludf.DUMMYFUNCTION("""COMPUTED_VALUE"""),"LT0PBK01RUZ61")</f>
        <v>LT0PBK01RUZ61</v>
      </c>
      <c r="F845" s="238" t="str">
        <f>IFERROR(__xludf.DUMMYFUNCTION("""COMPUTED_VALUE"""),"HBN8F05,TKX7F43")</f>
        <v>HBN8F05,TKX7F43</v>
      </c>
      <c r="G845" s="238">
        <f>IFERROR(__xludf.DUMMYFUNCTION("""COMPUTED_VALUE"""),45981.87569444445)</f>
        <v>45981.87569</v>
      </c>
      <c r="H845" s="238">
        <f>IFERROR(__xludf.DUMMYFUNCTION("""COMPUTED_VALUE"""),45981.95833333333)</f>
        <v>45981.95833</v>
      </c>
      <c r="I845" s="237" t="str">
        <f t="shared" si="1"/>
        <v>Fora</v>
      </c>
      <c r="J845" s="239">
        <v>118.99999998975545</v>
      </c>
    </row>
    <row r="846">
      <c r="A846" s="234" t="s">
        <v>2540</v>
      </c>
      <c r="B846" s="234" t="str">
        <f>IFERROR(__xludf.DUMMYFUNCTION("""COMPUTED_VALUE"""),"LM Hub_SP_São Bernardo do Campo")</f>
        <v>LM Hub_SP_São Bernardo do Campo</v>
      </c>
      <c r="C846" s="234" t="str">
        <f>IFERROR(__xludf.DUMMYFUNCTION("""COMPUTED_VALUE"""),"HUB-LSP-79")</f>
        <v>HUB-LSP-79</v>
      </c>
      <c r="D846" s="234">
        <f>IFERROR(__xludf.DUMMYFUNCTION("""COMPUTED_VALUE"""),29.0)</f>
        <v>29</v>
      </c>
      <c r="E846" s="237" t="str">
        <f>IFERROR(__xludf.DUMMYFUNCTION("""COMPUTED_VALUE"""),"LT0PBK01RVK91")</f>
        <v>LT0PBK01RVK91</v>
      </c>
      <c r="F846" s="238" t="str">
        <f>IFERROR(__xludf.DUMMYFUNCTION("""COMPUTED_VALUE"""),"FUF6H46,JJZ8B19")</f>
        <v>FUF6H46,JJZ8B19</v>
      </c>
      <c r="G846" s="238">
        <f>IFERROR(__xludf.DUMMYFUNCTION("""COMPUTED_VALUE"""),45981.87569444445)</f>
        <v>45981.87569</v>
      </c>
      <c r="H846" s="238">
        <f>IFERROR(__xludf.DUMMYFUNCTION("""COMPUTED_VALUE"""),45981.95833333333)</f>
        <v>45981.95833</v>
      </c>
      <c r="I846" s="237" t="str">
        <f t="shared" si="1"/>
        <v>Fora</v>
      </c>
      <c r="J846" s="239">
        <v>120.00000001396984</v>
      </c>
    </row>
    <row r="847">
      <c r="A847" s="234" t="s">
        <v>2541</v>
      </c>
      <c r="B847" s="234" t="str">
        <f>IFERROR(__xludf.DUMMYFUNCTION("""COMPUTED_VALUE"""),"LM Hub_SP_Mogi das Cruzes_Jund")</f>
        <v>LM Hub_SP_Mogi das Cruzes_Jund</v>
      </c>
      <c r="C847" s="234" t="str">
        <f>IFERROR(__xludf.DUMMYFUNCTION("""COMPUTED_VALUE"""),"HUB-LSP-78")</f>
        <v>HUB-LSP-78</v>
      </c>
      <c r="D847" s="234"/>
      <c r="E847" s="237" t="str">
        <f>IFERROR(__xludf.DUMMYFUNCTION("""COMPUTED_VALUE"""),"LT0PBK01RXXU1")</f>
        <v>LT0PBK01RXXU1</v>
      </c>
      <c r="F847" s="234"/>
      <c r="G847" s="238">
        <f>IFERROR(__xludf.DUMMYFUNCTION("""COMPUTED_VALUE"""),45981.89583333333)</f>
        <v>45981.89583</v>
      </c>
      <c r="H847" s="238">
        <f>IFERROR(__xludf.DUMMYFUNCTION("""COMPUTED_VALUE"""),45981.97916666667)</f>
        <v>45981.97917</v>
      </c>
      <c r="I847" s="237" t="str">
        <f t="shared" si="1"/>
        <v>Fora</v>
      </c>
      <c r="J847" s="239">
        <v>120.00000001396984</v>
      </c>
    </row>
    <row r="848">
      <c r="A848" s="234" t="s">
        <v>2542</v>
      </c>
      <c r="B848" s="234" t="str">
        <f>IFERROR(__xludf.DUMMYFUNCTION("""COMPUTED_VALUE"""),"LM Hub_SP_Santos_Praia Grande")</f>
        <v>LM Hub_SP_Santos_Praia Grande</v>
      </c>
      <c r="C848" s="234" t="str">
        <f>IFERROR(__xludf.DUMMYFUNCTION("""COMPUTED_VALUE"""),"HUB-LSP-09")</f>
        <v>HUB-LSP-09</v>
      </c>
      <c r="D848" s="234"/>
      <c r="E848" s="237" t="str">
        <f>IFERROR(__xludf.DUMMYFUNCTION("""COMPUTED_VALUE"""),"LT0PBK01RV1B1")</f>
        <v>LT0PBK01RV1B1</v>
      </c>
      <c r="F848" s="238" t="str">
        <f>IFERROR(__xludf.DUMMYFUNCTION("""COMPUTED_VALUE"""),"GDQ3G07,GCB9860")</f>
        <v>GDQ3G07,GCB9860</v>
      </c>
      <c r="G848" s="238">
        <f>IFERROR(__xludf.DUMMYFUNCTION("""COMPUTED_VALUE"""),45981.89583333333)</f>
        <v>45981.89583</v>
      </c>
      <c r="H848" s="238">
        <f>IFERROR(__xludf.DUMMYFUNCTION("""COMPUTED_VALUE"""),45981.97916666667)</f>
        <v>45981.97917</v>
      </c>
      <c r="I848" s="237" t="str">
        <f t="shared" si="1"/>
        <v>Fora</v>
      </c>
      <c r="J848" s="239">
        <v>120.00000001396984</v>
      </c>
    </row>
    <row r="849">
      <c r="A849" s="234" t="s">
        <v>2543</v>
      </c>
      <c r="B849" s="234" t="str">
        <f>IFERROR(__xludf.DUMMYFUNCTION("""COMPUTED_VALUE"""),"LM Hub_SP_Zimba")</f>
        <v>LM Hub_SP_Zimba</v>
      </c>
      <c r="C849" s="234" t="str">
        <f>IFERROR(__xludf.DUMMYFUNCTION("""COMPUTED_VALUE"""),"HUB-LSP-74")</f>
        <v>HUB-LSP-74</v>
      </c>
      <c r="D849" s="234">
        <f>IFERROR(__xludf.DUMMYFUNCTION("""COMPUTED_VALUE"""),32.0)</f>
        <v>32</v>
      </c>
      <c r="E849" s="237" t="str">
        <f>IFERROR(__xludf.DUMMYFUNCTION("""COMPUTED_VALUE"""),"LT0PBK01RUZE1")</f>
        <v>LT0PBK01RUZE1</v>
      </c>
      <c r="F849" s="238" t="str">
        <f>IFERROR(__xludf.DUMMYFUNCTION("""COMPUTED_VALUE"""),"JAQ4D48,RCK0C31")</f>
        <v>JAQ4D48,RCK0C31</v>
      </c>
      <c r="G849" s="238">
        <f>IFERROR(__xludf.DUMMYFUNCTION("""COMPUTED_VALUE"""),45981.89583333333)</f>
        <v>45981.89583</v>
      </c>
      <c r="H849" s="238">
        <f>IFERROR(__xludf.DUMMYFUNCTION("""COMPUTED_VALUE"""),45981.97916666667)</f>
        <v>45981.97917</v>
      </c>
      <c r="I849" s="237" t="str">
        <f t="shared" si="1"/>
        <v>Fora</v>
      </c>
      <c r="J849" s="239">
        <v>119.00000001071021</v>
      </c>
    </row>
    <row r="850">
      <c r="A850" s="234" t="s">
        <v>2544</v>
      </c>
      <c r="B850" s="234" t="str">
        <f>IFERROR(__xludf.DUMMYFUNCTION("""COMPUTED_VALUE"""),"LM Hub_SP_Jurubatuba")</f>
        <v>LM Hub_SP_Jurubatuba</v>
      </c>
      <c r="C850" s="234" t="str">
        <f>IFERROR(__xludf.DUMMYFUNCTION("""COMPUTED_VALUE"""),"HUB-LSP-16")</f>
        <v>HUB-LSP-16</v>
      </c>
      <c r="D850" s="234">
        <f>IFERROR(__xludf.DUMMYFUNCTION("""COMPUTED_VALUE"""),17.0)</f>
        <v>17</v>
      </c>
      <c r="E850" s="237" t="str">
        <f>IFERROR(__xludf.DUMMYFUNCTION("""COMPUTED_VALUE"""),"LT0PBK01S3SR1")</f>
        <v>LT0PBK01S3SR1</v>
      </c>
      <c r="F850" s="238" t="str">
        <f>IFERROR(__xludf.DUMMYFUNCTION("""COMPUTED_VALUE"""),"DTD4722,NCK7E66")</f>
        <v>DTD4722,NCK7E66</v>
      </c>
      <c r="G850" s="238">
        <f>IFERROR(__xludf.DUMMYFUNCTION("""COMPUTED_VALUE"""),45981.896527777775)</f>
        <v>45981.89653</v>
      </c>
      <c r="H850" s="238">
        <f>IFERROR(__xludf.DUMMYFUNCTION("""COMPUTED_VALUE"""),45981.97916666667)</f>
        <v>45981.97917</v>
      </c>
      <c r="I850" s="237" t="str">
        <f t="shared" si="1"/>
        <v>Fora</v>
      </c>
      <c r="J850" s="239">
        <v>119.00000001071021</v>
      </c>
    </row>
    <row r="851">
      <c r="A851" s="234" t="s">
        <v>2545</v>
      </c>
      <c r="B851" s="234" t="str">
        <f>IFERROR(__xludf.DUMMYFUNCTION("""COMPUTED_VALUE"""),"LM Hub_SP_São José dos Campos")</f>
        <v>LM Hub_SP_São José dos Campos</v>
      </c>
      <c r="C851" s="234" t="str">
        <f>IFERROR(__xludf.DUMMYFUNCTION("""COMPUTED_VALUE"""),"HUB-LSP-04")</f>
        <v>HUB-LSP-04</v>
      </c>
      <c r="D851" s="234">
        <f>IFERROR(__xludf.DUMMYFUNCTION("""COMPUTED_VALUE"""),26.0)</f>
        <v>26</v>
      </c>
      <c r="E851" s="237" t="str">
        <f>IFERROR(__xludf.DUMMYFUNCTION("""COMPUTED_VALUE"""),"LT0PBK01S3TI1")</f>
        <v>LT0PBK01S3TI1</v>
      </c>
      <c r="F851" s="238" t="str">
        <f>IFERROR(__xludf.DUMMYFUNCTION("""COMPUTED_VALUE"""),"TIR7J78")</f>
        <v>TIR7J78</v>
      </c>
      <c r="G851" s="238">
        <f>IFERROR(__xludf.DUMMYFUNCTION("""COMPUTED_VALUE"""),45981.896527777775)</f>
        <v>45981.89653</v>
      </c>
      <c r="H851" s="238">
        <f>IFERROR(__xludf.DUMMYFUNCTION("""COMPUTED_VALUE"""),45981.97916666667)</f>
        <v>45981.97917</v>
      </c>
      <c r="I851" s="237" t="str">
        <f t="shared" si="1"/>
        <v>Fora</v>
      </c>
      <c r="J851" s="239">
        <v>119.00000001071021</v>
      </c>
    </row>
    <row r="852">
      <c r="A852" s="234" t="s">
        <v>2546</v>
      </c>
      <c r="B852" s="234" t="str">
        <f>IFERROR(__xludf.DUMMYFUNCTION("""COMPUTED_VALUE"""),"LM Hub_SP_São Paulo_Lapa")</f>
        <v>LM Hub_SP_São Paulo_Lapa</v>
      </c>
      <c r="C852" s="234" t="str">
        <f>IFERROR(__xludf.DUMMYFUNCTION("""COMPUTED_VALUE"""),"HUB-LSP-15")</f>
        <v>HUB-LSP-15</v>
      </c>
      <c r="D852" s="234">
        <f>IFERROR(__xludf.DUMMYFUNCTION("""COMPUTED_VALUE"""),15.0)</f>
        <v>15</v>
      </c>
      <c r="E852" s="237" t="str">
        <f>IFERROR(__xludf.DUMMYFUNCTION("""COMPUTED_VALUE"""),"LT0PBK01RUYH1")</f>
        <v>LT0PBK01RUYH1</v>
      </c>
      <c r="F852" s="238" t="str">
        <f>IFERROR(__xludf.DUMMYFUNCTION("""COMPUTED_VALUE"""),"GBE0G47,FJP5G21")</f>
        <v>GBE0G47,FJP5G21</v>
      </c>
      <c r="G852" s="238">
        <f>IFERROR(__xludf.DUMMYFUNCTION("""COMPUTED_VALUE"""),45981.896527777775)</f>
        <v>45981.89653</v>
      </c>
      <c r="H852" s="238">
        <f>IFERROR(__xludf.DUMMYFUNCTION("""COMPUTED_VALUE"""),45981.97916666667)</f>
        <v>45981.97917</v>
      </c>
      <c r="I852" s="237" t="str">
        <f t="shared" si="1"/>
        <v>Fora</v>
      </c>
      <c r="J852" s="239">
        <v>118.99999998975545</v>
      </c>
    </row>
    <row r="853">
      <c r="A853" s="234" t="s">
        <v>2547</v>
      </c>
      <c r="B853" s="234" t="str">
        <f>IFERROR(__xludf.DUMMYFUNCTION("""COMPUTED_VALUE"""),"LM Hub_SP_Guarujá")</f>
        <v>LM Hub_SP_Guarujá</v>
      </c>
      <c r="C853" s="234" t="str">
        <f>IFERROR(__xludf.DUMMYFUNCTION("""COMPUTED_VALUE"""),"HUB-LSP-06")</f>
        <v>HUB-LSP-06</v>
      </c>
      <c r="D853" s="234"/>
      <c r="E853" s="237" t="str">
        <f>IFERROR(__xludf.DUMMYFUNCTION("""COMPUTED_VALUE"""),"LT0PBK01RV091")</f>
        <v>LT0PBK01RV091</v>
      </c>
      <c r="F853" s="238" t="str">
        <f>IFERROR(__xludf.DUMMYFUNCTION("""COMPUTED_VALUE"""),"TJN5H17")</f>
        <v>TJN5H17</v>
      </c>
      <c r="G853" s="238">
        <f>IFERROR(__xludf.DUMMYFUNCTION("""COMPUTED_VALUE"""),45981.91666666667)</f>
        <v>45981.91667</v>
      </c>
      <c r="H853" s="238">
        <f>IFERROR(__xludf.DUMMYFUNCTION("""COMPUTED_VALUE"""),45981.99930555555)</f>
        <v>45981.99931</v>
      </c>
      <c r="I853" s="237" t="str">
        <f t="shared" si="1"/>
        <v>Fora</v>
      </c>
      <c r="J853" s="239">
        <v>119.99999999301508</v>
      </c>
    </row>
    <row r="854">
      <c r="A854" s="234" t="s">
        <v>2548</v>
      </c>
      <c r="B854" s="234" t="str">
        <f>IFERROR(__xludf.DUMMYFUNCTION("""COMPUTED_VALUE"""),"LM Hub_RS_Porto Alegre_Floresta")</f>
        <v>LM Hub_RS_Porto Alegre_Floresta</v>
      </c>
      <c r="C854" s="234" t="str">
        <f>IFERROR(__xludf.DUMMYFUNCTION("""COMPUTED_VALUE"""),"HUB-LRS-03")</f>
        <v>HUB-LRS-03</v>
      </c>
      <c r="D854" s="234">
        <f>IFERROR(__xludf.DUMMYFUNCTION("""COMPUTED_VALUE"""),5.0)</f>
        <v>5</v>
      </c>
      <c r="E854" s="237" t="str">
        <f>IFERROR(__xludf.DUMMYFUNCTION("""COMPUTED_VALUE"""),"LT0PBK01S1HO1")</f>
        <v>LT0PBK01S1HO1</v>
      </c>
      <c r="F854" s="238" t="str">
        <f>IFERROR(__xludf.DUMMYFUNCTION("""COMPUTED_VALUE"""),"GGC3E29")</f>
        <v>GGC3E29</v>
      </c>
      <c r="G854" s="238">
        <f>IFERROR(__xludf.DUMMYFUNCTION("""COMPUTED_VALUE"""),45981.91666666667)</f>
        <v>45981.91667</v>
      </c>
      <c r="H854" s="238">
        <f>IFERROR(__xludf.DUMMYFUNCTION("""COMPUTED_VALUE"""),45982.0)</f>
        <v>45982</v>
      </c>
      <c r="I854" s="237" t="str">
        <f t="shared" si="1"/>
        <v>Fora</v>
      </c>
      <c r="J854" s="239">
        <v>119.99999999301508</v>
      </c>
    </row>
    <row r="855">
      <c r="A855" s="234" t="s">
        <v>2549</v>
      </c>
      <c r="B855" s="234" t="str">
        <f>IFERROR(__xludf.DUMMYFUNCTION("""COMPUTED_VALUE"""),"LM Hub_SP_Artur Alvim")</f>
        <v>LM Hub_SP_Artur Alvim</v>
      </c>
      <c r="C855" s="234" t="str">
        <f>IFERROR(__xludf.DUMMYFUNCTION("""COMPUTED_VALUE"""),"HUB-LSP-07")</f>
        <v>HUB-LSP-07</v>
      </c>
      <c r="D855" s="234">
        <f>IFERROR(__xludf.DUMMYFUNCTION("""COMPUTED_VALUE"""),14.0)</f>
        <v>14</v>
      </c>
      <c r="E855" s="237" t="str">
        <f>IFERROR(__xludf.DUMMYFUNCTION("""COMPUTED_VALUE"""),"LT0PBK01RUY21")</f>
        <v>LT0PBK01RUY21</v>
      </c>
      <c r="F855" s="238" t="str">
        <f>IFERROR(__xludf.DUMMYFUNCTION("""COMPUTED_VALUE"""),"EPU4G01")</f>
        <v>EPU4G01</v>
      </c>
      <c r="G855" s="238">
        <f>IFERROR(__xludf.DUMMYFUNCTION("""COMPUTED_VALUE"""),45981.91666666667)</f>
        <v>45981.91667</v>
      </c>
      <c r="H855" s="238">
        <f>IFERROR(__xludf.DUMMYFUNCTION("""COMPUTED_VALUE"""),45982.0)</f>
        <v>45982</v>
      </c>
      <c r="I855" s="237" t="str">
        <f t="shared" si="1"/>
        <v>Fora</v>
      </c>
      <c r="J855" s="239">
        <v>119.99999999301508</v>
      </c>
    </row>
    <row r="856">
      <c r="A856" s="234" t="s">
        <v>2550</v>
      </c>
      <c r="B856" s="234" t="str">
        <f>IFERROR(__xludf.DUMMYFUNCTION("""COMPUTED_VALUE"""),"LM Hub_SP_Barueri_01")</f>
        <v>LM Hub_SP_Barueri_01</v>
      </c>
      <c r="C856" s="234" t="str">
        <f>IFERROR(__xludf.DUMMYFUNCTION("""COMPUTED_VALUE"""),"HUB-LSP-81")</f>
        <v>HUB-LSP-81</v>
      </c>
      <c r="D856" s="234">
        <f>IFERROR(__xludf.DUMMYFUNCTION("""COMPUTED_VALUE"""),12.0)</f>
        <v>12</v>
      </c>
      <c r="E856" s="237" t="str">
        <f>IFERROR(__xludf.DUMMYFUNCTION("""COMPUTED_VALUE"""),"LT0PBK01S0E71")</f>
        <v>LT0PBK01S0E71</v>
      </c>
      <c r="F856" s="238" t="str">
        <f>IFERROR(__xludf.DUMMYFUNCTION("""COMPUTED_VALUE"""),"GEV2J37")</f>
        <v>GEV2J37</v>
      </c>
      <c r="G856" s="238">
        <f>IFERROR(__xludf.DUMMYFUNCTION("""COMPUTED_VALUE"""),45981.91666666667)</f>
        <v>45981.91667</v>
      </c>
      <c r="H856" s="238">
        <f>IFERROR(__xludf.DUMMYFUNCTION("""COMPUTED_VALUE"""),45982.0)</f>
        <v>45982</v>
      </c>
      <c r="I856" s="237" t="str">
        <f t="shared" si="1"/>
        <v>Fora</v>
      </c>
      <c r="J856" s="239">
        <v>119.99999999301508</v>
      </c>
    </row>
    <row r="857">
      <c r="A857" s="234" t="s">
        <v>2551</v>
      </c>
      <c r="B857" s="234" t="str">
        <f>IFERROR(__xludf.DUMMYFUNCTION("""COMPUTED_VALUE"""),"LM Hub_SP_Guarulhos")</f>
        <v>LM Hub_SP_Guarulhos</v>
      </c>
      <c r="C857" s="234" t="str">
        <f>IFERROR(__xludf.DUMMYFUNCTION("""COMPUTED_VALUE"""),"HUB-LSP-77")</f>
        <v>HUB-LSP-77</v>
      </c>
      <c r="D857" s="234"/>
      <c r="E857" s="237" t="str">
        <f>IFERROR(__xludf.DUMMYFUNCTION("""COMPUTED_VALUE"""),"LT0PBK01RVNJ1")</f>
        <v>LT0PBK01RVNJ1</v>
      </c>
      <c r="F857" s="238" t="str">
        <f>IFERROR(__xludf.DUMMYFUNCTION("""COMPUTED_VALUE"""),"IRW2J90,DPE5726")</f>
        <v>IRW2J90,DPE5726</v>
      </c>
      <c r="G857" s="238">
        <f>IFERROR(__xludf.DUMMYFUNCTION("""COMPUTED_VALUE"""),45981.91666666667)</f>
        <v>45981.91667</v>
      </c>
      <c r="H857" s="238">
        <f>IFERROR(__xludf.DUMMYFUNCTION("""COMPUTED_VALUE"""),45982.0)</f>
        <v>45982</v>
      </c>
      <c r="I857" s="237" t="str">
        <f t="shared" si="1"/>
        <v>Fora</v>
      </c>
      <c r="J857" s="239">
        <v>119.99999999301508</v>
      </c>
    </row>
    <row r="858">
      <c r="A858" s="234" t="s">
        <v>2552</v>
      </c>
      <c r="B858" s="234" t="str">
        <f>IFERROR(__xludf.DUMMYFUNCTION("""COMPUTED_VALUE"""),"LM Hub_SP_Limeira_Campo Belo")</f>
        <v>LM Hub_SP_Limeira_Campo Belo</v>
      </c>
      <c r="C858" s="234" t="str">
        <f>IFERROR(__xludf.DUMMYFUNCTION("""COMPUTED_VALUE"""),"HUB-LSP-24")</f>
        <v>HUB-LSP-24</v>
      </c>
      <c r="D858" s="234">
        <f>IFERROR(__xludf.DUMMYFUNCTION("""COMPUTED_VALUE"""),42.0)</f>
        <v>42</v>
      </c>
      <c r="E858" s="237" t="str">
        <f>IFERROR(__xludf.DUMMYFUNCTION("""COMPUTED_VALUE"""),"LT0PBK01RV1S1")</f>
        <v>LT0PBK01RV1S1</v>
      </c>
      <c r="F858" s="238" t="str">
        <f>IFERROR(__xludf.DUMMYFUNCTION("""COMPUTED_VALUE"""),"FGU5I81,JXA7D06")</f>
        <v>FGU5I81,JXA7D06</v>
      </c>
      <c r="G858" s="238">
        <f>IFERROR(__xludf.DUMMYFUNCTION("""COMPUTED_VALUE"""),45981.91666666667)</f>
        <v>45981.91667</v>
      </c>
      <c r="H858" s="238">
        <f>IFERROR(__xludf.DUMMYFUNCTION("""COMPUTED_VALUE"""),45982.0)</f>
        <v>45982</v>
      </c>
      <c r="I858" s="237" t="str">
        <f t="shared" si="1"/>
        <v>Fora</v>
      </c>
      <c r="J858" s="239">
        <v>119.99999999301508</v>
      </c>
    </row>
    <row r="859">
      <c r="A859" s="234" t="s">
        <v>2553</v>
      </c>
      <c r="B859" s="234" t="str">
        <f>IFERROR(__xludf.DUMMYFUNCTION("""COMPUTED_VALUE"""),"LM Hub_SP_Santo André")</f>
        <v>LM Hub_SP_Santo André</v>
      </c>
      <c r="C859" s="234" t="str">
        <f>IFERROR(__xludf.DUMMYFUNCTION("""COMPUTED_VALUE"""),"HUB-LSP-93")</f>
        <v>HUB-LSP-93</v>
      </c>
      <c r="D859" s="234">
        <f>IFERROR(__xludf.DUMMYFUNCTION("""COMPUTED_VALUE"""),25.0)</f>
        <v>25</v>
      </c>
      <c r="E859" s="237" t="str">
        <f>IFERROR(__xludf.DUMMYFUNCTION("""COMPUTED_VALUE"""),"LT0PBK01RXOJ1")</f>
        <v>LT0PBK01RXOJ1</v>
      </c>
      <c r="F859" s="238" t="str">
        <f>IFERROR(__xludf.DUMMYFUNCTION("""COMPUTED_VALUE"""),"FQF6B98,DTA7802")</f>
        <v>FQF6B98,DTA7802</v>
      </c>
      <c r="G859" s="238">
        <f>IFERROR(__xludf.DUMMYFUNCTION("""COMPUTED_VALUE"""),45981.91666666667)</f>
        <v>45981.91667</v>
      </c>
      <c r="H859" s="238">
        <f>IFERROR(__xludf.DUMMYFUNCTION("""COMPUTED_VALUE"""),45982.0)</f>
        <v>45982</v>
      </c>
      <c r="I859" s="237" t="str">
        <f t="shared" si="1"/>
        <v>Fora</v>
      </c>
      <c r="J859" s="239">
        <v>119.00000000023283</v>
      </c>
    </row>
    <row r="860">
      <c r="A860" s="234" t="s">
        <v>2554</v>
      </c>
      <c r="B860" s="234" t="str">
        <f>IFERROR(__xludf.DUMMYFUNCTION("""COMPUTED_VALUE"""),"LM Hub_SP_Itapevi")</f>
        <v>LM Hub_SP_Itapevi</v>
      </c>
      <c r="C860" s="234" t="str">
        <f>IFERROR(__xludf.DUMMYFUNCTION("""COMPUTED_VALUE"""),"HUB-LSP-41")</f>
        <v>HUB-LSP-41</v>
      </c>
      <c r="D860" s="234">
        <f>IFERROR(__xludf.DUMMYFUNCTION("""COMPUTED_VALUE"""),7.0)</f>
        <v>7</v>
      </c>
      <c r="E860" s="237" t="str">
        <f>IFERROR(__xludf.DUMMYFUNCTION("""COMPUTED_VALUE"""),"LT0PBK01S3SX1")</f>
        <v>LT0PBK01S3SX1</v>
      </c>
      <c r="F860" s="238" t="str">
        <f>IFERROR(__xludf.DUMMYFUNCTION("""COMPUTED_VALUE"""),"FYQ5533")</f>
        <v>FYQ5533</v>
      </c>
      <c r="G860" s="238">
        <f>IFERROR(__xludf.DUMMYFUNCTION("""COMPUTED_VALUE"""),45981.91736111111)</f>
        <v>45981.91736</v>
      </c>
      <c r="H860" s="238">
        <f>IFERROR(__xludf.DUMMYFUNCTION("""COMPUTED_VALUE"""),45982.0)</f>
        <v>45982</v>
      </c>
      <c r="I860" s="237" t="str">
        <f t="shared" si="1"/>
        <v>Fora</v>
      </c>
      <c r="J860" s="239">
        <v>119.00000000023283</v>
      </c>
    </row>
    <row r="861">
      <c r="A861" s="234" t="s">
        <v>2555</v>
      </c>
      <c r="B861" s="234" t="str">
        <f>IFERROR(__xludf.DUMMYFUNCTION("""COMPUTED_VALUE"""),"LM Hub_SP_Mauá")</f>
        <v>LM Hub_SP_Mauá</v>
      </c>
      <c r="C861" s="234" t="str">
        <f>IFERROR(__xludf.DUMMYFUNCTION("""COMPUTED_VALUE"""),"HUB-LSP-64")</f>
        <v>HUB-LSP-64</v>
      </c>
      <c r="D861" s="234">
        <f>IFERROR(__xludf.DUMMYFUNCTION("""COMPUTED_VALUE"""),19.0)</f>
        <v>19</v>
      </c>
      <c r="E861" s="237" t="str">
        <f>IFERROR(__xludf.DUMMYFUNCTION("""COMPUTED_VALUE"""),"LT0PBK01S3T31")</f>
        <v>LT0PBK01S3T31</v>
      </c>
      <c r="F861" s="238" t="str">
        <f>IFERROR(__xludf.DUMMYFUNCTION("""COMPUTED_VALUE"""),"ASN0C15,MBC2C84")</f>
        <v>ASN0C15,MBC2C84</v>
      </c>
      <c r="G861" s="238">
        <f>IFERROR(__xludf.DUMMYFUNCTION("""COMPUTED_VALUE"""),45981.91736111111)</f>
        <v>45981.91736</v>
      </c>
      <c r="H861" s="238">
        <f>IFERROR(__xludf.DUMMYFUNCTION("""COMPUTED_VALUE"""),45982.0)</f>
        <v>45982</v>
      </c>
      <c r="I861" s="237" t="str">
        <f t="shared" si="1"/>
        <v>Fora</v>
      </c>
      <c r="J861" s="239">
        <v>119.99999999301508</v>
      </c>
    </row>
    <row r="862">
      <c r="A862" s="234" t="s">
        <v>2556</v>
      </c>
      <c r="B862" s="234" t="str">
        <f>IFERROR(__xludf.DUMMYFUNCTION("""COMPUTED_VALUE"""),"LM Hub_MG_Juiz de Fora_Dist Ind")</f>
        <v>LM Hub_MG_Juiz de Fora_Dist Ind</v>
      </c>
      <c r="C862" s="234" t="str">
        <f>IFERROR(__xludf.DUMMYFUNCTION("""COMPUTED_VALUE"""),"HUB-LMG-59")</f>
        <v>HUB-LMG-59</v>
      </c>
      <c r="D862" s="234">
        <f>IFERROR(__xludf.DUMMYFUNCTION("""COMPUTED_VALUE"""),29.0)</f>
        <v>29</v>
      </c>
      <c r="E862" s="237" t="str">
        <f>IFERROR(__xludf.DUMMYFUNCTION("""COMPUTED_VALUE"""),"LT0PBK01S1I81")</f>
        <v>LT0PBK01S1I81</v>
      </c>
      <c r="F862" s="238" t="str">
        <f>IFERROR(__xludf.DUMMYFUNCTION("""COMPUTED_VALUE"""),"SVN1G23")</f>
        <v>SVN1G23</v>
      </c>
      <c r="G862" s="238">
        <f>IFERROR(__xludf.DUMMYFUNCTION("""COMPUTED_VALUE"""),45981.9375)</f>
        <v>45981.9375</v>
      </c>
      <c r="H862" s="238">
        <f>IFERROR(__xludf.DUMMYFUNCTION("""COMPUTED_VALUE"""),45982.02083333333)</f>
        <v>45982.02083</v>
      </c>
      <c r="I862" s="237" t="str">
        <f t="shared" si="1"/>
        <v>Fora</v>
      </c>
      <c r="J862" s="239">
        <v>119.99999999301508</v>
      </c>
    </row>
    <row r="863">
      <c r="A863" s="234" t="s">
        <v>2557</v>
      </c>
      <c r="B863" s="234" t="str">
        <f>IFERROR(__xludf.DUMMYFUNCTION("""COMPUTED_VALUE"""),"LM Hub_SP_Jardim Adriana")</f>
        <v>LM Hub_SP_Jardim Adriana</v>
      </c>
      <c r="C863" s="234" t="str">
        <f>IFERROR(__xludf.DUMMYFUNCTION("""COMPUTED_VALUE"""),"HUB-LSP-12")</f>
        <v>HUB-LSP-12</v>
      </c>
      <c r="D863" s="234">
        <f>IFERROR(__xludf.DUMMYFUNCTION("""COMPUTED_VALUE"""),6.0)</f>
        <v>6</v>
      </c>
      <c r="E863" s="237" t="str">
        <f>IFERROR(__xludf.DUMMYFUNCTION("""COMPUTED_VALUE"""),"LT0PBK01RUY71")</f>
        <v>LT0PBK01RUY71</v>
      </c>
      <c r="F863" s="238" t="str">
        <f>IFERROR(__xludf.DUMMYFUNCTION("""COMPUTED_VALUE"""),"FNW2D28")</f>
        <v>FNW2D28</v>
      </c>
      <c r="G863" s="238">
        <f>IFERROR(__xludf.DUMMYFUNCTION("""COMPUTED_VALUE"""),45981.9375)</f>
        <v>45981.9375</v>
      </c>
      <c r="H863" s="238">
        <f>IFERROR(__xludf.DUMMYFUNCTION("""COMPUTED_VALUE"""),45982.02083333333)</f>
        <v>45982.02083</v>
      </c>
      <c r="I863" s="237" t="str">
        <f t="shared" si="1"/>
        <v>Fora</v>
      </c>
      <c r="J863" s="239">
        <v>119.99999999301508</v>
      </c>
    </row>
    <row r="864">
      <c r="A864" s="234" t="s">
        <v>2558</v>
      </c>
      <c r="B864" s="234" t="str">
        <f>IFERROR(__xludf.DUMMYFUNCTION("""COMPUTED_VALUE"""),"LM Hub_SP_Parque Novo Mundo")</f>
        <v>LM Hub_SP_Parque Novo Mundo</v>
      </c>
      <c r="C864" s="234" t="str">
        <f>IFERROR(__xludf.DUMMYFUNCTION("""COMPUTED_VALUE"""),"HUB-LSP-89")</f>
        <v>HUB-LSP-89</v>
      </c>
      <c r="D864" s="234">
        <f>IFERROR(__xludf.DUMMYFUNCTION("""COMPUTED_VALUE"""),34.0)</f>
        <v>34</v>
      </c>
      <c r="E864" s="237" t="str">
        <f>IFERROR(__xludf.DUMMYFUNCTION("""COMPUTED_VALUE"""),"LT0PBK01RVUW1")</f>
        <v>LT0PBK01RVUW1</v>
      </c>
      <c r="F864" s="238" t="str">
        <f>IFERROR(__xludf.DUMMYFUNCTION("""COMPUTED_VALUE"""),"GIQ1C13,AKZ0B43")</f>
        <v>GIQ1C13,AKZ0B43</v>
      </c>
      <c r="G864" s="238">
        <f>IFERROR(__xludf.DUMMYFUNCTION("""COMPUTED_VALUE"""),45981.9375)</f>
        <v>45981.9375</v>
      </c>
      <c r="H864" s="238">
        <f>IFERROR(__xludf.DUMMYFUNCTION("""COMPUTED_VALUE"""),45982.02083333333)</f>
        <v>45982.02083</v>
      </c>
      <c r="I864" s="237" t="str">
        <f t="shared" si="1"/>
        <v>Fora</v>
      </c>
      <c r="J864" s="239">
        <v>119.99999999301508</v>
      </c>
    </row>
    <row r="865">
      <c r="A865" s="234" t="s">
        <v>2559</v>
      </c>
      <c r="B865" s="234" t="str">
        <f>IFERROR(__xludf.DUMMYFUNCTION("""COMPUTED_VALUE"""),"LM Hub_SP_São Paulo_Carandiru")</f>
        <v>LM Hub_SP_São Paulo_Carandiru</v>
      </c>
      <c r="C865" s="234" t="str">
        <f>IFERROR(__xludf.DUMMYFUNCTION("""COMPUTED_VALUE"""),"HUB-LSP-18")</f>
        <v>HUB-LSP-18</v>
      </c>
      <c r="D865" s="234"/>
      <c r="E865" s="237" t="str">
        <f>IFERROR(__xludf.DUMMYFUNCTION("""COMPUTED_VALUE"""),"LT0PBK01RUYP1")</f>
        <v>LT0PBK01RUYP1</v>
      </c>
      <c r="F865" s="238" t="str">
        <f>IFERROR(__xludf.DUMMYFUNCTION("""COMPUTED_VALUE"""),"FWF3044")</f>
        <v>FWF3044</v>
      </c>
      <c r="G865" s="238">
        <f>IFERROR(__xludf.DUMMYFUNCTION("""COMPUTED_VALUE"""),45981.9375)</f>
        <v>45981.9375</v>
      </c>
      <c r="H865" s="238">
        <f>IFERROR(__xludf.DUMMYFUNCTION("""COMPUTED_VALUE"""),45982.02083333333)</f>
        <v>45982.02083</v>
      </c>
      <c r="I865" s="237" t="str">
        <f t="shared" si="1"/>
        <v>Fora</v>
      </c>
      <c r="J865" s="239">
        <v>118.99999998975545</v>
      </c>
    </row>
    <row r="866">
      <c r="A866" s="234" t="s">
        <v>2560</v>
      </c>
      <c r="B866" s="234" t="str">
        <f>IFERROR(__xludf.DUMMYFUNCTION("""COMPUTED_VALUE"""),"LM Hub_SP_Piracicaba")</f>
        <v>LM Hub_SP_Piracicaba</v>
      </c>
      <c r="C866" s="234" t="str">
        <f>IFERROR(__xludf.DUMMYFUNCTION("""COMPUTED_VALUE"""),"HUB-LSP-62")</f>
        <v>HUB-LSP-62</v>
      </c>
      <c r="D866" s="234">
        <f>IFERROR(__xludf.DUMMYFUNCTION("""COMPUTED_VALUE"""),13.0)</f>
        <v>13</v>
      </c>
      <c r="E866" s="237" t="str">
        <f>IFERROR(__xludf.DUMMYFUNCTION("""COMPUTED_VALUE"""),"LT0PBK01RVNU1")</f>
        <v>LT0PBK01RVNU1</v>
      </c>
      <c r="F866" s="238" t="str">
        <f>IFERROR(__xludf.DUMMYFUNCTION("""COMPUTED_VALUE"""),"EOF4D32")</f>
        <v>EOF4D32</v>
      </c>
      <c r="G866" s="238">
        <f>IFERROR(__xludf.DUMMYFUNCTION("""COMPUTED_VALUE"""),45981.93819444445)</f>
        <v>45981.93819</v>
      </c>
      <c r="H866" s="238">
        <f>IFERROR(__xludf.DUMMYFUNCTION("""COMPUTED_VALUE"""),45982.02083333333)</f>
        <v>45982.02083</v>
      </c>
      <c r="I866" s="237" t="str">
        <f t="shared" si="1"/>
        <v>Fora</v>
      </c>
      <c r="J866" s="239">
        <v>118.99999998975545</v>
      </c>
    </row>
    <row r="867">
      <c r="A867" s="234" t="s">
        <v>2561</v>
      </c>
      <c r="B867" s="234" t="str">
        <f>IFERROR(__xludf.DUMMYFUNCTION("""COMPUTED_VALUE"""),"LM Hub_SP_VilaGuilherme")</f>
        <v>LM Hub_SP_VilaGuilherme</v>
      </c>
      <c r="C867" s="234" t="str">
        <f>IFERROR(__xludf.DUMMYFUNCTION("""COMPUTED_VALUE"""),"HUB-LSP-68")</f>
        <v>HUB-LSP-68</v>
      </c>
      <c r="D867" s="234"/>
      <c r="E867" s="237" t="str">
        <f>IFERROR(__xludf.DUMMYFUNCTION("""COMPUTED_VALUE"""),"LT0PBK01S3T61")</f>
        <v>LT0PBK01S3T61</v>
      </c>
      <c r="F867" s="238" t="str">
        <f>IFERROR(__xludf.DUMMYFUNCTION("""COMPUTED_VALUE"""),"HFD4H27,JXG9745")</f>
        <v>HFD4H27,JXG9745</v>
      </c>
      <c r="G867" s="238">
        <f>IFERROR(__xludf.DUMMYFUNCTION("""COMPUTED_VALUE"""),45981.93819444445)</f>
        <v>45981.93819</v>
      </c>
      <c r="H867" s="238">
        <f>IFERROR(__xludf.DUMMYFUNCTION("""COMPUTED_VALUE"""),45982.02083333333)</f>
        <v>45982.02083</v>
      </c>
      <c r="I867" s="237" t="str">
        <f t="shared" si="1"/>
        <v>Fora</v>
      </c>
      <c r="J867" s="239">
        <v>120.00000001396984</v>
      </c>
    </row>
    <row r="868">
      <c r="A868" s="234" t="s">
        <v>2562</v>
      </c>
      <c r="B868" s="234" t="str">
        <f>IFERROR(__xludf.DUMMYFUNCTION("""COMPUTED_VALUE"""),"LM Hub_SP_Mogi Mirim")</f>
        <v>LM Hub_SP_Mogi Mirim</v>
      </c>
      <c r="C868" s="234" t="str">
        <f>IFERROR(__xludf.DUMMYFUNCTION("""COMPUTED_VALUE"""),"HUB-LSP-37")</f>
        <v>HUB-LSP-37</v>
      </c>
      <c r="D868" s="234">
        <f>IFERROR(__xludf.DUMMYFUNCTION("""COMPUTED_VALUE"""),40.0)</f>
        <v>40</v>
      </c>
      <c r="E868" s="237" t="str">
        <f>IFERROR(__xludf.DUMMYFUNCTION("""COMPUTED_VALUE"""),"LT0PBK01RV2P1")</f>
        <v>LT0PBK01RV2P1</v>
      </c>
      <c r="F868" s="238" t="str">
        <f>IFERROR(__xludf.DUMMYFUNCTION("""COMPUTED_VALUE"""),"FQV7E24,EFU9D57")</f>
        <v>FQV7E24,EFU9D57</v>
      </c>
      <c r="G868" s="238">
        <f>IFERROR(__xludf.DUMMYFUNCTION("""COMPUTED_VALUE"""),45981.95833333333)</f>
        <v>45981.95833</v>
      </c>
      <c r="H868" s="238">
        <f>IFERROR(__xludf.DUMMYFUNCTION("""COMPUTED_VALUE"""),45982.04166666667)</f>
        <v>45982.04167</v>
      </c>
      <c r="I868" s="237" t="str">
        <f t="shared" si="1"/>
        <v>Fora</v>
      </c>
      <c r="J868" s="239">
        <v>119.99999999301508</v>
      </c>
    </row>
    <row r="869">
      <c r="A869" s="234" t="s">
        <v>2563</v>
      </c>
      <c r="B869" s="234" t="str">
        <f>IFERROR(__xludf.DUMMYFUNCTION("""COMPUTED_VALUE"""),"LM Hub_SP_Araraquara")</f>
        <v>LM Hub_SP_Araraquara</v>
      </c>
      <c r="C869" s="234" t="str">
        <f>IFERROR(__xludf.DUMMYFUNCTION("""COMPUTED_VALUE"""),"HUB-LSP-29")</f>
        <v>HUB-LSP-29</v>
      </c>
      <c r="D869" s="234">
        <f>IFERROR(__xludf.DUMMYFUNCTION("""COMPUTED_VALUE"""),12.0)</f>
        <v>12</v>
      </c>
      <c r="E869" s="237" t="str">
        <f>IFERROR(__xludf.DUMMYFUNCTION("""COMPUTED_VALUE"""),"LT0PBK01RV2U1")</f>
        <v>LT0PBK01RV2U1</v>
      </c>
      <c r="F869" s="238" t="str">
        <f>IFERROR(__xludf.DUMMYFUNCTION("""COMPUTED_VALUE"""),"EWJ2H21")</f>
        <v>EWJ2H21</v>
      </c>
      <c r="G869" s="238">
        <f>IFERROR(__xludf.DUMMYFUNCTION("""COMPUTED_VALUE"""),45981.97916666667)</f>
        <v>45981.97917</v>
      </c>
      <c r="H869" s="238">
        <f>IFERROR(__xludf.DUMMYFUNCTION("""COMPUTED_VALUE"""),45982.0625)</f>
        <v>45982.0625</v>
      </c>
      <c r="I869" s="237" t="str">
        <f t="shared" si="1"/>
        <v>Fora</v>
      </c>
      <c r="J869" s="239">
        <v>119.99999999301508</v>
      </c>
    </row>
    <row r="870">
      <c r="A870" s="234" t="s">
        <v>2564</v>
      </c>
      <c r="B870" s="234" t="str">
        <f>IFERROR(__xludf.DUMMYFUNCTION("""COMPUTED_VALUE"""),"LM Hub_SP_Atibaia_Ponte_Alta")</f>
        <v>LM Hub_SP_Atibaia_Ponte_Alta</v>
      </c>
      <c r="C870" s="234" t="str">
        <f>IFERROR(__xludf.DUMMYFUNCTION("""COMPUTED_VALUE"""),"HUB-LSP-87")</f>
        <v>HUB-LSP-87</v>
      </c>
      <c r="D870" s="234">
        <f>IFERROR(__xludf.DUMMYFUNCTION("""COMPUTED_VALUE"""),7.0)</f>
        <v>7</v>
      </c>
      <c r="E870" s="237" t="str">
        <f>IFERROR(__xludf.DUMMYFUNCTION("""COMPUTED_VALUE"""),"LT0PBK01RYX51")</f>
        <v>LT0PBK01RYX51</v>
      </c>
      <c r="F870" s="238" t="str">
        <f>IFERROR(__xludf.DUMMYFUNCTION("""COMPUTED_VALUE"""),"UGN4B10")</f>
        <v>UGN4B10</v>
      </c>
      <c r="G870" s="238">
        <f>IFERROR(__xludf.DUMMYFUNCTION("""COMPUTED_VALUE"""),45981.97916666667)</f>
        <v>45981.97917</v>
      </c>
      <c r="H870" s="238">
        <f>IFERROR(__xludf.DUMMYFUNCTION("""COMPUTED_VALUE"""),45982.0625)</f>
        <v>45982.0625</v>
      </c>
      <c r="I870" s="237" t="str">
        <f t="shared" si="1"/>
        <v>Fora</v>
      </c>
      <c r="J870" s="239">
        <v>119.99999999301508</v>
      </c>
    </row>
    <row r="871">
      <c r="A871" s="234" t="s">
        <v>2565</v>
      </c>
      <c r="B871" s="234" t="str">
        <f>IFERROR(__xludf.DUMMYFUNCTION("""COMPUTED_VALUE"""),"LM Hub_SP_Jundiaí")</f>
        <v>LM Hub_SP_Jundiaí</v>
      </c>
      <c r="C871" s="234" t="str">
        <f>IFERROR(__xludf.DUMMYFUNCTION("""COMPUTED_VALUE"""),"HUB-LSP-20")</f>
        <v>HUB-LSP-20</v>
      </c>
      <c r="D871" s="234">
        <f>IFERROR(__xludf.DUMMYFUNCTION("""COMPUTED_VALUE"""),6.0)</f>
        <v>6</v>
      </c>
      <c r="E871" s="237" t="str">
        <f>IFERROR(__xludf.DUMMYFUNCTION("""COMPUTED_VALUE"""),"LT0PBK01RV351")</f>
        <v>LT0PBK01RV351</v>
      </c>
      <c r="F871" s="238" t="str">
        <f>IFERROR(__xludf.DUMMYFUNCTION("""COMPUTED_VALUE"""),"BZV6J05")</f>
        <v>BZV6J05</v>
      </c>
      <c r="G871" s="238">
        <f>IFERROR(__xludf.DUMMYFUNCTION("""COMPUTED_VALUE"""),45981.97916666667)</f>
        <v>45981.97917</v>
      </c>
      <c r="H871" s="238">
        <f>IFERROR(__xludf.DUMMYFUNCTION("""COMPUTED_VALUE"""),45982.0625)</f>
        <v>45982.0625</v>
      </c>
      <c r="I871" s="237" t="str">
        <f t="shared" si="1"/>
        <v>Fora</v>
      </c>
      <c r="J871" s="239">
        <v>119.00000000023283</v>
      </c>
    </row>
    <row r="872">
      <c r="A872" s="234" t="s">
        <v>2566</v>
      </c>
      <c r="B872" s="234" t="str">
        <f>IFERROR(__xludf.DUMMYFUNCTION("""COMPUTED_VALUE"""),"LM Hub_SP_Várzea Paulista")</f>
        <v>LM Hub_SP_Várzea Paulista</v>
      </c>
      <c r="C872" s="234" t="str">
        <f>IFERROR(__xludf.DUMMYFUNCTION("""COMPUTED_VALUE"""),"HUB-LSP-61")</f>
        <v>HUB-LSP-61</v>
      </c>
      <c r="D872" s="234">
        <f>IFERROR(__xludf.DUMMYFUNCTION("""COMPUTED_VALUE"""),15.0)</f>
        <v>15</v>
      </c>
      <c r="E872" s="237" t="str">
        <f>IFERROR(__xludf.DUMMYFUNCTION("""COMPUTED_VALUE"""),"LT0PBK01RV231")</f>
        <v>LT0PBK01RV231</v>
      </c>
      <c r="F872" s="238" t="str">
        <f>IFERROR(__xludf.DUMMYFUNCTION("""COMPUTED_VALUE"""),"MXC1542,OVJ7491")</f>
        <v>MXC1542,OVJ7491</v>
      </c>
      <c r="G872" s="238">
        <f>IFERROR(__xludf.DUMMYFUNCTION("""COMPUTED_VALUE"""),45981.97986111111)</f>
        <v>45981.97986</v>
      </c>
      <c r="H872" s="238">
        <f>IFERROR(__xludf.DUMMYFUNCTION("""COMPUTED_VALUE"""),45982.0625)</f>
        <v>45982.0625</v>
      </c>
      <c r="I872" s="237" t="str">
        <f t="shared" si="1"/>
        <v>Fora</v>
      </c>
      <c r="J872" s="239">
        <v>239.99999998603016</v>
      </c>
    </row>
    <row r="873">
      <c r="A873" s="234" t="s">
        <v>2567</v>
      </c>
      <c r="B873" s="234" t="str">
        <f>IFERROR(__xludf.DUMMYFUNCTION("""COMPUTED_VALUE"""),"SoC_SP_Cravinhos")</f>
        <v>SoC_SP_Cravinhos</v>
      </c>
      <c r="C873" s="234" t="str">
        <f>IFERROR(__xludf.DUMMYFUNCTION("""COMPUTED_VALUE"""),"SOC-SP5")</f>
        <v>SOC-SP5</v>
      </c>
      <c r="D873" s="234">
        <f>IFERROR(__xludf.DUMMYFUNCTION("""COMPUTED_VALUE"""),41.0)</f>
        <v>41</v>
      </c>
      <c r="E873" s="237" t="str">
        <f>IFERROR(__xludf.DUMMYFUNCTION("""COMPUTED_VALUE"""),"LT1PBK01SCBR1")</f>
        <v>LT1PBK01SCBR1</v>
      </c>
      <c r="F873" s="238" t="str">
        <f>IFERROR(__xludf.DUMMYFUNCTION("""COMPUTED_VALUE"""),"EGK6F57,BEM5F57")</f>
        <v>EGK6F57,BEM5F57</v>
      </c>
      <c r="G873" s="238">
        <f>IFERROR(__xludf.DUMMYFUNCTION("""COMPUTED_VALUE"""),45981.91666666667)</f>
        <v>45981.91667</v>
      </c>
      <c r="H873" s="238">
        <f>IFERROR(__xludf.DUMMYFUNCTION("""COMPUTED_VALUE"""),45982.08333333333)</f>
        <v>45982.08333</v>
      </c>
      <c r="I873" s="237" t="str">
        <f t="shared" si="1"/>
        <v>Fora</v>
      </c>
      <c r="J873" s="239">
        <v>240.00000000698492</v>
      </c>
    </row>
    <row r="874">
      <c r="A874" s="234" t="s">
        <v>2568</v>
      </c>
      <c r="B874" s="234" t="str">
        <f>IFERROR(__xludf.DUMMYFUNCTION("""COMPUTED_VALUE"""),"SoC_RJ_Duque de Caxias")</f>
        <v>SoC_RJ_Duque de Caxias</v>
      </c>
      <c r="C874" s="234" t="str">
        <f>IFERROR(__xludf.DUMMYFUNCTION("""COMPUTED_VALUE"""),"SOC-RJ2")</f>
        <v>SOC-RJ2</v>
      </c>
      <c r="D874" s="234">
        <f>IFERROR(__xludf.DUMMYFUNCTION("""COMPUTED_VALUE"""),7.0)</f>
        <v>7</v>
      </c>
      <c r="E874" s="237" t="str">
        <f>IFERROR(__xludf.DUMMYFUNCTION("""COMPUTED_VALUE"""),"LT0PBK01RX7V1")</f>
        <v>LT0PBK01RX7V1</v>
      </c>
      <c r="F874" s="238" t="str">
        <f>IFERROR(__xludf.DUMMYFUNCTION("""COMPUTED_VALUE"""),"HOF1C75,FHH0320")</f>
        <v>HOF1C75,FHH0320</v>
      </c>
      <c r="G874" s="238">
        <f>IFERROR(__xludf.DUMMYFUNCTION("""COMPUTED_VALUE"""),45981.95833333333)</f>
        <v>45981.95833</v>
      </c>
      <c r="H874" s="238">
        <f>IFERROR(__xludf.DUMMYFUNCTION("""COMPUTED_VALUE"""),45982.125)</f>
        <v>45982.125</v>
      </c>
      <c r="I874" s="237" t="str">
        <f t="shared" si="1"/>
        <v>Fora</v>
      </c>
      <c r="J874" s="239">
        <v>119.99999999301508</v>
      </c>
    </row>
    <row r="875">
      <c r="A875" s="234" t="s">
        <v>2569</v>
      </c>
      <c r="B875" s="234" t="str">
        <f>IFERROR(__xludf.DUMMYFUNCTION("""COMPUTED_VALUE"""),"SoC_SC_Itajaí")</f>
        <v>SoC_SC_Itajaí</v>
      </c>
      <c r="C875" s="234" t="str">
        <f>IFERROR(__xludf.DUMMYFUNCTION("""COMPUTED_VALUE"""),"SOC-SC1")</f>
        <v>SOC-SC1</v>
      </c>
      <c r="D875" s="234"/>
      <c r="E875" s="237" t="str">
        <f>IFERROR(__xludf.DUMMYFUNCTION("""COMPUTED_VALUE"""),"LT0PBL01RZMR1")</f>
        <v>LT0PBL01RZMR1</v>
      </c>
      <c r="F875" s="238" t="str">
        <f>IFERROR(__xludf.DUMMYFUNCTION("""COMPUTED_VALUE"""),"TBV9I29,MIX7C03")</f>
        <v>TBV9I29,MIX7C03</v>
      </c>
      <c r="G875" s="238">
        <f>IFERROR(__xludf.DUMMYFUNCTION("""COMPUTED_VALUE"""),45982.04166666667)</f>
        <v>45982.04167</v>
      </c>
      <c r="H875" s="238">
        <f>IFERROR(__xludf.DUMMYFUNCTION("""COMPUTED_VALUE"""),45982.125)</f>
        <v>45982.125</v>
      </c>
      <c r="I875" s="237" t="str">
        <f t="shared" si="1"/>
        <v>Fora</v>
      </c>
      <c r="J875" s="239">
        <v>240.00000000698492</v>
      </c>
    </row>
    <row r="876">
      <c r="A876" s="234" t="s">
        <v>2570</v>
      </c>
      <c r="B876" s="234" t="str">
        <f>IFERROR(__xludf.DUMMYFUNCTION("""COMPUTED_VALUE"""),"SoC_GO_Goiânia_02")</f>
        <v>SoC_GO_Goiânia_02</v>
      </c>
      <c r="C876" s="234" t="str">
        <f>IFERROR(__xludf.DUMMYFUNCTION("""COMPUTED_VALUE"""),"SOC-GO2")</f>
        <v>SOC-GO2</v>
      </c>
      <c r="D876" s="234">
        <f>IFERROR(__xludf.DUMMYFUNCTION("""COMPUTED_VALUE"""),23.0)</f>
        <v>23</v>
      </c>
      <c r="E876" s="237" t="str">
        <f>IFERROR(__xludf.DUMMYFUNCTION("""COMPUTED_VALUE"""),"LT0PBL01S0XD1")</f>
        <v>LT0PBL01S0XD1</v>
      </c>
      <c r="F876" s="238" t="str">
        <f>IFERROR(__xludf.DUMMYFUNCTION("""COMPUTED_VALUE"""),"FTT0B82,EZL3E48")</f>
        <v>FTT0B82,EZL3E48</v>
      </c>
      <c r="G876" s="238">
        <f>IFERROR(__xludf.DUMMYFUNCTION("""COMPUTED_VALUE"""),45982.0)</f>
        <v>45982</v>
      </c>
      <c r="H876" s="238">
        <f>IFERROR(__xludf.DUMMYFUNCTION("""COMPUTED_VALUE"""),45982.16666666667)</f>
        <v>45982.16667</v>
      </c>
      <c r="I876" s="237" t="str">
        <f t="shared" si="1"/>
        <v>Fora</v>
      </c>
      <c r="J876" s="239">
        <v>240.00000000698492</v>
      </c>
    </row>
    <row r="877">
      <c r="A877" s="234" t="s">
        <v>2571</v>
      </c>
      <c r="B877" s="234" t="str">
        <f>IFERROR(__xludf.DUMMYFUNCTION("""COMPUTED_VALUE"""),"SoC_PE_Jaboatão dos Guararapes")</f>
        <v>SoC_PE_Jaboatão dos Guararapes</v>
      </c>
      <c r="C877" s="234" t="str">
        <f>IFERROR(__xludf.DUMMYFUNCTION("""COMPUTED_VALUE"""),"SOC-PE2")</f>
        <v>SOC-PE2</v>
      </c>
      <c r="D877" s="234">
        <f>IFERROR(__xludf.DUMMYFUNCTION("""COMPUTED_VALUE"""),27.0)</f>
        <v>27</v>
      </c>
      <c r="E877" s="237" t="str">
        <f>IFERROR(__xludf.DUMMYFUNCTION("""COMPUTED_VALUE"""),"LT0PBL01S0MD1")</f>
        <v>LT0PBL01S0MD1</v>
      </c>
      <c r="F877" s="238" t="str">
        <f>IFERROR(__xludf.DUMMYFUNCTION("""COMPUTED_VALUE"""),"MIA7G49,SWA7C07")</f>
        <v>MIA7G49,SWA7C07</v>
      </c>
      <c r="G877" s="238">
        <f>IFERROR(__xludf.DUMMYFUNCTION("""COMPUTED_VALUE"""),45982.0)</f>
        <v>45982</v>
      </c>
      <c r="H877" s="238">
        <f>IFERROR(__xludf.DUMMYFUNCTION("""COMPUTED_VALUE"""),45982.16666666667)</f>
        <v>45982.16667</v>
      </c>
      <c r="I877" s="237" t="str">
        <f t="shared" si="1"/>
        <v>Fora</v>
      </c>
      <c r="J877" s="239">
        <v>240.00000000698492</v>
      </c>
    </row>
    <row r="878">
      <c r="A878" s="234" t="s">
        <v>2572</v>
      </c>
      <c r="B878" s="234" t="str">
        <f>IFERROR(__xludf.DUMMYFUNCTION("""COMPUTED_VALUE"""),"SoC_RJ_Duque de Caxias")</f>
        <v>SoC_RJ_Duque de Caxias</v>
      </c>
      <c r="C878" s="234" t="str">
        <f>IFERROR(__xludf.DUMMYFUNCTION("""COMPUTED_VALUE"""),"SOC-RJ2")</f>
        <v>SOC-RJ2</v>
      </c>
      <c r="D878" s="234">
        <f>IFERROR(__xludf.DUMMYFUNCTION("""COMPUTED_VALUE"""),5.0)</f>
        <v>5</v>
      </c>
      <c r="E878" s="237" t="str">
        <f>IFERROR(__xludf.DUMMYFUNCTION("""COMPUTED_VALUE"""),"LT0PBL01RX6Q1")</f>
        <v>LT0PBL01RX6Q1</v>
      </c>
      <c r="F878" s="238" t="str">
        <f>IFERROR(__xludf.DUMMYFUNCTION("""COMPUTED_VALUE"""),"FFD7D29,EZE0860")</f>
        <v>FFD7D29,EZE0860</v>
      </c>
      <c r="G878" s="238">
        <f>IFERROR(__xludf.DUMMYFUNCTION("""COMPUTED_VALUE"""),45982.0)</f>
        <v>45982</v>
      </c>
      <c r="H878" s="238">
        <f>IFERROR(__xludf.DUMMYFUNCTION("""COMPUTED_VALUE"""),45982.16666666667)</f>
        <v>45982.16667</v>
      </c>
      <c r="I878" s="237" t="str">
        <f t="shared" si="1"/>
        <v>Fora</v>
      </c>
      <c r="J878" s="239">
        <v>239.0000000037253</v>
      </c>
    </row>
    <row r="879">
      <c r="A879" s="234" t="s">
        <v>2573</v>
      </c>
      <c r="B879" s="234" t="str">
        <f>IFERROR(__xludf.DUMMYFUNCTION("""COMPUTED_VALUE"""),"SoC_MG_Betim")</f>
        <v>SoC_MG_Betim</v>
      </c>
      <c r="C879" s="234" t="str">
        <f>IFERROR(__xludf.DUMMYFUNCTION("""COMPUTED_VALUE"""),"SOC-MG2")</f>
        <v>SOC-MG2</v>
      </c>
      <c r="D879" s="234">
        <f>IFERROR(__xludf.DUMMYFUNCTION("""COMPUTED_VALUE"""),38.0)</f>
        <v>38</v>
      </c>
      <c r="E879" s="237" t="str">
        <f>IFERROR(__xludf.DUMMYFUNCTION("""COMPUTED_VALUE"""),"LT0PBL01S3S31")</f>
        <v>LT0PBL01S3S31</v>
      </c>
      <c r="F879" s="238" t="str">
        <f>IFERROR(__xludf.DUMMYFUNCTION("""COMPUTED_VALUE"""),"QPH1950,TEV2F88")</f>
        <v>QPH1950,TEV2F88</v>
      </c>
      <c r="G879" s="238">
        <f>IFERROR(__xludf.DUMMYFUNCTION("""COMPUTED_VALUE"""),45982.00069444445)</f>
        <v>45982.00069</v>
      </c>
      <c r="H879" s="238">
        <f>IFERROR(__xludf.DUMMYFUNCTION("""COMPUTED_VALUE"""),45982.16666666667)</f>
        <v>45982.16667</v>
      </c>
      <c r="I879" s="237" t="str">
        <f t="shared" si="1"/>
        <v>Fora</v>
      </c>
      <c r="J879" s="239">
        <v>120.00000001396984</v>
      </c>
    </row>
    <row r="880">
      <c r="A880" s="244" t="s">
        <v>2574</v>
      </c>
      <c r="B880" s="234" t="str">
        <f>IFERROR(__xludf.DUMMYFUNCTION("""COMPUTED_VALUE"""),"LM Hub_SP_Guarulhos")</f>
        <v>LM Hub_SP_Guarulhos</v>
      </c>
      <c r="C880" s="234" t="str">
        <f>IFERROR(__xludf.DUMMYFUNCTION("""COMPUTED_VALUE"""),"HUB-LSP-77")</f>
        <v>HUB-LSP-77</v>
      </c>
      <c r="D880" s="234"/>
      <c r="E880" s="245" t="str">
        <f>IFERROR(__xludf.DUMMYFUNCTION("""COMPUTED_VALUE"""),"LT1PBL01SMVM1")</f>
        <v>LT1PBL01SMVM1</v>
      </c>
      <c r="F880" s="238" t="str">
        <f>IFERROR(__xludf.DUMMYFUNCTION("""COMPUTED_VALUE"""),"ELV2E66,GGU9A91")</f>
        <v>ELV2E66,GGU9A91</v>
      </c>
      <c r="G880" s="238">
        <f>IFERROR(__xludf.DUMMYFUNCTION("""COMPUTED_VALUE"""),45982.08333333333)</f>
        <v>45982.08333</v>
      </c>
      <c r="H880" s="238">
        <f>IFERROR(__xludf.DUMMYFUNCTION("""COMPUTED_VALUE"""),45982.16666666667)</f>
        <v>45982.16667</v>
      </c>
      <c r="I880" s="237" t="str">
        <f t="shared" si="1"/>
        <v>Fora</v>
      </c>
      <c r="J880" s="239">
        <v>120.00000001396984</v>
      </c>
    </row>
    <row r="881">
      <c r="A881" s="234" t="s">
        <v>2575</v>
      </c>
      <c r="B881" s="234" t="str">
        <f>IFERROR(__xludf.DUMMYFUNCTION("""COMPUTED_VALUE"""),"LM Hub_SP_Tatuí")</f>
        <v>LM Hub_SP_Tatuí</v>
      </c>
      <c r="C881" s="234" t="str">
        <f>IFERROR(__xludf.DUMMYFUNCTION("""COMPUTED_VALUE"""),"HUB-LSP-51")</f>
        <v>HUB-LSP-51</v>
      </c>
      <c r="D881" s="234">
        <f>IFERROR(__xludf.DUMMYFUNCTION("""COMPUTED_VALUE"""),13.0)</f>
        <v>13</v>
      </c>
      <c r="E881" s="237" t="str">
        <f>IFERROR(__xludf.DUMMYFUNCTION("""COMPUTED_VALUE"""),"LT0PBL01RUZP1")</f>
        <v>LT0PBL01RUZP1</v>
      </c>
      <c r="F881" s="238" t="str">
        <f>IFERROR(__xludf.DUMMYFUNCTION("""COMPUTED_VALUE"""),"FLO1G76")</f>
        <v>FLO1G76</v>
      </c>
      <c r="G881" s="238">
        <f>IFERROR(__xludf.DUMMYFUNCTION("""COMPUTED_VALUE"""),45982.08333333333)</f>
        <v>45982.08333</v>
      </c>
      <c r="H881" s="238">
        <f>IFERROR(__xludf.DUMMYFUNCTION("""COMPUTED_VALUE"""),45982.16666666667)</f>
        <v>45982.16667</v>
      </c>
      <c r="I881" s="237" t="str">
        <f t="shared" si="1"/>
        <v>Fora</v>
      </c>
      <c r="J881" s="239">
        <v>120.00000001396984</v>
      </c>
    </row>
    <row r="882">
      <c r="A882" s="234" t="s">
        <v>2576</v>
      </c>
      <c r="B882" s="234" t="str">
        <f>IFERROR(__xludf.DUMMYFUNCTION("""COMPUTED_VALUE"""),"SoC_MG_Betim")</f>
        <v>SoC_MG_Betim</v>
      </c>
      <c r="C882" s="234" t="str">
        <f>IFERROR(__xludf.DUMMYFUNCTION("""COMPUTED_VALUE"""),"SOC-MG2")</f>
        <v>SOC-MG2</v>
      </c>
      <c r="D882" s="234"/>
      <c r="E882" s="237" t="str">
        <f>IFERROR(__xludf.DUMMYFUNCTION("""COMPUTED_VALUE"""),"LT0PBL01RUUN1")</f>
        <v>LT0PBL01RUUN1</v>
      </c>
      <c r="F882" s="238" t="str">
        <f>IFERROR(__xludf.DUMMYFUNCTION("""COMPUTED_VALUE"""),"SUQ0C67,RXL8B09")</f>
        <v>SUQ0C67,RXL8B09</v>
      </c>
      <c r="G882" s="238">
        <f>IFERROR(__xludf.DUMMYFUNCTION("""COMPUTED_VALUE"""),45982.08333333333)</f>
        <v>45982.08333</v>
      </c>
      <c r="H882" s="238">
        <f>IFERROR(__xludf.DUMMYFUNCTION("""COMPUTED_VALUE"""),45982.16666666667)</f>
        <v>45982.16667</v>
      </c>
      <c r="I882" s="237" t="str">
        <f t="shared" si="1"/>
        <v>Fora</v>
      </c>
      <c r="J882" s="239">
        <v>120.00000001396984</v>
      </c>
    </row>
    <row r="883">
      <c r="A883" s="234" t="s">
        <v>2577</v>
      </c>
      <c r="B883" s="234" t="str">
        <f>IFERROR(__xludf.DUMMYFUNCTION("""COMPUTED_VALUE"""),"SoC_SP_Cravinhos")</f>
        <v>SoC_SP_Cravinhos</v>
      </c>
      <c r="C883" s="234" t="str">
        <f>IFERROR(__xludf.DUMMYFUNCTION("""COMPUTED_VALUE"""),"SOC-SP5")</f>
        <v>SOC-SP5</v>
      </c>
      <c r="D883" s="234"/>
      <c r="E883" s="237" t="str">
        <f>IFERROR(__xludf.DUMMYFUNCTION("""COMPUTED_VALUE"""),"LT0PBL01RUWD1")</f>
        <v>LT0PBL01RUWD1</v>
      </c>
      <c r="F883" s="238" t="str">
        <f>IFERROR(__xludf.DUMMYFUNCTION("""COMPUTED_VALUE"""),"DPC2J62,GXM8E60")</f>
        <v>DPC2J62,GXM8E60</v>
      </c>
      <c r="G883" s="238">
        <f>IFERROR(__xludf.DUMMYFUNCTION("""COMPUTED_VALUE"""),45982.08333333333)</f>
        <v>45982.08333</v>
      </c>
      <c r="H883" s="238">
        <f>IFERROR(__xludf.DUMMYFUNCTION("""COMPUTED_VALUE"""),45982.16666666667)</f>
        <v>45982.16667</v>
      </c>
      <c r="I883" s="237" t="str">
        <f t="shared" si="1"/>
        <v>Fora</v>
      </c>
      <c r="J883" s="239">
        <v>120.00000001396984</v>
      </c>
    </row>
    <row r="884">
      <c r="A884" s="234" t="s">
        <v>2578</v>
      </c>
      <c r="B884" s="234" t="str">
        <f>IFERROR(__xludf.DUMMYFUNCTION("""COMPUTED_VALUE"""),"SoC_SP_Guarulhos")</f>
        <v>SoC_SP_Guarulhos</v>
      </c>
      <c r="C884" s="234" t="str">
        <f>IFERROR(__xludf.DUMMYFUNCTION("""COMPUTED_VALUE"""),"SOC-SP6")</f>
        <v>SOC-SP6</v>
      </c>
      <c r="D884" s="234"/>
      <c r="E884" s="237" t="str">
        <f>IFERROR(__xludf.DUMMYFUNCTION("""COMPUTED_VALUE"""),"LT1PBL01SCBT1")</f>
        <v>LT1PBL01SCBT1</v>
      </c>
      <c r="F884" s="238" t="str">
        <f>IFERROR(__xludf.DUMMYFUNCTION("""COMPUTED_VALUE"""),"ELV2E66,GGU9A91")</f>
        <v>ELV2E66,GGU9A91</v>
      </c>
      <c r="G884" s="238">
        <f>IFERROR(__xludf.DUMMYFUNCTION("""COMPUTED_VALUE"""),45982.08333333333)</f>
        <v>45982.08333</v>
      </c>
      <c r="H884" s="238">
        <f>IFERROR(__xludf.DUMMYFUNCTION("""COMPUTED_VALUE"""),45982.16666666667)</f>
        <v>45982.16667</v>
      </c>
      <c r="I884" s="237" t="str">
        <f t="shared" si="1"/>
        <v>Fora</v>
      </c>
      <c r="J884" s="239">
        <v>120.00000001396984</v>
      </c>
    </row>
    <row r="885">
      <c r="A885" s="234" t="s">
        <v>2579</v>
      </c>
      <c r="B885" s="234" t="str">
        <f>IFERROR(__xludf.DUMMYFUNCTION("""COMPUTED_VALUE"""),"SoC_SP_Santana")</f>
        <v>SoC_SP_Santana</v>
      </c>
      <c r="C885" s="234" t="str">
        <f>IFERROR(__xludf.DUMMYFUNCTION("""COMPUTED_VALUE"""),"SOC-SP2")</f>
        <v>SOC-SP2</v>
      </c>
      <c r="D885" s="234">
        <f>IFERROR(__xludf.DUMMYFUNCTION("""COMPUTED_VALUE"""),32.0)</f>
        <v>32</v>
      </c>
      <c r="E885" s="237" t="str">
        <f>IFERROR(__xludf.DUMMYFUNCTION("""COMPUTED_VALUE"""),"LT0PBL01RVFG1")</f>
        <v>LT0PBL01RVFG1</v>
      </c>
      <c r="F885" s="238" t="str">
        <f>IFERROR(__xludf.DUMMYFUNCTION("""COMPUTED_VALUE"""),"SWJ9C53")</f>
        <v>SWJ9C53</v>
      </c>
      <c r="G885" s="238">
        <f>IFERROR(__xludf.DUMMYFUNCTION("""COMPUTED_VALUE"""),45982.08333333333)</f>
        <v>45982.08333</v>
      </c>
      <c r="H885" s="238">
        <f>IFERROR(__xludf.DUMMYFUNCTION("""COMPUTED_VALUE"""),45982.16666666667)</f>
        <v>45982.16667</v>
      </c>
      <c r="I885" s="237" t="str">
        <f t="shared" si="1"/>
        <v>Fora</v>
      </c>
      <c r="J885" s="239">
        <v>120.00000001396984</v>
      </c>
    </row>
    <row r="886">
      <c r="A886" s="234" t="s">
        <v>2580</v>
      </c>
      <c r="B886" s="234" t="str">
        <f>IFERROR(__xludf.DUMMYFUNCTION("""COMPUTED_VALUE"""),"SoC_SP_Santana")</f>
        <v>SoC_SP_Santana</v>
      </c>
      <c r="C886" s="234" t="str">
        <f>IFERROR(__xludf.DUMMYFUNCTION("""COMPUTED_VALUE"""),"SOC-SP2")</f>
        <v>SOC-SP2</v>
      </c>
      <c r="D886" s="234"/>
      <c r="E886" s="237" t="str">
        <f>IFERROR(__xludf.DUMMYFUNCTION("""COMPUTED_VALUE"""),"LT1PBL01SDJ41")</f>
        <v>LT1PBL01SDJ41</v>
      </c>
      <c r="F886" s="234"/>
      <c r="G886" s="238">
        <f>IFERROR(__xludf.DUMMYFUNCTION("""COMPUTED_VALUE"""),45982.08333333333)</f>
        <v>45982.08333</v>
      </c>
      <c r="H886" s="238">
        <f>IFERROR(__xludf.DUMMYFUNCTION("""COMPUTED_VALUE"""),45982.16666666667)</f>
        <v>45982.16667</v>
      </c>
      <c r="I886" s="237" t="str">
        <f t="shared" si="1"/>
        <v>Fora</v>
      </c>
      <c r="J886" s="239">
        <v>119.99999999301508</v>
      </c>
    </row>
    <row r="887">
      <c r="A887" s="234" t="s">
        <v>2581</v>
      </c>
      <c r="B887" s="234" t="str">
        <f>IFERROR(__xludf.DUMMYFUNCTION("""COMPUTED_VALUE"""),"LM Hub_MG_Varginha_Fausto")</f>
        <v>LM Hub_MG_Varginha_Fausto</v>
      </c>
      <c r="C887" s="234" t="str">
        <f>IFERROR(__xludf.DUMMYFUNCTION("""COMPUTED_VALUE"""),"HUB-LMG-45")</f>
        <v>HUB-LMG-45</v>
      </c>
      <c r="D887" s="234">
        <f>IFERROR(__xludf.DUMMYFUNCTION("""COMPUTED_VALUE"""),29.0)</f>
        <v>29</v>
      </c>
      <c r="E887" s="237" t="str">
        <f>IFERROR(__xludf.DUMMYFUNCTION("""COMPUTED_VALUE"""),"LT0PBL01S0DQ1")</f>
        <v>LT0PBL01S0DQ1</v>
      </c>
      <c r="F887" s="238" t="str">
        <f>IFERROR(__xludf.DUMMYFUNCTION("""COMPUTED_VALUE"""),"SVZ3D32")</f>
        <v>SVZ3D32</v>
      </c>
      <c r="G887" s="238">
        <f>IFERROR(__xludf.DUMMYFUNCTION("""COMPUTED_VALUE"""),45982.10416666667)</f>
        <v>45982.10417</v>
      </c>
      <c r="H887" s="238">
        <f>IFERROR(__xludf.DUMMYFUNCTION("""COMPUTED_VALUE"""),45982.1875)</f>
        <v>45982.1875</v>
      </c>
      <c r="I887" s="237" t="str">
        <f t="shared" si="1"/>
        <v>Fora</v>
      </c>
      <c r="J887" s="239">
        <v>119.99999999301508</v>
      </c>
    </row>
    <row r="888">
      <c r="A888" s="234" t="s">
        <v>2582</v>
      </c>
      <c r="B888" s="234" t="str">
        <f>IFERROR(__xludf.DUMMYFUNCTION("""COMPUTED_VALUE"""),"LM Hub_SP_Itapetininga")</f>
        <v>LM Hub_SP_Itapetininga</v>
      </c>
      <c r="C888" s="234" t="str">
        <f>IFERROR(__xludf.DUMMYFUNCTION("""COMPUTED_VALUE"""),"HUB-LSP-53")</f>
        <v>HUB-LSP-53</v>
      </c>
      <c r="D888" s="234">
        <f>IFERROR(__xludf.DUMMYFUNCTION("""COMPUTED_VALUE"""),12.0)</f>
        <v>12</v>
      </c>
      <c r="E888" s="237" t="str">
        <f>IFERROR(__xludf.DUMMYFUNCTION("""COMPUTED_VALUE"""),"LT0PBL01RUZK1")</f>
        <v>LT0PBL01RUZK1</v>
      </c>
      <c r="F888" s="238" t="str">
        <f>IFERROR(__xludf.DUMMYFUNCTION("""COMPUTED_VALUE"""),"FZY3F48")</f>
        <v>FZY3F48</v>
      </c>
      <c r="G888" s="238">
        <f>IFERROR(__xludf.DUMMYFUNCTION("""COMPUTED_VALUE"""),45982.10416666667)</f>
        <v>45982.10417</v>
      </c>
      <c r="H888" s="238">
        <f>IFERROR(__xludf.DUMMYFUNCTION("""COMPUTED_VALUE"""),45982.1875)</f>
        <v>45982.1875</v>
      </c>
      <c r="I888" s="237" t="str">
        <f t="shared" si="1"/>
        <v>Fora</v>
      </c>
      <c r="J888" s="239">
        <v>119.99999999301508</v>
      </c>
    </row>
    <row r="889">
      <c r="A889" s="234" t="s">
        <v>2583</v>
      </c>
      <c r="B889" s="234" t="str">
        <f>IFERROR(__xludf.DUMMYFUNCTION("""COMPUTED_VALUE"""),"LM Hub_SP_São Carlos")</f>
        <v>LM Hub_SP_São Carlos</v>
      </c>
      <c r="C889" s="234" t="str">
        <f>IFERROR(__xludf.DUMMYFUNCTION("""COMPUTED_VALUE"""),"HUB-LSP-31")</f>
        <v>HUB-LSP-31</v>
      </c>
      <c r="D889" s="234">
        <f>IFERROR(__xludf.DUMMYFUNCTION("""COMPUTED_VALUE"""),9.0)</f>
        <v>9</v>
      </c>
      <c r="E889" s="237" t="str">
        <f>IFERROR(__xludf.DUMMYFUNCTION("""COMPUTED_VALUE"""),"LT0PBL01RV2E1")</f>
        <v>LT0PBL01RV2E1</v>
      </c>
      <c r="F889" s="238" t="str">
        <f>IFERROR(__xludf.DUMMYFUNCTION("""COMPUTED_VALUE"""),"FZQ1I50")</f>
        <v>FZQ1I50</v>
      </c>
      <c r="G889" s="238">
        <f>IFERROR(__xludf.DUMMYFUNCTION("""COMPUTED_VALUE"""),45982.10416666667)</f>
        <v>45982.10417</v>
      </c>
      <c r="H889" s="238">
        <f>IFERROR(__xludf.DUMMYFUNCTION("""COMPUTED_VALUE"""),45982.1875)</f>
        <v>45982.1875</v>
      </c>
      <c r="I889" s="237" t="str">
        <f t="shared" si="1"/>
        <v>Fora</v>
      </c>
      <c r="J889" s="239">
        <v>299.9999999930151</v>
      </c>
    </row>
    <row r="890">
      <c r="A890" s="234" t="s">
        <v>2584</v>
      </c>
      <c r="B890" s="234" t="str">
        <f>IFERROR(__xludf.DUMMYFUNCTION("""COMPUTED_VALUE"""),"SoC_PR_Curitiba")</f>
        <v>SoC_PR_Curitiba</v>
      </c>
      <c r="C890" s="234" t="str">
        <f>IFERROR(__xludf.DUMMYFUNCTION("""COMPUTED_VALUE"""),"SOC-PR1")</f>
        <v>SOC-PR1</v>
      </c>
      <c r="D890" s="234">
        <f>IFERROR(__xludf.DUMMYFUNCTION("""COMPUTED_VALUE"""),46.0)</f>
        <v>46</v>
      </c>
      <c r="E890" s="237" t="str">
        <f>IFERROR(__xludf.DUMMYFUNCTION("""COMPUTED_VALUE"""),"LT0PBL01RUVP1")</f>
        <v>LT0PBL01RUVP1</v>
      </c>
      <c r="F890" s="238" t="str">
        <f>IFERROR(__xludf.DUMMYFUNCTION("""COMPUTED_VALUE"""),"SDW9F26,RYZ1B89")</f>
        <v>SDW9F26,RYZ1B89</v>
      </c>
      <c r="G890" s="238">
        <f>IFERROR(__xludf.DUMMYFUNCTION("""COMPUTED_VALUE"""),45982.0)</f>
        <v>45982</v>
      </c>
      <c r="H890" s="238">
        <f>IFERROR(__xludf.DUMMYFUNCTION("""COMPUTED_VALUE"""),45982.20833333333)</f>
        <v>45982.20833</v>
      </c>
      <c r="I890" s="237" t="str">
        <f t="shared" si="1"/>
        <v>Fora</v>
      </c>
      <c r="J890" s="239">
        <v>299.9999999930151</v>
      </c>
    </row>
    <row r="891">
      <c r="A891" s="234" t="s">
        <v>2585</v>
      </c>
      <c r="B891" s="234" t="str">
        <f>IFERROR(__xludf.DUMMYFUNCTION("""COMPUTED_VALUE"""),"SoC_SP_Louveira")</f>
        <v>SoC_SP_Louveira</v>
      </c>
      <c r="C891" s="234" t="str">
        <f>IFERROR(__xludf.DUMMYFUNCTION("""COMPUTED_VALUE"""),"SOC-SP7")</f>
        <v>SOC-SP7</v>
      </c>
      <c r="D891" s="234">
        <f>IFERROR(__xludf.DUMMYFUNCTION("""COMPUTED_VALUE"""),35.0)</f>
        <v>35</v>
      </c>
      <c r="E891" s="237" t="str">
        <f>IFERROR(__xludf.DUMMYFUNCTION("""COMPUTED_VALUE"""),"LT0PBL01RUXI1")</f>
        <v>LT0PBL01RUXI1</v>
      </c>
      <c r="F891" s="238" t="str">
        <f>IFERROR(__xludf.DUMMYFUNCTION("""COMPUTED_VALUE"""),"SUQ0C67,RXL8B09")</f>
        <v>SUQ0C67,RXL8B09</v>
      </c>
      <c r="G891" s="238">
        <f>IFERROR(__xludf.DUMMYFUNCTION("""COMPUTED_VALUE"""),45982.0)</f>
        <v>45982</v>
      </c>
      <c r="H891" s="238">
        <f>IFERROR(__xludf.DUMMYFUNCTION("""COMPUTED_VALUE"""),45982.20833333333)</f>
        <v>45982.20833</v>
      </c>
      <c r="I891" s="237" t="str">
        <f t="shared" si="1"/>
        <v>Fora</v>
      </c>
      <c r="J891" s="239">
        <v>297.9999999864958</v>
      </c>
    </row>
    <row r="892">
      <c r="A892" s="234" t="s">
        <v>2586</v>
      </c>
      <c r="B892" s="234" t="str">
        <f>IFERROR(__xludf.DUMMYFUNCTION("""COMPUTED_VALUE"""),"SoC_BA_Simoes Filho")</f>
        <v>SoC_BA_Simoes Filho</v>
      </c>
      <c r="C892" s="234" t="str">
        <f>IFERROR(__xludf.DUMMYFUNCTION("""COMPUTED_VALUE"""),"SOC-BA2")</f>
        <v>SOC-BA2</v>
      </c>
      <c r="D892" s="234">
        <f>IFERROR(__xludf.DUMMYFUNCTION("""COMPUTED_VALUE"""),28.0)</f>
        <v>28</v>
      </c>
      <c r="E892" s="237" t="str">
        <f>IFERROR(__xludf.DUMMYFUNCTION("""COMPUTED_VALUE"""),"LT0PBL01S0Q71")</f>
        <v>LT0PBL01S0Q71</v>
      </c>
      <c r="F892" s="238" t="str">
        <f>IFERROR(__xludf.DUMMYFUNCTION("""COMPUTED_VALUE"""),"TLR2J76,TED4J79")</f>
        <v>TLR2J76,TED4J79</v>
      </c>
      <c r="G892" s="238">
        <f>IFERROR(__xludf.DUMMYFUNCTION("""COMPUTED_VALUE"""),45982.00138888889)</f>
        <v>45982.00139</v>
      </c>
      <c r="H892" s="238">
        <f>IFERROR(__xludf.DUMMYFUNCTION("""COMPUTED_VALUE"""),45982.20833333333)</f>
        <v>45982.20833</v>
      </c>
      <c r="I892" s="237" t="str">
        <f t="shared" si="1"/>
        <v>Fora</v>
      </c>
      <c r="J892" s="239">
        <v>119.99999999301508</v>
      </c>
    </row>
    <row r="893">
      <c r="A893" s="234" t="s">
        <v>2587</v>
      </c>
      <c r="B893" s="234" t="str">
        <f>IFERROR(__xludf.DUMMYFUNCTION("""COMPUTED_VALUE"""),"LM Hub_SP_Itapeva")</f>
        <v>LM Hub_SP_Itapeva</v>
      </c>
      <c r="C893" s="234" t="str">
        <f>IFERROR(__xludf.DUMMYFUNCTION("""COMPUTED_VALUE"""),"HUB-LSP-39")</f>
        <v>HUB-LSP-39</v>
      </c>
      <c r="D893" s="234">
        <f>IFERROR(__xludf.DUMMYFUNCTION("""COMPUTED_VALUE"""),6.0)</f>
        <v>6</v>
      </c>
      <c r="E893" s="237" t="str">
        <f>IFERROR(__xludf.DUMMYFUNCTION("""COMPUTED_VALUE"""),"LT0PBL01RUZU1")</f>
        <v>LT0PBL01RUZU1</v>
      </c>
      <c r="F893" s="238" t="str">
        <f>IFERROR(__xludf.DUMMYFUNCTION("""COMPUTED_VALUE"""),"DTC3E38")</f>
        <v>DTC3E38</v>
      </c>
      <c r="G893" s="238">
        <f>IFERROR(__xludf.DUMMYFUNCTION("""COMPUTED_VALUE"""),45982.125)</f>
        <v>45982.125</v>
      </c>
      <c r="H893" s="238">
        <f>IFERROR(__xludf.DUMMYFUNCTION("""COMPUTED_VALUE"""),45982.20833333333)</f>
        <v>45982.20833</v>
      </c>
      <c r="I893" s="237" t="str">
        <f t="shared" si="1"/>
        <v>Fora</v>
      </c>
      <c r="J893" s="239">
        <v>119.99999999301508</v>
      </c>
    </row>
    <row r="894">
      <c r="A894" s="234" t="s">
        <v>2588</v>
      </c>
      <c r="B894" s="234" t="str">
        <f>IFERROR(__xludf.DUMMYFUNCTION("""COMPUTED_VALUE"""),"LM Hub_SP_Registro")</f>
        <v>LM Hub_SP_Registro</v>
      </c>
      <c r="C894" s="234" t="str">
        <f>IFERROR(__xludf.DUMMYFUNCTION("""COMPUTED_VALUE"""),"HUB-LSP-40")</f>
        <v>HUB-LSP-40</v>
      </c>
      <c r="D894" s="234">
        <f>IFERROR(__xludf.DUMMYFUNCTION("""COMPUTED_VALUE"""),8.0)</f>
        <v>8</v>
      </c>
      <c r="E894" s="237" t="str">
        <f>IFERROR(__xludf.DUMMYFUNCTION("""COMPUTED_VALUE"""),"LT0PBL01RV0F1")</f>
        <v>LT0PBL01RV0F1</v>
      </c>
      <c r="F894" s="238" t="str">
        <f>IFERROR(__xludf.DUMMYFUNCTION("""COMPUTED_VALUE"""),"FSV9B90")</f>
        <v>FSV9B90</v>
      </c>
      <c r="G894" s="238">
        <f>IFERROR(__xludf.DUMMYFUNCTION("""COMPUTED_VALUE"""),45982.125)</f>
        <v>45982.125</v>
      </c>
      <c r="H894" s="238">
        <f>IFERROR(__xludf.DUMMYFUNCTION("""COMPUTED_VALUE"""),45982.20833333333)</f>
        <v>45982.20833</v>
      </c>
      <c r="I894" s="237" t="str">
        <f t="shared" si="1"/>
        <v>Fora</v>
      </c>
      <c r="J894" s="239">
        <v>119.99999999301508</v>
      </c>
    </row>
    <row r="895">
      <c r="A895" s="234" t="s">
        <v>2589</v>
      </c>
      <c r="B895" s="234" t="str">
        <f>IFERROR(__xludf.DUMMYFUNCTION("""COMPUTED_VALUE"""),"LM Hub_SP_Sumaré_Nova Veneza_1")</f>
        <v>LM Hub_SP_Sumaré_Nova Veneza_1</v>
      </c>
      <c r="C895" s="234" t="str">
        <f>IFERROR(__xludf.DUMMYFUNCTION("""COMPUTED_VALUE"""),"HUB-LSP-88")</f>
        <v>HUB-LSP-88</v>
      </c>
      <c r="D895" s="234">
        <f>IFERROR(__xludf.DUMMYFUNCTION("""COMPUTED_VALUE"""),37.0)</f>
        <v>37</v>
      </c>
      <c r="E895" s="237" t="str">
        <f>IFERROR(__xludf.DUMMYFUNCTION("""COMPUTED_VALUE"""),"LT0PBL01S0A11")</f>
        <v>LT0PBL01S0A11</v>
      </c>
      <c r="F895" s="238" t="str">
        <f>IFERROR(__xludf.DUMMYFUNCTION("""COMPUTED_VALUE"""),"SXK6C30")</f>
        <v>SXK6C30</v>
      </c>
      <c r="G895" s="238">
        <f>IFERROR(__xludf.DUMMYFUNCTION("""COMPUTED_VALUE"""),45982.125)</f>
        <v>45982.125</v>
      </c>
      <c r="H895" s="238">
        <f>IFERROR(__xludf.DUMMYFUNCTION("""COMPUTED_VALUE"""),45982.20833333333)</f>
        <v>45982.20833</v>
      </c>
      <c r="I895" s="237" t="str">
        <f t="shared" si="1"/>
        <v>Fora</v>
      </c>
      <c r="J895" s="239">
        <v>119.99999999301508</v>
      </c>
    </row>
    <row r="896">
      <c r="A896" s="234" t="s">
        <v>2590</v>
      </c>
      <c r="B896" s="234" t="str">
        <f>IFERROR(__xludf.DUMMYFUNCTION("""COMPUTED_VALUE"""),"SoC_BA_Simoes Filho")</f>
        <v>SoC_BA_Simoes Filho</v>
      </c>
      <c r="C896" s="234" t="str">
        <f>IFERROR(__xludf.DUMMYFUNCTION("""COMPUTED_VALUE"""),"SOC-BA2")</f>
        <v>SOC-BA2</v>
      </c>
      <c r="D896" s="234">
        <f>IFERROR(__xludf.DUMMYFUNCTION("""COMPUTED_VALUE"""),33.0)</f>
        <v>33</v>
      </c>
      <c r="E896" s="237" t="str">
        <f>IFERROR(__xludf.DUMMYFUNCTION("""COMPUTED_VALUE"""),"LT0PBL01S0Q92")</f>
        <v>LT0PBL01S0Q92</v>
      </c>
      <c r="F896" s="238" t="str">
        <f>IFERROR(__xludf.DUMMYFUNCTION("""COMPUTED_VALUE"""),"GJM9268,SYL2D86")</f>
        <v>GJM9268,SYL2D86</v>
      </c>
      <c r="G896" s="238">
        <f>IFERROR(__xludf.DUMMYFUNCTION("""COMPUTED_VALUE"""),45982.125)</f>
        <v>45982.125</v>
      </c>
      <c r="H896" s="238">
        <f>IFERROR(__xludf.DUMMYFUNCTION("""COMPUTED_VALUE"""),45982.20833333333)</f>
        <v>45982.20833</v>
      </c>
      <c r="I896" s="237" t="str">
        <f t="shared" si="1"/>
        <v>Fora</v>
      </c>
      <c r="J896" s="239">
        <v>119.99999999301508</v>
      </c>
    </row>
    <row r="897">
      <c r="A897" s="234" t="s">
        <v>2591</v>
      </c>
      <c r="B897" s="234" t="str">
        <f>IFERROR(__xludf.DUMMYFUNCTION("""COMPUTED_VALUE"""),"SoC_GO_Goiânia_02")</f>
        <v>SoC_GO_Goiânia_02</v>
      </c>
      <c r="C897" s="234" t="str">
        <f>IFERROR(__xludf.DUMMYFUNCTION("""COMPUTED_VALUE"""),"SOC-GO2")</f>
        <v>SOC-GO2</v>
      </c>
      <c r="D897" s="234"/>
      <c r="E897" s="237" t="str">
        <f>IFERROR(__xludf.DUMMYFUNCTION("""COMPUTED_VALUE"""),"LT0PBL01S0XH1")</f>
        <v>LT0PBL01S0XH1</v>
      </c>
      <c r="F897" s="238" t="str">
        <f>IFERROR(__xludf.DUMMYFUNCTION("""COMPUTED_VALUE"""),"DKI3I03,EWJ0B84")</f>
        <v>DKI3I03,EWJ0B84</v>
      </c>
      <c r="G897" s="238">
        <f>IFERROR(__xludf.DUMMYFUNCTION("""COMPUTED_VALUE"""),45982.125)</f>
        <v>45982.125</v>
      </c>
      <c r="H897" s="238">
        <f>IFERROR(__xludf.DUMMYFUNCTION("""COMPUTED_VALUE"""),45982.20833333333)</f>
        <v>45982.20833</v>
      </c>
      <c r="I897" s="237" t="str">
        <f t="shared" si="1"/>
        <v>Fora</v>
      </c>
      <c r="J897" s="239">
        <v>119.99999999301508</v>
      </c>
    </row>
    <row r="898">
      <c r="A898" s="234" t="s">
        <v>2592</v>
      </c>
      <c r="B898" s="234" t="str">
        <f>IFERROR(__xludf.DUMMYFUNCTION("""COMPUTED_VALUE"""),"SoC_SP_Cravinhos")</f>
        <v>SoC_SP_Cravinhos</v>
      </c>
      <c r="C898" s="234" t="str">
        <f>IFERROR(__xludf.DUMMYFUNCTION("""COMPUTED_VALUE"""),"SOC-SP5")</f>
        <v>SOC-SP5</v>
      </c>
      <c r="D898" s="234">
        <f>IFERROR(__xludf.DUMMYFUNCTION("""COMPUTED_VALUE"""),18.0)</f>
        <v>18</v>
      </c>
      <c r="E898" s="237" t="str">
        <f>IFERROR(__xludf.DUMMYFUNCTION("""COMPUTED_VALUE"""),"LT0PBK01RUXE1")</f>
        <v>LT0PBK01RUXE1</v>
      </c>
      <c r="F898" s="238" t="str">
        <f>IFERROR(__xludf.DUMMYFUNCTION("""COMPUTED_VALUE"""),"FVL6H27,EWJ9F18")</f>
        <v>FVL6H27,EWJ9F18</v>
      </c>
      <c r="G898" s="238">
        <f>IFERROR(__xludf.DUMMYFUNCTION("""COMPUTED_VALUE"""),45982.125)</f>
        <v>45982.125</v>
      </c>
      <c r="H898" s="238">
        <f>IFERROR(__xludf.DUMMYFUNCTION("""COMPUTED_VALUE"""),45982.20833333333)</f>
        <v>45982.20833</v>
      </c>
      <c r="I898" s="237" t="str">
        <f t="shared" si="1"/>
        <v>Fora</v>
      </c>
      <c r="J898" s="239">
        <v>119.99999999301508</v>
      </c>
    </row>
    <row r="899">
      <c r="A899" s="234" t="s">
        <v>2593</v>
      </c>
      <c r="B899" s="234" t="str">
        <f>IFERROR(__xludf.DUMMYFUNCTION("""COMPUTED_VALUE"""),"SoC_SP_Santana")</f>
        <v>SoC_SP_Santana</v>
      </c>
      <c r="C899" s="234" t="str">
        <f>IFERROR(__xludf.DUMMYFUNCTION("""COMPUTED_VALUE"""),"SOC-SP2")</f>
        <v>SOC-SP2</v>
      </c>
      <c r="D899" s="234"/>
      <c r="E899" s="237" t="str">
        <f>IFERROR(__xludf.DUMMYFUNCTION("""COMPUTED_VALUE"""),"LT1PBL01SDLE1")</f>
        <v>LT1PBL01SDLE1</v>
      </c>
      <c r="F899" s="238" t="str">
        <f>IFERROR(__xludf.DUMMYFUNCTION("""COMPUTED_VALUE"""),"SWK5E27")</f>
        <v>SWK5E27</v>
      </c>
      <c r="G899" s="238">
        <f>IFERROR(__xludf.DUMMYFUNCTION("""COMPUTED_VALUE"""),45982.125)</f>
        <v>45982.125</v>
      </c>
      <c r="H899" s="238">
        <f>IFERROR(__xludf.DUMMYFUNCTION("""COMPUTED_VALUE"""),45982.20833333333)</f>
        <v>45982.20833</v>
      </c>
      <c r="I899" s="237" t="str">
        <f t="shared" si="1"/>
        <v>Fora</v>
      </c>
      <c r="J899" s="239">
        <v>118.99999998975545</v>
      </c>
    </row>
    <row r="900">
      <c r="A900" s="234" t="s">
        <v>2594</v>
      </c>
      <c r="B900" s="234" t="str">
        <f>IFERROR(__xludf.DUMMYFUNCTION("""COMPUTED_VALUE"""),"SoC_RS_Gravataí_02")</f>
        <v>SoC_RS_Gravataí_02</v>
      </c>
      <c r="C900" s="234" t="str">
        <f>IFERROR(__xludf.DUMMYFUNCTION("""COMPUTED_VALUE"""),"SOC-RS2")</f>
        <v>SOC-RS2</v>
      </c>
      <c r="D900" s="234">
        <f>IFERROR(__xludf.DUMMYFUNCTION("""COMPUTED_VALUE"""),22.0)</f>
        <v>22</v>
      </c>
      <c r="E900" s="237" t="str">
        <f>IFERROR(__xludf.DUMMYFUNCTION("""COMPUTED_VALUE"""),"LT0PBL01S1101")</f>
        <v>LT0PBL01S1101</v>
      </c>
      <c r="F900" s="238" t="str">
        <f>IFERROR(__xludf.DUMMYFUNCTION("""COMPUTED_VALUE"""),"ENE4F56,JDB2I17")</f>
        <v>ENE4F56,JDB2I17</v>
      </c>
      <c r="G900" s="238">
        <f>IFERROR(__xludf.DUMMYFUNCTION("""COMPUTED_VALUE"""),45982.12569444445)</f>
        <v>45982.12569</v>
      </c>
      <c r="H900" s="238">
        <f>IFERROR(__xludf.DUMMYFUNCTION("""COMPUTED_VALUE"""),45982.20833333333)</f>
        <v>45982.20833</v>
      </c>
      <c r="I900" s="237" t="str">
        <f t="shared" si="1"/>
        <v>Fora</v>
      </c>
      <c r="J900" s="239">
        <v>120.00000000349246</v>
      </c>
    </row>
    <row r="901">
      <c r="A901" s="234" t="s">
        <v>2595</v>
      </c>
      <c r="B901" s="234" t="str">
        <f>IFERROR(__xludf.DUMMYFUNCTION("""COMPUTED_VALUE"""),"SoC_PE_Jaboatão dos Guararapes")</f>
        <v>SoC_PE_Jaboatão dos Guararapes</v>
      </c>
      <c r="C901" s="234" t="str">
        <f>IFERROR(__xludf.DUMMYFUNCTION("""COMPUTED_VALUE"""),"SOC-PE2")</f>
        <v>SOC-PE2</v>
      </c>
      <c r="D901" s="234">
        <f>IFERROR(__xludf.DUMMYFUNCTION("""COMPUTED_VALUE"""),17.0)</f>
        <v>17</v>
      </c>
      <c r="E901" s="237" t="str">
        <f>IFERROR(__xludf.DUMMYFUNCTION("""COMPUTED_VALUE"""),"LT1PBL01SDNE1")</f>
        <v>LT1PBL01SDNE1</v>
      </c>
      <c r="F901" s="238" t="str">
        <f>IFERROR(__xludf.DUMMYFUNCTION("""COMPUTED_VALUE"""),"JAJ9B96,PCM8G08")</f>
        <v>JAJ9B96,PCM8G08</v>
      </c>
      <c r="G901" s="238">
        <f>IFERROR(__xludf.DUMMYFUNCTION("""COMPUTED_VALUE"""),45982.125)</f>
        <v>45982.125</v>
      </c>
      <c r="H901" s="238">
        <f>IFERROR(__xludf.DUMMYFUNCTION("""COMPUTED_VALUE"""),45982.208333333336)</f>
        <v>45982.20833</v>
      </c>
      <c r="I901" s="237" t="str">
        <f t="shared" si="1"/>
        <v>Fora</v>
      </c>
      <c r="J901" s="239">
        <v>120.00000001396984</v>
      </c>
    </row>
    <row r="902">
      <c r="A902" s="234" t="s">
        <v>2596</v>
      </c>
      <c r="B902" s="234" t="str">
        <f>IFERROR(__xludf.DUMMYFUNCTION("""COMPUTED_VALUE"""),"LM Hub_SP_Campinas_São Martinho")</f>
        <v>LM Hub_SP_Campinas_São Martinho</v>
      </c>
      <c r="C902" s="234" t="str">
        <f>IFERROR(__xludf.DUMMYFUNCTION("""COMPUTED_VALUE"""),"HUB-LSP-19")</f>
        <v>HUB-LSP-19</v>
      </c>
      <c r="D902" s="234">
        <f>IFERROR(__xludf.DUMMYFUNCTION("""COMPUTED_VALUE"""),34.0)</f>
        <v>34</v>
      </c>
      <c r="E902" s="237" t="str">
        <f>IFERROR(__xludf.DUMMYFUNCTION("""COMPUTED_VALUE"""),"LT0PBL01RV3A1")</f>
        <v>LT0PBL01RV3A1</v>
      </c>
      <c r="F902" s="238" t="str">
        <f>IFERROR(__xludf.DUMMYFUNCTION("""COMPUTED_VALUE"""),"EFV5C06,MBM1I07")</f>
        <v>EFV5C06,MBM1I07</v>
      </c>
      <c r="G902" s="238">
        <f>IFERROR(__xludf.DUMMYFUNCTION("""COMPUTED_VALUE"""),45982.14583333333)</f>
        <v>45982.14583</v>
      </c>
      <c r="H902" s="238">
        <f>IFERROR(__xludf.DUMMYFUNCTION("""COMPUTED_VALUE"""),45982.22916666667)</f>
        <v>45982.22917</v>
      </c>
      <c r="I902" s="237" t="str">
        <f t="shared" si="1"/>
        <v>Fora</v>
      </c>
      <c r="J902" s="239">
        <v>120.00000001396984</v>
      </c>
    </row>
    <row r="903">
      <c r="A903" s="234" t="s">
        <v>2597</v>
      </c>
      <c r="B903" s="234" t="str">
        <f>IFERROR(__xludf.DUMMYFUNCTION("""COMPUTED_VALUE"""),"LM Hub_SP_Mogi Mirim")</f>
        <v>LM Hub_SP_Mogi Mirim</v>
      </c>
      <c r="C903" s="234" t="str">
        <f>IFERROR(__xludf.DUMMYFUNCTION("""COMPUTED_VALUE"""),"HUB-LSP-37")</f>
        <v>HUB-LSP-37</v>
      </c>
      <c r="D903" s="234"/>
      <c r="E903" s="237" t="str">
        <f>IFERROR(__xludf.DUMMYFUNCTION("""COMPUTED_VALUE"""),"LT0PBL01RV2K1")</f>
        <v>LT0PBL01RV2K1</v>
      </c>
      <c r="F903" s="238" t="str">
        <f>IFERROR(__xludf.DUMMYFUNCTION("""COMPUTED_VALUE"""),"TLE4D84")</f>
        <v>TLE4D84</v>
      </c>
      <c r="G903" s="238">
        <f>IFERROR(__xludf.DUMMYFUNCTION("""COMPUTED_VALUE"""),45982.14583333333)</f>
        <v>45982.14583</v>
      </c>
      <c r="H903" s="238">
        <f>IFERROR(__xludf.DUMMYFUNCTION("""COMPUTED_VALUE"""),45982.22916666667)</f>
        <v>45982.22917</v>
      </c>
      <c r="I903" s="237" t="str">
        <f t="shared" si="1"/>
        <v>Fora</v>
      </c>
      <c r="J903" s="239">
        <v>120.00000001396984</v>
      </c>
    </row>
    <row r="904">
      <c r="A904" s="234" t="s">
        <v>2598</v>
      </c>
      <c r="B904" s="234" t="str">
        <f>IFERROR(__xludf.DUMMYFUNCTION("""COMPUTED_VALUE"""),"LM Hub_SP_Osasco_02")</f>
        <v>LM Hub_SP_Osasco_02</v>
      </c>
      <c r="C904" s="234" t="str">
        <f>IFERROR(__xludf.DUMMYFUNCTION("""COMPUTED_VALUE"""),"HUB-LSP-60")</f>
        <v>HUB-LSP-60</v>
      </c>
      <c r="D904" s="234">
        <f>IFERROR(__xludf.DUMMYFUNCTION("""COMPUTED_VALUE"""),25.0)</f>
        <v>25</v>
      </c>
      <c r="E904" s="237" t="str">
        <f>IFERROR(__xludf.DUMMYFUNCTION("""COMPUTED_VALUE"""),"LT0PBL01RW311")</f>
        <v>LT0PBL01RW311</v>
      </c>
      <c r="F904" s="238" t="str">
        <f>IFERROR(__xludf.DUMMYFUNCTION("""COMPUTED_VALUE"""),"FEU6H63")</f>
        <v>FEU6H63</v>
      </c>
      <c r="G904" s="238">
        <f>IFERROR(__xludf.DUMMYFUNCTION("""COMPUTED_VALUE"""),45982.14583333333)</f>
        <v>45982.14583</v>
      </c>
      <c r="H904" s="238">
        <f>IFERROR(__xludf.DUMMYFUNCTION("""COMPUTED_VALUE"""),45982.22916666667)</f>
        <v>45982.22917</v>
      </c>
      <c r="I904" s="237" t="str">
        <f t="shared" si="1"/>
        <v>Fora</v>
      </c>
      <c r="J904" s="239">
        <v>119.00000001071021</v>
      </c>
    </row>
    <row r="905">
      <c r="A905" s="234" t="s">
        <v>2599</v>
      </c>
      <c r="B905" s="234" t="str">
        <f>IFERROR(__xludf.DUMMYFUNCTION("""COMPUTED_VALUE"""),"LM Hub_SP_Sorocaba_Região Norte")</f>
        <v>LM Hub_SP_Sorocaba_Região Norte</v>
      </c>
      <c r="C905" s="234" t="str">
        <f>IFERROR(__xludf.DUMMYFUNCTION("""COMPUTED_VALUE"""),"HUB-LSP-10")</f>
        <v>HUB-LSP-10</v>
      </c>
      <c r="D905" s="234">
        <f>IFERROR(__xludf.DUMMYFUNCTION("""COMPUTED_VALUE"""),15.0)</f>
        <v>15</v>
      </c>
      <c r="E905" s="237" t="str">
        <f>IFERROR(__xludf.DUMMYFUNCTION("""COMPUTED_VALUE"""),"LT0PBL01RV1G1")</f>
        <v>LT0PBL01RV1G1</v>
      </c>
      <c r="F905" s="238" t="str">
        <f>IFERROR(__xludf.DUMMYFUNCTION("""COMPUTED_VALUE"""),"GHJ3E37,OUU8J45")</f>
        <v>GHJ3E37,OUU8J45</v>
      </c>
      <c r="G905" s="238">
        <f>IFERROR(__xludf.DUMMYFUNCTION("""COMPUTED_VALUE"""),45982.146527777775)</f>
        <v>45982.14653</v>
      </c>
      <c r="H905" s="238">
        <f>IFERROR(__xludf.DUMMYFUNCTION("""COMPUTED_VALUE"""),45982.22916666667)</f>
        <v>45982.22917</v>
      </c>
      <c r="I905" s="237" t="str">
        <f t="shared" si="1"/>
        <v>Fora</v>
      </c>
      <c r="J905" s="239">
        <v>240.00000000698492</v>
      </c>
    </row>
    <row r="906">
      <c r="A906" s="234" t="s">
        <v>2600</v>
      </c>
      <c r="B906" s="234" t="str">
        <f>IFERROR(__xludf.DUMMYFUNCTION("""COMPUTED_VALUE"""),"SoC_RJ_Duque de Caxias")</f>
        <v>SoC_RJ_Duque de Caxias</v>
      </c>
      <c r="C906" s="234" t="str">
        <f>IFERROR(__xludf.DUMMYFUNCTION("""COMPUTED_VALUE"""),"SOC-RJ2")</f>
        <v>SOC-RJ2</v>
      </c>
      <c r="D906" s="234">
        <f>IFERROR(__xludf.DUMMYFUNCTION("""COMPUTED_VALUE"""),5.0)</f>
        <v>5</v>
      </c>
      <c r="E906" s="237" t="str">
        <f>IFERROR(__xludf.DUMMYFUNCTION("""COMPUTED_VALUE"""),"LT0PBL01RX6Z1")</f>
        <v>LT0PBL01RX6Z1</v>
      </c>
      <c r="F906" s="238" t="str">
        <f>IFERROR(__xludf.DUMMYFUNCTION("""COMPUTED_VALUE"""),"QST0H68,FWB4F06")</f>
        <v>QST0H68,FWB4F06</v>
      </c>
      <c r="G906" s="238">
        <f>IFERROR(__xludf.DUMMYFUNCTION("""COMPUTED_VALUE"""),45982.08333333333)</f>
        <v>45982.08333</v>
      </c>
      <c r="H906" s="238">
        <f>IFERROR(__xludf.DUMMYFUNCTION("""COMPUTED_VALUE"""),45982.25)</f>
        <v>45982.25</v>
      </c>
      <c r="I906" s="237" t="str">
        <f t="shared" si="1"/>
        <v>Fora</v>
      </c>
      <c r="J906" s="239">
        <v>240.00000000698492</v>
      </c>
    </row>
    <row r="907">
      <c r="A907" s="234" t="s">
        <v>2601</v>
      </c>
      <c r="B907" s="234" t="str">
        <f>IFERROR(__xludf.DUMMYFUNCTION("""COMPUTED_VALUE"""),"SoC_SP_Cravinhos")</f>
        <v>SoC_SP_Cravinhos</v>
      </c>
      <c r="C907" s="234" t="str">
        <f>IFERROR(__xludf.DUMMYFUNCTION("""COMPUTED_VALUE"""),"SOC-SP5")</f>
        <v>SOC-SP5</v>
      </c>
      <c r="D907" s="234">
        <f>IFERROR(__xludf.DUMMYFUNCTION("""COMPUTED_VALUE"""),43.0)</f>
        <v>43</v>
      </c>
      <c r="E907" s="237" t="str">
        <f>IFERROR(__xludf.DUMMYFUNCTION("""COMPUTED_VALUE"""),"LT0PBK01RUX42")</f>
        <v>LT0PBK01RUX42</v>
      </c>
      <c r="F907" s="238" t="str">
        <f>IFERROR(__xludf.DUMMYFUNCTION("""COMPUTED_VALUE"""),"EJZ8E39,EQM4D52")</f>
        <v>EJZ8E39,EQM4D52</v>
      </c>
      <c r="G907" s="238">
        <f>IFERROR(__xludf.DUMMYFUNCTION("""COMPUTED_VALUE"""),45982.08333333333)</f>
        <v>45982.08333</v>
      </c>
      <c r="H907" s="238">
        <f>IFERROR(__xludf.DUMMYFUNCTION("""COMPUTED_VALUE"""),45982.25)</f>
        <v>45982.25</v>
      </c>
      <c r="I907" s="237" t="str">
        <f t="shared" si="1"/>
        <v>Fora</v>
      </c>
      <c r="J907" s="239">
        <v>240.00000000698492</v>
      </c>
    </row>
    <row r="908">
      <c r="A908" s="234" t="s">
        <v>2602</v>
      </c>
      <c r="B908" s="234" t="str">
        <f>IFERROR(__xludf.DUMMYFUNCTION("""COMPUTED_VALUE"""),"SoC_SP_Cravinhos")</f>
        <v>SoC_SP_Cravinhos</v>
      </c>
      <c r="C908" s="234" t="str">
        <f>IFERROR(__xludf.DUMMYFUNCTION("""COMPUTED_VALUE"""),"SOC-SP5")</f>
        <v>SOC-SP5</v>
      </c>
      <c r="D908" s="234"/>
      <c r="E908" s="237" t="str">
        <f>IFERROR(__xludf.DUMMYFUNCTION("""COMPUTED_VALUE"""),"LT0PBL01RUWL1")</f>
        <v>LT0PBL01RUWL1</v>
      </c>
      <c r="F908" s="238" t="str">
        <f>IFERROR(__xludf.DUMMYFUNCTION("""COMPUTED_VALUE"""),"FVL6H27,EWJ9F18")</f>
        <v>FVL6H27,EWJ9F18</v>
      </c>
      <c r="G908" s="238">
        <f>IFERROR(__xludf.DUMMYFUNCTION("""COMPUTED_VALUE"""),45982.08333333333)</f>
        <v>45982.08333</v>
      </c>
      <c r="H908" s="238">
        <f>IFERROR(__xludf.DUMMYFUNCTION("""COMPUTED_VALUE"""),45982.25)</f>
        <v>45982.25</v>
      </c>
      <c r="I908" s="237" t="str">
        <f t="shared" si="1"/>
        <v>Fora</v>
      </c>
      <c r="J908" s="239">
        <v>119.99999999301508</v>
      </c>
    </row>
    <row r="909">
      <c r="A909" s="234" t="s">
        <v>2603</v>
      </c>
      <c r="B909" s="234" t="str">
        <f>IFERROR(__xludf.DUMMYFUNCTION("""COMPUTED_VALUE"""),"LM Hub_ES_Viana")</f>
        <v>LM Hub_ES_Viana</v>
      </c>
      <c r="C909" s="234" t="str">
        <f>IFERROR(__xludf.DUMMYFUNCTION("""COMPUTED_VALUE"""),"HUB-LES-09")</f>
        <v>HUB-LES-09</v>
      </c>
      <c r="D909" s="234">
        <f>IFERROR(__xludf.DUMMYFUNCTION("""COMPUTED_VALUE"""),9.0)</f>
        <v>9</v>
      </c>
      <c r="E909" s="237" t="str">
        <f>IFERROR(__xludf.DUMMYFUNCTION("""COMPUTED_VALUE"""),"LT0PBL01RZ2H1")</f>
        <v>LT0PBL01RZ2H1</v>
      </c>
      <c r="F909" s="238" t="str">
        <f>IFERROR(__xludf.DUMMYFUNCTION("""COMPUTED_VALUE"""),"FDZ2B52")</f>
        <v>FDZ2B52</v>
      </c>
      <c r="G909" s="238">
        <f>IFERROR(__xludf.DUMMYFUNCTION("""COMPUTED_VALUE"""),45982.16666666667)</f>
        <v>45982.16667</v>
      </c>
      <c r="H909" s="238">
        <f>IFERROR(__xludf.DUMMYFUNCTION("""COMPUTED_VALUE"""),45982.25)</f>
        <v>45982.25</v>
      </c>
      <c r="I909" s="237" t="str">
        <f t="shared" si="1"/>
        <v>Fora</v>
      </c>
      <c r="J909" s="239">
        <v>119.99999999301508</v>
      </c>
    </row>
    <row r="910">
      <c r="A910" s="234" t="s">
        <v>2604</v>
      </c>
      <c r="B910" s="234" t="str">
        <f>IFERROR(__xludf.DUMMYFUNCTION("""COMPUTED_VALUE"""),"LM Hub_SP_Guaratinguetá")</f>
        <v>LM Hub_SP_Guaratinguetá</v>
      </c>
      <c r="C910" s="234" t="str">
        <f>IFERROR(__xludf.DUMMYFUNCTION("""COMPUTED_VALUE"""),"HUB-LSP-33")</f>
        <v>HUB-LSP-33</v>
      </c>
      <c r="D910" s="234">
        <f>IFERROR(__xludf.DUMMYFUNCTION("""COMPUTED_VALUE"""),13.0)</f>
        <v>13</v>
      </c>
      <c r="E910" s="237" t="str">
        <f>IFERROR(__xludf.DUMMYFUNCTION("""COMPUTED_VALUE"""),"LT0PBL01RV0Q1")</f>
        <v>LT0PBL01RV0Q1</v>
      </c>
      <c r="F910" s="238" t="str">
        <f>IFERROR(__xludf.DUMMYFUNCTION("""COMPUTED_VALUE"""),"EKH3880")</f>
        <v>EKH3880</v>
      </c>
      <c r="G910" s="238">
        <f>IFERROR(__xludf.DUMMYFUNCTION("""COMPUTED_VALUE"""),45982.16666666667)</f>
        <v>45982.16667</v>
      </c>
      <c r="H910" s="238">
        <f>IFERROR(__xludf.DUMMYFUNCTION("""COMPUTED_VALUE"""),45982.25)</f>
        <v>45982.25</v>
      </c>
      <c r="I910" s="237" t="str">
        <f t="shared" si="1"/>
        <v>Fora</v>
      </c>
      <c r="J910" s="239">
        <v>119.99999999301508</v>
      </c>
    </row>
    <row r="911">
      <c r="A911" s="234" t="s">
        <v>2605</v>
      </c>
      <c r="B911" s="234" t="str">
        <f>IFERROR(__xludf.DUMMYFUNCTION("""COMPUTED_VALUE"""),"LM Hub_SP_Limeira_Campo Belo")</f>
        <v>LM Hub_SP_Limeira_Campo Belo</v>
      </c>
      <c r="C911" s="234" t="str">
        <f>IFERROR(__xludf.DUMMYFUNCTION("""COMPUTED_VALUE"""),"HUB-LSP-24")</f>
        <v>HUB-LSP-24</v>
      </c>
      <c r="D911" s="234">
        <f>IFERROR(__xludf.DUMMYFUNCTION("""COMPUTED_VALUE"""),39.0)</f>
        <v>39</v>
      </c>
      <c r="E911" s="237" t="str">
        <f>IFERROR(__xludf.DUMMYFUNCTION("""COMPUTED_VALUE"""),"LT0PBL01RV1N1")</f>
        <v>LT0PBL01RV1N1</v>
      </c>
      <c r="F911" s="234" t="str">
        <f>IFERROR(__xludf.DUMMYFUNCTION("""COMPUTED_VALUE"""),"UDI0A98")</f>
        <v>UDI0A98</v>
      </c>
      <c r="G911" s="238">
        <f>IFERROR(__xludf.DUMMYFUNCTION("""COMPUTED_VALUE"""),45982.16666666667)</f>
        <v>45982.16667</v>
      </c>
      <c r="H911" s="238">
        <f>IFERROR(__xludf.DUMMYFUNCTION("""COMPUTED_VALUE"""),45982.25)</f>
        <v>45982.25</v>
      </c>
      <c r="I911" s="237" t="str">
        <f t="shared" si="1"/>
        <v>Fora</v>
      </c>
      <c r="J911" s="239">
        <v>119.99999999301508</v>
      </c>
    </row>
    <row r="912">
      <c r="A912" s="234" t="s">
        <v>2606</v>
      </c>
      <c r="B912" s="234" t="str">
        <f>IFERROR(__xludf.DUMMYFUNCTION("""COMPUTED_VALUE"""),"LM Hub_SP_Várzea Paulista")</f>
        <v>LM Hub_SP_Várzea Paulista</v>
      </c>
      <c r="C912" s="234" t="str">
        <f>IFERROR(__xludf.DUMMYFUNCTION("""COMPUTED_VALUE"""),"HUB-LSP-61")</f>
        <v>HUB-LSP-61</v>
      </c>
      <c r="D912" s="234">
        <f>IFERROR(__xludf.DUMMYFUNCTION("""COMPUTED_VALUE"""),41.0)</f>
        <v>41</v>
      </c>
      <c r="E912" s="237" t="str">
        <f>IFERROR(__xludf.DUMMYFUNCTION("""COMPUTED_VALUE"""),"LT0PBL01RV1X1")</f>
        <v>LT0PBL01RV1X1</v>
      </c>
      <c r="F912" s="238" t="str">
        <f>IFERROR(__xludf.DUMMYFUNCTION("""COMPUTED_VALUE"""),"HNQ8267")</f>
        <v>HNQ8267</v>
      </c>
      <c r="G912" s="238">
        <f>IFERROR(__xludf.DUMMYFUNCTION("""COMPUTED_VALUE"""),45982.16666666667)</f>
        <v>45982.16667</v>
      </c>
      <c r="H912" s="238">
        <f>IFERROR(__xludf.DUMMYFUNCTION("""COMPUTED_VALUE"""),45982.25)</f>
        <v>45982.25</v>
      </c>
      <c r="I912" s="237" t="str">
        <f t="shared" si="1"/>
        <v>Fora</v>
      </c>
      <c r="J912" s="239">
        <v>119.99999999301508</v>
      </c>
    </row>
    <row r="913">
      <c r="A913" s="234" t="s">
        <v>2607</v>
      </c>
      <c r="B913" s="234" t="str">
        <f>IFERROR(__xludf.DUMMYFUNCTION("""COMPUTED_VALUE"""),"SoC_MG_Betim")</f>
        <v>SoC_MG_Betim</v>
      </c>
      <c r="C913" s="234" t="str">
        <f>IFERROR(__xludf.DUMMYFUNCTION("""COMPUTED_VALUE"""),"SOC-MG2")</f>
        <v>SOC-MG2</v>
      </c>
      <c r="D913" s="234">
        <f>IFERROR(__xludf.DUMMYFUNCTION("""COMPUTED_VALUE"""),40.0)</f>
        <v>40</v>
      </c>
      <c r="E913" s="237" t="str">
        <f>IFERROR(__xludf.DUMMYFUNCTION("""COMPUTED_VALUE"""),"LT1PBL01SDNJ1")</f>
        <v>LT1PBL01SDNJ1</v>
      </c>
      <c r="F913" s="238" t="str">
        <f>IFERROR(__xludf.DUMMYFUNCTION("""COMPUTED_VALUE"""),"EMT3G71")</f>
        <v>EMT3G71</v>
      </c>
      <c r="G913" s="238">
        <f>IFERROR(__xludf.DUMMYFUNCTION("""COMPUTED_VALUE"""),45982.16666666667)</f>
        <v>45982.16667</v>
      </c>
      <c r="H913" s="238">
        <f>IFERROR(__xludf.DUMMYFUNCTION("""COMPUTED_VALUE"""),45982.25)</f>
        <v>45982.25</v>
      </c>
      <c r="I913" s="237" t="str">
        <f t="shared" si="1"/>
        <v>Fora</v>
      </c>
      <c r="J913" s="239">
        <v>119.99999999301508</v>
      </c>
    </row>
    <row r="914">
      <c r="A914" s="234" t="s">
        <v>2608</v>
      </c>
      <c r="B914" s="234" t="str">
        <f>IFERROR(__xludf.DUMMYFUNCTION("""COMPUTED_VALUE"""),"LM Hub_SP_Atibaia_Ponte_Alta")</f>
        <v>LM Hub_SP_Atibaia_Ponte_Alta</v>
      </c>
      <c r="C914" s="234" t="str">
        <f>IFERROR(__xludf.DUMMYFUNCTION("""COMPUTED_VALUE"""),"HUB-LSP-87")</f>
        <v>HUB-LSP-87</v>
      </c>
      <c r="D914" s="234">
        <f>IFERROR(__xludf.DUMMYFUNCTION("""COMPUTED_VALUE"""),16.0)</f>
        <v>16</v>
      </c>
      <c r="E914" s="237" t="str">
        <f>IFERROR(__xludf.DUMMYFUNCTION("""COMPUTED_VALUE"""),"LT0PBL01RYX01")</f>
        <v>LT0PBL01RYX01</v>
      </c>
      <c r="F914" s="238" t="str">
        <f>IFERROR(__xludf.DUMMYFUNCTION("""COMPUTED_VALUE"""),"JBJ0I18")</f>
        <v>JBJ0I18</v>
      </c>
      <c r="G914" s="238">
        <f>IFERROR(__xludf.DUMMYFUNCTION("""COMPUTED_VALUE"""),45982.1875)</f>
        <v>45982.1875</v>
      </c>
      <c r="H914" s="238">
        <f>IFERROR(__xludf.DUMMYFUNCTION("""COMPUTED_VALUE"""),45982.27083333333)</f>
        <v>45982.27083</v>
      </c>
      <c r="I914" s="237" t="str">
        <f t="shared" si="1"/>
        <v>Fora</v>
      </c>
      <c r="J914" s="239">
        <v>119.99999999301508</v>
      </c>
    </row>
    <row r="915">
      <c r="A915" s="234" t="s">
        <v>2609</v>
      </c>
      <c r="B915" s="234" t="str">
        <f>IFERROR(__xludf.DUMMYFUNCTION("""COMPUTED_VALUE"""),"LM Hub_SP_Embu das Artes")</f>
        <v>LM Hub_SP_Embu das Artes</v>
      </c>
      <c r="C915" s="234" t="str">
        <f>IFERROR(__xludf.DUMMYFUNCTION("""COMPUTED_VALUE"""),"HUB-LSP-36")</f>
        <v>HUB-LSP-36</v>
      </c>
      <c r="D915" s="234">
        <f>IFERROR(__xludf.DUMMYFUNCTION("""COMPUTED_VALUE"""),36.0)</f>
        <v>36</v>
      </c>
      <c r="E915" s="237" t="str">
        <f>IFERROR(__xludf.DUMMYFUNCTION("""COMPUTED_VALUE"""),"LT0PBL01RW4A1")</f>
        <v>LT0PBL01RW4A1</v>
      </c>
      <c r="F915" s="238" t="str">
        <f>IFERROR(__xludf.DUMMYFUNCTION("""COMPUTED_VALUE"""),"SWA1B76")</f>
        <v>SWA1B76</v>
      </c>
      <c r="G915" s="238">
        <f>IFERROR(__xludf.DUMMYFUNCTION("""COMPUTED_VALUE"""),45982.1875)</f>
        <v>45982.1875</v>
      </c>
      <c r="H915" s="238">
        <f>IFERROR(__xludf.DUMMYFUNCTION("""COMPUTED_VALUE"""),45982.27083333333)</f>
        <v>45982.27083</v>
      </c>
      <c r="I915" s="237" t="str">
        <f t="shared" si="1"/>
        <v>Fora</v>
      </c>
      <c r="J915" s="239">
        <v>119.99999999301508</v>
      </c>
    </row>
    <row r="916">
      <c r="A916" s="234" t="s">
        <v>2610</v>
      </c>
      <c r="B916" s="234" t="str">
        <f>IFERROR(__xludf.DUMMYFUNCTION("""COMPUTED_VALUE"""),"LM Hub_SP_Taubaté")</f>
        <v>LM Hub_SP_Taubaté</v>
      </c>
      <c r="C916" s="234" t="str">
        <f>IFERROR(__xludf.DUMMYFUNCTION("""COMPUTED_VALUE"""),"HUB-LSP-08")</f>
        <v>HUB-LSP-08</v>
      </c>
      <c r="D916" s="234"/>
      <c r="E916" s="237" t="str">
        <f>IFERROR(__xludf.DUMMYFUNCTION("""COMPUTED_VALUE"""),"LT0PBL01RV101")</f>
        <v>LT0PBL01RV101</v>
      </c>
      <c r="F916" s="238" t="str">
        <f>IFERROR(__xludf.DUMMYFUNCTION("""COMPUTED_VALUE"""),"RYF4F07")</f>
        <v>RYF4F07</v>
      </c>
      <c r="G916" s="238">
        <f>IFERROR(__xludf.DUMMYFUNCTION("""COMPUTED_VALUE"""),45982.1875)</f>
        <v>45982.1875</v>
      </c>
      <c r="H916" s="238">
        <f>IFERROR(__xludf.DUMMYFUNCTION("""COMPUTED_VALUE"""),45982.27083333333)</f>
        <v>45982.27083</v>
      </c>
      <c r="I916" s="237" t="str">
        <f t="shared" si="1"/>
        <v>Fora</v>
      </c>
      <c r="J916" s="239">
        <v>120.00000001396984</v>
      </c>
    </row>
    <row r="917">
      <c r="A917" s="234" t="s">
        <v>2611</v>
      </c>
      <c r="B917" s="234" t="str">
        <f>IFERROR(__xludf.DUMMYFUNCTION("""COMPUTED_VALUE"""),"LM Hub_SP_Barueri_01")</f>
        <v>LM Hub_SP_Barueri_01</v>
      </c>
      <c r="C917" s="234" t="str">
        <f>IFERROR(__xludf.DUMMYFUNCTION("""COMPUTED_VALUE"""),"HUB-LSP-81")</f>
        <v>HUB-LSP-81</v>
      </c>
      <c r="D917" s="234">
        <f>IFERROR(__xludf.DUMMYFUNCTION("""COMPUTED_VALUE"""),19.0)</f>
        <v>19</v>
      </c>
      <c r="E917" s="237" t="str">
        <f>IFERROR(__xludf.DUMMYFUNCTION("""COMPUTED_VALUE"""),"LT0PBL01S0E11")</f>
        <v>LT0PBL01S0E11</v>
      </c>
      <c r="F917" s="238" t="str">
        <f>IFERROR(__xludf.DUMMYFUNCTION("""COMPUTED_VALUE"""),"OPY9J66")</f>
        <v>OPY9J66</v>
      </c>
      <c r="G917" s="238">
        <f>IFERROR(__xludf.DUMMYFUNCTION("""COMPUTED_VALUE"""),45982.20833333333)</f>
        <v>45982.20833</v>
      </c>
      <c r="H917" s="238">
        <f>IFERROR(__xludf.DUMMYFUNCTION("""COMPUTED_VALUE"""),45982.29166666667)</f>
        <v>45982.29167</v>
      </c>
      <c r="I917" s="237" t="str">
        <f t="shared" si="1"/>
        <v>Fora</v>
      </c>
      <c r="J917" s="239">
        <v>120.00000001396984</v>
      </c>
    </row>
    <row r="918">
      <c r="A918" s="234" t="s">
        <v>2612</v>
      </c>
      <c r="B918" s="234" t="str">
        <f>IFERROR(__xludf.DUMMYFUNCTION("""COMPUTED_VALUE"""),"LM Hub_SP_Jurubatuba")</f>
        <v>LM Hub_SP_Jurubatuba</v>
      </c>
      <c r="C918" s="234" t="str">
        <f>IFERROR(__xludf.DUMMYFUNCTION("""COMPUTED_VALUE"""),"HUB-LSP-16")</f>
        <v>HUB-LSP-16</v>
      </c>
      <c r="D918" s="234">
        <f>IFERROR(__xludf.DUMMYFUNCTION("""COMPUTED_VALUE"""),14.0)</f>
        <v>14</v>
      </c>
      <c r="E918" s="237" t="str">
        <f>IFERROR(__xludf.DUMMYFUNCTION("""COMPUTED_VALUE"""),"LT0PBL01RW2V1")</f>
        <v>LT0PBL01RW2V1</v>
      </c>
      <c r="F918" s="238" t="str">
        <f>IFERROR(__xludf.DUMMYFUNCTION("""COMPUTED_VALUE"""),"JYA9C60,CUG9G47")</f>
        <v>JYA9C60,CUG9G47</v>
      </c>
      <c r="G918" s="238">
        <f>IFERROR(__xludf.DUMMYFUNCTION("""COMPUTED_VALUE"""),45982.20833333333)</f>
        <v>45982.20833</v>
      </c>
      <c r="H918" s="238">
        <f>IFERROR(__xludf.DUMMYFUNCTION("""COMPUTED_VALUE"""),45982.29166666667)</f>
        <v>45982.29167</v>
      </c>
      <c r="I918" s="237" t="str">
        <f t="shared" si="1"/>
        <v>Fora</v>
      </c>
      <c r="J918" s="239">
        <v>120.00000001396984</v>
      </c>
    </row>
    <row r="919">
      <c r="A919" s="234" t="s">
        <v>2613</v>
      </c>
      <c r="B919" s="234" t="str">
        <f>IFERROR(__xludf.DUMMYFUNCTION("""COMPUTED_VALUE"""),"LM Hub_SP_Piracicaba")</f>
        <v>LM Hub_SP_Piracicaba</v>
      </c>
      <c r="C919" s="234" t="str">
        <f>IFERROR(__xludf.DUMMYFUNCTION("""COMPUTED_VALUE"""),"HUB-LSP-62")</f>
        <v>HUB-LSP-62</v>
      </c>
      <c r="D919" s="234">
        <f>IFERROR(__xludf.DUMMYFUNCTION("""COMPUTED_VALUE"""),20.0)</f>
        <v>20</v>
      </c>
      <c r="E919" s="237" t="str">
        <f>IFERROR(__xludf.DUMMYFUNCTION("""COMPUTED_VALUE"""),"LT0PBL01RVNP1")</f>
        <v>LT0PBL01RVNP1</v>
      </c>
      <c r="F919" s="238" t="str">
        <f>IFERROR(__xludf.DUMMYFUNCTION("""COMPUTED_VALUE"""),"BYP9A96")</f>
        <v>BYP9A96</v>
      </c>
      <c r="G919" s="238">
        <f>IFERROR(__xludf.DUMMYFUNCTION("""COMPUTED_VALUE"""),45982.20833333333)</f>
        <v>45982.20833</v>
      </c>
      <c r="H919" s="238">
        <f>IFERROR(__xludf.DUMMYFUNCTION("""COMPUTED_VALUE"""),45982.29166666667)</f>
        <v>45982.29167</v>
      </c>
      <c r="I919" s="237" t="str">
        <f t="shared" si="1"/>
        <v>Fora</v>
      </c>
      <c r="J919" s="239">
        <v>120.00000001396984</v>
      </c>
    </row>
    <row r="920">
      <c r="A920" s="234" t="s">
        <v>2614</v>
      </c>
      <c r="B920" s="234" t="str">
        <f>IFERROR(__xludf.DUMMYFUNCTION("""COMPUTED_VALUE"""),"LM Hub_SP_Santos_PraiaGrande_02")</f>
        <v>LM Hub_SP_Santos_PraiaGrande_02</v>
      </c>
      <c r="C920" s="234" t="str">
        <f>IFERROR(__xludf.DUMMYFUNCTION("""COMPUTED_VALUE"""),"HUB-LSP-63")</f>
        <v>HUB-LSP-63</v>
      </c>
      <c r="D920" s="234"/>
      <c r="E920" s="237" t="str">
        <f>IFERROR(__xludf.DUMMYFUNCTION("""COMPUTED_VALUE"""),"LT0PBL01RW451")</f>
        <v>LT0PBL01RW451</v>
      </c>
      <c r="F920" s="238" t="str">
        <f>IFERROR(__xludf.DUMMYFUNCTION("""COMPUTED_VALUE"""),"DGY7531,TMD9I09")</f>
        <v>DGY7531,TMD9I09</v>
      </c>
      <c r="G920" s="238">
        <f>IFERROR(__xludf.DUMMYFUNCTION("""COMPUTED_VALUE"""),45982.20833333333)</f>
        <v>45982.20833</v>
      </c>
      <c r="H920" s="238">
        <f>IFERROR(__xludf.DUMMYFUNCTION("""COMPUTED_VALUE"""),45982.29166666667)</f>
        <v>45982.29167</v>
      </c>
      <c r="I920" s="237" t="str">
        <f t="shared" si="1"/>
        <v>Fora</v>
      </c>
      <c r="J920" s="239">
        <v>120.00000001396984</v>
      </c>
    </row>
    <row r="921">
      <c r="A921" s="234" t="s">
        <v>2615</v>
      </c>
      <c r="B921" s="234" t="str">
        <f>IFERROR(__xludf.DUMMYFUNCTION("""COMPUTED_VALUE"""),"LM Hub_SP_Mogi das Cruzes_Jund")</f>
        <v>LM Hub_SP_Mogi das Cruzes_Jund</v>
      </c>
      <c r="C921" s="234" t="str">
        <f>IFERROR(__xludf.DUMMYFUNCTION("""COMPUTED_VALUE"""),"HUB-LSP-78")</f>
        <v>HUB-LSP-78</v>
      </c>
      <c r="D921" s="234">
        <f>IFERROR(__xludf.DUMMYFUNCTION("""COMPUTED_VALUE"""),38.0)</f>
        <v>38</v>
      </c>
      <c r="E921" s="237" t="str">
        <f>IFERROR(__xludf.DUMMYFUNCTION("""COMPUTED_VALUE"""),"LT0PBL01RXXV1")</f>
        <v>LT0PBL01RXXV1</v>
      </c>
      <c r="F921" s="238" t="str">
        <f>IFERROR(__xludf.DUMMYFUNCTION("""COMPUTED_VALUE"""),"DTC8058")</f>
        <v>DTC8058</v>
      </c>
      <c r="G921" s="238">
        <f>IFERROR(__xludf.DUMMYFUNCTION("""COMPUTED_VALUE"""),45982.89583333333)</f>
        <v>45982.89583</v>
      </c>
      <c r="H921" s="238">
        <f>IFERROR(__xludf.DUMMYFUNCTION("""COMPUTED_VALUE"""),45982.97916666667)</f>
        <v>45982.97917</v>
      </c>
      <c r="I921" s="237" t="str">
        <f t="shared" si="1"/>
        <v>Fora</v>
      </c>
      <c r="J921" s="239">
        <v>120.00000001396984</v>
      </c>
    </row>
    <row r="922">
      <c r="A922" s="234" t="s">
        <v>2616</v>
      </c>
      <c r="B922" s="234" t="str">
        <f>IFERROR(__xludf.DUMMYFUNCTION("""COMPUTED_VALUE"""),"LM Hub_SP_Santos_Praia Grande")</f>
        <v>LM Hub_SP_Santos_Praia Grande</v>
      </c>
      <c r="C922" s="234" t="str">
        <f>IFERROR(__xludf.DUMMYFUNCTION("""COMPUTED_VALUE"""),"HUB-LSP-09")</f>
        <v>HUB-LSP-09</v>
      </c>
      <c r="D922" s="234">
        <f>IFERROR(__xludf.DUMMYFUNCTION("""COMPUTED_VALUE"""),18.0)</f>
        <v>18</v>
      </c>
      <c r="E922" s="237" t="str">
        <f>IFERROR(__xludf.DUMMYFUNCTION("""COMPUTED_VALUE"""),"LT0PBL01RV1C1")</f>
        <v>LT0PBL01RV1C1</v>
      </c>
      <c r="F922" s="238" t="str">
        <f>IFERROR(__xludf.DUMMYFUNCTION("""COMPUTED_VALUE"""),"FPE7J82,GDU5855")</f>
        <v>FPE7J82,GDU5855</v>
      </c>
      <c r="G922" s="238">
        <f>IFERROR(__xludf.DUMMYFUNCTION("""COMPUTED_VALUE"""),45982.89583333333)</f>
        <v>45982.89583</v>
      </c>
      <c r="H922" s="238">
        <f>IFERROR(__xludf.DUMMYFUNCTION("""COMPUTED_VALUE"""),45982.97916666667)</f>
        <v>45982.97917</v>
      </c>
      <c r="I922" s="237" t="str">
        <f t="shared" si="1"/>
        <v>Fora</v>
      </c>
      <c r="J922" s="239">
        <v>120.00000001396984</v>
      </c>
    </row>
    <row r="923">
      <c r="A923" s="234" t="s">
        <v>2617</v>
      </c>
      <c r="B923" s="234" t="str">
        <f>IFERROR(__xludf.DUMMYFUNCTION("""COMPUTED_VALUE"""),"LM Hub_SP_São Paulo_Lapa")</f>
        <v>LM Hub_SP_São Paulo_Lapa</v>
      </c>
      <c r="C923" s="234" t="str">
        <f>IFERROR(__xludf.DUMMYFUNCTION("""COMPUTED_VALUE"""),"HUB-LSP-15")</f>
        <v>HUB-LSP-15</v>
      </c>
      <c r="D923" s="234">
        <f>IFERROR(__xludf.DUMMYFUNCTION("""COMPUTED_VALUE"""),17.0)</f>
        <v>17</v>
      </c>
      <c r="E923" s="237" t="str">
        <f>IFERROR(__xludf.DUMMYFUNCTION("""COMPUTED_VALUE"""),"LT0PBL01S3SN1")</f>
        <v>LT0PBL01S3SN1</v>
      </c>
      <c r="F923" s="238" t="str">
        <f>IFERROR(__xludf.DUMMYFUNCTION("""COMPUTED_VALUE"""),"GBE0G47,FJP5G21")</f>
        <v>GBE0G47,FJP5G21</v>
      </c>
      <c r="G923" s="238">
        <f>IFERROR(__xludf.DUMMYFUNCTION("""COMPUTED_VALUE"""),45982.89583333333)</f>
        <v>45982.89583</v>
      </c>
      <c r="H923" s="238">
        <f>IFERROR(__xludf.DUMMYFUNCTION("""COMPUTED_VALUE"""),45982.97916666667)</f>
        <v>45982.97917</v>
      </c>
      <c r="I923" s="237" t="str">
        <f t="shared" si="1"/>
        <v>Fora</v>
      </c>
      <c r="J923" s="239">
        <v>120.00000001396984</v>
      </c>
    </row>
    <row r="924">
      <c r="A924" s="234" t="s">
        <v>2618</v>
      </c>
      <c r="B924" s="234" t="str">
        <f>IFERROR(__xludf.DUMMYFUNCTION("""COMPUTED_VALUE"""),"LM Hub_SP_Zimba")</f>
        <v>LM Hub_SP_Zimba</v>
      </c>
      <c r="C924" s="234" t="str">
        <f>IFERROR(__xludf.DUMMYFUNCTION("""COMPUTED_VALUE"""),"HUB-LSP-74")</f>
        <v>HUB-LSP-74</v>
      </c>
      <c r="D924" s="234">
        <f>IFERROR(__xludf.DUMMYFUNCTION("""COMPUTED_VALUE"""),33.0)</f>
        <v>33</v>
      </c>
      <c r="E924" s="237" t="str">
        <f>IFERROR(__xludf.DUMMYFUNCTION("""COMPUTED_VALUE"""),"LT0PBL01RUZF1")</f>
        <v>LT0PBL01RUZF1</v>
      </c>
      <c r="F924" s="234" t="str">
        <f>IFERROR(__xludf.DUMMYFUNCTION("""COMPUTED_VALUE"""),"EJI1I82 ")</f>
        <v>EJI1I82 </v>
      </c>
      <c r="G924" s="238">
        <f>IFERROR(__xludf.DUMMYFUNCTION("""COMPUTED_VALUE"""),45982.89583333333)</f>
        <v>45982.89583</v>
      </c>
      <c r="H924" s="238">
        <f>IFERROR(__xludf.DUMMYFUNCTION("""COMPUTED_VALUE"""),45982.97916666667)</f>
        <v>45982.97917</v>
      </c>
      <c r="I924" s="237" t="str">
        <f t="shared" si="1"/>
        <v>Fora</v>
      </c>
      <c r="J924" s="239">
        <v>119.00000001071021</v>
      </c>
    </row>
    <row r="925">
      <c r="A925" s="234" t="s">
        <v>2619</v>
      </c>
      <c r="B925" s="234" t="str">
        <f>IFERROR(__xludf.DUMMYFUNCTION("""COMPUTED_VALUE"""),"LM Hub_SP_Jurubatuba")</f>
        <v>LM Hub_SP_Jurubatuba</v>
      </c>
      <c r="C925" s="234" t="str">
        <f>IFERROR(__xludf.DUMMYFUNCTION("""COMPUTED_VALUE"""),"HUB-LSP-16")</f>
        <v>HUB-LSP-16</v>
      </c>
      <c r="D925" s="234">
        <f>IFERROR(__xludf.DUMMYFUNCTION("""COMPUTED_VALUE"""),13.0)</f>
        <v>13</v>
      </c>
      <c r="E925" s="237" t="str">
        <f>IFERROR(__xludf.DUMMYFUNCTION("""COMPUTED_VALUE"""),"LT0PBL01S3SS1")</f>
        <v>LT0PBL01S3SS1</v>
      </c>
      <c r="F925" s="238" t="str">
        <f>IFERROR(__xludf.DUMMYFUNCTION("""COMPUTED_VALUE"""),"DTD4722,NCK7E66")</f>
        <v>DTD4722,NCK7E66</v>
      </c>
      <c r="G925" s="238">
        <f>IFERROR(__xludf.DUMMYFUNCTION("""COMPUTED_VALUE"""),45982.896527777775)</f>
        <v>45982.89653</v>
      </c>
      <c r="H925" s="238">
        <f>IFERROR(__xludf.DUMMYFUNCTION("""COMPUTED_VALUE"""),45982.97916666667)</f>
        <v>45982.97917</v>
      </c>
      <c r="I925" s="237" t="str">
        <f t="shared" si="1"/>
        <v>Fora</v>
      </c>
      <c r="J925" s="239">
        <v>119.00000001071021</v>
      </c>
    </row>
    <row r="926">
      <c r="A926" s="234" t="s">
        <v>2620</v>
      </c>
      <c r="B926" s="234" t="str">
        <f>IFERROR(__xludf.DUMMYFUNCTION("""COMPUTED_VALUE"""),"LM Hub_SP_São José dos Campos")</f>
        <v>LM Hub_SP_São José dos Campos</v>
      </c>
      <c r="C926" s="234" t="str">
        <f>IFERROR(__xludf.DUMMYFUNCTION("""COMPUTED_VALUE"""),"HUB-LSP-04")</f>
        <v>HUB-LSP-04</v>
      </c>
      <c r="D926" s="234">
        <f>IFERROR(__xludf.DUMMYFUNCTION("""COMPUTED_VALUE"""),28.0)</f>
        <v>28</v>
      </c>
      <c r="E926" s="237" t="str">
        <f>IFERROR(__xludf.DUMMYFUNCTION("""COMPUTED_VALUE"""),"LT0PBL01S3TJ1")</f>
        <v>LT0PBL01S3TJ1</v>
      </c>
      <c r="F926" s="238" t="str">
        <f>IFERROR(__xludf.DUMMYFUNCTION("""COMPUTED_VALUE"""),"TIR7J78")</f>
        <v>TIR7J78</v>
      </c>
      <c r="G926" s="238">
        <f>IFERROR(__xludf.DUMMYFUNCTION("""COMPUTED_VALUE"""),45982.896527777775)</f>
        <v>45982.89653</v>
      </c>
      <c r="H926" s="238">
        <f>IFERROR(__xludf.DUMMYFUNCTION("""COMPUTED_VALUE"""),45982.97916666667)</f>
        <v>45982.97917</v>
      </c>
      <c r="I926" s="237" t="str">
        <f t="shared" si="1"/>
        <v>Fora</v>
      </c>
      <c r="J926" s="239">
        <v>118.99999998975545</v>
      </c>
    </row>
    <row r="927">
      <c r="A927" s="234" t="s">
        <v>2621</v>
      </c>
      <c r="B927" s="234" t="str">
        <f>IFERROR(__xludf.DUMMYFUNCTION("""COMPUTED_VALUE"""),"LM Hub_SP_Guarujá")</f>
        <v>LM Hub_SP_Guarujá</v>
      </c>
      <c r="C927" s="234" t="str">
        <f>IFERROR(__xludf.DUMMYFUNCTION("""COMPUTED_VALUE"""),"HUB-LSP-06")</f>
        <v>HUB-LSP-06</v>
      </c>
      <c r="D927" s="234">
        <f>IFERROR(__xludf.DUMMYFUNCTION("""COMPUTED_VALUE"""),20.0)</f>
        <v>20</v>
      </c>
      <c r="E927" s="237" t="str">
        <f>IFERROR(__xludf.DUMMYFUNCTION("""COMPUTED_VALUE"""),"LT0PBL01RV0A1")</f>
        <v>LT0PBL01RV0A1</v>
      </c>
      <c r="F927" s="238" t="str">
        <f>IFERROR(__xludf.DUMMYFUNCTION("""COMPUTED_VALUE"""),"TJN5H17")</f>
        <v>TJN5H17</v>
      </c>
      <c r="G927" s="238">
        <f>IFERROR(__xludf.DUMMYFUNCTION("""COMPUTED_VALUE"""),45982.91666666667)</f>
        <v>45982.91667</v>
      </c>
      <c r="H927" s="238">
        <f>IFERROR(__xludf.DUMMYFUNCTION("""COMPUTED_VALUE"""),45982.99930555555)</f>
        <v>45982.99931</v>
      </c>
      <c r="I927" s="237" t="str">
        <f t="shared" si="1"/>
        <v>Fora</v>
      </c>
      <c r="J927" s="239">
        <v>119.99999999301508</v>
      </c>
    </row>
    <row r="928">
      <c r="A928" s="234" t="s">
        <v>2622</v>
      </c>
      <c r="B928" s="234" t="str">
        <f>IFERROR(__xludf.DUMMYFUNCTION("""COMPUTED_VALUE"""),"LM Hub_SP_Artur Alvim")</f>
        <v>LM Hub_SP_Artur Alvim</v>
      </c>
      <c r="C928" s="234" t="str">
        <f>IFERROR(__xludf.DUMMYFUNCTION("""COMPUTED_VALUE"""),"HUB-LSP-07")</f>
        <v>HUB-LSP-07</v>
      </c>
      <c r="D928" s="234">
        <f>IFERROR(__xludf.DUMMYFUNCTION("""COMPUTED_VALUE"""),35.0)</f>
        <v>35</v>
      </c>
      <c r="E928" s="237" t="str">
        <f>IFERROR(__xludf.DUMMYFUNCTION("""COMPUTED_VALUE"""),"LT0PBL01RUY31")</f>
        <v>LT0PBL01RUY31</v>
      </c>
      <c r="F928" s="238" t="str">
        <f>IFERROR(__xludf.DUMMYFUNCTION("""COMPUTED_VALUE"""),"EPU4G01")</f>
        <v>EPU4G01</v>
      </c>
      <c r="G928" s="238">
        <f>IFERROR(__xludf.DUMMYFUNCTION("""COMPUTED_VALUE"""),45982.91666666667)</f>
        <v>45982.91667</v>
      </c>
      <c r="H928" s="238">
        <f>IFERROR(__xludf.DUMMYFUNCTION("""COMPUTED_VALUE"""),45983.0)</f>
        <v>45983</v>
      </c>
      <c r="I928" s="237" t="str">
        <f t="shared" si="1"/>
        <v>Fora</v>
      </c>
      <c r="J928" s="239">
        <v>119.99999999301508</v>
      </c>
    </row>
    <row r="929">
      <c r="A929" s="234" t="s">
        <v>2623</v>
      </c>
      <c r="B929" s="234" t="str">
        <f>IFERROR(__xludf.DUMMYFUNCTION("""COMPUTED_VALUE"""),"LM Hub_SP_Barueri_01")</f>
        <v>LM Hub_SP_Barueri_01</v>
      </c>
      <c r="C929" s="234" t="str">
        <f>IFERROR(__xludf.DUMMYFUNCTION("""COMPUTED_VALUE"""),"HUB-LSP-81")</f>
        <v>HUB-LSP-81</v>
      </c>
      <c r="D929" s="234">
        <f>IFERROR(__xludf.DUMMYFUNCTION("""COMPUTED_VALUE"""),9.0)</f>
        <v>9</v>
      </c>
      <c r="E929" s="237" t="str">
        <f>IFERROR(__xludf.DUMMYFUNCTION("""COMPUTED_VALUE"""),"LT0PBL01S0E61")</f>
        <v>LT0PBL01S0E61</v>
      </c>
      <c r="F929" s="238" t="str">
        <f>IFERROR(__xludf.DUMMYFUNCTION("""COMPUTED_VALUE"""),"GEV2J37")</f>
        <v>GEV2J37</v>
      </c>
      <c r="G929" s="238">
        <f>IFERROR(__xludf.DUMMYFUNCTION("""COMPUTED_VALUE"""),45982.91666666667)</f>
        <v>45982.91667</v>
      </c>
      <c r="H929" s="238">
        <f>IFERROR(__xludf.DUMMYFUNCTION("""COMPUTED_VALUE"""),45983.0)</f>
        <v>45983</v>
      </c>
      <c r="I929" s="237" t="str">
        <f t="shared" si="1"/>
        <v>Fora</v>
      </c>
      <c r="J929" s="239">
        <v>119.99999999301508</v>
      </c>
    </row>
    <row r="930">
      <c r="A930" s="234" t="s">
        <v>2624</v>
      </c>
      <c r="B930" s="234" t="str">
        <f>IFERROR(__xludf.DUMMYFUNCTION("""COMPUTED_VALUE"""),"LM Hub_SP_Guarulhos")</f>
        <v>LM Hub_SP_Guarulhos</v>
      </c>
      <c r="C930" s="234" t="str">
        <f>IFERROR(__xludf.DUMMYFUNCTION("""COMPUTED_VALUE"""),"HUB-LSP-77")</f>
        <v>HUB-LSP-77</v>
      </c>
      <c r="D930" s="234">
        <f>IFERROR(__xludf.DUMMYFUNCTION("""COMPUTED_VALUE"""),32.0)</f>
        <v>32</v>
      </c>
      <c r="E930" s="237" t="str">
        <f>IFERROR(__xludf.DUMMYFUNCTION("""COMPUTED_VALUE"""),"LT0PBL01RVNK1")</f>
        <v>LT0PBL01RVNK1</v>
      </c>
      <c r="F930" s="238" t="str">
        <f>IFERROR(__xludf.DUMMYFUNCTION("""COMPUTED_VALUE"""),"PRB0D29,NKH4A83")</f>
        <v>PRB0D29,NKH4A83</v>
      </c>
      <c r="G930" s="238">
        <f>IFERROR(__xludf.DUMMYFUNCTION("""COMPUTED_VALUE"""),45982.91666666667)</f>
        <v>45982.91667</v>
      </c>
      <c r="H930" s="238">
        <f>IFERROR(__xludf.DUMMYFUNCTION("""COMPUTED_VALUE"""),45983.0)</f>
        <v>45983</v>
      </c>
      <c r="I930" s="237" t="str">
        <f t="shared" si="1"/>
        <v>Fora</v>
      </c>
      <c r="J930" s="239">
        <v>119.99999999301508</v>
      </c>
    </row>
    <row r="931">
      <c r="A931" s="234" t="s">
        <v>2625</v>
      </c>
      <c r="B931" s="234" t="str">
        <f>IFERROR(__xludf.DUMMYFUNCTION("""COMPUTED_VALUE"""),"LM Hub_SP_Limeira_Campo Belo")</f>
        <v>LM Hub_SP_Limeira_Campo Belo</v>
      </c>
      <c r="C931" s="234" t="str">
        <f>IFERROR(__xludf.DUMMYFUNCTION("""COMPUTED_VALUE"""),"HUB-LSP-24")</f>
        <v>HUB-LSP-24</v>
      </c>
      <c r="D931" s="234">
        <f>IFERROR(__xludf.DUMMYFUNCTION("""COMPUTED_VALUE"""),39.0)</f>
        <v>39</v>
      </c>
      <c r="E931" s="237" t="str">
        <f>IFERROR(__xludf.DUMMYFUNCTION("""COMPUTED_VALUE"""),"LT0PBL01RV1T1")</f>
        <v>LT0PBL01RV1T1</v>
      </c>
      <c r="F931" s="238" t="str">
        <f>IFERROR(__xludf.DUMMYFUNCTION("""COMPUTED_VALUE"""),"FGU5I81,JXA7D06")</f>
        <v>FGU5I81,JXA7D06</v>
      </c>
      <c r="G931" s="238">
        <f>IFERROR(__xludf.DUMMYFUNCTION("""COMPUTED_VALUE"""),45982.91666666667)</f>
        <v>45982.91667</v>
      </c>
      <c r="H931" s="238">
        <f>IFERROR(__xludf.DUMMYFUNCTION("""COMPUTED_VALUE"""),45983.0)</f>
        <v>45983</v>
      </c>
      <c r="I931" s="237" t="str">
        <f t="shared" si="1"/>
        <v>Fora</v>
      </c>
      <c r="J931" s="239">
        <v>119.99999999301508</v>
      </c>
    </row>
    <row r="932">
      <c r="A932" s="234" t="s">
        <v>2626</v>
      </c>
      <c r="B932" s="234" t="str">
        <f>IFERROR(__xludf.DUMMYFUNCTION("""COMPUTED_VALUE"""),"LM Hub_SP_Santo André")</f>
        <v>LM Hub_SP_Santo André</v>
      </c>
      <c r="C932" s="234" t="str">
        <f>IFERROR(__xludf.DUMMYFUNCTION("""COMPUTED_VALUE"""),"HUB-LSP-93")</f>
        <v>HUB-LSP-93</v>
      </c>
      <c r="D932" s="234">
        <f>IFERROR(__xludf.DUMMYFUNCTION("""COMPUTED_VALUE"""),23.0)</f>
        <v>23</v>
      </c>
      <c r="E932" s="237" t="str">
        <f>IFERROR(__xludf.DUMMYFUNCTION("""COMPUTED_VALUE"""),"LT0PBL01RXOK1")</f>
        <v>LT0PBL01RXOK1</v>
      </c>
      <c r="F932" s="238" t="str">
        <f>IFERROR(__xludf.DUMMYFUNCTION("""COMPUTED_VALUE"""),"FQF6B98,DTA7802")</f>
        <v>FQF6B98,DTA7802</v>
      </c>
      <c r="G932" s="238">
        <f>IFERROR(__xludf.DUMMYFUNCTION("""COMPUTED_VALUE"""),45982.91666666667)</f>
        <v>45982.91667</v>
      </c>
      <c r="H932" s="238">
        <f>IFERROR(__xludf.DUMMYFUNCTION("""COMPUTED_VALUE"""),45983.0)</f>
        <v>45983</v>
      </c>
      <c r="I932" s="237" t="str">
        <f t="shared" si="1"/>
        <v>Fora</v>
      </c>
      <c r="J932" s="239">
        <v>119.99999999301508</v>
      </c>
    </row>
    <row r="933">
      <c r="A933" s="234" t="s">
        <v>2627</v>
      </c>
      <c r="B933" s="234" t="str">
        <f>IFERROR(__xludf.DUMMYFUNCTION("""COMPUTED_VALUE"""),"SoC_GO_Goiânia_02")</f>
        <v>SoC_GO_Goiânia_02</v>
      </c>
      <c r="C933" s="234" t="str">
        <f>IFERROR(__xludf.DUMMYFUNCTION("""COMPUTED_VALUE"""),"SOC-GO2")</f>
        <v>SOC-GO2</v>
      </c>
      <c r="D933" s="234">
        <f>IFERROR(__xludf.DUMMYFUNCTION("""COMPUTED_VALUE"""),19.0)</f>
        <v>19</v>
      </c>
      <c r="E933" s="237" t="str">
        <f>IFERROR(__xludf.DUMMYFUNCTION("""COMPUTED_VALUE"""),"LT1PBL01SCKS1")</f>
        <v>LT1PBL01SCKS1</v>
      </c>
      <c r="F933" s="238" t="str">
        <f>IFERROR(__xludf.DUMMYFUNCTION("""COMPUTED_VALUE"""),"LKZ5A38,FZH9C17")</f>
        <v>LKZ5A38,FZH9C17</v>
      </c>
      <c r="G933" s="238">
        <f>IFERROR(__xludf.DUMMYFUNCTION("""COMPUTED_VALUE"""),45982.91666666667)</f>
        <v>45982.91667</v>
      </c>
      <c r="H933" s="238">
        <f>IFERROR(__xludf.DUMMYFUNCTION("""COMPUTED_VALUE"""),45983.0)</f>
        <v>45983</v>
      </c>
      <c r="I933" s="237" t="str">
        <f t="shared" si="1"/>
        <v>Fora</v>
      </c>
      <c r="J933" s="239">
        <v>119.00000000023283</v>
      </c>
    </row>
    <row r="934">
      <c r="A934" s="234" t="s">
        <v>2628</v>
      </c>
      <c r="B934" s="234" t="str">
        <f>IFERROR(__xludf.DUMMYFUNCTION("""COMPUTED_VALUE"""),"LM Hub_SP_Itapevi")</f>
        <v>LM Hub_SP_Itapevi</v>
      </c>
      <c r="C934" s="234" t="str">
        <f>IFERROR(__xludf.DUMMYFUNCTION("""COMPUTED_VALUE"""),"HUB-LSP-41")</f>
        <v>HUB-LSP-41</v>
      </c>
      <c r="D934" s="234">
        <f>IFERROR(__xludf.DUMMYFUNCTION("""COMPUTED_VALUE"""),21.0)</f>
        <v>21</v>
      </c>
      <c r="E934" s="237" t="str">
        <f>IFERROR(__xludf.DUMMYFUNCTION("""COMPUTED_VALUE"""),"LT0PBL01S3SY1")</f>
        <v>LT0PBL01S3SY1</v>
      </c>
      <c r="F934" s="238" t="str">
        <f>IFERROR(__xludf.DUMMYFUNCTION("""COMPUTED_VALUE"""),"FYQ5533")</f>
        <v>FYQ5533</v>
      </c>
      <c r="G934" s="238">
        <f>IFERROR(__xludf.DUMMYFUNCTION("""COMPUTED_VALUE"""),45982.91736111111)</f>
        <v>45982.91736</v>
      </c>
      <c r="H934" s="238">
        <f>IFERROR(__xludf.DUMMYFUNCTION("""COMPUTED_VALUE"""),45983.0)</f>
        <v>45983</v>
      </c>
      <c r="I934" s="237" t="str">
        <f t="shared" si="1"/>
        <v>Fora</v>
      </c>
      <c r="J934" s="239">
        <v>119.00000000023283</v>
      </c>
    </row>
    <row r="935">
      <c r="A935" s="234" t="s">
        <v>2629</v>
      </c>
      <c r="B935" s="234" t="str">
        <f>IFERROR(__xludf.DUMMYFUNCTION("""COMPUTED_VALUE"""),"LM Hub_SP_Mauá")</f>
        <v>LM Hub_SP_Mauá</v>
      </c>
      <c r="C935" s="234" t="str">
        <f>IFERROR(__xludf.DUMMYFUNCTION("""COMPUTED_VALUE"""),"HUB-LSP-64")</f>
        <v>HUB-LSP-64</v>
      </c>
      <c r="D935" s="234">
        <f>IFERROR(__xludf.DUMMYFUNCTION("""COMPUTED_VALUE"""),7.0)</f>
        <v>7</v>
      </c>
      <c r="E935" s="237" t="str">
        <f>IFERROR(__xludf.DUMMYFUNCTION("""COMPUTED_VALUE"""),"LT0PBL01S3T11")</f>
        <v>LT0PBL01S3T11</v>
      </c>
      <c r="F935" s="234" t="str">
        <f>IFERROR(__xludf.DUMMYFUNCTION("""COMPUTED_VALUE"""),"ASN0C15")</f>
        <v>ASN0C15</v>
      </c>
      <c r="G935" s="238">
        <f>IFERROR(__xludf.DUMMYFUNCTION("""COMPUTED_VALUE"""),45982.91736111111)</f>
        <v>45982.91736</v>
      </c>
      <c r="H935" s="238">
        <f>IFERROR(__xludf.DUMMYFUNCTION("""COMPUTED_VALUE"""),45983.0)</f>
        <v>45983</v>
      </c>
      <c r="I935" s="237" t="str">
        <f t="shared" si="1"/>
        <v>Fora</v>
      </c>
      <c r="J935" s="239">
        <v>119.99999999301508</v>
      </c>
    </row>
    <row r="936">
      <c r="A936" s="234" t="s">
        <v>2630</v>
      </c>
      <c r="B936" s="234" t="str">
        <f>IFERROR(__xludf.DUMMYFUNCTION("""COMPUTED_VALUE"""),"LM Hub_MG_Juiz de Fora_Dist Ind")</f>
        <v>LM Hub_MG_Juiz de Fora_Dist Ind</v>
      </c>
      <c r="C936" s="234" t="str">
        <f>IFERROR(__xludf.DUMMYFUNCTION("""COMPUTED_VALUE"""),"HUB-LMG-59")</f>
        <v>HUB-LMG-59</v>
      </c>
      <c r="D936" s="234">
        <f>IFERROR(__xludf.DUMMYFUNCTION("""COMPUTED_VALUE"""),29.0)</f>
        <v>29</v>
      </c>
      <c r="E936" s="237" t="str">
        <f>IFERROR(__xludf.DUMMYFUNCTION("""COMPUTED_VALUE"""),"LT0PBL01S1IA1")</f>
        <v>LT0PBL01S1IA1</v>
      </c>
      <c r="F936" s="238" t="str">
        <f>IFERROR(__xludf.DUMMYFUNCTION("""COMPUTED_VALUE"""),"EZP2D49")</f>
        <v>EZP2D49</v>
      </c>
      <c r="G936" s="238">
        <f>IFERROR(__xludf.DUMMYFUNCTION("""COMPUTED_VALUE"""),45982.9375)</f>
        <v>45982.9375</v>
      </c>
      <c r="H936" s="238">
        <f>IFERROR(__xludf.DUMMYFUNCTION("""COMPUTED_VALUE"""),45983.02083333333)</f>
        <v>45983.02083</v>
      </c>
      <c r="I936" s="237" t="str">
        <f t="shared" si="1"/>
        <v>Fora</v>
      </c>
      <c r="J936" s="239">
        <v>119.99999999301508</v>
      </c>
    </row>
    <row r="937">
      <c r="A937" s="234" t="s">
        <v>2631</v>
      </c>
      <c r="B937" s="234" t="str">
        <f>IFERROR(__xludf.DUMMYFUNCTION("""COMPUTED_VALUE"""),"LM Hub_SP_Jardim Adriana")</f>
        <v>LM Hub_SP_Jardim Adriana</v>
      </c>
      <c r="C937" s="234" t="str">
        <f>IFERROR(__xludf.DUMMYFUNCTION("""COMPUTED_VALUE"""),"HUB-LSP-12")</f>
        <v>HUB-LSP-12</v>
      </c>
      <c r="D937" s="234">
        <f>IFERROR(__xludf.DUMMYFUNCTION("""COMPUTED_VALUE"""),12.0)</f>
        <v>12</v>
      </c>
      <c r="E937" s="237" t="str">
        <f>IFERROR(__xludf.DUMMYFUNCTION("""COMPUTED_VALUE"""),"LT0PBL01RUY81")</f>
        <v>LT0PBL01RUY81</v>
      </c>
      <c r="F937" s="238" t="str">
        <f>IFERROR(__xludf.DUMMYFUNCTION("""COMPUTED_VALUE"""),"FYZ2D15")</f>
        <v>FYZ2D15</v>
      </c>
      <c r="G937" s="238">
        <f>IFERROR(__xludf.DUMMYFUNCTION("""COMPUTED_VALUE"""),45982.9375)</f>
        <v>45982.9375</v>
      </c>
      <c r="H937" s="238">
        <f>IFERROR(__xludf.DUMMYFUNCTION("""COMPUTED_VALUE"""),45983.02083333333)</f>
        <v>45983.02083</v>
      </c>
      <c r="I937" s="237" t="str">
        <f t="shared" si="1"/>
        <v>Fora</v>
      </c>
      <c r="J937" s="239">
        <v>119.99999999301508</v>
      </c>
    </row>
    <row r="938">
      <c r="A938" s="234" t="s">
        <v>2632</v>
      </c>
      <c r="B938" s="234" t="str">
        <f>IFERROR(__xludf.DUMMYFUNCTION("""COMPUTED_VALUE"""),"LM Hub_SP_Parque Novo Mundo")</f>
        <v>LM Hub_SP_Parque Novo Mundo</v>
      </c>
      <c r="C938" s="234" t="str">
        <f>IFERROR(__xludf.DUMMYFUNCTION("""COMPUTED_VALUE"""),"HUB-LSP-89")</f>
        <v>HUB-LSP-89</v>
      </c>
      <c r="D938" s="234">
        <f>IFERROR(__xludf.DUMMYFUNCTION("""COMPUTED_VALUE"""),37.0)</f>
        <v>37</v>
      </c>
      <c r="E938" s="237" t="str">
        <f>IFERROR(__xludf.DUMMYFUNCTION("""COMPUTED_VALUE"""),"LT0PBL01RVUX1")</f>
        <v>LT0PBL01RVUX1</v>
      </c>
      <c r="F938" s="238" t="str">
        <f>IFERROR(__xludf.DUMMYFUNCTION("""COMPUTED_VALUE"""),"GIQ1C13,AKZ0B43")</f>
        <v>GIQ1C13,AKZ0B43</v>
      </c>
      <c r="G938" s="238">
        <f>IFERROR(__xludf.DUMMYFUNCTION("""COMPUTED_VALUE"""),45982.9375)</f>
        <v>45982.9375</v>
      </c>
      <c r="H938" s="238">
        <f>IFERROR(__xludf.DUMMYFUNCTION("""COMPUTED_VALUE"""),45983.02083333333)</f>
        <v>45983.02083</v>
      </c>
      <c r="I938" s="237" t="str">
        <f t="shared" si="1"/>
        <v>Fora</v>
      </c>
      <c r="J938" s="239">
        <v>119.99999999301508</v>
      </c>
    </row>
    <row r="939">
      <c r="A939" s="234" t="s">
        <v>2633</v>
      </c>
      <c r="B939" s="234" t="str">
        <f>IFERROR(__xludf.DUMMYFUNCTION("""COMPUTED_VALUE"""),"LM Hub_SP_São Paulo_Carandiru")</f>
        <v>LM Hub_SP_São Paulo_Carandiru</v>
      </c>
      <c r="C939" s="234" t="str">
        <f>IFERROR(__xludf.DUMMYFUNCTION("""COMPUTED_VALUE"""),"HUB-LSP-18")</f>
        <v>HUB-LSP-18</v>
      </c>
      <c r="D939" s="234">
        <f>IFERROR(__xludf.DUMMYFUNCTION("""COMPUTED_VALUE"""),34.0)</f>
        <v>34</v>
      </c>
      <c r="E939" s="237" t="str">
        <f>IFERROR(__xludf.DUMMYFUNCTION("""COMPUTED_VALUE"""),"LT0PBL01RUYQ1")</f>
        <v>LT0PBL01RUYQ1</v>
      </c>
      <c r="F939" s="238" t="str">
        <f>IFERROR(__xludf.DUMMYFUNCTION("""COMPUTED_VALUE"""),"FMD3I95")</f>
        <v>FMD3I95</v>
      </c>
      <c r="G939" s="238">
        <f>IFERROR(__xludf.DUMMYFUNCTION("""COMPUTED_VALUE"""),45982.9375)</f>
        <v>45982.9375</v>
      </c>
      <c r="H939" s="238">
        <f>IFERROR(__xludf.DUMMYFUNCTION("""COMPUTED_VALUE"""),45983.02083333333)</f>
        <v>45983.02083</v>
      </c>
      <c r="I939" s="237" t="str">
        <f t="shared" si="1"/>
        <v>Fora</v>
      </c>
      <c r="J939" s="239">
        <v>118.99999998975545</v>
      </c>
    </row>
    <row r="940">
      <c r="A940" s="234" t="s">
        <v>2634</v>
      </c>
      <c r="B940" s="234" t="str">
        <f>IFERROR(__xludf.DUMMYFUNCTION("""COMPUTED_VALUE"""),"LM Hub_SP_Piracicaba")</f>
        <v>LM Hub_SP_Piracicaba</v>
      </c>
      <c r="C940" s="234" t="str">
        <f>IFERROR(__xludf.DUMMYFUNCTION("""COMPUTED_VALUE"""),"HUB-LSP-62")</f>
        <v>HUB-LSP-62</v>
      </c>
      <c r="D940" s="234">
        <f>IFERROR(__xludf.DUMMYFUNCTION("""COMPUTED_VALUE"""),15.0)</f>
        <v>15</v>
      </c>
      <c r="E940" s="237" t="str">
        <f>IFERROR(__xludf.DUMMYFUNCTION("""COMPUTED_VALUE"""),"LT0PBL01RVNV1")</f>
        <v>LT0PBL01RVNV1</v>
      </c>
      <c r="F940" s="238" t="str">
        <f>IFERROR(__xludf.DUMMYFUNCTION("""COMPUTED_VALUE"""),"EOF4D32")</f>
        <v>EOF4D32</v>
      </c>
      <c r="G940" s="238">
        <f>IFERROR(__xludf.DUMMYFUNCTION("""COMPUTED_VALUE"""),45982.93819444445)</f>
        <v>45982.93819</v>
      </c>
      <c r="H940" s="238">
        <f>IFERROR(__xludf.DUMMYFUNCTION("""COMPUTED_VALUE"""),45983.02083333333)</f>
        <v>45983.02083</v>
      </c>
      <c r="I940" s="237" t="str">
        <f t="shared" si="1"/>
        <v>Fora</v>
      </c>
      <c r="J940" s="239">
        <v>118.99999998975545</v>
      </c>
    </row>
    <row r="941">
      <c r="A941" s="234" t="s">
        <v>2635</v>
      </c>
      <c r="B941" s="234" t="str">
        <f>IFERROR(__xludf.DUMMYFUNCTION("""COMPUTED_VALUE"""),"LM Hub_SP_VilaGuilherme")</f>
        <v>LM Hub_SP_VilaGuilherme</v>
      </c>
      <c r="C941" s="234" t="str">
        <f>IFERROR(__xludf.DUMMYFUNCTION("""COMPUTED_VALUE"""),"HUB-LSP-68")</f>
        <v>HUB-LSP-68</v>
      </c>
      <c r="D941" s="234">
        <f>IFERROR(__xludf.DUMMYFUNCTION("""COMPUTED_VALUE"""),14.0)</f>
        <v>14</v>
      </c>
      <c r="E941" s="237" t="str">
        <f>IFERROR(__xludf.DUMMYFUNCTION("""COMPUTED_VALUE"""),"LT0PBL01S3T71")</f>
        <v>LT0PBL01S3T71</v>
      </c>
      <c r="F941" s="238" t="str">
        <f>IFERROR(__xludf.DUMMYFUNCTION("""COMPUTED_VALUE"""),"HFD4H27,JXG9745")</f>
        <v>HFD4H27,JXG9745</v>
      </c>
      <c r="G941" s="238">
        <f>IFERROR(__xludf.DUMMYFUNCTION("""COMPUTED_VALUE"""),45982.93819444445)</f>
        <v>45982.93819</v>
      </c>
      <c r="H941" s="238">
        <f>IFERROR(__xludf.DUMMYFUNCTION("""COMPUTED_VALUE"""),45983.02083333333)</f>
        <v>45983.02083</v>
      </c>
      <c r="I941" s="237" t="str">
        <f t="shared" si="1"/>
        <v>Fora</v>
      </c>
      <c r="J941" s="239">
        <v>120.00000001396984</v>
      </c>
    </row>
    <row r="942">
      <c r="A942" s="234" t="s">
        <v>2636</v>
      </c>
      <c r="B942" s="234" t="str">
        <f>IFERROR(__xludf.DUMMYFUNCTION("""COMPUTED_VALUE"""),"LM Hub_SP_Mogi Mirim")</f>
        <v>LM Hub_SP_Mogi Mirim</v>
      </c>
      <c r="C942" s="234" t="str">
        <f>IFERROR(__xludf.DUMMYFUNCTION("""COMPUTED_VALUE"""),"HUB-LSP-37")</f>
        <v>HUB-LSP-37</v>
      </c>
      <c r="D942" s="234">
        <f>IFERROR(__xludf.DUMMYFUNCTION("""COMPUTED_VALUE"""),36.0)</f>
        <v>36</v>
      </c>
      <c r="E942" s="237" t="str">
        <f>IFERROR(__xludf.DUMMYFUNCTION("""COMPUTED_VALUE"""),"LT0PBL01RV2Q1")</f>
        <v>LT0PBL01RV2Q1</v>
      </c>
      <c r="F942" s="238" t="str">
        <f>IFERROR(__xludf.DUMMYFUNCTION("""COMPUTED_VALUE"""),"FQV7E24,EFU9D57")</f>
        <v>FQV7E24,EFU9D57</v>
      </c>
      <c r="G942" s="238">
        <f>IFERROR(__xludf.DUMMYFUNCTION("""COMPUTED_VALUE"""),45982.95833333333)</f>
        <v>45982.95833</v>
      </c>
      <c r="H942" s="238">
        <f>IFERROR(__xludf.DUMMYFUNCTION("""COMPUTED_VALUE"""),45983.04166666667)</f>
        <v>45983.04167</v>
      </c>
      <c r="I942" s="237" t="str">
        <f t="shared" si="1"/>
        <v>Fora</v>
      </c>
      <c r="J942" s="239">
        <v>120.00000001396984</v>
      </c>
    </row>
    <row r="943">
      <c r="A943" s="234" t="s">
        <v>2637</v>
      </c>
      <c r="B943" s="234" t="str">
        <f>IFERROR(__xludf.DUMMYFUNCTION("""COMPUTED_VALUE"""),"SoC_RS_Gravataí_02")</f>
        <v>SoC_RS_Gravataí_02</v>
      </c>
      <c r="C943" s="234" t="str">
        <f>IFERROR(__xludf.DUMMYFUNCTION("""COMPUTED_VALUE"""),"SOC-RS2")</f>
        <v>SOC-RS2</v>
      </c>
      <c r="D943" s="234">
        <f>IFERROR(__xludf.DUMMYFUNCTION("""COMPUTED_VALUE"""),25.0)</f>
        <v>25</v>
      </c>
      <c r="E943" s="237" t="str">
        <f>IFERROR(__xludf.DUMMYFUNCTION("""COMPUTED_VALUE"""),"LT1PBL01SCKT1")</f>
        <v>LT1PBL01SCKT1</v>
      </c>
      <c r="F943" s="238" t="str">
        <f>IFERROR(__xludf.DUMMYFUNCTION("""COMPUTED_VALUE"""),"EML3G12,EMT0D31")</f>
        <v>EML3G12,EMT0D31</v>
      </c>
      <c r="G943" s="238">
        <f>IFERROR(__xludf.DUMMYFUNCTION("""COMPUTED_VALUE"""),45982.95833333333)</f>
        <v>45982.95833</v>
      </c>
      <c r="H943" s="238">
        <f>IFERROR(__xludf.DUMMYFUNCTION("""COMPUTED_VALUE"""),45983.04166666667)</f>
        <v>45983.04167</v>
      </c>
      <c r="I943" s="237" t="str">
        <f t="shared" si="1"/>
        <v>Fora</v>
      </c>
      <c r="J943" s="239">
        <v>60.00000000698492</v>
      </c>
    </row>
    <row r="944">
      <c r="A944" s="234" t="s">
        <v>2638</v>
      </c>
      <c r="B944" s="234" t="str">
        <f>IFERROR(__xludf.DUMMYFUNCTION("""COMPUTED_VALUE"""),"LM Hub_SP_São Paulo_Carandiru")</f>
        <v>LM Hub_SP_São Paulo_Carandiru</v>
      </c>
      <c r="C944" s="234" t="str">
        <f>IFERROR(__xludf.DUMMYFUNCTION("""COMPUTED_VALUE"""),"HUB-LSP-18")</f>
        <v>HUB-LSP-18</v>
      </c>
      <c r="D944" s="234">
        <f>IFERROR(__xludf.DUMMYFUNCTION("""COMPUTED_VALUE"""),34.0)</f>
        <v>34</v>
      </c>
      <c r="E944" s="237" t="str">
        <f>IFERROR(__xludf.DUMMYFUNCTION("""COMPUTED_VALUE"""),"LT1PBM01SSK21")</f>
        <v>LT1PBM01SSK21</v>
      </c>
      <c r="F944" s="238" t="str">
        <f>IFERROR(__xludf.DUMMYFUNCTION("""COMPUTED_VALUE"""),"FMU5690")</f>
        <v>FMU5690</v>
      </c>
      <c r="G944" s="238">
        <f>IFERROR(__xludf.DUMMYFUNCTION("""COMPUTED_VALUE"""),45983.0)</f>
        <v>45983</v>
      </c>
      <c r="H944" s="238">
        <f>IFERROR(__xludf.DUMMYFUNCTION("""COMPUTED_VALUE"""),45983.04166666667)</f>
        <v>45983.04167</v>
      </c>
      <c r="I944" s="237" t="str">
        <f t="shared" si="1"/>
        <v>Fora</v>
      </c>
      <c r="J944" s="239">
        <v>119.99999999301508</v>
      </c>
    </row>
    <row r="945">
      <c r="A945" s="234" t="s">
        <v>2639</v>
      </c>
      <c r="B945" s="234" t="str">
        <f>IFERROR(__xludf.DUMMYFUNCTION("""COMPUTED_VALUE"""),"LM Hub_SP_Araraquara")</f>
        <v>LM Hub_SP_Araraquara</v>
      </c>
      <c r="C945" s="234" t="str">
        <f>IFERROR(__xludf.DUMMYFUNCTION("""COMPUTED_VALUE"""),"HUB-LSP-29")</f>
        <v>HUB-LSP-29</v>
      </c>
      <c r="D945" s="234">
        <f>IFERROR(__xludf.DUMMYFUNCTION("""COMPUTED_VALUE"""),16.0)</f>
        <v>16</v>
      </c>
      <c r="E945" s="237" t="str">
        <f>IFERROR(__xludf.DUMMYFUNCTION("""COMPUTED_VALUE"""),"LT0PBL01RV2V1")</f>
        <v>LT0PBL01RV2V1</v>
      </c>
      <c r="F945" s="238" t="str">
        <f>IFERROR(__xludf.DUMMYFUNCTION("""COMPUTED_VALUE"""),"EWJ2H21")</f>
        <v>EWJ2H21</v>
      </c>
      <c r="G945" s="238">
        <f>IFERROR(__xludf.DUMMYFUNCTION("""COMPUTED_VALUE"""),45982.97916666667)</f>
        <v>45982.97917</v>
      </c>
      <c r="H945" s="238">
        <f>IFERROR(__xludf.DUMMYFUNCTION("""COMPUTED_VALUE"""),45983.0625)</f>
        <v>45983.0625</v>
      </c>
      <c r="I945" s="237" t="str">
        <f t="shared" si="1"/>
        <v>Fora</v>
      </c>
      <c r="J945" s="239">
        <v>119.99999999301508</v>
      </c>
    </row>
    <row r="946">
      <c r="A946" s="234" t="s">
        <v>2640</v>
      </c>
      <c r="B946" s="234" t="str">
        <f>IFERROR(__xludf.DUMMYFUNCTION("""COMPUTED_VALUE"""),"LM Hub_SP_Atibaia_Ponte_Alta")</f>
        <v>LM Hub_SP_Atibaia_Ponte_Alta</v>
      </c>
      <c r="C946" s="234" t="str">
        <f>IFERROR(__xludf.DUMMYFUNCTION("""COMPUTED_VALUE"""),"HUB-LSP-87")</f>
        <v>HUB-LSP-87</v>
      </c>
      <c r="D946" s="234">
        <f>IFERROR(__xludf.DUMMYFUNCTION("""COMPUTED_VALUE"""),9.0)</f>
        <v>9</v>
      </c>
      <c r="E946" s="237" t="str">
        <f>IFERROR(__xludf.DUMMYFUNCTION("""COMPUTED_VALUE"""),"LT0PBL01RYX61")</f>
        <v>LT0PBL01RYX61</v>
      </c>
      <c r="F946" s="238" t="str">
        <f>IFERROR(__xludf.DUMMYFUNCTION("""COMPUTED_VALUE"""),"PRI3H29")</f>
        <v>PRI3H29</v>
      </c>
      <c r="G946" s="238">
        <f>IFERROR(__xludf.DUMMYFUNCTION("""COMPUTED_VALUE"""),45982.97916666667)</f>
        <v>45982.97917</v>
      </c>
      <c r="H946" s="238">
        <f>IFERROR(__xludf.DUMMYFUNCTION("""COMPUTED_VALUE"""),45983.0625)</f>
        <v>45983.0625</v>
      </c>
      <c r="I946" s="237" t="str">
        <f t="shared" si="1"/>
        <v>Fora</v>
      </c>
      <c r="J946" s="239">
        <v>119.99999999301508</v>
      </c>
    </row>
    <row r="947">
      <c r="A947" s="234" t="s">
        <v>2641</v>
      </c>
      <c r="B947" s="234" t="str">
        <f>IFERROR(__xludf.DUMMYFUNCTION("""COMPUTED_VALUE"""),"LM Hub_SP_Jundiaí")</f>
        <v>LM Hub_SP_Jundiaí</v>
      </c>
      <c r="C947" s="234" t="str">
        <f>IFERROR(__xludf.DUMMYFUNCTION("""COMPUTED_VALUE"""),"HUB-LSP-20")</f>
        <v>HUB-LSP-20</v>
      </c>
      <c r="D947" s="234">
        <f>IFERROR(__xludf.DUMMYFUNCTION("""COMPUTED_VALUE"""),5.0)</f>
        <v>5</v>
      </c>
      <c r="E947" s="237" t="str">
        <f>IFERROR(__xludf.DUMMYFUNCTION("""COMPUTED_VALUE"""),"LT0PBL01RV361")</f>
        <v>LT0PBL01RV361</v>
      </c>
      <c r="F947" s="238" t="str">
        <f>IFERROR(__xludf.DUMMYFUNCTION("""COMPUTED_VALUE"""),"EOV6B66")</f>
        <v>EOV6B66</v>
      </c>
      <c r="G947" s="238">
        <f>IFERROR(__xludf.DUMMYFUNCTION("""COMPUTED_VALUE"""),45982.97916666667)</f>
        <v>45982.97917</v>
      </c>
      <c r="H947" s="238">
        <f>IFERROR(__xludf.DUMMYFUNCTION("""COMPUTED_VALUE"""),45983.0625)</f>
        <v>45983.0625</v>
      </c>
      <c r="I947" s="237" t="str">
        <f t="shared" si="1"/>
        <v>Fora</v>
      </c>
      <c r="J947" s="239">
        <v>119.00000000023283</v>
      </c>
    </row>
    <row r="948">
      <c r="A948" s="234" t="s">
        <v>2642</v>
      </c>
      <c r="B948" s="234" t="str">
        <f>IFERROR(__xludf.DUMMYFUNCTION("""COMPUTED_VALUE"""),"LM Hub_SP_Várzea Paulista")</f>
        <v>LM Hub_SP_Várzea Paulista</v>
      </c>
      <c r="C948" s="234" t="str">
        <f>IFERROR(__xludf.DUMMYFUNCTION("""COMPUTED_VALUE"""),"HUB-LSP-61")</f>
        <v>HUB-LSP-61</v>
      </c>
      <c r="D948" s="234">
        <f>IFERROR(__xludf.DUMMYFUNCTION("""COMPUTED_VALUE"""),38.0)</f>
        <v>38</v>
      </c>
      <c r="E948" s="237" t="str">
        <f>IFERROR(__xludf.DUMMYFUNCTION("""COMPUTED_VALUE"""),"LT0PBL01RV241")</f>
        <v>LT0PBL01RV241</v>
      </c>
      <c r="F948" s="238" t="str">
        <f>IFERROR(__xludf.DUMMYFUNCTION("""COMPUTED_VALUE"""),"ODE8A12,FHL3D71")</f>
        <v>ODE8A12,FHL3D71</v>
      </c>
      <c r="G948" s="238">
        <f>IFERROR(__xludf.DUMMYFUNCTION("""COMPUTED_VALUE"""),45982.97986111111)</f>
        <v>45982.97986</v>
      </c>
      <c r="H948" s="238">
        <f>IFERROR(__xludf.DUMMYFUNCTION("""COMPUTED_VALUE"""),45983.0625)</f>
        <v>45983.0625</v>
      </c>
      <c r="I948" s="237" t="str">
        <f t="shared" si="1"/>
        <v>Fora</v>
      </c>
      <c r="J948" s="239">
        <v>240.00000000698492</v>
      </c>
    </row>
    <row r="949">
      <c r="A949" s="234" t="s">
        <v>2643</v>
      </c>
      <c r="B949" s="234" t="str">
        <f>IFERROR(__xludf.DUMMYFUNCTION("""COMPUTED_VALUE"""),"SoC_RJ_Duque de Caxias")</f>
        <v>SoC_RJ_Duque de Caxias</v>
      </c>
      <c r="C949" s="234" t="str">
        <f>IFERROR(__xludf.DUMMYFUNCTION("""COMPUTED_VALUE"""),"SOC-RJ2")</f>
        <v>SOC-RJ2</v>
      </c>
      <c r="D949" s="234">
        <f>IFERROR(__xludf.DUMMYFUNCTION("""COMPUTED_VALUE"""),93.0)</f>
        <v>93</v>
      </c>
      <c r="E949" s="237" t="str">
        <f>IFERROR(__xludf.DUMMYFUNCTION("""COMPUTED_VALUE"""),"LT0PBL01RX7W1")</f>
        <v>LT0PBL01RX7W1</v>
      </c>
      <c r="F949" s="238" t="str">
        <f>IFERROR(__xludf.DUMMYFUNCTION("""COMPUTED_VALUE"""),"TIV8C68,ADI9G66")</f>
        <v>TIV8C68,ADI9G66</v>
      </c>
      <c r="G949" s="238">
        <f>IFERROR(__xludf.DUMMYFUNCTION("""COMPUTED_VALUE"""),45982.95833333333)</f>
        <v>45982.95833</v>
      </c>
      <c r="H949" s="238">
        <f>IFERROR(__xludf.DUMMYFUNCTION("""COMPUTED_VALUE"""),45983.125)</f>
        <v>45983.125</v>
      </c>
      <c r="I949" s="237" t="str">
        <f t="shared" si="1"/>
        <v>Fora</v>
      </c>
      <c r="J949" s="239">
        <v>240.00000000698492</v>
      </c>
    </row>
    <row r="950">
      <c r="A950" s="234" t="s">
        <v>2644</v>
      </c>
      <c r="B950" s="234" t="str">
        <f>IFERROR(__xludf.DUMMYFUNCTION("""COMPUTED_VALUE"""),"SoC_RJ_Duque de Caxias")</f>
        <v>SoC_RJ_Duque de Caxias</v>
      </c>
      <c r="C950" s="234" t="str">
        <f>IFERROR(__xludf.DUMMYFUNCTION("""COMPUTED_VALUE"""),"SOC-RJ2")</f>
        <v>SOC-RJ2</v>
      </c>
      <c r="D950" s="234">
        <f>IFERROR(__xludf.DUMMYFUNCTION("""COMPUTED_VALUE"""),92.0)</f>
        <v>92</v>
      </c>
      <c r="E950" s="237" t="str">
        <f>IFERROR(__xludf.DUMMYFUNCTION("""COMPUTED_VALUE"""),"LT0PBM01RX6R1")</f>
        <v>LT0PBM01RX6R1</v>
      </c>
      <c r="F950" s="238" t="str">
        <f>IFERROR(__xludf.DUMMYFUNCTION("""COMPUTED_VALUE"""),"DTE7F06,GIH5J68")</f>
        <v>DTE7F06,GIH5J68</v>
      </c>
      <c r="G950" s="238">
        <f>IFERROR(__xludf.DUMMYFUNCTION("""COMPUTED_VALUE"""),45983.0)</f>
        <v>45983</v>
      </c>
      <c r="H950" s="238">
        <f>IFERROR(__xludf.DUMMYFUNCTION("""COMPUTED_VALUE"""),45983.16666666667)</f>
        <v>45983.16667</v>
      </c>
      <c r="I950" s="237" t="str">
        <f t="shared" si="1"/>
        <v>Fora</v>
      </c>
      <c r="J950" s="239">
        <v>238.00000000046566</v>
      </c>
    </row>
    <row r="951">
      <c r="A951" s="234" t="s">
        <v>2645</v>
      </c>
      <c r="B951" s="234" t="str">
        <f>IFERROR(__xludf.DUMMYFUNCTION("""COMPUTED_VALUE"""),"SoC_MG_Betim")</f>
        <v>SoC_MG_Betim</v>
      </c>
      <c r="C951" s="234" t="str">
        <f>IFERROR(__xludf.DUMMYFUNCTION("""COMPUTED_VALUE"""),"SOC-MG2")</f>
        <v>SOC-MG2</v>
      </c>
      <c r="D951" s="234">
        <f>IFERROR(__xludf.DUMMYFUNCTION("""COMPUTED_VALUE"""),44.0)</f>
        <v>44</v>
      </c>
      <c r="E951" s="237" t="str">
        <f>IFERROR(__xludf.DUMMYFUNCTION("""COMPUTED_VALUE"""),"LT0PBM01RUUR2")</f>
        <v>LT0PBM01RUUR2</v>
      </c>
      <c r="F951" s="238" t="str">
        <f>IFERROR(__xludf.DUMMYFUNCTION("""COMPUTED_VALUE"""),"SWQ6D05,SWG3J97")</f>
        <v>SWQ6D05,SWG3J97</v>
      </c>
      <c r="G951" s="238">
        <f>IFERROR(__xludf.DUMMYFUNCTION("""COMPUTED_VALUE"""),45983.00138888889)</f>
        <v>45983.00139</v>
      </c>
      <c r="H951" s="238">
        <f>IFERROR(__xludf.DUMMYFUNCTION("""COMPUTED_VALUE"""),45983.16666666667)</f>
        <v>45983.16667</v>
      </c>
      <c r="I951" s="237" t="str">
        <f t="shared" si="1"/>
        <v>Fora</v>
      </c>
      <c r="J951" s="239">
        <v>180.0</v>
      </c>
    </row>
    <row r="952">
      <c r="A952" s="234" t="s">
        <v>2646</v>
      </c>
      <c r="B952" s="234" t="str">
        <f>IFERROR(__xludf.DUMMYFUNCTION("""COMPUTED_VALUE"""),"SoC_SP_Santana")</f>
        <v>SoC_SP_Santana</v>
      </c>
      <c r="C952" s="234" t="str">
        <f>IFERROR(__xludf.DUMMYFUNCTION("""COMPUTED_VALUE"""),"SOC-SP2")</f>
        <v>SOC-SP2</v>
      </c>
      <c r="D952" s="234">
        <f>IFERROR(__xludf.DUMMYFUNCTION("""COMPUTED_VALUE"""),33.0)</f>
        <v>33</v>
      </c>
      <c r="E952" s="237" t="str">
        <f>IFERROR(__xludf.DUMMYFUNCTION("""COMPUTED_VALUE"""),"LT0PBM01RVFH1")</f>
        <v>LT0PBM01RVFH1</v>
      </c>
      <c r="F952" s="238" t="str">
        <f>IFERROR(__xludf.DUMMYFUNCTION("""COMPUTED_VALUE"""),"EJY6I98,DJE1615")</f>
        <v>EJY6I98,DJE1615</v>
      </c>
      <c r="G952" s="238">
        <f>IFERROR(__xludf.DUMMYFUNCTION("""COMPUTED_VALUE"""),45983.04166666667)</f>
        <v>45983.04167</v>
      </c>
      <c r="H952" s="238">
        <f>IFERROR(__xludf.DUMMYFUNCTION("""COMPUTED_VALUE"""),45983.16666666667)</f>
        <v>45983.16667</v>
      </c>
      <c r="I952" s="237" t="str">
        <f t="shared" si="1"/>
        <v>Fora</v>
      </c>
      <c r="J952" s="239">
        <v>120.00000001396984</v>
      </c>
    </row>
    <row r="953">
      <c r="A953" s="234" t="s">
        <v>2647</v>
      </c>
      <c r="B953" s="234" t="str">
        <f>IFERROR(__xludf.DUMMYFUNCTION("""COMPUTED_VALUE"""),"LM Hub_SP_Tatuí")</f>
        <v>LM Hub_SP_Tatuí</v>
      </c>
      <c r="C953" s="234" t="str">
        <f>IFERROR(__xludf.DUMMYFUNCTION("""COMPUTED_VALUE"""),"HUB-LSP-51")</f>
        <v>HUB-LSP-51</v>
      </c>
      <c r="D953" s="234">
        <f>IFERROR(__xludf.DUMMYFUNCTION("""COMPUTED_VALUE"""),13.0)</f>
        <v>13</v>
      </c>
      <c r="E953" s="237" t="str">
        <f>IFERROR(__xludf.DUMMYFUNCTION("""COMPUTED_VALUE"""),"LT0PBM01RUZQ1")</f>
        <v>LT0PBM01RUZQ1</v>
      </c>
      <c r="F953" s="238" t="str">
        <f>IFERROR(__xludf.DUMMYFUNCTION("""COMPUTED_VALUE"""),"FLO1G76")</f>
        <v>FLO1G76</v>
      </c>
      <c r="G953" s="238">
        <f>IFERROR(__xludf.DUMMYFUNCTION("""COMPUTED_VALUE"""),45983.08333333333)</f>
        <v>45983.08333</v>
      </c>
      <c r="H953" s="238">
        <f>IFERROR(__xludf.DUMMYFUNCTION("""COMPUTED_VALUE"""),45983.16666666667)</f>
        <v>45983.16667</v>
      </c>
      <c r="I953" s="237" t="str">
        <f t="shared" si="1"/>
        <v>Fora</v>
      </c>
      <c r="J953" s="239">
        <v>120.00000001396984</v>
      </c>
    </row>
    <row r="954">
      <c r="A954" s="234" t="s">
        <v>2648</v>
      </c>
      <c r="B954" s="234" t="str">
        <f>IFERROR(__xludf.DUMMYFUNCTION("""COMPUTED_VALUE"""),"SoC_BA_Simoes Filho")</f>
        <v>SoC_BA_Simoes Filho</v>
      </c>
      <c r="C954" s="234" t="str">
        <f>IFERROR(__xludf.DUMMYFUNCTION("""COMPUTED_VALUE"""),"SOC-BA2")</f>
        <v>SOC-BA2</v>
      </c>
      <c r="D954" s="234">
        <f>IFERROR(__xludf.DUMMYFUNCTION("""COMPUTED_VALUE"""),29.0)</f>
        <v>29</v>
      </c>
      <c r="E954" s="237" t="str">
        <f>IFERROR(__xludf.DUMMYFUNCTION("""COMPUTED_VALUE"""),"LT1PBL01SCKR1")</f>
        <v>LT1PBL01SCKR1</v>
      </c>
      <c r="F954" s="238" t="str">
        <f>IFERROR(__xludf.DUMMYFUNCTION("""COMPUTED_VALUE"""),"SXV2D39,SXP2G56")</f>
        <v>SXV2D39,SXP2G56</v>
      </c>
      <c r="G954" s="238">
        <f>IFERROR(__xludf.DUMMYFUNCTION("""COMPUTED_VALUE"""),45983.08333333333)</f>
        <v>45983.08333</v>
      </c>
      <c r="H954" s="238">
        <f>IFERROR(__xludf.DUMMYFUNCTION("""COMPUTED_VALUE"""),45983.16666666667)</f>
        <v>45983.16667</v>
      </c>
      <c r="I954" s="237" t="str">
        <f t="shared" si="1"/>
        <v>Fora</v>
      </c>
      <c r="J954" s="239">
        <v>120.00000001396984</v>
      </c>
    </row>
    <row r="955">
      <c r="A955" s="234" t="s">
        <v>2649</v>
      </c>
      <c r="B955" s="234" t="str">
        <f>IFERROR(__xludf.DUMMYFUNCTION("""COMPUTED_VALUE"""),"SoC_GO_Goiânia_02")</f>
        <v>SoC_GO_Goiânia_02</v>
      </c>
      <c r="C955" s="234" t="str">
        <f>IFERROR(__xludf.DUMMYFUNCTION("""COMPUTED_VALUE"""),"SOC-GO2")</f>
        <v>SOC-GO2</v>
      </c>
      <c r="D955" s="234"/>
      <c r="E955" s="237" t="str">
        <f>IFERROR(__xludf.DUMMYFUNCTION("""COMPUTED_VALUE"""),"LT1PBM01SQ0H1")</f>
        <v>LT1PBM01SQ0H1</v>
      </c>
      <c r="F955" s="238" t="str">
        <f>IFERROR(__xludf.DUMMYFUNCTION("""COMPUTED_VALUE"""),"BIR5E98,DAH8928")</f>
        <v>BIR5E98,DAH8928</v>
      </c>
      <c r="G955" s="238">
        <f>IFERROR(__xludf.DUMMYFUNCTION("""COMPUTED_VALUE"""),45983.08333333333)</f>
        <v>45983.08333</v>
      </c>
      <c r="H955" s="238">
        <f>IFERROR(__xludf.DUMMYFUNCTION("""COMPUTED_VALUE"""),45983.16666666667)</f>
        <v>45983.16667</v>
      </c>
      <c r="I955" s="237" t="str">
        <f t="shared" si="1"/>
        <v>Fora</v>
      </c>
      <c r="J955" s="239">
        <v>120.00000001396984</v>
      </c>
    </row>
    <row r="956">
      <c r="A956" s="234" t="s">
        <v>2650</v>
      </c>
      <c r="B956" s="234" t="str">
        <f>IFERROR(__xludf.DUMMYFUNCTION("""COMPUTED_VALUE"""),"SoC_MG_Betim")</f>
        <v>SoC_MG_Betim</v>
      </c>
      <c r="C956" s="234" t="str">
        <f>IFERROR(__xludf.DUMMYFUNCTION("""COMPUTED_VALUE"""),"SOC-MG2")</f>
        <v>SOC-MG2</v>
      </c>
      <c r="D956" s="234">
        <f>IFERROR(__xludf.DUMMYFUNCTION("""COMPUTED_VALUE"""),90.0)</f>
        <v>90</v>
      </c>
      <c r="E956" s="237" t="str">
        <f>IFERROR(__xludf.DUMMYFUNCTION("""COMPUTED_VALUE"""),"LT0PBM01RUUP1")</f>
        <v>LT0PBM01RUUP1</v>
      </c>
      <c r="F956" s="238" t="str">
        <f>IFERROR(__xludf.DUMMYFUNCTION("""COMPUTED_VALUE"""),"FEJ1E97,UEF4J87")</f>
        <v>FEJ1E97,UEF4J87</v>
      </c>
      <c r="G956" s="238">
        <f>IFERROR(__xludf.DUMMYFUNCTION("""COMPUTED_VALUE"""),45983.08333333333)</f>
        <v>45983.08333</v>
      </c>
      <c r="H956" s="238">
        <f>IFERROR(__xludf.DUMMYFUNCTION("""COMPUTED_VALUE"""),45983.16666666667)</f>
        <v>45983.16667</v>
      </c>
      <c r="I956" s="237" t="str">
        <f t="shared" si="1"/>
        <v>Fora</v>
      </c>
      <c r="J956" s="239">
        <v>120.00000001396984</v>
      </c>
    </row>
    <row r="957">
      <c r="A957" s="234" t="s">
        <v>2651</v>
      </c>
      <c r="B957" s="234" t="str">
        <f>IFERROR(__xludf.DUMMYFUNCTION("""COMPUTED_VALUE"""),"SoC_PE_Jaboatão dos Guararapes")</f>
        <v>SoC_PE_Jaboatão dos Guararapes</v>
      </c>
      <c r="C957" s="234" t="str">
        <f>IFERROR(__xludf.DUMMYFUNCTION("""COMPUTED_VALUE"""),"SOC-PE2")</f>
        <v>SOC-PE2</v>
      </c>
      <c r="D957" s="234">
        <f>IFERROR(__xludf.DUMMYFUNCTION("""COMPUTED_VALUE"""),19.0)</f>
        <v>19</v>
      </c>
      <c r="E957" s="237" t="str">
        <f>IFERROR(__xludf.DUMMYFUNCTION("""COMPUTED_VALUE"""),"LT0PBM01S0ME1")</f>
        <v>LT0PBM01S0ME1</v>
      </c>
      <c r="F957" s="238" t="str">
        <f>IFERROR(__xludf.DUMMYFUNCTION("""COMPUTED_VALUE"""),"DEU5I01,DEU5D92")</f>
        <v>DEU5I01,DEU5D92</v>
      </c>
      <c r="G957" s="238">
        <f>IFERROR(__xludf.DUMMYFUNCTION("""COMPUTED_VALUE"""),45983.08333333333)</f>
        <v>45983.08333</v>
      </c>
      <c r="H957" s="238">
        <f>IFERROR(__xludf.DUMMYFUNCTION("""COMPUTED_VALUE"""),45983.16666666667)</f>
        <v>45983.16667</v>
      </c>
      <c r="I957" s="237" t="str">
        <f t="shared" si="1"/>
        <v>Fora</v>
      </c>
      <c r="J957" s="239">
        <v>120.00000001396984</v>
      </c>
    </row>
    <row r="958">
      <c r="A958" s="234" t="s">
        <v>2652</v>
      </c>
      <c r="B958" s="234" t="str">
        <f>IFERROR(__xludf.DUMMYFUNCTION("""COMPUTED_VALUE"""),"SoC_SC_Itajaí")</f>
        <v>SoC_SC_Itajaí</v>
      </c>
      <c r="C958" s="234" t="str">
        <f>IFERROR(__xludf.DUMMYFUNCTION("""COMPUTED_VALUE"""),"SOC-SC1")</f>
        <v>SOC-SC1</v>
      </c>
      <c r="D958" s="234">
        <f>IFERROR(__xludf.DUMMYFUNCTION("""COMPUTED_VALUE"""),22.0)</f>
        <v>22</v>
      </c>
      <c r="E958" s="237" t="str">
        <f>IFERROR(__xludf.DUMMYFUNCTION("""COMPUTED_VALUE"""),"LT0PBM01RZMS1")</f>
        <v>LT0PBM01RZMS1</v>
      </c>
      <c r="F958" s="238" t="str">
        <f>IFERROR(__xludf.DUMMYFUNCTION("""COMPUTED_VALUE"""),"FSH3A54,TPM2H63")</f>
        <v>FSH3A54,TPM2H63</v>
      </c>
      <c r="G958" s="238">
        <f>IFERROR(__xludf.DUMMYFUNCTION("""COMPUTED_VALUE"""),45983.08333333333)</f>
        <v>45983.08333</v>
      </c>
      <c r="H958" s="238">
        <f>IFERROR(__xludf.DUMMYFUNCTION("""COMPUTED_VALUE"""),45983.16666666667)</f>
        <v>45983.16667</v>
      </c>
      <c r="I958" s="237" t="str">
        <f t="shared" si="1"/>
        <v>Fora</v>
      </c>
      <c r="J958" s="239">
        <v>119.99999999301508</v>
      </c>
    </row>
    <row r="959">
      <c r="A959" s="234" t="s">
        <v>2653</v>
      </c>
      <c r="B959" s="234" t="str">
        <f>IFERROR(__xludf.DUMMYFUNCTION("""COMPUTED_VALUE"""),"LM Hub_MG_Varginha_Fausto")</f>
        <v>LM Hub_MG_Varginha_Fausto</v>
      </c>
      <c r="C959" s="234" t="str">
        <f>IFERROR(__xludf.DUMMYFUNCTION("""COMPUTED_VALUE"""),"HUB-LMG-45")</f>
        <v>HUB-LMG-45</v>
      </c>
      <c r="D959" s="234">
        <f>IFERROR(__xludf.DUMMYFUNCTION("""COMPUTED_VALUE"""),27.0)</f>
        <v>27</v>
      </c>
      <c r="E959" s="237" t="str">
        <f>IFERROR(__xludf.DUMMYFUNCTION("""COMPUTED_VALUE"""),"LT0PBM01S0DR1")</f>
        <v>LT0PBM01S0DR1</v>
      </c>
      <c r="F959" s="238" t="str">
        <f>IFERROR(__xludf.DUMMYFUNCTION("""COMPUTED_VALUE"""),"SVZ3D32")</f>
        <v>SVZ3D32</v>
      </c>
      <c r="G959" s="238">
        <f>IFERROR(__xludf.DUMMYFUNCTION("""COMPUTED_VALUE"""),45983.10416666667)</f>
        <v>45983.10417</v>
      </c>
      <c r="H959" s="238">
        <f>IFERROR(__xludf.DUMMYFUNCTION("""COMPUTED_VALUE"""),45983.1875)</f>
        <v>45983.1875</v>
      </c>
      <c r="I959" s="237" t="str">
        <f t="shared" si="1"/>
        <v>Fora</v>
      </c>
      <c r="J959" s="239">
        <v>119.99999999301508</v>
      </c>
    </row>
    <row r="960">
      <c r="A960" s="234" t="s">
        <v>2654</v>
      </c>
      <c r="B960" s="234" t="str">
        <f>IFERROR(__xludf.DUMMYFUNCTION("""COMPUTED_VALUE"""),"LM Hub_SP_Itapetininga")</f>
        <v>LM Hub_SP_Itapetininga</v>
      </c>
      <c r="C960" s="234" t="str">
        <f>IFERROR(__xludf.DUMMYFUNCTION("""COMPUTED_VALUE"""),"HUB-LSP-53")</f>
        <v>HUB-LSP-53</v>
      </c>
      <c r="D960" s="234">
        <f>IFERROR(__xludf.DUMMYFUNCTION("""COMPUTED_VALUE"""),15.0)</f>
        <v>15</v>
      </c>
      <c r="E960" s="237" t="str">
        <f>IFERROR(__xludf.DUMMYFUNCTION("""COMPUTED_VALUE"""),"LT0PBM01RUZL1")</f>
        <v>LT0PBM01RUZL1</v>
      </c>
      <c r="F960" s="238" t="str">
        <f>IFERROR(__xludf.DUMMYFUNCTION("""COMPUTED_VALUE"""),"FZY3F48")</f>
        <v>FZY3F48</v>
      </c>
      <c r="G960" s="238">
        <f>IFERROR(__xludf.DUMMYFUNCTION("""COMPUTED_VALUE"""),45983.10416666667)</f>
        <v>45983.10417</v>
      </c>
      <c r="H960" s="238">
        <f>IFERROR(__xludf.DUMMYFUNCTION("""COMPUTED_VALUE"""),45983.1875)</f>
        <v>45983.1875</v>
      </c>
      <c r="I960" s="237" t="str">
        <f t="shared" si="1"/>
        <v>Fora</v>
      </c>
      <c r="J960" s="239">
        <v>119.99999999301508</v>
      </c>
    </row>
    <row r="961">
      <c r="A961" s="234" t="s">
        <v>2655</v>
      </c>
      <c r="B961" s="234" t="str">
        <f>IFERROR(__xludf.DUMMYFUNCTION("""COMPUTED_VALUE"""),"LM Hub_SP_São Carlos")</f>
        <v>LM Hub_SP_São Carlos</v>
      </c>
      <c r="C961" s="234" t="str">
        <f>IFERROR(__xludf.DUMMYFUNCTION("""COMPUTED_VALUE"""),"HUB-LSP-31")</f>
        <v>HUB-LSP-31</v>
      </c>
      <c r="D961" s="234">
        <f>IFERROR(__xludf.DUMMYFUNCTION("""COMPUTED_VALUE"""),7.0)</f>
        <v>7</v>
      </c>
      <c r="E961" s="237" t="str">
        <f>IFERROR(__xludf.DUMMYFUNCTION("""COMPUTED_VALUE"""),"LT0PBM01RV2F1")</f>
        <v>LT0PBM01RV2F1</v>
      </c>
      <c r="F961" s="238" t="str">
        <f>IFERROR(__xludf.DUMMYFUNCTION("""COMPUTED_VALUE"""),"FZQ1I50")</f>
        <v>FZQ1I50</v>
      </c>
      <c r="G961" s="238">
        <f>IFERROR(__xludf.DUMMYFUNCTION("""COMPUTED_VALUE"""),45983.10416666667)</f>
        <v>45983.10417</v>
      </c>
      <c r="H961" s="238">
        <f>IFERROR(__xludf.DUMMYFUNCTION("""COMPUTED_VALUE"""),45983.1875)</f>
        <v>45983.1875</v>
      </c>
      <c r="I961" s="237" t="str">
        <f t="shared" si="1"/>
        <v>Fora</v>
      </c>
      <c r="J961" s="239">
        <v>299.9999999930151</v>
      </c>
    </row>
    <row r="962">
      <c r="A962" s="234" t="s">
        <v>2656</v>
      </c>
      <c r="B962" s="234" t="str">
        <f>IFERROR(__xludf.DUMMYFUNCTION("""COMPUTED_VALUE"""),"SoC_SP_Louveira")</f>
        <v>SoC_SP_Louveira</v>
      </c>
      <c r="C962" s="234" t="str">
        <f>IFERROR(__xludf.DUMMYFUNCTION("""COMPUTED_VALUE"""),"SOC-SP7")</f>
        <v>SOC-SP7</v>
      </c>
      <c r="D962" s="234">
        <f>IFERROR(__xludf.DUMMYFUNCTION("""COMPUTED_VALUE"""),43.0)</f>
        <v>43</v>
      </c>
      <c r="E962" s="237" t="str">
        <f>IFERROR(__xludf.DUMMYFUNCTION("""COMPUTED_VALUE"""),"LT0PBM01RUXJ1")</f>
        <v>LT0PBM01RUXJ1</v>
      </c>
      <c r="F962" s="238" t="str">
        <f>IFERROR(__xludf.DUMMYFUNCTION("""COMPUTED_VALUE"""),"SWX3E45,FXO3A21")</f>
        <v>SWX3E45,FXO3A21</v>
      </c>
      <c r="G962" s="238">
        <f>IFERROR(__xludf.DUMMYFUNCTION("""COMPUTED_VALUE"""),45983.0)</f>
        <v>45983</v>
      </c>
      <c r="H962" s="238">
        <f>IFERROR(__xludf.DUMMYFUNCTION("""COMPUTED_VALUE"""),45983.20833333333)</f>
        <v>45983.20833</v>
      </c>
      <c r="I962" s="237" t="str">
        <f t="shared" si="1"/>
        <v>Fora</v>
      </c>
      <c r="J962" s="239">
        <v>298.99999998975545</v>
      </c>
    </row>
    <row r="963">
      <c r="A963" s="234" t="s">
        <v>2657</v>
      </c>
      <c r="B963" s="234" t="str">
        <f>IFERROR(__xludf.DUMMYFUNCTION("""COMPUTED_VALUE"""),"SoC_PR_Curitiba")</f>
        <v>SoC_PR_Curitiba</v>
      </c>
      <c r="C963" s="234" t="str">
        <f>IFERROR(__xludf.DUMMYFUNCTION("""COMPUTED_VALUE"""),"SOC-PR1")</f>
        <v>SOC-PR1</v>
      </c>
      <c r="D963" s="234">
        <f>IFERROR(__xludf.DUMMYFUNCTION("""COMPUTED_VALUE"""),35.0)</f>
        <v>35</v>
      </c>
      <c r="E963" s="237" t="str">
        <f>IFERROR(__xludf.DUMMYFUNCTION("""COMPUTED_VALUE"""),"LT0PBM01RUVU1")</f>
        <v>LT0PBM01RUVU1</v>
      </c>
      <c r="F963" s="238" t="str">
        <f>IFERROR(__xludf.DUMMYFUNCTION("""COMPUTED_VALUE"""),"FQJ8B01,TLG8D55")</f>
        <v>FQJ8B01,TLG8D55</v>
      </c>
      <c r="G963" s="238">
        <f>IFERROR(__xludf.DUMMYFUNCTION("""COMPUTED_VALUE"""),45983.00069444445)</f>
        <v>45983.00069</v>
      </c>
      <c r="H963" s="238">
        <f>IFERROR(__xludf.DUMMYFUNCTION("""COMPUTED_VALUE"""),45983.20833333333)</f>
        <v>45983.20833</v>
      </c>
      <c r="I963" s="237" t="str">
        <f t="shared" si="1"/>
        <v>Fora</v>
      </c>
      <c r="J963" s="239">
        <v>119.99999999301508</v>
      </c>
    </row>
    <row r="964">
      <c r="A964" s="234" t="s">
        <v>2658</v>
      </c>
      <c r="B964" s="234" t="str">
        <f>IFERROR(__xludf.DUMMYFUNCTION("""COMPUTED_VALUE"""),"LM Hub_SP_Itapeva")</f>
        <v>LM Hub_SP_Itapeva</v>
      </c>
      <c r="C964" s="234" t="str">
        <f>IFERROR(__xludf.DUMMYFUNCTION("""COMPUTED_VALUE"""),"HUB-LSP-39")</f>
        <v>HUB-LSP-39</v>
      </c>
      <c r="D964" s="234">
        <f>IFERROR(__xludf.DUMMYFUNCTION("""COMPUTED_VALUE"""),9.0)</f>
        <v>9</v>
      </c>
      <c r="E964" s="237" t="str">
        <f>IFERROR(__xludf.DUMMYFUNCTION("""COMPUTED_VALUE"""),"LT0PBM01RUZV1")</f>
        <v>LT0PBM01RUZV1</v>
      </c>
      <c r="F964" s="238" t="str">
        <f>IFERROR(__xludf.DUMMYFUNCTION("""COMPUTED_VALUE"""),"DTC3E38")</f>
        <v>DTC3E38</v>
      </c>
      <c r="G964" s="238">
        <f>IFERROR(__xludf.DUMMYFUNCTION("""COMPUTED_VALUE"""),45983.125)</f>
        <v>45983.125</v>
      </c>
      <c r="H964" s="238">
        <f>IFERROR(__xludf.DUMMYFUNCTION("""COMPUTED_VALUE"""),45983.20833333333)</f>
        <v>45983.20833</v>
      </c>
      <c r="I964" s="237" t="str">
        <f t="shared" si="1"/>
        <v>Fora</v>
      </c>
      <c r="J964" s="239">
        <v>119.99999999301508</v>
      </c>
    </row>
    <row r="965">
      <c r="A965" s="234" t="s">
        <v>2659</v>
      </c>
      <c r="B965" s="234" t="str">
        <f>IFERROR(__xludf.DUMMYFUNCTION("""COMPUTED_VALUE"""),"LM Hub_SP_Registro")</f>
        <v>LM Hub_SP_Registro</v>
      </c>
      <c r="C965" s="234" t="str">
        <f>IFERROR(__xludf.DUMMYFUNCTION("""COMPUTED_VALUE"""),"HUB-LSP-40")</f>
        <v>HUB-LSP-40</v>
      </c>
      <c r="D965" s="234">
        <f>IFERROR(__xludf.DUMMYFUNCTION("""COMPUTED_VALUE"""),5.0)</f>
        <v>5</v>
      </c>
      <c r="E965" s="237" t="str">
        <f>IFERROR(__xludf.DUMMYFUNCTION("""COMPUTED_VALUE"""),"LT0PBM01RV0G1")</f>
        <v>LT0PBM01RV0G1</v>
      </c>
      <c r="F965" s="238" t="str">
        <f>IFERROR(__xludf.DUMMYFUNCTION("""COMPUTED_VALUE"""),"FSV9B90")</f>
        <v>FSV9B90</v>
      </c>
      <c r="G965" s="238">
        <f>IFERROR(__xludf.DUMMYFUNCTION("""COMPUTED_VALUE"""),45983.125)</f>
        <v>45983.125</v>
      </c>
      <c r="H965" s="238">
        <f>IFERROR(__xludf.DUMMYFUNCTION("""COMPUTED_VALUE"""),45983.20833333333)</f>
        <v>45983.20833</v>
      </c>
      <c r="I965" s="237" t="str">
        <f t="shared" si="1"/>
        <v>Fora</v>
      </c>
      <c r="J965" s="239">
        <v>119.99999999301508</v>
      </c>
    </row>
    <row r="966">
      <c r="A966" s="234" t="s">
        <v>2660</v>
      </c>
      <c r="B966" s="234" t="str">
        <f>IFERROR(__xludf.DUMMYFUNCTION("""COMPUTED_VALUE"""),"LM Hub_SP_Sumaré_Nova Veneza_1")</f>
        <v>LM Hub_SP_Sumaré_Nova Veneza_1</v>
      </c>
      <c r="C966" s="234" t="str">
        <f>IFERROR(__xludf.DUMMYFUNCTION("""COMPUTED_VALUE"""),"HUB-LSP-88")</f>
        <v>HUB-LSP-88</v>
      </c>
      <c r="D966" s="234">
        <f>IFERROR(__xludf.DUMMYFUNCTION("""COMPUTED_VALUE"""),36.0)</f>
        <v>36</v>
      </c>
      <c r="E966" s="237" t="str">
        <f>IFERROR(__xludf.DUMMYFUNCTION("""COMPUTED_VALUE"""),"LT0PBM01S0A21")</f>
        <v>LT0PBM01S0A21</v>
      </c>
      <c r="F966" s="238" t="str">
        <f>IFERROR(__xludf.DUMMYFUNCTION("""COMPUTED_VALUE"""),"DJK4A58")</f>
        <v>DJK4A58</v>
      </c>
      <c r="G966" s="238">
        <f>IFERROR(__xludf.DUMMYFUNCTION("""COMPUTED_VALUE"""),45983.125)</f>
        <v>45983.125</v>
      </c>
      <c r="H966" s="238">
        <f>IFERROR(__xludf.DUMMYFUNCTION("""COMPUTED_VALUE"""),45983.20833333333)</f>
        <v>45983.20833</v>
      </c>
      <c r="I966" s="237" t="str">
        <f t="shared" si="1"/>
        <v>Fora</v>
      </c>
      <c r="J966" s="239">
        <v>119.99999999301508</v>
      </c>
    </row>
    <row r="967">
      <c r="A967" s="234" t="s">
        <v>2661</v>
      </c>
      <c r="B967" s="234" t="str">
        <f>IFERROR(__xludf.DUMMYFUNCTION("""COMPUTED_VALUE"""),"SoC_GO_Goiânia_02")</f>
        <v>SoC_GO_Goiânia_02</v>
      </c>
      <c r="C967" s="234" t="str">
        <f>IFERROR(__xludf.DUMMYFUNCTION("""COMPUTED_VALUE"""),"SOC-GO2")</f>
        <v>SOC-GO2</v>
      </c>
      <c r="D967" s="234">
        <f>IFERROR(__xludf.DUMMYFUNCTION("""COMPUTED_VALUE"""),21.0)</f>
        <v>21</v>
      </c>
      <c r="E967" s="237" t="str">
        <f>IFERROR(__xludf.DUMMYFUNCTION("""COMPUTED_VALUE"""),"LT0PBM01S0XI1")</f>
        <v>LT0PBM01S0XI1</v>
      </c>
      <c r="F967" s="238" t="str">
        <f>IFERROR(__xludf.DUMMYFUNCTION("""COMPUTED_VALUE"""),"SBF3F01,RIC2B27")</f>
        <v>SBF3F01,RIC2B27</v>
      </c>
      <c r="G967" s="238">
        <f>IFERROR(__xludf.DUMMYFUNCTION("""COMPUTED_VALUE"""),45983.125)</f>
        <v>45983.125</v>
      </c>
      <c r="H967" s="238">
        <f>IFERROR(__xludf.DUMMYFUNCTION("""COMPUTED_VALUE"""),45983.20833333333)</f>
        <v>45983.20833</v>
      </c>
      <c r="I967" s="237" t="str">
        <f t="shared" si="1"/>
        <v>Fora</v>
      </c>
      <c r="J967" s="239">
        <v>119.99999999301508</v>
      </c>
    </row>
    <row r="968">
      <c r="A968" s="234" t="s">
        <v>2662</v>
      </c>
      <c r="B968" s="234" t="str">
        <f>IFERROR(__xludf.DUMMYFUNCTION("""COMPUTED_VALUE"""),"SoC_PR_Curitiba")</f>
        <v>SoC_PR_Curitiba</v>
      </c>
      <c r="C968" s="234" t="str">
        <f>IFERROR(__xludf.DUMMYFUNCTION("""COMPUTED_VALUE"""),"SOC-PR1")</f>
        <v>SOC-PR1</v>
      </c>
      <c r="D968" s="234">
        <f>IFERROR(__xludf.DUMMYFUNCTION("""COMPUTED_VALUE"""),41.0)</f>
        <v>41</v>
      </c>
      <c r="E968" s="237" t="str">
        <f>IFERROR(__xludf.DUMMYFUNCTION("""COMPUTED_VALUE"""),"LT0PBM01RUVW2")</f>
        <v>LT0PBM01RUVW2</v>
      </c>
      <c r="F968" s="238" t="str">
        <f>IFERROR(__xludf.DUMMYFUNCTION("""COMPUTED_VALUE"""),"UAW6H35,RYS7F90")</f>
        <v>UAW6H35,RYS7F90</v>
      </c>
      <c r="G968" s="238">
        <f>IFERROR(__xludf.DUMMYFUNCTION("""COMPUTED_VALUE"""),45983.125)</f>
        <v>45983.125</v>
      </c>
      <c r="H968" s="238">
        <f>IFERROR(__xludf.DUMMYFUNCTION("""COMPUTED_VALUE"""),45983.20833333333)</f>
        <v>45983.20833</v>
      </c>
      <c r="I968" s="237" t="str">
        <f t="shared" si="1"/>
        <v>Fora</v>
      </c>
      <c r="J968" s="239">
        <v>119.99999999301508</v>
      </c>
    </row>
    <row r="969">
      <c r="A969" s="234" t="s">
        <v>2663</v>
      </c>
      <c r="B969" s="234" t="str">
        <f>IFERROR(__xludf.DUMMYFUNCTION("""COMPUTED_VALUE"""),"SoC_RJ_Duque de Caxias")</f>
        <v>SoC_RJ_Duque de Caxias</v>
      </c>
      <c r="C969" s="234" t="str">
        <f>IFERROR(__xludf.DUMMYFUNCTION("""COMPUTED_VALUE"""),"SOC-RJ2")</f>
        <v>SOC-RJ2</v>
      </c>
      <c r="D969" s="234">
        <f>IFERROR(__xludf.DUMMYFUNCTION("""COMPUTED_VALUE"""),12.0)</f>
        <v>12</v>
      </c>
      <c r="E969" s="237" t="str">
        <f>IFERROR(__xludf.DUMMYFUNCTION("""COMPUTED_VALUE"""),"LT1PBM01SPNB1")</f>
        <v>LT1PBM01SPNB1</v>
      </c>
      <c r="F969" s="238" t="str">
        <f>IFERROR(__xludf.DUMMYFUNCTION("""COMPUTED_VALUE"""),"JAI4E40,ESS9627")</f>
        <v>JAI4E40,ESS9627</v>
      </c>
      <c r="G969" s="238">
        <f>IFERROR(__xludf.DUMMYFUNCTION("""COMPUTED_VALUE"""),45983.125)</f>
        <v>45983.125</v>
      </c>
      <c r="H969" s="238">
        <f>IFERROR(__xludf.DUMMYFUNCTION("""COMPUTED_VALUE"""),45983.20833333333)</f>
        <v>45983.20833</v>
      </c>
      <c r="I969" s="237" t="str">
        <f t="shared" si="1"/>
        <v>Fora</v>
      </c>
      <c r="J969" s="239">
        <v>119.99999999301508</v>
      </c>
    </row>
    <row r="970">
      <c r="A970" s="234" t="s">
        <v>2664</v>
      </c>
      <c r="B970" s="234" t="str">
        <f>IFERROR(__xludf.DUMMYFUNCTION("""COMPUTED_VALUE"""),"SoC_RJ_Duque de Caxias")</f>
        <v>SoC_RJ_Duque de Caxias</v>
      </c>
      <c r="C970" s="234" t="str">
        <f>IFERROR(__xludf.DUMMYFUNCTION("""COMPUTED_VALUE"""),"SOC-RJ2")</f>
        <v>SOC-RJ2</v>
      </c>
      <c r="D970" s="234">
        <f>IFERROR(__xludf.DUMMYFUNCTION("""COMPUTED_VALUE"""),6.0)</f>
        <v>6</v>
      </c>
      <c r="E970" s="237" t="str">
        <f>IFERROR(__xludf.DUMMYFUNCTION("""COMPUTED_VALUE"""),"LT1PBM01SQ0B1")</f>
        <v>LT1PBM01SQ0B1</v>
      </c>
      <c r="F970" s="238" t="str">
        <f>IFERROR(__xludf.DUMMYFUNCTION("""COMPUTED_VALUE"""),"TTP0I76,TTG6J01")</f>
        <v>TTP0I76,TTG6J01</v>
      </c>
      <c r="G970" s="238">
        <f>IFERROR(__xludf.DUMMYFUNCTION("""COMPUTED_VALUE"""),45983.125)</f>
        <v>45983.125</v>
      </c>
      <c r="H970" s="238">
        <f>IFERROR(__xludf.DUMMYFUNCTION("""COMPUTED_VALUE"""),45983.20833333333)</f>
        <v>45983.20833</v>
      </c>
      <c r="I970" s="237" t="str">
        <f t="shared" si="1"/>
        <v>Fora</v>
      </c>
      <c r="J970" s="239">
        <v>119.99999999301508</v>
      </c>
    </row>
    <row r="971">
      <c r="A971" s="234" t="s">
        <v>2665</v>
      </c>
      <c r="B971" s="234" t="str">
        <f>IFERROR(__xludf.DUMMYFUNCTION("""COMPUTED_VALUE"""),"SoC_SC_Itajaí")</f>
        <v>SoC_SC_Itajaí</v>
      </c>
      <c r="C971" s="234" t="str">
        <f>IFERROR(__xludf.DUMMYFUNCTION("""COMPUTED_VALUE"""),"SOC-SC1")</f>
        <v>SOC-SC1</v>
      </c>
      <c r="D971" s="234"/>
      <c r="E971" s="237" t="str">
        <f>IFERROR(__xludf.DUMMYFUNCTION("""COMPUTED_VALUE"""),"LT0PBM01RZMT1")</f>
        <v>LT0PBM01RZMT1</v>
      </c>
      <c r="F971" s="238" t="str">
        <f>IFERROR(__xludf.DUMMYFUNCTION("""COMPUTED_VALUE"""),"RLI5B09,QJQ2126")</f>
        <v>RLI5B09,QJQ2126</v>
      </c>
      <c r="G971" s="238">
        <f>IFERROR(__xludf.DUMMYFUNCTION("""COMPUTED_VALUE"""),45983.125)</f>
        <v>45983.125</v>
      </c>
      <c r="H971" s="238">
        <f>IFERROR(__xludf.DUMMYFUNCTION("""COMPUTED_VALUE"""),45983.20833333333)</f>
        <v>45983.20833</v>
      </c>
      <c r="I971" s="237" t="str">
        <f t="shared" si="1"/>
        <v>Fora</v>
      </c>
      <c r="J971" s="239">
        <v>119.99999999301508</v>
      </c>
    </row>
    <row r="972">
      <c r="A972" s="234" t="s">
        <v>2666</v>
      </c>
      <c r="B972" s="234" t="str">
        <f>IFERROR(__xludf.DUMMYFUNCTION("""COMPUTED_VALUE"""),"SoC_SP_Cravinhos")</f>
        <v>SoC_SP_Cravinhos</v>
      </c>
      <c r="C972" s="234" t="str">
        <f>IFERROR(__xludf.DUMMYFUNCTION("""COMPUTED_VALUE"""),"SOC-SP5")</f>
        <v>SOC-SP5</v>
      </c>
      <c r="D972" s="234">
        <f>IFERROR(__xludf.DUMMYFUNCTION("""COMPUTED_VALUE"""),40.0)</f>
        <v>40</v>
      </c>
      <c r="E972" s="237" t="str">
        <f>IFERROR(__xludf.DUMMYFUNCTION("""COMPUTED_VALUE"""),"LT1PBL01SCJU1")</f>
        <v>LT1PBL01SCJU1</v>
      </c>
      <c r="F972" s="238" t="str">
        <f>IFERROR(__xludf.DUMMYFUNCTION("""COMPUTED_VALUE"""),"UDR9J89,GFX6I53")</f>
        <v>UDR9J89,GFX6I53</v>
      </c>
      <c r="G972" s="238">
        <f>IFERROR(__xludf.DUMMYFUNCTION("""COMPUTED_VALUE"""),45983.125)</f>
        <v>45983.125</v>
      </c>
      <c r="H972" s="238">
        <f>IFERROR(__xludf.DUMMYFUNCTION("""COMPUTED_VALUE"""),45983.20833333333)</f>
        <v>45983.20833</v>
      </c>
      <c r="I972" s="237" t="str">
        <f t="shared" si="1"/>
        <v>Fora</v>
      </c>
      <c r="J972" s="239">
        <v>119.99999999301508</v>
      </c>
    </row>
    <row r="973">
      <c r="A973" s="234" t="s">
        <v>2667</v>
      </c>
      <c r="B973" s="234" t="str">
        <f>IFERROR(__xludf.DUMMYFUNCTION("""COMPUTED_VALUE"""),"SoC_SP_Guarulhos")</f>
        <v>SoC_SP_Guarulhos</v>
      </c>
      <c r="C973" s="234" t="str">
        <f>IFERROR(__xludf.DUMMYFUNCTION("""COMPUTED_VALUE"""),"SOC-SP6")</f>
        <v>SOC-SP6</v>
      </c>
      <c r="D973" s="234">
        <f>IFERROR(__xludf.DUMMYFUNCTION("""COMPUTED_VALUE"""),37.0)</f>
        <v>37</v>
      </c>
      <c r="E973" s="237" t="str">
        <f>IFERROR(__xludf.DUMMYFUNCTION("""COMPUTED_VALUE"""),"LT1PBM01SPNA1")</f>
        <v>LT1PBM01SPNA1</v>
      </c>
      <c r="F973" s="238" t="str">
        <f>IFERROR(__xludf.DUMMYFUNCTION("""COMPUTED_VALUE"""),"MXC1542,OVJ7491")</f>
        <v>MXC1542,OVJ7491</v>
      </c>
      <c r="G973" s="238">
        <f>IFERROR(__xludf.DUMMYFUNCTION("""COMPUTED_VALUE"""),45983.125)</f>
        <v>45983.125</v>
      </c>
      <c r="H973" s="238">
        <f>IFERROR(__xludf.DUMMYFUNCTION("""COMPUTED_VALUE"""),45983.20833333333)</f>
        <v>45983.20833</v>
      </c>
      <c r="I973" s="237" t="str">
        <f t="shared" si="1"/>
        <v>Fora</v>
      </c>
      <c r="J973" s="239">
        <v>120.00000001396984</v>
      </c>
    </row>
    <row r="974">
      <c r="A974" s="234" t="s">
        <v>2668</v>
      </c>
      <c r="B974" s="234" t="str">
        <f>IFERROR(__xludf.DUMMYFUNCTION("""COMPUTED_VALUE"""),"LM Hub_SP_Campinas_São Martinho")</f>
        <v>LM Hub_SP_Campinas_São Martinho</v>
      </c>
      <c r="C974" s="234" t="str">
        <f>IFERROR(__xludf.DUMMYFUNCTION("""COMPUTED_VALUE"""),"HUB-LSP-19")</f>
        <v>HUB-LSP-19</v>
      </c>
      <c r="D974" s="234"/>
      <c r="E974" s="237" t="str">
        <f>IFERROR(__xludf.DUMMYFUNCTION("""COMPUTED_VALUE"""),"LT0PBM01RV3B1")</f>
        <v>LT0PBM01RV3B1</v>
      </c>
      <c r="F974" s="238" t="str">
        <f>IFERROR(__xludf.DUMMYFUNCTION("""COMPUTED_VALUE"""),"EFV5C06,MBM1I07")</f>
        <v>EFV5C06,MBM1I07</v>
      </c>
      <c r="G974" s="238">
        <f>IFERROR(__xludf.DUMMYFUNCTION("""COMPUTED_VALUE"""),45983.14583333333)</f>
        <v>45983.14583</v>
      </c>
      <c r="H974" s="238">
        <f>IFERROR(__xludf.DUMMYFUNCTION("""COMPUTED_VALUE"""),45983.22916666667)</f>
        <v>45983.22917</v>
      </c>
      <c r="I974" s="237" t="str">
        <f t="shared" si="1"/>
        <v>Fora</v>
      </c>
      <c r="J974" s="239">
        <v>120.00000001396984</v>
      </c>
    </row>
    <row r="975">
      <c r="A975" s="234" t="s">
        <v>2669</v>
      </c>
      <c r="B975" s="234" t="str">
        <f>IFERROR(__xludf.DUMMYFUNCTION("""COMPUTED_VALUE"""),"LM Hub_SP_Mogi Mirim")</f>
        <v>LM Hub_SP_Mogi Mirim</v>
      </c>
      <c r="C975" s="234" t="str">
        <f>IFERROR(__xludf.DUMMYFUNCTION("""COMPUTED_VALUE"""),"HUB-LSP-37")</f>
        <v>HUB-LSP-37</v>
      </c>
      <c r="D975" s="234">
        <f>IFERROR(__xludf.DUMMYFUNCTION("""COMPUTED_VALUE"""),38.0)</f>
        <v>38</v>
      </c>
      <c r="E975" s="237" t="str">
        <f>IFERROR(__xludf.DUMMYFUNCTION("""COMPUTED_VALUE"""),"LT0PBM01RV2L1")</f>
        <v>LT0PBM01RV2L1</v>
      </c>
      <c r="F975" s="238" t="str">
        <f>IFERROR(__xludf.DUMMYFUNCTION("""COMPUTED_VALUE"""),"TLE4D84")</f>
        <v>TLE4D84</v>
      </c>
      <c r="G975" s="238">
        <f>IFERROR(__xludf.DUMMYFUNCTION("""COMPUTED_VALUE"""),45983.14583333333)</f>
        <v>45983.14583</v>
      </c>
      <c r="H975" s="238">
        <f>IFERROR(__xludf.DUMMYFUNCTION("""COMPUTED_VALUE"""),45983.22916666667)</f>
        <v>45983.22917</v>
      </c>
      <c r="I975" s="237" t="str">
        <f t="shared" si="1"/>
        <v>Fora</v>
      </c>
      <c r="J975" s="239">
        <v>120.00000001396984</v>
      </c>
    </row>
    <row r="976">
      <c r="A976" s="234" t="s">
        <v>2670</v>
      </c>
      <c r="B976" s="234" t="str">
        <f>IFERROR(__xludf.DUMMYFUNCTION("""COMPUTED_VALUE"""),"LM Hub_SP_Osasco_02")</f>
        <v>LM Hub_SP_Osasco_02</v>
      </c>
      <c r="C976" s="234" t="str">
        <f>IFERROR(__xludf.DUMMYFUNCTION("""COMPUTED_VALUE"""),"HUB-LSP-60")</f>
        <v>HUB-LSP-60</v>
      </c>
      <c r="D976" s="234">
        <f>IFERROR(__xludf.DUMMYFUNCTION("""COMPUTED_VALUE"""),20.0)</f>
        <v>20</v>
      </c>
      <c r="E976" s="237" t="str">
        <f>IFERROR(__xludf.DUMMYFUNCTION("""COMPUTED_VALUE"""),"LT0PBM01RW321")</f>
        <v>LT0PBM01RW321</v>
      </c>
      <c r="F976" s="238" t="str">
        <f>IFERROR(__xludf.DUMMYFUNCTION("""COMPUTED_VALUE"""),"FEU6H63")</f>
        <v>FEU6H63</v>
      </c>
      <c r="G976" s="238">
        <f>IFERROR(__xludf.DUMMYFUNCTION("""COMPUTED_VALUE"""),45983.14583333333)</f>
        <v>45983.14583</v>
      </c>
      <c r="H976" s="238">
        <f>IFERROR(__xludf.DUMMYFUNCTION("""COMPUTED_VALUE"""),45983.22916666667)</f>
        <v>45983.22917</v>
      </c>
      <c r="I976" s="237" t="str">
        <f t="shared" si="1"/>
        <v>Fora</v>
      </c>
      <c r="J976" s="239">
        <v>119.00000001071021</v>
      </c>
    </row>
    <row r="977">
      <c r="A977" s="234" t="s">
        <v>2671</v>
      </c>
      <c r="B977" s="234" t="str">
        <f>IFERROR(__xludf.DUMMYFUNCTION("""COMPUTED_VALUE"""),"LM Hub_SP_Sorocaba_Região Norte")</f>
        <v>LM Hub_SP_Sorocaba_Região Norte</v>
      </c>
      <c r="C977" s="234" t="str">
        <f>IFERROR(__xludf.DUMMYFUNCTION("""COMPUTED_VALUE"""),"HUB-LSP-10")</f>
        <v>HUB-LSP-10</v>
      </c>
      <c r="D977" s="234">
        <f>IFERROR(__xludf.DUMMYFUNCTION("""COMPUTED_VALUE"""),16.0)</f>
        <v>16</v>
      </c>
      <c r="E977" s="237" t="str">
        <f>IFERROR(__xludf.DUMMYFUNCTION("""COMPUTED_VALUE"""),"LT0PBM01RV1H1")</f>
        <v>LT0PBM01RV1H1</v>
      </c>
      <c r="F977" s="238" t="str">
        <f>IFERROR(__xludf.DUMMYFUNCTION("""COMPUTED_VALUE"""),"GHJ3E37,OUU8J45")</f>
        <v>GHJ3E37,OUU8J45</v>
      </c>
      <c r="G977" s="238">
        <f>IFERROR(__xludf.DUMMYFUNCTION("""COMPUTED_VALUE"""),45983.146527777775)</f>
        <v>45983.14653</v>
      </c>
      <c r="H977" s="238">
        <f>IFERROR(__xludf.DUMMYFUNCTION("""COMPUTED_VALUE"""),45983.22916666667)</f>
        <v>45983.22917</v>
      </c>
      <c r="I977" s="237" t="str">
        <f t="shared" si="1"/>
        <v>Fora</v>
      </c>
      <c r="J977" s="239">
        <v>240.00000000698492</v>
      </c>
    </row>
    <row r="978">
      <c r="A978" s="234" t="s">
        <v>2672</v>
      </c>
      <c r="B978" s="234" t="str">
        <f>IFERROR(__xludf.DUMMYFUNCTION("""COMPUTED_VALUE"""),"SoC_RJ_Duque de Caxias")</f>
        <v>SoC_RJ_Duque de Caxias</v>
      </c>
      <c r="C978" s="234" t="str">
        <f>IFERROR(__xludf.DUMMYFUNCTION("""COMPUTED_VALUE"""),"SOC-RJ2")</f>
        <v>SOC-RJ2</v>
      </c>
      <c r="D978" s="234">
        <f>IFERROR(__xludf.DUMMYFUNCTION("""COMPUTED_VALUE"""),93.0)</f>
        <v>93</v>
      </c>
      <c r="E978" s="237" t="str">
        <f>IFERROR(__xludf.DUMMYFUNCTION("""COMPUTED_VALUE"""),"LT0PBM01RX701")</f>
        <v>LT0PBM01RX701</v>
      </c>
      <c r="F978" s="238" t="str">
        <f>IFERROR(__xludf.DUMMYFUNCTION("""COMPUTED_VALUE"""),"TME8D82,QSX3C83")</f>
        <v>TME8D82,QSX3C83</v>
      </c>
      <c r="G978" s="238">
        <f>IFERROR(__xludf.DUMMYFUNCTION("""COMPUTED_VALUE"""),45983.08333333333)</f>
        <v>45983.08333</v>
      </c>
      <c r="H978" s="238">
        <f>IFERROR(__xludf.DUMMYFUNCTION("""COMPUTED_VALUE"""),45983.25)</f>
        <v>45983.25</v>
      </c>
      <c r="I978" s="237" t="str">
        <f t="shared" si="1"/>
        <v>Fora</v>
      </c>
      <c r="J978" s="239">
        <v>240.00000000698492</v>
      </c>
    </row>
    <row r="979">
      <c r="A979" s="234" t="s">
        <v>2673</v>
      </c>
      <c r="B979" s="234" t="str">
        <f>IFERROR(__xludf.DUMMYFUNCTION("""COMPUTED_VALUE"""),"SoC_SP_Cravinhos")</f>
        <v>SoC_SP_Cravinhos</v>
      </c>
      <c r="C979" s="234" t="str">
        <f>IFERROR(__xludf.DUMMYFUNCTION("""COMPUTED_VALUE"""),"SOC-SP5")</f>
        <v>SOC-SP5</v>
      </c>
      <c r="D979" s="234">
        <f>IFERROR(__xludf.DUMMYFUNCTION("""COMPUTED_VALUE"""),39.0)</f>
        <v>39</v>
      </c>
      <c r="E979" s="237" t="str">
        <f>IFERROR(__xludf.DUMMYFUNCTION("""COMPUTED_VALUE"""),"LT0PBM01RUWM1")</f>
        <v>LT0PBM01RUWM1</v>
      </c>
      <c r="F979" s="238" t="str">
        <f>IFERROR(__xludf.DUMMYFUNCTION("""COMPUTED_VALUE"""),"FLN3D82,CDV6B64")</f>
        <v>FLN3D82,CDV6B64</v>
      </c>
      <c r="G979" s="238">
        <f>IFERROR(__xludf.DUMMYFUNCTION("""COMPUTED_VALUE"""),45983.08333333333)</f>
        <v>45983.08333</v>
      </c>
      <c r="H979" s="238">
        <f>IFERROR(__xludf.DUMMYFUNCTION("""COMPUTED_VALUE"""),45983.25)</f>
        <v>45983.25</v>
      </c>
      <c r="I979" s="237" t="str">
        <f t="shared" si="1"/>
        <v>Fora</v>
      </c>
      <c r="J979" s="239">
        <v>239.0000000037253</v>
      </c>
    </row>
    <row r="980">
      <c r="A980" s="234" t="s">
        <v>2674</v>
      </c>
      <c r="B980" s="234" t="str">
        <f>IFERROR(__xludf.DUMMYFUNCTION("""COMPUTED_VALUE"""),"SoC_RS_Gravataí_02")</f>
        <v>SoC_RS_Gravataí_02</v>
      </c>
      <c r="C980" s="234" t="str">
        <f>IFERROR(__xludf.DUMMYFUNCTION("""COMPUTED_VALUE"""),"SOC-RS2")</f>
        <v>SOC-RS2</v>
      </c>
      <c r="D980" s="234">
        <f>IFERROR(__xludf.DUMMYFUNCTION("""COMPUTED_VALUE"""),24.0)</f>
        <v>24</v>
      </c>
      <c r="E980" s="237" t="str">
        <f>IFERROR(__xludf.DUMMYFUNCTION("""COMPUTED_VALUE"""),"LT0PBM01S1111")</f>
        <v>LT0PBM01S1111</v>
      </c>
      <c r="F980" s="238" t="str">
        <f>IFERROR(__xludf.DUMMYFUNCTION("""COMPUTED_VALUE"""),"TQV9B25,IPH1G75")</f>
        <v>TQV9B25,IPH1G75</v>
      </c>
      <c r="G980" s="238">
        <f>IFERROR(__xludf.DUMMYFUNCTION("""COMPUTED_VALUE"""),45983.084027777775)</f>
        <v>45983.08403</v>
      </c>
      <c r="H980" s="238">
        <f>IFERROR(__xludf.DUMMYFUNCTION("""COMPUTED_VALUE"""),45983.25)</f>
        <v>45983.25</v>
      </c>
      <c r="I980" s="237" t="str">
        <f t="shared" si="1"/>
        <v>Fora</v>
      </c>
      <c r="J980" s="239">
        <v>119.99999999301508</v>
      </c>
    </row>
    <row r="981">
      <c r="A981" s="234" t="s">
        <v>2675</v>
      </c>
      <c r="B981" s="234" t="str">
        <f>IFERROR(__xludf.DUMMYFUNCTION("""COMPUTED_VALUE"""),"LM Hub_SP_Guaratinguetá")</f>
        <v>LM Hub_SP_Guaratinguetá</v>
      </c>
      <c r="C981" s="234" t="str">
        <f>IFERROR(__xludf.DUMMYFUNCTION("""COMPUTED_VALUE"""),"HUB-LSP-33")</f>
        <v>HUB-LSP-33</v>
      </c>
      <c r="D981" s="234">
        <f>IFERROR(__xludf.DUMMYFUNCTION("""COMPUTED_VALUE"""),19.0)</f>
        <v>19</v>
      </c>
      <c r="E981" s="237" t="str">
        <f>IFERROR(__xludf.DUMMYFUNCTION("""COMPUTED_VALUE"""),"LT0PBM01RV0R1")</f>
        <v>LT0PBM01RV0R1</v>
      </c>
      <c r="F981" s="238" t="str">
        <f>IFERROR(__xludf.DUMMYFUNCTION("""COMPUTED_VALUE"""),"EKH3880")</f>
        <v>EKH3880</v>
      </c>
      <c r="G981" s="238">
        <f>IFERROR(__xludf.DUMMYFUNCTION("""COMPUTED_VALUE"""),45983.16666666667)</f>
        <v>45983.16667</v>
      </c>
      <c r="H981" s="238">
        <f>IFERROR(__xludf.DUMMYFUNCTION("""COMPUTED_VALUE"""),45983.25)</f>
        <v>45983.25</v>
      </c>
      <c r="I981" s="237" t="str">
        <f t="shared" si="1"/>
        <v>Fora</v>
      </c>
      <c r="J981" s="239">
        <v>119.99999999301508</v>
      </c>
    </row>
    <row r="982">
      <c r="A982" s="234" t="s">
        <v>2676</v>
      </c>
      <c r="B982" s="234" t="str">
        <f>IFERROR(__xludf.DUMMYFUNCTION("""COMPUTED_VALUE"""),"LM Hub_SP_Limeira_Campo Belo")</f>
        <v>LM Hub_SP_Limeira_Campo Belo</v>
      </c>
      <c r="C982" s="234" t="str">
        <f>IFERROR(__xludf.DUMMYFUNCTION("""COMPUTED_VALUE"""),"HUB-LSP-24")</f>
        <v>HUB-LSP-24</v>
      </c>
      <c r="D982" s="234">
        <f>IFERROR(__xludf.DUMMYFUNCTION("""COMPUTED_VALUE"""),32.0)</f>
        <v>32</v>
      </c>
      <c r="E982" s="237" t="str">
        <f>IFERROR(__xludf.DUMMYFUNCTION("""COMPUTED_VALUE"""),"LT0PBM01RV1O1")</f>
        <v>LT0PBM01RV1O1</v>
      </c>
      <c r="F982" s="238" t="str">
        <f>IFERROR(__xludf.DUMMYFUNCTION("""COMPUTED_VALUE"""),"UDI0A98")</f>
        <v>UDI0A98</v>
      </c>
      <c r="G982" s="238">
        <f>IFERROR(__xludf.DUMMYFUNCTION("""COMPUTED_VALUE"""),45983.16666666667)</f>
        <v>45983.16667</v>
      </c>
      <c r="H982" s="238">
        <f>IFERROR(__xludf.DUMMYFUNCTION("""COMPUTED_VALUE"""),45983.25)</f>
        <v>45983.25</v>
      </c>
      <c r="I982" s="237" t="str">
        <f t="shared" si="1"/>
        <v>Fora</v>
      </c>
      <c r="J982" s="239">
        <v>119.99999999301508</v>
      </c>
    </row>
    <row r="983">
      <c r="A983" s="234" t="s">
        <v>2677</v>
      </c>
      <c r="B983" s="234" t="str">
        <f>IFERROR(__xludf.DUMMYFUNCTION("""COMPUTED_VALUE"""),"LM Hub_SP_Várzea Paulista")</f>
        <v>LM Hub_SP_Várzea Paulista</v>
      </c>
      <c r="C983" s="234" t="str">
        <f>IFERROR(__xludf.DUMMYFUNCTION("""COMPUTED_VALUE"""),"HUB-LSP-61")</f>
        <v>HUB-LSP-61</v>
      </c>
      <c r="D983" s="234">
        <f>IFERROR(__xludf.DUMMYFUNCTION("""COMPUTED_VALUE"""),48.0)</f>
        <v>48</v>
      </c>
      <c r="E983" s="237" t="str">
        <f>IFERROR(__xludf.DUMMYFUNCTION("""COMPUTED_VALUE"""),"LT0PBM01RV1Y1")</f>
        <v>LT0PBM01RV1Y1</v>
      </c>
      <c r="F983" s="238" t="str">
        <f>IFERROR(__xludf.DUMMYFUNCTION("""COMPUTED_VALUE"""),"HNQ8267")</f>
        <v>HNQ8267</v>
      </c>
      <c r="G983" s="238">
        <f>IFERROR(__xludf.DUMMYFUNCTION("""COMPUTED_VALUE"""),45983.16666666667)</f>
        <v>45983.16667</v>
      </c>
      <c r="H983" s="238">
        <f>IFERROR(__xludf.DUMMYFUNCTION("""COMPUTED_VALUE"""),45983.25)</f>
        <v>45983.25</v>
      </c>
      <c r="I983" s="237" t="str">
        <f t="shared" si="1"/>
        <v>Fora</v>
      </c>
      <c r="J983" s="239">
        <v>119.99999999301508</v>
      </c>
    </row>
    <row r="984">
      <c r="A984" s="234" t="s">
        <v>2678</v>
      </c>
      <c r="B984" s="234" t="str">
        <f>IFERROR(__xludf.DUMMYFUNCTION("""COMPUTED_VALUE"""),"SoC_GO_Goiânia_02")</f>
        <v>SoC_GO_Goiânia_02</v>
      </c>
      <c r="C984" s="234" t="str">
        <f>IFERROR(__xludf.DUMMYFUNCTION("""COMPUTED_VALUE"""),"SOC-GO2")</f>
        <v>SOC-GO2</v>
      </c>
      <c r="D984" s="234">
        <f>IFERROR(__xludf.DUMMYFUNCTION("""COMPUTED_VALUE"""),18.0)</f>
        <v>18</v>
      </c>
      <c r="E984" s="237" t="str">
        <f>IFERROR(__xludf.DUMMYFUNCTION("""COMPUTED_VALUE"""),"LT1PBM01SQ0I1")</f>
        <v>LT1PBM01SQ0I1</v>
      </c>
      <c r="F984" s="238" t="str">
        <f>IFERROR(__xludf.DUMMYFUNCTION("""COMPUTED_VALUE"""),"PZL6G83,NCO3D28")</f>
        <v>PZL6G83,NCO3D28</v>
      </c>
      <c r="G984" s="238">
        <f>IFERROR(__xludf.DUMMYFUNCTION("""COMPUTED_VALUE"""),45983.16666666667)</f>
        <v>45983.16667</v>
      </c>
      <c r="H984" s="238">
        <f>IFERROR(__xludf.DUMMYFUNCTION("""COMPUTED_VALUE"""),45983.25)</f>
        <v>45983.25</v>
      </c>
      <c r="I984" s="237" t="str">
        <f t="shared" si="1"/>
        <v>Fora</v>
      </c>
      <c r="J984" s="239">
        <v>119.99999999301508</v>
      </c>
    </row>
    <row r="985">
      <c r="A985" s="234" t="s">
        <v>2679</v>
      </c>
      <c r="B985" s="234" t="str">
        <f>IFERROR(__xludf.DUMMYFUNCTION("""COMPUTED_VALUE"""),"SoC_PE_Jaboatão dos Guararapes")</f>
        <v>SoC_PE_Jaboatão dos Guararapes</v>
      </c>
      <c r="C985" s="234" t="str">
        <f>IFERROR(__xludf.DUMMYFUNCTION("""COMPUTED_VALUE"""),"SOC-PE2")</f>
        <v>SOC-PE2</v>
      </c>
      <c r="D985" s="234"/>
      <c r="E985" s="237" t="str">
        <f>IFERROR(__xludf.DUMMYFUNCTION("""COMPUTED_VALUE"""),"LT1PBM01SQ0F1")</f>
        <v>LT1PBM01SQ0F1</v>
      </c>
      <c r="F985" s="238" t="str">
        <f>IFERROR(__xludf.DUMMYFUNCTION("""COMPUTED_VALUE"""),"IQU7F87,FQL3E08")</f>
        <v>IQU7F87,FQL3E08</v>
      </c>
      <c r="G985" s="238">
        <f>IFERROR(__xludf.DUMMYFUNCTION("""COMPUTED_VALUE"""),45983.16666666667)</f>
        <v>45983.16667</v>
      </c>
      <c r="H985" s="238">
        <f>IFERROR(__xludf.DUMMYFUNCTION("""COMPUTED_VALUE"""),45983.25)</f>
        <v>45983.25</v>
      </c>
      <c r="I985" s="237" t="str">
        <f t="shared" si="1"/>
        <v>Fora</v>
      </c>
      <c r="J985" s="239">
        <v>119.99999999301508</v>
      </c>
    </row>
    <row r="986">
      <c r="A986" s="234" t="s">
        <v>2680</v>
      </c>
      <c r="B986" s="234" t="str">
        <f>IFERROR(__xludf.DUMMYFUNCTION("""COMPUTED_VALUE"""),"SoC_PE_Jaboatão dos Guararapes")</f>
        <v>SoC_PE_Jaboatão dos Guararapes</v>
      </c>
      <c r="C986" s="234" t="str">
        <f>IFERROR(__xludf.DUMMYFUNCTION("""COMPUTED_VALUE"""),"SOC-PE2")</f>
        <v>SOC-PE2</v>
      </c>
      <c r="D986" s="234">
        <f>IFERROR(__xludf.DUMMYFUNCTION("""COMPUTED_VALUE"""),23.0)</f>
        <v>23</v>
      </c>
      <c r="E986" s="237" t="str">
        <f>IFERROR(__xludf.DUMMYFUNCTION("""COMPUTED_VALUE"""),"LT1PBM01SQ0G1")</f>
        <v>LT1PBM01SQ0G1</v>
      </c>
      <c r="F986" s="238" t="str">
        <f>IFERROR(__xludf.DUMMYFUNCTION("""COMPUTED_VALUE"""),"PKI7H83,EFW7H41")</f>
        <v>PKI7H83,EFW7H41</v>
      </c>
      <c r="G986" s="238">
        <f>IFERROR(__xludf.DUMMYFUNCTION("""COMPUTED_VALUE"""),45983.16666666667)</f>
        <v>45983.16667</v>
      </c>
      <c r="H986" s="238">
        <f>IFERROR(__xludf.DUMMYFUNCTION("""COMPUTED_VALUE"""),45983.25)</f>
        <v>45983.25</v>
      </c>
      <c r="I986" s="237" t="str">
        <f t="shared" si="1"/>
        <v>Fora</v>
      </c>
      <c r="J986" s="239">
        <v>119.99999999301508</v>
      </c>
    </row>
    <row r="987">
      <c r="A987" s="234" t="s">
        <v>2681</v>
      </c>
      <c r="B987" s="234" t="str">
        <f>IFERROR(__xludf.DUMMYFUNCTION("""COMPUTED_VALUE"""),"SoC_RJ_Duque de Caxias")</f>
        <v>SoC_RJ_Duque de Caxias</v>
      </c>
      <c r="C987" s="234" t="str">
        <f>IFERROR(__xludf.DUMMYFUNCTION("""COMPUTED_VALUE"""),"SOC-RJ2")</f>
        <v>SOC-RJ2</v>
      </c>
      <c r="D987" s="234">
        <f>IFERROR(__xludf.DUMMYFUNCTION("""COMPUTED_VALUE"""),6.0)</f>
        <v>6</v>
      </c>
      <c r="E987" s="237" t="str">
        <f>IFERROR(__xludf.DUMMYFUNCTION("""COMPUTED_VALUE"""),"LT1PBM01SQ0C1")</f>
        <v>LT1PBM01SQ0C1</v>
      </c>
      <c r="F987" s="238" t="str">
        <f>IFERROR(__xludf.DUMMYFUNCTION("""COMPUTED_VALUE"""),"GJF6154,GEV0G82")</f>
        <v>GJF6154,GEV0G82</v>
      </c>
      <c r="G987" s="238">
        <f>IFERROR(__xludf.DUMMYFUNCTION("""COMPUTED_VALUE"""),45983.16666666667)</f>
        <v>45983.16667</v>
      </c>
      <c r="H987" s="238">
        <f>IFERROR(__xludf.DUMMYFUNCTION("""COMPUTED_VALUE"""),45983.25)</f>
        <v>45983.25</v>
      </c>
      <c r="I987" s="237" t="str">
        <f t="shared" si="1"/>
        <v>Fora</v>
      </c>
      <c r="J987" s="239">
        <v>118.00000000745058</v>
      </c>
    </row>
    <row r="988">
      <c r="A988" s="234" t="s">
        <v>2682</v>
      </c>
      <c r="B988" s="234" t="str">
        <f>IFERROR(__xludf.DUMMYFUNCTION("""COMPUTED_VALUE"""),"SoC_BA_Simoes Filho")</f>
        <v>SoC_BA_Simoes Filho</v>
      </c>
      <c r="C988" s="234" t="str">
        <f>IFERROR(__xludf.DUMMYFUNCTION("""COMPUTED_VALUE"""),"SOC-BA2")</f>
        <v>SOC-BA2</v>
      </c>
      <c r="D988" s="234">
        <f>IFERROR(__xludf.DUMMYFUNCTION("""COMPUTED_VALUE"""),29.0)</f>
        <v>29</v>
      </c>
      <c r="E988" s="237" t="str">
        <f>IFERROR(__xludf.DUMMYFUNCTION("""COMPUTED_VALUE"""),"LT0PBM01S0QC2")</f>
        <v>LT0PBM01S0QC2</v>
      </c>
      <c r="F988" s="238" t="str">
        <f>IFERROR(__xludf.DUMMYFUNCTION("""COMPUTED_VALUE"""),"GKB4D43,TEX4B02")</f>
        <v>GKB4D43,TEX4B02</v>
      </c>
      <c r="G988" s="238">
        <f>IFERROR(__xludf.DUMMYFUNCTION("""COMPUTED_VALUE"""),45983.16805555555)</f>
        <v>45983.16806</v>
      </c>
      <c r="H988" s="238">
        <f>IFERROR(__xludf.DUMMYFUNCTION("""COMPUTED_VALUE"""),45983.25)</f>
        <v>45983.25</v>
      </c>
      <c r="I988" s="237" t="str">
        <f t="shared" si="1"/>
        <v>Fora</v>
      </c>
      <c r="J988" s="239">
        <v>119.99999999301508</v>
      </c>
    </row>
    <row r="989">
      <c r="A989" s="234" t="s">
        <v>2683</v>
      </c>
      <c r="B989" s="234" t="str">
        <f>IFERROR(__xludf.DUMMYFUNCTION("""COMPUTED_VALUE"""),"LM Hub_SP_Atibaia_Ponte_Alta")</f>
        <v>LM Hub_SP_Atibaia_Ponte_Alta</v>
      </c>
      <c r="C989" s="234" t="str">
        <f>IFERROR(__xludf.DUMMYFUNCTION("""COMPUTED_VALUE"""),"HUB-LSP-87")</f>
        <v>HUB-LSP-87</v>
      </c>
      <c r="D989" s="234">
        <f>IFERROR(__xludf.DUMMYFUNCTION("""COMPUTED_VALUE"""),14.0)</f>
        <v>14</v>
      </c>
      <c r="E989" s="237" t="str">
        <f>IFERROR(__xludf.DUMMYFUNCTION("""COMPUTED_VALUE"""),"LT0PBM01RYX11")</f>
        <v>LT0PBM01RYX11</v>
      </c>
      <c r="F989" s="238" t="str">
        <f>IFERROR(__xludf.DUMMYFUNCTION("""COMPUTED_VALUE"""),"TBX6C27")</f>
        <v>TBX6C27</v>
      </c>
      <c r="G989" s="238">
        <f>IFERROR(__xludf.DUMMYFUNCTION("""COMPUTED_VALUE"""),45983.1875)</f>
        <v>45983.1875</v>
      </c>
      <c r="H989" s="238">
        <f>IFERROR(__xludf.DUMMYFUNCTION("""COMPUTED_VALUE"""),45983.27083333333)</f>
        <v>45983.27083</v>
      </c>
      <c r="I989" s="237" t="str">
        <f t="shared" si="1"/>
        <v>Fora</v>
      </c>
      <c r="J989" s="239">
        <v>119.99999999301508</v>
      </c>
    </row>
    <row r="990">
      <c r="A990" s="234" t="s">
        <v>2684</v>
      </c>
      <c r="B990" s="234" t="str">
        <f>IFERROR(__xludf.DUMMYFUNCTION("""COMPUTED_VALUE"""),"LM Hub_SP_Embu das Artes")</f>
        <v>LM Hub_SP_Embu das Artes</v>
      </c>
      <c r="C990" s="234" t="str">
        <f>IFERROR(__xludf.DUMMYFUNCTION("""COMPUTED_VALUE"""),"HUB-LSP-36")</f>
        <v>HUB-LSP-36</v>
      </c>
      <c r="D990" s="234">
        <f>IFERROR(__xludf.DUMMYFUNCTION("""COMPUTED_VALUE"""),34.0)</f>
        <v>34</v>
      </c>
      <c r="E990" s="237" t="str">
        <f>IFERROR(__xludf.DUMMYFUNCTION("""COMPUTED_VALUE"""),"LT0PBM01RW4B1")</f>
        <v>LT0PBM01RW4B1</v>
      </c>
      <c r="F990" s="238" t="str">
        <f>IFERROR(__xludf.DUMMYFUNCTION("""COMPUTED_VALUE"""),"FBH4883")</f>
        <v>FBH4883</v>
      </c>
      <c r="G990" s="238">
        <f>IFERROR(__xludf.DUMMYFUNCTION("""COMPUTED_VALUE"""),45983.1875)</f>
        <v>45983.1875</v>
      </c>
      <c r="H990" s="238">
        <f>IFERROR(__xludf.DUMMYFUNCTION("""COMPUTED_VALUE"""),45983.27083333333)</f>
        <v>45983.27083</v>
      </c>
      <c r="I990" s="237" t="str">
        <f t="shared" si="1"/>
        <v>Fora</v>
      </c>
      <c r="J990" s="239">
        <v>119.99999999301508</v>
      </c>
    </row>
    <row r="991">
      <c r="A991" s="234" t="s">
        <v>2685</v>
      </c>
      <c r="B991" s="234" t="str">
        <f>IFERROR(__xludf.DUMMYFUNCTION("""COMPUTED_VALUE"""),"LM Hub_SP_Taubaté")</f>
        <v>LM Hub_SP_Taubaté</v>
      </c>
      <c r="C991" s="234" t="str">
        <f>IFERROR(__xludf.DUMMYFUNCTION("""COMPUTED_VALUE"""),"HUB-LSP-08")</f>
        <v>HUB-LSP-08</v>
      </c>
      <c r="D991" s="234">
        <f>IFERROR(__xludf.DUMMYFUNCTION("""COMPUTED_VALUE"""),15.0)</f>
        <v>15</v>
      </c>
      <c r="E991" s="237" t="str">
        <f>IFERROR(__xludf.DUMMYFUNCTION("""COMPUTED_VALUE"""),"LT0PBM01RV111")</f>
        <v>LT0PBM01RV111</v>
      </c>
      <c r="F991" s="238" t="str">
        <f>IFERROR(__xludf.DUMMYFUNCTION("""COMPUTED_VALUE"""),"EFO3I77")</f>
        <v>EFO3I77</v>
      </c>
      <c r="G991" s="238">
        <f>IFERROR(__xludf.DUMMYFUNCTION("""COMPUTED_VALUE"""),45983.1875)</f>
        <v>45983.1875</v>
      </c>
      <c r="H991" s="238">
        <f>IFERROR(__xludf.DUMMYFUNCTION("""COMPUTED_VALUE"""),45983.27083333333)</f>
        <v>45983.27083</v>
      </c>
      <c r="I991" s="237" t="str">
        <f t="shared" si="1"/>
        <v>Fora</v>
      </c>
      <c r="J991" s="239">
        <v>120.00000001396984</v>
      </c>
    </row>
    <row r="992">
      <c r="A992" s="234" t="s">
        <v>2686</v>
      </c>
      <c r="B992" s="234" t="str">
        <f>IFERROR(__xludf.DUMMYFUNCTION("""COMPUTED_VALUE"""),"LM Hub_SP_Barueri_01")</f>
        <v>LM Hub_SP_Barueri_01</v>
      </c>
      <c r="C992" s="234" t="str">
        <f>IFERROR(__xludf.DUMMYFUNCTION("""COMPUTED_VALUE"""),"HUB-LSP-81")</f>
        <v>HUB-LSP-81</v>
      </c>
      <c r="D992" s="234">
        <f>IFERROR(__xludf.DUMMYFUNCTION("""COMPUTED_VALUE"""),13.0)</f>
        <v>13</v>
      </c>
      <c r="E992" s="237" t="str">
        <f>IFERROR(__xludf.DUMMYFUNCTION("""COMPUTED_VALUE"""),"LT0PBM01S0E21")</f>
        <v>LT0PBM01S0E21</v>
      </c>
      <c r="F992" s="238" t="str">
        <f>IFERROR(__xludf.DUMMYFUNCTION("""COMPUTED_VALUE"""),"OPY9J66")</f>
        <v>OPY9J66</v>
      </c>
      <c r="G992" s="238">
        <f>IFERROR(__xludf.DUMMYFUNCTION("""COMPUTED_VALUE"""),45983.20833333333)</f>
        <v>45983.20833</v>
      </c>
      <c r="H992" s="238">
        <f>IFERROR(__xludf.DUMMYFUNCTION("""COMPUTED_VALUE"""),45983.29166666667)</f>
        <v>45983.29167</v>
      </c>
      <c r="I992" s="237" t="str">
        <f t="shared" si="1"/>
        <v>Fora</v>
      </c>
      <c r="J992" s="239">
        <v>120.00000001396984</v>
      </c>
    </row>
    <row r="993">
      <c r="A993" s="234" t="s">
        <v>2687</v>
      </c>
      <c r="B993" s="234" t="str">
        <f>IFERROR(__xludf.DUMMYFUNCTION("""COMPUTED_VALUE"""),"LM Hub_SP_Jurubatuba")</f>
        <v>LM Hub_SP_Jurubatuba</v>
      </c>
      <c r="C993" s="234" t="str">
        <f>IFERROR(__xludf.DUMMYFUNCTION("""COMPUTED_VALUE"""),"HUB-LSP-16")</f>
        <v>HUB-LSP-16</v>
      </c>
      <c r="D993" s="234">
        <f>IFERROR(__xludf.DUMMYFUNCTION("""COMPUTED_VALUE"""),17.0)</f>
        <v>17</v>
      </c>
      <c r="E993" s="237" t="str">
        <f>IFERROR(__xludf.DUMMYFUNCTION("""COMPUTED_VALUE"""),"LT0PBM01RW2W1")</f>
        <v>LT0PBM01RW2W1</v>
      </c>
      <c r="F993" s="238" t="str">
        <f>IFERROR(__xludf.DUMMYFUNCTION("""COMPUTED_VALUE"""),"JYA9C60,CUG9G47")</f>
        <v>JYA9C60,CUG9G47</v>
      </c>
      <c r="G993" s="238">
        <f>IFERROR(__xludf.DUMMYFUNCTION("""COMPUTED_VALUE"""),45983.20833333333)</f>
        <v>45983.20833</v>
      </c>
      <c r="H993" s="238">
        <f>IFERROR(__xludf.DUMMYFUNCTION("""COMPUTED_VALUE"""),45983.29166666667)</f>
        <v>45983.29167</v>
      </c>
      <c r="I993" s="237" t="str">
        <f t="shared" si="1"/>
        <v>Fora</v>
      </c>
      <c r="J993" s="239">
        <v>120.00000001396984</v>
      </c>
    </row>
    <row r="994">
      <c r="A994" s="234" t="s">
        <v>2688</v>
      </c>
      <c r="B994" s="234" t="str">
        <f>IFERROR(__xludf.DUMMYFUNCTION("""COMPUTED_VALUE"""),"LM Hub_SP_Piracicaba")</f>
        <v>LM Hub_SP_Piracicaba</v>
      </c>
      <c r="C994" s="234" t="str">
        <f>IFERROR(__xludf.DUMMYFUNCTION("""COMPUTED_VALUE"""),"HUB-LSP-62")</f>
        <v>HUB-LSP-62</v>
      </c>
      <c r="D994" s="234">
        <f>IFERROR(__xludf.DUMMYFUNCTION("""COMPUTED_VALUE"""),26.0)</f>
        <v>26</v>
      </c>
      <c r="E994" s="237" t="str">
        <f>IFERROR(__xludf.DUMMYFUNCTION("""COMPUTED_VALUE"""),"LT0PBM01RVNQ1")</f>
        <v>LT0PBM01RVNQ1</v>
      </c>
      <c r="F994" s="238" t="str">
        <f>IFERROR(__xludf.DUMMYFUNCTION("""COMPUTED_VALUE"""),"BYP9A96")</f>
        <v>BYP9A96</v>
      </c>
      <c r="G994" s="238">
        <f>IFERROR(__xludf.DUMMYFUNCTION("""COMPUTED_VALUE"""),45983.20833333333)</f>
        <v>45983.20833</v>
      </c>
      <c r="H994" s="238">
        <f>IFERROR(__xludf.DUMMYFUNCTION("""COMPUTED_VALUE"""),45983.29166666667)</f>
        <v>45983.29167</v>
      </c>
      <c r="I994" s="237" t="str">
        <f t="shared" si="1"/>
        <v>Fora</v>
      </c>
      <c r="J994" s="239">
        <v>120.00000001396984</v>
      </c>
    </row>
    <row r="995">
      <c r="A995" s="234" t="s">
        <v>2689</v>
      </c>
      <c r="B995" s="234" t="str">
        <f>IFERROR(__xludf.DUMMYFUNCTION("""COMPUTED_VALUE"""),"LM Hub_SP_Santos_PraiaGrande_02")</f>
        <v>LM Hub_SP_Santos_PraiaGrande_02</v>
      </c>
      <c r="C995" s="234" t="str">
        <f>IFERROR(__xludf.DUMMYFUNCTION("""COMPUTED_VALUE"""),"HUB-LSP-63")</f>
        <v>HUB-LSP-63</v>
      </c>
      <c r="D995" s="234">
        <f>IFERROR(__xludf.DUMMYFUNCTION("""COMPUTED_VALUE"""),12.0)</f>
        <v>12</v>
      </c>
      <c r="E995" s="237" t="str">
        <f>IFERROR(__xludf.DUMMYFUNCTION("""COMPUTED_VALUE"""),"LT0PBM01RW461")</f>
        <v>LT0PBM01RW461</v>
      </c>
      <c r="F995" s="238" t="str">
        <f>IFERROR(__xludf.DUMMYFUNCTION("""COMPUTED_VALUE"""),"FUZ4C73,TLL9H76")</f>
        <v>FUZ4C73,TLL9H76</v>
      </c>
      <c r="G995" s="238">
        <f>IFERROR(__xludf.DUMMYFUNCTION("""COMPUTED_VALUE"""),45983.20833333333)</f>
        <v>45983.20833</v>
      </c>
      <c r="H995" s="238">
        <f>IFERROR(__xludf.DUMMYFUNCTION("""COMPUTED_VALUE"""),45983.29166666667)</f>
        <v>45983.29167</v>
      </c>
      <c r="I995" s="237" t="str">
        <f t="shared" si="1"/>
        <v>Fora</v>
      </c>
      <c r="J995" s="239">
        <v>120.00000001396984</v>
      </c>
    </row>
    <row r="996">
      <c r="A996" s="234" t="s">
        <v>2690</v>
      </c>
      <c r="B996" s="234" t="str">
        <f>IFERROR(__xludf.DUMMYFUNCTION("""COMPUTED_VALUE"""),"SoC_MG_Betim")</f>
        <v>SoC_MG_Betim</v>
      </c>
      <c r="C996" s="234" t="str">
        <f>IFERROR(__xludf.DUMMYFUNCTION("""COMPUTED_VALUE"""),"SOC-MG2")</f>
        <v>SOC-MG2</v>
      </c>
      <c r="D996" s="234"/>
      <c r="E996" s="237" t="str">
        <f>IFERROR(__xludf.DUMMYFUNCTION("""COMPUTED_VALUE"""),"LT1PBM01SRJA1")</f>
        <v>LT1PBM01SRJA1</v>
      </c>
      <c r="F996" s="238" t="str">
        <f>IFERROR(__xludf.DUMMYFUNCTION("""COMPUTED_VALUE"""),"JCZ2C58,APX1C88")</f>
        <v>JCZ2C58,APX1C88</v>
      </c>
      <c r="G996" s="238">
        <f>IFERROR(__xludf.DUMMYFUNCTION("""COMPUTED_VALUE"""),45983.20833333333)</f>
        <v>45983.20833</v>
      </c>
      <c r="H996" s="238">
        <f>IFERROR(__xludf.DUMMYFUNCTION("""COMPUTED_VALUE"""),45983.29166666667)</f>
        <v>45983.29167</v>
      </c>
      <c r="I996" s="237" t="str">
        <f t="shared" si="1"/>
        <v>Fora</v>
      </c>
      <c r="J996" s="239">
        <v>119.99999999301508</v>
      </c>
    </row>
    <row r="997">
      <c r="A997" s="234" t="s">
        <v>2691</v>
      </c>
      <c r="B997" s="234" t="str">
        <f>IFERROR(__xludf.DUMMYFUNCTION("""COMPUTED_VALUE"""),"LM Hub_SP_Guarujá")</f>
        <v>LM Hub_SP_Guarujá</v>
      </c>
      <c r="C997" s="234" t="str">
        <f>IFERROR(__xludf.DUMMYFUNCTION("""COMPUTED_VALUE"""),"HUB-LSP-06")</f>
        <v>HUB-LSP-06</v>
      </c>
      <c r="D997" s="234"/>
      <c r="E997" s="237" t="str">
        <f>IFERROR(__xludf.DUMMYFUNCTION("""COMPUTED_VALUE"""),"LT0PBM01RW3M1")</f>
        <v>LT0PBM01RW3M1</v>
      </c>
      <c r="F997" s="238" t="str">
        <f>IFERROR(__xludf.DUMMYFUNCTION("""COMPUTED_VALUE"""),"DIK3532")</f>
        <v>DIK3532</v>
      </c>
      <c r="G997" s="238">
        <f>IFERROR(__xludf.DUMMYFUNCTION("""COMPUTED_VALUE"""),45983.22916666667)</f>
        <v>45983.22917</v>
      </c>
      <c r="H997" s="238">
        <f>IFERROR(__xludf.DUMMYFUNCTION("""COMPUTED_VALUE"""),45983.3125)</f>
        <v>45983.3125</v>
      </c>
      <c r="I997" s="237" t="str">
        <f t="shared" si="1"/>
        <v>Fora</v>
      </c>
      <c r="J997" s="239">
        <v>119.99999999301508</v>
      </c>
    </row>
    <row r="998">
      <c r="A998" s="234" t="s">
        <v>2692</v>
      </c>
      <c r="B998" s="234" t="str">
        <f>IFERROR(__xludf.DUMMYFUNCTION("""COMPUTED_VALUE"""),"LM Hub_SP_Itapevi")</f>
        <v>LM Hub_SP_Itapevi</v>
      </c>
      <c r="C998" s="234" t="str">
        <f>IFERROR(__xludf.DUMMYFUNCTION("""COMPUTED_VALUE"""),"HUB-LSP-41")</f>
        <v>HUB-LSP-41</v>
      </c>
      <c r="D998" s="234">
        <f>IFERROR(__xludf.DUMMYFUNCTION("""COMPUTED_VALUE"""),9.0)</f>
        <v>9</v>
      </c>
      <c r="E998" s="237" t="str">
        <f>IFERROR(__xludf.DUMMYFUNCTION("""COMPUTED_VALUE"""),"LT0PBM01RUZ11")</f>
        <v>LT0PBM01RUZ11</v>
      </c>
      <c r="F998" s="238" t="str">
        <f>IFERROR(__xludf.DUMMYFUNCTION("""COMPUTED_VALUE"""),"RDA5G49")</f>
        <v>RDA5G49</v>
      </c>
      <c r="G998" s="238">
        <f>IFERROR(__xludf.DUMMYFUNCTION("""COMPUTED_VALUE"""),45983.22916666667)</f>
        <v>45983.22917</v>
      </c>
      <c r="H998" s="238">
        <f>IFERROR(__xludf.DUMMYFUNCTION("""COMPUTED_VALUE"""),45983.3125)</f>
        <v>45983.3125</v>
      </c>
      <c r="I998" s="237" t="str">
        <f t="shared" si="1"/>
        <v>Fora</v>
      </c>
      <c r="J998" s="239">
        <v>119.99999999301508</v>
      </c>
    </row>
    <row r="999">
      <c r="A999" s="234" t="s">
        <v>2693</v>
      </c>
      <c r="B999" s="234" t="str">
        <f>IFERROR(__xludf.DUMMYFUNCTION("""COMPUTED_VALUE"""),"LM Hub_SP_Jundiaí")</f>
        <v>LM Hub_SP_Jundiaí</v>
      </c>
      <c r="C999" s="234" t="str">
        <f>IFERROR(__xludf.DUMMYFUNCTION("""COMPUTED_VALUE"""),"HUB-LSP-20")</f>
        <v>HUB-LSP-20</v>
      </c>
      <c r="D999" s="234">
        <f>IFERROR(__xludf.DUMMYFUNCTION("""COMPUTED_VALUE"""),7.0)</f>
        <v>7</v>
      </c>
      <c r="E999" s="237" t="str">
        <f>IFERROR(__xludf.DUMMYFUNCTION("""COMPUTED_VALUE"""),"LT0PBM01RV311")</f>
        <v>LT0PBM01RV311</v>
      </c>
      <c r="F999" s="238" t="str">
        <f>IFERROR(__xludf.DUMMYFUNCTION("""COMPUTED_VALUE"""),"DBM1893")</f>
        <v>DBM1893</v>
      </c>
      <c r="G999" s="238">
        <f>IFERROR(__xludf.DUMMYFUNCTION("""COMPUTED_VALUE"""),45983.22916666667)</f>
        <v>45983.22917</v>
      </c>
      <c r="H999" s="238">
        <f>IFERROR(__xludf.DUMMYFUNCTION("""COMPUTED_VALUE"""),45983.3125)</f>
        <v>45983.3125</v>
      </c>
      <c r="I999" s="237" t="str">
        <f t="shared" si="1"/>
        <v>Fora</v>
      </c>
      <c r="J999" s="239">
        <v>119.99999999301508</v>
      </c>
    </row>
    <row r="1000">
      <c r="A1000" s="234" t="s">
        <v>2694</v>
      </c>
      <c r="B1000" s="234" t="str">
        <f>IFERROR(__xludf.DUMMYFUNCTION("""COMPUTED_VALUE"""),"LM Hub_SP_Santos_Praia Grande")</f>
        <v>LM Hub_SP_Santos_Praia Grande</v>
      </c>
      <c r="C1000" s="234" t="str">
        <f>IFERROR(__xludf.DUMMYFUNCTION("""COMPUTED_VALUE"""),"HUB-LSP-09")</f>
        <v>HUB-LSP-09</v>
      </c>
      <c r="D1000" s="234">
        <f>IFERROR(__xludf.DUMMYFUNCTION("""COMPUTED_VALUE"""),16.0)</f>
        <v>16</v>
      </c>
      <c r="E1000" s="237" t="str">
        <f>IFERROR(__xludf.DUMMYFUNCTION("""COMPUTED_VALUE"""),"LT0PBM01RW3R1")</f>
        <v>LT0PBM01RW3R1</v>
      </c>
      <c r="F1000" s="238" t="str">
        <f>IFERROR(__xludf.DUMMYFUNCTION("""COMPUTED_VALUE"""),"GDW1D96")</f>
        <v>GDW1D96</v>
      </c>
      <c r="G1000" s="238">
        <f>IFERROR(__xludf.DUMMYFUNCTION("""COMPUTED_VALUE"""),45983.22916666667)</f>
        <v>45983.22917</v>
      </c>
      <c r="H1000" s="238">
        <f>IFERROR(__xludf.DUMMYFUNCTION("""COMPUTED_VALUE"""),45983.3125)</f>
        <v>45983.3125</v>
      </c>
      <c r="I1000" s="237" t="str">
        <f t="shared" si="1"/>
        <v>Fora</v>
      </c>
      <c r="J1000" s="239">
        <v>119.99999999301508</v>
      </c>
    </row>
    <row r="1001">
      <c r="A1001" s="234" t="s">
        <v>2695</v>
      </c>
      <c r="B1001" s="234" t="str">
        <f>IFERROR(__xludf.DUMMYFUNCTION("""COMPUTED_VALUE"""),"LM Hub_SP_São José dos Campos")</f>
        <v>LM Hub_SP_São José dos Campos</v>
      </c>
      <c r="C1001" s="234" t="str">
        <f>IFERROR(__xludf.DUMMYFUNCTION("""COMPUTED_VALUE"""),"HUB-LSP-04")</f>
        <v>HUB-LSP-04</v>
      </c>
      <c r="D1001" s="234">
        <f>IFERROR(__xludf.DUMMYFUNCTION("""COMPUTED_VALUE"""),28.0)</f>
        <v>28</v>
      </c>
      <c r="E1001" s="237" t="str">
        <f>IFERROR(__xludf.DUMMYFUNCTION("""COMPUTED_VALUE"""),"LT0PBM01RW3W1")</f>
        <v>LT0PBM01RW3W1</v>
      </c>
      <c r="F1001" s="238" t="str">
        <f>IFERROR(__xludf.DUMMYFUNCTION("""COMPUTED_VALUE"""),"JBJ0I18")</f>
        <v>JBJ0I18</v>
      </c>
      <c r="G1001" s="238">
        <f>IFERROR(__xludf.DUMMYFUNCTION("""COMPUTED_VALUE"""),45983.22916666667)</f>
        <v>45983.22917</v>
      </c>
      <c r="H1001" s="238">
        <f>IFERROR(__xludf.DUMMYFUNCTION("""COMPUTED_VALUE"""),45983.3125)</f>
        <v>45983.3125</v>
      </c>
      <c r="I1001" s="237" t="str">
        <f t="shared" si="1"/>
        <v>Fora</v>
      </c>
      <c r="J1001" s="239">
        <v>119.99999999301508</v>
      </c>
    </row>
    <row r="1002">
      <c r="A1002" s="234" t="s">
        <v>2696</v>
      </c>
      <c r="B1002" s="234" t="str">
        <f>IFERROR(__xludf.DUMMYFUNCTION("""COMPUTED_VALUE"""),"LM Hub_SP_São Paulo_Mooca")</f>
        <v>LM Hub_SP_São Paulo_Mooca</v>
      </c>
      <c r="C1002" s="234" t="str">
        <f>IFERROR(__xludf.DUMMYFUNCTION("""COMPUTED_VALUE"""),"HUB-LSP-13")</f>
        <v>HUB-LSP-13</v>
      </c>
      <c r="D1002" s="234">
        <f>IFERROR(__xludf.DUMMYFUNCTION("""COMPUTED_VALUE"""),5.0)</f>
        <v>5</v>
      </c>
      <c r="E1002" s="237" t="str">
        <f>IFERROR(__xludf.DUMMYFUNCTION("""COMPUTED_VALUE"""),"LT0PBM01S4271")</f>
        <v>LT0PBM01S4271</v>
      </c>
      <c r="F1002" s="238" t="str">
        <f>IFERROR(__xludf.DUMMYFUNCTION("""COMPUTED_VALUE"""),"PEP9J38")</f>
        <v>PEP9J38</v>
      </c>
      <c r="G1002" s="238">
        <f>IFERROR(__xludf.DUMMYFUNCTION("""COMPUTED_VALUE"""),45983.22916666667)</f>
        <v>45983.22917</v>
      </c>
      <c r="H1002" s="238">
        <f>IFERROR(__xludf.DUMMYFUNCTION("""COMPUTED_VALUE"""),45983.3125)</f>
        <v>45983.3125</v>
      </c>
      <c r="I1002" s="237" t="str">
        <f t="shared" si="1"/>
        <v>Fora</v>
      </c>
      <c r="J1002" s="239">
        <v>119.99999999301508</v>
      </c>
    </row>
    <row r="1003">
      <c r="A1003" s="234" t="s">
        <v>2697</v>
      </c>
      <c r="B1003" s="234" t="str">
        <f>IFERROR(__xludf.DUMMYFUNCTION("""COMPUTED_VALUE"""),"LM Hub_SP_Zimba")</f>
        <v>LM Hub_SP_Zimba</v>
      </c>
      <c r="C1003" s="234" t="str">
        <f>IFERROR(__xludf.DUMMYFUNCTION("""COMPUTED_VALUE"""),"HUB-LSP-74")</f>
        <v>HUB-LSP-74</v>
      </c>
      <c r="D1003" s="234">
        <f>IFERROR(__xludf.DUMMYFUNCTION("""COMPUTED_VALUE"""),35.0)</f>
        <v>35</v>
      </c>
      <c r="E1003" s="237" t="str">
        <f>IFERROR(__xludf.DUMMYFUNCTION("""COMPUTED_VALUE"""),"LT0PBM01RW3H1")</f>
        <v>LT0PBM01RW3H1</v>
      </c>
      <c r="F1003" s="238" t="str">
        <f>IFERROR(__xludf.DUMMYFUNCTION("""COMPUTED_VALUE"""),"SUQ5C99,TLD5B82")</f>
        <v>SUQ5C99,TLD5B82</v>
      </c>
      <c r="G1003" s="238">
        <f>IFERROR(__xludf.DUMMYFUNCTION("""COMPUTED_VALUE"""),45983.22916666667)</f>
        <v>45983.22917</v>
      </c>
      <c r="H1003" s="238">
        <f>IFERROR(__xludf.DUMMYFUNCTION("""COMPUTED_VALUE"""),45983.3125)</f>
        <v>45983.3125</v>
      </c>
      <c r="I1003" s="237" t="str">
        <f t="shared" si="1"/>
        <v>Fora</v>
      </c>
      <c r="J1003" s="239">
        <v>239.0000000037253</v>
      </c>
    </row>
    <row r="1004">
      <c r="A1004" s="234" t="s">
        <v>2698</v>
      </c>
      <c r="B1004" s="234" t="str">
        <f>IFERROR(__xludf.DUMMYFUNCTION("""COMPUTED_VALUE"""),"SoC_GO_Goiânia_02")</f>
        <v>SoC_GO_Goiânia_02</v>
      </c>
      <c r="C1004" s="234" t="str">
        <f>IFERROR(__xludf.DUMMYFUNCTION("""COMPUTED_VALUE"""),"SOC-GO2")</f>
        <v>SOC-GO2</v>
      </c>
      <c r="D1004" s="234">
        <f>IFERROR(__xludf.DUMMYFUNCTION("""COMPUTED_VALUE"""),21.0)</f>
        <v>21</v>
      </c>
      <c r="E1004" s="237" t="str">
        <f>IFERROR(__xludf.DUMMYFUNCTION("""COMPUTED_VALUE"""),"LT0PBM01S0XP2")</f>
        <v>LT0PBM01S0XP2</v>
      </c>
      <c r="F1004" s="234" t="str">
        <f>IFERROR(__xludf.DUMMYFUNCTION("""COMPUTED_VALUE"""),"ONM4A76")</f>
        <v>ONM4A76</v>
      </c>
      <c r="G1004" s="238">
        <f>IFERROR(__xludf.DUMMYFUNCTION("""COMPUTED_VALUE"""),45983.25069444445)</f>
        <v>45983.25069</v>
      </c>
      <c r="H1004" s="238">
        <f>IFERROR(__xludf.DUMMYFUNCTION("""COMPUTED_VALUE"""),45983.41666666667)</f>
        <v>45983.41667</v>
      </c>
      <c r="I1004" s="237" t="str">
        <f t="shared" si="1"/>
        <v>Fora</v>
      </c>
      <c r="J1004" s="239" t="e">
        <v>#VALUE!</v>
      </c>
    </row>
    <row r="1005">
      <c r="A1005" s="234" t="s">
        <v>2699</v>
      </c>
      <c r="B1005" s="234" t="str">
        <f>IFERROR(__xludf.DUMMYFUNCTION("""COMPUTED_VALUE"""),"Fanout Desconhecido")</f>
        <v>Fanout Desconhecido</v>
      </c>
      <c r="C1005" s="234" t="str">
        <f>IFERROR(__xludf.DUMMYFUNCTION("""COMPUTED_VALUE"""),"-")</f>
        <v>-</v>
      </c>
      <c r="D1005" s="234"/>
      <c r="E1005" s="237" t="str">
        <f>IFERROR(__xludf.DUMMYFUNCTION("""COMPUTED_VALUE"""),"LT0PBM01RXXW1")</f>
        <v>LT0PBM01RXXW1</v>
      </c>
      <c r="F1005" s="238" t="str">
        <f>IFERROR(__xludf.DUMMYFUNCTION("""COMPUTED_VALUE"""),"-")</f>
        <v>-</v>
      </c>
      <c r="G1005" s="238" t="str">
        <f>IFERROR(__xludf.DUMMYFUNCTION("""COMPUTED_VALUE"""),"-")</f>
        <v>-</v>
      </c>
      <c r="H1005" s="238" t="str">
        <f>IFERROR(__xludf.DUMMYFUNCTION("""COMPUTED_VALUE"""),"-")</f>
        <v>-</v>
      </c>
      <c r="I1005" s="237" t="str">
        <f t="shared" si="1"/>
        <v>Dentro</v>
      </c>
      <c r="J1005" s="239">
        <v>119.99999999301508</v>
      </c>
    </row>
    <row r="1006">
      <c r="A1006" s="234" t="s">
        <v>2700</v>
      </c>
      <c r="B1006" s="234" t="str">
        <f>IFERROR(__xludf.DUMMYFUNCTION("""COMPUTED_VALUE"""),"LM Hub_SP_Osasco_02")</f>
        <v>LM Hub_SP_Osasco_02</v>
      </c>
      <c r="C1006" s="234" t="str">
        <f>IFERROR(__xludf.DUMMYFUNCTION("""COMPUTED_VALUE"""),"HUB-LSP-60")</f>
        <v>HUB-LSP-60</v>
      </c>
      <c r="D1006" s="234">
        <f>IFERROR(__xludf.DUMMYFUNCTION("""COMPUTED_VALUE"""),12.0)</f>
        <v>12</v>
      </c>
      <c r="E1006" s="237" t="str">
        <f>IFERROR(__xludf.DUMMYFUNCTION("""COMPUTED_VALUE"""),"LT0PBM01RUZ71")</f>
        <v>LT0PBM01RUZ71</v>
      </c>
      <c r="F1006" s="238" t="str">
        <f>IFERROR(__xludf.DUMMYFUNCTION("""COMPUTED_VALUE"""),"ARA0I24,TKW4D57")</f>
        <v>ARA0I24,TKW4D57</v>
      </c>
      <c r="G1006" s="238">
        <f>IFERROR(__xludf.DUMMYFUNCTION("""COMPUTED_VALUE"""),45983.875)</f>
        <v>45983.875</v>
      </c>
      <c r="H1006" s="238">
        <f>IFERROR(__xludf.DUMMYFUNCTION("""COMPUTED_VALUE"""),45983.95833333333)</f>
        <v>45983.95833</v>
      </c>
      <c r="I1006" s="237" t="str">
        <f t="shared" si="1"/>
        <v>Fora</v>
      </c>
      <c r="J1006" s="239">
        <v>119.99999999301508</v>
      </c>
    </row>
    <row r="1007">
      <c r="A1007" s="234" t="s">
        <v>2701</v>
      </c>
      <c r="B1007" s="234" t="str">
        <f>IFERROR(__xludf.DUMMYFUNCTION("""COMPUTED_VALUE"""),"LM Hub_SP_Taubaté")</f>
        <v>LM Hub_SP_Taubaté</v>
      </c>
      <c r="C1007" s="234" t="str">
        <f>IFERROR(__xludf.DUMMYFUNCTION("""COMPUTED_VALUE"""),"HUB-LSP-08")</f>
        <v>HUB-LSP-08</v>
      </c>
      <c r="D1007" s="234">
        <f>IFERROR(__xludf.DUMMYFUNCTION("""COMPUTED_VALUE"""),13.0)</f>
        <v>13</v>
      </c>
      <c r="E1007" s="237" t="str">
        <f>IFERROR(__xludf.DUMMYFUNCTION("""COMPUTED_VALUE"""),"LT0PBM01RV171")</f>
        <v>LT0PBM01RV171</v>
      </c>
      <c r="F1007" s="238" t="str">
        <f>IFERROR(__xludf.DUMMYFUNCTION("""COMPUTED_VALUE"""),"EFO3I77")</f>
        <v>EFO3I77</v>
      </c>
      <c r="G1007" s="238">
        <f>IFERROR(__xludf.DUMMYFUNCTION("""COMPUTED_VALUE"""),45983.875)</f>
        <v>45983.875</v>
      </c>
      <c r="H1007" s="238">
        <f>IFERROR(__xludf.DUMMYFUNCTION("""COMPUTED_VALUE"""),45983.95833333333)</f>
        <v>45983.95833</v>
      </c>
      <c r="I1007" s="237" t="str">
        <f t="shared" si="1"/>
        <v>Fora</v>
      </c>
      <c r="J1007" s="239">
        <v>120.00000001396984</v>
      </c>
    </row>
    <row r="1008">
      <c r="A1008" s="234" t="s">
        <v>2702</v>
      </c>
      <c r="B1008" s="234" t="str">
        <f>IFERROR(__xludf.DUMMYFUNCTION("""COMPUTED_VALUE"""),"LM Hub_SP_Santos_Praia Grande")</f>
        <v>LM Hub_SP_Santos_Praia Grande</v>
      </c>
      <c r="C1008" s="234" t="str">
        <f>IFERROR(__xludf.DUMMYFUNCTION("""COMPUTED_VALUE"""),"HUB-LSP-09")</f>
        <v>HUB-LSP-09</v>
      </c>
      <c r="D1008" s="234">
        <f>IFERROR(__xludf.DUMMYFUNCTION("""COMPUTED_VALUE"""),14.0)</f>
        <v>14</v>
      </c>
      <c r="E1008" s="237" t="str">
        <f>IFERROR(__xludf.DUMMYFUNCTION("""COMPUTED_VALUE"""),"LT0PBM01RV1D1")</f>
        <v>LT0PBM01RV1D1</v>
      </c>
      <c r="F1008" s="238" t="str">
        <f>IFERROR(__xludf.DUMMYFUNCTION("""COMPUTED_VALUE"""),"DLG7530,TJX2J70")</f>
        <v>DLG7530,TJX2J70</v>
      </c>
      <c r="G1008" s="238">
        <f>IFERROR(__xludf.DUMMYFUNCTION("""COMPUTED_VALUE"""),45983.89583333333)</f>
        <v>45983.89583</v>
      </c>
      <c r="H1008" s="238">
        <f>IFERROR(__xludf.DUMMYFUNCTION("""COMPUTED_VALUE"""),45983.97916666667)</f>
        <v>45983.97917</v>
      </c>
      <c r="I1008" s="237" t="str">
        <f t="shared" si="1"/>
        <v>Fora</v>
      </c>
      <c r="J1008" s="239">
        <v>120.00000001396984</v>
      </c>
    </row>
    <row r="1009">
      <c r="A1009" s="234" t="s">
        <v>2703</v>
      </c>
      <c r="B1009" s="234" t="str">
        <f>IFERROR(__xludf.DUMMYFUNCTION("""COMPUTED_VALUE"""),"LM Hub_SP_Zimba")</f>
        <v>LM Hub_SP_Zimba</v>
      </c>
      <c r="C1009" s="234" t="str">
        <f>IFERROR(__xludf.DUMMYFUNCTION("""COMPUTED_VALUE"""),"HUB-LSP-74")</f>
        <v>HUB-LSP-74</v>
      </c>
      <c r="D1009" s="234">
        <f>IFERROR(__xludf.DUMMYFUNCTION("""COMPUTED_VALUE"""),29.0)</f>
        <v>29</v>
      </c>
      <c r="E1009" s="237" t="str">
        <f>IFERROR(__xludf.DUMMYFUNCTION("""COMPUTED_VALUE"""),"LT0PBM01RUZG1")</f>
        <v>LT0PBM01RUZG1</v>
      </c>
      <c r="F1009" s="238" t="str">
        <f>IFERROR(__xludf.DUMMYFUNCTION("""COMPUTED_VALUE"""),"BTZ0G54,RBD0I53")</f>
        <v>BTZ0G54,RBD0I53</v>
      </c>
      <c r="G1009" s="238">
        <f>IFERROR(__xludf.DUMMYFUNCTION("""COMPUTED_VALUE"""),45983.89583333333)</f>
        <v>45983.89583</v>
      </c>
      <c r="H1009" s="238">
        <f>IFERROR(__xludf.DUMMYFUNCTION("""COMPUTED_VALUE"""),45983.97916666667)</f>
        <v>45983.97917</v>
      </c>
      <c r="I1009" s="237" t="str">
        <f t="shared" si="1"/>
        <v>Fora</v>
      </c>
      <c r="J1009" s="239">
        <v>119.00000001071021</v>
      </c>
    </row>
    <row r="1010">
      <c r="A1010" s="234" t="s">
        <v>2704</v>
      </c>
      <c r="B1010" s="234" t="str">
        <f>IFERROR(__xludf.DUMMYFUNCTION("""COMPUTED_VALUE"""),"LM Hub_SP_São José dos Campos")</f>
        <v>LM Hub_SP_São José dos Campos</v>
      </c>
      <c r="C1010" s="234" t="str">
        <f>IFERROR(__xludf.DUMMYFUNCTION("""COMPUTED_VALUE"""),"HUB-LSP-04")</f>
        <v>HUB-LSP-04</v>
      </c>
      <c r="D1010" s="234">
        <f>IFERROR(__xludf.DUMMYFUNCTION("""COMPUTED_VALUE"""),27.0)</f>
        <v>27</v>
      </c>
      <c r="E1010" s="237" t="str">
        <f>IFERROR(__xludf.DUMMYFUNCTION("""COMPUTED_VALUE"""),"LT0PBM01S3TK1")</f>
        <v>LT0PBM01S3TK1</v>
      </c>
      <c r="F1010" s="238" t="str">
        <f>IFERROR(__xludf.DUMMYFUNCTION("""COMPUTED_VALUE"""),"TIR7J78")</f>
        <v>TIR7J78</v>
      </c>
      <c r="G1010" s="238">
        <f>IFERROR(__xludf.DUMMYFUNCTION("""COMPUTED_VALUE"""),45983.896527777775)</f>
        <v>45983.89653</v>
      </c>
      <c r="H1010" s="238">
        <f>IFERROR(__xludf.DUMMYFUNCTION("""COMPUTED_VALUE"""),45983.97916666667)</f>
        <v>45983.97917</v>
      </c>
      <c r="I1010" s="237" t="str">
        <f t="shared" si="1"/>
        <v>Fora</v>
      </c>
      <c r="J1010" s="239">
        <v>119.00000001071021</v>
      </c>
    </row>
    <row r="1011">
      <c r="A1011" s="234" t="s">
        <v>2705</v>
      </c>
      <c r="B1011" s="234" t="str">
        <f>IFERROR(__xludf.DUMMYFUNCTION("""COMPUTED_VALUE"""),"LM Hub_SP_São Paulo_Lapa")</f>
        <v>LM Hub_SP_São Paulo_Lapa</v>
      </c>
      <c r="C1011" s="234" t="str">
        <f>IFERROR(__xludf.DUMMYFUNCTION("""COMPUTED_VALUE"""),"HUB-LSP-15")</f>
        <v>HUB-LSP-15</v>
      </c>
      <c r="D1011" s="234">
        <f>IFERROR(__xludf.DUMMYFUNCTION("""COMPUTED_VALUE"""),15.0)</f>
        <v>15</v>
      </c>
      <c r="E1011" s="237" t="str">
        <f>IFERROR(__xludf.DUMMYFUNCTION("""COMPUTED_VALUE"""),"LT0PBM01RUYI1")</f>
        <v>LT0PBM01RUYI1</v>
      </c>
      <c r="F1011" s="238" t="str">
        <f>IFERROR(__xludf.DUMMYFUNCTION("""COMPUTED_VALUE"""),"GBE0G47,FJP5G21")</f>
        <v>GBE0G47,FJP5G21</v>
      </c>
      <c r="G1011" s="238">
        <f>IFERROR(__xludf.DUMMYFUNCTION("""COMPUTED_VALUE"""),45983.896527777775)</f>
        <v>45983.89653</v>
      </c>
      <c r="H1011" s="238">
        <f>IFERROR(__xludf.DUMMYFUNCTION("""COMPUTED_VALUE"""),45983.97916666667)</f>
        <v>45983.97917</v>
      </c>
      <c r="I1011" s="237" t="str">
        <f t="shared" si="1"/>
        <v>Fora</v>
      </c>
      <c r="J1011" s="239">
        <v>118.99999998975545</v>
      </c>
    </row>
    <row r="1012">
      <c r="A1012" s="234" t="s">
        <v>2706</v>
      </c>
      <c r="B1012" s="234" t="str">
        <f>IFERROR(__xludf.DUMMYFUNCTION("""COMPUTED_VALUE"""),"LM Hub_SP_Guarujá")</f>
        <v>LM Hub_SP_Guarujá</v>
      </c>
      <c r="C1012" s="234" t="str">
        <f>IFERROR(__xludf.DUMMYFUNCTION("""COMPUTED_VALUE"""),"HUB-LSP-06")</f>
        <v>HUB-LSP-06</v>
      </c>
      <c r="D1012" s="234">
        <f>IFERROR(__xludf.DUMMYFUNCTION("""COMPUTED_VALUE"""),9.0)</f>
        <v>9</v>
      </c>
      <c r="E1012" s="237" t="str">
        <f>IFERROR(__xludf.DUMMYFUNCTION("""COMPUTED_VALUE"""),"LT0PBM01RV0B1")</f>
        <v>LT0PBM01RV0B1</v>
      </c>
      <c r="F1012" s="238" t="str">
        <f>IFERROR(__xludf.DUMMYFUNCTION("""COMPUTED_VALUE"""),"TJN5H17")</f>
        <v>TJN5H17</v>
      </c>
      <c r="G1012" s="238">
        <f>IFERROR(__xludf.DUMMYFUNCTION("""COMPUTED_VALUE"""),45983.91666666667)</f>
        <v>45983.91667</v>
      </c>
      <c r="H1012" s="238">
        <f>IFERROR(__xludf.DUMMYFUNCTION("""COMPUTED_VALUE"""),45983.99930555555)</f>
        <v>45983.99931</v>
      </c>
      <c r="I1012" s="237" t="str">
        <f t="shared" si="1"/>
        <v>Fora</v>
      </c>
      <c r="J1012" s="239">
        <v>119.99999999301508</v>
      </c>
    </row>
    <row r="1013">
      <c r="A1013" s="234" t="s">
        <v>2707</v>
      </c>
      <c r="B1013" s="234" t="str">
        <f>IFERROR(__xludf.DUMMYFUNCTION("""COMPUTED_VALUE"""),"LM Hub_SP_Guarulhos")</f>
        <v>LM Hub_SP_Guarulhos</v>
      </c>
      <c r="C1013" s="234" t="str">
        <f>IFERROR(__xludf.DUMMYFUNCTION("""COMPUTED_VALUE"""),"HUB-LSP-77")</f>
        <v>HUB-LSP-77</v>
      </c>
      <c r="D1013" s="234">
        <f>IFERROR(__xludf.DUMMYFUNCTION("""COMPUTED_VALUE"""),33.0)</f>
        <v>33</v>
      </c>
      <c r="E1013" s="237" t="str">
        <f>IFERROR(__xludf.DUMMYFUNCTION("""COMPUTED_VALUE"""),"LT0PBM01RVNL1")</f>
        <v>LT0PBM01RVNL1</v>
      </c>
      <c r="F1013" s="238" t="str">
        <f>IFERROR(__xludf.DUMMYFUNCTION("""COMPUTED_VALUE"""),"DTC1C41,JXA6G30")</f>
        <v>DTC1C41,JXA6G30</v>
      </c>
      <c r="G1013" s="238">
        <f>IFERROR(__xludf.DUMMYFUNCTION("""COMPUTED_VALUE"""),45983.91666666667)</f>
        <v>45983.91667</v>
      </c>
      <c r="H1013" s="238">
        <f>IFERROR(__xludf.DUMMYFUNCTION("""COMPUTED_VALUE"""),45984.0)</f>
        <v>45984</v>
      </c>
      <c r="I1013" s="237" t="str">
        <f t="shared" si="1"/>
        <v>Fora</v>
      </c>
      <c r="J1013" s="239">
        <v>119.99999999301508</v>
      </c>
    </row>
    <row r="1014">
      <c r="A1014" s="234" t="s">
        <v>2708</v>
      </c>
      <c r="B1014" s="234" t="str">
        <f>IFERROR(__xludf.DUMMYFUNCTION("""COMPUTED_VALUE"""),"SoC_SC_Itajaí")</f>
        <v>SoC_SC_Itajaí</v>
      </c>
      <c r="C1014" s="234" t="str">
        <f>IFERROR(__xludf.DUMMYFUNCTION("""COMPUTED_VALUE"""),"SOC-SC1")</f>
        <v>SOC-SC1</v>
      </c>
      <c r="D1014" s="234">
        <f>IFERROR(__xludf.DUMMYFUNCTION("""COMPUTED_VALUE"""),28.0)</f>
        <v>28</v>
      </c>
      <c r="E1014" s="237" t="str">
        <f>IFERROR(__xludf.DUMMYFUNCTION("""COMPUTED_VALUE"""),"LT1PBM01STDF1")</f>
        <v>LT1PBM01STDF1</v>
      </c>
      <c r="F1014" s="238" t="str">
        <f>IFERROR(__xludf.DUMMYFUNCTION("""COMPUTED_VALUE"""),"SXR7G01,RXT1E30")</f>
        <v>SXR7G01,RXT1E30</v>
      </c>
      <c r="G1014" s="238">
        <f>IFERROR(__xludf.DUMMYFUNCTION("""COMPUTED_VALUE"""),45983.91666666667)</f>
        <v>45983.91667</v>
      </c>
      <c r="H1014" s="238">
        <f>IFERROR(__xludf.DUMMYFUNCTION("""COMPUTED_VALUE"""),45984.0)</f>
        <v>45984</v>
      </c>
      <c r="I1014" s="237" t="str">
        <f t="shared" si="1"/>
        <v>Fora</v>
      </c>
      <c r="J1014" s="239">
        <v>119.99999999301508</v>
      </c>
    </row>
    <row r="1015">
      <c r="A1015" s="234" t="s">
        <v>2709</v>
      </c>
      <c r="B1015" s="234" t="str">
        <f>IFERROR(__xludf.DUMMYFUNCTION("""COMPUTED_VALUE"""),"SoC_SP_São Bernardo do Campo")</f>
        <v>SoC_SP_São Bernardo do Campo</v>
      </c>
      <c r="C1015" s="234" t="str">
        <f>IFERROR(__xludf.DUMMYFUNCTION("""COMPUTED_VALUE"""),"SOC-SP8")</f>
        <v>SOC-SP8</v>
      </c>
      <c r="D1015" s="234">
        <f>IFERROR(__xludf.DUMMYFUNCTION("""COMPUTED_VALUE"""),17.0)</f>
        <v>17</v>
      </c>
      <c r="E1015" s="237" t="str">
        <f>IFERROR(__xludf.DUMMYFUNCTION("""COMPUTED_VALUE"""),"LT0PBM01S0E81")</f>
        <v>LT0PBM01S0E81</v>
      </c>
      <c r="F1015" s="238" t="str">
        <f>IFERROR(__xludf.DUMMYFUNCTION("""COMPUTED_VALUE"""),"GEV2J37")</f>
        <v>GEV2J37</v>
      </c>
      <c r="G1015" s="238">
        <f>IFERROR(__xludf.DUMMYFUNCTION("""COMPUTED_VALUE"""),45983.91666666667)</f>
        <v>45983.91667</v>
      </c>
      <c r="H1015" s="238">
        <f>IFERROR(__xludf.DUMMYFUNCTION("""COMPUTED_VALUE"""),45984.0)</f>
        <v>45984</v>
      </c>
      <c r="I1015" s="237" t="str">
        <f t="shared" si="1"/>
        <v>Fora</v>
      </c>
      <c r="J1015" s="239">
        <v>119.00000000023283</v>
      </c>
    </row>
    <row r="1016">
      <c r="A1016" s="234" t="s">
        <v>2710</v>
      </c>
      <c r="B1016" s="234" t="str">
        <f>IFERROR(__xludf.DUMMYFUNCTION("""COMPUTED_VALUE"""),"LM Hub_SP_Mauá")</f>
        <v>LM Hub_SP_Mauá</v>
      </c>
      <c r="C1016" s="234" t="str">
        <f>IFERROR(__xludf.DUMMYFUNCTION("""COMPUTED_VALUE"""),"HUB-LSP-64")</f>
        <v>HUB-LSP-64</v>
      </c>
      <c r="D1016" s="234">
        <f>IFERROR(__xludf.DUMMYFUNCTION("""COMPUTED_VALUE"""),16.0)</f>
        <v>16</v>
      </c>
      <c r="E1016" s="237" t="str">
        <f>IFERROR(__xludf.DUMMYFUNCTION("""COMPUTED_VALUE"""),"LT0PBM01S3T21")</f>
        <v>LT0PBM01S3T21</v>
      </c>
      <c r="F1016" s="238" t="str">
        <f>IFERROR(__xludf.DUMMYFUNCTION("""COMPUTED_VALUE"""),"ASN0C15,MBC2C84")</f>
        <v>ASN0C15,MBC2C84</v>
      </c>
      <c r="G1016" s="238">
        <f>IFERROR(__xludf.DUMMYFUNCTION("""COMPUTED_VALUE"""),45983.91736111111)</f>
        <v>45983.91736</v>
      </c>
      <c r="H1016" s="238">
        <f>IFERROR(__xludf.DUMMYFUNCTION("""COMPUTED_VALUE"""),45984.0)</f>
        <v>45984</v>
      </c>
      <c r="I1016" s="237" t="str">
        <f t="shared" si="1"/>
        <v>Fora</v>
      </c>
      <c r="J1016" s="239">
        <v>119.99999999301508</v>
      </c>
    </row>
    <row r="1017">
      <c r="A1017" s="234" t="s">
        <v>2711</v>
      </c>
      <c r="B1017" s="234" t="str">
        <f>IFERROR(__xludf.DUMMYFUNCTION("""COMPUTED_VALUE"""),"LM Hub_SP_Jardim Adriana")</f>
        <v>LM Hub_SP_Jardim Adriana</v>
      </c>
      <c r="C1017" s="234" t="str">
        <f>IFERROR(__xludf.DUMMYFUNCTION("""COMPUTED_VALUE"""),"HUB-LSP-12")</f>
        <v>HUB-LSP-12</v>
      </c>
      <c r="D1017" s="234">
        <f>IFERROR(__xludf.DUMMYFUNCTION("""COMPUTED_VALUE"""),7.0)</f>
        <v>7</v>
      </c>
      <c r="E1017" s="237" t="str">
        <f>IFERROR(__xludf.DUMMYFUNCTION("""COMPUTED_VALUE"""),"LT0PBM01RUY91")</f>
        <v>LT0PBM01RUY91</v>
      </c>
      <c r="F1017" s="238" t="str">
        <f>IFERROR(__xludf.DUMMYFUNCTION("""COMPUTED_VALUE"""),"IYS3C29")</f>
        <v>IYS3C29</v>
      </c>
      <c r="G1017" s="238">
        <f>IFERROR(__xludf.DUMMYFUNCTION("""COMPUTED_VALUE"""),45983.9375)</f>
        <v>45983.9375</v>
      </c>
      <c r="H1017" s="238">
        <f>IFERROR(__xludf.DUMMYFUNCTION("""COMPUTED_VALUE"""),45984.02083333333)</f>
        <v>45984.02083</v>
      </c>
      <c r="I1017" s="237" t="str">
        <f t="shared" si="1"/>
        <v>Fora</v>
      </c>
      <c r="J1017" s="239">
        <v>118.99999998975545</v>
      </c>
    </row>
    <row r="1018">
      <c r="A1018" s="234" t="s">
        <v>2712</v>
      </c>
      <c r="B1018" s="234" t="str">
        <f>IFERROR(__xludf.DUMMYFUNCTION("""COMPUTED_VALUE"""),"LM Hub_SP_Piracicaba")</f>
        <v>LM Hub_SP_Piracicaba</v>
      </c>
      <c r="C1018" s="234" t="str">
        <f>IFERROR(__xludf.DUMMYFUNCTION("""COMPUTED_VALUE"""),"HUB-LSP-62")</f>
        <v>HUB-LSP-62</v>
      </c>
      <c r="D1018" s="234"/>
      <c r="E1018" s="237" t="str">
        <f>IFERROR(__xludf.DUMMYFUNCTION("""COMPUTED_VALUE"""),"LT0PBM01RVNW1")</f>
        <v>LT0PBM01RVNW1</v>
      </c>
      <c r="F1018" s="238" t="str">
        <f>IFERROR(__xludf.DUMMYFUNCTION("""COMPUTED_VALUE"""),"EOF4D32")</f>
        <v>EOF4D32</v>
      </c>
      <c r="G1018" s="238">
        <f>IFERROR(__xludf.DUMMYFUNCTION("""COMPUTED_VALUE"""),45983.93819444445)</f>
        <v>45983.93819</v>
      </c>
      <c r="H1018" s="238">
        <f>IFERROR(__xludf.DUMMYFUNCTION("""COMPUTED_VALUE"""),45984.02083333333)</f>
        <v>45984.02083</v>
      </c>
      <c r="I1018" s="237" t="str">
        <f t="shared" si="1"/>
        <v>Fora</v>
      </c>
      <c r="J1018" s="239">
        <v>118.99999998975545</v>
      </c>
    </row>
    <row r="1019">
      <c r="A1019" s="234" t="s">
        <v>2713</v>
      </c>
      <c r="B1019" s="234" t="str">
        <f>IFERROR(__xludf.DUMMYFUNCTION("""COMPUTED_VALUE"""),"LM Hub_SP_São Paulo_Carandiru")</f>
        <v>LM Hub_SP_São Paulo_Carandiru</v>
      </c>
      <c r="C1019" s="234" t="str">
        <f>IFERROR(__xludf.DUMMYFUNCTION("""COMPUTED_VALUE"""),"HUB-LSP-18")</f>
        <v>HUB-LSP-18</v>
      </c>
      <c r="D1019" s="234">
        <f>IFERROR(__xludf.DUMMYFUNCTION("""COMPUTED_VALUE"""),6.0)</f>
        <v>6</v>
      </c>
      <c r="E1019" s="237" t="str">
        <f>IFERROR(__xludf.DUMMYFUNCTION("""COMPUTED_VALUE"""),"LT0PBM01S3ST1")</f>
        <v>LT0PBM01S3ST1</v>
      </c>
      <c r="F1019" s="238" t="str">
        <f>IFERROR(__xludf.DUMMYFUNCTION("""COMPUTED_VALUE"""),"PEP9J38")</f>
        <v>PEP9J38</v>
      </c>
      <c r="G1019" s="238">
        <f>IFERROR(__xludf.DUMMYFUNCTION("""COMPUTED_VALUE"""),45983.93819444445)</f>
        <v>45983.93819</v>
      </c>
      <c r="H1019" s="238">
        <f>IFERROR(__xludf.DUMMYFUNCTION("""COMPUTED_VALUE"""),45984.02083333333)</f>
        <v>45984.02083</v>
      </c>
      <c r="I1019" s="237" t="str">
        <f t="shared" si="1"/>
        <v>Fora</v>
      </c>
      <c r="J1019" s="239">
        <v>118.99999998975545</v>
      </c>
    </row>
    <row r="1020">
      <c r="A1020" s="234" t="s">
        <v>2714</v>
      </c>
      <c r="B1020" s="234" t="str">
        <f>IFERROR(__xludf.DUMMYFUNCTION("""COMPUTED_VALUE"""),"LM Hub_SP_VilaGuilherme")</f>
        <v>LM Hub_SP_VilaGuilherme</v>
      </c>
      <c r="C1020" s="234" t="str">
        <f>IFERROR(__xludf.DUMMYFUNCTION("""COMPUTED_VALUE"""),"HUB-LSP-68")</f>
        <v>HUB-LSP-68</v>
      </c>
      <c r="D1020" s="234">
        <f>IFERROR(__xludf.DUMMYFUNCTION("""COMPUTED_VALUE"""),18.0)</f>
        <v>18</v>
      </c>
      <c r="E1020" s="237" t="str">
        <f>IFERROR(__xludf.DUMMYFUNCTION("""COMPUTED_VALUE"""),"LT0PBM01S3T81")</f>
        <v>LT0PBM01S3T81</v>
      </c>
      <c r="F1020" s="238" t="str">
        <f>IFERROR(__xludf.DUMMYFUNCTION("""COMPUTED_VALUE"""),"HFD4H27,JXG9745")</f>
        <v>HFD4H27,JXG9745</v>
      </c>
      <c r="G1020" s="238">
        <f>IFERROR(__xludf.DUMMYFUNCTION("""COMPUTED_VALUE"""),45983.93819444445)</f>
        <v>45983.93819</v>
      </c>
      <c r="H1020" s="238">
        <f>IFERROR(__xludf.DUMMYFUNCTION("""COMPUTED_VALUE"""),45984.02083333333)</f>
        <v>45984.02083</v>
      </c>
      <c r="I1020" s="237" t="str">
        <f t="shared" si="1"/>
        <v>Fora</v>
      </c>
      <c r="J1020" s="239">
        <v>120.00000001396984</v>
      </c>
    </row>
    <row r="1021">
      <c r="A1021" s="234" t="s">
        <v>2715</v>
      </c>
      <c r="B1021" s="234" t="str">
        <f>IFERROR(__xludf.DUMMYFUNCTION("""COMPUTED_VALUE"""),"SoC_SC_Itajaí")</f>
        <v>SoC_SC_Itajaí</v>
      </c>
      <c r="C1021" s="234" t="str">
        <f>IFERROR(__xludf.DUMMYFUNCTION("""COMPUTED_VALUE"""),"SOC-SC1")</f>
        <v>SOC-SC1</v>
      </c>
      <c r="D1021" s="234"/>
      <c r="E1021" s="237" t="str">
        <f>IFERROR(__xludf.DUMMYFUNCTION("""COMPUTED_VALUE"""),"LT0PBM01RZN41")</f>
        <v>LT0PBM01RZN41</v>
      </c>
      <c r="F1021" s="238" t="str">
        <f>IFERROR(__xludf.DUMMYFUNCTION("""COMPUTED_VALUE"""),"RAE9E64,MLV6217")</f>
        <v>RAE9E64,MLV6217</v>
      </c>
      <c r="G1021" s="238">
        <f>IFERROR(__xludf.DUMMYFUNCTION("""COMPUTED_VALUE"""),45983.95833333333)</f>
        <v>45983.95833</v>
      </c>
      <c r="H1021" s="238">
        <f>IFERROR(__xludf.DUMMYFUNCTION("""COMPUTED_VALUE"""),45984.04166666667)</f>
        <v>45984.04167</v>
      </c>
      <c r="I1021" s="237" t="str">
        <f t="shared" si="1"/>
        <v>Fora</v>
      </c>
      <c r="J1021" s="239">
        <v>119.99999999301508</v>
      </c>
    </row>
    <row r="1022">
      <c r="A1022" s="234" t="s">
        <v>2716</v>
      </c>
      <c r="B1022" s="234" t="str">
        <f>IFERROR(__xludf.DUMMYFUNCTION("""COMPUTED_VALUE"""),"LM Hub_SP_Araraquara")</f>
        <v>LM Hub_SP_Araraquara</v>
      </c>
      <c r="C1022" s="234" t="str">
        <f>IFERROR(__xludf.DUMMYFUNCTION("""COMPUTED_VALUE"""),"HUB-LSP-29")</f>
        <v>HUB-LSP-29</v>
      </c>
      <c r="D1022" s="234">
        <f>IFERROR(__xludf.DUMMYFUNCTION("""COMPUTED_VALUE"""),5.0)</f>
        <v>5</v>
      </c>
      <c r="E1022" s="237" t="str">
        <f>IFERROR(__xludf.DUMMYFUNCTION("""COMPUTED_VALUE"""),"LT0PBM01RV2W1")</f>
        <v>LT0PBM01RV2W1</v>
      </c>
      <c r="F1022" s="238" t="str">
        <f>IFERROR(__xludf.DUMMYFUNCTION("""COMPUTED_VALUE"""),"EWJ2H21")</f>
        <v>EWJ2H21</v>
      </c>
      <c r="G1022" s="238">
        <f>IFERROR(__xludf.DUMMYFUNCTION("""COMPUTED_VALUE"""),45983.97916666667)</f>
        <v>45983.97917</v>
      </c>
      <c r="H1022" s="238">
        <f>IFERROR(__xludf.DUMMYFUNCTION("""COMPUTED_VALUE"""),45984.0625)</f>
        <v>45984.0625</v>
      </c>
      <c r="I1022" s="237" t="str">
        <f t="shared" si="1"/>
        <v>Fora</v>
      </c>
      <c r="J1022" s="239">
        <v>119.99999999301508</v>
      </c>
    </row>
    <row r="1023">
      <c r="A1023" s="234" t="s">
        <v>2717</v>
      </c>
      <c r="B1023" s="234" t="str">
        <f>IFERROR(__xludf.DUMMYFUNCTION("""COMPUTED_VALUE"""),"SoC_BA_Simoes Filho")</f>
        <v>SoC_BA_Simoes Filho</v>
      </c>
      <c r="C1023" s="234" t="str">
        <f>IFERROR(__xludf.DUMMYFUNCTION("""COMPUTED_VALUE"""),"SOC-BA2")</f>
        <v>SOC-BA2</v>
      </c>
      <c r="D1023" s="234"/>
      <c r="E1023" s="237" t="str">
        <f>IFERROR(__xludf.DUMMYFUNCTION("""COMPUTED_VALUE"""),"LT0PBN01S0Q01")</f>
        <v>LT0PBN01S0Q01</v>
      </c>
      <c r="F1023" s="238" t="str">
        <f>IFERROR(__xludf.DUMMYFUNCTION("""COMPUTED_VALUE"""),"TDQ2C22,DUE2C68")</f>
        <v>TDQ2C22,DUE2C68</v>
      </c>
      <c r="G1023" s="238">
        <f>IFERROR(__xludf.DUMMYFUNCTION("""COMPUTED_VALUE"""),45984.0)</f>
        <v>45984</v>
      </c>
      <c r="H1023" s="238">
        <f>IFERROR(__xludf.DUMMYFUNCTION("""COMPUTED_VALUE"""),45984.08333333333)</f>
        <v>45984.08333</v>
      </c>
      <c r="I1023" s="237" t="str">
        <f t="shared" si="1"/>
        <v>Fora</v>
      </c>
      <c r="J1023" s="239">
        <v>420.0000000069849</v>
      </c>
    </row>
    <row r="1024">
      <c r="A1024" s="234" t="s">
        <v>2718</v>
      </c>
      <c r="B1024" s="234" t="str">
        <f>IFERROR(__xludf.DUMMYFUNCTION("""COMPUTED_VALUE"""),"SoC_SP_Cravinhos")</f>
        <v>SoC_SP_Cravinhos</v>
      </c>
      <c r="C1024" s="234" t="str">
        <f>IFERROR(__xludf.DUMMYFUNCTION("""COMPUTED_VALUE"""),"SOC-SP5")</f>
        <v>SOC-SP5</v>
      </c>
      <c r="D1024" s="234">
        <f>IFERROR(__xludf.DUMMYFUNCTION("""COMPUTED_VALUE"""),41.0)</f>
        <v>41</v>
      </c>
      <c r="E1024" s="237" t="str">
        <f>IFERROR(__xludf.DUMMYFUNCTION("""COMPUTED_VALUE"""),"LT0PBM01RUX92")</f>
        <v>LT0PBM01RUX92</v>
      </c>
      <c r="F1024" s="238" t="str">
        <f>IFERROR(__xludf.DUMMYFUNCTION("""COMPUTED_VALUE"""),"LUR6D59,SUL8E73")</f>
        <v>LUR6D59,SUL8E73</v>
      </c>
      <c r="G1024" s="238">
        <f>IFERROR(__xludf.DUMMYFUNCTION("""COMPUTED_VALUE"""),45983.83333333333)</f>
        <v>45983.83333</v>
      </c>
      <c r="H1024" s="238">
        <f>IFERROR(__xludf.DUMMYFUNCTION("""COMPUTED_VALUE"""),45984.125)</f>
        <v>45984.125</v>
      </c>
      <c r="I1024" s="237" t="str">
        <f t="shared" si="1"/>
        <v>Fora</v>
      </c>
      <c r="J1024" s="239">
        <v>119.99999999301508</v>
      </c>
    </row>
    <row r="1025">
      <c r="A1025" s="234" t="s">
        <v>2719</v>
      </c>
      <c r="B1025" s="234" t="str">
        <f>IFERROR(__xludf.DUMMYFUNCTION("""COMPUTED_VALUE"""),"SoC_MG_Betim")</f>
        <v>SoC_MG_Betim</v>
      </c>
      <c r="C1025" s="234" t="str">
        <f>IFERROR(__xludf.DUMMYFUNCTION("""COMPUTED_VALUE"""),"SOC-MG2")</f>
        <v>SOC-MG2</v>
      </c>
      <c r="D1025" s="234">
        <f>IFERROR(__xludf.DUMMYFUNCTION("""COMPUTED_VALUE"""),49.0)</f>
        <v>49</v>
      </c>
      <c r="E1025" s="237" t="str">
        <f>IFERROR(__xludf.DUMMYFUNCTION("""COMPUTED_VALUE"""),"LT0PBN01S3S41")</f>
        <v>LT0PBN01S3S41</v>
      </c>
      <c r="F1025" s="238" t="str">
        <f>IFERROR(__xludf.DUMMYFUNCTION("""COMPUTED_VALUE"""),"DPF1E65,EWJ1I10")</f>
        <v>DPF1E65,EWJ1I10</v>
      </c>
      <c r="G1025" s="238">
        <f>IFERROR(__xludf.DUMMYFUNCTION("""COMPUTED_VALUE"""),45984.04166666667)</f>
        <v>45984.04167</v>
      </c>
      <c r="H1025" s="238">
        <f>IFERROR(__xludf.DUMMYFUNCTION("""COMPUTED_VALUE"""),45984.125)</f>
        <v>45984.125</v>
      </c>
      <c r="I1025" s="237" t="str">
        <f t="shared" si="1"/>
        <v>Fora</v>
      </c>
      <c r="J1025" s="239">
        <v>119.99999999301508</v>
      </c>
    </row>
    <row r="1026">
      <c r="A1026" s="234" t="s">
        <v>2720</v>
      </c>
      <c r="B1026" s="234" t="str">
        <f>IFERROR(__xludf.DUMMYFUNCTION("""COMPUTED_VALUE"""),"SoC_PE_Jaboatão dos Guararapes")</f>
        <v>SoC_PE_Jaboatão dos Guararapes</v>
      </c>
      <c r="C1026" s="234" t="str">
        <f>IFERROR(__xludf.DUMMYFUNCTION("""COMPUTED_VALUE"""),"SOC-PE2")</f>
        <v>SOC-PE2</v>
      </c>
      <c r="D1026" s="234"/>
      <c r="E1026" s="237" t="str">
        <f>IFERROR(__xludf.DUMMYFUNCTION("""COMPUTED_VALUE"""),"LT0PBN01S0MF1")</f>
        <v>LT0PBN01S0MF1</v>
      </c>
      <c r="F1026" s="238" t="str">
        <f>IFERROR(__xludf.DUMMYFUNCTION("""COMPUTED_VALUE"""),"OXI9A62,CUB3526")</f>
        <v>OXI9A62,CUB3526</v>
      </c>
      <c r="G1026" s="238">
        <f>IFERROR(__xludf.DUMMYFUNCTION("""COMPUTED_VALUE"""),45984.04166666667)</f>
        <v>45984.04167</v>
      </c>
      <c r="H1026" s="238">
        <f>IFERROR(__xludf.DUMMYFUNCTION("""COMPUTED_VALUE"""),45984.125)</f>
        <v>45984.125</v>
      </c>
      <c r="I1026" s="237" t="str">
        <f t="shared" si="1"/>
        <v>Fora</v>
      </c>
      <c r="J1026" s="239">
        <v>299.9999999930151</v>
      </c>
    </row>
    <row r="1027">
      <c r="A1027" s="234" t="s">
        <v>2721</v>
      </c>
      <c r="B1027" s="234" t="str">
        <f>IFERROR(__xludf.DUMMYFUNCTION("""COMPUTED_VALUE"""),"SoC_MG_Betim")</f>
        <v>SoC_MG_Betim</v>
      </c>
      <c r="C1027" s="234" t="str">
        <f>IFERROR(__xludf.DUMMYFUNCTION("""COMPUTED_VALUE"""),"SOC-MG2")</f>
        <v>SOC-MG2</v>
      </c>
      <c r="D1027" s="234">
        <f>IFERROR(__xludf.DUMMYFUNCTION("""COMPUTED_VALUE"""),47.0)</f>
        <v>47</v>
      </c>
      <c r="E1027" s="237" t="str">
        <f>IFERROR(__xludf.DUMMYFUNCTION("""COMPUTED_VALUE"""),"LT1PBM01STB21")</f>
        <v>LT1PBM01STB21</v>
      </c>
      <c r="F1027" s="238" t="str">
        <f>IFERROR(__xludf.DUMMYFUNCTION("""COMPUTED_VALUE"""),"PRJ6I68,ETM7J53")</f>
        <v>PRJ6I68,ETM7J53</v>
      </c>
      <c r="G1027" s="238">
        <f>IFERROR(__xludf.DUMMYFUNCTION("""COMPUTED_VALUE"""),45984.0)</f>
        <v>45984</v>
      </c>
      <c r="H1027" s="238">
        <f>IFERROR(__xludf.DUMMYFUNCTION("""COMPUTED_VALUE"""),45984.20833333333)</f>
        <v>45984.20833</v>
      </c>
      <c r="I1027" s="237" t="str">
        <f t="shared" si="1"/>
        <v>Fora</v>
      </c>
      <c r="J1027" s="239">
        <v>299.9999999930151</v>
      </c>
    </row>
    <row r="1028">
      <c r="A1028" s="234" t="s">
        <v>2722</v>
      </c>
      <c r="B1028" s="234" t="str">
        <f>IFERROR(__xludf.DUMMYFUNCTION("""COMPUTED_VALUE"""),"SoC_MG_Betim")</f>
        <v>SoC_MG_Betim</v>
      </c>
      <c r="C1028" s="234" t="str">
        <f>IFERROR(__xludf.DUMMYFUNCTION("""COMPUTED_VALUE"""),"SOC-MG2")</f>
        <v>SOC-MG2</v>
      </c>
      <c r="D1028" s="234">
        <f>IFERROR(__xludf.DUMMYFUNCTION("""COMPUTED_VALUE"""),48.0)</f>
        <v>48</v>
      </c>
      <c r="E1028" s="237" t="str">
        <f>IFERROR(__xludf.DUMMYFUNCTION("""COMPUTED_VALUE"""),"LT1PBM01STB31")</f>
        <v>LT1PBM01STB31</v>
      </c>
      <c r="F1028" s="238" t="str">
        <f>IFERROR(__xludf.DUMMYFUNCTION("""COMPUTED_VALUE"""),"FZQ0J11,EMT2F51")</f>
        <v>FZQ0J11,EMT2F51</v>
      </c>
      <c r="G1028" s="238">
        <f>IFERROR(__xludf.DUMMYFUNCTION("""COMPUTED_VALUE"""),45984.0)</f>
        <v>45984</v>
      </c>
      <c r="H1028" s="238">
        <f>IFERROR(__xludf.DUMMYFUNCTION("""COMPUTED_VALUE"""),45984.20833333333)</f>
        <v>45984.20833</v>
      </c>
      <c r="I1028" s="237" t="str">
        <f t="shared" si="1"/>
        <v>Fora</v>
      </c>
      <c r="J1028" s="239">
        <v>298.99999998975545</v>
      </c>
    </row>
    <row r="1029">
      <c r="A1029" s="234" t="s">
        <v>2723</v>
      </c>
      <c r="B1029" s="234" t="str">
        <f>IFERROR(__xludf.DUMMYFUNCTION("""COMPUTED_VALUE"""),"SoC_BA_Simoes Filho")</f>
        <v>SoC_BA_Simoes Filho</v>
      </c>
      <c r="C1029" s="234" t="str">
        <f>IFERROR(__xludf.DUMMYFUNCTION("""COMPUTED_VALUE"""),"SOC-BA2")</f>
        <v>SOC-BA2</v>
      </c>
      <c r="D1029" s="234">
        <f>IFERROR(__xludf.DUMMYFUNCTION("""COMPUTED_VALUE"""),29.0)</f>
        <v>29</v>
      </c>
      <c r="E1029" s="237" t="str">
        <f>IFERROR(__xludf.DUMMYFUNCTION("""COMPUTED_VALUE"""),"LT0PBN01S0Q11")</f>
        <v>LT0PBN01S0Q11</v>
      </c>
      <c r="F1029" s="238" t="str">
        <f>IFERROR(__xludf.DUMMYFUNCTION("""COMPUTED_VALUE"""),"SWT1E34,TEY0H83")</f>
        <v>SWT1E34,TEY0H83</v>
      </c>
      <c r="G1029" s="238">
        <f>IFERROR(__xludf.DUMMYFUNCTION("""COMPUTED_VALUE"""),45984.00069444445)</f>
        <v>45984.00069</v>
      </c>
      <c r="H1029" s="238">
        <f>IFERROR(__xludf.DUMMYFUNCTION("""COMPUTED_VALUE"""),45984.20833333333)</f>
        <v>45984.20833</v>
      </c>
      <c r="I1029" s="237" t="str">
        <f t="shared" si="1"/>
        <v>Fora</v>
      </c>
      <c r="J1029" s="239">
        <v>119.99999999301508</v>
      </c>
    </row>
    <row r="1030">
      <c r="A1030" s="234" t="s">
        <v>2724</v>
      </c>
      <c r="B1030" s="234" t="str">
        <f>IFERROR(__xludf.DUMMYFUNCTION("""COMPUTED_VALUE"""),"SoC_RJ_Duque de Caxias")</f>
        <v>SoC_RJ_Duque de Caxias</v>
      </c>
      <c r="C1030" s="234" t="str">
        <f>IFERROR(__xludf.DUMMYFUNCTION("""COMPUTED_VALUE"""),"SOC-RJ2")</f>
        <v>SOC-RJ2</v>
      </c>
      <c r="D1030" s="234"/>
      <c r="E1030" s="237" t="str">
        <f>IFERROR(__xludf.DUMMYFUNCTION("""COMPUTED_VALUE"""),"LT0PBN01RX721")</f>
        <v>LT0PBN01RX721</v>
      </c>
      <c r="F1030" s="238" t="str">
        <f>IFERROR(__xludf.DUMMYFUNCTION("""COMPUTED_VALUE"""),"QST0H68,FWB4F06")</f>
        <v>QST0H68,FWB4F06</v>
      </c>
      <c r="G1030" s="238">
        <f>IFERROR(__xludf.DUMMYFUNCTION("""COMPUTED_VALUE"""),45984.125)</f>
        <v>45984.125</v>
      </c>
      <c r="H1030" s="238">
        <f>IFERROR(__xludf.DUMMYFUNCTION("""COMPUTED_VALUE"""),45984.20833333333)</f>
        <v>45984.20833</v>
      </c>
      <c r="I1030" s="237" t="str">
        <f t="shared" si="1"/>
        <v>Fora</v>
      </c>
      <c r="J1030" s="239">
        <v>119.99999999301508</v>
      </c>
    </row>
    <row r="1031">
      <c r="A1031" s="234" t="s">
        <v>2725</v>
      </c>
      <c r="B1031" s="234" t="str">
        <f>IFERROR(__xludf.DUMMYFUNCTION("""COMPUTED_VALUE"""),"SoC_SP_Louveira")</f>
        <v>SoC_SP_Louveira</v>
      </c>
      <c r="C1031" s="234" t="str">
        <f>IFERROR(__xludf.DUMMYFUNCTION("""COMPUTED_VALUE"""),"SOC-SP7")</f>
        <v>SOC-SP7</v>
      </c>
      <c r="D1031" s="234">
        <f>IFERROR(__xludf.DUMMYFUNCTION("""COMPUTED_VALUE"""),35.0)</f>
        <v>35</v>
      </c>
      <c r="E1031" s="237" t="str">
        <f>IFERROR(__xludf.DUMMYFUNCTION("""COMPUTED_VALUE"""),"LT1PBN01STEI1")</f>
        <v>LT1PBN01STEI1</v>
      </c>
      <c r="F1031" s="238" t="str">
        <f>IFERROR(__xludf.DUMMYFUNCTION("""COMPUTED_VALUE"""),"EZL3F51,DJB2582")</f>
        <v>EZL3F51,DJB2582</v>
      </c>
      <c r="G1031" s="238">
        <f>IFERROR(__xludf.DUMMYFUNCTION("""COMPUTED_VALUE"""),45984.125)</f>
        <v>45984.125</v>
      </c>
      <c r="H1031" s="238">
        <f>IFERROR(__xludf.DUMMYFUNCTION("""COMPUTED_VALUE"""),45984.20833333333)</f>
        <v>45984.20833</v>
      </c>
      <c r="I1031" s="237" t="str">
        <f t="shared" si="1"/>
        <v>Fora</v>
      </c>
      <c r="J1031" s="239">
        <v>120.00000001396984</v>
      </c>
    </row>
    <row r="1032">
      <c r="A1032" s="234" t="s">
        <v>2726</v>
      </c>
      <c r="B1032" s="234" t="str">
        <f>IFERROR(__xludf.DUMMYFUNCTION("""COMPUTED_VALUE"""),"LM Hub_SP_Mauá")</f>
        <v>LM Hub_SP_Mauá</v>
      </c>
      <c r="C1032" s="234" t="str">
        <f>IFERROR(__xludf.DUMMYFUNCTION("""COMPUTED_VALUE"""),"HUB-LSP-64")</f>
        <v>HUB-LSP-64</v>
      </c>
      <c r="D1032" s="234">
        <f>IFERROR(__xludf.DUMMYFUNCTION("""COMPUTED_VALUE"""),13.0)</f>
        <v>13</v>
      </c>
      <c r="E1032" s="237" t="str">
        <f>IFERROR(__xludf.DUMMYFUNCTION("""COMPUTED_VALUE"""),"LT1PBN01STG81")</f>
        <v>LT1PBN01STG81</v>
      </c>
      <c r="F1032" s="238" t="str">
        <f>IFERROR(__xludf.DUMMYFUNCTION("""COMPUTED_VALUE"""),"EXR6E81,FSM3A18")</f>
        <v>EXR6E81,FSM3A18</v>
      </c>
      <c r="G1032" s="238">
        <f>IFERROR(__xludf.DUMMYFUNCTION("""COMPUTED_VALUE"""),45984.14583333333)</f>
        <v>45984.14583</v>
      </c>
      <c r="H1032" s="238">
        <f>IFERROR(__xludf.DUMMYFUNCTION("""COMPUTED_VALUE"""),45984.22916666667)</f>
        <v>45984.22917</v>
      </c>
      <c r="I1032" s="237" t="str">
        <f t="shared" si="1"/>
        <v>Fora</v>
      </c>
      <c r="J1032" s="239">
        <v>240.00000000698492</v>
      </c>
    </row>
    <row r="1033">
      <c r="A1033" s="234" t="s">
        <v>2727</v>
      </c>
      <c r="B1033" s="234" t="str">
        <f>IFERROR(__xludf.DUMMYFUNCTION("""COMPUTED_VALUE"""),"SoC_RJ_Duque de Caxias")</f>
        <v>SoC_RJ_Duque de Caxias</v>
      </c>
      <c r="C1033" s="234" t="str">
        <f>IFERROR(__xludf.DUMMYFUNCTION("""COMPUTED_VALUE"""),"SOC-RJ2")</f>
        <v>SOC-RJ2</v>
      </c>
      <c r="D1033" s="234">
        <f>IFERROR(__xludf.DUMMYFUNCTION("""COMPUTED_VALUE"""),6.0)</f>
        <v>6</v>
      </c>
      <c r="E1033" s="237" t="str">
        <f>IFERROR(__xludf.DUMMYFUNCTION("""COMPUTED_VALUE"""),"LT0PBN01RX711")</f>
        <v>LT0PBN01RX711</v>
      </c>
      <c r="F1033" s="238" t="str">
        <f>IFERROR(__xludf.DUMMYFUNCTION("""COMPUTED_VALUE"""),"BAN7E12,QIZ2A83")</f>
        <v>BAN7E12,QIZ2A83</v>
      </c>
      <c r="G1033" s="238">
        <f>IFERROR(__xludf.DUMMYFUNCTION("""COMPUTED_VALUE"""),45984.08333333333)</f>
        <v>45984.08333</v>
      </c>
      <c r="H1033" s="238">
        <f>IFERROR(__xludf.DUMMYFUNCTION("""COMPUTED_VALUE"""),45984.25)</f>
        <v>45984.25</v>
      </c>
      <c r="I1033" s="237" t="str">
        <f t="shared" si="1"/>
        <v>Fora</v>
      </c>
      <c r="J1033" s="239">
        <v>119.99999999301508</v>
      </c>
    </row>
    <row r="1034">
      <c r="A1034" s="234" t="s">
        <v>2728</v>
      </c>
      <c r="B1034" s="234" t="str">
        <f>IFERROR(__xludf.DUMMYFUNCTION("""COMPUTED_VALUE"""),"SoC_GO_Goiânia_02")</f>
        <v>SoC_GO_Goiânia_02</v>
      </c>
      <c r="C1034" s="234" t="str">
        <f>IFERROR(__xludf.DUMMYFUNCTION("""COMPUTED_VALUE"""),"SOC-GO2")</f>
        <v>SOC-GO2</v>
      </c>
      <c r="D1034" s="234">
        <f>IFERROR(__xludf.DUMMYFUNCTION("""COMPUTED_VALUE"""),17.0)</f>
        <v>17</v>
      </c>
      <c r="E1034" s="237" t="str">
        <f>IFERROR(__xludf.DUMMYFUNCTION("""COMPUTED_VALUE"""),"LT1PBN01SSY91")</f>
        <v>LT1PBN01SSY91</v>
      </c>
      <c r="F1034" s="238" t="str">
        <f>IFERROR(__xludf.DUMMYFUNCTION("""COMPUTED_VALUE"""),"FQL4J23,EJZ2E47")</f>
        <v>FQL4J23,EJZ2E47</v>
      </c>
      <c r="G1034" s="238">
        <f>IFERROR(__xludf.DUMMYFUNCTION("""COMPUTED_VALUE"""),45984.16666666667)</f>
        <v>45984.16667</v>
      </c>
      <c r="H1034" s="238">
        <f>IFERROR(__xludf.DUMMYFUNCTION("""COMPUTED_VALUE"""),45984.25)</f>
        <v>45984.25</v>
      </c>
      <c r="I1034" s="237" t="str">
        <f t="shared" si="1"/>
        <v>Fora</v>
      </c>
      <c r="J1034" s="239">
        <v>119.99999999301508</v>
      </c>
    </row>
    <row r="1035">
      <c r="A1035" s="234" t="s">
        <v>2729</v>
      </c>
      <c r="B1035" s="234" t="str">
        <f>IFERROR(__xludf.DUMMYFUNCTION("""COMPUTED_VALUE"""),"SoC_GO_Goiânia_02")</f>
        <v>SoC_GO_Goiânia_02</v>
      </c>
      <c r="C1035" s="234" t="str">
        <f>IFERROR(__xludf.DUMMYFUNCTION("""COMPUTED_VALUE"""),"SOC-GO2")</f>
        <v>SOC-GO2</v>
      </c>
      <c r="D1035" s="234">
        <f>IFERROR(__xludf.DUMMYFUNCTION("""COMPUTED_VALUE"""),18.0)</f>
        <v>18</v>
      </c>
      <c r="E1035" s="237" t="str">
        <f>IFERROR(__xludf.DUMMYFUNCTION("""COMPUTED_VALUE"""),"LT1PBN01SSYA1")</f>
        <v>LT1PBN01SSYA1</v>
      </c>
      <c r="F1035" s="238" t="str">
        <f>IFERROR(__xludf.DUMMYFUNCTION("""COMPUTED_VALUE"""),"FCT7F80,GIE8H69")</f>
        <v>FCT7F80,GIE8H69</v>
      </c>
      <c r="G1035" s="238">
        <f>IFERROR(__xludf.DUMMYFUNCTION("""COMPUTED_VALUE"""),45984.16666666667)</f>
        <v>45984.16667</v>
      </c>
      <c r="H1035" s="238">
        <f>IFERROR(__xludf.DUMMYFUNCTION("""COMPUTED_VALUE"""),45984.25)</f>
        <v>45984.25</v>
      </c>
      <c r="I1035" s="237" t="str">
        <f t="shared" si="1"/>
        <v>Fora</v>
      </c>
      <c r="J1035" s="239">
        <v>119.99999999301508</v>
      </c>
    </row>
    <row r="1036">
      <c r="A1036" s="234" t="s">
        <v>2730</v>
      </c>
      <c r="B1036" s="234" t="str">
        <f>IFERROR(__xludf.DUMMYFUNCTION("""COMPUTED_VALUE"""),"SoC_MG_Betim")</f>
        <v>SoC_MG_Betim</v>
      </c>
      <c r="C1036" s="234" t="str">
        <f>IFERROR(__xludf.DUMMYFUNCTION("""COMPUTED_VALUE"""),"SOC-MG2")</f>
        <v>SOC-MG2</v>
      </c>
      <c r="D1036" s="234">
        <f>IFERROR(__xludf.DUMMYFUNCTION("""COMPUTED_VALUE"""),46.0)</f>
        <v>46</v>
      </c>
      <c r="E1036" s="237" t="str">
        <f>IFERROR(__xludf.DUMMYFUNCTION("""COMPUTED_VALUE"""),"LT0PBN01RUUY1")</f>
        <v>LT0PBN01RUUY1</v>
      </c>
      <c r="F1036" s="238" t="str">
        <f>IFERROR(__xludf.DUMMYFUNCTION("""COMPUTED_VALUE"""),"SWD2I13,STN3J57")</f>
        <v>SWD2I13,STN3J57</v>
      </c>
      <c r="G1036" s="238">
        <f>IFERROR(__xludf.DUMMYFUNCTION("""COMPUTED_VALUE"""),45984.16666666667)</f>
        <v>45984.16667</v>
      </c>
      <c r="H1036" s="238">
        <f>IFERROR(__xludf.DUMMYFUNCTION("""COMPUTED_VALUE"""),45984.25)</f>
        <v>45984.25</v>
      </c>
      <c r="I1036" s="237" t="str">
        <f t="shared" si="1"/>
        <v>Fora</v>
      </c>
      <c r="J1036" s="239">
        <v>119.99999999301508</v>
      </c>
    </row>
    <row r="1037">
      <c r="A1037" s="234" t="s">
        <v>2731</v>
      </c>
      <c r="B1037" s="234" t="str">
        <f>IFERROR(__xludf.DUMMYFUNCTION("""COMPUTED_VALUE"""),"SoC_RS_Gravataí_02")</f>
        <v>SoC_RS_Gravataí_02</v>
      </c>
      <c r="C1037" s="234" t="str">
        <f>IFERROR(__xludf.DUMMYFUNCTION("""COMPUTED_VALUE"""),"SOC-RS2")</f>
        <v>SOC-RS2</v>
      </c>
      <c r="D1037" s="234">
        <f>IFERROR(__xludf.DUMMYFUNCTION("""COMPUTED_VALUE"""),23.0)</f>
        <v>23</v>
      </c>
      <c r="E1037" s="237" t="str">
        <f>IFERROR(__xludf.DUMMYFUNCTION("""COMPUTED_VALUE"""),"LT1PBN01SSY71")</f>
        <v>LT1PBN01SSY71</v>
      </c>
      <c r="F1037" s="238" t="str">
        <f>IFERROR(__xludf.DUMMYFUNCTION("""COMPUTED_VALUE"""),"JDF8I39,JDG5J87")</f>
        <v>JDF8I39,JDG5J87</v>
      </c>
      <c r="G1037" s="238">
        <f>IFERROR(__xludf.DUMMYFUNCTION("""COMPUTED_VALUE"""),45984.16666666667)</f>
        <v>45984.16667</v>
      </c>
      <c r="H1037" s="238">
        <f>IFERROR(__xludf.DUMMYFUNCTION("""COMPUTED_VALUE"""),45984.25)</f>
        <v>45984.25</v>
      </c>
      <c r="I1037" s="237" t="str">
        <f t="shared" si="1"/>
        <v>Fora</v>
      </c>
      <c r="J1037" s="239">
        <v>119.99999999301508</v>
      </c>
    </row>
    <row r="1038">
      <c r="A1038" s="234" t="s">
        <v>2732</v>
      </c>
      <c r="B1038" s="234" t="str">
        <f>IFERROR(__xludf.DUMMYFUNCTION("""COMPUTED_VALUE"""),"SoC_RS_Gravataí_02")</f>
        <v>SoC_RS_Gravataí_02</v>
      </c>
      <c r="C1038" s="234" t="str">
        <f>IFERROR(__xludf.DUMMYFUNCTION("""COMPUTED_VALUE"""),"SOC-RS2")</f>
        <v>SOC-RS2</v>
      </c>
      <c r="D1038" s="234">
        <f>IFERROR(__xludf.DUMMYFUNCTION("""COMPUTED_VALUE"""),24.0)</f>
        <v>24</v>
      </c>
      <c r="E1038" s="237" t="str">
        <f>IFERROR(__xludf.DUMMYFUNCTION("""COMPUTED_VALUE"""),"LT1PBN01SSY81")</f>
        <v>LT1PBN01SSY81</v>
      </c>
      <c r="F1038" s="238" t="str">
        <f>IFERROR(__xludf.DUMMYFUNCTION("""COMPUTED_VALUE"""),"EZU6H02,STX5H87")</f>
        <v>EZU6H02,STX5H87</v>
      </c>
      <c r="G1038" s="238">
        <f>IFERROR(__xludf.DUMMYFUNCTION("""COMPUTED_VALUE"""),45984.16666666667)</f>
        <v>45984.16667</v>
      </c>
      <c r="H1038" s="238">
        <f>IFERROR(__xludf.DUMMYFUNCTION("""COMPUTED_VALUE"""),45984.25)</f>
        <v>45984.25</v>
      </c>
      <c r="I1038" s="237" t="str">
        <f t="shared" si="1"/>
        <v>Fora</v>
      </c>
      <c r="J1038" s="239">
        <v>119.99999999301508</v>
      </c>
    </row>
    <row r="1039">
      <c r="A1039" s="234" t="s">
        <v>2733</v>
      </c>
      <c r="B1039" s="234" t="str">
        <f>IFERROR(__xludf.DUMMYFUNCTION("""COMPUTED_VALUE"""),"SoC_RS_Gravataí_02")</f>
        <v>SoC_RS_Gravataí_02</v>
      </c>
      <c r="C1039" s="234" t="str">
        <f>IFERROR(__xludf.DUMMYFUNCTION("""COMPUTED_VALUE"""),"SOC-RS2")</f>
        <v>SOC-RS2</v>
      </c>
      <c r="D1039" s="234">
        <f>IFERROR(__xludf.DUMMYFUNCTION("""COMPUTED_VALUE"""),25.0)</f>
        <v>25</v>
      </c>
      <c r="E1039" s="237" t="str">
        <f>IFERROR(__xludf.DUMMYFUNCTION("""COMPUTED_VALUE"""),"LT1PBN01ST0B1")</f>
        <v>LT1PBN01ST0B1</v>
      </c>
      <c r="F1039" s="238" t="str">
        <f>IFERROR(__xludf.DUMMYFUNCTION("""COMPUTED_VALUE"""),"EEK3G45,CVN6C81")</f>
        <v>EEK3G45,CVN6C81</v>
      </c>
      <c r="G1039" s="238">
        <f>IFERROR(__xludf.DUMMYFUNCTION("""COMPUTED_VALUE"""),45984.16666666667)</f>
        <v>45984.16667</v>
      </c>
      <c r="H1039" s="238">
        <f>IFERROR(__xludf.DUMMYFUNCTION("""COMPUTED_VALUE"""),45984.25)</f>
        <v>45984.25</v>
      </c>
      <c r="I1039" s="237" t="str">
        <f t="shared" si="1"/>
        <v>Fora</v>
      </c>
      <c r="J1039" s="239">
        <v>119.99999999301508</v>
      </c>
    </row>
    <row r="1040">
      <c r="A1040" s="234" t="s">
        <v>2734</v>
      </c>
      <c r="B1040" s="234" t="str">
        <f>IFERROR(__xludf.DUMMYFUNCTION("""COMPUTED_VALUE"""),"SoC_RS_Gravataí_02")</f>
        <v>SoC_RS_Gravataí_02</v>
      </c>
      <c r="C1040" s="234" t="str">
        <f>IFERROR(__xludf.DUMMYFUNCTION("""COMPUTED_VALUE"""),"SOC-RS2")</f>
        <v>SOC-RS2</v>
      </c>
      <c r="D1040" s="234">
        <f>IFERROR(__xludf.DUMMYFUNCTION("""COMPUTED_VALUE"""),17.0)</f>
        <v>17</v>
      </c>
      <c r="E1040" s="237" t="str">
        <f>IFERROR(__xludf.DUMMYFUNCTION("""COMPUTED_VALUE"""),"LT0PBO01SLLU1")</f>
        <v>LT0PBO01SLLU1</v>
      </c>
      <c r="F1040" s="238" t="str">
        <f>IFERROR(__xludf.DUMMYFUNCTION("""COMPUTED_VALUE"""),"TIR3H66,TKI3E64")</f>
        <v>TIR3H66,TKI3E64</v>
      </c>
      <c r="G1040" s="238">
        <f>IFERROR(__xludf.DUMMYFUNCTION("""COMPUTED_VALUE"""),45985.75)</f>
        <v>45985.75</v>
      </c>
      <c r="H1040" s="238">
        <f>IFERROR(__xludf.DUMMYFUNCTION("""COMPUTED_VALUE"""),45985.83333333333)</f>
        <v>45985.83333</v>
      </c>
      <c r="I1040" s="237" t="str">
        <f t="shared" si="1"/>
        <v>Fora</v>
      </c>
      <c r="J1040" s="239">
        <v>119.99999999301508</v>
      </c>
    </row>
    <row r="1041">
      <c r="A1041" s="234" t="s">
        <v>2735</v>
      </c>
      <c r="B1041" s="234" t="str">
        <f>IFERROR(__xludf.DUMMYFUNCTION("""COMPUTED_VALUE"""),"SoC_SP_Cravinhos")</f>
        <v>SoC_SP_Cravinhos</v>
      </c>
      <c r="C1041" s="234" t="str">
        <f>IFERROR(__xludf.DUMMYFUNCTION("""COMPUTED_VALUE"""),"SOC-SP5")</f>
        <v>SOC-SP5</v>
      </c>
      <c r="D1041" s="234">
        <f>IFERROR(__xludf.DUMMYFUNCTION("""COMPUTED_VALUE"""),40.0)</f>
        <v>40</v>
      </c>
      <c r="E1041" s="237" t="str">
        <f>IFERROR(__xludf.DUMMYFUNCTION("""COMPUTED_VALUE"""),"LT1PBO01STUI1")</f>
        <v>LT1PBO01STUI1</v>
      </c>
      <c r="F1041" s="238" t="str">
        <f>IFERROR(__xludf.DUMMYFUNCTION("""COMPUTED_VALUE"""),"RHJ0E45,BEY5C12")</f>
        <v>RHJ0E45,BEY5C12</v>
      </c>
      <c r="G1041" s="238">
        <f>IFERROR(__xludf.DUMMYFUNCTION("""COMPUTED_VALUE"""),45985.79166666667)</f>
        <v>45985.79167</v>
      </c>
      <c r="H1041" s="238">
        <f>IFERROR(__xludf.DUMMYFUNCTION("""COMPUTED_VALUE"""),45985.875)</f>
        <v>45985.875</v>
      </c>
      <c r="I1041" s="237" t="str">
        <f t="shared" si="1"/>
        <v>Fora</v>
      </c>
      <c r="J1041" s="239">
        <v>119.99999999301508</v>
      </c>
    </row>
    <row r="1042">
      <c r="A1042" s="234" t="s">
        <v>2736</v>
      </c>
      <c r="B1042" s="234" t="str">
        <f>IFERROR(__xludf.DUMMYFUNCTION("""COMPUTED_VALUE"""),"LM Hub_SP_Osasco_02")</f>
        <v>LM Hub_SP_Osasco_02</v>
      </c>
      <c r="C1042" s="234" t="str">
        <f>IFERROR(__xludf.DUMMYFUNCTION("""COMPUTED_VALUE"""),"HUB-LSP-60")</f>
        <v>HUB-LSP-60</v>
      </c>
      <c r="D1042" s="234">
        <f>IFERROR(__xludf.DUMMYFUNCTION("""COMPUTED_VALUE"""),16.0)</f>
        <v>16</v>
      </c>
      <c r="E1042" s="237" t="str">
        <f>IFERROR(__xludf.DUMMYFUNCTION("""COMPUTED_VALUE"""),"LT0PBO01SFNS1")</f>
        <v>LT0PBO01SFNS1</v>
      </c>
      <c r="F1042" s="238" t="str">
        <f>IFERROR(__xludf.DUMMYFUNCTION("""COMPUTED_VALUE"""),"ARA0I24,TKW4D57")</f>
        <v>ARA0I24,TKW4D57</v>
      </c>
      <c r="G1042" s="238">
        <f>IFERROR(__xludf.DUMMYFUNCTION("""COMPUTED_VALUE"""),45985.875)</f>
        <v>45985.875</v>
      </c>
      <c r="H1042" s="238">
        <f>IFERROR(__xludf.DUMMYFUNCTION("""COMPUTED_VALUE"""),45985.95833333333)</f>
        <v>45985.95833</v>
      </c>
      <c r="I1042" s="237" t="str">
        <f t="shared" si="1"/>
        <v>Fora</v>
      </c>
      <c r="J1042" s="239">
        <v>120.00000001396984</v>
      </c>
    </row>
    <row r="1043">
      <c r="A1043" s="234" t="s">
        <v>2737</v>
      </c>
      <c r="B1043" s="234" t="str">
        <f>IFERROR(__xludf.DUMMYFUNCTION("""COMPUTED_VALUE"""),"LM Hub_MG_Juiz de Fora_Dist Ind")</f>
        <v>LM Hub_MG_Juiz de Fora_Dist Ind</v>
      </c>
      <c r="C1043" s="234" t="str">
        <f>IFERROR(__xludf.DUMMYFUNCTION("""COMPUTED_VALUE"""),"HUB-LMG-59")</f>
        <v>HUB-LMG-59</v>
      </c>
      <c r="D1043" s="234">
        <f>IFERROR(__xludf.DUMMYFUNCTION("""COMPUTED_VALUE"""),19.0)</f>
        <v>19</v>
      </c>
      <c r="E1043" s="237" t="str">
        <f>IFERROR(__xludf.DUMMYFUNCTION("""COMPUTED_VALUE"""),"LT0PBO01SM1I1")</f>
        <v>LT0PBO01SM1I1</v>
      </c>
      <c r="F1043" s="238" t="str">
        <f>IFERROR(__xludf.DUMMYFUNCTION("""COMPUTED_VALUE"""),"SVZ3D32")</f>
        <v>SVZ3D32</v>
      </c>
      <c r="G1043" s="238">
        <f>IFERROR(__xludf.DUMMYFUNCTION("""COMPUTED_VALUE"""),45985.89583333333)</f>
        <v>45985.89583</v>
      </c>
      <c r="H1043" s="238">
        <f>IFERROR(__xludf.DUMMYFUNCTION("""COMPUTED_VALUE"""),45985.97916666667)</f>
        <v>45985.97917</v>
      </c>
      <c r="I1043" s="237" t="str">
        <f t="shared" si="1"/>
        <v>Fora</v>
      </c>
      <c r="J1043" s="239">
        <v>120.00000001396984</v>
      </c>
    </row>
    <row r="1044">
      <c r="A1044" s="234" t="s">
        <v>2738</v>
      </c>
      <c r="B1044" s="234" t="str">
        <f>IFERROR(__xludf.DUMMYFUNCTION("""COMPUTED_VALUE"""),"LM Hub_SP_Santos_Praia Grande")</f>
        <v>LM Hub_SP_Santos_Praia Grande</v>
      </c>
      <c r="C1044" s="234" t="str">
        <f>IFERROR(__xludf.DUMMYFUNCTION("""COMPUTED_VALUE"""),"HUB-LSP-09")</f>
        <v>HUB-LSP-09</v>
      </c>
      <c r="D1044" s="234">
        <f>IFERROR(__xludf.DUMMYFUNCTION("""COMPUTED_VALUE"""),23.0)</f>
        <v>23</v>
      </c>
      <c r="E1044" s="237" t="str">
        <f>IFERROR(__xludf.DUMMYFUNCTION("""COMPUTED_VALUE"""),"LT0PBO01SFQ01")</f>
        <v>LT0PBO01SFQ01</v>
      </c>
      <c r="F1044" s="238" t="str">
        <f>IFERROR(__xludf.DUMMYFUNCTION("""COMPUTED_VALUE"""),"FUZ4C73,TLL9H76")</f>
        <v>FUZ4C73,TLL9H76</v>
      </c>
      <c r="G1044" s="238">
        <f>IFERROR(__xludf.DUMMYFUNCTION("""COMPUTED_VALUE"""),45985.89583333333)</f>
        <v>45985.89583</v>
      </c>
      <c r="H1044" s="238">
        <f>IFERROR(__xludf.DUMMYFUNCTION("""COMPUTED_VALUE"""),45985.97916666667)</f>
        <v>45985.97917</v>
      </c>
      <c r="I1044" s="237" t="str">
        <f t="shared" si="1"/>
        <v>Fora</v>
      </c>
      <c r="J1044" s="239">
        <v>120.00000001396984</v>
      </c>
    </row>
    <row r="1045">
      <c r="A1045" s="234" t="s">
        <v>2739</v>
      </c>
      <c r="B1045" s="234" t="str">
        <f>IFERROR(__xludf.DUMMYFUNCTION("""COMPUTED_VALUE"""),"LM Hub_SP_Zimba")</f>
        <v>LM Hub_SP_Zimba</v>
      </c>
      <c r="C1045" s="234" t="str">
        <f>IFERROR(__xludf.DUMMYFUNCTION("""COMPUTED_VALUE"""),"HUB-LSP-74")</f>
        <v>HUB-LSP-74</v>
      </c>
      <c r="D1045" s="234">
        <f>IFERROR(__xludf.DUMMYFUNCTION("""COMPUTED_VALUE"""),29.0)</f>
        <v>29</v>
      </c>
      <c r="E1045" s="237" t="str">
        <f>IFERROR(__xludf.DUMMYFUNCTION("""COMPUTED_VALUE"""),"LT0PBO01SFO51")</f>
        <v>LT0PBO01SFO51</v>
      </c>
      <c r="F1045" s="238" t="str">
        <f>IFERROR(__xludf.DUMMYFUNCTION("""COMPUTED_VALUE"""),"SUQ5C99,TLD5B82")</f>
        <v>SUQ5C99,TLD5B82</v>
      </c>
      <c r="G1045" s="238">
        <f>IFERROR(__xludf.DUMMYFUNCTION("""COMPUTED_VALUE"""),45985.89583333333)</f>
        <v>45985.89583</v>
      </c>
      <c r="H1045" s="238">
        <f>IFERROR(__xludf.DUMMYFUNCTION("""COMPUTED_VALUE"""),45985.97916666667)</f>
        <v>45985.97917</v>
      </c>
      <c r="I1045" s="237" t="str">
        <f t="shared" si="1"/>
        <v>Fora</v>
      </c>
      <c r="J1045" s="239">
        <v>118.99999998975545</v>
      </c>
    </row>
    <row r="1046">
      <c r="A1046" s="234" t="s">
        <v>2740</v>
      </c>
      <c r="B1046" s="234" t="str">
        <f>IFERROR(__xludf.DUMMYFUNCTION("""COMPUTED_VALUE"""),"LM Hub_SP_Guarujá")</f>
        <v>LM Hub_SP_Guarujá</v>
      </c>
      <c r="C1046" s="234" t="str">
        <f>IFERROR(__xludf.DUMMYFUNCTION("""COMPUTED_VALUE"""),"HUB-LSP-06")</f>
        <v>HUB-LSP-06</v>
      </c>
      <c r="D1046" s="234">
        <f>IFERROR(__xludf.DUMMYFUNCTION("""COMPUTED_VALUE"""),9.0)</f>
        <v>9</v>
      </c>
      <c r="E1046" s="237" t="str">
        <f>IFERROR(__xludf.DUMMYFUNCTION("""COMPUTED_VALUE"""),"LT0PBO01SFP01")</f>
        <v>LT0PBO01SFP01</v>
      </c>
      <c r="F1046" s="238" t="str">
        <f>IFERROR(__xludf.DUMMYFUNCTION("""COMPUTED_VALUE"""),"SVL5H32")</f>
        <v>SVL5H32</v>
      </c>
      <c r="G1046" s="238">
        <f>IFERROR(__xludf.DUMMYFUNCTION("""COMPUTED_VALUE"""),45985.91666666667)</f>
        <v>45985.91667</v>
      </c>
      <c r="H1046" s="238">
        <f>IFERROR(__xludf.DUMMYFUNCTION("""COMPUTED_VALUE"""),45985.99930555555)</f>
        <v>45985.99931</v>
      </c>
      <c r="I1046" s="237" t="str">
        <f t="shared" si="1"/>
        <v>Fora</v>
      </c>
      <c r="J1046" s="239">
        <v>119.99999999301508</v>
      </c>
    </row>
    <row r="1047">
      <c r="A1047" s="234" t="s">
        <v>2741</v>
      </c>
      <c r="B1047" s="234" t="str">
        <f>IFERROR(__xludf.DUMMYFUNCTION("""COMPUTED_VALUE"""),"LM Hub_RS_Porto Alegre_Floresta")</f>
        <v>LM Hub_RS_Porto Alegre_Floresta</v>
      </c>
      <c r="C1047" s="234" t="str">
        <f>IFERROR(__xludf.DUMMYFUNCTION("""COMPUTED_VALUE"""),"HUB-LRS-03")</f>
        <v>HUB-LRS-03</v>
      </c>
      <c r="D1047" s="234">
        <f>IFERROR(__xludf.DUMMYFUNCTION("""COMPUTED_VALUE"""),22.0)</f>
        <v>22</v>
      </c>
      <c r="E1047" s="237" t="str">
        <f>IFERROR(__xludf.DUMMYFUNCTION("""COMPUTED_VALUE"""),"LT0PBO01SM0Z1")</f>
        <v>LT0PBO01SM0Z1</v>
      </c>
      <c r="F1047" s="238" t="str">
        <f>IFERROR(__xludf.DUMMYFUNCTION("""COMPUTED_VALUE"""),"QHE4E06")</f>
        <v>QHE4E06</v>
      </c>
      <c r="G1047" s="238">
        <f>IFERROR(__xludf.DUMMYFUNCTION("""COMPUTED_VALUE"""),45985.91666666667)</f>
        <v>45985.91667</v>
      </c>
      <c r="H1047" s="238">
        <f>IFERROR(__xludf.DUMMYFUNCTION("""COMPUTED_VALUE"""),45986.0)</f>
        <v>45986</v>
      </c>
      <c r="I1047" s="237" t="str">
        <f t="shared" si="1"/>
        <v>Fora</v>
      </c>
      <c r="J1047" s="239">
        <v>119.99999999301508</v>
      </c>
    </row>
    <row r="1048">
      <c r="A1048" s="234" t="s">
        <v>2742</v>
      </c>
      <c r="B1048" s="234" t="str">
        <f>IFERROR(__xludf.DUMMYFUNCTION("""COMPUTED_VALUE"""),"LM Hub_SP_Artur Alvim")</f>
        <v>LM Hub_SP_Artur Alvim</v>
      </c>
      <c r="C1048" s="234" t="str">
        <f>IFERROR(__xludf.DUMMYFUNCTION("""COMPUTED_VALUE"""),"HUB-LSP-07")</f>
        <v>HUB-LSP-07</v>
      </c>
      <c r="D1048" s="234">
        <f>IFERROR(__xludf.DUMMYFUNCTION("""COMPUTED_VALUE"""),13.0)</f>
        <v>13</v>
      </c>
      <c r="E1048" s="237" t="str">
        <f>IFERROR(__xludf.DUMMYFUNCTION("""COMPUTED_VALUE"""),"LT0PBO01SFML1")</f>
        <v>LT0PBO01SFML1</v>
      </c>
      <c r="F1048" s="238" t="str">
        <f>IFERROR(__xludf.DUMMYFUNCTION("""COMPUTED_VALUE"""),"QPV1A02,ELQ6F04")</f>
        <v>QPV1A02,ELQ6F04</v>
      </c>
      <c r="G1048" s="238">
        <f>IFERROR(__xludf.DUMMYFUNCTION("""COMPUTED_VALUE"""),45985.91666666667)</f>
        <v>45985.91667</v>
      </c>
      <c r="H1048" s="238">
        <f>IFERROR(__xludf.DUMMYFUNCTION("""COMPUTED_VALUE"""),45986.0)</f>
        <v>45986</v>
      </c>
      <c r="I1048" s="237" t="str">
        <f t="shared" si="1"/>
        <v>Fora</v>
      </c>
      <c r="J1048" s="239">
        <v>119.99999999301508</v>
      </c>
    </row>
    <row r="1049">
      <c r="A1049" s="234" t="s">
        <v>2743</v>
      </c>
      <c r="B1049" s="234" t="str">
        <f>IFERROR(__xludf.DUMMYFUNCTION("""COMPUTED_VALUE"""),"LM Hub_SP_Barueri_01")</f>
        <v>LM Hub_SP_Barueri_01</v>
      </c>
      <c r="C1049" s="234" t="str">
        <f>IFERROR(__xludf.DUMMYFUNCTION("""COMPUTED_VALUE"""),"HUB-LSP-81")</f>
        <v>HUB-LSP-81</v>
      </c>
      <c r="D1049" s="234">
        <f>IFERROR(__xludf.DUMMYFUNCTION("""COMPUTED_VALUE"""),6.0)</f>
        <v>6</v>
      </c>
      <c r="E1049" s="237" t="str">
        <f>IFERROR(__xludf.DUMMYFUNCTION("""COMPUTED_VALUE"""),"LT0PBO01SKYL1")</f>
        <v>LT0PBO01SKYL1</v>
      </c>
      <c r="F1049" s="238" t="str">
        <f>IFERROR(__xludf.DUMMYFUNCTION("""COMPUTED_VALUE"""),"GEV2J37")</f>
        <v>GEV2J37</v>
      </c>
      <c r="G1049" s="238">
        <f>IFERROR(__xludf.DUMMYFUNCTION("""COMPUTED_VALUE"""),45985.91666666667)</f>
        <v>45985.91667</v>
      </c>
      <c r="H1049" s="238">
        <f>IFERROR(__xludf.DUMMYFUNCTION("""COMPUTED_VALUE"""),45986.0)</f>
        <v>45986</v>
      </c>
      <c r="I1049" s="237" t="str">
        <f t="shared" si="1"/>
        <v>Fora</v>
      </c>
      <c r="J1049" s="239">
        <v>119.99999999301508</v>
      </c>
    </row>
    <row r="1050">
      <c r="A1050" s="234" t="s">
        <v>2744</v>
      </c>
      <c r="B1050" s="234" t="str">
        <f>IFERROR(__xludf.DUMMYFUNCTION("""COMPUTED_VALUE"""),"LM Hub_SP_Itapevi")</f>
        <v>LM Hub_SP_Itapevi</v>
      </c>
      <c r="C1050" s="234" t="str">
        <f>IFERROR(__xludf.DUMMYFUNCTION("""COMPUTED_VALUE"""),"HUB-LSP-41")</f>
        <v>HUB-LSP-41</v>
      </c>
      <c r="D1050" s="234">
        <f>IFERROR(__xludf.DUMMYFUNCTION("""COMPUTED_VALUE"""),12.0)</f>
        <v>12</v>
      </c>
      <c r="E1050" s="237" t="str">
        <f>IFERROR(__xludf.DUMMYFUNCTION("""COMPUTED_VALUE"""),"LT0PBO01SFNR1")</f>
        <v>LT0PBO01SFNR1</v>
      </c>
      <c r="F1050" s="238" t="str">
        <f>IFERROR(__xludf.DUMMYFUNCTION("""COMPUTED_VALUE"""),"AQG1687")</f>
        <v>AQG1687</v>
      </c>
      <c r="G1050" s="238">
        <f>IFERROR(__xludf.DUMMYFUNCTION("""COMPUTED_VALUE"""),45985.91666666667)</f>
        <v>45985.91667</v>
      </c>
      <c r="H1050" s="238">
        <f>IFERROR(__xludf.DUMMYFUNCTION("""COMPUTED_VALUE"""),45986.0)</f>
        <v>45986</v>
      </c>
      <c r="I1050" s="237" t="str">
        <f t="shared" si="1"/>
        <v>Fora</v>
      </c>
      <c r="J1050" s="239">
        <v>119.99999999301508</v>
      </c>
    </row>
    <row r="1051">
      <c r="A1051" s="234" t="s">
        <v>2745</v>
      </c>
      <c r="B1051" s="234" t="str">
        <f>IFERROR(__xludf.DUMMYFUNCTION("""COMPUTED_VALUE"""),"LM Hub_SP_Limeira_Campo Belo")</f>
        <v>LM Hub_SP_Limeira_Campo Belo</v>
      </c>
      <c r="C1051" s="234" t="str">
        <f>IFERROR(__xludf.DUMMYFUNCTION("""COMPUTED_VALUE"""),"HUB-LSP-24")</f>
        <v>HUB-LSP-24</v>
      </c>
      <c r="D1051" s="234">
        <f>IFERROR(__xludf.DUMMYFUNCTION("""COMPUTED_VALUE"""),32.0)</f>
        <v>32</v>
      </c>
      <c r="E1051" s="237" t="str">
        <f>IFERROR(__xludf.DUMMYFUNCTION("""COMPUTED_VALUE"""),"LT0PBO01SFQH1")</f>
        <v>LT0PBO01SFQH1</v>
      </c>
      <c r="F1051" s="238" t="str">
        <f>IFERROR(__xludf.DUMMYFUNCTION("""COMPUTED_VALUE"""),"SVM9H44,GDU4H95")</f>
        <v>SVM9H44,GDU4H95</v>
      </c>
      <c r="G1051" s="238">
        <f>IFERROR(__xludf.DUMMYFUNCTION("""COMPUTED_VALUE"""),45985.91666666667)</f>
        <v>45985.91667</v>
      </c>
      <c r="H1051" s="238">
        <f>IFERROR(__xludf.DUMMYFUNCTION("""COMPUTED_VALUE"""),45986.0)</f>
        <v>45986</v>
      </c>
      <c r="I1051" s="237" t="str">
        <f t="shared" si="1"/>
        <v>Fora</v>
      </c>
      <c r="J1051" s="239">
        <v>119.99999999301508</v>
      </c>
    </row>
    <row r="1052">
      <c r="A1052" s="234" t="s">
        <v>2746</v>
      </c>
      <c r="B1052" s="234" t="str">
        <f>IFERROR(__xludf.DUMMYFUNCTION("""COMPUTED_VALUE"""),"LM Hub_SP_Mauá")</f>
        <v>LM Hub_SP_Mauá</v>
      </c>
      <c r="C1052" s="234" t="str">
        <f>IFERROR(__xludf.DUMMYFUNCTION("""COMPUTED_VALUE"""),"HUB-LSP-64")</f>
        <v>HUB-LSP-64</v>
      </c>
      <c r="D1052" s="234">
        <f>IFERROR(__xludf.DUMMYFUNCTION("""COMPUTED_VALUE"""),7.0)</f>
        <v>7</v>
      </c>
      <c r="E1052" s="237" t="str">
        <f>IFERROR(__xludf.DUMMYFUNCTION("""COMPUTED_VALUE"""),"LT0PBO01SFNY1")</f>
        <v>LT0PBO01SFNY1</v>
      </c>
      <c r="F1052" s="238" t="str">
        <f>IFERROR(__xludf.DUMMYFUNCTION("""COMPUTED_VALUE"""),"ONN9D62")</f>
        <v>ONN9D62</v>
      </c>
      <c r="G1052" s="238">
        <f>IFERROR(__xludf.DUMMYFUNCTION("""COMPUTED_VALUE"""),45985.91666666667)</f>
        <v>45985.91667</v>
      </c>
      <c r="H1052" s="238">
        <f>IFERROR(__xludf.DUMMYFUNCTION("""COMPUTED_VALUE"""),45986.0)</f>
        <v>45986</v>
      </c>
      <c r="I1052" s="237" t="str">
        <f t="shared" si="1"/>
        <v>Fora</v>
      </c>
      <c r="J1052" s="239">
        <v>119.99999999301508</v>
      </c>
    </row>
    <row r="1053">
      <c r="A1053" s="234" t="s">
        <v>2747</v>
      </c>
      <c r="B1053" s="234" t="str">
        <f>IFERROR(__xludf.DUMMYFUNCTION("""COMPUTED_VALUE"""),"LM Hub_SP_São José do Rio P")</f>
        <v>LM Hub_SP_São José do Rio P</v>
      </c>
      <c r="C1053" s="234" t="str">
        <f>IFERROR(__xludf.DUMMYFUNCTION("""COMPUTED_VALUE"""),"HUB-LSP-27")</f>
        <v>HUB-LSP-27</v>
      </c>
      <c r="D1053" s="234">
        <f>IFERROR(__xludf.DUMMYFUNCTION("""COMPUTED_VALUE"""),34.0)</f>
        <v>34</v>
      </c>
      <c r="E1053" s="237" t="str">
        <f>IFERROR(__xludf.DUMMYFUNCTION("""COMPUTED_VALUE"""),"LT0PBO01SJO11")</f>
        <v>LT0PBO01SJO11</v>
      </c>
      <c r="F1053" s="238" t="str">
        <f>IFERROR(__xludf.DUMMYFUNCTION("""COMPUTED_VALUE"""),"SFO1F38")</f>
        <v>SFO1F38</v>
      </c>
      <c r="G1053" s="238">
        <f>IFERROR(__xludf.DUMMYFUNCTION("""COMPUTED_VALUE"""),45985.91666666667)</f>
        <v>45985.91667</v>
      </c>
      <c r="H1053" s="238">
        <f>IFERROR(__xludf.DUMMYFUNCTION("""COMPUTED_VALUE"""),45986.0)</f>
        <v>45986</v>
      </c>
      <c r="I1053" s="237" t="str">
        <f t="shared" si="1"/>
        <v>Fora</v>
      </c>
      <c r="J1053" s="239">
        <v>119.99999999301508</v>
      </c>
    </row>
    <row r="1054">
      <c r="A1054" s="234" t="s">
        <v>2748</v>
      </c>
      <c r="B1054" s="234" t="str">
        <f>IFERROR(__xludf.DUMMYFUNCTION("""COMPUTED_VALUE"""),"LM Hub_SP_Jardim Adriana")</f>
        <v>LM Hub_SP_Jardim Adriana</v>
      </c>
      <c r="C1054" s="234" t="str">
        <f>IFERROR(__xludf.DUMMYFUNCTION("""COMPUTED_VALUE"""),"HUB-LSP-12")</f>
        <v>HUB-LSP-12</v>
      </c>
      <c r="D1054" s="234">
        <f>IFERROR(__xludf.DUMMYFUNCTION("""COMPUTED_VALUE"""),5.0)</f>
        <v>5</v>
      </c>
      <c r="E1054" s="237" t="str">
        <f>IFERROR(__xludf.DUMMYFUNCTION("""COMPUTED_VALUE"""),"LT0PBO01SFMR1")</f>
        <v>LT0PBO01SFMR1</v>
      </c>
      <c r="F1054" s="238" t="str">
        <f>IFERROR(__xludf.DUMMYFUNCTION("""COMPUTED_VALUE"""),"FNW2D28")</f>
        <v>FNW2D28</v>
      </c>
      <c r="G1054" s="238">
        <f>IFERROR(__xludf.DUMMYFUNCTION("""COMPUTED_VALUE"""),45985.9375)</f>
        <v>45985.9375</v>
      </c>
      <c r="H1054" s="238">
        <f>IFERROR(__xludf.DUMMYFUNCTION("""COMPUTED_VALUE"""),45986.02083333333)</f>
        <v>45986.02083</v>
      </c>
      <c r="I1054" s="237" t="str">
        <f t="shared" si="1"/>
        <v>Fora</v>
      </c>
      <c r="J1054" s="239">
        <v>119.99999999301508</v>
      </c>
    </row>
    <row r="1055">
      <c r="A1055" s="234" t="s">
        <v>2749</v>
      </c>
      <c r="B1055" s="234" t="str">
        <f>IFERROR(__xludf.DUMMYFUNCTION("""COMPUTED_VALUE"""),"LM Hub_SP_Piracicaba")</f>
        <v>LM Hub_SP_Piracicaba</v>
      </c>
      <c r="C1055" s="234" t="str">
        <f>IFERROR(__xludf.DUMMYFUNCTION("""COMPUTED_VALUE"""),"HUB-LSP-62")</f>
        <v>HUB-LSP-62</v>
      </c>
      <c r="D1055" s="234">
        <f>IFERROR(__xludf.DUMMYFUNCTION("""COMPUTED_VALUE"""),28.0)</f>
        <v>28</v>
      </c>
      <c r="E1055" s="237" t="str">
        <f>IFERROR(__xludf.DUMMYFUNCTION("""COMPUTED_VALUE"""),"LT0PBO01SGBJ1")</f>
        <v>LT0PBO01SGBJ1</v>
      </c>
      <c r="F1055" s="238" t="str">
        <f>IFERROR(__xludf.DUMMYFUNCTION("""COMPUTED_VALUE"""),"OMY3I62")</f>
        <v>OMY3I62</v>
      </c>
      <c r="G1055" s="238">
        <f>IFERROR(__xludf.DUMMYFUNCTION("""COMPUTED_VALUE"""),45985.9375)</f>
        <v>45985.9375</v>
      </c>
      <c r="H1055" s="238">
        <f>IFERROR(__xludf.DUMMYFUNCTION("""COMPUTED_VALUE"""),45986.02083333333)</f>
        <v>45986.02083</v>
      </c>
      <c r="I1055" s="237" t="str">
        <f t="shared" si="1"/>
        <v>Fora</v>
      </c>
      <c r="J1055" s="239">
        <v>119.99999999301508</v>
      </c>
    </row>
    <row r="1056">
      <c r="A1056" s="234" t="s">
        <v>2750</v>
      </c>
      <c r="B1056" s="234" t="str">
        <f>IFERROR(__xludf.DUMMYFUNCTION("""COMPUTED_VALUE"""),"LM Hub_SP_VilaGuilherme")</f>
        <v>LM Hub_SP_VilaGuilherme</v>
      </c>
      <c r="C1056" s="234" t="str">
        <f>IFERROR(__xludf.DUMMYFUNCTION("""COMPUTED_VALUE"""),"HUB-LSP-68")</f>
        <v>HUB-LSP-68</v>
      </c>
      <c r="D1056" s="234">
        <f>IFERROR(__xludf.DUMMYFUNCTION("""COMPUTED_VALUE"""),14.0)</f>
        <v>14</v>
      </c>
      <c r="E1056" s="237" t="str">
        <f>IFERROR(__xludf.DUMMYFUNCTION("""COMPUTED_VALUE"""),"LT0PBO01SFO41")</f>
        <v>LT0PBO01SFO41</v>
      </c>
      <c r="F1056" s="238" t="str">
        <f>IFERROR(__xludf.DUMMYFUNCTION("""COMPUTED_VALUE"""),"FRG8J90,ILY9J38")</f>
        <v>FRG8J90,ILY9J38</v>
      </c>
      <c r="G1056" s="238">
        <f>IFERROR(__xludf.DUMMYFUNCTION("""COMPUTED_VALUE"""),45985.9375)</f>
        <v>45985.9375</v>
      </c>
      <c r="H1056" s="238">
        <f>IFERROR(__xludf.DUMMYFUNCTION("""COMPUTED_VALUE"""),45986.02083333333)</f>
        <v>45986.02083</v>
      </c>
      <c r="I1056" s="237" t="str">
        <f t="shared" si="1"/>
        <v>Fora</v>
      </c>
      <c r="J1056" s="239">
        <v>180.0</v>
      </c>
    </row>
    <row r="1057">
      <c r="A1057" s="234" t="s">
        <v>2751</v>
      </c>
      <c r="B1057" s="234" t="str">
        <f>IFERROR(__xludf.DUMMYFUNCTION("""COMPUTED_VALUE"""),"SoC_SP_Louveira")</f>
        <v>SoC_SP_Louveira</v>
      </c>
      <c r="C1057" s="234" t="str">
        <f>IFERROR(__xludf.DUMMYFUNCTION("""COMPUTED_VALUE"""),"SOC-SP7")</f>
        <v>SOC-SP7</v>
      </c>
      <c r="D1057" s="234">
        <f>IFERROR(__xludf.DUMMYFUNCTION("""COMPUTED_VALUE"""),33.0)</f>
        <v>33</v>
      </c>
      <c r="E1057" s="237" t="str">
        <f>IFERROR(__xludf.DUMMYFUNCTION("""COMPUTED_VALUE"""),"LT1PBO01STUG1")</f>
        <v>LT1PBO01STUG1</v>
      </c>
      <c r="F1057" s="238" t="str">
        <f>IFERROR(__xludf.DUMMYFUNCTION("""COMPUTED_VALUE"""),"EHH9B85,FFN2F39")</f>
        <v>EHH9B85,FFN2F39</v>
      </c>
      <c r="G1057" s="238">
        <f>IFERROR(__xludf.DUMMYFUNCTION("""COMPUTED_VALUE"""),45985.91666666667)</f>
        <v>45985.91667</v>
      </c>
      <c r="H1057" s="238">
        <f>IFERROR(__xludf.DUMMYFUNCTION("""COMPUTED_VALUE"""),45986.04166666667)</f>
        <v>45986.04167</v>
      </c>
      <c r="I1057" s="237" t="str">
        <f t="shared" si="1"/>
        <v>Fora</v>
      </c>
      <c r="J1057" s="239">
        <v>120.00000001396984</v>
      </c>
    </row>
    <row r="1058">
      <c r="A1058" s="234" t="s">
        <v>2752</v>
      </c>
      <c r="B1058" s="234" t="str">
        <f>IFERROR(__xludf.DUMMYFUNCTION("""COMPUTED_VALUE"""),"LM Hub_SP_Jundiaí")</f>
        <v>LM Hub_SP_Jundiaí</v>
      </c>
      <c r="C1058" s="234" t="str">
        <f>IFERROR(__xludf.DUMMYFUNCTION("""COMPUTED_VALUE"""),"HUB-LSP-20")</f>
        <v>HUB-LSP-20</v>
      </c>
      <c r="D1058" s="234">
        <f>IFERROR(__xludf.DUMMYFUNCTION("""COMPUTED_VALUE"""),19.0)</f>
        <v>19</v>
      </c>
      <c r="E1058" s="237" t="str">
        <f>IFERROR(__xludf.DUMMYFUNCTION("""COMPUTED_VALUE"""),"LT0PBO01SFS01")</f>
        <v>LT0PBO01SFS01</v>
      </c>
      <c r="F1058" s="238" t="str">
        <f>IFERROR(__xludf.DUMMYFUNCTION("""COMPUTED_VALUE"""),"JBJ0I18")</f>
        <v>JBJ0I18</v>
      </c>
      <c r="G1058" s="238">
        <f>IFERROR(__xludf.DUMMYFUNCTION("""COMPUTED_VALUE"""),45985.95833333333)</f>
        <v>45985.95833</v>
      </c>
      <c r="H1058" s="238">
        <f>IFERROR(__xludf.DUMMYFUNCTION("""COMPUTED_VALUE"""),45986.04166666667)</f>
        <v>45986.04167</v>
      </c>
      <c r="I1058" s="237" t="str">
        <f t="shared" si="1"/>
        <v>Fora</v>
      </c>
      <c r="J1058" s="239">
        <v>119.00000001071021</v>
      </c>
    </row>
    <row r="1059">
      <c r="A1059" s="234" t="s">
        <v>2753</v>
      </c>
      <c r="B1059" s="234" t="str">
        <f>IFERROR(__xludf.DUMMYFUNCTION("""COMPUTED_VALUE"""),"LM Hub_SP_Mogi Mirim")</f>
        <v>LM Hub_SP_Mogi Mirim</v>
      </c>
      <c r="C1059" s="234" t="str">
        <f>IFERROR(__xludf.DUMMYFUNCTION("""COMPUTED_VALUE"""),"HUB-LSP-37")</f>
        <v>HUB-LSP-37</v>
      </c>
      <c r="D1059" s="234">
        <f>IFERROR(__xludf.DUMMYFUNCTION("""COMPUTED_VALUE"""),41.0)</f>
        <v>41</v>
      </c>
      <c r="E1059" s="237" t="str">
        <f>IFERROR(__xludf.DUMMYFUNCTION("""COMPUTED_VALUE"""),"LT0PBO01SFRJ1")</f>
        <v>LT0PBO01SFRJ1</v>
      </c>
      <c r="F1059" s="238" t="str">
        <f>IFERROR(__xludf.DUMMYFUNCTION("""COMPUTED_VALUE"""),"GES8A28,STT6A13")</f>
        <v>GES8A28,STT6A13</v>
      </c>
      <c r="G1059" s="238">
        <f>IFERROR(__xludf.DUMMYFUNCTION("""COMPUTED_VALUE"""),45985.959027777775)</f>
        <v>45985.95903</v>
      </c>
      <c r="H1059" s="238">
        <f>IFERROR(__xludf.DUMMYFUNCTION("""COMPUTED_VALUE"""),45986.04166666667)</f>
        <v>45986.04167</v>
      </c>
      <c r="I1059" s="237" t="str">
        <f t="shared" si="1"/>
        <v>Fora</v>
      </c>
      <c r="J1059" s="239">
        <v>119.99999999301508</v>
      </c>
    </row>
    <row r="1060">
      <c r="A1060" s="234" t="s">
        <v>2754</v>
      </c>
      <c r="B1060" s="234" t="str">
        <f>IFERROR(__xludf.DUMMYFUNCTION("""COMPUTED_VALUE"""),"LM Hub_SP_Araraquara")</f>
        <v>LM Hub_SP_Araraquara</v>
      </c>
      <c r="C1060" s="234" t="str">
        <f>IFERROR(__xludf.DUMMYFUNCTION("""COMPUTED_VALUE"""),"HUB-LSP-29")</f>
        <v>HUB-LSP-29</v>
      </c>
      <c r="D1060" s="234">
        <f>IFERROR(__xludf.DUMMYFUNCTION("""COMPUTED_VALUE"""),38.0)</f>
        <v>38</v>
      </c>
      <c r="E1060" s="237" t="str">
        <f>IFERROR(__xludf.DUMMYFUNCTION("""COMPUTED_VALUE"""),"LT0PBO01SFRP1")</f>
        <v>LT0PBO01SFRP1</v>
      </c>
      <c r="F1060" s="238" t="str">
        <f>IFERROR(__xludf.DUMMYFUNCTION("""COMPUTED_VALUE"""),"EWJ2H21")</f>
        <v>EWJ2H21</v>
      </c>
      <c r="G1060" s="238">
        <f>IFERROR(__xludf.DUMMYFUNCTION("""COMPUTED_VALUE"""),45985.97916666667)</f>
        <v>45985.97917</v>
      </c>
      <c r="H1060" s="238">
        <f>IFERROR(__xludf.DUMMYFUNCTION("""COMPUTED_VALUE"""),45986.0625)</f>
        <v>45986.0625</v>
      </c>
      <c r="I1060" s="237" t="str">
        <f t="shared" si="1"/>
        <v>Fora</v>
      </c>
      <c r="J1060" s="239">
        <v>119.99999999301508</v>
      </c>
    </row>
    <row r="1061">
      <c r="A1061" s="234" t="s">
        <v>2755</v>
      </c>
      <c r="B1061" s="234" t="str">
        <f>IFERROR(__xludf.DUMMYFUNCTION("""COMPUTED_VALUE"""),"LM Hub_SP_Atibaia_Ponte_Alta")</f>
        <v>LM Hub_SP_Atibaia_Ponte_Alta</v>
      </c>
      <c r="C1061" s="234" t="str">
        <f>IFERROR(__xludf.DUMMYFUNCTION("""COMPUTED_VALUE"""),"HUB-LSP-87")</f>
        <v>HUB-LSP-87</v>
      </c>
      <c r="D1061" s="234">
        <f>IFERROR(__xludf.DUMMYFUNCTION("""COMPUTED_VALUE"""),12.0)</f>
        <v>12</v>
      </c>
      <c r="E1061" s="237" t="str">
        <f>IFERROR(__xludf.DUMMYFUNCTION("""COMPUTED_VALUE"""),"LT0PBO01SJJT1")</f>
        <v>LT0PBO01SJJT1</v>
      </c>
      <c r="F1061" s="238" t="str">
        <f>IFERROR(__xludf.DUMMYFUNCTION("""COMPUTED_VALUE"""),"CSK3E13,FWK4H07")</f>
        <v>CSK3E13,FWK4H07</v>
      </c>
      <c r="G1061" s="238">
        <f>IFERROR(__xludf.DUMMYFUNCTION("""COMPUTED_VALUE"""),45985.97916666667)</f>
        <v>45985.97917</v>
      </c>
      <c r="H1061" s="238">
        <f>IFERROR(__xludf.DUMMYFUNCTION("""COMPUTED_VALUE"""),45986.0625)</f>
        <v>45986.0625</v>
      </c>
      <c r="I1061" s="237" t="str">
        <f t="shared" si="1"/>
        <v>Fora</v>
      </c>
      <c r="J1061" s="239">
        <v>119.00000000023283</v>
      </c>
    </row>
    <row r="1062">
      <c r="A1062" s="234" t="s">
        <v>2756</v>
      </c>
      <c r="B1062" s="234" t="str">
        <f>IFERROR(__xludf.DUMMYFUNCTION("""COMPUTED_VALUE"""),"LM Hub_SP_Várzea Paulista")</f>
        <v>LM Hub_SP_Várzea Paulista</v>
      </c>
      <c r="C1062" s="234" t="str">
        <f>IFERROR(__xludf.DUMMYFUNCTION("""COMPUTED_VALUE"""),"HUB-LSP-61")</f>
        <v>HUB-LSP-61</v>
      </c>
      <c r="D1062" s="234">
        <f>IFERROR(__xludf.DUMMYFUNCTION("""COMPUTED_VALUE"""),39.0)</f>
        <v>39</v>
      </c>
      <c r="E1062" s="237" t="str">
        <f>IFERROR(__xludf.DUMMYFUNCTION("""COMPUTED_VALUE"""),"LT0PBO01SFQR1")</f>
        <v>LT0PBO01SFQR1</v>
      </c>
      <c r="F1062" s="238" t="str">
        <f>IFERROR(__xludf.DUMMYFUNCTION("""COMPUTED_VALUE"""),"DPC1A14,FTC9083")</f>
        <v>DPC1A14,FTC9083</v>
      </c>
      <c r="G1062" s="238">
        <f>IFERROR(__xludf.DUMMYFUNCTION("""COMPUTED_VALUE"""),45985.97986111111)</f>
        <v>45985.97986</v>
      </c>
      <c r="H1062" s="238">
        <f>IFERROR(__xludf.DUMMYFUNCTION("""COMPUTED_VALUE"""),45986.0625)</f>
        <v>45986.0625</v>
      </c>
      <c r="I1062" s="237" t="str">
        <f t="shared" si="1"/>
        <v>Fora</v>
      </c>
      <c r="J1062" s="239">
        <v>119.99999999301508</v>
      </c>
    </row>
    <row r="1063">
      <c r="A1063" s="234" t="s">
        <v>2757</v>
      </c>
      <c r="B1063" s="234" t="str">
        <f>IFERROR(__xludf.DUMMYFUNCTION("""COMPUTED_VALUE"""),"SoC_PE_Jaboatão dos Guararapes")</f>
        <v>SoC_PE_Jaboatão dos Guararapes</v>
      </c>
      <c r="C1063" s="234" t="str">
        <f>IFERROR(__xludf.DUMMYFUNCTION("""COMPUTED_VALUE"""),"SOC-PE2")</f>
        <v>SOC-PE2</v>
      </c>
      <c r="D1063" s="234">
        <f>IFERROR(__xludf.DUMMYFUNCTION("""COMPUTED_VALUE"""),13.0)</f>
        <v>13</v>
      </c>
      <c r="E1063" s="237" t="str">
        <f>IFERROR(__xludf.DUMMYFUNCTION("""COMPUTED_VALUE"""),"LT0PBP01SL6K1")</f>
        <v>LT0PBP01SL6K1</v>
      </c>
      <c r="F1063" s="238" t="str">
        <f>IFERROR(__xludf.DUMMYFUNCTION("""COMPUTED_VALUE"""),"PPO1H72,FDF9D87")</f>
        <v>PPO1H72,FDF9D87</v>
      </c>
      <c r="G1063" s="238">
        <f>IFERROR(__xludf.DUMMYFUNCTION("""COMPUTED_VALUE"""),45986.0)</f>
        <v>45986</v>
      </c>
      <c r="H1063" s="238">
        <f>IFERROR(__xludf.DUMMYFUNCTION("""COMPUTED_VALUE"""),45986.08333333333)</f>
        <v>45986.08333</v>
      </c>
      <c r="I1063" s="237" t="str">
        <f t="shared" si="1"/>
        <v>Fora</v>
      </c>
      <c r="J1063" s="239">
        <v>119.99999999301508</v>
      </c>
    </row>
    <row r="1064">
      <c r="A1064" s="234" t="s">
        <v>2758</v>
      </c>
      <c r="B1064" s="234" t="str">
        <f>IFERROR(__xludf.DUMMYFUNCTION("""COMPUTED_VALUE"""),"SoC_PR_Curitiba")</f>
        <v>SoC_PR_Curitiba</v>
      </c>
      <c r="C1064" s="234" t="str">
        <f>IFERROR(__xludf.DUMMYFUNCTION("""COMPUTED_VALUE"""),"SOC-PR1")</f>
        <v>SOC-PR1</v>
      </c>
      <c r="D1064" s="234">
        <f>IFERROR(__xludf.DUMMYFUNCTION("""COMPUTED_VALUE"""),32.0)</f>
        <v>32</v>
      </c>
      <c r="E1064" s="237" t="str">
        <f>IFERROR(__xludf.DUMMYFUNCTION("""COMPUTED_VALUE"""),"LT0PBP01SFKN1")</f>
        <v>LT0PBP01SFKN1</v>
      </c>
      <c r="F1064" s="238" t="str">
        <f>IFERROR(__xludf.DUMMYFUNCTION("""COMPUTED_VALUE"""),"FQJ8B01,TLG8D55")</f>
        <v>FQJ8B01,TLG8D55</v>
      </c>
      <c r="G1064" s="238">
        <f>IFERROR(__xludf.DUMMYFUNCTION("""COMPUTED_VALUE"""),45986.0)</f>
        <v>45986</v>
      </c>
      <c r="H1064" s="238">
        <f>IFERROR(__xludf.DUMMYFUNCTION("""COMPUTED_VALUE"""),45986.08333333333)</f>
        <v>45986.08333</v>
      </c>
      <c r="I1064" s="237" t="str">
        <f t="shared" si="1"/>
        <v>Fora</v>
      </c>
      <c r="J1064" s="239">
        <v>120.00000001396984</v>
      </c>
    </row>
    <row r="1065">
      <c r="A1065" s="234" t="s">
        <v>2759</v>
      </c>
      <c r="B1065" s="234" t="str">
        <f>IFERROR(__xludf.DUMMYFUNCTION("""COMPUTED_VALUE"""),"LM Hub_MG_Varginha_Fausto")</f>
        <v>LM Hub_MG_Varginha_Fausto</v>
      </c>
      <c r="C1065" s="234" t="str">
        <f>IFERROR(__xludf.DUMMYFUNCTION("""COMPUTED_VALUE"""),"HUB-LMG-45")</f>
        <v>HUB-LMG-45</v>
      </c>
      <c r="D1065" s="234">
        <f>IFERROR(__xludf.DUMMYFUNCTION("""COMPUTED_VALUE"""),14.0)</f>
        <v>14</v>
      </c>
      <c r="E1065" s="237" t="str">
        <f>IFERROR(__xludf.DUMMYFUNCTION("""COMPUTED_VALUE"""),"LT0PBP01SKY51")</f>
        <v>LT0PBP01SKY51</v>
      </c>
      <c r="F1065" s="238" t="str">
        <f>IFERROR(__xludf.DUMMYFUNCTION("""COMPUTED_VALUE"""),"EZP2D49")</f>
        <v>EZP2D49</v>
      </c>
      <c r="G1065" s="238">
        <f>IFERROR(__xludf.DUMMYFUNCTION("""COMPUTED_VALUE"""),45986.02083333333)</f>
        <v>45986.02083</v>
      </c>
      <c r="H1065" s="238">
        <f>IFERROR(__xludf.DUMMYFUNCTION("""COMPUTED_VALUE"""),45986.10416666667)</f>
        <v>45986.10417</v>
      </c>
      <c r="I1065" s="237" t="str">
        <f t="shared" si="1"/>
        <v>Fora</v>
      </c>
      <c r="J1065" s="239">
        <v>119.99999999301508</v>
      </c>
    </row>
    <row r="1066">
      <c r="A1066" s="234" t="s">
        <v>2760</v>
      </c>
      <c r="B1066" s="234" t="str">
        <f>IFERROR(__xludf.DUMMYFUNCTION("""COMPUTED_VALUE"""),"SoC_BA_Simoes Filho")</f>
        <v>SoC_BA_Simoes Filho</v>
      </c>
      <c r="C1066" s="234" t="str">
        <f>IFERROR(__xludf.DUMMYFUNCTION("""COMPUTED_VALUE"""),"SOC-BA2")</f>
        <v>SOC-BA2</v>
      </c>
      <c r="D1066" s="234">
        <f>IFERROR(__xludf.DUMMYFUNCTION("""COMPUTED_VALUE"""),43.0)</f>
        <v>43</v>
      </c>
      <c r="E1066" s="237" t="str">
        <f>IFERROR(__xludf.DUMMYFUNCTION("""COMPUTED_VALUE"""),"LT1PBP01STUR1")</f>
        <v>LT1PBP01STUR1</v>
      </c>
      <c r="F1066" s="238" t="str">
        <f>IFERROR(__xludf.DUMMYFUNCTION("""COMPUTED_VALUE"""),"FPQ8H50,FYU2I00")</f>
        <v>FPQ8H50,FYU2I00</v>
      </c>
      <c r="G1066" s="238">
        <f>IFERROR(__xludf.DUMMYFUNCTION("""COMPUTED_VALUE"""),45986.04166666667)</f>
        <v>45986.04167</v>
      </c>
      <c r="H1066" s="238">
        <f>IFERROR(__xludf.DUMMYFUNCTION("""COMPUTED_VALUE"""),45986.125)</f>
        <v>45986.125</v>
      </c>
      <c r="I1066" s="237" t="str">
        <f t="shared" si="1"/>
        <v>Fora</v>
      </c>
      <c r="J1066" s="239">
        <v>119.99999999301508</v>
      </c>
    </row>
    <row r="1067">
      <c r="A1067" s="234" t="s">
        <v>2761</v>
      </c>
      <c r="B1067" s="234" t="str">
        <f>IFERROR(__xludf.DUMMYFUNCTION("""COMPUTED_VALUE"""),"SoC_SC_Itajaí")</f>
        <v>SoC_SC_Itajaí</v>
      </c>
      <c r="C1067" s="234" t="str">
        <f>IFERROR(__xludf.DUMMYFUNCTION("""COMPUTED_VALUE"""),"SOC-SC1")</f>
        <v>SOC-SC1</v>
      </c>
      <c r="D1067" s="234">
        <f>IFERROR(__xludf.DUMMYFUNCTION("""COMPUTED_VALUE"""),26.0)</f>
        <v>26</v>
      </c>
      <c r="E1067" s="237" t="str">
        <f>IFERROR(__xludf.DUMMYFUNCTION("""COMPUTED_VALUE"""),"LT0PBP01SK9G1")</f>
        <v>LT0PBP01SK9G1</v>
      </c>
      <c r="F1067" s="238" t="str">
        <f>IFERROR(__xludf.DUMMYFUNCTION("""COMPUTED_VALUE"""),"RLF4B54,RYH0J55")</f>
        <v>RLF4B54,RYH0J55</v>
      </c>
      <c r="G1067" s="238">
        <f>IFERROR(__xludf.DUMMYFUNCTION("""COMPUTED_VALUE"""),45986.04166666667)</f>
        <v>45986.04167</v>
      </c>
      <c r="H1067" s="238">
        <f>IFERROR(__xludf.DUMMYFUNCTION("""COMPUTED_VALUE"""),45986.125)</f>
        <v>45986.125</v>
      </c>
      <c r="I1067" s="237" t="str">
        <f t="shared" si="1"/>
        <v>Fora</v>
      </c>
      <c r="J1067" s="239">
        <v>119.99999999301508</v>
      </c>
    </row>
    <row r="1068">
      <c r="A1068" s="234" t="s">
        <v>2762</v>
      </c>
      <c r="B1068" s="234" t="str">
        <f>IFERROR(__xludf.DUMMYFUNCTION("""COMPUTED_VALUE"""),"SoC_SP_Louveira")</f>
        <v>SoC_SP_Louveira</v>
      </c>
      <c r="C1068" s="234" t="str">
        <f>IFERROR(__xludf.DUMMYFUNCTION("""COMPUTED_VALUE"""),"SOC-SP7")</f>
        <v>SOC-SP7</v>
      </c>
      <c r="D1068" s="234"/>
      <c r="E1068" s="237" t="str">
        <f>IFERROR(__xludf.DUMMYFUNCTION("""COMPUTED_VALUE"""),"LT1PBP01STUH1")</f>
        <v>LT1PBP01STUH1</v>
      </c>
      <c r="F1068" s="238" t="str">
        <f>IFERROR(__xludf.DUMMYFUNCTION("""COMPUTED_VALUE"""),"FQV7E24,EFU9D57")</f>
        <v>FQV7E24,EFU9D57</v>
      </c>
      <c r="G1068" s="238">
        <f>IFERROR(__xludf.DUMMYFUNCTION("""COMPUTED_VALUE"""),45986.04166666667)</f>
        <v>45986.04167</v>
      </c>
      <c r="H1068" s="238">
        <f>IFERROR(__xludf.DUMMYFUNCTION("""COMPUTED_VALUE"""),45986.125)</f>
        <v>45986.125</v>
      </c>
      <c r="I1068" s="237" t="str">
        <f t="shared" si="1"/>
        <v>Fora</v>
      </c>
      <c r="J1068" s="239">
        <v>120.00000001396984</v>
      </c>
    </row>
    <row r="1069">
      <c r="A1069" s="234" t="s">
        <v>2763</v>
      </c>
      <c r="B1069" s="234" t="str">
        <f>IFERROR(__xludf.DUMMYFUNCTION("""COMPUTED_VALUE"""),"LM Hub_SP_Tatuí")</f>
        <v>LM Hub_SP_Tatuí</v>
      </c>
      <c r="C1069" s="234" t="str">
        <f>IFERROR(__xludf.DUMMYFUNCTION("""COMPUTED_VALUE"""),"HUB-LSP-51")</f>
        <v>HUB-LSP-51</v>
      </c>
      <c r="D1069" s="234">
        <f>IFERROR(__xludf.DUMMYFUNCTION("""COMPUTED_VALUE"""),9.0)</f>
        <v>9</v>
      </c>
      <c r="E1069" s="237" t="str">
        <f>IFERROR(__xludf.DUMMYFUNCTION("""COMPUTED_VALUE"""),"LT0PBP01SFOK1")</f>
        <v>LT0PBP01SFOK1</v>
      </c>
      <c r="F1069" s="238" t="str">
        <f>IFERROR(__xludf.DUMMYFUNCTION("""COMPUTED_VALUE"""),"TAJ5D56")</f>
        <v>TAJ5D56</v>
      </c>
      <c r="G1069" s="238">
        <f>IFERROR(__xludf.DUMMYFUNCTION("""COMPUTED_VALUE"""),45986.08333333333)</f>
        <v>45986.08333</v>
      </c>
      <c r="H1069" s="238">
        <f>IFERROR(__xludf.DUMMYFUNCTION("""COMPUTED_VALUE"""),45986.16666666667)</f>
        <v>45986.16667</v>
      </c>
      <c r="I1069" s="237" t="str">
        <f t="shared" si="1"/>
        <v>Fora</v>
      </c>
      <c r="J1069" s="239">
        <v>120.00000001396984</v>
      </c>
    </row>
    <row r="1070">
      <c r="A1070" s="234" t="s">
        <v>2764</v>
      </c>
      <c r="B1070" s="234" t="str">
        <f>IFERROR(__xludf.DUMMYFUNCTION("""COMPUTED_VALUE"""),"SoC_BA_Simoes Filho")</f>
        <v>SoC_BA_Simoes Filho</v>
      </c>
      <c r="C1070" s="234" t="str">
        <f>IFERROR(__xludf.DUMMYFUNCTION("""COMPUTED_VALUE"""),"SOC-BA2")</f>
        <v>SOC-BA2</v>
      </c>
      <c r="D1070" s="234">
        <f>IFERROR(__xludf.DUMMYFUNCTION("""COMPUTED_VALUE"""),88.0)</f>
        <v>88</v>
      </c>
      <c r="E1070" s="237" t="str">
        <f>IFERROR(__xludf.DUMMYFUNCTION("""COMPUTED_VALUE"""),"LT0PBO01SLAA1")</f>
        <v>LT0PBO01SLAA1</v>
      </c>
      <c r="F1070" s="238" t="str">
        <f>IFERROR(__xludf.DUMMYFUNCTION("""COMPUTED_VALUE"""),"TXP9H25,TXR5J81")</f>
        <v>TXP9H25,TXR5J81</v>
      </c>
      <c r="G1070" s="238">
        <f>IFERROR(__xludf.DUMMYFUNCTION("""COMPUTED_VALUE"""),45986.08333333333)</f>
        <v>45986.08333</v>
      </c>
      <c r="H1070" s="238">
        <f>IFERROR(__xludf.DUMMYFUNCTION("""COMPUTED_VALUE"""),45986.16666666667)</f>
        <v>45986.16667</v>
      </c>
      <c r="I1070" s="237" t="str">
        <f t="shared" si="1"/>
        <v>Fora</v>
      </c>
      <c r="J1070" s="239">
        <v>120.00000001396984</v>
      </c>
    </row>
    <row r="1071">
      <c r="A1071" s="234" t="s">
        <v>2765</v>
      </c>
      <c r="B1071" s="234" t="str">
        <f>IFERROR(__xludf.DUMMYFUNCTION("""COMPUTED_VALUE"""),"SoC_PE_Jaboatão dos Guararapes")</f>
        <v>SoC_PE_Jaboatão dos Guararapes</v>
      </c>
      <c r="C1071" s="234" t="str">
        <f>IFERROR(__xludf.DUMMYFUNCTION("""COMPUTED_VALUE"""),"SOC-PE2")</f>
        <v>SOC-PE2</v>
      </c>
      <c r="D1071" s="234">
        <f>IFERROR(__xludf.DUMMYFUNCTION("""COMPUTED_VALUE"""),21.0)</f>
        <v>21</v>
      </c>
      <c r="E1071" s="237" t="str">
        <f>IFERROR(__xludf.DUMMYFUNCTION("""COMPUTED_VALUE"""),"LT1PBP01SUNI1")</f>
        <v>LT1PBP01SUNI1</v>
      </c>
      <c r="F1071" s="238" t="str">
        <f>IFERROR(__xludf.DUMMYFUNCTION("""COMPUTED_VALUE"""),"HJA1302,PZK6I49")</f>
        <v>HJA1302,PZK6I49</v>
      </c>
      <c r="G1071" s="238">
        <f>IFERROR(__xludf.DUMMYFUNCTION("""COMPUTED_VALUE"""),45986.08333333333)</f>
        <v>45986.08333</v>
      </c>
      <c r="H1071" s="238">
        <f>IFERROR(__xludf.DUMMYFUNCTION("""COMPUTED_VALUE"""),45986.16666666667)</f>
        <v>45986.16667</v>
      </c>
      <c r="I1071" s="237" t="str">
        <f t="shared" si="1"/>
        <v>Fora</v>
      </c>
      <c r="J1071" s="239">
        <v>120.00000001396984</v>
      </c>
    </row>
    <row r="1072">
      <c r="A1072" s="234" t="s">
        <v>2766</v>
      </c>
      <c r="B1072" s="234" t="str">
        <f>IFERROR(__xludf.DUMMYFUNCTION("""COMPUTED_VALUE"""),"SoC_PR_Curitiba")</f>
        <v>SoC_PR_Curitiba</v>
      </c>
      <c r="C1072" s="234" t="str">
        <f>IFERROR(__xludf.DUMMYFUNCTION("""COMPUTED_VALUE"""),"SOC-PR1")</f>
        <v>SOC-PR1</v>
      </c>
      <c r="D1072" s="234">
        <f>IFERROR(__xludf.DUMMYFUNCTION("""COMPUTED_VALUE"""),34.0)</f>
        <v>34</v>
      </c>
      <c r="E1072" s="237" t="str">
        <f>IFERROR(__xludf.DUMMYFUNCTION("""COMPUTED_VALUE"""),"LT1PBP01SUNJ1")</f>
        <v>LT1PBP01SUNJ1</v>
      </c>
      <c r="F1072" s="238" t="str">
        <f>IFERROR(__xludf.DUMMYFUNCTION("""COMPUTED_VALUE"""),"RXZ5A74,TMH3B57")</f>
        <v>RXZ5A74,TMH3B57</v>
      </c>
      <c r="G1072" s="238">
        <f>IFERROR(__xludf.DUMMYFUNCTION("""COMPUTED_VALUE"""),45986.08333333333)</f>
        <v>45986.08333</v>
      </c>
      <c r="H1072" s="238">
        <f>IFERROR(__xludf.DUMMYFUNCTION("""COMPUTED_VALUE"""),45986.16666666667)</f>
        <v>45986.16667</v>
      </c>
      <c r="I1072" s="237" t="str">
        <f t="shared" si="1"/>
        <v>Fora</v>
      </c>
      <c r="J1072" s="239">
        <v>120.00000001396984</v>
      </c>
    </row>
    <row r="1073">
      <c r="A1073" s="234" t="s">
        <v>2767</v>
      </c>
      <c r="B1073" s="234" t="str">
        <f>IFERROR(__xludf.DUMMYFUNCTION("""COMPUTED_VALUE"""),"SoC_RJ_Duque de Caxias")</f>
        <v>SoC_RJ_Duque de Caxias</v>
      </c>
      <c r="C1073" s="234" t="str">
        <f>IFERROR(__xludf.DUMMYFUNCTION("""COMPUTED_VALUE"""),"SOC-RJ2")</f>
        <v>SOC-RJ2</v>
      </c>
      <c r="D1073" s="234">
        <f>IFERROR(__xludf.DUMMYFUNCTION("""COMPUTED_VALUE"""),47.0)</f>
        <v>47</v>
      </c>
      <c r="E1073" s="237" t="str">
        <f>IFERROR(__xludf.DUMMYFUNCTION("""COMPUTED_VALUE"""),"LT1PBP01STUN1")</f>
        <v>LT1PBP01STUN1</v>
      </c>
      <c r="F1073" s="238" t="str">
        <f>IFERROR(__xludf.DUMMYFUNCTION("""COMPUTED_VALUE"""),"EAG0A81,BAU9E49")</f>
        <v>EAG0A81,BAU9E49</v>
      </c>
      <c r="G1073" s="238">
        <f>IFERROR(__xludf.DUMMYFUNCTION("""COMPUTED_VALUE"""),45986.08333333333)</f>
        <v>45986.08333</v>
      </c>
      <c r="H1073" s="238">
        <f>IFERROR(__xludf.DUMMYFUNCTION("""COMPUTED_VALUE"""),45986.16666666667)</f>
        <v>45986.16667</v>
      </c>
      <c r="I1073" s="237" t="str">
        <f t="shared" si="1"/>
        <v>Fora</v>
      </c>
      <c r="J1073" s="239">
        <v>120.00000001396984</v>
      </c>
    </row>
    <row r="1074">
      <c r="A1074" s="234" t="s">
        <v>2768</v>
      </c>
      <c r="B1074" s="234" t="str">
        <f>IFERROR(__xludf.DUMMYFUNCTION("""COMPUTED_VALUE"""),"SoC_RS_Gravataí_02")</f>
        <v>SoC_RS_Gravataí_02</v>
      </c>
      <c r="C1074" s="234" t="str">
        <f>IFERROR(__xludf.DUMMYFUNCTION("""COMPUTED_VALUE"""),"SOC-RS2")</f>
        <v>SOC-RS2</v>
      </c>
      <c r="D1074" s="234">
        <f>IFERROR(__xludf.DUMMYFUNCTION("""COMPUTED_VALUE"""),24.0)</f>
        <v>24</v>
      </c>
      <c r="E1074" s="237" t="str">
        <f>IFERROR(__xludf.DUMMYFUNCTION("""COMPUTED_VALUE"""),"LT0PBP01SLLF1")</f>
        <v>LT0PBP01SLLF1</v>
      </c>
      <c r="F1074" s="238" t="str">
        <f>IFERROR(__xludf.DUMMYFUNCTION("""COMPUTED_VALUE"""),"CUZ0I01,CUZ3A13")</f>
        <v>CUZ0I01,CUZ3A13</v>
      </c>
      <c r="G1074" s="238">
        <f>IFERROR(__xludf.DUMMYFUNCTION("""COMPUTED_VALUE"""),45986.08333333333)</f>
        <v>45986.08333</v>
      </c>
      <c r="H1074" s="238">
        <f>IFERROR(__xludf.DUMMYFUNCTION("""COMPUTED_VALUE"""),45986.16666666667)</f>
        <v>45986.16667</v>
      </c>
      <c r="I1074" s="237" t="str">
        <f t="shared" si="1"/>
        <v>Fora</v>
      </c>
      <c r="J1074" s="239">
        <v>120.00000001396984</v>
      </c>
    </row>
    <row r="1075">
      <c r="A1075" s="234" t="s">
        <v>2769</v>
      </c>
      <c r="B1075" s="234" t="str">
        <f>IFERROR(__xludf.DUMMYFUNCTION("""COMPUTED_VALUE"""),"SoC_RS_Gravataí_02")</f>
        <v>SoC_RS_Gravataí_02</v>
      </c>
      <c r="C1075" s="234" t="str">
        <f>IFERROR(__xludf.DUMMYFUNCTION("""COMPUTED_VALUE"""),"SOC-RS2")</f>
        <v>SOC-RS2</v>
      </c>
      <c r="D1075" s="234">
        <f>IFERROR(__xludf.DUMMYFUNCTION("""COMPUTED_VALUE"""),23.0)</f>
        <v>23</v>
      </c>
      <c r="E1075" s="237" t="str">
        <f>IFERROR(__xludf.DUMMYFUNCTION("""COMPUTED_VALUE"""),"LT1PBP01STUU1")</f>
        <v>LT1PBP01STUU1</v>
      </c>
      <c r="F1075" s="238" t="str">
        <f>IFERROR(__xludf.DUMMYFUNCTION("""COMPUTED_VALUE"""),"DPB7G81,TKL0E25")</f>
        <v>DPB7G81,TKL0E25</v>
      </c>
      <c r="G1075" s="238">
        <f>IFERROR(__xludf.DUMMYFUNCTION("""COMPUTED_VALUE"""),45986.08333333333)</f>
        <v>45986.08333</v>
      </c>
      <c r="H1075" s="238">
        <f>IFERROR(__xludf.DUMMYFUNCTION("""COMPUTED_VALUE"""),45986.16666666667)</f>
        <v>45986.16667</v>
      </c>
      <c r="I1075" s="237" t="str">
        <f t="shared" si="1"/>
        <v>Fora</v>
      </c>
      <c r="J1075" s="239">
        <v>120.00000001396984</v>
      </c>
    </row>
    <row r="1076">
      <c r="A1076" s="234" t="s">
        <v>2770</v>
      </c>
      <c r="B1076" s="234" t="str">
        <f>IFERROR(__xludf.DUMMYFUNCTION("""COMPUTED_VALUE"""),"SoC_SP_Cravinhos")</f>
        <v>SoC_SP_Cravinhos</v>
      </c>
      <c r="C1076" s="234" t="str">
        <f>IFERROR(__xludf.DUMMYFUNCTION("""COMPUTED_VALUE"""),"SOC-SP5")</f>
        <v>SOC-SP5</v>
      </c>
      <c r="D1076" s="234">
        <f>IFERROR(__xludf.DUMMYFUNCTION("""COMPUTED_VALUE"""),94.0)</f>
        <v>94</v>
      </c>
      <c r="E1076" s="237" t="str">
        <f>IFERROR(__xludf.DUMMYFUNCTION("""COMPUTED_VALUE"""),"LT1PBP01STUJ1")</f>
        <v>LT1PBP01STUJ1</v>
      </c>
      <c r="F1076" s="238" t="str">
        <f>IFERROR(__xludf.DUMMYFUNCTION("""COMPUTED_VALUE"""),"GEF1J05,GJR8B25")</f>
        <v>GEF1J05,GJR8B25</v>
      </c>
      <c r="G1076" s="238">
        <f>IFERROR(__xludf.DUMMYFUNCTION("""COMPUTED_VALUE"""),45986.08333333333)</f>
        <v>45986.08333</v>
      </c>
      <c r="H1076" s="238">
        <f>IFERROR(__xludf.DUMMYFUNCTION("""COMPUTED_VALUE"""),45986.16666666667)</f>
        <v>45986.16667</v>
      </c>
      <c r="I1076" s="237" t="str">
        <f t="shared" si="1"/>
        <v>Fora</v>
      </c>
      <c r="J1076" s="239">
        <v>119.00000001071021</v>
      </c>
    </row>
    <row r="1077">
      <c r="A1077" s="234" t="s">
        <v>2771</v>
      </c>
      <c r="B1077" s="234" t="str">
        <f>IFERROR(__xludf.DUMMYFUNCTION("""COMPUTED_VALUE"""),"LM Hub_SP_Tatuí")</f>
        <v>LM Hub_SP_Tatuí</v>
      </c>
      <c r="C1077" s="234" t="str">
        <f>IFERROR(__xludf.DUMMYFUNCTION("""COMPUTED_VALUE"""),"HUB-LSP-51")</f>
        <v>HUB-LSP-51</v>
      </c>
      <c r="D1077" s="234">
        <f>IFERROR(__xludf.DUMMYFUNCTION("""COMPUTED_VALUE"""),7.0)</f>
        <v>7</v>
      </c>
      <c r="E1077" s="237" t="str">
        <f>IFERROR(__xludf.DUMMYFUNCTION("""COMPUTED_VALUE"""),"LT0PBP01SFOF1")</f>
        <v>LT0PBP01SFOF1</v>
      </c>
      <c r="F1077" s="238" t="str">
        <f>IFERROR(__xludf.DUMMYFUNCTION("""COMPUTED_VALUE"""),"TLE4D84")</f>
        <v>TLE4D84</v>
      </c>
      <c r="G1077" s="238">
        <f>IFERROR(__xludf.DUMMYFUNCTION("""COMPUTED_VALUE"""),45986.084027777775)</f>
        <v>45986.08403</v>
      </c>
      <c r="H1077" s="238">
        <f>IFERROR(__xludf.DUMMYFUNCTION("""COMPUTED_VALUE"""),45986.16666666667)</f>
        <v>45986.16667</v>
      </c>
      <c r="I1077" s="237" t="str">
        <f t="shared" si="1"/>
        <v>Fora</v>
      </c>
      <c r="J1077" s="239">
        <v>119.00000001071021</v>
      </c>
    </row>
    <row r="1078">
      <c r="A1078" s="234" t="s">
        <v>2772</v>
      </c>
      <c r="B1078" s="234" t="str">
        <f>IFERROR(__xludf.DUMMYFUNCTION("""COMPUTED_VALUE"""),"SoC_GO_Goiânia_02")</f>
        <v>SoC_GO_Goiânia_02</v>
      </c>
      <c r="C1078" s="234" t="str">
        <f>IFERROR(__xludf.DUMMYFUNCTION("""COMPUTED_VALUE"""),"SOC-GO2")</f>
        <v>SOC-GO2</v>
      </c>
      <c r="D1078" s="234">
        <f>IFERROR(__xludf.DUMMYFUNCTION("""COMPUTED_VALUE"""),44.0)</f>
        <v>44</v>
      </c>
      <c r="E1078" s="237" t="str">
        <f>IFERROR(__xludf.DUMMYFUNCTION("""COMPUTED_VALUE"""),"LT0PBP01SLIM1")</f>
        <v>LT0PBP01SLIM1</v>
      </c>
      <c r="F1078" s="238" t="str">
        <f>IFERROR(__xludf.DUMMYFUNCTION("""COMPUTED_VALUE"""),"QJN3J58,TJM9G80")</f>
        <v>QJN3J58,TJM9G80</v>
      </c>
      <c r="G1078" s="238">
        <f>IFERROR(__xludf.DUMMYFUNCTION("""COMPUTED_VALUE"""),45986.084027777775)</f>
        <v>45986.08403</v>
      </c>
      <c r="H1078" s="238">
        <f>IFERROR(__xludf.DUMMYFUNCTION("""COMPUTED_VALUE"""),45986.16666666667)</f>
        <v>45986.16667</v>
      </c>
      <c r="I1078" s="237" t="str">
        <f t="shared" si="1"/>
        <v>Fora</v>
      </c>
      <c r="J1078" s="239">
        <v>119.99999999301508</v>
      </c>
    </row>
    <row r="1079">
      <c r="A1079" s="234" t="s">
        <v>2773</v>
      </c>
      <c r="B1079" s="234" t="str">
        <f>IFERROR(__xludf.DUMMYFUNCTION("""COMPUTED_VALUE"""),"LM Hub_SP_Itapetininga")</f>
        <v>LM Hub_SP_Itapetininga</v>
      </c>
      <c r="C1079" s="234" t="str">
        <f>IFERROR(__xludf.DUMMYFUNCTION("""COMPUTED_VALUE"""),"HUB-LSP-53")</f>
        <v>HUB-LSP-53</v>
      </c>
      <c r="D1079" s="234">
        <f>IFERROR(__xludf.DUMMYFUNCTION("""COMPUTED_VALUE"""),46.0)</f>
        <v>46</v>
      </c>
      <c r="E1079" s="237" t="str">
        <f>IFERROR(__xludf.DUMMYFUNCTION("""COMPUTED_VALUE"""),"LT0PBP01SFOA1")</f>
        <v>LT0PBP01SFOA1</v>
      </c>
      <c r="F1079" s="238" t="str">
        <f>IFERROR(__xludf.DUMMYFUNCTION("""COMPUTED_VALUE"""),"FZY3F48,FZY3F40")</f>
        <v>FZY3F48,FZY3F40</v>
      </c>
      <c r="G1079" s="238">
        <f>IFERROR(__xludf.DUMMYFUNCTION("""COMPUTED_VALUE"""),45986.10416666667)</f>
        <v>45986.10417</v>
      </c>
      <c r="H1079" s="238">
        <f>IFERROR(__xludf.DUMMYFUNCTION("""COMPUTED_VALUE"""),45986.1875)</f>
        <v>45986.1875</v>
      </c>
      <c r="I1079" s="237" t="str">
        <f t="shared" si="1"/>
        <v>Fora</v>
      </c>
      <c r="J1079" s="239">
        <v>119.99999999301508</v>
      </c>
    </row>
    <row r="1080">
      <c r="A1080" s="234" t="s">
        <v>2774</v>
      </c>
      <c r="B1080" s="234" t="str">
        <f>IFERROR(__xludf.DUMMYFUNCTION("""COMPUTED_VALUE"""),"LM Hub_SP_São Carlos")</f>
        <v>LM Hub_SP_São Carlos</v>
      </c>
      <c r="C1080" s="234" t="str">
        <f>IFERROR(__xludf.DUMMYFUNCTION("""COMPUTED_VALUE"""),"HUB-LSP-31")</f>
        <v>HUB-LSP-31</v>
      </c>
      <c r="D1080" s="234">
        <f>IFERROR(__xludf.DUMMYFUNCTION("""COMPUTED_VALUE"""),36.0)</f>
        <v>36</v>
      </c>
      <c r="E1080" s="237" t="str">
        <f>IFERROR(__xludf.DUMMYFUNCTION("""COMPUTED_VALUE"""),"LT0PBP01SFR21")</f>
        <v>LT0PBP01SFR21</v>
      </c>
      <c r="F1080" s="238" t="str">
        <f>IFERROR(__xludf.DUMMYFUNCTION("""COMPUTED_VALUE"""),"FZQ1I50")</f>
        <v>FZQ1I50</v>
      </c>
      <c r="G1080" s="238">
        <f>IFERROR(__xludf.DUMMYFUNCTION("""COMPUTED_VALUE"""),45986.10416666667)</f>
        <v>45986.10417</v>
      </c>
      <c r="H1080" s="238">
        <f>IFERROR(__xludf.DUMMYFUNCTION("""COMPUTED_VALUE"""),45986.1875)</f>
        <v>45986.1875</v>
      </c>
      <c r="I1080" s="237" t="str">
        <f t="shared" si="1"/>
        <v>Fora</v>
      </c>
      <c r="J1080" s="239">
        <v>419.99999998603016</v>
      </c>
    </row>
    <row r="1081">
      <c r="A1081" s="234" t="s">
        <v>2775</v>
      </c>
      <c r="B1081" s="234" t="str">
        <f>IFERROR(__xludf.DUMMYFUNCTION("""COMPUTED_VALUE"""),"SoC_BA_Simoes Filho")</f>
        <v>SoC_BA_Simoes Filho</v>
      </c>
      <c r="C1081" s="234" t="str">
        <f>IFERROR(__xludf.DUMMYFUNCTION("""COMPUTED_VALUE"""),"SOC-BA2")</f>
        <v>SOC-BA2</v>
      </c>
      <c r="D1081" s="234"/>
      <c r="E1081" s="237" t="str">
        <f>IFERROR(__xludf.DUMMYFUNCTION("""COMPUTED_VALUE"""),"LT0PBO01SL9W2")</f>
        <v>LT0PBO01SL9W2</v>
      </c>
      <c r="F1081" s="238" t="str">
        <f>IFERROR(__xludf.DUMMYFUNCTION("""COMPUTED_VALUE"""),"FJR2F64,RMU1F15")</f>
        <v>FJR2F64,RMU1F15</v>
      </c>
      <c r="G1081" s="238">
        <f>IFERROR(__xludf.DUMMYFUNCTION("""COMPUTED_VALUE"""),45985.91666666667)</f>
        <v>45985.91667</v>
      </c>
      <c r="H1081" s="238">
        <f>IFERROR(__xludf.DUMMYFUNCTION("""COMPUTED_VALUE"""),45986.20833333333)</f>
        <v>45986.20833</v>
      </c>
      <c r="I1081" s="237" t="str">
        <f t="shared" si="1"/>
        <v>Fora</v>
      </c>
      <c r="J1081" s="239">
        <v>180.0</v>
      </c>
    </row>
    <row r="1082">
      <c r="A1082" s="234" t="s">
        <v>2776</v>
      </c>
      <c r="B1082" s="234" t="str">
        <f>IFERROR(__xludf.DUMMYFUNCTION("""COMPUTED_VALUE"""),"SoC_SP_Santana")</f>
        <v>SoC_SP_Santana</v>
      </c>
      <c r="C1082" s="234" t="str">
        <f>IFERROR(__xludf.DUMMYFUNCTION("""COMPUTED_VALUE"""),"SOC-SP2")</f>
        <v>SOC-SP2</v>
      </c>
      <c r="D1082" s="234">
        <f>IFERROR(__xludf.DUMMYFUNCTION("""COMPUTED_VALUE"""),33.0)</f>
        <v>33</v>
      </c>
      <c r="E1082" s="237" t="str">
        <f>IFERROR(__xludf.DUMMYFUNCTION("""COMPUTED_VALUE"""),"LT0PBP01SG3T1")</f>
        <v>LT0PBP01SG3T1</v>
      </c>
      <c r="F1082" s="238" t="str">
        <f>IFERROR(__xludf.DUMMYFUNCTION("""COMPUTED_VALUE"""),"NFG8B11,GDP0B86")</f>
        <v>NFG8B11,GDP0B86</v>
      </c>
      <c r="G1082" s="238">
        <f>IFERROR(__xludf.DUMMYFUNCTION("""COMPUTED_VALUE"""),45986.08333333333)</f>
        <v>45986.08333</v>
      </c>
      <c r="H1082" s="238">
        <f>IFERROR(__xludf.DUMMYFUNCTION("""COMPUTED_VALUE"""),45986.20833333333)</f>
        <v>45986.20833</v>
      </c>
      <c r="I1082" s="237" t="str">
        <f t="shared" si="1"/>
        <v>Fora</v>
      </c>
      <c r="J1082" s="239">
        <v>119.99999999301508</v>
      </c>
    </row>
    <row r="1083">
      <c r="A1083" s="234" t="s">
        <v>2777</v>
      </c>
      <c r="B1083" s="234" t="str">
        <f>IFERROR(__xludf.DUMMYFUNCTION("""COMPUTED_VALUE"""),"LM Hub_SP_Itapeva")</f>
        <v>LM Hub_SP_Itapeva</v>
      </c>
      <c r="C1083" s="234" t="str">
        <f>IFERROR(__xludf.DUMMYFUNCTION("""COMPUTED_VALUE"""),"HUB-LSP-39")</f>
        <v>HUB-LSP-39</v>
      </c>
      <c r="D1083" s="234">
        <f>IFERROR(__xludf.DUMMYFUNCTION("""COMPUTED_VALUE"""),12.0)</f>
        <v>12</v>
      </c>
      <c r="E1083" s="237" t="str">
        <f>IFERROR(__xludf.DUMMYFUNCTION("""COMPUTED_VALUE"""),"LT0PBP01SFOL1")</f>
        <v>LT0PBP01SFOL1</v>
      </c>
      <c r="F1083" s="238" t="str">
        <f>IFERROR(__xludf.DUMMYFUNCTION("""COMPUTED_VALUE"""),"DTC3E38")</f>
        <v>DTC3E38</v>
      </c>
      <c r="G1083" s="238">
        <f>IFERROR(__xludf.DUMMYFUNCTION("""COMPUTED_VALUE"""),45986.125)</f>
        <v>45986.125</v>
      </c>
      <c r="H1083" s="238">
        <f>IFERROR(__xludf.DUMMYFUNCTION("""COMPUTED_VALUE"""),45986.20833333333)</f>
        <v>45986.20833</v>
      </c>
      <c r="I1083" s="237" t="str">
        <f t="shared" si="1"/>
        <v>Fora</v>
      </c>
      <c r="J1083" s="239">
        <v>119.99999999301508</v>
      </c>
    </row>
    <row r="1084">
      <c r="A1084" s="234" t="s">
        <v>2778</v>
      </c>
      <c r="B1084" s="234" t="str">
        <f>IFERROR(__xludf.DUMMYFUNCTION("""COMPUTED_VALUE"""),"LM Hub_SP_Registro")</f>
        <v>LM Hub_SP_Registro</v>
      </c>
      <c r="C1084" s="234" t="str">
        <f>IFERROR(__xludf.DUMMYFUNCTION("""COMPUTED_VALUE"""),"HUB-LSP-40")</f>
        <v>HUB-LSP-40</v>
      </c>
      <c r="D1084" s="234">
        <f>IFERROR(__xludf.DUMMYFUNCTION("""COMPUTED_VALUE"""),15.0)</f>
        <v>15</v>
      </c>
      <c r="E1084" s="237" t="str">
        <f>IFERROR(__xludf.DUMMYFUNCTION("""COMPUTED_VALUE"""),"LT0PBP01SFP61")</f>
        <v>LT0PBP01SFP61</v>
      </c>
      <c r="F1084" s="238" t="str">
        <f>IFERROR(__xludf.DUMMYFUNCTION("""COMPUTED_VALUE"""),"FSV9B90")</f>
        <v>FSV9B90</v>
      </c>
      <c r="G1084" s="238">
        <f>IFERROR(__xludf.DUMMYFUNCTION("""COMPUTED_VALUE"""),45986.125)</f>
        <v>45986.125</v>
      </c>
      <c r="H1084" s="238">
        <f>IFERROR(__xludf.DUMMYFUNCTION("""COMPUTED_VALUE"""),45986.20833333333)</f>
        <v>45986.20833</v>
      </c>
      <c r="I1084" s="237" t="str">
        <f t="shared" si="1"/>
        <v>Fora</v>
      </c>
      <c r="J1084" s="239">
        <v>119.99999999301508</v>
      </c>
    </row>
    <row r="1085">
      <c r="A1085" s="234" t="s">
        <v>2779</v>
      </c>
      <c r="B1085" s="234" t="str">
        <f>IFERROR(__xludf.DUMMYFUNCTION("""COMPUTED_VALUE"""),"LM Hub_SP_Sumaré_Nova Veneza_1")</f>
        <v>LM Hub_SP_Sumaré_Nova Veneza_1</v>
      </c>
      <c r="C1085" s="234" t="str">
        <f>IFERROR(__xludf.DUMMYFUNCTION("""COMPUTED_VALUE"""),"HUB-LSP-88")</f>
        <v>HUB-LSP-88</v>
      </c>
      <c r="D1085" s="234">
        <f>IFERROR(__xludf.DUMMYFUNCTION("""COMPUTED_VALUE"""),45.0)</f>
        <v>45</v>
      </c>
      <c r="E1085" s="237" t="str">
        <f>IFERROR(__xludf.DUMMYFUNCTION("""COMPUTED_VALUE"""),"LT0PBP01SKUA1")</f>
        <v>LT0PBP01SKUA1</v>
      </c>
      <c r="F1085" s="238" t="str">
        <f>IFERROR(__xludf.DUMMYFUNCTION("""COMPUTED_VALUE"""),"TLW1F27")</f>
        <v>TLW1F27</v>
      </c>
      <c r="G1085" s="238">
        <f>IFERROR(__xludf.DUMMYFUNCTION("""COMPUTED_VALUE"""),45986.125)</f>
        <v>45986.125</v>
      </c>
      <c r="H1085" s="238">
        <f>IFERROR(__xludf.DUMMYFUNCTION("""COMPUTED_VALUE"""),45986.20833333333)</f>
        <v>45986.20833</v>
      </c>
      <c r="I1085" s="237" t="str">
        <f t="shared" si="1"/>
        <v>Fora</v>
      </c>
      <c r="J1085" s="239">
        <v>119.99999999301508</v>
      </c>
    </row>
    <row r="1086">
      <c r="A1086" s="234" t="s">
        <v>2780</v>
      </c>
      <c r="B1086" s="234" t="str">
        <f>IFERROR(__xludf.DUMMYFUNCTION("""COMPUTED_VALUE"""),"SoC_BA_Simoes Filho")</f>
        <v>SoC_BA_Simoes Filho</v>
      </c>
      <c r="C1086" s="234" t="str">
        <f>IFERROR(__xludf.DUMMYFUNCTION("""COMPUTED_VALUE"""),"SOC-BA2")</f>
        <v>SOC-BA2</v>
      </c>
      <c r="D1086" s="234">
        <f>IFERROR(__xludf.DUMMYFUNCTION("""COMPUTED_VALUE"""),35.0)</f>
        <v>35</v>
      </c>
      <c r="E1086" s="237" t="str">
        <f>IFERROR(__xludf.DUMMYFUNCTION("""COMPUTED_VALUE"""),"LT1PBP01STUS1")</f>
        <v>LT1PBP01STUS1</v>
      </c>
      <c r="F1086" s="238" t="str">
        <f>IFERROR(__xludf.DUMMYFUNCTION("""COMPUTED_VALUE"""),"SDW9F26,SXH1B30")</f>
        <v>SDW9F26,SXH1B30</v>
      </c>
      <c r="G1086" s="238">
        <f>IFERROR(__xludf.DUMMYFUNCTION("""COMPUTED_VALUE"""),45986.125)</f>
        <v>45986.125</v>
      </c>
      <c r="H1086" s="238">
        <f>IFERROR(__xludf.DUMMYFUNCTION("""COMPUTED_VALUE"""),45986.20833333333)</f>
        <v>45986.20833</v>
      </c>
      <c r="I1086" s="237" t="str">
        <f t="shared" si="1"/>
        <v>Fora</v>
      </c>
      <c r="J1086" s="239">
        <v>119.99999999301508</v>
      </c>
    </row>
    <row r="1087">
      <c r="A1087" s="234" t="s">
        <v>2781</v>
      </c>
      <c r="B1087" s="234" t="str">
        <f>IFERROR(__xludf.DUMMYFUNCTION("""COMPUTED_VALUE"""),"SoC_GO_Goiânia_02")</f>
        <v>SoC_GO_Goiânia_02</v>
      </c>
      <c r="C1087" s="234" t="str">
        <f>IFERROR(__xludf.DUMMYFUNCTION("""COMPUTED_VALUE"""),"SOC-GO2")</f>
        <v>SOC-GO2</v>
      </c>
      <c r="D1087" s="234"/>
      <c r="E1087" s="237" t="str">
        <f>IFERROR(__xludf.DUMMYFUNCTION("""COMPUTED_VALUE"""),"LT1PBP01STUW1")</f>
        <v>LT1PBP01STUW1</v>
      </c>
      <c r="F1087" s="238" t="str">
        <f>IFERROR(__xludf.DUMMYFUNCTION("""COMPUTED_VALUE"""),"GIM5J15,GCN0F89")</f>
        <v>GIM5J15,GCN0F89</v>
      </c>
      <c r="G1087" s="238">
        <f>IFERROR(__xludf.DUMMYFUNCTION("""COMPUTED_VALUE"""),45986.125)</f>
        <v>45986.125</v>
      </c>
      <c r="H1087" s="238">
        <f>IFERROR(__xludf.DUMMYFUNCTION("""COMPUTED_VALUE"""),45986.20833333333)</f>
        <v>45986.20833</v>
      </c>
      <c r="I1087" s="237" t="str">
        <f t="shared" si="1"/>
        <v>Fora</v>
      </c>
      <c r="J1087" s="239">
        <v>119.99999999301508</v>
      </c>
    </row>
    <row r="1088">
      <c r="A1088" s="234" t="s">
        <v>2782</v>
      </c>
      <c r="B1088" s="234" t="str">
        <f>IFERROR(__xludf.DUMMYFUNCTION("""COMPUTED_VALUE"""),"SoC_MG_Betim")</f>
        <v>SoC_MG_Betim</v>
      </c>
      <c r="C1088" s="234" t="str">
        <f>IFERROR(__xludf.DUMMYFUNCTION("""COMPUTED_VALUE"""),"SOC-MG2")</f>
        <v>SOC-MG2</v>
      </c>
      <c r="D1088" s="234"/>
      <c r="E1088" s="237" t="str">
        <f>IFERROR(__xludf.DUMMYFUNCTION("""COMPUTED_VALUE"""),"LT0PBO01SOC31")</f>
        <v>LT0PBO01SOC31</v>
      </c>
      <c r="F1088" s="238" t="str">
        <f>IFERROR(__xludf.DUMMYFUNCTION("""COMPUTED_VALUE"""),"DPC2G34,MKM5D74")</f>
        <v>DPC2G34,MKM5D74</v>
      </c>
      <c r="G1088" s="238">
        <f>IFERROR(__xludf.DUMMYFUNCTION("""COMPUTED_VALUE"""),45986.125)</f>
        <v>45986.125</v>
      </c>
      <c r="H1088" s="238">
        <f>IFERROR(__xludf.DUMMYFUNCTION("""COMPUTED_VALUE"""),45986.20833333333)</f>
        <v>45986.20833</v>
      </c>
      <c r="I1088" s="237" t="str">
        <f t="shared" si="1"/>
        <v>Fora</v>
      </c>
      <c r="J1088" s="239">
        <v>119.99999999301508</v>
      </c>
    </row>
    <row r="1089">
      <c r="A1089" s="234" t="s">
        <v>2783</v>
      </c>
      <c r="B1089" s="234" t="str">
        <f>IFERROR(__xludf.DUMMYFUNCTION("""COMPUTED_VALUE"""),"SoC_MG_Betim")</f>
        <v>SoC_MG_Betim</v>
      </c>
      <c r="C1089" s="234" t="str">
        <f>IFERROR(__xludf.DUMMYFUNCTION("""COMPUTED_VALUE"""),"SOC-MG2")</f>
        <v>SOC-MG2</v>
      </c>
      <c r="D1089" s="234">
        <f>IFERROR(__xludf.DUMMYFUNCTION("""COMPUTED_VALUE"""),48.0)</f>
        <v>48</v>
      </c>
      <c r="E1089" s="237" t="str">
        <f>IFERROR(__xludf.DUMMYFUNCTION("""COMPUTED_VALUE"""),"LT1PBO01STUP1")</f>
        <v>LT1PBO01STUP1</v>
      </c>
      <c r="F1089" s="238" t="str">
        <f>IFERROR(__xludf.DUMMYFUNCTION("""COMPUTED_VALUE"""),"FCY4E35,GBJ3J41")</f>
        <v>FCY4E35,GBJ3J41</v>
      </c>
      <c r="G1089" s="238">
        <f>IFERROR(__xludf.DUMMYFUNCTION("""COMPUTED_VALUE"""),45986.125)</f>
        <v>45986.125</v>
      </c>
      <c r="H1089" s="238">
        <f>IFERROR(__xludf.DUMMYFUNCTION("""COMPUTED_VALUE"""),45986.20833333333)</f>
        <v>45986.20833</v>
      </c>
      <c r="I1089" s="237" t="str">
        <f t="shared" si="1"/>
        <v>Fora</v>
      </c>
      <c r="J1089" s="239">
        <v>119.99999999301508</v>
      </c>
    </row>
    <row r="1090">
      <c r="A1090" s="234" t="s">
        <v>2784</v>
      </c>
      <c r="B1090" s="234" t="str">
        <f>IFERROR(__xludf.DUMMYFUNCTION("""COMPUTED_VALUE"""),"SoC_MG_Betim")</f>
        <v>SoC_MG_Betim</v>
      </c>
      <c r="C1090" s="234" t="str">
        <f>IFERROR(__xludf.DUMMYFUNCTION("""COMPUTED_VALUE"""),"SOC-MG2")</f>
        <v>SOC-MG2</v>
      </c>
      <c r="D1090" s="234"/>
      <c r="E1090" s="237" t="str">
        <f>IFERROR(__xludf.DUMMYFUNCTION("""COMPUTED_VALUE"""),"LT1PBP01STUQ1")</f>
        <v>LT1PBP01STUQ1</v>
      </c>
      <c r="F1090" s="238" t="str">
        <f>IFERROR(__xludf.DUMMYFUNCTION("""COMPUTED_VALUE"""),"ELW1F04,EFU6799")</f>
        <v>ELW1F04,EFU6799</v>
      </c>
      <c r="G1090" s="238">
        <f>IFERROR(__xludf.DUMMYFUNCTION("""COMPUTED_VALUE"""),45986.125)</f>
        <v>45986.125</v>
      </c>
      <c r="H1090" s="238">
        <f>IFERROR(__xludf.DUMMYFUNCTION("""COMPUTED_VALUE"""),45986.20833333333)</f>
        <v>45986.20833</v>
      </c>
      <c r="I1090" s="237" t="str">
        <f t="shared" si="1"/>
        <v>Fora</v>
      </c>
      <c r="J1090" s="239">
        <v>119.99999999301508</v>
      </c>
    </row>
    <row r="1091">
      <c r="A1091" s="234" t="s">
        <v>2785</v>
      </c>
      <c r="B1091" s="234" t="str">
        <f>IFERROR(__xludf.DUMMYFUNCTION("""COMPUTED_VALUE"""),"SoC_PE_Jaboatão dos Guararapes")</f>
        <v>SoC_PE_Jaboatão dos Guararapes</v>
      </c>
      <c r="C1091" s="234" t="str">
        <f>IFERROR(__xludf.DUMMYFUNCTION("""COMPUTED_VALUE"""),"SOC-PE2")</f>
        <v>SOC-PE2</v>
      </c>
      <c r="D1091" s="234">
        <f>IFERROR(__xludf.DUMMYFUNCTION("""COMPUTED_VALUE"""),25.0)</f>
        <v>25</v>
      </c>
      <c r="E1091" s="237" t="str">
        <f>IFERROR(__xludf.DUMMYFUNCTION("""COMPUTED_VALUE"""),"LT1PBP01STUX1")</f>
        <v>LT1PBP01STUX1</v>
      </c>
      <c r="F1091" s="238" t="str">
        <f>IFERROR(__xludf.DUMMYFUNCTION("""COMPUTED_VALUE"""),"TBA1B17,TBA1C17")</f>
        <v>TBA1B17,TBA1C17</v>
      </c>
      <c r="G1091" s="238">
        <f>IFERROR(__xludf.DUMMYFUNCTION("""COMPUTED_VALUE"""),45986.125)</f>
        <v>45986.125</v>
      </c>
      <c r="H1091" s="238">
        <f>IFERROR(__xludf.DUMMYFUNCTION("""COMPUTED_VALUE"""),45986.20833333333)</f>
        <v>45986.20833</v>
      </c>
      <c r="I1091" s="237" t="str">
        <f t="shared" si="1"/>
        <v>Fora</v>
      </c>
      <c r="J1091" s="239">
        <v>119.99999999301508</v>
      </c>
    </row>
    <row r="1092">
      <c r="A1092" s="234" t="s">
        <v>2786</v>
      </c>
      <c r="B1092" s="234" t="str">
        <f>IFERROR(__xludf.DUMMYFUNCTION("""COMPUTED_VALUE"""),"SoC_RJ_Duque de Caxias")</f>
        <v>SoC_RJ_Duque de Caxias</v>
      </c>
      <c r="C1092" s="234" t="str">
        <f>IFERROR(__xludf.DUMMYFUNCTION("""COMPUTED_VALUE"""),"SOC-RJ2")</f>
        <v>SOC-RJ2</v>
      </c>
      <c r="D1092" s="234">
        <f>IFERROR(__xludf.DUMMYFUNCTION("""COMPUTED_VALUE"""),42.0)</f>
        <v>42</v>
      </c>
      <c r="E1092" s="237" t="str">
        <f>IFERROR(__xludf.DUMMYFUNCTION("""COMPUTED_VALUE"""),"LT0PBO01SHRV1")</f>
        <v>LT0PBO01SHRV1</v>
      </c>
      <c r="F1092" s="238" t="str">
        <f>IFERROR(__xludf.DUMMYFUNCTION("""COMPUTED_VALUE"""),"HBF0565,EOE8420")</f>
        <v>HBF0565,EOE8420</v>
      </c>
      <c r="G1092" s="238">
        <f>IFERROR(__xludf.DUMMYFUNCTION("""COMPUTED_VALUE"""),45986.125)</f>
        <v>45986.125</v>
      </c>
      <c r="H1092" s="238">
        <f>IFERROR(__xludf.DUMMYFUNCTION("""COMPUTED_VALUE"""),45986.20833333333)</f>
        <v>45986.20833</v>
      </c>
      <c r="I1092" s="237" t="str">
        <f t="shared" si="1"/>
        <v>Fora</v>
      </c>
      <c r="J1092" s="239">
        <v>119.99999999301508</v>
      </c>
    </row>
    <row r="1093">
      <c r="A1093" s="234" t="s">
        <v>2787</v>
      </c>
      <c r="B1093" s="234" t="str">
        <f>IFERROR(__xludf.DUMMYFUNCTION("""COMPUTED_VALUE"""),"SoC_RJ_Duque de Caxias")</f>
        <v>SoC_RJ_Duque de Caxias</v>
      </c>
      <c r="C1093" s="234" t="str">
        <f>IFERROR(__xludf.DUMMYFUNCTION("""COMPUTED_VALUE"""),"SOC-RJ2")</f>
        <v>SOC-RJ2</v>
      </c>
      <c r="D1093" s="234"/>
      <c r="E1093" s="237" t="str">
        <f>IFERROR(__xludf.DUMMYFUNCTION("""COMPUTED_VALUE"""),"LT1PBO01STUL1")</f>
        <v>LT1PBO01STUL1</v>
      </c>
      <c r="F1093" s="238" t="str">
        <f>IFERROR(__xludf.DUMMYFUNCTION("""COMPUTED_VALUE"""),"IQS6G15,DJE9G45")</f>
        <v>IQS6G15,DJE9G45</v>
      </c>
      <c r="G1093" s="238">
        <f>IFERROR(__xludf.DUMMYFUNCTION("""COMPUTED_VALUE"""),45986.125)</f>
        <v>45986.125</v>
      </c>
      <c r="H1093" s="238">
        <f>IFERROR(__xludf.DUMMYFUNCTION("""COMPUTED_VALUE"""),45986.20833333333)</f>
        <v>45986.20833</v>
      </c>
      <c r="I1093" s="237" t="str">
        <f t="shared" si="1"/>
        <v>Fora</v>
      </c>
      <c r="J1093" s="239">
        <v>119.99999999301508</v>
      </c>
    </row>
    <row r="1094">
      <c r="A1094" s="234" t="s">
        <v>2788</v>
      </c>
      <c r="B1094" s="234" t="str">
        <f>IFERROR(__xludf.DUMMYFUNCTION("""COMPUTED_VALUE"""),"SoC_RS_Gravataí_02")</f>
        <v>SoC_RS_Gravataí_02</v>
      </c>
      <c r="C1094" s="234" t="str">
        <f>IFERROR(__xludf.DUMMYFUNCTION("""COMPUTED_VALUE"""),"SOC-RS2")</f>
        <v>SOC-RS2</v>
      </c>
      <c r="D1094" s="234"/>
      <c r="E1094" s="237" t="str">
        <f>IFERROR(__xludf.DUMMYFUNCTION("""COMPUTED_VALUE"""),"LT1PBO01STUT1")</f>
        <v>LT1PBO01STUT1</v>
      </c>
      <c r="F1094" s="238" t="str">
        <f>IFERROR(__xludf.DUMMYFUNCTION("""COMPUTED_VALUE"""),"TPL2I38,EML4H72")</f>
        <v>TPL2I38,EML4H72</v>
      </c>
      <c r="G1094" s="238">
        <f>IFERROR(__xludf.DUMMYFUNCTION("""COMPUTED_VALUE"""),45986.125)</f>
        <v>45986.125</v>
      </c>
      <c r="H1094" s="238">
        <f>IFERROR(__xludf.DUMMYFUNCTION("""COMPUTED_VALUE"""),45986.20833333333)</f>
        <v>45986.20833</v>
      </c>
      <c r="I1094" s="237" t="str">
        <f t="shared" si="1"/>
        <v>Fora</v>
      </c>
      <c r="J1094" s="239">
        <v>119.99999999301508</v>
      </c>
    </row>
    <row r="1095">
      <c r="A1095" s="234" t="s">
        <v>2789</v>
      </c>
      <c r="B1095" s="234" t="str">
        <f>IFERROR(__xludf.DUMMYFUNCTION("""COMPUTED_VALUE"""),"SoC_SC_Itajaí")</f>
        <v>SoC_SC_Itajaí</v>
      </c>
      <c r="C1095" s="234" t="str">
        <f>IFERROR(__xludf.DUMMYFUNCTION("""COMPUTED_VALUE"""),"SOC-SC1")</f>
        <v>SOC-SC1</v>
      </c>
      <c r="D1095" s="234">
        <f>IFERROR(__xludf.DUMMYFUNCTION("""COMPUTED_VALUE"""),26.0)</f>
        <v>26</v>
      </c>
      <c r="E1095" s="237" t="str">
        <f>IFERROR(__xludf.DUMMYFUNCTION("""COMPUTED_VALUE"""),"LT1PBP01STUV1")</f>
        <v>LT1PBP01STUV1</v>
      </c>
      <c r="F1095" s="238" t="str">
        <f>IFERROR(__xludf.DUMMYFUNCTION("""COMPUTED_VALUE"""),"SXB6F35,SXJ9I54")</f>
        <v>SXB6F35,SXJ9I54</v>
      </c>
      <c r="G1095" s="238">
        <f>IFERROR(__xludf.DUMMYFUNCTION("""COMPUTED_VALUE"""),45986.125)</f>
        <v>45986.125</v>
      </c>
      <c r="H1095" s="238">
        <f>IFERROR(__xludf.DUMMYFUNCTION("""COMPUTED_VALUE"""),45986.20833333333)</f>
        <v>45986.20833</v>
      </c>
      <c r="I1095" s="237" t="str">
        <f t="shared" si="1"/>
        <v>Fora</v>
      </c>
      <c r="J1095" s="239">
        <v>119.99999999301508</v>
      </c>
    </row>
    <row r="1096">
      <c r="A1096" s="234" t="s">
        <v>2790</v>
      </c>
      <c r="B1096" s="234" t="str">
        <f>IFERROR(__xludf.DUMMYFUNCTION("""COMPUTED_VALUE"""),"SoC_SP_Cravinhos")</f>
        <v>SoC_SP_Cravinhos</v>
      </c>
      <c r="C1096" s="234" t="str">
        <f>IFERROR(__xludf.DUMMYFUNCTION("""COMPUTED_VALUE"""),"SOC-SP5")</f>
        <v>SOC-SP5</v>
      </c>
      <c r="D1096" s="234">
        <f>IFERROR(__xludf.DUMMYFUNCTION("""COMPUTED_VALUE"""),41.0)</f>
        <v>41</v>
      </c>
      <c r="E1096" s="237" t="str">
        <f>IFERROR(__xludf.DUMMYFUNCTION("""COMPUTED_VALUE"""),"LT1PBP01STUK1")</f>
        <v>LT1PBP01STUK1</v>
      </c>
      <c r="F1096" s="238" t="str">
        <f>IFERROR(__xludf.DUMMYFUNCTION("""COMPUTED_VALUE"""),"FSX0D22,CXA6J35")</f>
        <v>FSX0D22,CXA6J35</v>
      </c>
      <c r="G1096" s="238">
        <f>IFERROR(__xludf.DUMMYFUNCTION("""COMPUTED_VALUE"""),45986.125)</f>
        <v>45986.125</v>
      </c>
      <c r="H1096" s="238">
        <f>IFERROR(__xludf.DUMMYFUNCTION("""COMPUTED_VALUE"""),45986.20833333333)</f>
        <v>45986.20833</v>
      </c>
      <c r="I1096" s="237" t="str">
        <f t="shared" si="1"/>
        <v>Fora</v>
      </c>
      <c r="J1096" s="239">
        <v>118.99999998975545</v>
      </c>
    </row>
    <row r="1097">
      <c r="A1097" s="234" t="s">
        <v>2791</v>
      </c>
      <c r="B1097" s="234" t="str">
        <f>IFERROR(__xludf.DUMMYFUNCTION("""COMPUTED_VALUE"""),"SoC_SP_Louveira")</f>
        <v>SoC_SP_Louveira</v>
      </c>
      <c r="C1097" s="234" t="str">
        <f>IFERROR(__xludf.DUMMYFUNCTION("""COMPUTED_VALUE"""),"SOC-SP7")</f>
        <v>SOC-SP7</v>
      </c>
      <c r="D1097" s="234">
        <f>IFERROR(__xludf.DUMMYFUNCTION("""COMPUTED_VALUE"""),32.0)</f>
        <v>32</v>
      </c>
      <c r="E1097" s="237" t="str">
        <f>IFERROR(__xludf.DUMMYFUNCTION("""COMPUTED_VALUE"""),"LT0PBO01SFMG1")</f>
        <v>LT0PBO01SFMG1</v>
      </c>
      <c r="F1097" s="238" t="str">
        <f>IFERROR(__xludf.DUMMYFUNCTION("""COMPUTED_VALUE"""),"EXU6A75,DVS4C57")</f>
        <v>EXU6A75,DVS4C57</v>
      </c>
      <c r="G1097" s="238">
        <f>IFERROR(__xludf.DUMMYFUNCTION("""COMPUTED_VALUE"""),45986.12569444445)</f>
        <v>45986.12569</v>
      </c>
      <c r="H1097" s="238">
        <f>IFERROR(__xludf.DUMMYFUNCTION("""COMPUTED_VALUE"""),45986.20833333333)</f>
        <v>45986.20833</v>
      </c>
      <c r="I1097" s="237" t="str">
        <f t="shared" si="1"/>
        <v>Fora</v>
      </c>
      <c r="J1097" s="239">
        <v>120.00000001396984</v>
      </c>
    </row>
    <row r="1098">
      <c r="A1098" s="234" t="s">
        <v>2792</v>
      </c>
      <c r="B1098" s="234" t="str">
        <f>IFERROR(__xludf.DUMMYFUNCTION("""COMPUTED_VALUE"""),"LM Hub_SP_Campinas_São Martinho")</f>
        <v>LM Hub_SP_Campinas_São Martinho</v>
      </c>
      <c r="C1098" s="234" t="str">
        <f>IFERROR(__xludf.DUMMYFUNCTION("""COMPUTED_VALUE"""),"HUB-LSP-19")</f>
        <v>HUB-LSP-19</v>
      </c>
      <c r="D1098" s="234">
        <f>IFERROR(__xludf.DUMMYFUNCTION("""COMPUTED_VALUE"""),17.0)</f>
        <v>17</v>
      </c>
      <c r="E1098" s="237" t="str">
        <f>IFERROR(__xludf.DUMMYFUNCTION("""COMPUTED_VALUE"""),"LT0PBP01SFSF1")</f>
        <v>LT0PBP01SFSF1</v>
      </c>
      <c r="F1098" s="238" t="str">
        <f>IFERROR(__xludf.DUMMYFUNCTION("""COMPUTED_VALUE"""),"EBM2I49")</f>
        <v>EBM2I49</v>
      </c>
      <c r="G1098" s="238">
        <f>IFERROR(__xludf.DUMMYFUNCTION("""COMPUTED_VALUE"""),45986.14583333333)</f>
        <v>45986.14583</v>
      </c>
      <c r="H1098" s="238">
        <f>IFERROR(__xludf.DUMMYFUNCTION("""COMPUTED_VALUE"""),45986.22916666667)</f>
        <v>45986.22917</v>
      </c>
      <c r="I1098" s="237" t="str">
        <f t="shared" si="1"/>
        <v>Fora</v>
      </c>
      <c r="J1098" s="239">
        <v>120.00000001396984</v>
      </c>
    </row>
    <row r="1099">
      <c r="A1099" s="234" t="s">
        <v>2793</v>
      </c>
      <c r="B1099" s="234" t="str">
        <f>IFERROR(__xludf.DUMMYFUNCTION("""COMPUTED_VALUE"""),"LM Hub_SP_Mogi Mirim")</f>
        <v>LM Hub_SP_Mogi Mirim</v>
      </c>
      <c r="C1099" s="234" t="str">
        <f>IFERROR(__xludf.DUMMYFUNCTION("""COMPUTED_VALUE"""),"HUB-LSP-37")</f>
        <v>HUB-LSP-37</v>
      </c>
      <c r="D1099" s="234">
        <f>IFERROR(__xludf.DUMMYFUNCTION("""COMPUTED_VALUE"""),38.0)</f>
        <v>38</v>
      </c>
      <c r="E1099" s="237" t="str">
        <f>IFERROR(__xludf.DUMMYFUNCTION("""COMPUTED_VALUE"""),"LT0PBP01SFRE1")</f>
        <v>LT0PBP01SFRE1</v>
      </c>
      <c r="F1099" s="238" t="str">
        <f>IFERROR(__xludf.DUMMYFUNCTION("""COMPUTED_VALUE"""),"CUG3E95")</f>
        <v>CUG3E95</v>
      </c>
      <c r="G1099" s="238">
        <f>IFERROR(__xludf.DUMMYFUNCTION("""COMPUTED_VALUE"""),45986.14583333333)</f>
        <v>45986.14583</v>
      </c>
      <c r="H1099" s="238">
        <f>IFERROR(__xludf.DUMMYFUNCTION("""COMPUTED_VALUE"""),45986.22916666667)</f>
        <v>45986.22917</v>
      </c>
      <c r="I1099" s="237" t="str">
        <f t="shared" si="1"/>
        <v>Fora</v>
      </c>
      <c r="J1099" s="239">
        <v>120.00000001396984</v>
      </c>
    </row>
    <row r="1100">
      <c r="A1100" s="234" t="s">
        <v>2794</v>
      </c>
      <c r="B1100" s="234" t="str">
        <f>IFERROR(__xludf.DUMMYFUNCTION("""COMPUTED_VALUE"""),"LM Hub_SP_Osasco_02")</f>
        <v>LM Hub_SP_Osasco_02</v>
      </c>
      <c r="C1100" s="234" t="str">
        <f>IFERROR(__xludf.DUMMYFUNCTION("""COMPUTED_VALUE"""),"HUB-LSP-60")</f>
        <v>HUB-LSP-60</v>
      </c>
      <c r="D1100" s="234">
        <f>IFERROR(__xludf.DUMMYFUNCTION("""COMPUTED_VALUE"""),29.0)</f>
        <v>29</v>
      </c>
      <c r="E1100" s="237" t="str">
        <f>IFERROR(__xludf.DUMMYFUNCTION("""COMPUTED_VALUE"""),"LT0PBP01SGQW1")</f>
        <v>LT0PBP01SGQW1</v>
      </c>
      <c r="F1100" s="238" t="str">
        <f>IFERROR(__xludf.DUMMYFUNCTION("""COMPUTED_VALUE"""),"FEU6H63")</f>
        <v>FEU6H63</v>
      </c>
      <c r="G1100" s="238">
        <f>IFERROR(__xludf.DUMMYFUNCTION("""COMPUTED_VALUE"""),45986.14583333333)</f>
        <v>45986.14583</v>
      </c>
      <c r="H1100" s="238">
        <f>IFERROR(__xludf.DUMMYFUNCTION("""COMPUTED_VALUE"""),45986.22916666667)</f>
        <v>45986.22917</v>
      </c>
      <c r="I1100" s="237" t="str">
        <f t="shared" si="1"/>
        <v>Fora</v>
      </c>
      <c r="J1100" s="239">
        <v>120.00000001396984</v>
      </c>
    </row>
    <row r="1101">
      <c r="A1101" s="234" t="s">
        <v>2795</v>
      </c>
      <c r="B1101" s="234" t="str">
        <f>IFERROR(__xludf.DUMMYFUNCTION("""COMPUTED_VALUE"""),"LM Hub_SP_Sorocaba_Região Norte")</f>
        <v>LM Hub_SP_Sorocaba_Região Norte</v>
      </c>
      <c r="C1101" s="234" t="str">
        <f>IFERROR(__xludf.DUMMYFUNCTION("""COMPUTED_VALUE"""),"HUB-LSP-10")</f>
        <v>HUB-LSP-10</v>
      </c>
      <c r="D1101" s="234">
        <f>IFERROR(__xludf.DUMMYFUNCTION("""COMPUTED_VALUE"""),19.0)</f>
        <v>19</v>
      </c>
      <c r="E1101" s="237" t="str">
        <f>IFERROR(__xludf.DUMMYFUNCTION("""COMPUTED_VALUE"""),"LT0PBP01SFQ61")</f>
        <v>LT0PBP01SFQ61</v>
      </c>
      <c r="F1101" s="238" t="str">
        <f>IFERROR(__xludf.DUMMYFUNCTION("""COMPUTED_VALUE"""),"GHJ3E37,OUU8J45")</f>
        <v>GHJ3E37,OUU8J45</v>
      </c>
      <c r="G1101" s="238">
        <f>IFERROR(__xludf.DUMMYFUNCTION("""COMPUTED_VALUE"""),45986.14583333333)</f>
        <v>45986.14583</v>
      </c>
      <c r="H1101" s="238">
        <f>IFERROR(__xludf.DUMMYFUNCTION("""COMPUTED_VALUE"""),45986.22916666667)</f>
        <v>45986.22917</v>
      </c>
      <c r="I1101" s="237" t="str">
        <f t="shared" si="1"/>
        <v>Fora</v>
      </c>
      <c r="J1101" s="239">
        <v>239.0000000037253</v>
      </c>
    </row>
    <row r="1102">
      <c r="A1102" s="234" t="s">
        <v>2796</v>
      </c>
      <c r="B1102" s="234" t="str">
        <f>IFERROR(__xludf.DUMMYFUNCTION("""COMPUTED_VALUE"""),"SoC_GO_Goiânia_02")</f>
        <v>SoC_GO_Goiânia_02</v>
      </c>
      <c r="C1102" s="234" t="str">
        <f>IFERROR(__xludf.DUMMYFUNCTION("""COMPUTED_VALUE"""),"SOC-GO2")</f>
        <v>SOC-GO2</v>
      </c>
      <c r="D1102" s="234">
        <f>IFERROR(__xludf.DUMMYFUNCTION("""COMPUTED_VALUE"""),87.0)</f>
        <v>87</v>
      </c>
      <c r="E1102" s="237" t="str">
        <f>IFERROR(__xludf.DUMMYFUNCTION("""COMPUTED_VALUE"""),"LT0PBP01SLIN2")</f>
        <v>LT0PBP01SLIN2</v>
      </c>
      <c r="F1102" s="238" t="str">
        <f>IFERROR(__xludf.DUMMYFUNCTION("""COMPUTED_VALUE"""),"ASJ9B52,AQB2H73")</f>
        <v>ASJ9B52,AQB2H73</v>
      </c>
      <c r="G1102" s="238">
        <f>IFERROR(__xludf.DUMMYFUNCTION("""COMPUTED_VALUE"""),45986.084027777775)</f>
        <v>45986.08403</v>
      </c>
      <c r="H1102" s="238">
        <f>IFERROR(__xludf.DUMMYFUNCTION("""COMPUTED_VALUE"""),45986.25)</f>
        <v>45986.25</v>
      </c>
      <c r="I1102" s="237" t="str">
        <f t="shared" si="1"/>
        <v>Fora</v>
      </c>
      <c r="J1102" s="239">
        <v>119.99999999301508</v>
      </c>
    </row>
    <row r="1103">
      <c r="A1103" s="234" t="s">
        <v>2797</v>
      </c>
      <c r="B1103" s="234" t="str">
        <f>IFERROR(__xludf.DUMMYFUNCTION("""COMPUTED_VALUE"""),"LM Hub_ES_Viana")</f>
        <v>LM Hub_ES_Viana</v>
      </c>
      <c r="C1103" s="234" t="str">
        <f>IFERROR(__xludf.DUMMYFUNCTION("""COMPUTED_VALUE"""),"HUB-LES-09")</f>
        <v>HUB-LES-09</v>
      </c>
      <c r="D1103" s="234">
        <f>IFERROR(__xludf.DUMMYFUNCTION("""COMPUTED_VALUE"""),28.0)</f>
        <v>28</v>
      </c>
      <c r="E1103" s="237" t="str">
        <f>IFERROR(__xludf.DUMMYFUNCTION("""COMPUTED_VALUE"""),"LT0PBP01SJPF1")</f>
        <v>LT0PBP01SJPF1</v>
      </c>
      <c r="F1103" s="238" t="str">
        <f>IFERROR(__xludf.DUMMYFUNCTION("""COMPUTED_VALUE"""),"SUO9A93")</f>
        <v>SUO9A93</v>
      </c>
      <c r="G1103" s="238">
        <f>IFERROR(__xludf.DUMMYFUNCTION("""COMPUTED_VALUE"""),45986.16666666667)</f>
        <v>45986.16667</v>
      </c>
      <c r="H1103" s="238">
        <f>IFERROR(__xludf.DUMMYFUNCTION("""COMPUTED_VALUE"""),45986.25)</f>
        <v>45986.25</v>
      </c>
      <c r="I1103" s="237" t="str">
        <f t="shared" si="1"/>
        <v>Fora</v>
      </c>
      <c r="J1103" s="239">
        <v>119.99999999301508</v>
      </c>
    </row>
    <row r="1104">
      <c r="A1104" s="234" t="s">
        <v>2798</v>
      </c>
      <c r="B1104" s="234" t="str">
        <f>IFERROR(__xludf.DUMMYFUNCTION("""COMPUTED_VALUE"""),"LM Hub_SP_Guaratinguetá")</f>
        <v>LM Hub_SP_Guaratinguetá</v>
      </c>
      <c r="C1104" s="234" t="str">
        <f>IFERROR(__xludf.DUMMYFUNCTION("""COMPUTED_VALUE"""),"HUB-LSP-33")</f>
        <v>HUB-LSP-33</v>
      </c>
      <c r="D1104" s="234">
        <f>IFERROR(__xludf.DUMMYFUNCTION("""COMPUTED_VALUE"""),16.0)</f>
        <v>16</v>
      </c>
      <c r="E1104" s="237" t="str">
        <f>IFERROR(__xludf.DUMMYFUNCTION("""COMPUTED_VALUE"""),"LT0PBP01SFPG1")</f>
        <v>LT0PBP01SFPG1</v>
      </c>
      <c r="F1104" s="238" t="str">
        <f>IFERROR(__xludf.DUMMYFUNCTION("""COMPUTED_VALUE"""),"EKH3880")</f>
        <v>EKH3880</v>
      </c>
      <c r="G1104" s="238">
        <f>IFERROR(__xludf.DUMMYFUNCTION("""COMPUTED_VALUE"""),45986.16666666667)</f>
        <v>45986.16667</v>
      </c>
      <c r="H1104" s="238">
        <f>IFERROR(__xludf.DUMMYFUNCTION("""COMPUTED_VALUE"""),45986.25)</f>
        <v>45986.25</v>
      </c>
      <c r="I1104" s="237" t="str">
        <f t="shared" si="1"/>
        <v>Fora</v>
      </c>
      <c r="J1104" s="239">
        <v>119.99999999301508</v>
      </c>
    </row>
    <row r="1105">
      <c r="A1105" s="234" t="s">
        <v>2799</v>
      </c>
      <c r="B1105" s="234" t="str">
        <f>IFERROR(__xludf.DUMMYFUNCTION("""COMPUTED_VALUE"""),"LM Hub_SP_Limeira_Campo Belo")</f>
        <v>LM Hub_SP_Limeira_Campo Belo</v>
      </c>
      <c r="C1105" s="234" t="str">
        <f>IFERROR(__xludf.DUMMYFUNCTION("""COMPUTED_VALUE"""),"HUB-LSP-24")</f>
        <v>HUB-LSP-24</v>
      </c>
      <c r="D1105" s="234">
        <f>IFERROR(__xludf.DUMMYFUNCTION("""COMPUTED_VALUE"""),39.0)</f>
        <v>39</v>
      </c>
      <c r="E1105" s="237" t="str">
        <f>IFERROR(__xludf.DUMMYFUNCTION("""COMPUTED_VALUE"""),"LT0PBP01SFQC1")</f>
        <v>LT0PBP01SFQC1</v>
      </c>
      <c r="F1105" s="238" t="str">
        <f>IFERROR(__xludf.DUMMYFUNCTION("""COMPUTED_VALUE"""),"UDI0A98")</f>
        <v>UDI0A98</v>
      </c>
      <c r="G1105" s="238">
        <f>IFERROR(__xludf.DUMMYFUNCTION("""COMPUTED_VALUE"""),45986.16666666667)</f>
        <v>45986.16667</v>
      </c>
      <c r="H1105" s="238">
        <f>IFERROR(__xludf.DUMMYFUNCTION("""COMPUTED_VALUE"""),45986.25)</f>
        <v>45986.25</v>
      </c>
      <c r="I1105" s="237" t="str">
        <f t="shared" si="1"/>
        <v>Fora</v>
      </c>
      <c r="J1105" s="239">
        <v>119.99999999301508</v>
      </c>
    </row>
    <row r="1106">
      <c r="A1106" s="234" t="s">
        <v>2800</v>
      </c>
      <c r="B1106" s="234" t="str">
        <f>IFERROR(__xludf.DUMMYFUNCTION("""COMPUTED_VALUE"""),"LM Hub_SP_Várzea Paulista")</f>
        <v>LM Hub_SP_Várzea Paulista</v>
      </c>
      <c r="C1106" s="234" t="str">
        <f>IFERROR(__xludf.DUMMYFUNCTION("""COMPUTED_VALUE"""),"HUB-LSP-61")</f>
        <v>HUB-LSP-61</v>
      </c>
      <c r="D1106" s="234">
        <f>IFERROR(__xludf.DUMMYFUNCTION("""COMPUTED_VALUE"""),49.0)</f>
        <v>49</v>
      </c>
      <c r="E1106" s="237" t="str">
        <f>IFERROR(__xludf.DUMMYFUNCTION("""COMPUTED_VALUE"""),"LT0PBP01SFQM1")</f>
        <v>LT0PBP01SFQM1</v>
      </c>
      <c r="F1106" s="238" t="str">
        <f>IFERROR(__xludf.DUMMYFUNCTION("""COMPUTED_VALUE"""),"LRU5J40")</f>
        <v>LRU5J40</v>
      </c>
      <c r="G1106" s="238">
        <f>IFERROR(__xludf.DUMMYFUNCTION("""COMPUTED_VALUE"""),45986.16666666667)</f>
        <v>45986.16667</v>
      </c>
      <c r="H1106" s="238">
        <f>IFERROR(__xludf.DUMMYFUNCTION("""COMPUTED_VALUE"""),45986.25)</f>
        <v>45986.25</v>
      </c>
      <c r="I1106" s="237" t="str">
        <f t="shared" si="1"/>
        <v>Fora</v>
      </c>
      <c r="J1106" s="239">
        <v>119.99999999301508</v>
      </c>
    </row>
    <row r="1107">
      <c r="A1107" s="234" t="s">
        <v>2801</v>
      </c>
      <c r="B1107" s="234" t="str">
        <f>IFERROR(__xludf.DUMMYFUNCTION("""COMPUTED_VALUE"""),"LM Hub_SP_Atibaia_Ponte_Alta")</f>
        <v>LM Hub_SP_Atibaia_Ponte_Alta</v>
      </c>
      <c r="C1107" s="234" t="str">
        <f>IFERROR(__xludf.DUMMYFUNCTION("""COMPUTED_VALUE"""),"HUB-LSP-87")</f>
        <v>HUB-LSP-87</v>
      </c>
      <c r="D1107" s="234">
        <f>IFERROR(__xludf.DUMMYFUNCTION("""COMPUTED_VALUE"""),14.0)</f>
        <v>14</v>
      </c>
      <c r="E1107" s="237" t="str">
        <f>IFERROR(__xludf.DUMMYFUNCTION("""COMPUTED_VALUE"""),"LT0PBP01SJJO1")</f>
        <v>LT0PBP01SJJO1</v>
      </c>
      <c r="F1107" s="238" t="str">
        <f>IFERROR(__xludf.DUMMYFUNCTION("""COMPUTED_VALUE"""),"ENU3E65")</f>
        <v>ENU3E65</v>
      </c>
      <c r="G1107" s="238">
        <f>IFERROR(__xludf.DUMMYFUNCTION("""COMPUTED_VALUE"""),45986.1875)</f>
        <v>45986.1875</v>
      </c>
      <c r="H1107" s="238">
        <f>IFERROR(__xludf.DUMMYFUNCTION("""COMPUTED_VALUE"""),45986.27083333333)</f>
        <v>45986.27083</v>
      </c>
      <c r="I1107" s="237" t="str">
        <f t="shared" si="1"/>
        <v>Fora</v>
      </c>
      <c r="J1107" s="239">
        <v>119.99999999301508</v>
      </c>
    </row>
    <row r="1108">
      <c r="A1108" s="234" t="s">
        <v>2802</v>
      </c>
      <c r="B1108" s="234" t="str">
        <f>IFERROR(__xludf.DUMMYFUNCTION("""COMPUTED_VALUE"""),"LM Hub_SP_Embu das Artes")</f>
        <v>LM Hub_SP_Embu das Artes</v>
      </c>
      <c r="C1108" s="234" t="str">
        <f>IFERROR(__xludf.DUMMYFUNCTION("""COMPUTED_VALUE"""),"HUB-LSP-36")</f>
        <v>HUB-LSP-36</v>
      </c>
      <c r="D1108" s="234">
        <f>IFERROR(__xludf.DUMMYFUNCTION("""COMPUTED_VALUE"""),37.0)</f>
        <v>37</v>
      </c>
      <c r="E1108" s="237" t="str">
        <f>IFERROR(__xludf.DUMMYFUNCTION("""COMPUTED_VALUE"""),"LT0PBP01SGS01")</f>
        <v>LT0PBP01SGS01</v>
      </c>
      <c r="F1108" s="238" t="str">
        <f>IFERROR(__xludf.DUMMYFUNCTION("""COMPUTED_VALUE"""),"FBH4883")</f>
        <v>FBH4883</v>
      </c>
      <c r="G1108" s="238">
        <f>IFERROR(__xludf.DUMMYFUNCTION("""COMPUTED_VALUE"""),45986.1875)</f>
        <v>45986.1875</v>
      </c>
      <c r="H1108" s="238">
        <f>IFERROR(__xludf.DUMMYFUNCTION("""COMPUTED_VALUE"""),45986.27083333333)</f>
        <v>45986.27083</v>
      </c>
      <c r="I1108" s="237" t="str">
        <f t="shared" si="1"/>
        <v>Fora</v>
      </c>
      <c r="J1108" s="239">
        <v>119.99999999301508</v>
      </c>
    </row>
    <row r="1109">
      <c r="A1109" s="234" t="s">
        <v>2803</v>
      </c>
      <c r="B1109" s="234" t="str">
        <f>IFERROR(__xludf.DUMMYFUNCTION("""COMPUTED_VALUE"""),"LM Hub_SP_Taubaté")</f>
        <v>LM Hub_SP_Taubaté</v>
      </c>
      <c r="C1109" s="234" t="str">
        <f>IFERROR(__xludf.DUMMYFUNCTION("""COMPUTED_VALUE"""),"HUB-LSP-08")</f>
        <v>HUB-LSP-08</v>
      </c>
      <c r="D1109" s="234">
        <f>IFERROR(__xludf.DUMMYFUNCTION("""COMPUTED_VALUE"""),18.0)</f>
        <v>18</v>
      </c>
      <c r="E1109" s="237" t="str">
        <f>IFERROR(__xludf.DUMMYFUNCTION("""COMPUTED_VALUE"""),"LT0PBP01SFPR1")</f>
        <v>LT0PBP01SFPR1</v>
      </c>
      <c r="F1109" s="238" t="str">
        <f>IFERROR(__xludf.DUMMYFUNCTION("""COMPUTED_VALUE"""),"ECT4I26")</f>
        <v>ECT4I26</v>
      </c>
      <c r="G1109" s="238">
        <f>IFERROR(__xludf.DUMMYFUNCTION("""COMPUTED_VALUE"""),45986.1875)</f>
        <v>45986.1875</v>
      </c>
      <c r="H1109" s="238">
        <f>IFERROR(__xludf.DUMMYFUNCTION("""COMPUTED_VALUE"""),45986.27083333333)</f>
        <v>45986.27083</v>
      </c>
      <c r="I1109" s="237" t="str">
        <f t="shared" si="1"/>
        <v>Fora</v>
      </c>
      <c r="J1109" s="239">
        <v>540.0</v>
      </c>
    </row>
    <row r="1110">
      <c r="A1110" s="234" t="s">
        <v>2804</v>
      </c>
      <c r="B1110" s="234" t="str">
        <f>IFERROR(__xludf.DUMMYFUNCTION("""COMPUTED_VALUE"""),"SoC_RJ_Duque de Caxias")</f>
        <v>SoC_RJ_Duque de Caxias</v>
      </c>
      <c r="C1110" s="234" t="str">
        <f>IFERROR(__xludf.DUMMYFUNCTION("""COMPUTED_VALUE"""),"SOC-RJ2")</f>
        <v>SOC-RJ2</v>
      </c>
      <c r="D1110" s="234"/>
      <c r="E1110" s="237" t="str">
        <f>IFERROR(__xludf.DUMMYFUNCTION("""COMPUTED_VALUE"""),"LT0PBO01SHSK3")</f>
        <v>LT0PBO01SHSK3</v>
      </c>
      <c r="F1110" s="238" t="str">
        <f>IFERROR(__xludf.DUMMYFUNCTION("""COMPUTED_VALUE"""),"DPB7F10,KWP1D65")</f>
        <v>DPB7F10,KWP1D65</v>
      </c>
      <c r="G1110" s="238">
        <f>IFERROR(__xludf.DUMMYFUNCTION("""COMPUTED_VALUE"""),45985.91666666667)</f>
        <v>45985.91667</v>
      </c>
      <c r="H1110" s="238">
        <f>IFERROR(__xludf.DUMMYFUNCTION("""COMPUTED_VALUE"""),45986.29166666667)</f>
        <v>45986.29167</v>
      </c>
      <c r="I1110" s="237" t="str">
        <f t="shared" si="1"/>
        <v>Fora</v>
      </c>
      <c r="J1110" s="239">
        <v>300.00000001396984</v>
      </c>
    </row>
    <row r="1111">
      <c r="A1111" s="234" t="s">
        <v>2805</v>
      </c>
      <c r="B1111" s="234" t="str">
        <f>IFERROR(__xludf.DUMMYFUNCTION("""COMPUTED_VALUE"""),"SoC_MG_Betim")</f>
        <v>SoC_MG_Betim</v>
      </c>
      <c r="C1111" s="234" t="str">
        <f>IFERROR(__xludf.DUMMYFUNCTION("""COMPUTED_VALUE"""),"SOC-MG2")</f>
        <v>SOC-MG2</v>
      </c>
      <c r="D1111" s="234"/>
      <c r="E1111" s="237" t="str">
        <f>IFERROR(__xludf.DUMMYFUNCTION("""COMPUTED_VALUE"""),"LT0PBO01SFKA1")</f>
        <v>LT0PBO01SFKA1</v>
      </c>
      <c r="F1111" s="238" t="str">
        <f>IFERROR(__xludf.DUMMYFUNCTION("""COMPUTED_VALUE"""),"EKU0C05,FXE2B95")</f>
        <v>EKU0C05,FXE2B95</v>
      </c>
      <c r="G1111" s="238">
        <f>IFERROR(__xludf.DUMMYFUNCTION("""COMPUTED_VALUE"""),45986.08333333333)</f>
        <v>45986.08333</v>
      </c>
      <c r="H1111" s="238">
        <f>IFERROR(__xludf.DUMMYFUNCTION("""COMPUTED_VALUE"""),45986.29166666667)</f>
        <v>45986.29167</v>
      </c>
      <c r="I1111" s="237" t="str">
        <f t="shared" si="1"/>
        <v>Fora</v>
      </c>
      <c r="J1111" s="239">
        <v>300.00000001396984</v>
      </c>
    </row>
    <row r="1112">
      <c r="A1112" s="234" t="s">
        <v>2806</v>
      </c>
      <c r="B1112" s="234" t="str">
        <f>IFERROR(__xludf.DUMMYFUNCTION("""COMPUTED_VALUE"""),"SoC_MG_Betim")</f>
        <v>SoC_MG_Betim</v>
      </c>
      <c r="C1112" s="234" t="str">
        <f>IFERROR(__xludf.DUMMYFUNCTION("""COMPUTED_VALUE"""),"SOC-MG2")</f>
        <v>SOC-MG2</v>
      </c>
      <c r="D1112" s="234">
        <f>IFERROR(__xludf.DUMMYFUNCTION("""COMPUTED_VALUE"""),91.0)</f>
        <v>91</v>
      </c>
      <c r="E1112" s="237" t="str">
        <f>IFERROR(__xludf.DUMMYFUNCTION("""COMPUTED_VALUE"""),"LT0PBO01SFKC2")</f>
        <v>LT0PBO01SFKC2</v>
      </c>
      <c r="F1112" s="238" t="str">
        <f>IFERROR(__xludf.DUMMYFUNCTION("""COMPUTED_VALUE"""),"DCU9C23,TJQ3B56")</f>
        <v>DCU9C23,TJQ3B56</v>
      </c>
      <c r="G1112" s="238">
        <f>IFERROR(__xludf.DUMMYFUNCTION("""COMPUTED_VALUE"""),45986.08333333333)</f>
        <v>45986.08333</v>
      </c>
      <c r="H1112" s="238">
        <f>IFERROR(__xludf.DUMMYFUNCTION("""COMPUTED_VALUE"""),45986.29166666667)</f>
        <v>45986.29167</v>
      </c>
      <c r="I1112" s="237" t="str">
        <f t="shared" si="1"/>
        <v>Fora</v>
      </c>
      <c r="J1112" s="239">
        <v>240.00000000698492</v>
      </c>
    </row>
    <row r="1113">
      <c r="A1113" s="234" t="s">
        <v>2807</v>
      </c>
      <c r="B1113" s="234" t="str">
        <f>IFERROR(__xludf.DUMMYFUNCTION("""COMPUTED_VALUE"""),"SoC_SP_Cravinhos")</f>
        <v>SoC_SP_Cravinhos</v>
      </c>
      <c r="C1113" s="234" t="str">
        <f>IFERROR(__xludf.DUMMYFUNCTION("""COMPUTED_VALUE"""),"SOC-SP5")</f>
        <v>SOC-SP5</v>
      </c>
      <c r="D1113" s="234"/>
      <c r="E1113" s="237" t="str">
        <f>IFERROR(__xludf.DUMMYFUNCTION("""COMPUTED_VALUE"""),"LT0PBO01SFLQ1")</f>
        <v>LT0PBO01SFLQ1</v>
      </c>
      <c r="F1113" s="238" t="str">
        <f>IFERROR(__xludf.DUMMYFUNCTION("""COMPUTED_VALUE"""),"NNV5A47,RFK8I13")</f>
        <v>NNV5A47,RFK8I13</v>
      </c>
      <c r="G1113" s="238">
        <f>IFERROR(__xludf.DUMMYFUNCTION("""COMPUTED_VALUE"""),45986.125)</f>
        <v>45986.125</v>
      </c>
      <c r="H1113" s="238">
        <f>IFERROR(__xludf.DUMMYFUNCTION("""COMPUTED_VALUE"""),45986.29166666667)</f>
        <v>45986.29167</v>
      </c>
      <c r="I1113" s="237" t="str">
        <f t="shared" si="1"/>
        <v>Fora</v>
      </c>
      <c r="J1113" s="239">
        <v>120.00000001396984</v>
      </c>
    </row>
    <row r="1114">
      <c r="A1114" s="234" t="s">
        <v>2808</v>
      </c>
      <c r="B1114" s="234" t="str">
        <f>IFERROR(__xludf.DUMMYFUNCTION("""COMPUTED_VALUE"""),"LM Hub_SP_Jundiaí")</f>
        <v>LM Hub_SP_Jundiaí</v>
      </c>
      <c r="C1114" s="234" t="str">
        <f>IFERROR(__xludf.DUMMYFUNCTION("""COMPUTED_VALUE"""),"HUB-LSP-20")</f>
        <v>HUB-LSP-20</v>
      </c>
      <c r="D1114" s="234">
        <f>IFERROR(__xludf.DUMMYFUNCTION("""COMPUTED_VALUE"""),12.0)</f>
        <v>12</v>
      </c>
      <c r="E1114" s="237" t="str">
        <f>IFERROR(__xludf.DUMMYFUNCTION("""COMPUTED_VALUE"""),"LT0PBP01SFRV1")</f>
        <v>LT0PBP01SFRV1</v>
      </c>
      <c r="F1114" s="238" t="str">
        <f>IFERROR(__xludf.DUMMYFUNCTION("""COMPUTED_VALUE"""),"UGN4B10")</f>
        <v>UGN4B10</v>
      </c>
      <c r="G1114" s="238">
        <f>IFERROR(__xludf.DUMMYFUNCTION("""COMPUTED_VALUE"""),45986.20833333333)</f>
        <v>45986.20833</v>
      </c>
      <c r="H1114" s="238">
        <f>IFERROR(__xludf.DUMMYFUNCTION("""COMPUTED_VALUE"""),45986.29166666667)</f>
        <v>45986.29167</v>
      </c>
      <c r="I1114" s="237" t="str">
        <f t="shared" si="1"/>
        <v>Fora</v>
      </c>
      <c r="J1114" s="239">
        <v>120.00000001396984</v>
      </c>
    </row>
    <row r="1115">
      <c r="A1115" s="234" t="s">
        <v>2809</v>
      </c>
      <c r="B1115" s="234" t="str">
        <f>IFERROR(__xludf.DUMMYFUNCTION("""COMPUTED_VALUE"""),"LM Hub_SP_Jurubatuba")</f>
        <v>LM Hub_SP_Jurubatuba</v>
      </c>
      <c r="C1115" s="234" t="str">
        <f>IFERROR(__xludf.DUMMYFUNCTION("""COMPUTED_VALUE"""),"HUB-LSP-16")</f>
        <v>HUB-LSP-16</v>
      </c>
      <c r="D1115" s="234">
        <f>IFERROR(__xludf.DUMMYFUNCTION("""COMPUTED_VALUE"""),22.0)</f>
        <v>22</v>
      </c>
      <c r="E1115" s="237" t="str">
        <f>IFERROR(__xludf.DUMMYFUNCTION("""COMPUTED_VALUE"""),"LT0PBP01SGQP1")</f>
        <v>LT0PBP01SGQP1</v>
      </c>
      <c r="F1115" s="238" t="str">
        <f>IFERROR(__xludf.DUMMYFUNCTION("""COMPUTED_VALUE"""),"MQM6I27,FXB7G01")</f>
        <v>MQM6I27,FXB7G01</v>
      </c>
      <c r="G1115" s="238">
        <f>IFERROR(__xludf.DUMMYFUNCTION("""COMPUTED_VALUE"""),45986.20833333333)</f>
        <v>45986.20833</v>
      </c>
      <c r="H1115" s="238">
        <f>IFERROR(__xludf.DUMMYFUNCTION("""COMPUTED_VALUE"""),45986.29166666667)</f>
        <v>45986.29167</v>
      </c>
      <c r="I1115" s="237" t="str">
        <f t="shared" si="1"/>
        <v>Fora</v>
      </c>
      <c r="J1115" s="239">
        <v>120.00000001396984</v>
      </c>
    </row>
    <row r="1116">
      <c r="A1116" s="234" t="s">
        <v>2810</v>
      </c>
      <c r="B1116" s="234" t="str">
        <f>IFERROR(__xludf.DUMMYFUNCTION("""COMPUTED_VALUE"""),"LM Hub_SP_Piracicaba")</f>
        <v>LM Hub_SP_Piracicaba</v>
      </c>
      <c r="C1116" s="234" t="str">
        <f>IFERROR(__xludf.DUMMYFUNCTION("""COMPUTED_VALUE"""),"HUB-LSP-62")</f>
        <v>HUB-LSP-62</v>
      </c>
      <c r="D1116" s="234">
        <f>IFERROR(__xludf.DUMMYFUNCTION("""COMPUTED_VALUE"""),27.0)</f>
        <v>27</v>
      </c>
      <c r="E1116" s="237" t="str">
        <f>IFERROR(__xludf.DUMMYFUNCTION("""COMPUTED_VALUE"""),"LT0PBP01SGBD1")</f>
        <v>LT0PBP01SGBD1</v>
      </c>
      <c r="F1116" s="238" t="str">
        <f>IFERROR(__xludf.DUMMYFUNCTION("""COMPUTED_VALUE"""),"MTB1C44")</f>
        <v>MTB1C44</v>
      </c>
      <c r="G1116" s="238">
        <f>IFERROR(__xludf.DUMMYFUNCTION("""COMPUTED_VALUE"""),45986.20833333333)</f>
        <v>45986.20833</v>
      </c>
      <c r="H1116" s="238">
        <f>IFERROR(__xludf.DUMMYFUNCTION("""COMPUTED_VALUE"""),45986.29166666667)</f>
        <v>45986.29167</v>
      </c>
      <c r="I1116" s="237" t="str">
        <f t="shared" si="1"/>
        <v>Fora</v>
      </c>
      <c r="J1116" s="239">
        <v>120.00000001396984</v>
      </c>
    </row>
    <row r="1117">
      <c r="A1117" s="234" t="s">
        <v>2811</v>
      </c>
      <c r="B1117" s="234" t="str">
        <f>IFERROR(__xludf.DUMMYFUNCTION("""COMPUTED_VALUE"""),"LM Hub_SP_Santos_PraiaGrande_02")</f>
        <v>LM Hub_SP_Santos_PraiaGrande_02</v>
      </c>
      <c r="C1117" s="234" t="str">
        <f>IFERROR(__xludf.DUMMYFUNCTION("""COMPUTED_VALUE"""),"HUB-LSP-63")</f>
        <v>HUB-LSP-63</v>
      </c>
      <c r="D1117" s="234"/>
      <c r="E1117" s="237" t="str">
        <f>IFERROR(__xludf.DUMMYFUNCTION("""COMPUTED_VALUE"""),"LT0PBP01SGRV1")</f>
        <v>LT0PBP01SGRV1</v>
      </c>
      <c r="F1117" s="238" t="str">
        <f>IFERROR(__xludf.DUMMYFUNCTION("""COMPUTED_VALUE"""),"FUC9C37")</f>
        <v>FUC9C37</v>
      </c>
      <c r="G1117" s="238">
        <f>IFERROR(__xludf.DUMMYFUNCTION("""COMPUTED_VALUE"""),45986.20833333333)</f>
        <v>45986.20833</v>
      </c>
      <c r="H1117" s="238">
        <f>IFERROR(__xludf.DUMMYFUNCTION("""COMPUTED_VALUE"""),45986.29166666667)</f>
        <v>45986.29167</v>
      </c>
      <c r="I1117" s="237" t="str">
        <f t="shared" si="1"/>
        <v>Fora</v>
      </c>
      <c r="J1117" s="239">
        <v>60.00000000698492</v>
      </c>
    </row>
    <row r="1118">
      <c r="A1118" s="234" t="s">
        <v>2812</v>
      </c>
      <c r="B1118" s="234" t="str">
        <f>IFERROR(__xludf.DUMMYFUNCTION("""COMPUTED_VALUE"""),"LM Hub_SP_Barueri_01")</f>
        <v>LM Hub_SP_Barueri_01</v>
      </c>
      <c r="C1118" s="234" t="str">
        <f>IFERROR(__xludf.DUMMYFUNCTION("""COMPUTED_VALUE"""),"HUB-LSP-81")</f>
        <v>HUB-LSP-81</v>
      </c>
      <c r="D1118" s="234"/>
      <c r="E1118" s="237" t="str">
        <f>IFERROR(__xludf.DUMMYFUNCTION("""COMPUTED_VALUE"""),"LT0PBP01SKYG1")</f>
        <v>LT0PBP01SKYG1</v>
      </c>
      <c r="F1118" s="238" t="str">
        <f>IFERROR(__xludf.DUMMYFUNCTION("""COMPUTED_VALUE"""),"RCA4J36")</f>
        <v>RCA4J36</v>
      </c>
      <c r="G1118" s="238">
        <f>IFERROR(__xludf.DUMMYFUNCTION("""COMPUTED_VALUE"""),45986.25)</f>
        <v>45986.25</v>
      </c>
      <c r="H1118" s="238">
        <f>IFERROR(__xludf.DUMMYFUNCTION("""COMPUTED_VALUE"""),45986.29166666667)</f>
        <v>45986.29167</v>
      </c>
      <c r="I1118" s="237" t="str">
        <f t="shared" si="1"/>
        <v>Fora</v>
      </c>
      <c r="J1118" s="239">
        <v>119.99999999301508</v>
      </c>
    </row>
    <row r="1119">
      <c r="A1119" s="234" t="s">
        <v>2813</v>
      </c>
      <c r="B1119" s="234" t="str">
        <f>IFERROR(__xludf.DUMMYFUNCTION("""COMPUTED_VALUE"""),"LM Hub_SP_Guarujá")</f>
        <v>LM Hub_SP_Guarujá</v>
      </c>
      <c r="C1119" s="234" t="str">
        <f>IFERROR(__xludf.DUMMYFUNCTION("""COMPUTED_VALUE"""),"HUB-LSP-06")</f>
        <v>HUB-LSP-06</v>
      </c>
      <c r="D1119" s="234">
        <f>IFERROR(__xludf.DUMMYFUNCTION("""COMPUTED_VALUE"""),9.0)</f>
        <v>9</v>
      </c>
      <c r="E1119" s="237" t="str">
        <f>IFERROR(__xludf.DUMMYFUNCTION("""COMPUTED_VALUE"""),"LT0PBP01SGRB1")</f>
        <v>LT0PBP01SGRB1</v>
      </c>
      <c r="F1119" s="238" t="str">
        <f>IFERROR(__xludf.DUMMYFUNCTION("""COMPUTED_VALUE"""),"DIK3532")</f>
        <v>DIK3532</v>
      </c>
      <c r="G1119" s="238">
        <f>IFERROR(__xludf.DUMMYFUNCTION("""COMPUTED_VALUE"""),45986.22916666667)</f>
        <v>45986.22917</v>
      </c>
      <c r="H1119" s="238">
        <f>IFERROR(__xludf.DUMMYFUNCTION("""COMPUTED_VALUE"""),45986.3125)</f>
        <v>45986.3125</v>
      </c>
      <c r="I1119" s="237" t="str">
        <f t="shared" si="1"/>
        <v>Fora</v>
      </c>
      <c r="J1119" s="239">
        <v>119.99999999301508</v>
      </c>
    </row>
    <row r="1120">
      <c r="A1120" s="234" t="s">
        <v>2814</v>
      </c>
      <c r="B1120" s="234" t="str">
        <f>IFERROR(__xludf.DUMMYFUNCTION("""COMPUTED_VALUE"""),"LM Hub_SP_Itapevi")</f>
        <v>LM Hub_SP_Itapevi</v>
      </c>
      <c r="C1120" s="234" t="str">
        <f>IFERROR(__xludf.DUMMYFUNCTION("""COMPUTED_VALUE"""),"HUB-LSP-41")</f>
        <v>HUB-LSP-41</v>
      </c>
      <c r="D1120" s="234">
        <f>IFERROR(__xludf.DUMMYFUNCTION("""COMPUTED_VALUE"""),7.0)</f>
        <v>7</v>
      </c>
      <c r="E1120" s="237" t="str">
        <f>IFERROR(__xludf.DUMMYFUNCTION("""COMPUTED_VALUE"""),"LT0PBP01SFNN1")</f>
        <v>LT0PBP01SFNN1</v>
      </c>
      <c r="F1120" s="238" t="str">
        <f>IFERROR(__xludf.DUMMYFUNCTION("""COMPUTED_VALUE"""),"HNQ8267")</f>
        <v>HNQ8267</v>
      </c>
      <c r="G1120" s="238">
        <f>IFERROR(__xludf.DUMMYFUNCTION("""COMPUTED_VALUE"""),45986.22916666667)</f>
        <v>45986.22917</v>
      </c>
      <c r="H1120" s="238">
        <f>IFERROR(__xludf.DUMMYFUNCTION("""COMPUTED_VALUE"""),45986.3125)</f>
        <v>45986.3125</v>
      </c>
      <c r="I1120" s="237" t="str">
        <f t="shared" si="1"/>
        <v>Fora</v>
      </c>
      <c r="J1120" s="239">
        <v>119.99999999301508</v>
      </c>
    </row>
    <row r="1121">
      <c r="A1121" s="234" t="s">
        <v>2815</v>
      </c>
      <c r="B1121" s="234" t="str">
        <f>IFERROR(__xludf.DUMMYFUNCTION("""COMPUTED_VALUE"""),"LM Hub_SP_Santos_Praia Grande")</f>
        <v>LM Hub_SP_Santos_Praia Grande</v>
      </c>
      <c r="C1121" s="234" t="str">
        <f>IFERROR(__xludf.DUMMYFUNCTION("""COMPUTED_VALUE"""),"HUB-LSP-09")</f>
        <v>HUB-LSP-09</v>
      </c>
      <c r="D1121" s="234">
        <f>IFERROR(__xludf.DUMMYFUNCTION("""COMPUTED_VALUE"""),23.0)</f>
        <v>23</v>
      </c>
      <c r="E1121" s="237" t="str">
        <f>IFERROR(__xludf.DUMMYFUNCTION("""COMPUTED_VALUE"""),"LT0PBP01SGRG1")</f>
        <v>LT0PBP01SGRG1</v>
      </c>
      <c r="F1121" s="238" t="str">
        <f>IFERROR(__xludf.DUMMYFUNCTION("""COMPUTED_VALUE"""),"GDW1D96")</f>
        <v>GDW1D96</v>
      </c>
      <c r="G1121" s="238">
        <f>IFERROR(__xludf.DUMMYFUNCTION("""COMPUTED_VALUE"""),45986.22916666667)</f>
        <v>45986.22917</v>
      </c>
      <c r="H1121" s="238">
        <f>IFERROR(__xludf.DUMMYFUNCTION("""COMPUTED_VALUE"""),45986.3125)</f>
        <v>45986.3125</v>
      </c>
      <c r="I1121" s="237" t="str">
        <f t="shared" si="1"/>
        <v>Fora</v>
      </c>
      <c r="J1121" s="239">
        <v>119.99999999301508</v>
      </c>
    </row>
    <row r="1122">
      <c r="A1122" s="234" t="s">
        <v>2816</v>
      </c>
      <c r="B1122" s="234" t="str">
        <f>IFERROR(__xludf.DUMMYFUNCTION("""COMPUTED_VALUE"""),"LM Hub_SP_São José dos Campos")</f>
        <v>LM Hub_SP_São José dos Campos</v>
      </c>
      <c r="C1122" s="234" t="str">
        <f>IFERROR(__xludf.DUMMYFUNCTION("""COMPUTED_VALUE"""),"HUB-LSP-04")</f>
        <v>HUB-LSP-04</v>
      </c>
      <c r="D1122" s="234">
        <f>IFERROR(__xludf.DUMMYFUNCTION("""COMPUTED_VALUE"""),24.0)</f>
        <v>24</v>
      </c>
      <c r="E1122" s="237" t="str">
        <f>IFERROR(__xludf.DUMMYFUNCTION("""COMPUTED_VALUE"""),"LT0PBP01SGRL1")</f>
        <v>LT0PBP01SGRL1</v>
      </c>
      <c r="F1122" s="238" t="str">
        <f>IFERROR(__xludf.DUMMYFUNCTION("""COMPUTED_VALUE"""),"TBX6B96")</f>
        <v>TBX6B96</v>
      </c>
      <c r="G1122" s="238">
        <f>IFERROR(__xludf.DUMMYFUNCTION("""COMPUTED_VALUE"""),45986.22916666667)</f>
        <v>45986.22917</v>
      </c>
      <c r="H1122" s="238">
        <f>IFERROR(__xludf.DUMMYFUNCTION("""COMPUTED_VALUE"""),45986.3125)</f>
        <v>45986.3125</v>
      </c>
      <c r="I1122" s="237" t="str">
        <f t="shared" si="1"/>
        <v>Fora</v>
      </c>
      <c r="J1122" s="239">
        <v>119.99999999301508</v>
      </c>
    </row>
    <row r="1123">
      <c r="A1123" s="234" t="s">
        <v>2817</v>
      </c>
      <c r="B1123" s="234" t="str">
        <f>IFERROR(__xludf.DUMMYFUNCTION("""COMPUTED_VALUE"""),"LM Hub_SP_São Paulo_Mooca")</f>
        <v>LM Hub_SP_São Paulo_Mooca</v>
      </c>
      <c r="C1123" s="234" t="str">
        <f>IFERROR(__xludf.DUMMYFUNCTION("""COMPUTED_VALUE"""),"HUB-LSP-13")</f>
        <v>HUB-LSP-13</v>
      </c>
      <c r="D1123" s="234">
        <f>IFERROR(__xludf.DUMMYFUNCTION("""COMPUTED_VALUE"""),13.0)</f>
        <v>13</v>
      </c>
      <c r="E1123" s="237" t="str">
        <f>IFERROR(__xludf.DUMMYFUNCTION("""COMPUTED_VALUE"""),"LT0PBP01SOLG1")</f>
        <v>LT0PBP01SOLG1</v>
      </c>
      <c r="F1123" s="238" t="str">
        <f>IFERROR(__xludf.DUMMYFUNCTION("""COMPUTED_VALUE"""),"FGI1F79")</f>
        <v>FGI1F79</v>
      </c>
      <c r="G1123" s="238">
        <f>IFERROR(__xludf.DUMMYFUNCTION("""COMPUTED_VALUE"""),45986.22916666667)</f>
        <v>45986.22917</v>
      </c>
      <c r="H1123" s="238">
        <f>IFERROR(__xludf.DUMMYFUNCTION("""COMPUTED_VALUE"""),45986.3125)</f>
        <v>45986.3125</v>
      </c>
      <c r="I1123" s="237" t="str">
        <f t="shared" si="1"/>
        <v>Fora</v>
      </c>
      <c r="J1123" s="239">
        <v>119.99999999301508</v>
      </c>
    </row>
    <row r="1124">
      <c r="A1124" s="234" t="s">
        <v>2818</v>
      </c>
      <c r="B1124" s="234" t="str">
        <f>IFERROR(__xludf.DUMMYFUNCTION("""COMPUTED_VALUE"""),"LM Hub_SP_Zimba")</f>
        <v>LM Hub_SP_Zimba</v>
      </c>
      <c r="C1124" s="234" t="str">
        <f>IFERROR(__xludf.DUMMYFUNCTION("""COMPUTED_VALUE"""),"HUB-LSP-74")</f>
        <v>HUB-LSP-74</v>
      </c>
      <c r="D1124" s="234">
        <f>IFERROR(__xludf.DUMMYFUNCTION("""COMPUTED_VALUE"""),40.0)</f>
        <v>40</v>
      </c>
      <c r="E1124" s="237" t="str">
        <f>IFERROR(__xludf.DUMMYFUNCTION("""COMPUTED_VALUE"""),"LT0PBP01SGR61")</f>
        <v>LT0PBP01SGR61</v>
      </c>
      <c r="F1124" s="238" t="str">
        <f>IFERROR(__xludf.DUMMYFUNCTION("""COMPUTED_VALUE"""),"OPY9J66")</f>
        <v>OPY9J66</v>
      </c>
      <c r="G1124" s="238">
        <f>IFERROR(__xludf.DUMMYFUNCTION("""COMPUTED_VALUE"""),45986.22916666667)</f>
        <v>45986.22917</v>
      </c>
      <c r="H1124" s="238">
        <f>IFERROR(__xludf.DUMMYFUNCTION("""COMPUTED_VALUE"""),45986.3125)</f>
        <v>45986.3125</v>
      </c>
      <c r="I1124" s="237" t="str">
        <f t="shared" si="1"/>
        <v>Fora</v>
      </c>
      <c r="J1124" s="239">
        <v>299.9999999930151</v>
      </c>
    </row>
    <row r="1125">
      <c r="A1125" s="234" t="s">
        <v>2819</v>
      </c>
      <c r="B1125" s="234" t="str">
        <f>IFERROR(__xludf.DUMMYFUNCTION("""COMPUTED_VALUE"""),"SoC_RJ_Duque de Caxias")</f>
        <v>SoC_RJ_Duque de Caxias</v>
      </c>
      <c r="C1125" s="234" t="str">
        <f>IFERROR(__xludf.DUMMYFUNCTION("""COMPUTED_VALUE"""),"SOC-RJ2")</f>
        <v>SOC-RJ2</v>
      </c>
      <c r="D1125" s="234"/>
      <c r="E1125" s="237" t="str">
        <f>IFERROR(__xludf.DUMMYFUNCTION("""COMPUTED_VALUE"""),"LT0PBO01SHSG1")</f>
        <v>LT0PBO01SHSG1</v>
      </c>
      <c r="F1125" s="238" t="str">
        <f>IFERROR(__xludf.DUMMYFUNCTION("""COMPUTED_VALUE"""),"EJZ8E39,EQM4D52")</f>
        <v>EJZ8E39,EQM4D52</v>
      </c>
      <c r="G1125" s="238">
        <f>IFERROR(__xludf.DUMMYFUNCTION("""COMPUTED_VALUE"""),45986.16666666667)</f>
        <v>45986.16667</v>
      </c>
      <c r="H1125" s="238">
        <f>IFERROR(__xludf.DUMMYFUNCTION("""COMPUTED_VALUE"""),45986.375)</f>
        <v>45986.375</v>
      </c>
      <c r="I1125" s="237" t="str">
        <f t="shared" si="1"/>
        <v>Fora</v>
      </c>
      <c r="J1125" s="239">
        <v>299.9999999930151</v>
      </c>
    </row>
    <row r="1126">
      <c r="A1126" s="234" t="s">
        <v>2820</v>
      </c>
      <c r="B1126" s="234" t="str">
        <f>IFERROR(__xludf.DUMMYFUNCTION("""COMPUTED_VALUE"""),"SoC_RJ_Duque de Caxias")</f>
        <v>SoC_RJ_Duque de Caxias</v>
      </c>
      <c r="C1126" s="234" t="str">
        <f>IFERROR(__xludf.DUMMYFUNCTION("""COMPUTED_VALUE"""),"SOC-RJ2")</f>
        <v>SOC-RJ2</v>
      </c>
      <c r="D1126" s="234"/>
      <c r="E1126" s="237" t="str">
        <f>IFERROR(__xludf.DUMMYFUNCTION("""COMPUTED_VALUE"""),"LT0PBO01SHSI2")</f>
        <v>LT0PBO01SHSI2</v>
      </c>
      <c r="F1126" s="238" t="str">
        <f>IFERROR(__xludf.DUMMYFUNCTION("""COMPUTED_VALUE"""),"EPU5C78,TIV0I78")</f>
        <v>EPU5C78,TIV0I78</v>
      </c>
      <c r="G1126" s="238">
        <f>IFERROR(__xludf.DUMMYFUNCTION("""COMPUTED_VALUE"""),45986.16666666667)</f>
        <v>45986.16667</v>
      </c>
      <c r="H1126" s="238">
        <f>IFERROR(__xludf.DUMMYFUNCTION("""COMPUTED_VALUE"""),45986.375)</f>
        <v>45986.375</v>
      </c>
      <c r="I1126" s="237" t="str">
        <f t="shared" si="1"/>
        <v>Fora</v>
      </c>
      <c r="J1126" s="239">
        <v>120.00000001396984</v>
      </c>
    </row>
    <row r="1127">
      <c r="A1127" s="234" t="s">
        <v>2821</v>
      </c>
      <c r="B1127" s="234" t="str">
        <f>IFERROR(__xludf.DUMMYFUNCTION("""COMPUTED_VALUE"""),"LM Hub_MG_Juiz de Fora_Dist Ind")</f>
        <v>LM Hub_MG_Juiz de Fora_Dist Ind</v>
      </c>
      <c r="C1127" s="234" t="str">
        <f>IFERROR(__xludf.DUMMYFUNCTION("""COMPUTED_VALUE"""),"HUB-LMG-59")</f>
        <v>HUB-LMG-59</v>
      </c>
      <c r="D1127" s="234">
        <f>IFERROR(__xludf.DUMMYFUNCTION("""COMPUTED_VALUE"""),12.0)</f>
        <v>12</v>
      </c>
      <c r="E1127" s="237" t="str">
        <f>IFERROR(__xludf.DUMMYFUNCTION("""COMPUTED_VALUE"""),"LT0PBP01SM1J1")</f>
        <v>LT0PBP01SM1J1</v>
      </c>
      <c r="F1127" s="238" t="str">
        <f>IFERROR(__xludf.DUMMYFUNCTION("""COMPUTED_VALUE"""),"SVY7B23")</f>
        <v>SVY7B23</v>
      </c>
      <c r="G1127" s="238">
        <f>IFERROR(__xludf.DUMMYFUNCTION("""COMPUTED_VALUE"""),45986.89583333333)</f>
        <v>45986.89583</v>
      </c>
      <c r="H1127" s="238">
        <f>IFERROR(__xludf.DUMMYFUNCTION("""COMPUTED_VALUE"""),45986.97916666667)</f>
        <v>45986.97917</v>
      </c>
      <c r="I1127" s="237" t="str">
        <f t="shared" si="1"/>
        <v>Fora</v>
      </c>
      <c r="J1127" s="239">
        <v>120.00000001396984</v>
      </c>
    </row>
    <row r="1128">
      <c r="A1128" s="234" t="s">
        <v>2822</v>
      </c>
      <c r="B1128" s="234" t="str">
        <f>IFERROR(__xludf.DUMMYFUNCTION("""COMPUTED_VALUE"""),"LM Hub_SP_Jurubatuba")</f>
        <v>LM Hub_SP_Jurubatuba</v>
      </c>
      <c r="C1128" s="234" t="str">
        <f>IFERROR(__xludf.DUMMYFUNCTION("""COMPUTED_VALUE"""),"HUB-LSP-16")</f>
        <v>HUB-LSP-16</v>
      </c>
      <c r="D1128" s="234"/>
      <c r="E1128" s="237" t="str">
        <f>IFERROR(__xludf.DUMMYFUNCTION("""COMPUTED_VALUE"""),"LT0PBP01SFN71")</f>
        <v>LT0PBP01SFN71</v>
      </c>
      <c r="F1128" s="238" t="str">
        <f>IFERROR(__xludf.DUMMYFUNCTION("""COMPUTED_VALUE"""),"MQM6I27")</f>
        <v>MQM6I27</v>
      </c>
      <c r="G1128" s="238">
        <f>IFERROR(__xludf.DUMMYFUNCTION("""COMPUTED_VALUE"""),45986.89583333333)</f>
        <v>45986.89583</v>
      </c>
      <c r="H1128" s="238">
        <f>IFERROR(__xludf.DUMMYFUNCTION("""COMPUTED_VALUE"""),45986.97916666667)</f>
        <v>45986.97917</v>
      </c>
      <c r="I1128" s="237" t="str">
        <f t="shared" si="1"/>
        <v>Fora</v>
      </c>
      <c r="J1128" s="239">
        <v>120.00000001396984</v>
      </c>
    </row>
    <row r="1129">
      <c r="A1129" s="234" t="s">
        <v>2823</v>
      </c>
      <c r="B1129" s="234" t="str">
        <f>IFERROR(__xludf.DUMMYFUNCTION("""COMPUTED_VALUE"""),"LM Hub_SP_Santos_Praia Grande")</f>
        <v>LM Hub_SP_Santos_Praia Grande</v>
      </c>
      <c r="C1129" s="234" t="str">
        <f>IFERROR(__xludf.DUMMYFUNCTION("""COMPUTED_VALUE"""),"HUB-LSP-09")</f>
        <v>HUB-LSP-09</v>
      </c>
      <c r="D1129" s="234">
        <f>IFERROR(__xludf.DUMMYFUNCTION("""COMPUTED_VALUE"""),27.0)</f>
        <v>27</v>
      </c>
      <c r="E1129" s="237" t="str">
        <f>IFERROR(__xludf.DUMMYFUNCTION("""COMPUTED_VALUE"""),"LT0PBP01SFQ11")</f>
        <v>LT0PBP01SFQ11</v>
      </c>
      <c r="F1129" s="238" t="str">
        <f>IFERROR(__xludf.DUMMYFUNCTION("""COMPUTED_VALUE"""),"FUZ4C73,TLL9H76")</f>
        <v>FUZ4C73,TLL9H76</v>
      </c>
      <c r="G1129" s="238">
        <f>IFERROR(__xludf.DUMMYFUNCTION("""COMPUTED_VALUE"""),45986.89583333333)</f>
        <v>45986.89583</v>
      </c>
      <c r="H1129" s="238">
        <f>IFERROR(__xludf.DUMMYFUNCTION("""COMPUTED_VALUE"""),45986.97916666667)</f>
        <v>45986.97917</v>
      </c>
      <c r="I1129" s="237" t="str">
        <f t="shared" si="1"/>
        <v>Fora</v>
      </c>
      <c r="J1129" s="239">
        <v>120.00000001396984</v>
      </c>
    </row>
    <row r="1130">
      <c r="A1130" s="234" t="s">
        <v>2824</v>
      </c>
      <c r="B1130" s="234" t="str">
        <f>IFERROR(__xludf.DUMMYFUNCTION("""COMPUTED_VALUE"""),"LM Hub_SP_Zimba")</f>
        <v>LM Hub_SP_Zimba</v>
      </c>
      <c r="C1130" s="234" t="str">
        <f>IFERROR(__xludf.DUMMYFUNCTION("""COMPUTED_VALUE"""),"HUB-LSP-74")</f>
        <v>HUB-LSP-74</v>
      </c>
      <c r="D1130" s="234">
        <f>IFERROR(__xludf.DUMMYFUNCTION("""COMPUTED_VALUE"""),29.0)</f>
        <v>29</v>
      </c>
      <c r="E1130" s="237" t="str">
        <f>IFERROR(__xludf.DUMMYFUNCTION("""COMPUTED_VALUE"""),"LT0PBP01SFO61")</f>
        <v>LT0PBP01SFO61</v>
      </c>
      <c r="F1130" s="238" t="str">
        <f>IFERROR(__xludf.DUMMYFUNCTION("""COMPUTED_VALUE"""),"SUQ5C99,TLD5B82")</f>
        <v>SUQ5C99,TLD5B82</v>
      </c>
      <c r="G1130" s="238">
        <f>IFERROR(__xludf.DUMMYFUNCTION("""COMPUTED_VALUE"""),45986.89583333333)</f>
        <v>45986.89583</v>
      </c>
      <c r="H1130" s="238">
        <f>IFERROR(__xludf.DUMMYFUNCTION("""COMPUTED_VALUE"""),45986.97916666667)</f>
        <v>45986.97917</v>
      </c>
      <c r="I1130" s="237" t="str">
        <f t="shared" si="1"/>
        <v>Fora</v>
      </c>
      <c r="J1130" s="239">
        <v>119.00000001071021</v>
      </c>
    </row>
    <row r="1131">
      <c r="A1131" s="234" t="s">
        <v>2825</v>
      </c>
      <c r="B1131" s="234" t="str">
        <f>IFERROR(__xludf.DUMMYFUNCTION("""COMPUTED_VALUE"""),"LM Hub_SP_Mogi das Cruzes_Jund")</f>
        <v>LM Hub_SP_Mogi das Cruzes_Jund</v>
      </c>
      <c r="C1131" s="234" t="str">
        <f>IFERROR(__xludf.DUMMYFUNCTION("""COMPUTED_VALUE"""),"HUB-LSP-78")</f>
        <v>HUB-LSP-78</v>
      </c>
      <c r="D1131" s="234"/>
      <c r="E1131" s="237" t="str">
        <f>IFERROR(__xludf.DUMMYFUNCTION("""COMPUTED_VALUE"""),"LT0PBP01SIHZ1")</f>
        <v>LT0PBP01SIHZ1</v>
      </c>
      <c r="F1131" s="234"/>
      <c r="G1131" s="238">
        <f>IFERROR(__xludf.DUMMYFUNCTION("""COMPUTED_VALUE"""),45986.896527777775)</f>
        <v>45986.89653</v>
      </c>
      <c r="H1131" s="238">
        <f>IFERROR(__xludf.DUMMYFUNCTION("""COMPUTED_VALUE"""),45986.97916666667)</f>
        <v>45986.97917</v>
      </c>
      <c r="I1131" s="237" t="str">
        <f t="shared" si="1"/>
        <v>Fora</v>
      </c>
      <c r="J1131" s="239">
        <v>119.00000001071021</v>
      </c>
    </row>
    <row r="1132">
      <c r="A1132" s="234" t="s">
        <v>2826</v>
      </c>
      <c r="B1132" s="234" t="str">
        <f>IFERROR(__xludf.DUMMYFUNCTION("""COMPUTED_VALUE"""),"LM Hub_SP_São José dos Campos")</f>
        <v>LM Hub_SP_São José dos Campos</v>
      </c>
      <c r="C1132" s="234" t="str">
        <f>IFERROR(__xludf.DUMMYFUNCTION("""COMPUTED_VALUE"""),"HUB-LSP-04")</f>
        <v>HUB-LSP-04</v>
      </c>
      <c r="D1132" s="234">
        <f>IFERROR(__xludf.DUMMYFUNCTION("""COMPUTED_VALUE"""),19.0)</f>
        <v>19</v>
      </c>
      <c r="E1132" s="237" t="str">
        <f>IFERROR(__xludf.DUMMYFUNCTION("""COMPUTED_VALUE"""),"LT0PBP01SODE1")</f>
        <v>LT0PBP01SODE1</v>
      </c>
      <c r="F1132" s="238" t="str">
        <f>IFERROR(__xludf.DUMMYFUNCTION("""COMPUTED_VALUE"""),"TIR7J78")</f>
        <v>TIR7J78</v>
      </c>
      <c r="G1132" s="238">
        <f>IFERROR(__xludf.DUMMYFUNCTION("""COMPUTED_VALUE"""),45986.896527777775)</f>
        <v>45986.89653</v>
      </c>
      <c r="H1132" s="238">
        <f>IFERROR(__xludf.DUMMYFUNCTION("""COMPUTED_VALUE"""),45986.97916666667)</f>
        <v>45986.97917</v>
      </c>
      <c r="I1132" s="237" t="str">
        <f t="shared" si="1"/>
        <v>Fora</v>
      </c>
      <c r="J1132" s="239">
        <v>118.00000000745058</v>
      </c>
    </row>
    <row r="1133">
      <c r="A1133" s="234" t="s">
        <v>2827</v>
      </c>
      <c r="B1133" s="234" t="str">
        <f>IFERROR(__xludf.DUMMYFUNCTION("""COMPUTED_VALUE"""),"LM Hub_SP_São Paulo_Lapa")</f>
        <v>LM Hub_SP_São Paulo_Lapa</v>
      </c>
      <c r="C1133" s="234" t="str">
        <f>IFERROR(__xludf.DUMMYFUNCTION("""COMPUTED_VALUE"""),"HUB-LSP-15")</f>
        <v>HUB-LSP-15</v>
      </c>
      <c r="D1133" s="234">
        <f>IFERROR(__xludf.DUMMYFUNCTION("""COMPUTED_VALUE"""),38.0)</f>
        <v>38</v>
      </c>
      <c r="E1133" s="237" t="str">
        <f>IFERROR(__xludf.DUMMYFUNCTION("""COMPUTED_VALUE"""),"LT0PBP01SFN21")</f>
        <v>LT0PBP01SFN21</v>
      </c>
      <c r="F1133" s="238" t="str">
        <f>IFERROR(__xludf.DUMMYFUNCTION("""COMPUTED_VALUE"""),"DZO5G56,GFT5F38")</f>
        <v>DZO5G56,GFT5F38</v>
      </c>
      <c r="G1133" s="238">
        <f>IFERROR(__xludf.DUMMYFUNCTION("""COMPUTED_VALUE"""),45986.89722222222)</f>
        <v>45986.89722</v>
      </c>
      <c r="H1133" s="238">
        <f>IFERROR(__xludf.DUMMYFUNCTION("""COMPUTED_VALUE"""),45986.97916666667)</f>
        <v>45986.97917</v>
      </c>
      <c r="I1133" s="237" t="str">
        <f t="shared" si="1"/>
        <v>Fora</v>
      </c>
      <c r="J1133" s="239">
        <v>118.99999998975545</v>
      </c>
    </row>
    <row r="1134">
      <c r="A1134" s="234" t="s">
        <v>2828</v>
      </c>
      <c r="B1134" s="234" t="str">
        <f>IFERROR(__xludf.DUMMYFUNCTION("""COMPUTED_VALUE"""),"LM Hub_SP_Guarujá")</f>
        <v>LM Hub_SP_Guarujá</v>
      </c>
      <c r="C1134" s="234" t="str">
        <f>IFERROR(__xludf.DUMMYFUNCTION("""COMPUTED_VALUE"""),"HUB-LSP-06")</f>
        <v>HUB-LSP-06</v>
      </c>
      <c r="D1134" s="234">
        <f>IFERROR(__xludf.DUMMYFUNCTION("""COMPUTED_VALUE"""),9.0)</f>
        <v>9</v>
      </c>
      <c r="E1134" s="237" t="str">
        <f>IFERROR(__xludf.DUMMYFUNCTION("""COMPUTED_VALUE"""),"LT0PBP01SFP11")</f>
        <v>LT0PBP01SFP11</v>
      </c>
      <c r="F1134" s="238" t="str">
        <f>IFERROR(__xludf.DUMMYFUNCTION("""COMPUTED_VALUE"""),"TJN5H17")</f>
        <v>TJN5H17</v>
      </c>
      <c r="G1134" s="238">
        <f>IFERROR(__xludf.DUMMYFUNCTION("""COMPUTED_VALUE"""),45986.91666666667)</f>
        <v>45986.91667</v>
      </c>
      <c r="H1134" s="238">
        <f>IFERROR(__xludf.DUMMYFUNCTION("""COMPUTED_VALUE"""),45986.99930555555)</f>
        <v>45986.99931</v>
      </c>
      <c r="I1134" s="237" t="str">
        <f t="shared" si="1"/>
        <v>Fora</v>
      </c>
      <c r="J1134" s="239">
        <v>119.99999999301508</v>
      </c>
    </row>
    <row r="1135">
      <c r="A1135" s="234" t="s">
        <v>2829</v>
      </c>
      <c r="B1135" s="234" t="str">
        <f>IFERROR(__xludf.DUMMYFUNCTION("""COMPUTED_VALUE"""),"LM Hub_RS_Porto Alegre_Floresta")</f>
        <v>LM Hub_RS_Porto Alegre_Floresta</v>
      </c>
      <c r="C1135" s="234" t="str">
        <f>IFERROR(__xludf.DUMMYFUNCTION("""COMPUTED_VALUE"""),"HUB-LRS-03")</f>
        <v>HUB-LRS-03</v>
      </c>
      <c r="D1135" s="234">
        <f>IFERROR(__xludf.DUMMYFUNCTION("""COMPUTED_VALUE"""),21.0)</f>
        <v>21</v>
      </c>
      <c r="E1135" s="237" t="str">
        <f>IFERROR(__xludf.DUMMYFUNCTION("""COMPUTED_VALUE"""),"LT0PBP01SM101")</f>
        <v>LT0PBP01SM101</v>
      </c>
      <c r="F1135" s="238" t="str">
        <f>IFERROR(__xludf.DUMMYFUNCTION("""COMPUTED_VALUE"""),"QJQ8D32")</f>
        <v>QJQ8D32</v>
      </c>
      <c r="G1135" s="238">
        <f>IFERROR(__xludf.DUMMYFUNCTION("""COMPUTED_VALUE"""),45986.91666666667)</f>
        <v>45986.91667</v>
      </c>
      <c r="H1135" s="238">
        <f>IFERROR(__xludf.DUMMYFUNCTION("""COMPUTED_VALUE"""),45987.0)</f>
        <v>45987</v>
      </c>
      <c r="I1135" s="237" t="str">
        <f t="shared" si="1"/>
        <v>Fora</v>
      </c>
      <c r="J1135" s="239">
        <v>119.99999999301508</v>
      </c>
    </row>
    <row r="1136">
      <c r="A1136" s="234" t="s">
        <v>2830</v>
      </c>
      <c r="B1136" s="234" t="str">
        <f>IFERROR(__xludf.DUMMYFUNCTION("""COMPUTED_VALUE"""),"LM Hub_SP_Artur Alvim")</f>
        <v>LM Hub_SP_Artur Alvim</v>
      </c>
      <c r="C1136" s="234" t="str">
        <f>IFERROR(__xludf.DUMMYFUNCTION("""COMPUTED_VALUE"""),"HUB-LSP-07")</f>
        <v>HUB-LSP-07</v>
      </c>
      <c r="D1136" s="234">
        <f>IFERROR(__xludf.DUMMYFUNCTION("""COMPUTED_VALUE"""),14.0)</f>
        <v>14</v>
      </c>
      <c r="E1136" s="237" t="str">
        <f>IFERROR(__xludf.DUMMYFUNCTION("""COMPUTED_VALUE"""),"LT0PBP01SFMM1")</f>
        <v>LT0PBP01SFMM1</v>
      </c>
      <c r="F1136" s="238" t="str">
        <f>IFERROR(__xludf.DUMMYFUNCTION("""COMPUTED_VALUE"""),"FEQ5G38,DBM6B83")</f>
        <v>FEQ5G38,DBM6B83</v>
      </c>
      <c r="G1136" s="238">
        <f>IFERROR(__xludf.DUMMYFUNCTION("""COMPUTED_VALUE"""),45986.91666666667)</f>
        <v>45986.91667</v>
      </c>
      <c r="H1136" s="238">
        <f>IFERROR(__xludf.DUMMYFUNCTION("""COMPUTED_VALUE"""),45987.0)</f>
        <v>45987</v>
      </c>
      <c r="I1136" s="237" t="str">
        <f t="shared" si="1"/>
        <v>Fora</v>
      </c>
      <c r="J1136" s="239">
        <v>119.99999999301508</v>
      </c>
    </row>
    <row r="1137">
      <c r="A1137" s="234" t="s">
        <v>2831</v>
      </c>
      <c r="B1137" s="234" t="str">
        <f>IFERROR(__xludf.DUMMYFUNCTION("""COMPUTED_VALUE"""),"LM Hub_SP_Barueri_01")</f>
        <v>LM Hub_SP_Barueri_01</v>
      </c>
      <c r="C1137" s="234" t="str">
        <f>IFERROR(__xludf.DUMMYFUNCTION("""COMPUTED_VALUE"""),"HUB-LSP-81")</f>
        <v>HUB-LSP-81</v>
      </c>
      <c r="D1137" s="234">
        <f>IFERROR(__xludf.DUMMYFUNCTION("""COMPUTED_VALUE"""),6.0)</f>
        <v>6</v>
      </c>
      <c r="E1137" s="237" t="str">
        <f>IFERROR(__xludf.DUMMYFUNCTION("""COMPUTED_VALUE"""),"LT0PBP01SKYM1")</f>
        <v>LT0PBP01SKYM1</v>
      </c>
      <c r="F1137" s="238" t="str">
        <f>IFERROR(__xludf.DUMMYFUNCTION("""COMPUTED_VALUE"""),"GEV2J37")</f>
        <v>GEV2J37</v>
      </c>
      <c r="G1137" s="238">
        <f>IFERROR(__xludf.DUMMYFUNCTION("""COMPUTED_VALUE"""),45986.91666666667)</f>
        <v>45986.91667</v>
      </c>
      <c r="H1137" s="238">
        <f>IFERROR(__xludf.DUMMYFUNCTION("""COMPUTED_VALUE"""),45987.0)</f>
        <v>45987</v>
      </c>
      <c r="I1137" s="237" t="str">
        <f t="shared" si="1"/>
        <v>Fora</v>
      </c>
      <c r="J1137" s="239">
        <v>119.99999999301508</v>
      </c>
    </row>
    <row r="1138">
      <c r="A1138" s="234" t="s">
        <v>2832</v>
      </c>
      <c r="B1138" s="234" t="str">
        <f>IFERROR(__xludf.DUMMYFUNCTION("""COMPUTED_VALUE"""),"LM Hub_SP_Limeira_Campo Belo")</f>
        <v>LM Hub_SP_Limeira_Campo Belo</v>
      </c>
      <c r="C1138" s="234" t="str">
        <f>IFERROR(__xludf.DUMMYFUNCTION("""COMPUTED_VALUE"""),"HUB-LSP-24")</f>
        <v>HUB-LSP-24</v>
      </c>
      <c r="D1138" s="234">
        <f>IFERROR(__xludf.DUMMYFUNCTION("""COMPUTED_VALUE"""),39.0)</f>
        <v>39</v>
      </c>
      <c r="E1138" s="237" t="str">
        <f>IFERROR(__xludf.DUMMYFUNCTION("""COMPUTED_VALUE"""),"LT0PBP01SFQI1")</f>
        <v>LT0PBP01SFQI1</v>
      </c>
      <c r="F1138" s="238" t="str">
        <f>IFERROR(__xludf.DUMMYFUNCTION("""COMPUTED_VALUE"""),"SVM9H44,GDU4H95")</f>
        <v>SVM9H44,GDU4H95</v>
      </c>
      <c r="G1138" s="238">
        <f>IFERROR(__xludf.DUMMYFUNCTION("""COMPUTED_VALUE"""),45986.91666666667)</f>
        <v>45986.91667</v>
      </c>
      <c r="H1138" s="238">
        <f>IFERROR(__xludf.DUMMYFUNCTION("""COMPUTED_VALUE"""),45987.0)</f>
        <v>45987</v>
      </c>
      <c r="I1138" s="237" t="str">
        <f t="shared" si="1"/>
        <v>Fora</v>
      </c>
      <c r="J1138" s="239">
        <v>119.99999999301508</v>
      </c>
    </row>
    <row r="1139">
      <c r="A1139" s="234" t="s">
        <v>2833</v>
      </c>
      <c r="B1139" s="234" t="str">
        <f>IFERROR(__xludf.DUMMYFUNCTION("""COMPUTED_VALUE"""),"LM Hub_SP_Mauá")</f>
        <v>LM Hub_SP_Mauá</v>
      </c>
      <c r="C1139" s="234" t="str">
        <f>IFERROR(__xludf.DUMMYFUNCTION("""COMPUTED_VALUE"""),"HUB-LSP-64")</f>
        <v>HUB-LSP-64</v>
      </c>
      <c r="D1139" s="234">
        <f>IFERROR(__xludf.DUMMYFUNCTION("""COMPUTED_VALUE"""),16.0)</f>
        <v>16</v>
      </c>
      <c r="E1139" s="237" t="str">
        <f>IFERROR(__xludf.DUMMYFUNCTION("""COMPUTED_VALUE"""),"LT0PBP01SFNZ1")</f>
        <v>LT0PBP01SFNZ1</v>
      </c>
      <c r="F1139" s="238" t="str">
        <f>IFERROR(__xludf.DUMMYFUNCTION("""COMPUTED_VALUE"""),"ONN9D62")</f>
        <v>ONN9D62</v>
      </c>
      <c r="G1139" s="238">
        <f>IFERROR(__xludf.DUMMYFUNCTION("""COMPUTED_VALUE"""),45986.91666666667)</f>
        <v>45986.91667</v>
      </c>
      <c r="H1139" s="238">
        <f>IFERROR(__xludf.DUMMYFUNCTION("""COMPUTED_VALUE"""),45987.0)</f>
        <v>45987</v>
      </c>
      <c r="I1139" s="237" t="str">
        <f t="shared" si="1"/>
        <v>Fora</v>
      </c>
      <c r="J1139" s="239">
        <v>119.99999999301508</v>
      </c>
    </row>
    <row r="1140">
      <c r="A1140" s="234" t="s">
        <v>2834</v>
      </c>
      <c r="B1140" s="234" t="str">
        <f>IFERROR(__xludf.DUMMYFUNCTION("""COMPUTED_VALUE"""),"LM Hub_SP_São José do Rio P")</f>
        <v>LM Hub_SP_São José do Rio P</v>
      </c>
      <c r="C1140" s="234" t="str">
        <f>IFERROR(__xludf.DUMMYFUNCTION("""COMPUTED_VALUE"""),"HUB-LSP-27")</f>
        <v>HUB-LSP-27</v>
      </c>
      <c r="D1140" s="234">
        <f>IFERROR(__xludf.DUMMYFUNCTION("""COMPUTED_VALUE"""),41.0)</f>
        <v>41</v>
      </c>
      <c r="E1140" s="237" t="str">
        <f>IFERROR(__xludf.DUMMYFUNCTION("""COMPUTED_VALUE"""),"LT0PBP01SJO21")</f>
        <v>LT0PBP01SJO21</v>
      </c>
      <c r="F1140" s="238" t="str">
        <f>IFERROR(__xludf.DUMMYFUNCTION("""COMPUTED_VALUE"""),"SFB9G11")</f>
        <v>SFB9G11</v>
      </c>
      <c r="G1140" s="238">
        <f>IFERROR(__xludf.DUMMYFUNCTION("""COMPUTED_VALUE"""),45986.91666666667)</f>
        <v>45986.91667</v>
      </c>
      <c r="H1140" s="238">
        <f>IFERROR(__xludf.DUMMYFUNCTION("""COMPUTED_VALUE"""),45987.0)</f>
        <v>45987</v>
      </c>
      <c r="I1140" s="237" t="str">
        <f t="shared" si="1"/>
        <v>Fora</v>
      </c>
      <c r="J1140" s="239">
        <v>119.99999999301508</v>
      </c>
    </row>
    <row r="1141">
      <c r="A1141" s="234" t="s">
        <v>2835</v>
      </c>
      <c r="B1141" s="234" t="str">
        <f>IFERROR(__xludf.DUMMYFUNCTION("""COMPUTED_VALUE"""),"SoC_MG_Betim")</f>
        <v>SoC_MG_Betim</v>
      </c>
      <c r="C1141" s="234" t="str">
        <f>IFERROR(__xludf.DUMMYFUNCTION("""COMPUTED_VALUE"""),"SOC-MG2")</f>
        <v>SOC-MG2</v>
      </c>
      <c r="D1141" s="234">
        <f>IFERROR(__xludf.DUMMYFUNCTION("""COMPUTED_VALUE"""),49.0)</f>
        <v>49</v>
      </c>
      <c r="E1141" s="237" t="str">
        <f>IFERROR(__xludf.DUMMYFUNCTION("""COMPUTED_VALUE"""),"LT1PBP01SUDV1")</f>
        <v>LT1PBP01SUDV1</v>
      </c>
      <c r="F1141" s="238" t="str">
        <f>IFERROR(__xludf.DUMMYFUNCTION("""COMPUTED_VALUE"""),"RHS4J79,TBV1I68")</f>
        <v>RHS4J79,TBV1I68</v>
      </c>
      <c r="G1141" s="238">
        <f>IFERROR(__xludf.DUMMYFUNCTION("""COMPUTED_VALUE"""),45986.91666666667)</f>
        <v>45986.91667</v>
      </c>
      <c r="H1141" s="238">
        <f>IFERROR(__xludf.DUMMYFUNCTION("""COMPUTED_VALUE"""),45987.0)</f>
        <v>45987</v>
      </c>
      <c r="I1141" s="237" t="str">
        <f t="shared" si="1"/>
        <v>Fora</v>
      </c>
      <c r="J1141" s="239">
        <v>119.99999999301508</v>
      </c>
    </row>
    <row r="1142">
      <c r="A1142" s="234" t="s">
        <v>2836</v>
      </c>
      <c r="B1142" s="234" t="str">
        <f>IFERROR(__xludf.DUMMYFUNCTION("""COMPUTED_VALUE"""),"SoC_RS_Gravataí_02")</f>
        <v>SoC_RS_Gravataí_02</v>
      </c>
      <c r="C1142" s="234" t="str">
        <f>IFERROR(__xludf.DUMMYFUNCTION("""COMPUTED_VALUE"""),"SOC-RS2")</f>
        <v>SOC-RS2</v>
      </c>
      <c r="D1142" s="234">
        <f>IFERROR(__xludf.DUMMYFUNCTION("""COMPUTED_VALUE"""),25.0)</f>
        <v>25</v>
      </c>
      <c r="E1142" s="237" t="str">
        <f>IFERROR(__xludf.DUMMYFUNCTION("""COMPUTED_VALUE"""),"LT1PBP01SV2T1")</f>
        <v>LT1PBP01SV2T1</v>
      </c>
      <c r="F1142" s="238" t="str">
        <f>IFERROR(__xludf.DUMMYFUNCTION("""COMPUTED_VALUE"""),"SVG9B85")</f>
        <v>SVG9B85</v>
      </c>
      <c r="G1142" s="238">
        <f>IFERROR(__xludf.DUMMYFUNCTION("""COMPUTED_VALUE"""),45986.91666666667)</f>
        <v>45986.91667</v>
      </c>
      <c r="H1142" s="238">
        <f>IFERROR(__xludf.DUMMYFUNCTION("""COMPUTED_VALUE"""),45987.0)</f>
        <v>45987</v>
      </c>
      <c r="I1142" s="237" t="str">
        <f t="shared" si="1"/>
        <v>Fora</v>
      </c>
      <c r="J1142" s="239">
        <v>119.00000000023283</v>
      </c>
    </row>
    <row r="1143">
      <c r="A1143" s="234" t="s">
        <v>2837</v>
      </c>
      <c r="B1143" s="234" t="str">
        <f>IFERROR(__xludf.DUMMYFUNCTION("""COMPUTED_VALUE"""),"LM Hub_SP_Guarulhos")</f>
        <v>LM Hub_SP_Guarulhos</v>
      </c>
      <c r="C1143" s="234" t="str">
        <f>IFERROR(__xludf.DUMMYFUNCTION("""COMPUTED_VALUE"""),"HUB-LSP-77")</f>
        <v>HUB-LSP-77</v>
      </c>
      <c r="D1143" s="234"/>
      <c r="E1143" s="237" t="str">
        <f>IFERROR(__xludf.DUMMYFUNCTION("""COMPUTED_VALUE"""),"LT0PBP01SGB81")</f>
        <v>LT0PBP01SGB81</v>
      </c>
      <c r="F1143" s="238" t="str">
        <f>IFERROR(__xludf.DUMMYFUNCTION("""COMPUTED_VALUE"""),"FEB5I21,FRT9A70")</f>
        <v>FEB5I21,FRT9A70</v>
      </c>
      <c r="G1143" s="238">
        <f>IFERROR(__xludf.DUMMYFUNCTION("""COMPUTED_VALUE"""),45986.91736111111)</f>
        <v>45986.91736</v>
      </c>
      <c r="H1143" s="238">
        <f>IFERROR(__xludf.DUMMYFUNCTION("""COMPUTED_VALUE"""),45987.0)</f>
        <v>45987</v>
      </c>
      <c r="I1143" s="237" t="str">
        <f t="shared" si="1"/>
        <v>Fora</v>
      </c>
      <c r="J1143" s="239">
        <v>119.00000000023283</v>
      </c>
    </row>
    <row r="1144">
      <c r="A1144" s="234" t="s">
        <v>2838</v>
      </c>
      <c r="B1144" s="234" t="str">
        <f>IFERROR(__xludf.DUMMYFUNCTION("""COMPUTED_VALUE"""),"LM Hub_SP_Itapevi")</f>
        <v>LM Hub_SP_Itapevi</v>
      </c>
      <c r="C1144" s="234" t="str">
        <f>IFERROR(__xludf.DUMMYFUNCTION("""COMPUTED_VALUE"""),"HUB-LSP-41")</f>
        <v>HUB-LSP-41</v>
      </c>
      <c r="D1144" s="234">
        <f>IFERROR(__xludf.DUMMYFUNCTION("""COMPUTED_VALUE"""),5.0)</f>
        <v>5</v>
      </c>
      <c r="E1144" s="237" t="str">
        <f>IFERROR(__xludf.DUMMYFUNCTION("""COMPUTED_VALUE"""),"LT0PBP01SOCT1")</f>
        <v>LT0PBP01SOCT1</v>
      </c>
      <c r="F1144" s="238" t="str">
        <f>IFERROR(__xludf.DUMMYFUNCTION("""COMPUTED_VALUE"""),"FYQ5533")</f>
        <v>FYQ5533</v>
      </c>
      <c r="G1144" s="238">
        <f>IFERROR(__xludf.DUMMYFUNCTION("""COMPUTED_VALUE"""),45986.91736111111)</f>
        <v>45986.91736</v>
      </c>
      <c r="H1144" s="238">
        <f>IFERROR(__xludf.DUMMYFUNCTION("""COMPUTED_VALUE"""),45987.0)</f>
        <v>45987</v>
      </c>
      <c r="I1144" s="237" t="str">
        <f t="shared" si="1"/>
        <v>Fora</v>
      </c>
      <c r="J1144" s="239">
        <v>119.00000000023283</v>
      </c>
    </row>
    <row r="1145">
      <c r="A1145" s="234" t="s">
        <v>2839</v>
      </c>
      <c r="B1145" s="234" t="str">
        <f>IFERROR(__xludf.DUMMYFUNCTION("""COMPUTED_VALUE"""),"LM Hub_SP_Santo André")</f>
        <v>LM Hub_SP_Santo André</v>
      </c>
      <c r="C1145" s="234" t="str">
        <f>IFERROR(__xludf.DUMMYFUNCTION("""COMPUTED_VALUE"""),"HUB-LSP-93")</f>
        <v>HUB-LSP-93</v>
      </c>
      <c r="D1145" s="234">
        <f>IFERROR(__xludf.DUMMYFUNCTION("""COMPUTED_VALUE"""),24.0)</f>
        <v>24</v>
      </c>
      <c r="E1145" s="237" t="str">
        <f>IFERROR(__xludf.DUMMYFUNCTION("""COMPUTED_VALUE"""),"LT0PBP01SI911")</f>
        <v>LT0PBP01SI911</v>
      </c>
      <c r="F1145" s="238" t="str">
        <f>IFERROR(__xludf.DUMMYFUNCTION("""COMPUTED_VALUE"""),"FQF6B98,DTA7802")</f>
        <v>FQF6B98,DTA7802</v>
      </c>
      <c r="G1145" s="238">
        <f>IFERROR(__xludf.DUMMYFUNCTION("""COMPUTED_VALUE"""),45986.91736111111)</f>
        <v>45986.91736</v>
      </c>
      <c r="H1145" s="238">
        <f>IFERROR(__xludf.DUMMYFUNCTION("""COMPUTED_VALUE"""),45987.0)</f>
        <v>45987</v>
      </c>
      <c r="I1145" s="237" t="str">
        <f t="shared" si="1"/>
        <v>Fora</v>
      </c>
      <c r="J1145" s="239">
        <v>60.00000000698492</v>
      </c>
    </row>
    <row r="1146">
      <c r="A1146" s="234" t="s">
        <v>2840</v>
      </c>
      <c r="B1146" s="234" t="str">
        <f>IFERROR(__xludf.DUMMYFUNCTION("""COMPUTED_VALUE"""),"LM Hub_SP_São Paulo_Carandiru")</f>
        <v>LM Hub_SP_São Paulo_Carandiru</v>
      </c>
      <c r="C1146" s="234" t="str">
        <f>IFERROR(__xludf.DUMMYFUNCTION("""COMPUTED_VALUE"""),"HUB-LSP-18")</f>
        <v>HUB-LSP-18</v>
      </c>
      <c r="D1146" s="234"/>
      <c r="E1146" s="237" t="str">
        <f>IFERROR(__xludf.DUMMYFUNCTION("""COMPUTED_VALUE"""),"LT1PBP01SUDY1")</f>
        <v>LT1PBP01SUDY1</v>
      </c>
      <c r="F1146" s="238" t="str">
        <f>IFERROR(__xludf.DUMMYFUNCTION("""COMPUTED_VALUE"""),"GCZ5C72")</f>
        <v>GCZ5C72</v>
      </c>
      <c r="G1146" s="238">
        <f>IFERROR(__xludf.DUMMYFUNCTION("""COMPUTED_VALUE"""),45986.95833333333)</f>
        <v>45986.95833</v>
      </c>
      <c r="H1146" s="238">
        <f>IFERROR(__xludf.DUMMYFUNCTION("""COMPUTED_VALUE"""),45987.0)</f>
        <v>45987</v>
      </c>
      <c r="I1146" s="237" t="str">
        <f t="shared" si="1"/>
        <v>Fora</v>
      </c>
      <c r="J1146" s="239">
        <v>119.99999999301508</v>
      </c>
    </row>
    <row r="1147">
      <c r="A1147" s="234" t="s">
        <v>2841</v>
      </c>
      <c r="B1147" s="234" t="str">
        <f>IFERROR(__xludf.DUMMYFUNCTION("""COMPUTED_VALUE"""),"LM Hub_SP_Jardim Adriana")</f>
        <v>LM Hub_SP_Jardim Adriana</v>
      </c>
      <c r="C1147" s="234" t="str">
        <f>IFERROR(__xludf.DUMMYFUNCTION("""COMPUTED_VALUE"""),"HUB-LSP-12")</f>
        <v>HUB-LSP-12</v>
      </c>
      <c r="D1147" s="234">
        <f>IFERROR(__xludf.DUMMYFUNCTION("""COMPUTED_VALUE"""),13.0)</f>
        <v>13</v>
      </c>
      <c r="E1147" s="237" t="str">
        <f>IFERROR(__xludf.DUMMYFUNCTION("""COMPUTED_VALUE"""),"LT0PBP01SFMQ1")</f>
        <v>LT0PBP01SFMQ1</v>
      </c>
      <c r="F1147" s="238" t="str">
        <f>IFERROR(__xludf.DUMMYFUNCTION("""COMPUTED_VALUE"""),"FNW2D28")</f>
        <v>FNW2D28</v>
      </c>
      <c r="G1147" s="238">
        <f>IFERROR(__xludf.DUMMYFUNCTION("""COMPUTED_VALUE"""),45986.9375)</f>
        <v>45986.9375</v>
      </c>
      <c r="H1147" s="238">
        <f>IFERROR(__xludf.DUMMYFUNCTION("""COMPUTED_VALUE"""),45987.02083333333)</f>
        <v>45987.02083</v>
      </c>
      <c r="I1147" s="237" t="str">
        <f t="shared" si="1"/>
        <v>Fora</v>
      </c>
      <c r="J1147" s="239">
        <v>119.99999999301508</v>
      </c>
    </row>
    <row r="1148">
      <c r="A1148" s="234" t="s">
        <v>2842</v>
      </c>
      <c r="B1148" s="234" t="str">
        <f>IFERROR(__xludf.DUMMYFUNCTION("""COMPUTED_VALUE"""),"LM Hub_SP_São Paulo_Carandiru")</f>
        <v>LM Hub_SP_São Paulo_Carandiru</v>
      </c>
      <c r="C1148" s="234" t="str">
        <f>IFERROR(__xludf.DUMMYFUNCTION("""COMPUTED_VALUE"""),"HUB-LSP-18")</f>
        <v>HUB-LSP-18</v>
      </c>
      <c r="D1148" s="234"/>
      <c r="E1148" s="237" t="str">
        <f>IFERROR(__xludf.DUMMYFUNCTION("""COMPUTED_VALUE"""),"LT0PBP01SFNA1")</f>
        <v>LT0PBP01SFNA1</v>
      </c>
      <c r="F1148" s="238" t="str">
        <f>IFERROR(__xludf.DUMMYFUNCTION("""COMPUTED_VALUE"""),"FMD3I95")</f>
        <v>FMD3I95</v>
      </c>
      <c r="G1148" s="238">
        <f>IFERROR(__xludf.DUMMYFUNCTION("""COMPUTED_VALUE"""),45986.9375)</f>
        <v>45986.9375</v>
      </c>
      <c r="H1148" s="238">
        <f>IFERROR(__xludf.DUMMYFUNCTION("""COMPUTED_VALUE"""),45987.02083333333)</f>
        <v>45987.02083</v>
      </c>
      <c r="I1148" s="237" t="str">
        <f t="shared" si="1"/>
        <v>Fora</v>
      </c>
      <c r="J1148" s="239">
        <v>118.99999998975545</v>
      </c>
    </row>
    <row r="1149">
      <c r="A1149" s="234" t="s">
        <v>2843</v>
      </c>
      <c r="B1149" s="234" t="str">
        <f>IFERROR(__xludf.DUMMYFUNCTION("""COMPUTED_VALUE"""),"LM Hub_SP_Parque Novo Mundo")</f>
        <v>LM Hub_SP_Parque Novo Mundo</v>
      </c>
      <c r="C1149" s="234" t="str">
        <f>IFERROR(__xludf.DUMMYFUNCTION("""COMPUTED_VALUE"""),"HUB-LSP-89")</f>
        <v>HUB-LSP-89</v>
      </c>
      <c r="D1149" s="234">
        <f>IFERROR(__xludf.DUMMYFUNCTION("""COMPUTED_VALUE"""),32.0)</f>
        <v>32</v>
      </c>
      <c r="E1149" s="237" t="str">
        <f>IFERROR(__xludf.DUMMYFUNCTION("""COMPUTED_VALUE"""),"LT0PBP01SOK41")</f>
        <v>LT0PBP01SOK41</v>
      </c>
      <c r="F1149" s="238" t="str">
        <f>IFERROR(__xludf.DUMMYFUNCTION("""COMPUTED_VALUE"""),"FNK8E47,FAM1829")</f>
        <v>FNK8E47,FAM1829</v>
      </c>
      <c r="G1149" s="238">
        <f>IFERROR(__xludf.DUMMYFUNCTION("""COMPUTED_VALUE"""),45986.93819444445)</f>
        <v>45986.93819</v>
      </c>
      <c r="H1149" s="238">
        <f>IFERROR(__xludf.DUMMYFUNCTION("""COMPUTED_VALUE"""),45987.02083333333)</f>
        <v>45987.02083</v>
      </c>
      <c r="I1149" s="237" t="str">
        <f t="shared" si="1"/>
        <v>Fora</v>
      </c>
      <c r="J1149" s="239">
        <v>118.99999998975545</v>
      </c>
    </row>
    <row r="1150">
      <c r="A1150" s="234" t="s">
        <v>2844</v>
      </c>
      <c r="B1150" s="234" t="str">
        <f>IFERROR(__xludf.DUMMYFUNCTION("""COMPUTED_VALUE"""),"LM Hub_SP_Piracicaba")</f>
        <v>LM Hub_SP_Piracicaba</v>
      </c>
      <c r="C1150" s="234" t="str">
        <f>IFERROR(__xludf.DUMMYFUNCTION("""COMPUTED_VALUE"""),"HUB-LSP-62")</f>
        <v>HUB-LSP-62</v>
      </c>
      <c r="D1150" s="234">
        <f>IFERROR(__xludf.DUMMYFUNCTION("""COMPUTED_VALUE"""),23.0)</f>
        <v>23</v>
      </c>
      <c r="E1150" s="237" t="str">
        <f>IFERROR(__xludf.DUMMYFUNCTION("""COMPUTED_VALUE"""),"LT0PBP01SOI61")</f>
        <v>LT0PBP01SOI61</v>
      </c>
      <c r="F1150" s="238" t="str">
        <f>IFERROR(__xludf.DUMMYFUNCTION("""COMPUTED_VALUE"""),"EWJ1C48")</f>
        <v>EWJ1C48</v>
      </c>
      <c r="G1150" s="238">
        <f>IFERROR(__xludf.DUMMYFUNCTION("""COMPUTED_VALUE"""),45986.93819444445)</f>
        <v>45986.93819</v>
      </c>
      <c r="H1150" s="238">
        <f>IFERROR(__xludf.DUMMYFUNCTION("""COMPUTED_VALUE"""),45987.02083333333)</f>
        <v>45987.02083</v>
      </c>
      <c r="I1150" s="237" t="str">
        <f t="shared" si="1"/>
        <v>Fora</v>
      </c>
      <c r="J1150" s="239">
        <v>118.99999998975545</v>
      </c>
    </row>
    <row r="1151">
      <c r="A1151" s="234" t="s">
        <v>2845</v>
      </c>
      <c r="B1151" s="234" t="str">
        <f>IFERROR(__xludf.DUMMYFUNCTION("""COMPUTED_VALUE"""),"LM Hub_SP_VilaGuilherme")</f>
        <v>LM Hub_SP_VilaGuilherme</v>
      </c>
      <c r="C1151" s="234" t="str">
        <f>IFERROR(__xludf.DUMMYFUNCTION("""COMPUTED_VALUE"""),"HUB-LSP-68")</f>
        <v>HUB-LSP-68</v>
      </c>
      <c r="D1151" s="234">
        <f>IFERROR(__xludf.DUMMYFUNCTION("""COMPUTED_VALUE"""),15.0)</f>
        <v>15</v>
      </c>
      <c r="E1151" s="237" t="str">
        <f>IFERROR(__xludf.DUMMYFUNCTION("""COMPUTED_VALUE"""),"LT0PBP01SOCX1")</f>
        <v>LT0PBP01SOCX1</v>
      </c>
      <c r="F1151" s="238" t="str">
        <f>IFERROR(__xludf.DUMMYFUNCTION("""COMPUTED_VALUE"""),"HFD4H27,JXG9745")</f>
        <v>HFD4H27,JXG9745</v>
      </c>
      <c r="G1151" s="238">
        <f>IFERROR(__xludf.DUMMYFUNCTION("""COMPUTED_VALUE"""),45986.93819444445)</f>
        <v>45986.93819</v>
      </c>
      <c r="H1151" s="238">
        <f>IFERROR(__xludf.DUMMYFUNCTION("""COMPUTED_VALUE"""),45987.02083333333)</f>
        <v>45987.02083</v>
      </c>
      <c r="I1151" s="237" t="str">
        <f t="shared" si="1"/>
        <v>Fora</v>
      </c>
      <c r="J1151" s="239">
        <v>120.00000001396984</v>
      </c>
    </row>
    <row r="1152">
      <c r="A1152" s="234" t="s">
        <v>2846</v>
      </c>
      <c r="B1152" s="234" t="str">
        <f>IFERROR(__xludf.DUMMYFUNCTION("""COMPUTED_VALUE"""),"LM Hub_SP_Jundiaí")</f>
        <v>LM Hub_SP_Jundiaí</v>
      </c>
      <c r="C1152" s="234" t="str">
        <f>IFERROR(__xludf.DUMMYFUNCTION("""COMPUTED_VALUE"""),"HUB-LSP-20")</f>
        <v>HUB-LSP-20</v>
      </c>
      <c r="D1152" s="234">
        <f>IFERROR(__xludf.DUMMYFUNCTION("""COMPUTED_VALUE"""),7.0)</f>
        <v>7</v>
      </c>
      <c r="E1152" s="237" t="str">
        <f>IFERROR(__xludf.DUMMYFUNCTION("""COMPUTED_VALUE"""),"LT0PBP01SFS11")</f>
        <v>LT0PBP01SFS11</v>
      </c>
      <c r="F1152" s="238" t="str">
        <f>IFERROR(__xludf.DUMMYFUNCTION("""COMPUTED_VALUE"""),"JBJ0I18")</f>
        <v>JBJ0I18</v>
      </c>
      <c r="G1152" s="238">
        <f>IFERROR(__xludf.DUMMYFUNCTION("""COMPUTED_VALUE"""),45986.95833333333)</f>
        <v>45986.95833</v>
      </c>
      <c r="H1152" s="238">
        <f>IFERROR(__xludf.DUMMYFUNCTION("""COMPUTED_VALUE"""),45987.04166666667)</f>
        <v>45987.04167</v>
      </c>
      <c r="I1152" s="237" t="str">
        <f t="shared" si="1"/>
        <v>Fora</v>
      </c>
      <c r="J1152" s="239">
        <v>119.00000001071021</v>
      </c>
    </row>
    <row r="1153">
      <c r="A1153" s="234" t="s">
        <v>2847</v>
      </c>
      <c r="B1153" s="234" t="str">
        <f>IFERROR(__xludf.DUMMYFUNCTION("""COMPUTED_VALUE"""),"LM Hub_SP_Mogi Mirim")</f>
        <v>LM Hub_SP_Mogi Mirim</v>
      </c>
      <c r="C1153" s="234" t="str">
        <f>IFERROR(__xludf.DUMMYFUNCTION("""COMPUTED_VALUE"""),"HUB-LSP-37")</f>
        <v>HUB-LSP-37</v>
      </c>
      <c r="D1153" s="234">
        <f>IFERROR(__xludf.DUMMYFUNCTION("""COMPUTED_VALUE"""),42.0)</f>
        <v>42</v>
      </c>
      <c r="E1153" s="237" t="str">
        <f>IFERROR(__xludf.DUMMYFUNCTION("""COMPUTED_VALUE"""),"LT0PBP01SFRK1")</f>
        <v>LT0PBP01SFRK1</v>
      </c>
      <c r="F1153" s="238" t="str">
        <f>IFERROR(__xludf.DUMMYFUNCTION("""COMPUTED_VALUE"""),"SWH8D54")</f>
        <v>SWH8D54</v>
      </c>
      <c r="G1153" s="238">
        <f>IFERROR(__xludf.DUMMYFUNCTION("""COMPUTED_VALUE"""),45986.959027777775)</f>
        <v>45986.95903</v>
      </c>
      <c r="H1153" s="238">
        <f>IFERROR(__xludf.DUMMYFUNCTION("""COMPUTED_VALUE"""),45987.04166666667)</f>
        <v>45987.04167</v>
      </c>
      <c r="I1153" s="237" t="str">
        <f t="shared" si="1"/>
        <v>Fora</v>
      </c>
      <c r="J1153" s="239">
        <v>119.99999999301508</v>
      </c>
    </row>
    <row r="1154">
      <c r="A1154" s="234" t="s">
        <v>2848</v>
      </c>
      <c r="B1154" s="234" t="str">
        <f>IFERROR(__xludf.DUMMYFUNCTION("""COMPUTED_VALUE"""),"LM Hub_SP_Araraquara")</f>
        <v>LM Hub_SP_Araraquara</v>
      </c>
      <c r="C1154" s="234" t="str">
        <f>IFERROR(__xludf.DUMMYFUNCTION("""COMPUTED_VALUE"""),"HUB-LSP-29")</f>
        <v>HUB-LSP-29</v>
      </c>
      <c r="D1154" s="234">
        <f>IFERROR(__xludf.DUMMYFUNCTION("""COMPUTED_VALUE"""),35.0)</f>
        <v>35</v>
      </c>
      <c r="E1154" s="237" t="str">
        <f>IFERROR(__xludf.DUMMYFUNCTION("""COMPUTED_VALUE"""),"LT0PBP01SFRQ1")</f>
        <v>LT0PBP01SFRQ1</v>
      </c>
      <c r="F1154" s="238" t="str">
        <f>IFERROR(__xludf.DUMMYFUNCTION("""COMPUTED_VALUE"""),"EWJ2H21")</f>
        <v>EWJ2H21</v>
      </c>
      <c r="G1154" s="238">
        <f>IFERROR(__xludf.DUMMYFUNCTION("""COMPUTED_VALUE"""),45986.97916666667)</f>
        <v>45986.97917</v>
      </c>
      <c r="H1154" s="238">
        <f>IFERROR(__xludf.DUMMYFUNCTION("""COMPUTED_VALUE"""),45987.0625)</f>
        <v>45987.0625</v>
      </c>
      <c r="I1154" s="237" t="str">
        <f t="shared" si="1"/>
        <v>Fora</v>
      </c>
      <c r="J1154" s="239">
        <v>119.00000000023283</v>
      </c>
    </row>
    <row r="1155">
      <c r="A1155" s="234" t="s">
        <v>2849</v>
      </c>
      <c r="B1155" s="234" t="str">
        <f>IFERROR(__xludf.DUMMYFUNCTION("""COMPUTED_VALUE"""),"LM Hub_SP_Várzea Paulista")</f>
        <v>LM Hub_SP_Várzea Paulista</v>
      </c>
      <c r="C1155" s="234" t="str">
        <f>IFERROR(__xludf.DUMMYFUNCTION("""COMPUTED_VALUE"""),"HUB-LSP-61")</f>
        <v>HUB-LSP-61</v>
      </c>
      <c r="D1155" s="234">
        <f>IFERROR(__xludf.DUMMYFUNCTION("""COMPUTED_VALUE"""),40.0)</f>
        <v>40</v>
      </c>
      <c r="E1155" s="237" t="str">
        <f>IFERROR(__xludf.DUMMYFUNCTION("""COMPUTED_VALUE"""),"LT0PBP01SFQS1")</f>
        <v>LT0PBP01SFQS1</v>
      </c>
      <c r="F1155" s="238" t="str">
        <f>IFERROR(__xludf.DUMMYFUNCTION("""COMPUTED_VALUE"""),"MXC1542,OVJ7491")</f>
        <v>MXC1542,OVJ7491</v>
      </c>
      <c r="G1155" s="238">
        <f>IFERROR(__xludf.DUMMYFUNCTION("""COMPUTED_VALUE"""),45986.97986111111)</f>
        <v>45986.97986</v>
      </c>
      <c r="H1155" s="238">
        <f>IFERROR(__xludf.DUMMYFUNCTION("""COMPUTED_VALUE"""),45987.0625)</f>
        <v>45987.0625</v>
      </c>
      <c r="I1155" s="237" t="str">
        <f t="shared" si="1"/>
        <v>Fora</v>
      </c>
      <c r="J1155" s="239">
        <v>119.99999999301508</v>
      </c>
    </row>
    <row r="1156">
      <c r="A1156" s="234" t="s">
        <v>2850</v>
      </c>
      <c r="B1156" s="234" t="str">
        <f>IFERROR(__xludf.DUMMYFUNCTION("""COMPUTED_VALUE"""),"SoC_BA_Simoes Filho")</f>
        <v>SoC_BA_Simoes Filho</v>
      </c>
      <c r="C1156" s="234" t="str">
        <f>IFERROR(__xludf.DUMMYFUNCTION("""COMPUTED_VALUE"""),"SOC-BA2")</f>
        <v>SOC-BA2</v>
      </c>
      <c r="D1156" s="234">
        <f>IFERROR(__xludf.DUMMYFUNCTION("""COMPUTED_VALUE"""),47.0)</f>
        <v>47</v>
      </c>
      <c r="E1156" s="237" t="str">
        <f>IFERROR(__xludf.DUMMYFUNCTION("""COMPUTED_VALUE"""),"LT1PBQ01SV2Q1")</f>
        <v>LT1PBQ01SV2Q1</v>
      </c>
      <c r="F1156" s="238" t="str">
        <f>IFERROR(__xludf.DUMMYFUNCTION("""COMPUTED_VALUE"""),"ENM9G81,RLH8I30")</f>
        <v>ENM9G81,RLH8I30</v>
      </c>
      <c r="G1156" s="238">
        <f>IFERROR(__xludf.DUMMYFUNCTION("""COMPUTED_VALUE"""),45987.0)</f>
        <v>45987</v>
      </c>
      <c r="H1156" s="238">
        <f>IFERROR(__xludf.DUMMYFUNCTION("""COMPUTED_VALUE"""),45987.08333333333)</f>
        <v>45987.08333</v>
      </c>
      <c r="I1156" s="237" t="str">
        <f t="shared" si="1"/>
        <v>Fora</v>
      </c>
      <c r="J1156" s="239">
        <v>119.99999999301508</v>
      </c>
    </row>
    <row r="1157">
      <c r="A1157" s="234" t="s">
        <v>2851</v>
      </c>
      <c r="B1157" s="234" t="str">
        <f>IFERROR(__xludf.DUMMYFUNCTION("""COMPUTED_VALUE"""),"SoC_MG_Betim")</f>
        <v>SoC_MG_Betim</v>
      </c>
      <c r="C1157" s="234" t="str">
        <f>IFERROR(__xludf.DUMMYFUNCTION("""COMPUTED_VALUE"""),"SOC-MG2")</f>
        <v>SOC-MG2</v>
      </c>
      <c r="D1157" s="234">
        <f>IFERROR(__xludf.DUMMYFUNCTION("""COMPUTED_VALUE"""),45.0)</f>
        <v>45</v>
      </c>
      <c r="E1157" s="237" t="str">
        <f>IFERROR(__xludf.DUMMYFUNCTION("""COMPUTED_VALUE"""),"LT1PBQ01SV2G1")</f>
        <v>LT1PBQ01SV2G1</v>
      </c>
      <c r="F1157" s="238" t="str">
        <f>IFERROR(__xludf.DUMMYFUNCTION("""COMPUTED_VALUE"""),"SWE6C46,UGF1J80")</f>
        <v>SWE6C46,UGF1J80</v>
      </c>
      <c r="G1157" s="238">
        <f>IFERROR(__xludf.DUMMYFUNCTION("""COMPUTED_VALUE"""),45987.0)</f>
        <v>45987</v>
      </c>
      <c r="H1157" s="238">
        <f>IFERROR(__xludf.DUMMYFUNCTION("""COMPUTED_VALUE"""),45987.08333333333)</f>
        <v>45987.08333</v>
      </c>
      <c r="I1157" s="237" t="str">
        <f t="shared" si="1"/>
        <v>Fora</v>
      </c>
      <c r="J1157" s="239">
        <v>119.99999999301508</v>
      </c>
    </row>
    <row r="1158">
      <c r="A1158" s="234" t="s">
        <v>2852</v>
      </c>
      <c r="B1158" s="234" t="str">
        <f>IFERROR(__xludf.DUMMYFUNCTION("""COMPUTED_VALUE"""),"SoC_MG_Betim")</f>
        <v>SoC_MG_Betim</v>
      </c>
      <c r="C1158" s="234" t="str">
        <f>IFERROR(__xludf.DUMMYFUNCTION("""COMPUTED_VALUE"""),"SOC-MG2")</f>
        <v>SOC-MG2</v>
      </c>
      <c r="D1158" s="234">
        <f>IFERROR(__xludf.DUMMYFUNCTION("""COMPUTED_VALUE"""),48.0)</f>
        <v>48</v>
      </c>
      <c r="E1158" s="237" t="str">
        <f>IFERROR(__xludf.DUMMYFUNCTION("""COMPUTED_VALUE"""),"LT1PBQ01SV2H1")</f>
        <v>LT1PBQ01SV2H1</v>
      </c>
      <c r="F1158" s="238" t="str">
        <f>IFERROR(__xludf.DUMMYFUNCTION("""COMPUTED_VALUE"""),"ECO6A13,GGP4D58")</f>
        <v>ECO6A13,GGP4D58</v>
      </c>
      <c r="G1158" s="238">
        <f>IFERROR(__xludf.DUMMYFUNCTION("""COMPUTED_VALUE"""),45987.0)</f>
        <v>45987</v>
      </c>
      <c r="H1158" s="238">
        <f>IFERROR(__xludf.DUMMYFUNCTION("""COMPUTED_VALUE"""),45987.08333333333)</f>
        <v>45987.08333</v>
      </c>
      <c r="I1158" s="237" t="str">
        <f t="shared" si="1"/>
        <v>Fora</v>
      </c>
      <c r="J1158" s="239">
        <v>119.99999999301508</v>
      </c>
    </row>
    <row r="1159">
      <c r="A1159" s="234" t="s">
        <v>2853</v>
      </c>
      <c r="B1159" s="234" t="str">
        <f>IFERROR(__xludf.DUMMYFUNCTION("""COMPUTED_VALUE"""),"SoC_PE_Jaboatão dos Guararapes")</f>
        <v>SoC_PE_Jaboatão dos Guararapes</v>
      </c>
      <c r="C1159" s="234" t="str">
        <f>IFERROR(__xludf.DUMMYFUNCTION("""COMPUTED_VALUE"""),"SOC-PE2")</f>
        <v>SOC-PE2</v>
      </c>
      <c r="D1159" s="234">
        <f>IFERROR(__xludf.DUMMYFUNCTION("""COMPUTED_VALUE"""),22.0)</f>
        <v>22</v>
      </c>
      <c r="E1159" s="237" t="str">
        <f>IFERROR(__xludf.DUMMYFUNCTION("""COMPUTED_VALUE"""),"LT0PBQ01SL6M1")</f>
        <v>LT0PBQ01SL6M1</v>
      </c>
      <c r="F1159" s="238" t="str">
        <f>IFERROR(__xludf.DUMMYFUNCTION("""COMPUTED_VALUE"""),"OUO1A12,FIV9C35")</f>
        <v>OUO1A12,FIV9C35</v>
      </c>
      <c r="G1159" s="238">
        <f>IFERROR(__xludf.DUMMYFUNCTION("""COMPUTED_VALUE"""),45987.0)</f>
        <v>45987</v>
      </c>
      <c r="H1159" s="238">
        <f>IFERROR(__xludf.DUMMYFUNCTION("""COMPUTED_VALUE"""),45987.08333333333)</f>
        <v>45987.08333</v>
      </c>
      <c r="I1159" s="237" t="str">
        <f t="shared" si="1"/>
        <v>Fora</v>
      </c>
      <c r="J1159" s="239">
        <v>119.99999999301508</v>
      </c>
    </row>
    <row r="1160">
      <c r="A1160" s="234" t="s">
        <v>2854</v>
      </c>
      <c r="B1160" s="234" t="str">
        <f>IFERROR(__xludf.DUMMYFUNCTION("""COMPUTED_VALUE"""),"SoC_PR_Curitiba")</f>
        <v>SoC_PR_Curitiba</v>
      </c>
      <c r="C1160" s="234" t="str">
        <f>IFERROR(__xludf.DUMMYFUNCTION("""COMPUTED_VALUE"""),"SOC-PR1")</f>
        <v>SOC-PR1</v>
      </c>
      <c r="D1160" s="234">
        <f>IFERROR(__xludf.DUMMYFUNCTION("""COMPUTED_VALUE"""),37.0)</f>
        <v>37</v>
      </c>
      <c r="E1160" s="237" t="str">
        <f>IFERROR(__xludf.DUMMYFUNCTION("""COMPUTED_VALUE"""),"LT0PBQ01SFKO1")</f>
        <v>LT0PBQ01SFKO1</v>
      </c>
      <c r="F1160" s="238" t="str">
        <f>IFERROR(__xludf.DUMMYFUNCTION("""COMPUTED_VALUE"""),"FQJ8B01,TLG8D55")</f>
        <v>FQJ8B01,TLG8D55</v>
      </c>
      <c r="G1160" s="238">
        <f>IFERROR(__xludf.DUMMYFUNCTION("""COMPUTED_VALUE"""),45987.0)</f>
        <v>45987</v>
      </c>
      <c r="H1160" s="238">
        <f>IFERROR(__xludf.DUMMYFUNCTION("""COMPUTED_VALUE"""),45987.08333333333)</f>
        <v>45987.08333</v>
      </c>
      <c r="I1160" s="237" t="str">
        <f t="shared" si="1"/>
        <v>Fora</v>
      </c>
      <c r="J1160" s="239">
        <v>119.99999999301508</v>
      </c>
    </row>
    <row r="1161">
      <c r="A1161" s="234" t="s">
        <v>2855</v>
      </c>
      <c r="B1161" s="234" t="str">
        <f>IFERROR(__xludf.DUMMYFUNCTION("""COMPUTED_VALUE"""),"SoC_SP_Cravinhos")</f>
        <v>SoC_SP_Cravinhos</v>
      </c>
      <c r="C1161" s="234" t="str">
        <f>IFERROR(__xludf.DUMMYFUNCTION("""COMPUTED_VALUE"""),"SOC-SP5")</f>
        <v>SOC-SP5</v>
      </c>
      <c r="D1161" s="234">
        <f>IFERROR(__xludf.DUMMYFUNCTION("""COMPUTED_VALUE"""),12.0)</f>
        <v>12</v>
      </c>
      <c r="E1161" s="237" t="str">
        <f>IFERROR(__xludf.DUMMYFUNCTION("""COMPUTED_VALUE"""),"LT1PBQ01SV2A1")</f>
        <v>LT1PBQ01SV2A1</v>
      </c>
      <c r="F1161" s="238" t="str">
        <f>IFERROR(__xludf.DUMMYFUNCTION("""COMPUTED_VALUE"""),"FKB6C94,DVS4C82")</f>
        <v>FKB6C94,DVS4C82</v>
      </c>
      <c r="G1161" s="238">
        <f>IFERROR(__xludf.DUMMYFUNCTION("""COMPUTED_VALUE"""),45987.0)</f>
        <v>45987</v>
      </c>
      <c r="H1161" s="238">
        <f>IFERROR(__xludf.DUMMYFUNCTION("""COMPUTED_VALUE"""),45987.08333333333)</f>
        <v>45987.08333</v>
      </c>
      <c r="I1161" s="237" t="str">
        <f t="shared" si="1"/>
        <v>Fora</v>
      </c>
      <c r="J1161" s="239">
        <v>120.00000001396984</v>
      </c>
    </row>
    <row r="1162">
      <c r="A1162" s="234" t="s">
        <v>2856</v>
      </c>
      <c r="B1162" s="234" t="str">
        <f>IFERROR(__xludf.DUMMYFUNCTION("""COMPUTED_VALUE"""),"LM Hub_MG_Varginha_Fausto")</f>
        <v>LM Hub_MG_Varginha_Fausto</v>
      </c>
      <c r="C1162" s="234" t="str">
        <f>IFERROR(__xludf.DUMMYFUNCTION("""COMPUTED_VALUE"""),"HUB-LMG-45")</f>
        <v>HUB-LMG-45</v>
      </c>
      <c r="D1162" s="234">
        <f>IFERROR(__xludf.DUMMYFUNCTION("""COMPUTED_VALUE"""),14.0)</f>
        <v>14</v>
      </c>
      <c r="E1162" s="237" t="str">
        <f>IFERROR(__xludf.DUMMYFUNCTION("""COMPUTED_VALUE"""),"LT0PBQ01SKY61")</f>
        <v>LT0PBQ01SKY61</v>
      </c>
      <c r="F1162" s="238" t="str">
        <f>IFERROR(__xludf.DUMMYFUNCTION("""COMPUTED_VALUE"""),"EZP2D49")</f>
        <v>EZP2D49</v>
      </c>
      <c r="G1162" s="238">
        <f>IFERROR(__xludf.DUMMYFUNCTION("""COMPUTED_VALUE"""),45987.02083333333)</f>
        <v>45987.02083</v>
      </c>
      <c r="H1162" s="238">
        <f>IFERROR(__xludf.DUMMYFUNCTION("""COMPUTED_VALUE"""),45987.10416666667)</f>
        <v>45987.10417</v>
      </c>
      <c r="I1162" s="237" t="str">
        <f t="shared" si="1"/>
        <v>Fora</v>
      </c>
      <c r="J1162" s="239">
        <v>360.0</v>
      </c>
    </row>
    <row r="1163">
      <c r="A1163" s="234" t="s">
        <v>2857</v>
      </c>
      <c r="B1163" s="234" t="str">
        <f>IFERROR(__xludf.DUMMYFUNCTION("""COMPUTED_VALUE"""),"SoC_SP_Cravinhos")</f>
        <v>SoC_SP_Cravinhos</v>
      </c>
      <c r="C1163" s="234" t="str">
        <f>IFERROR(__xludf.DUMMYFUNCTION("""COMPUTED_VALUE"""),"SOC-SP5")</f>
        <v>SOC-SP5</v>
      </c>
      <c r="D1163" s="234">
        <f>IFERROR(__xludf.DUMMYFUNCTION("""COMPUTED_VALUE"""),39.0)</f>
        <v>39</v>
      </c>
      <c r="E1163" s="237" t="str">
        <f>IFERROR(__xludf.DUMMYFUNCTION("""COMPUTED_VALUE"""),"LT1PBP01SVAI1")</f>
        <v>LT1PBP01SVAI1</v>
      </c>
      <c r="F1163" s="238" t="str">
        <f>IFERROR(__xludf.DUMMYFUNCTION("""COMPUTED_VALUE"""),"OCX3514,FFN2I33")</f>
        <v>OCX3514,FFN2I33</v>
      </c>
      <c r="G1163" s="238">
        <f>IFERROR(__xludf.DUMMYFUNCTION("""COMPUTED_VALUE"""),45986.875)</f>
        <v>45986.875</v>
      </c>
      <c r="H1163" s="238">
        <f>IFERROR(__xludf.DUMMYFUNCTION("""COMPUTED_VALUE"""),45987.125)</f>
        <v>45987.125</v>
      </c>
      <c r="I1163" s="237" t="str">
        <f t="shared" si="1"/>
        <v>Fora</v>
      </c>
      <c r="J1163" s="239">
        <v>240.00000000698492</v>
      </c>
    </row>
    <row r="1164">
      <c r="A1164" s="234" t="s">
        <v>2858</v>
      </c>
      <c r="B1164" s="234" t="str">
        <f>IFERROR(__xludf.DUMMYFUNCTION("""COMPUTED_VALUE"""),"SoC_MG_Betim")</f>
        <v>SoC_MG_Betim</v>
      </c>
      <c r="C1164" s="234" t="str">
        <f>IFERROR(__xludf.DUMMYFUNCTION("""COMPUTED_VALUE"""),"SOC-MG2")</f>
        <v>SOC-MG2</v>
      </c>
      <c r="D1164" s="234">
        <f>IFERROR(__xludf.DUMMYFUNCTION("""COMPUTED_VALUE"""),90.0)</f>
        <v>90</v>
      </c>
      <c r="E1164" s="237" t="str">
        <f>IFERROR(__xludf.DUMMYFUNCTION("""COMPUTED_VALUE"""),"LT1PBP01SVHO1")</f>
        <v>LT1PBP01SVHO1</v>
      </c>
      <c r="F1164" s="238" t="str">
        <f>IFERROR(__xludf.DUMMYFUNCTION("""COMPUTED_VALUE"""),"GFM6E44,GBH5G53")</f>
        <v>GFM6E44,GBH5G53</v>
      </c>
      <c r="G1164" s="238">
        <f>IFERROR(__xludf.DUMMYFUNCTION("""COMPUTED_VALUE"""),45986.95833333333)</f>
        <v>45986.95833</v>
      </c>
      <c r="H1164" s="238">
        <f>IFERROR(__xludf.DUMMYFUNCTION("""COMPUTED_VALUE"""),45987.125)</f>
        <v>45987.125</v>
      </c>
      <c r="I1164" s="237" t="str">
        <f t="shared" si="1"/>
        <v>Fora</v>
      </c>
      <c r="J1164" s="239">
        <v>119.99999999301508</v>
      </c>
    </row>
    <row r="1165">
      <c r="A1165" s="234" t="s">
        <v>2859</v>
      </c>
      <c r="B1165" s="234" t="str">
        <f>IFERROR(__xludf.DUMMYFUNCTION("""COMPUTED_VALUE"""),"SoC_BA_Simoes Filho")</f>
        <v>SoC_BA_Simoes Filho</v>
      </c>
      <c r="C1165" s="234" t="str">
        <f>IFERROR(__xludf.DUMMYFUNCTION("""COMPUTED_VALUE"""),"SOC-BA2")</f>
        <v>SOC-BA2</v>
      </c>
      <c r="D1165" s="234"/>
      <c r="E1165" s="237" t="str">
        <f>IFERROR(__xludf.DUMMYFUNCTION("""COMPUTED_VALUE"""),"LT1PBQ01SV2R1")</f>
        <v>LT1PBQ01SV2R1</v>
      </c>
      <c r="F1165" s="238" t="str">
        <f>IFERROR(__xludf.DUMMYFUNCTION("""COMPUTED_VALUE"""),"RDV0J91,MHJ0441")</f>
        <v>RDV0J91,MHJ0441</v>
      </c>
      <c r="G1165" s="238">
        <f>IFERROR(__xludf.DUMMYFUNCTION("""COMPUTED_VALUE"""),45987.04166666667)</f>
        <v>45987.04167</v>
      </c>
      <c r="H1165" s="238">
        <f>IFERROR(__xludf.DUMMYFUNCTION("""COMPUTED_VALUE"""),45987.125)</f>
        <v>45987.125</v>
      </c>
      <c r="I1165" s="237" t="str">
        <f t="shared" si="1"/>
        <v>Fora</v>
      </c>
      <c r="J1165" s="239">
        <v>119.99999999301508</v>
      </c>
    </row>
    <row r="1166">
      <c r="A1166" s="234" t="s">
        <v>2860</v>
      </c>
      <c r="B1166" s="234" t="str">
        <f>IFERROR(__xludf.DUMMYFUNCTION("""COMPUTED_VALUE"""),"SoC_PE_Jaboatão dos Guararapes")</f>
        <v>SoC_PE_Jaboatão dos Guararapes</v>
      </c>
      <c r="C1166" s="234" t="str">
        <f>IFERROR(__xludf.DUMMYFUNCTION("""COMPUTED_VALUE"""),"SOC-PE2")</f>
        <v>SOC-PE2</v>
      </c>
      <c r="D1166" s="234"/>
      <c r="E1166" s="237" t="str">
        <f>IFERROR(__xludf.DUMMYFUNCTION("""COMPUTED_VALUE"""),"LT1PBQ01SV2N1")</f>
        <v>LT1PBQ01SV2N1</v>
      </c>
      <c r="F1166" s="238" t="str">
        <f>IFERROR(__xludf.DUMMYFUNCTION("""COMPUTED_VALUE"""),"JVL9I34,FWZ8B69")</f>
        <v>JVL9I34,FWZ8B69</v>
      </c>
      <c r="G1166" s="238">
        <f>IFERROR(__xludf.DUMMYFUNCTION("""COMPUTED_VALUE"""),45987.04166666667)</f>
        <v>45987.04167</v>
      </c>
      <c r="H1166" s="238">
        <f>IFERROR(__xludf.DUMMYFUNCTION("""COMPUTED_VALUE"""),45987.125)</f>
        <v>45987.125</v>
      </c>
      <c r="I1166" s="237" t="str">
        <f t="shared" si="1"/>
        <v>Fora</v>
      </c>
      <c r="J1166" s="239">
        <v>119.99999999301508</v>
      </c>
    </row>
    <row r="1167">
      <c r="A1167" s="234" t="s">
        <v>2861</v>
      </c>
      <c r="B1167" s="234" t="str">
        <f>IFERROR(__xludf.DUMMYFUNCTION("""COMPUTED_VALUE"""),"SoC_PR_Curitiba")</f>
        <v>SoC_PR_Curitiba</v>
      </c>
      <c r="C1167" s="234" t="str">
        <f>IFERROR(__xludf.DUMMYFUNCTION("""COMPUTED_VALUE"""),"SOC-PR1")</f>
        <v>SOC-PR1</v>
      </c>
      <c r="D1167" s="234"/>
      <c r="E1167" s="237" t="str">
        <f>IFERROR(__xludf.DUMMYFUNCTION("""COMPUTED_VALUE"""),"LT1PBQ01SV2K1")</f>
        <v>LT1PBQ01SV2K1</v>
      </c>
      <c r="F1167" s="238" t="str">
        <f>IFERROR(__xludf.DUMMYFUNCTION("""COMPUTED_VALUE"""),"RXZ5A74,TMH3B57")</f>
        <v>RXZ5A74,TMH3B57</v>
      </c>
      <c r="G1167" s="238">
        <f>IFERROR(__xludf.DUMMYFUNCTION("""COMPUTED_VALUE"""),45987.04166666667)</f>
        <v>45987.04167</v>
      </c>
      <c r="H1167" s="238">
        <f>IFERROR(__xludf.DUMMYFUNCTION("""COMPUTED_VALUE"""),45987.125)</f>
        <v>45987.125</v>
      </c>
      <c r="I1167" s="237" t="str">
        <f t="shared" si="1"/>
        <v>Fora</v>
      </c>
      <c r="J1167" s="239">
        <v>119.99999999301508</v>
      </c>
    </row>
    <row r="1168">
      <c r="A1168" s="234" t="s">
        <v>2862</v>
      </c>
      <c r="B1168" s="234" t="str">
        <f>IFERROR(__xludf.DUMMYFUNCTION("""COMPUTED_VALUE"""),"SoC_SC_Itajaí")</f>
        <v>SoC_SC_Itajaí</v>
      </c>
      <c r="C1168" s="234" t="str">
        <f>IFERROR(__xludf.DUMMYFUNCTION("""COMPUTED_VALUE"""),"SOC-SC1")</f>
        <v>SOC-SC1</v>
      </c>
      <c r="D1168" s="234">
        <f>IFERROR(__xludf.DUMMYFUNCTION("""COMPUTED_VALUE"""),27.0)</f>
        <v>27</v>
      </c>
      <c r="E1168" s="237" t="str">
        <f>IFERROR(__xludf.DUMMYFUNCTION("""COMPUTED_VALUE"""),"LT0PBQ01SK9H1")</f>
        <v>LT0PBQ01SK9H1</v>
      </c>
      <c r="F1168" s="238" t="str">
        <f>IFERROR(__xludf.DUMMYFUNCTION("""COMPUTED_VALUE"""),"FDK4E91,TAX4D15")</f>
        <v>FDK4E91,TAX4D15</v>
      </c>
      <c r="G1168" s="238">
        <f>IFERROR(__xludf.DUMMYFUNCTION("""COMPUTED_VALUE"""),45987.04166666667)</f>
        <v>45987.04167</v>
      </c>
      <c r="H1168" s="238">
        <f>IFERROR(__xludf.DUMMYFUNCTION("""COMPUTED_VALUE"""),45987.125)</f>
        <v>45987.125</v>
      </c>
      <c r="I1168" s="237" t="str">
        <f t="shared" si="1"/>
        <v>Fora</v>
      </c>
      <c r="J1168" s="239">
        <v>119.99999999301508</v>
      </c>
    </row>
    <row r="1169">
      <c r="A1169" s="234" t="s">
        <v>2863</v>
      </c>
      <c r="B1169" s="234" t="str">
        <f>IFERROR(__xludf.DUMMYFUNCTION("""COMPUTED_VALUE"""),"SoC_SP_Louveira")</f>
        <v>SoC_SP_Louveira</v>
      </c>
      <c r="C1169" s="234" t="str">
        <f>IFERROR(__xludf.DUMMYFUNCTION("""COMPUTED_VALUE"""),"SOC-SP7")</f>
        <v>SOC-SP7</v>
      </c>
      <c r="D1169" s="234"/>
      <c r="E1169" s="237" t="str">
        <f>IFERROR(__xludf.DUMMYFUNCTION("""COMPUTED_VALUE"""),"LT1PBQ01SV261")</f>
        <v>LT1PBQ01SV261</v>
      </c>
      <c r="F1169" s="238" t="str">
        <f>IFERROR(__xludf.DUMMYFUNCTION("""COMPUTED_VALUE"""),"UDW5E79,TLL6F35")</f>
        <v>UDW5E79,TLL6F35</v>
      </c>
      <c r="G1169" s="238">
        <f>IFERROR(__xludf.DUMMYFUNCTION("""COMPUTED_VALUE"""),45987.04166666667)</f>
        <v>45987.04167</v>
      </c>
      <c r="H1169" s="238">
        <f>IFERROR(__xludf.DUMMYFUNCTION("""COMPUTED_VALUE"""),45987.125)</f>
        <v>45987.125</v>
      </c>
      <c r="I1169" s="237" t="str">
        <f t="shared" si="1"/>
        <v>Fora</v>
      </c>
      <c r="J1169" s="239">
        <v>239.0000000037253</v>
      </c>
    </row>
    <row r="1170">
      <c r="A1170" s="234" t="s">
        <v>2864</v>
      </c>
      <c r="B1170" s="234" t="str">
        <f>IFERROR(__xludf.DUMMYFUNCTION("""COMPUTED_VALUE"""),"SoC_GO_Goiânia_02")</f>
        <v>SoC_GO_Goiânia_02</v>
      </c>
      <c r="C1170" s="234" t="str">
        <f>IFERROR(__xludf.DUMMYFUNCTION("""COMPUTED_VALUE"""),"SOC-GO2")</f>
        <v>SOC-GO2</v>
      </c>
      <c r="D1170" s="234">
        <f>IFERROR(__xludf.DUMMYFUNCTION("""COMPUTED_VALUE"""),87.0)</f>
        <v>87</v>
      </c>
      <c r="E1170" s="237" t="str">
        <f>IFERROR(__xludf.DUMMYFUNCTION("""COMPUTED_VALUE"""),"LT0PBQ01SLIP1")</f>
        <v>LT0PBQ01SLIP1</v>
      </c>
      <c r="F1170" s="238" t="str">
        <f>IFERROR(__xludf.DUMMYFUNCTION("""COMPUTED_VALUE"""),"SUR9E19,EFW7H93")</f>
        <v>SUR9E19,EFW7H93</v>
      </c>
      <c r="G1170" s="238">
        <f>IFERROR(__xludf.DUMMYFUNCTION("""COMPUTED_VALUE"""),45987.00069444445)</f>
        <v>45987.00069</v>
      </c>
      <c r="H1170" s="238">
        <f>IFERROR(__xludf.DUMMYFUNCTION("""COMPUTED_VALUE"""),45987.16666666667)</f>
        <v>45987.16667</v>
      </c>
      <c r="I1170" s="237" t="str">
        <f t="shared" si="1"/>
        <v>Fora</v>
      </c>
      <c r="J1170" s="239">
        <v>239.0000000037253</v>
      </c>
    </row>
    <row r="1171">
      <c r="A1171" s="234" t="s">
        <v>2865</v>
      </c>
      <c r="B1171" s="234" t="str">
        <f>IFERROR(__xludf.DUMMYFUNCTION("""COMPUTED_VALUE"""),"SoC_GO_Goiânia_02")</f>
        <v>SoC_GO_Goiânia_02</v>
      </c>
      <c r="C1171" s="234" t="str">
        <f>IFERROR(__xludf.DUMMYFUNCTION("""COMPUTED_VALUE"""),"SOC-GO2")</f>
        <v>SOC-GO2</v>
      </c>
      <c r="D1171" s="234">
        <f>IFERROR(__xludf.DUMMYFUNCTION("""COMPUTED_VALUE"""),19.0)</f>
        <v>19</v>
      </c>
      <c r="E1171" s="237" t="str">
        <f>IFERROR(__xludf.DUMMYFUNCTION("""COMPUTED_VALUE"""),"LT0PBQ01SLIR2")</f>
        <v>LT0PBQ01SLIR2</v>
      </c>
      <c r="F1171" s="238" t="str">
        <f>IFERROR(__xludf.DUMMYFUNCTION("""COMPUTED_VALUE"""),"TKO1G38,FJP6J95")</f>
        <v>TKO1G38,FJP6J95</v>
      </c>
      <c r="G1171" s="238">
        <f>IFERROR(__xludf.DUMMYFUNCTION("""COMPUTED_VALUE"""),45987.00069444445)</f>
        <v>45987.00069</v>
      </c>
      <c r="H1171" s="238">
        <f>IFERROR(__xludf.DUMMYFUNCTION("""COMPUTED_VALUE"""),45987.16666666667)</f>
        <v>45987.16667</v>
      </c>
      <c r="I1171" s="237" t="str">
        <f t="shared" si="1"/>
        <v>Fora</v>
      </c>
      <c r="J1171" s="239">
        <v>120.00000001396984</v>
      </c>
    </row>
    <row r="1172">
      <c r="A1172" s="234" t="s">
        <v>2866</v>
      </c>
      <c r="B1172" s="234" t="str">
        <f>IFERROR(__xludf.DUMMYFUNCTION("""COMPUTED_VALUE"""),"SoC_MG_Betim")</f>
        <v>SoC_MG_Betim</v>
      </c>
      <c r="C1172" s="234" t="str">
        <f>IFERROR(__xludf.DUMMYFUNCTION("""COMPUTED_VALUE"""),"SOC-MG2")</f>
        <v>SOC-MG2</v>
      </c>
      <c r="D1172" s="234">
        <f>IFERROR(__xludf.DUMMYFUNCTION("""COMPUTED_VALUE"""),13.0)</f>
        <v>13</v>
      </c>
      <c r="E1172" s="237" t="str">
        <f>IFERROR(__xludf.DUMMYFUNCTION("""COMPUTED_VALUE"""),"LT1PBQ01SV2I1")</f>
        <v>LT1PBQ01SV2I1</v>
      </c>
      <c r="F1172" s="238" t="str">
        <f>IFERROR(__xludf.DUMMYFUNCTION("""COMPUTED_VALUE"""),"GDW2C67,GBK8389")</f>
        <v>GDW2C67,GBK8389</v>
      </c>
      <c r="G1172" s="238">
        <f>IFERROR(__xludf.DUMMYFUNCTION("""COMPUTED_VALUE"""),45987.08333333333)</f>
        <v>45987.08333</v>
      </c>
      <c r="H1172" s="238">
        <f>IFERROR(__xludf.DUMMYFUNCTION("""COMPUTED_VALUE"""),45987.16666666667)</f>
        <v>45987.16667</v>
      </c>
      <c r="I1172" s="237" t="str">
        <f t="shared" si="1"/>
        <v>Fora</v>
      </c>
      <c r="J1172" s="239">
        <v>120.00000001396984</v>
      </c>
    </row>
    <row r="1173">
      <c r="A1173" s="234" t="s">
        <v>2867</v>
      </c>
      <c r="B1173" s="234" t="str">
        <f>IFERROR(__xludf.DUMMYFUNCTION("""COMPUTED_VALUE"""),"SoC_MG_Betim")</f>
        <v>SoC_MG_Betim</v>
      </c>
      <c r="C1173" s="234" t="str">
        <f>IFERROR(__xludf.DUMMYFUNCTION("""COMPUTED_VALUE"""),"SOC-MG2")</f>
        <v>SOC-MG2</v>
      </c>
      <c r="D1173" s="234">
        <f>IFERROR(__xludf.DUMMYFUNCTION("""COMPUTED_VALUE"""),14.0)</f>
        <v>14</v>
      </c>
      <c r="E1173" s="237" t="str">
        <f>IFERROR(__xludf.DUMMYFUNCTION("""COMPUTED_VALUE"""),"LT1PBQ01SV2J1")</f>
        <v>LT1PBQ01SV2J1</v>
      </c>
      <c r="F1173" s="238" t="str">
        <f>IFERROR(__xludf.DUMMYFUNCTION("""COMPUTED_VALUE"""),"QJS8D77,QHG7I41")</f>
        <v>QJS8D77,QHG7I41</v>
      </c>
      <c r="G1173" s="238">
        <f>IFERROR(__xludf.DUMMYFUNCTION("""COMPUTED_VALUE"""),45987.08333333333)</f>
        <v>45987.08333</v>
      </c>
      <c r="H1173" s="238">
        <f>IFERROR(__xludf.DUMMYFUNCTION("""COMPUTED_VALUE"""),45987.16666666667)</f>
        <v>45987.16667</v>
      </c>
      <c r="I1173" s="237" t="str">
        <f t="shared" si="1"/>
        <v>Fora</v>
      </c>
      <c r="J1173" s="239">
        <v>120.00000001396984</v>
      </c>
    </row>
    <row r="1174">
      <c r="A1174" s="234" t="s">
        <v>2868</v>
      </c>
      <c r="B1174" s="234" t="str">
        <f>IFERROR(__xludf.DUMMYFUNCTION("""COMPUTED_VALUE"""),"SoC_RJ_Duque de Caxias")</f>
        <v>SoC_RJ_Duque de Caxias</v>
      </c>
      <c r="C1174" s="234" t="str">
        <f>IFERROR(__xludf.DUMMYFUNCTION("""COMPUTED_VALUE"""),"SOC-RJ2")</f>
        <v>SOC-RJ2</v>
      </c>
      <c r="D1174" s="234">
        <f>IFERROR(__xludf.DUMMYFUNCTION("""COMPUTED_VALUE"""),48.0)</f>
        <v>48</v>
      </c>
      <c r="E1174" s="237" t="str">
        <f>IFERROR(__xludf.DUMMYFUNCTION("""COMPUTED_VALUE"""),"LT1PBQ01SV2F1")</f>
        <v>LT1PBQ01SV2F1</v>
      </c>
      <c r="F1174" s="238" t="str">
        <f>IFERROR(__xludf.DUMMYFUNCTION("""COMPUTED_VALUE"""),"GAT5B53,DBL0A55")</f>
        <v>GAT5B53,DBL0A55</v>
      </c>
      <c r="G1174" s="238">
        <f>IFERROR(__xludf.DUMMYFUNCTION("""COMPUTED_VALUE"""),45987.08333333333)</f>
        <v>45987.08333</v>
      </c>
      <c r="H1174" s="238">
        <f>IFERROR(__xludf.DUMMYFUNCTION("""COMPUTED_VALUE"""),45987.16666666667)</f>
        <v>45987.16667</v>
      </c>
      <c r="I1174" s="237" t="str">
        <f t="shared" si="1"/>
        <v>Fora</v>
      </c>
      <c r="J1174" s="239">
        <v>120.00000001396984</v>
      </c>
    </row>
    <row r="1175">
      <c r="A1175" s="234" t="s">
        <v>2869</v>
      </c>
      <c r="B1175" s="234" t="str">
        <f>IFERROR(__xludf.DUMMYFUNCTION("""COMPUTED_VALUE"""),"SoC_RS_Gravataí_02")</f>
        <v>SoC_RS_Gravataí_02</v>
      </c>
      <c r="C1175" s="234" t="str">
        <f>IFERROR(__xludf.DUMMYFUNCTION("""COMPUTED_VALUE"""),"SOC-RS2")</f>
        <v>SOC-RS2</v>
      </c>
      <c r="D1175" s="234">
        <f>IFERROR(__xludf.DUMMYFUNCTION("""COMPUTED_VALUE"""),23.0)</f>
        <v>23</v>
      </c>
      <c r="E1175" s="237" t="str">
        <f>IFERROR(__xludf.DUMMYFUNCTION("""COMPUTED_VALUE"""),"LT1PBQ01SV2U1")</f>
        <v>LT1PBQ01SV2U1</v>
      </c>
      <c r="F1175" s="238" t="str">
        <f>IFERROR(__xludf.DUMMYFUNCTION("""COMPUTED_VALUE"""),"FTZ1D15,EZL7J23")</f>
        <v>FTZ1D15,EZL7J23</v>
      </c>
      <c r="G1175" s="238">
        <f>IFERROR(__xludf.DUMMYFUNCTION("""COMPUTED_VALUE"""),45987.08333333333)</f>
        <v>45987.08333</v>
      </c>
      <c r="H1175" s="238">
        <f>IFERROR(__xludf.DUMMYFUNCTION("""COMPUTED_VALUE"""),45987.16666666667)</f>
        <v>45987.16667</v>
      </c>
      <c r="I1175" s="237" t="str">
        <f t="shared" si="1"/>
        <v>Fora</v>
      </c>
      <c r="J1175" s="239">
        <v>120.00000001396984</v>
      </c>
    </row>
    <row r="1176">
      <c r="A1176" s="234" t="s">
        <v>2870</v>
      </c>
      <c r="B1176" s="234" t="str">
        <f>IFERROR(__xludf.DUMMYFUNCTION("""COMPUTED_VALUE"""),"SoC_SP_Cravinhos")</f>
        <v>SoC_SP_Cravinhos</v>
      </c>
      <c r="C1176" s="234" t="str">
        <f>IFERROR(__xludf.DUMMYFUNCTION("""COMPUTED_VALUE"""),"SOC-SP5")</f>
        <v>SOC-SP5</v>
      </c>
      <c r="D1176" s="234">
        <f>IFERROR(__xludf.DUMMYFUNCTION("""COMPUTED_VALUE"""),41.0)</f>
        <v>41</v>
      </c>
      <c r="E1176" s="237" t="str">
        <f>IFERROR(__xludf.DUMMYFUNCTION("""COMPUTED_VALUE"""),"LT1PBQ01SV2B1")</f>
        <v>LT1PBQ01SV2B1</v>
      </c>
      <c r="F1176" s="238" t="str">
        <f>IFERROR(__xludf.DUMMYFUNCTION("""COMPUTED_VALUE"""),"FYC5A56,FFN6D90")</f>
        <v>FYC5A56,FFN6D90</v>
      </c>
      <c r="G1176" s="238">
        <f>IFERROR(__xludf.DUMMYFUNCTION("""COMPUTED_VALUE"""),45987.08333333333)</f>
        <v>45987.08333</v>
      </c>
      <c r="H1176" s="238">
        <f>IFERROR(__xludf.DUMMYFUNCTION("""COMPUTED_VALUE"""),45987.16666666667)</f>
        <v>45987.16667</v>
      </c>
      <c r="I1176" s="237" t="str">
        <f t="shared" si="1"/>
        <v>Fora</v>
      </c>
      <c r="J1176" s="239">
        <v>120.00000001396984</v>
      </c>
    </row>
    <row r="1177">
      <c r="A1177" s="234" t="s">
        <v>2871</v>
      </c>
      <c r="B1177" s="234" t="str">
        <f>IFERROR(__xludf.DUMMYFUNCTION("""COMPUTED_VALUE"""),"SoC_SP_Louveira")</f>
        <v>SoC_SP_Louveira</v>
      </c>
      <c r="C1177" s="234" t="str">
        <f>IFERROR(__xludf.DUMMYFUNCTION("""COMPUTED_VALUE"""),"SOC-SP7")</f>
        <v>SOC-SP7</v>
      </c>
      <c r="D1177" s="234"/>
      <c r="E1177" s="237" t="str">
        <f>IFERROR(__xludf.DUMMYFUNCTION("""COMPUTED_VALUE"""),"LT1PBQ01SV271")</f>
        <v>LT1PBQ01SV271</v>
      </c>
      <c r="F1177" s="238" t="str">
        <f>IFERROR(__xludf.DUMMYFUNCTION("""COMPUTED_VALUE"""),"ELW1F04,EFU6799")</f>
        <v>ELW1F04,EFU6799</v>
      </c>
      <c r="G1177" s="238">
        <f>IFERROR(__xludf.DUMMYFUNCTION("""COMPUTED_VALUE"""),45987.08333333333)</f>
        <v>45987.08333</v>
      </c>
      <c r="H1177" s="238">
        <f>IFERROR(__xludf.DUMMYFUNCTION("""COMPUTED_VALUE"""),45987.16666666667)</f>
        <v>45987.16667</v>
      </c>
      <c r="I1177" s="237" t="str">
        <f t="shared" si="1"/>
        <v>Fora</v>
      </c>
      <c r="J1177" s="239">
        <v>120.00000001396984</v>
      </c>
    </row>
    <row r="1178">
      <c r="A1178" s="234" t="s">
        <v>2872</v>
      </c>
      <c r="B1178" s="234" t="str">
        <f>IFERROR(__xludf.DUMMYFUNCTION("""COMPUTED_VALUE"""),"SoC_SP_Louveira")</f>
        <v>SoC_SP_Louveira</v>
      </c>
      <c r="C1178" s="234" t="str">
        <f>IFERROR(__xludf.DUMMYFUNCTION("""COMPUTED_VALUE"""),"SOC-SP7")</f>
        <v>SOC-SP7</v>
      </c>
      <c r="D1178" s="234">
        <f>IFERROR(__xludf.DUMMYFUNCTION("""COMPUTED_VALUE"""),29.0)</f>
        <v>29</v>
      </c>
      <c r="E1178" s="237" t="str">
        <f>IFERROR(__xludf.DUMMYFUNCTION("""COMPUTED_VALUE"""),"LT1PBQ01SVC91")</f>
        <v>LT1PBQ01SVC91</v>
      </c>
      <c r="F1178" s="238" t="str">
        <f>IFERROR(__xludf.DUMMYFUNCTION("""COMPUTED_VALUE"""),"FCV3J24,TLS7G35")</f>
        <v>FCV3J24,TLS7G35</v>
      </c>
      <c r="G1178" s="238">
        <f>IFERROR(__xludf.DUMMYFUNCTION("""COMPUTED_VALUE"""),45987.08333333333)</f>
        <v>45987.08333</v>
      </c>
      <c r="H1178" s="238">
        <f>IFERROR(__xludf.DUMMYFUNCTION("""COMPUTED_VALUE"""),45987.16666666667)</f>
        <v>45987.16667</v>
      </c>
      <c r="I1178" s="237" t="str">
        <f t="shared" si="1"/>
        <v>Fora</v>
      </c>
      <c r="J1178" s="239">
        <v>119.00000001071021</v>
      </c>
    </row>
    <row r="1179">
      <c r="A1179" s="234" t="s">
        <v>2873</v>
      </c>
      <c r="B1179" s="234" t="str">
        <f>IFERROR(__xludf.DUMMYFUNCTION("""COMPUTED_VALUE"""),"LM Hub_SP_Tatuí")</f>
        <v>LM Hub_SP_Tatuí</v>
      </c>
      <c r="C1179" s="234" t="str">
        <f>IFERROR(__xludf.DUMMYFUNCTION("""COMPUTED_VALUE"""),"HUB-LSP-51")</f>
        <v>HUB-LSP-51</v>
      </c>
      <c r="D1179" s="234">
        <f>IFERROR(__xludf.DUMMYFUNCTION("""COMPUTED_VALUE"""),9.0)</f>
        <v>9</v>
      </c>
      <c r="E1179" s="237" t="str">
        <f>IFERROR(__xludf.DUMMYFUNCTION("""COMPUTED_VALUE"""),"LT0PBQ01SFOG1")</f>
        <v>LT0PBQ01SFOG1</v>
      </c>
      <c r="F1179" s="238" t="str">
        <f>IFERROR(__xludf.DUMMYFUNCTION("""COMPUTED_VALUE"""),"TLE4D84")</f>
        <v>TLE4D84</v>
      </c>
      <c r="G1179" s="238">
        <f>IFERROR(__xludf.DUMMYFUNCTION("""COMPUTED_VALUE"""),45987.084027777775)</f>
        <v>45987.08403</v>
      </c>
      <c r="H1179" s="238">
        <f>IFERROR(__xludf.DUMMYFUNCTION("""COMPUTED_VALUE"""),45987.16666666667)</f>
        <v>45987.16667</v>
      </c>
      <c r="I1179" s="237" t="str">
        <f t="shared" si="1"/>
        <v>Fora</v>
      </c>
      <c r="J1179" s="239">
        <v>119.99999999301508</v>
      </c>
    </row>
    <row r="1180">
      <c r="A1180" s="234" t="s">
        <v>2874</v>
      </c>
      <c r="B1180" s="234" t="str">
        <f>IFERROR(__xludf.DUMMYFUNCTION("""COMPUTED_VALUE"""),"LM Hub_SP_São Carlos")</f>
        <v>LM Hub_SP_São Carlos</v>
      </c>
      <c r="C1180" s="234" t="str">
        <f>IFERROR(__xludf.DUMMYFUNCTION("""COMPUTED_VALUE"""),"HUB-LSP-31")</f>
        <v>HUB-LSP-31</v>
      </c>
      <c r="D1180" s="234">
        <f>IFERROR(__xludf.DUMMYFUNCTION("""COMPUTED_VALUE"""),32.0)</f>
        <v>32</v>
      </c>
      <c r="E1180" s="237" t="str">
        <f>IFERROR(__xludf.DUMMYFUNCTION("""COMPUTED_VALUE"""),"LT0PBQ01SFR41")</f>
        <v>LT0PBQ01SFR41</v>
      </c>
      <c r="F1180" s="238" t="str">
        <f>IFERROR(__xludf.DUMMYFUNCTION("""COMPUTED_VALUE"""),"MYP2D33")</f>
        <v>MYP2D33</v>
      </c>
      <c r="G1180" s="238">
        <f>IFERROR(__xludf.DUMMYFUNCTION("""COMPUTED_VALUE"""),45987.10416666667)</f>
        <v>45987.10417</v>
      </c>
      <c r="H1180" s="238">
        <f>IFERROR(__xludf.DUMMYFUNCTION("""COMPUTED_VALUE"""),45987.1875)</f>
        <v>45987.1875</v>
      </c>
      <c r="I1180" s="237" t="str">
        <f t="shared" si="1"/>
        <v>Fora</v>
      </c>
      <c r="J1180" s="239">
        <v>119.00000000023283</v>
      </c>
    </row>
    <row r="1181">
      <c r="A1181" s="234" t="s">
        <v>2875</v>
      </c>
      <c r="B1181" s="234" t="str">
        <f>IFERROR(__xludf.DUMMYFUNCTION("""COMPUTED_VALUE"""),"LM Hub_SP_Itapetininga")</f>
        <v>LM Hub_SP_Itapetininga</v>
      </c>
      <c r="C1181" s="234" t="str">
        <f>IFERROR(__xludf.DUMMYFUNCTION("""COMPUTED_VALUE"""),"HUB-LSP-53")</f>
        <v>HUB-LSP-53</v>
      </c>
      <c r="D1181" s="234">
        <f>IFERROR(__xludf.DUMMYFUNCTION("""COMPUTED_VALUE"""),36.0)</f>
        <v>36</v>
      </c>
      <c r="E1181" s="237" t="str">
        <f>IFERROR(__xludf.DUMMYFUNCTION("""COMPUTED_VALUE"""),"LT0PBQ01SFOB1")</f>
        <v>LT0PBQ01SFOB1</v>
      </c>
      <c r="F1181" s="238" t="str">
        <f>IFERROR(__xludf.DUMMYFUNCTION("""COMPUTED_VALUE"""),"FZY3F48")</f>
        <v>FZY3F48</v>
      </c>
      <c r="G1181" s="238">
        <f>IFERROR(__xludf.DUMMYFUNCTION("""COMPUTED_VALUE"""),45987.10486111111)</f>
        <v>45987.10486</v>
      </c>
      <c r="H1181" s="238">
        <f>IFERROR(__xludf.DUMMYFUNCTION("""COMPUTED_VALUE"""),45987.1875)</f>
        <v>45987.1875</v>
      </c>
      <c r="I1181" s="237" t="str">
        <f t="shared" si="1"/>
        <v>Fora</v>
      </c>
      <c r="J1181" s="239">
        <v>180.0</v>
      </c>
    </row>
    <row r="1182">
      <c r="A1182" s="234" t="s">
        <v>2876</v>
      </c>
      <c r="B1182" s="234" t="str">
        <f>IFERROR(__xludf.DUMMYFUNCTION("""COMPUTED_VALUE"""),"SoC_SP_Santana")</f>
        <v>SoC_SP_Santana</v>
      </c>
      <c r="C1182" s="234" t="str">
        <f>IFERROR(__xludf.DUMMYFUNCTION("""COMPUTED_VALUE"""),"SOC-SP2")</f>
        <v>SOC-SP2</v>
      </c>
      <c r="D1182" s="234">
        <f>IFERROR(__xludf.DUMMYFUNCTION("""COMPUTED_VALUE"""),33.0)</f>
        <v>33</v>
      </c>
      <c r="E1182" s="237" t="str">
        <f>IFERROR(__xludf.DUMMYFUNCTION("""COMPUTED_VALUE"""),"LT0PBQ01SG3U1")</f>
        <v>LT0PBQ01SG3U1</v>
      </c>
      <c r="F1182" s="238" t="str">
        <f>IFERROR(__xludf.DUMMYFUNCTION("""COMPUTED_VALUE"""),"NFG8B11,GDP0B86")</f>
        <v>NFG8B11,GDP0B86</v>
      </c>
      <c r="G1182" s="238">
        <f>IFERROR(__xludf.DUMMYFUNCTION("""COMPUTED_VALUE"""),45987.08333333333)</f>
        <v>45987.08333</v>
      </c>
      <c r="H1182" s="238">
        <f>IFERROR(__xludf.DUMMYFUNCTION("""COMPUTED_VALUE"""),45987.20833333333)</f>
        <v>45987.20833</v>
      </c>
      <c r="I1182" s="237" t="str">
        <f t="shared" si="1"/>
        <v>Fora</v>
      </c>
      <c r="J1182" s="239">
        <v>119.99999999301508</v>
      </c>
    </row>
    <row r="1183">
      <c r="A1183" s="234" t="s">
        <v>2877</v>
      </c>
      <c r="B1183" s="234" t="str">
        <f>IFERROR(__xludf.DUMMYFUNCTION("""COMPUTED_VALUE"""),"LM Hub_SP_Itapeva")</f>
        <v>LM Hub_SP_Itapeva</v>
      </c>
      <c r="C1183" s="234" t="str">
        <f>IFERROR(__xludf.DUMMYFUNCTION("""COMPUTED_VALUE"""),"HUB-LSP-39")</f>
        <v>HUB-LSP-39</v>
      </c>
      <c r="D1183" s="234">
        <f>IFERROR(__xludf.DUMMYFUNCTION("""COMPUTED_VALUE"""),7.0)</f>
        <v>7</v>
      </c>
      <c r="E1183" s="237" t="str">
        <f>IFERROR(__xludf.DUMMYFUNCTION("""COMPUTED_VALUE"""),"LT0PBQ01SFOM1")</f>
        <v>LT0PBQ01SFOM1</v>
      </c>
      <c r="F1183" s="238" t="str">
        <f>IFERROR(__xludf.DUMMYFUNCTION("""COMPUTED_VALUE"""),"DTC3E38")</f>
        <v>DTC3E38</v>
      </c>
      <c r="G1183" s="238">
        <f>IFERROR(__xludf.DUMMYFUNCTION("""COMPUTED_VALUE"""),45987.125)</f>
        <v>45987.125</v>
      </c>
      <c r="H1183" s="238">
        <f>IFERROR(__xludf.DUMMYFUNCTION("""COMPUTED_VALUE"""),45987.20833333333)</f>
        <v>45987.20833</v>
      </c>
      <c r="I1183" s="237" t="str">
        <f t="shared" si="1"/>
        <v>Fora</v>
      </c>
      <c r="J1183" s="239">
        <v>119.99999999301508</v>
      </c>
    </row>
    <row r="1184">
      <c r="A1184" s="234" t="s">
        <v>2878</v>
      </c>
      <c r="B1184" s="234" t="str">
        <f>IFERROR(__xludf.DUMMYFUNCTION("""COMPUTED_VALUE"""),"LM Hub_SP_Registro")</f>
        <v>LM Hub_SP_Registro</v>
      </c>
      <c r="C1184" s="234" t="str">
        <f>IFERROR(__xludf.DUMMYFUNCTION("""COMPUTED_VALUE"""),"HUB-LSP-40")</f>
        <v>HUB-LSP-40</v>
      </c>
      <c r="D1184" s="234">
        <f>IFERROR(__xludf.DUMMYFUNCTION("""COMPUTED_VALUE"""),12.0)</f>
        <v>12</v>
      </c>
      <c r="E1184" s="237" t="str">
        <f>IFERROR(__xludf.DUMMYFUNCTION("""COMPUTED_VALUE"""),"LT0PBQ01SFP71")</f>
        <v>LT0PBQ01SFP71</v>
      </c>
      <c r="F1184" s="238" t="str">
        <f>IFERROR(__xludf.DUMMYFUNCTION("""COMPUTED_VALUE"""),"FSV9B90")</f>
        <v>FSV9B90</v>
      </c>
      <c r="G1184" s="238">
        <f>IFERROR(__xludf.DUMMYFUNCTION("""COMPUTED_VALUE"""),45987.125)</f>
        <v>45987.125</v>
      </c>
      <c r="H1184" s="238">
        <f>IFERROR(__xludf.DUMMYFUNCTION("""COMPUTED_VALUE"""),45987.20833333333)</f>
        <v>45987.20833</v>
      </c>
      <c r="I1184" s="237" t="str">
        <f t="shared" si="1"/>
        <v>Fora</v>
      </c>
      <c r="J1184" s="239">
        <v>119.99999999301508</v>
      </c>
    </row>
    <row r="1185">
      <c r="A1185" s="234" t="s">
        <v>2879</v>
      </c>
      <c r="B1185" s="234" t="str">
        <f>IFERROR(__xludf.DUMMYFUNCTION("""COMPUTED_VALUE"""),"LM Hub_SP_Sumaré_Nova Veneza_1")</f>
        <v>LM Hub_SP_Sumaré_Nova Veneza_1</v>
      </c>
      <c r="C1185" s="234" t="str">
        <f>IFERROR(__xludf.DUMMYFUNCTION("""COMPUTED_VALUE"""),"HUB-LSP-88")</f>
        <v>HUB-LSP-88</v>
      </c>
      <c r="D1185" s="234">
        <f>IFERROR(__xludf.DUMMYFUNCTION("""COMPUTED_VALUE"""),42.0)</f>
        <v>42</v>
      </c>
      <c r="E1185" s="237" t="str">
        <f>IFERROR(__xludf.DUMMYFUNCTION("""COMPUTED_VALUE"""),"LT0PBQ01SKUB1")</f>
        <v>LT0PBQ01SKUB1</v>
      </c>
      <c r="F1185" s="238" t="str">
        <f>IFERROR(__xludf.DUMMYFUNCTION("""COMPUTED_VALUE"""),"TLW1F27")</f>
        <v>TLW1F27</v>
      </c>
      <c r="G1185" s="238">
        <f>IFERROR(__xludf.DUMMYFUNCTION("""COMPUTED_VALUE"""),45987.125)</f>
        <v>45987.125</v>
      </c>
      <c r="H1185" s="238">
        <f>IFERROR(__xludf.DUMMYFUNCTION("""COMPUTED_VALUE"""),45987.20833333333)</f>
        <v>45987.20833</v>
      </c>
      <c r="I1185" s="237" t="str">
        <f t="shared" si="1"/>
        <v>Fora</v>
      </c>
      <c r="J1185" s="239">
        <v>119.99999999301508</v>
      </c>
    </row>
    <row r="1186">
      <c r="A1186" s="234" t="s">
        <v>2880</v>
      </c>
      <c r="B1186" s="234" t="str">
        <f>IFERROR(__xludf.DUMMYFUNCTION("""COMPUTED_VALUE"""),"SoC_BA_Simoes Filho")</f>
        <v>SoC_BA_Simoes Filho</v>
      </c>
      <c r="C1186" s="234" t="str">
        <f>IFERROR(__xludf.DUMMYFUNCTION("""COMPUTED_VALUE"""),"SOC-BA2")</f>
        <v>SOC-BA2</v>
      </c>
      <c r="D1186" s="234"/>
      <c r="E1186" s="237" t="str">
        <f>IFERROR(__xludf.DUMMYFUNCTION("""COMPUTED_VALUE"""),"LT1PBQ01SV2S1")</f>
        <v>LT1PBQ01SV2S1</v>
      </c>
      <c r="F1186" s="238" t="str">
        <f>IFERROR(__xludf.DUMMYFUNCTION("""COMPUTED_VALUE"""),"MTW4C62,TJD7A40")</f>
        <v>MTW4C62,TJD7A40</v>
      </c>
      <c r="G1186" s="238">
        <f>IFERROR(__xludf.DUMMYFUNCTION("""COMPUTED_VALUE"""),45987.125)</f>
        <v>45987.125</v>
      </c>
      <c r="H1186" s="238">
        <f>IFERROR(__xludf.DUMMYFUNCTION("""COMPUTED_VALUE"""),45987.20833333333)</f>
        <v>45987.20833</v>
      </c>
      <c r="I1186" s="237" t="str">
        <f t="shared" si="1"/>
        <v>Fora</v>
      </c>
      <c r="J1186" s="239">
        <v>119.99999999301508</v>
      </c>
    </row>
    <row r="1187">
      <c r="A1187" s="234" t="s">
        <v>2881</v>
      </c>
      <c r="B1187" s="234" t="str">
        <f>IFERROR(__xludf.DUMMYFUNCTION("""COMPUTED_VALUE"""),"SoC_BA_Simoes Filho")</f>
        <v>SoC_BA_Simoes Filho</v>
      </c>
      <c r="C1187" s="234" t="str">
        <f>IFERROR(__xludf.DUMMYFUNCTION("""COMPUTED_VALUE"""),"SOC-BA2")</f>
        <v>SOC-BA2</v>
      </c>
      <c r="D1187" s="234"/>
      <c r="E1187" s="237" t="str">
        <f>IFERROR(__xludf.DUMMYFUNCTION("""COMPUTED_VALUE"""),"LT1PBQ01SVC61")</f>
        <v>LT1PBQ01SVC61</v>
      </c>
      <c r="F1187" s="238" t="str">
        <f>IFERROR(__xludf.DUMMYFUNCTION("""COMPUTED_VALUE"""),"RDV0J91,MHJ0441")</f>
        <v>RDV0J91,MHJ0441</v>
      </c>
      <c r="G1187" s="238">
        <f>IFERROR(__xludf.DUMMYFUNCTION("""COMPUTED_VALUE"""),45987.125)</f>
        <v>45987.125</v>
      </c>
      <c r="H1187" s="238">
        <f>IFERROR(__xludf.DUMMYFUNCTION("""COMPUTED_VALUE"""),45987.20833333333)</f>
        <v>45987.20833</v>
      </c>
      <c r="I1187" s="237" t="str">
        <f t="shared" si="1"/>
        <v>Fora</v>
      </c>
      <c r="J1187" s="239">
        <v>119.99999999301508</v>
      </c>
    </row>
    <row r="1188">
      <c r="A1188" s="234" t="s">
        <v>2882</v>
      </c>
      <c r="B1188" s="234" t="str">
        <f>IFERROR(__xludf.DUMMYFUNCTION("""COMPUTED_VALUE"""),"SoC_GO_Goiânia_02")</f>
        <v>SoC_GO_Goiânia_02</v>
      </c>
      <c r="C1188" s="234" t="str">
        <f>IFERROR(__xludf.DUMMYFUNCTION("""COMPUTED_VALUE"""),"SOC-GO2")</f>
        <v>SOC-GO2</v>
      </c>
      <c r="D1188" s="234"/>
      <c r="E1188" s="237" t="str">
        <f>IFERROR(__xludf.DUMMYFUNCTION("""COMPUTED_VALUE"""),"LT1PBQ01SV321")</f>
        <v>LT1PBQ01SV321</v>
      </c>
      <c r="F1188" s="238" t="str">
        <f>IFERROR(__xludf.DUMMYFUNCTION("""COMPUTED_VALUE"""),"TLN8C37,AXI9D02")</f>
        <v>TLN8C37,AXI9D02</v>
      </c>
      <c r="G1188" s="238">
        <f>IFERROR(__xludf.DUMMYFUNCTION("""COMPUTED_VALUE"""),45987.125)</f>
        <v>45987.125</v>
      </c>
      <c r="H1188" s="238">
        <f>IFERROR(__xludf.DUMMYFUNCTION("""COMPUTED_VALUE"""),45987.20833333333)</f>
        <v>45987.20833</v>
      </c>
      <c r="I1188" s="237" t="str">
        <f t="shared" si="1"/>
        <v>Fora</v>
      </c>
      <c r="J1188" s="239">
        <v>119.99999999301508</v>
      </c>
    </row>
    <row r="1189">
      <c r="A1189" s="234" t="s">
        <v>2883</v>
      </c>
      <c r="B1189" s="234" t="str">
        <f>IFERROR(__xludf.DUMMYFUNCTION("""COMPUTED_VALUE"""),"SoC_PE_Jaboatão dos Guararapes")</f>
        <v>SoC_PE_Jaboatão dos Guararapes</v>
      </c>
      <c r="C1189" s="234" t="str">
        <f>IFERROR(__xludf.DUMMYFUNCTION("""COMPUTED_VALUE"""),"SOC-PE2")</f>
        <v>SOC-PE2</v>
      </c>
      <c r="D1189" s="234">
        <f>IFERROR(__xludf.DUMMYFUNCTION("""COMPUTED_VALUE"""),25.0)</f>
        <v>25</v>
      </c>
      <c r="E1189" s="237" t="str">
        <f>IFERROR(__xludf.DUMMYFUNCTION("""COMPUTED_VALUE"""),"LT1PBQ01SV2O1")</f>
        <v>LT1PBQ01SV2O1</v>
      </c>
      <c r="F1189" s="238" t="str">
        <f>IFERROR(__xludf.DUMMYFUNCTION("""COMPUTED_VALUE"""),"CUD4A24,FPG9I38")</f>
        <v>CUD4A24,FPG9I38</v>
      </c>
      <c r="G1189" s="238">
        <f>IFERROR(__xludf.DUMMYFUNCTION("""COMPUTED_VALUE"""),45987.125)</f>
        <v>45987.125</v>
      </c>
      <c r="H1189" s="238">
        <f>IFERROR(__xludf.DUMMYFUNCTION("""COMPUTED_VALUE"""),45987.20833333333)</f>
        <v>45987.20833</v>
      </c>
      <c r="I1189" s="237" t="str">
        <f t="shared" si="1"/>
        <v>Fora</v>
      </c>
      <c r="J1189" s="239">
        <v>119.99999999301508</v>
      </c>
    </row>
    <row r="1190">
      <c r="A1190" s="234" t="s">
        <v>2884</v>
      </c>
      <c r="B1190" s="234" t="str">
        <f>IFERROR(__xludf.DUMMYFUNCTION("""COMPUTED_VALUE"""),"SoC_PR_Curitiba")</f>
        <v>SoC_PR_Curitiba</v>
      </c>
      <c r="C1190" s="234" t="str">
        <f>IFERROR(__xludf.DUMMYFUNCTION("""COMPUTED_VALUE"""),"SOC-PR1")</f>
        <v>SOC-PR1</v>
      </c>
      <c r="D1190" s="234">
        <f>IFERROR(__xludf.DUMMYFUNCTION("""COMPUTED_VALUE"""),21.0)</f>
        <v>21</v>
      </c>
      <c r="E1190" s="237" t="str">
        <f>IFERROR(__xludf.DUMMYFUNCTION("""COMPUTED_VALUE"""),"LT1PBQ01SV2L1")</f>
        <v>LT1PBQ01SV2L1</v>
      </c>
      <c r="F1190" s="238" t="str">
        <f>IFERROR(__xludf.DUMMYFUNCTION("""COMPUTED_VALUE"""),"RXZ5A74,TMH3B57")</f>
        <v>RXZ5A74,TMH3B57</v>
      </c>
      <c r="G1190" s="238">
        <f>IFERROR(__xludf.DUMMYFUNCTION("""COMPUTED_VALUE"""),45987.125)</f>
        <v>45987.125</v>
      </c>
      <c r="H1190" s="238">
        <f>IFERROR(__xludf.DUMMYFUNCTION("""COMPUTED_VALUE"""),45987.20833333333)</f>
        <v>45987.20833</v>
      </c>
      <c r="I1190" s="237" t="str">
        <f t="shared" si="1"/>
        <v>Fora</v>
      </c>
      <c r="J1190" s="239">
        <v>119.99999999301508</v>
      </c>
    </row>
    <row r="1191">
      <c r="A1191" s="234" t="s">
        <v>2885</v>
      </c>
      <c r="B1191" s="234" t="str">
        <f>IFERROR(__xludf.DUMMYFUNCTION("""COMPUTED_VALUE"""),"SoC_RJ_Duque de Caxias")</f>
        <v>SoC_RJ_Duque de Caxias</v>
      </c>
      <c r="C1191" s="234" t="str">
        <f>IFERROR(__xludf.DUMMYFUNCTION("""COMPUTED_VALUE"""),"SOC-RJ2")</f>
        <v>SOC-RJ2</v>
      </c>
      <c r="D1191" s="234"/>
      <c r="E1191" s="237" t="str">
        <f>IFERROR(__xludf.DUMMYFUNCTION("""COMPUTED_VALUE"""),"LT1PBP01STUM1")</f>
        <v>LT1PBP01STUM1</v>
      </c>
      <c r="F1191" s="238" t="str">
        <f>IFERROR(__xludf.DUMMYFUNCTION("""COMPUTED_VALUE"""),"EHH3B94,GBG7J83")</f>
        <v>EHH3B94,GBG7J83</v>
      </c>
      <c r="G1191" s="238">
        <f>IFERROR(__xludf.DUMMYFUNCTION("""COMPUTED_VALUE"""),45987.125)</f>
        <v>45987.125</v>
      </c>
      <c r="H1191" s="238">
        <f>IFERROR(__xludf.DUMMYFUNCTION("""COMPUTED_VALUE"""),45987.20833333333)</f>
        <v>45987.20833</v>
      </c>
      <c r="I1191" s="237" t="str">
        <f t="shared" si="1"/>
        <v>Fora</v>
      </c>
      <c r="J1191" s="239">
        <v>119.99999999301508</v>
      </c>
    </row>
    <row r="1192">
      <c r="A1192" s="234" t="s">
        <v>2886</v>
      </c>
      <c r="B1192" s="234" t="str">
        <f>IFERROR(__xludf.DUMMYFUNCTION("""COMPUTED_VALUE"""),"SoC_RS_Gravataí_02")</f>
        <v>SoC_RS_Gravataí_02</v>
      </c>
      <c r="C1192" s="234" t="str">
        <f>IFERROR(__xludf.DUMMYFUNCTION("""COMPUTED_VALUE"""),"SOC-RS2")</f>
        <v>SOC-RS2</v>
      </c>
      <c r="D1192" s="234">
        <f>IFERROR(__xludf.DUMMYFUNCTION("""COMPUTED_VALUE"""),24.0)</f>
        <v>24</v>
      </c>
      <c r="E1192" s="237" t="str">
        <f>IFERROR(__xludf.DUMMYFUNCTION("""COMPUTED_VALUE"""),"LT0PBQ01SLLG1")</f>
        <v>LT0PBQ01SLLG1</v>
      </c>
      <c r="F1192" s="238" t="str">
        <f>IFERROR(__xludf.DUMMYFUNCTION("""COMPUTED_VALUE"""),"FYB4J63,UDN7D17")</f>
        <v>FYB4J63,UDN7D17</v>
      </c>
      <c r="G1192" s="238">
        <f>IFERROR(__xludf.DUMMYFUNCTION("""COMPUTED_VALUE"""),45987.125)</f>
        <v>45987.125</v>
      </c>
      <c r="H1192" s="238">
        <f>IFERROR(__xludf.DUMMYFUNCTION("""COMPUTED_VALUE"""),45987.20833333333)</f>
        <v>45987.20833</v>
      </c>
      <c r="I1192" s="237" t="str">
        <f t="shared" si="1"/>
        <v>Fora</v>
      </c>
      <c r="J1192" s="239">
        <v>119.99999999301508</v>
      </c>
    </row>
    <row r="1193">
      <c r="A1193" s="234" t="s">
        <v>2887</v>
      </c>
      <c r="B1193" s="234" t="str">
        <f>IFERROR(__xludf.DUMMYFUNCTION("""COMPUTED_VALUE"""),"SoC_RS_Gravataí_02")</f>
        <v>SoC_RS_Gravataí_02</v>
      </c>
      <c r="C1193" s="234" t="str">
        <f>IFERROR(__xludf.DUMMYFUNCTION("""COMPUTED_VALUE"""),"SOC-RS2")</f>
        <v>SOC-RS2</v>
      </c>
      <c r="D1193" s="234">
        <f>IFERROR(__xludf.DUMMYFUNCTION("""COMPUTED_VALUE"""),22.0)</f>
        <v>22</v>
      </c>
      <c r="E1193" s="237" t="str">
        <f>IFERROR(__xludf.DUMMYFUNCTION("""COMPUTED_VALUE"""),"LT1PBQ01SV2V1")</f>
        <v>LT1PBQ01SV2V1</v>
      </c>
      <c r="F1193" s="238" t="str">
        <f>IFERROR(__xludf.DUMMYFUNCTION("""COMPUTED_VALUE"""),"TBG4B93,EZL9D53")</f>
        <v>TBG4B93,EZL9D53</v>
      </c>
      <c r="G1193" s="238">
        <f>IFERROR(__xludf.DUMMYFUNCTION("""COMPUTED_VALUE"""),45987.125)</f>
        <v>45987.125</v>
      </c>
      <c r="H1193" s="238">
        <f>IFERROR(__xludf.DUMMYFUNCTION("""COMPUTED_VALUE"""),45987.20833333333)</f>
        <v>45987.20833</v>
      </c>
      <c r="I1193" s="237" t="str">
        <f t="shared" si="1"/>
        <v>Fora</v>
      </c>
      <c r="J1193" s="239">
        <v>119.99999999301508</v>
      </c>
    </row>
    <row r="1194">
      <c r="A1194" s="234" t="s">
        <v>2888</v>
      </c>
      <c r="B1194" s="234" t="str">
        <f>IFERROR(__xludf.DUMMYFUNCTION("""COMPUTED_VALUE"""),"SoC_SC_Itajaí")</f>
        <v>SoC_SC_Itajaí</v>
      </c>
      <c r="C1194" s="234" t="str">
        <f>IFERROR(__xludf.DUMMYFUNCTION("""COMPUTED_VALUE"""),"SOC-SC1")</f>
        <v>SOC-SC1</v>
      </c>
      <c r="D1194" s="234"/>
      <c r="E1194" s="237" t="str">
        <f>IFERROR(__xludf.DUMMYFUNCTION("""COMPUTED_VALUE"""),"LT1PBP01SV2W1")</f>
        <v>LT1PBP01SV2W1</v>
      </c>
      <c r="F1194" s="238" t="str">
        <f>IFERROR(__xludf.DUMMYFUNCTION("""COMPUTED_VALUE"""),"GAV3B65,BCU1D08")</f>
        <v>GAV3B65,BCU1D08</v>
      </c>
      <c r="G1194" s="238">
        <f>IFERROR(__xludf.DUMMYFUNCTION("""COMPUTED_VALUE"""),45987.125)</f>
        <v>45987.125</v>
      </c>
      <c r="H1194" s="238">
        <f>IFERROR(__xludf.DUMMYFUNCTION("""COMPUTED_VALUE"""),45987.20833333333)</f>
        <v>45987.20833</v>
      </c>
      <c r="I1194" s="237" t="str">
        <f t="shared" si="1"/>
        <v>Fora</v>
      </c>
      <c r="J1194" s="239">
        <v>119.99999999301508</v>
      </c>
    </row>
    <row r="1195">
      <c r="A1195" s="234" t="s">
        <v>2889</v>
      </c>
      <c r="B1195" s="234" t="str">
        <f>IFERROR(__xludf.DUMMYFUNCTION("""COMPUTED_VALUE"""),"SoC_SC_Itajaí")</f>
        <v>SoC_SC_Itajaí</v>
      </c>
      <c r="C1195" s="234" t="str">
        <f>IFERROR(__xludf.DUMMYFUNCTION("""COMPUTED_VALUE"""),"SOC-SC1")</f>
        <v>SOC-SC1</v>
      </c>
      <c r="D1195" s="234">
        <f>IFERROR(__xludf.DUMMYFUNCTION("""COMPUTED_VALUE"""),26.0)</f>
        <v>26</v>
      </c>
      <c r="E1195" s="237" t="str">
        <f>IFERROR(__xludf.DUMMYFUNCTION("""COMPUTED_VALUE"""),"LT1PBQ01SV2X1")</f>
        <v>LT1PBQ01SV2X1</v>
      </c>
      <c r="F1195" s="238" t="str">
        <f>IFERROR(__xludf.DUMMYFUNCTION("""COMPUTED_VALUE"""),"EMT7E03")</f>
        <v>EMT7E03</v>
      </c>
      <c r="G1195" s="238">
        <f>IFERROR(__xludf.DUMMYFUNCTION("""COMPUTED_VALUE"""),45987.125)</f>
        <v>45987.125</v>
      </c>
      <c r="H1195" s="238">
        <f>IFERROR(__xludf.DUMMYFUNCTION("""COMPUTED_VALUE"""),45987.20833333333)</f>
        <v>45987.20833</v>
      </c>
      <c r="I1195" s="237" t="str">
        <f t="shared" si="1"/>
        <v>Fora</v>
      </c>
      <c r="J1195" s="239">
        <v>119.99999999301508</v>
      </c>
    </row>
    <row r="1196">
      <c r="A1196" s="234" t="s">
        <v>2890</v>
      </c>
      <c r="B1196" s="234" t="str">
        <f>IFERROR(__xludf.DUMMYFUNCTION("""COMPUTED_VALUE"""),"SoC_SP_Cravinhos")</f>
        <v>SoC_SP_Cravinhos</v>
      </c>
      <c r="C1196" s="234" t="str">
        <f>IFERROR(__xludf.DUMMYFUNCTION("""COMPUTED_VALUE"""),"SOC-SP5")</f>
        <v>SOC-SP5</v>
      </c>
      <c r="D1196" s="234">
        <f>IFERROR(__xludf.DUMMYFUNCTION("""COMPUTED_VALUE"""),6.0)</f>
        <v>6</v>
      </c>
      <c r="E1196" s="237" t="str">
        <f>IFERROR(__xludf.DUMMYFUNCTION("""COMPUTED_VALUE"""),"LT1PBQ01SV2C1")</f>
        <v>LT1PBQ01SV2C1</v>
      </c>
      <c r="F1196" s="238" t="str">
        <f>IFERROR(__xludf.DUMMYFUNCTION("""COMPUTED_VALUE"""),"NJH3878,GAF3B80")</f>
        <v>NJH3878,GAF3B80</v>
      </c>
      <c r="G1196" s="238">
        <f>IFERROR(__xludf.DUMMYFUNCTION("""COMPUTED_VALUE"""),45987.125)</f>
        <v>45987.125</v>
      </c>
      <c r="H1196" s="238">
        <f>IFERROR(__xludf.DUMMYFUNCTION("""COMPUTED_VALUE"""),45987.20833333333)</f>
        <v>45987.20833</v>
      </c>
      <c r="I1196" s="237" t="str">
        <f t="shared" si="1"/>
        <v>Fora</v>
      </c>
      <c r="J1196" s="239">
        <v>119.99999999301508</v>
      </c>
    </row>
    <row r="1197">
      <c r="A1197" s="234" t="s">
        <v>2891</v>
      </c>
      <c r="B1197" s="234" t="str">
        <f>IFERROR(__xludf.DUMMYFUNCTION("""COMPUTED_VALUE"""),"SoC_SP_Guarulhos")</f>
        <v>SoC_SP_Guarulhos</v>
      </c>
      <c r="C1197" s="234" t="str">
        <f>IFERROR(__xludf.DUMMYFUNCTION("""COMPUTED_VALUE"""),"SOC-SP6")</f>
        <v>SOC-SP6</v>
      </c>
      <c r="D1197" s="234">
        <f>IFERROR(__xludf.DUMMYFUNCTION("""COMPUTED_VALUE"""),28.0)</f>
        <v>28</v>
      </c>
      <c r="E1197" s="237" t="str">
        <f>IFERROR(__xludf.DUMMYFUNCTION("""COMPUTED_VALUE"""),"LT1PBQ01SV2D1")</f>
        <v>LT1PBQ01SV2D1</v>
      </c>
      <c r="F1197" s="238" t="str">
        <f>IFERROR(__xludf.DUMMYFUNCTION("""COMPUTED_VALUE"""),"DPC1A14,FTC9083")</f>
        <v>DPC1A14,FTC9083</v>
      </c>
      <c r="G1197" s="238">
        <f>IFERROR(__xludf.DUMMYFUNCTION("""COMPUTED_VALUE"""),45987.125)</f>
        <v>45987.125</v>
      </c>
      <c r="H1197" s="238">
        <f>IFERROR(__xludf.DUMMYFUNCTION("""COMPUTED_VALUE"""),45987.20833333333)</f>
        <v>45987.20833</v>
      </c>
      <c r="I1197" s="237" t="str">
        <f t="shared" si="1"/>
        <v>Fora</v>
      </c>
      <c r="J1197" s="239">
        <v>119.99999999301508</v>
      </c>
    </row>
    <row r="1198">
      <c r="A1198" s="234" t="s">
        <v>2892</v>
      </c>
      <c r="B1198" s="234" t="str">
        <f>IFERROR(__xludf.DUMMYFUNCTION("""COMPUTED_VALUE"""),"SoC_SP_Louveira")</f>
        <v>SoC_SP_Louveira</v>
      </c>
      <c r="C1198" s="234" t="str">
        <f>IFERROR(__xludf.DUMMYFUNCTION("""COMPUTED_VALUE"""),"SOC-SP7")</f>
        <v>SOC-SP7</v>
      </c>
      <c r="D1198" s="234"/>
      <c r="E1198" s="237" t="str">
        <f>IFERROR(__xludf.DUMMYFUNCTION("""COMPUTED_VALUE"""),"LT1PBQ01SV281")</f>
        <v>LT1PBQ01SV281</v>
      </c>
      <c r="F1198" s="238" t="str">
        <f>IFERROR(__xludf.DUMMYFUNCTION("""COMPUTED_VALUE"""),"ARC6D70,MJB7A06")</f>
        <v>ARC6D70,MJB7A06</v>
      </c>
      <c r="G1198" s="238">
        <f>IFERROR(__xludf.DUMMYFUNCTION("""COMPUTED_VALUE"""),45987.125)</f>
        <v>45987.125</v>
      </c>
      <c r="H1198" s="238">
        <f>IFERROR(__xludf.DUMMYFUNCTION("""COMPUTED_VALUE"""),45987.20833333333)</f>
        <v>45987.20833</v>
      </c>
      <c r="I1198" s="237" t="str">
        <f t="shared" si="1"/>
        <v>Fora</v>
      </c>
      <c r="J1198" s="239">
        <v>59.99999998603016</v>
      </c>
    </row>
    <row r="1199">
      <c r="A1199" s="234" t="s">
        <v>2893</v>
      </c>
      <c r="B1199" s="234" t="str">
        <f>IFERROR(__xludf.DUMMYFUNCTION("""COMPUTED_VALUE"""),"SoC_BA_Simoes Filho")</f>
        <v>SoC_BA_Simoes Filho</v>
      </c>
      <c r="C1199" s="234" t="str">
        <f>IFERROR(__xludf.DUMMYFUNCTION("""COMPUTED_VALUE"""),"SOC-BA2")</f>
        <v>SOC-BA2</v>
      </c>
      <c r="D1199" s="234"/>
      <c r="E1199" s="237" t="str">
        <f>IFERROR(__xludf.DUMMYFUNCTION("""COMPUTED_VALUE"""),"LT1PBQ01SVLE1")</f>
        <v>LT1PBQ01SVLE1</v>
      </c>
      <c r="F1199" s="234"/>
      <c r="G1199" s="238">
        <f>IFERROR(__xludf.DUMMYFUNCTION("""COMPUTED_VALUE"""),45987.16666666667)</f>
        <v>45987.16667</v>
      </c>
      <c r="H1199" s="238">
        <f>IFERROR(__xludf.DUMMYFUNCTION("""COMPUTED_VALUE"""),45987.20833333333)</f>
        <v>45987.20833</v>
      </c>
      <c r="I1199" s="237" t="str">
        <f t="shared" si="1"/>
        <v>Fora</v>
      </c>
      <c r="J1199" s="239">
        <v>120.00000001396984</v>
      </c>
    </row>
    <row r="1200">
      <c r="A1200" s="234" t="s">
        <v>2894</v>
      </c>
      <c r="B1200" s="234" t="str">
        <f>IFERROR(__xludf.DUMMYFUNCTION("""COMPUTED_VALUE"""),"LM Hub_SP_Campinas_São Martinho")</f>
        <v>LM Hub_SP_Campinas_São Martinho</v>
      </c>
      <c r="C1200" s="234" t="str">
        <f>IFERROR(__xludf.DUMMYFUNCTION("""COMPUTED_VALUE"""),"HUB-LSP-19")</f>
        <v>HUB-LSP-19</v>
      </c>
      <c r="D1200" s="234">
        <f>IFERROR(__xludf.DUMMYFUNCTION("""COMPUTED_VALUE"""),16.0)</f>
        <v>16</v>
      </c>
      <c r="E1200" s="237" t="str">
        <f>IFERROR(__xludf.DUMMYFUNCTION("""COMPUTED_VALUE"""),"LT0PBQ01SFSH1")</f>
        <v>LT0PBQ01SFSH1</v>
      </c>
      <c r="F1200" s="238" t="str">
        <f>IFERROR(__xludf.DUMMYFUNCTION("""COMPUTED_VALUE"""),"EBM2I49")</f>
        <v>EBM2I49</v>
      </c>
      <c r="G1200" s="238">
        <f>IFERROR(__xludf.DUMMYFUNCTION("""COMPUTED_VALUE"""),45987.14583333333)</f>
        <v>45987.14583</v>
      </c>
      <c r="H1200" s="238">
        <f>IFERROR(__xludf.DUMMYFUNCTION("""COMPUTED_VALUE"""),45987.22916666667)</f>
        <v>45987.22917</v>
      </c>
      <c r="I1200" s="237" t="str">
        <f t="shared" si="1"/>
        <v>Fora</v>
      </c>
      <c r="J1200" s="239">
        <v>120.00000001396984</v>
      </c>
    </row>
    <row r="1201">
      <c r="A1201" s="234" t="s">
        <v>2895</v>
      </c>
      <c r="B1201" s="234" t="str">
        <f>IFERROR(__xludf.DUMMYFUNCTION("""COMPUTED_VALUE"""),"LM Hub_SP_Mogi Mirim")</f>
        <v>LM Hub_SP_Mogi Mirim</v>
      </c>
      <c r="C1201" s="234" t="str">
        <f>IFERROR(__xludf.DUMMYFUNCTION("""COMPUTED_VALUE"""),"HUB-LSP-37")</f>
        <v>HUB-LSP-37</v>
      </c>
      <c r="D1201" s="234">
        <f>IFERROR(__xludf.DUMMYFUNCTION("""COMPUTED_VALUE"""),40.0)</f>
        <v>40</v>
      </c>
      <c r="E1201" s="237" t="str">
        <f>IFERROR(__xludf.DUMMYFUNCTION("""COMPUTED_VALUE"""),"LT0PBQ01SFRF1")</f>
        <v>LT0PBQ01SFRF1</v>
      </c>
      <c r="F1201" s="238" t="str">
        <f>IFERROR(__xludf.DUMMYFUNCTION("""COMPUTED_VALUE"""),"CUG3E95")</f>
        <v>CUG3E95</v>
      </c>
      <c r="G1201" s="238">
        <f>IFERROR(__xludf.DUMMYFUNCTION("""COMPUTED_VALUE"""),45987.14583333333)</f>
        <v>45987.14583</v>
      </c>
      <c r="H1201" s="238">
        <f>IFERROR(__xludf.DUMMYFUNCTION("""COMPUTED_VALUE"""),45987.22916666667)</f>
        <v>45987.22917</v>
      </c>
      <c r="I1201" s="237" t="str">
        <f t="shared" si="1"/>
        <v>Fora</v>
      </c>
      <c r="J1201" s="239">
        <v>120.00000001396984</v>
      </c>
    </row>
    <row r="1202">
      <c r="A1202" s="234" t="s">
        <v>2896</v>
      </c>
      <c r="B1202" s="234" t="str">
        <f>IFERROR(__xludf.DUMMYFUNCTION("""COMPUTED_VALUE"""),"LM Hub_SP_Osasco_02")</f>
        <v>LM Hub_SP_Osasco_02</v>
      </c>
      <c r="C1202" s="234" t="str">
        <f>IFERROR(__xludf.DUMMYFUNCTION("""COMPUTED_VALUE"""),"HUB-LSP-60")</f>
        <v>HUB-LSP-60</v>
      </c>
      <c r="D1202" s="234">
        <f>IFERROR(__xludf.DUMMYFUNCTION("""COMPUTED_VALUE"""),34.0)</f>
        <v>34</v>
      </c>
      <c r="E1202" s="237" t="str">
        <f>IFERROR(__xludf.DUMMYFUNCTION("""COMPUTED_VALUE"""),"LT0PBQ01SGQX1")</f>
        <v>LT0PBQ01SGQX1</v>
      </c>
      <c r="F1202" s="238" t="str">
        <f>IFERROR(__xludf.DUMMYFUNCTION("""COMPUTED_VALUE"""),"FEU6H63")</f>
        <v>FEU6H63</v>
      </c>
      <c r="G1202" s="238">
        <f>IFERROR(__xludf.DUMMYFUNCTION("""COMPUTED_VALUE"""),45987.14583333333)</f>
        <v>45987.14583</v>
      </c>
      <c r="H1202" s="238">
        <f>IFERROR(__xludf.DUMMYFUNCTION("""COMPUTED_VALUE"""),45987.22916666667)</f>
        <v>45987.22917</v>
      </c>
      <c r="I1202" s="237" t="str">
        <f t="shared" si="1"/>
        <v>Fora</v>
      </c>
      <c r="J1202" s="239">
        <v>120.00000001396984</v>
      </c>
    </row>
    <row r="1203">
      <c r="A1203" s="234" t="s">
        <v>2897</v>
      </c>
      <c r="B1203" s="234" t="str">
        <f>IFERROR(__xludf.DUMMYFUNCTION("""COMPUTED_VALUE"""),"LM Hub_SP_Sorocaba_Região Norte")</f>
        <v>LM Hub_SP_Sorocaba_Região Norte</v>
      </c>
      <c r="C1203" s="234" t="str">
        <f>IFERROR(__xludf.DUMMYFUNCTION("""COMPUTED_VALUE"""),"HUB-LSP-10")</f>
        <v>HUB-LSP-10</v>
      </c>
      <c r="D1203" s="234">
        <f>IFERROR(__xludf.DUMMYFUNCTION("""COMPUTED_VALUE"""),18.0)</f>
        <v>18</v>
      </c>
      <c r="E1203" s="237" t="str">
        <f>IFERROR(__xludf.DUMMYFUNCTION("""COMPUTED_VALUE"""),"LT0PBQ01SFQ71")</f>
        <v>LT0PBQ01SFQ71</v>
      </c>
      <c r="F1203" s="238" t="str">
        <f>IFERROR(__xludf.DUMMYFUNCTION("""COMPUTED_VALUE"""),"NFW3H03,CYN6J16")</f>
        <v>NFW3H03,CYN6J16</v>
      </c>
      <c r="G1203" s="238">
        <f>IFERROR(__xludf.DUMMYFUNCTION("""COMPUTED_VALUE"""),45987.14583333333)</f>
        <v>45987.14583</v>
      </c>
      <c r="H1203" s="238">
        <f>IFERROR(__xludf.DUMMYFUNCTION("""COMPUTED_VALUE"""),45987.22916666667)</f>
        <v>45987.22917</v>
      </c>
      <c r="I1203" s="237" t="str">
        <f t="shared" si="1"/>
        <v>Fora</v>
      </c>
      <c r="J1203" s="239">
        <v>240.00000000698492</v>
      </c>
    </row>
    <row r="1204">
      <c r="A1204" s="234" t="s">
        <v>2898</v>
      </c>
      <c r="B1204" s="234" t="str">
        <f>IFERROR(__xludf.DUMMYFUNCTION("""COMPUTED_VALUE"""),"SoC_RJ_Duque de Caxias")</f>
        <v>SoC_RJ_Duque de Caxias</v>
      </c>
      <c r="C1204" s="234" t="str">
        <f>IFERROR(__xludf.DUMMYFUNCTION("""COMPUTED_VALUE"""),"SOC-RJ2")</f>
        <v>SOC-RJ2</v>
      </c>
      <c r="D1204" s="234"/>
      <c r="E1204" s="237" t="str">
        <f>IFERROR(__xludf.DUMMYFUNCTION("""COMPUTED_VALUE"""),"LT0PBP01SHRX1")</f>
        <v>LT0PBP01SHRX1</v>
      </c>
      <c r="F1204" s="238" t="str">
        <f>IFERROR(__xludf.DUMMYFUNCTION("""COMPUTED_VALUE"""),"FRH2C02,SVD2F42")</f>
        <v>FRH2C02,SVD2F42</v>
      </c>
      <c r="G1204" s="238">
        <f>IFERROR(__xludf.DUMMYFUNCTION("""COMPUTED_VALUE"""),45987.08333333333)</f>
        <v>45987.08333</v>
      </c>
      <c r="H1204" s="238">
        <f>IFERROR(__xludf.DUMMYFUNCTION("""COMPUTED_VALUE"""),45987.25)</f>
        <v>45987.25</v>
      </c>
      <c r="I1204" s="237" t="str">
        <f t="shared" si="1"/>
        <v>Fora</v>
      </c>
      <c r="J1204" s="239">
        <v>240.00000000698492</v>
      </c>
    </row>
    <row r="1205">
      <c r="A1205" s="234" t="s">
        <v>2899</v>
      </c>
      <c r="B1205" s="234" t="str">
        <f>IFERROR(__xludf.DUMMYFUNCTION("""COMPUTED_VALUE"""),"SoC_RJ_Duque de Caxias")</f>
        <v>SoC_RJ_Duque de Caxias</v>
      </c>
      <c r="C1205" s="234" t="str">
        <f>IFERROR(__xludf.DUMMYFUNCTION("""COMPUTED_VALUE"""),"SOC-RJ2")</f>
        <v>SOC-RJ2</v>
      </c>
      <c r="D1205" s="234">
        <f>IFERROR(__xludf.DUMMYFUNCTION("""COMPUTED_VALUE"""),5.0)</f>
        <v>5</v>
      </c>
      <c r="E1205" s="237" t="str">
        <f>IFERROR(__xludf.DUMMYFUNCTION("""COMPUTED_VALUE"""),"LT0PBP01SHT04")</f>
        <v>LT0PBP01SHT04</v>
      </c>
      <c r="F1205" s="238" t="str">
        <f>IFERROR(__xludf.DUMMYFUNCTION("""COMPUTED_VALUE"""),"EWJ4I68,AXR7F56")</f>
        <v>EWJ4I68,AXR7F56</v>
      </c>
      <c r="G1205" s="238">
        <f>IFERROR(__xludf.DUMMYFUNCTION("""COMPUTED_VALUE"""),45987.08333333333)</f>
        <v>45987.08333</v>
      </c>
      <c r="H1205" s="238">
        <f>IFERROR(__xludf.DUMMYFUNCTION("""COMPUTED_VALUE"""),45987.25)</f>
        <v>45987.25</v>
      </c>
      <c r="I1205" s="237" t="str">
        <f t="shared" si="1"/>
        <v>Fora</v>
      </c>
      <c r="J1205" s="239">
        <v>119.99999999301508</v>
      </c>
    </row>
    <row r="1206">
      <c r="A1206" s="234" t="s">
        <v>2900</v>
      </c>
      <c r="B1206" s="234" t="str">
        <f>IFERROR(__xludf.DUMMYFUNCTION("""COMPUTED_VALUE"""),"LM Hub_ES_Viana")</f>
        <v>LM Hub_ES_Viana</v>
      </c>
      <c r="C1206" s="234" t="str">
        <f>IFERROR(__xludf.DUMMYFUNCTION("""COMPUTED_VALUE"""),"HUB-LES-09")</f>
        <v>HUB-LES-09</v>
      </c>
      <c r="D1206" s="234">
        <f>IFERROR(__xludf.DUMMYFUNCTION("""COMPUTED_VALUE"""),32.0)</f>
        <v>32</v>
      </c>
      <c r="E1206" s="237" t="str">
        <f>IFERROR(__xludf.DUMMYFUNCTION("""COMPUTED_VALUE"""),"LT0PBQ01SJPG1")</f>
        <v>LT0PBQ01SJPG1</v>
      </c>
      <c r="F1206" s="238" t="str">
        <f>IFERROR(__xludf.DUMMYFUNCTION("""COMPUTED_VALUE"""),"SVP8G07")</f>
        <v>SVP8G07</v>
      </c>
      <c r="G1206" s="238">
        <f>IFERROR(__xludf.DUMMYFUNCTION("""COMPUTED_VALUE"""),45987.16666666667)</f>
        <v>45987.16667</v>
      </c>
      <c r="H1206" s="238">
        <f>IFERROR(__xludf.DUMMYFUNCTION("""COMPUTED_VALUE"""),45987.25)</f>
        <v>45987.25</v>
      </c>
      <c r="I1206" s="237" t="str">
        <f t="shared" si="1"/>
        <v>Fora</v>
      </c>
      <c r="J1206" s="239">
        <v>119.99999999301508</v>
      </c>
    </row>
    <row r="1207">
      <c r="A1207" s="234" t="s">
        <v>2901</v>
      </c>
      <c r="B1207" s="234" t="str">
        <f>IFERROR(__xludf.DUMMYFUNCTION("""COMPUTED_VALUE"""),"LM Hub_SP_Guaratinguetá")</f>
        <v>LM Hub_SP_Guaratinguetá</v>
      </c>
      <c r="C1207" s="234" t="str">
        <f>IFERROR(__xludf.DUMMYFUNCTION("""COMPUTED_VALUE"""),"HUB-LSP-33")</f>
        <v>HUB-LSP-33</v>
      </c>
      <c r="D1207" s="234">
        <f>IFERROR(__xludf.DUMMYFUNCTION("""COMPUTED_VALUE"""),15.0)</f>
        <v>15</v>
      </c>
      <c r="E1207" s="237" t="str">
        <f>IFERROR(__xludf.DUMMYFUNCTION("""COMPUTED_VALUE"""),"LT0PBQ01SFPI1")</f>
        <v>LT0PBQ01SFPI1</v>
      </c>
      <c r="F1207" s="238" t="str">
        <f>IFERROR(__xludf.DUMMYFUNCTION("""COMPUTED_VALUE"""),"EKH3880")</f>
        <v>EKH3880</v>
      </c>
      <c r="G1207" s="238">
        <f>IFERROR(__xludf.DUMMYFUNCTION("""COMPUTED_VALUE"""),45987.16666666667)</f>
        <v>45987.16667</v>
      </c>
      <c r="H1207" s="238">
        <f>IFERROR(__xludf.DUMMYFUNCTION("""COMPUTED_VALUE"""),45987.25)</f>
        <v>45987.25</v>
      </c>
      <c r="I1207" s="237" t="str">
        <f t="shared" si="1"/>
        <v>Fora</v>
      </c>
      <c r="J1207" s="239">
        <v>119.99999999301508</v>
      </c>
    </row>
    <row r="1208">
      <c r="A1208" s="234" t="s">
        <v>2902</v>
      </c>
      <c r="B1208" s="234" t="str">
        <f>IFERROR(__xludf.DUMMYFUNCTION("""COMPUTED_VALUE"""),"LM Hub_SP_Limeira_Campo Belo")</f>
        <v>LM Hub_SP_Limeira_Campo Belo</v>
      </c>
      <c r="C1208" s="234" t="str">
        <f>IFERROR(__xludf.DUMMYFUNCTION("""COMPUTED_VALUE"""),"HUB-LSP-24")</f>
        <v>HUB-LSP-24</v>
      </c>
      <c r="D1208" s="234">
        <f>IFERROR(__xludf.DUMMYFUNCTION("""COMPUTED_VALUE"""),35.0)</f>
        <v>35</v>
      </c>
      <c r="E1208" s="237" t="str">
        <f>IFERROR(__xludf.DUMMYFUNCTION("""COMPUTED_VALUE"""),"LT0PBQ01SFQD1")</f>
        <v>LT0PBQ01SFQD1</v>
      </c>
      <c r="F1208" s="238" t="str">
        <f>IFERROR(__xludf.DUMMYFUNCTION("""COMPUTED_VALUE"""),"UDI0A98")</f>
        <v>UDI0A98</v>
      </c>
      <c r="G1208" s="238">
        <f>IFERROR(__xludf.DUMMYFUNCTION("""COMPUTED_VALUE"""),45987.16666666667)</f>
        <v>45987.16667</v>
      </c>
      <c r="H1208" s="238">
        <f>IFERROR(__xludf.DUMMYFUNCTION("""COMPUTED_VALUE"""),45987.25)</f>
        <v>45987.25</v>
      </c>
      <c r="I1208" s="237" t="str">
        <f t="shared" si="1"/>
        <v>Fora</v>
      </c>
      <c r="J1208" s="239">
        <v>119.99999999301508</v>
      </c>
    </row>
    <row r="1209">
      <c r="A1209" s="234" t="s">
        <v>2903</v>
      </c>
      <c r="B1209" s="234" t="str">
        <f>IFERROR(__xludf.DUMMYFUNCTION("""COMPUTED_VALUE"""),"LM Hub_SP_Várzea Paulista")</f>
        <v>LM Hub_SP_Várzea Paulista</v>
      </c>
      <c r="C1209" s="234" t="str">
        <f>IFERROR(__xludf.DUMMYFUNCTION("""COMPUTED_VALUE"""),"HUB-LSP-61")</f>
        <v>HUB-LSP-61</v>
      </c>
      <c r="D1209" s="234">
        <f>IFERROR(__xludf.DUMMYFUNCTION("""COMPUTED_VALUE"""),46.0)</f>
        <v>46</v>
      </c>
      <c r="E1209" s="237" t="str">
        <f>IFERROR(__xludf.DUMMYFUNCTION("""COMPUTED_VALUE"""),"LT0PBQ01SFQN1")</f>
        <v>LT0PBQ01SFQN1</v>
      </c>
      <c r="F1209" s="238" t="str">
        <f>IFERROR(__xludf.DUMMYFUNCTION("""COMPUTED_VALUE"""),"LRU5J40")</f>
        <v>LRU5J40</v>
      </c>
      <c r="G1209" s="238">
        <f>IFERROR(__xludf.DUMMYFUNCTION("""COMPUTED_VALUE"""),45987.16666666667)</f>
        <v>45987.16667</v>
      </c>
      <c r="H1209" s="238">
        <f>IFERROR(__xludf.DUMMYFUNCTION("""COMPUTED_VALUE"""),45987.25)</f>
        <v>45987.25</v>
      </c>
      <c r="I1209" s="237" t="str">
        <f t="shared" si="1"/>
        <v>Fora</v>
      </c>
      <c r="J1209" s="239">
        <v>119.99999999301508</v>
      </c>
    </row>
    <row r="1210">
      <c r="A1210" s="234" t="s">
        <v>2904</v>
      </c>
      <c r="B1210" s="234" t="str">
        <f>IFERROR(__xludf.DUMMYFUNCTION("""COMPUTED_VALUE"""),"SoC_GO_Goiânia_02")</f>
        <v>SoC_GO_Goiânia_02</v>
      </c>
      <c r="C1210" s="234" t="str">
        <f>IFERROR(__xludf.DUMMYFUNCTION("""COMPUTED_VALUE"""),"SOC-GO2")</f>
        <v>SOC-GO2</v>
      </c>
      <c r="D1210" s="234"/>
      <c r="E1210" s="237" t="str">
        <f>IFERROR(__xludf.DUMMYFUNCTION("""COMPUTED_VALUE"""),"LT1PBQ01SVC71")</f>
        <v>LT1PBQ01SVC71</v>
      </c>
      <c r="F1210" s="234"/>
      <c r="G1210" s="238">
        <f>IFERROR(__xludf.DUMMYFUNCTION("""COMPUTED_VALUE"""),45987.16666666667)</f>
        <v>45987.16667</v>
      </c>
      <c r="H1210" s="238">
        <f>IFERROR(__xludf.DUMMYFUNCTION("""COMPUTED_VALUE"""),45987.25)</f>
        <v>45987.25</v>
      </c>
      <c r="I1210" s="237" t="str">
        <f t="shared" si="1"/>
        <v>Fora</v>
      </c>
      <c r="J1210" s="239">
        <v>119.99999999301508</v>
      </c>
    </row>
    <row r="1211">
      <c r="A1211" s="234" t="s">
        <v>2905</v>
      </c>
      <c r="B1211" s="234" t="str">
        <f>IFERROR(__xludf.DUMMYFUNCTION("""COMPUTED_VALUE"""),"SoC_MG_Betim")</f>
        <v>SoC_MG_Betim</v>
      </c>
      <c r="C1211" s="234" t="str">
        <f>IFERROR(__xludf.DUMMYFUNCTION("""COMPUTED_VALUE"""),"SOC-MG2")</f>
        <v>SOC-MG2</v>
      </c>
      <c r="D1211" s="234">
        <f>IFERROR(__xludf.DUMMYFUNCTION("""COMPUTED_VALUE"""),91.0)</f>
        <v>91</v>
      </c>
      <c r="E1211" s="237" t="str">
        <f>IFERROR(__xludf.DUMMYFUNCTION("""COMPUTED_VALUE"""),"LT1PBQ01SVCZ1")</f>
        <v>LT1PBQ01SVCZ1</v>
      </c>
      <c r="F1211" s="238" t="str">
        <f>IFERROR(__xludf.DUMMYFUNCTION("""COMPUTED_VALUE"""),"RFC8B47,HBG6B77")</f>
        <v>RFC8B47,HBG6B77</v>
      </c>
      <c r="G1211" s="238">
        <f>IFERROR(__xludf.DUMMYFUNCTION("""COMPUTED_VALUE"""),45987.16666666667)</f>
        <v>45987.16667</v>
      </c>
      <c r="H1211" s="238">
        <f>IFERROR(__xludf.DUMMYFUNCTION("""COMPUTED_VALUE"""),45987.25)</f>
        <v>45987.25</v>
      </c>
      <c r="I1211" s="237" t="str">
        <f t="shared" si="1"/>
        <v>Fora</v>
      </c>
      <c r="J1211" s="239">
        <v>119.99999999301508</v>
      </c>
    </row>
    <row r="1212">
      <c r="A1212" s="234" t="s">
        <v>2906</v>
      </c>
      <c r="B1212" s="234" t="str">
        <f>IFERROR(__xludf.DUMMYFUNCTION("""COMPUTED_VALUE"""),"SoC_PR_Curitiba")</f>
        <v>SoC_PR_Curitiba</v>
      </c>
      <c r="C1212" s="234" t="str">
        <f>IFERROR(__xludf.DUMMYFUNCTION("""COMPUTED_VALUE"""),"SOC-PR1")</f>
        <v>SOC-PR1</v>
      </c>
      <c r="D1212" s="234"/>
      <c r="E1212" s="237" t="str">
        <f>IFERROR(__xludf.DUMMYFUNCTION("""COMPUTED_VALUE"""),"LT1PBQ01SVC81")</f>
        <v>LT1PBQ01SVC81</v>
      </c>
      <c r="F1212" s="238" t="str">
        <f>IFERROR(__xludf.DUMMYFUNCTION("""COMPUTED_VALUE"""),"MLG9J90,UFZ1D02")</f>
        <v>MLG9J90,UFZ1D02</v>
      </c>
      <c r="G1212" s="238">
        <f>IFERROR(__xludf.DUMMYFUNCTION("""COMPUTED_VALUE"""),45987.16666666667)</f>
        <v>45987.16667</v>
      </c>
      <c r="H1212" s="238">
        <f>IFERROR(__xludf.DUMMYFUNCTION("""COMPUTED_VALUE"""),45987.25)</f>
        <v>45987.25</v>
      </c>
      <c r="I1212" s="237" t="str">
        <f t="shared" si="1"/>
        <v>Fora</v>
      </c>
      <c r="J1212" s="239">
        <v>119.99999999301508</v>
      </c>
    </row>
    <row r="1213">
      <c r="A1213" s="234" t="s">
        <v>2907</v>
      </c>
      <c r="B1213" s="234" t="str">
        <f>IFERROR(__xludf.DUMMYFUNCTION("""COMPUTED_VALUE"""),"SoC_SC_Itajaí")</f>
        <v>SoC_SC_Itajaí</v>
      </c>
      <c r="C1213" s="234" t="str">
        <f>IFERROR(__xludf.DUMMYFUNCTION("""COMPUTED_VALUE"""),"SOC-SC1")</f>
        <v>SOC-SC1</v>
      </c>
      <c r="D1213" s="234"/>
      <c r="E1213" s="237" t="str">
        <f>IFERROR(__xludf.DUMMYFUNCTION("""COMPUTED_VALUE"""),"LT1PBQ01SVCB1")</f>
        <v>LT1PBQ01SVCB1</v>
      </c>
      <c r="F1213" s="238" t="str">
        <f>IFERROR(__xludf.DUMMYFUNCTION("""COMPUTED_VALUE"""),"SXC1D87,MKU1540")</f>
        <v>SXC1D87,MKU1540</v>
      </c>
      <c r="G1213" s="238">
        <f>IFERROR(__xludf.DUMMYFUNCTION("""COMPUTED_VALUE"""),45987.16666666667)</f>
        <v>45987.16667</v>
      </c>
      <c r="H1213" s="238">
        <f>IFERROR(__xludf.DUMMYFUNCTION("""COMPUTED_VALUE"""),45987.25)</f>
        <v>45987.25</v>
      </c>
      <c r="I1213" s="237" t="str">
        <f t="shared" si="1"/>
        <v>Fora</v>
      </c>
      <c r="J1213" s="239">
        <v>119.99999999301508</v>
      </c>
    </row>
    <row r="1214">
      <c r="A1214" s="234" t="s">
        <v>2908</v>
      </c>
      <c r="B1214" s="234" t="str">
        <f>IFERROR(__xludf.DUMMYFUNCTION("""COMPUTED_VALUE"""),"SoC_SP_Louveira")</f>
        <v>SoC_SP_Louveira</v>
      </c>
      <c r="C1214" s="234" t="str">
        <f>IFERROR(__xludf.DUMMYFUNCTION("""COMPUTED_VALUE"""),"SOC-SP7")</f>
        <v>SOC-SP7</v>
      </c>
      <c r="D1214" s="234"/>
      <c r="E1214" s="237" t="str">
        <f>IFERROR(__xludf.DUMMYFUNCTION("""COMPUTED_VALUE"""),"LT1PBQ01SVCA1")</f>
        <v>LT1PBQ01SVCA1</v>
      </c>
      <c r="F1214" s="238" t="str">
        <f>IFERROR(__xludf.DUMMYFUNCTION("""COMPUTED_VALUE"""),"GES8A28,UGR3D03")</f>
        <v>GES8A28,UGR3D03</v>
      </c>
      <c r="G1214" s="238">
        <f>IFERROR(__xludf.DUMMYFUNCTION("""COMPUTED_VALUE"""),45987.16666666667)</f>
        <v>45987.16667</v>
      </c>
      <c r="H1214" s="238">
        <f>IFERROR(__xludf.DUMMYFUNCTION("""COMPUTED_VALUE"""),45987.25)</f>
        <v>45987.25</v>
      </c>
      <c r="I1214" s="237" t="str">
        <f t="shared" si="1"/>
        <v>Fora</v>
      </c>
      <c r="J1214" s="239">
        <v>119.99999999301508</v>
      </c>
    </row>
    <row r="1215">
      <c r="A1215" s="234" t="s">
        <v>2909</v>
      </c>
      <c r="B1215" s="234" t="str">
        <f>IFERROR(__xludf.DUMMYFUNCTION("""COMPUTED_VALUE"""),"LM Hub_SP_Atibaia_Ponte_Alta")</f>
        <v>LM Hub_SP_Atibaia_Ponte_Alta</v>
      </c>
      <c r="C1215" s="234" t="str">
        <f>IFERROR(__xludf.DUMMYFUNCTION("""COMPUTED_VALUE"""),"HUB-LSP-87")</f>
        <v>HUB-LSP-87</v>
      </c>
      <c r="D1215" s="234">
        <f>IFERROR(__xludf.DUMMYFUNCTION("""COMPUTED_VALUE"""),17.0)</f>
        <v>17</v>
      </c>
      <c r="E1215" s="237" t="str">
        <f>IFERROR(__xludf.DUMMYFUNCTION("""COMPUTED_VALUE"""),"LT0PBQ01SJJP1")</f>
        <v>LT0PBQ01SJJP1</v>
      </c>
      <c r="F1215" s="238" t="str">
        <f>IFERROR(__xludf.DUMMYFUNCTION("""COMPUTED_VALUE"""),"UGN4B10")</f>
        <v>UGN4B10</v>
      </c>
      <c r="G1215" s="238">
        <f>IFERROR(__xludf.DUMMYFUNCTION("""COMPUTED_VALUE"""),45987.1875)</f>
        <v>45987.1875</v>
      </c>
      <c r="H1215" s="238">
        <f>IFERROR(__xludf.DUMMYFUNCTION("""COMPUTED_VALUE"""),45987.27083333333)</f>
        <v>45987.27083</v>
      </c>
      <c r="I1215" s="237" t="str">
        <f t="shared" si="1"/>
        <v>Fora</v>
      </c>
      <c r="J1215" s="239">
        <v>119.99999999301508</v>
      </c>
    </row>
    <row r="1216">
      <c r="A1216" s="234" t="s">
        <v>2910</v>
      </c>
      <c r="B1216" s="234" t="str">
        <f>IFERROR(__xludf.DUMMYFUNCTION("""COMPUTED_VALUE"""),"LM Hub_SP_Embu das Artes")</f>
        <v>LM Hub_SP_Embu das Artes</v>
      </c>
      <c r="C1216" s="234" t="str">
        <f>IFERROR(__xludf.DUMMYFUNCTION("""COMPUTED_VALUE"""),"HUB-LSP-36")</f>
        <v>HUB-LSP-36</v>
      </c>
      <c r="D1216" s="234">
        <f>IFERROR(__xludf.DUMMYFUNCTION("""COMPUTED_VALUE"""),37.0)</f>
        <v>37</v>
      </c>
      <c r="E1216" s="237" t="str">
        <f>IFERROR(__xludf.DUMMYFUNCTION("""COMPUTED_VALUE"""),"LT0PBQ01SGS11")</f>
        <v>LT0PBQ01SGS11</v>
      </c>
      <c r="F1216" s="238" t="str">
        <f>IFERROR(__xludf.DUMMYFUNCTION("""COMPUTED_VALUE"""),"FBH4883")</f>
        <v>FBH4883</v>
      </c>
      <c r="G1216" s="238">
        <f>IFERROR(__xludf.DUMMYFUNCTION("""COMPUTED_VALUE"""),45987.1875)</f>
        <v>45987.1875</v>
      </c>
      <c r="H1216" s="238">
        <f>IFERROR(__xludf.DUMMYFUNCTION("""COMPUTED_VALUE"""),45987.27083333333)</f>
        <v>45987.27083</v>
      </c>
      <c r="I1216" s="237" t="str">
        <f t="shared" si="1"/>
        <v>Fora</v>
      </c>
      <c r="J1216" s="239">
        <v>119.99999999301508</v>
      </c>
    </row>
    <row r="1217">
      <c r="A1217" s="234" t="s">
        <v>2911</v>
      </c>
      <c r="B1217" s="234" t="str">
        <f>IFERROR(__xludf.DUMMYFUNCTION("""COMPUTED_VALUE"""),"LM Hub_SP_Taubaté")</f>
        <v>LM Hub_SP_Taubaté</v>
      </c>
      <c r="C1217" s="234" t="str">
        <f>IFERROR(__xludf.DUMMYFUNCTION("""COMPUTED_VALUE"""),"HUB-LSP-08")</f>
        <v>HUB-LSP-08</v>
      </c>
      <c r="D1217" s="234">
        <f>IFERROR(__xludf.DUMMYFUNCTION("""COMPUTED_VALUE"""),20.0)</f>
        <v>20</v>
      </c>
      <c r="E1217" s="237" t="str">
        <f>IFERROR(__xludf.DUMMYFUNCTION("""COMPUTED_VALUE"""),"LT0PBQ01SFPS1")</f>
        <v>LT0PBQ01SFPS1</v>
      </c>
      <c r="F1217" s="238" t="str">
        <f>IFERROR(__xludf.DUMMYFUNCTION("""COMPUTED_VALUE"""),"ECT4I26")</f>
        <v>ECT4I26</v>
      </c>
      <c r="G1217" s="238">
        <f>IFERROR(__xludf.DUMMYFUNCTION("""COMPUTED_VALUE"""),45987.1875)</f>
        <v>45987.1875</v>
      </c>
      <c r="H1217" s="238">
        <f>IFERROR(__xludf.DUMMYFUNCTION("""COMPUTED_VALUE"""),45987.27083333333)</f>
        <v>45987.27083</v>
      </c>
      <c r="I1217" s="237" t="str">
        <f t="shared" si="1"/>
        <v>Fora</v>
      </c>
      <c r="J1217" s="239">
        <v>539.0000000072177</v>
      </c>
    </row>
    <row r="1218">
      <c r="A1218" s="234" t="s">
        <v>2912</v>
      </c>
      <c r="B1218" s="234" t="str">
        <f>IFERROR(__xludf.DUMMYFUNCTION("""COMPUTED_VALUE"""),"SoC_BA_Simoes Filho")</f>
        <v>SoC_BA_Simoes Filho</v>
      </c>
      <c r="C1218" s="234" t="str">
        <f>IFERROR(__xludf.DUMMYFUNCTION("""COMPUTED_VALUE"""),"SOC-BA2")</f>
        <v>SOC-BA2</v>
      </c>
      <c r="D1218" s="234"/>
      <c r="E1218" s="237" t="str">
        <f>IFERROR(__xludf.DUMMYFUNCTION("""COMPUTED_VALUE"""),"LT0PBP01SLAF1")</f>
        <v>LT0PBP01SLAF1</v>
      </c>
      <c r="F1218" s="238" t="str">
        <f>IFERROR(__xludf.DUMMYFUNCTION("""COMPUTED_VALUE"""),"SWE2H93,TWZ4F15")</f>
        <v>SWE2H93,TWZ4F15</v>
      </c>
      <c r="G1218" s="238">
        <f>IFERROR(__xludf.DUMMYFUNCTION("""COMPUTED_VALUE"""),45986.91736111111)</f>
        <v>45986.91736</v>
      </c>
      <c r="H1218" s="238">
        <f>IFERROR(__xludf.DUMMYFUNCTION("""COMPUTED_VALUE"""),45987.29166666667)</f>
        <v>45987.29167</v>
      </c>
      <c r="I1218" s="237" t="str">
        <f t="shared" si="1"/>
        <v>Fora</v>
      </c>
      <c r="J1218" s="239">
        <v>539.0000000072177</v>
      </c>
    </row>
    <row r="1219">
      <c r="A1219" s="234" t="s">
        <v>2913</v>
      </c>
      <c r="B1219" s="234" t="str">
        <f>IFERROR(__xludf.DUMMYFUNCTION("""COMPUTED_VALUE"""),"SoC_SP_Cravinhos")</f>
        <v>SoC_SP_Cravinhos</v>
      </c>
      <c r="C1219" s="234" t="str">
        <f>IFERROR(__xludf.DUMMYFUNCTION("""COMPUTED_VALUE"""),"SOC-SP5")</f>
        <v>SOC-SP5</v>
      </c>
      <c r="D1219" s="234"/>
      <c r="E1219" s="237" t="str">
        <f>IFERROR(__xludf.DUMMYFUNCTION("""COMPUTED_VALUE"""),"LT0PBP01SFLS1")</f>
        <v>LT0PBP01SFLS1</v>
      </c>
      <c r="F1219" s="238" t="str">
        <f>IFERROR(__xludf.DUMMYFUNCTION("""COMPUTED_VALUE"""),"CUE0H28,DPC3G51")</f>
        <v>CUE0H28,DPC3G51</v>
      </c>
      <c r="G1219" s="238">
        <f>IFERROR(__xludf.DUMMYFUNCTION("""COMPUTED_VALUE"""),45986.91736111111)</f>
        <v>45986.91736</v>
      </c>
      <c r="H1219" s="238">
        <f>IFERROR(__xludf.DUMMYFUNCTION("""COMPUTED_VALUE"""),45987.29166666667)</f>
        <v>45987.29167</v>
      </c>
      <c r="I1219" s="237" t="str">
        <f t="shared" si="1"/>
        <v>Fora</v>
      </c>
      <c r="J1219" s="239">
        <v>300.00000001396984</v>
      </c>
    </row>
    <row r="1220">
      <c r="A1220" s="234" t="s">
        <v>2914</v>
      </c>
      <c r="B1220" s="234" t="str">
        <f>IFERROR(__xludf.DUMMYFUNCTION("""COMPUTED_VALUE"""),"SoC_MG_Betim")</f>
        <v>SoC_MG_Betim</v>
      </c>
      <c r="C1220" s="234" t="str">
        <f>IFERROR(__xludf.DUMMYFUNCTION("""COMPUTED_VALUE"""),"SOC-MG2")</f>
        <v>SOC-MG2</v>
      </c>
      <c r="D1220" s="234"/>
      <c r="E1220" s="237" t="str">
        <f>IFERROR(__xludf.DUMMYFUNCTION("""COMPUTED_VALUE"""),"LT0PBP01SFKE1")</f>
        <v>LT0PBP01SFKE1</v>
      </c>
      <c r="F1220" s="238" t="str">
        <f>IFERROR(__xludf.DUMMYFUNCTION("""COMPUTED_VALUE"""),"FGU5I81,JXA7D06")</f>
        <v>FGU5I81,JXA7D06</v>
      </c>
      <c r="G1220" s="238">
        <f>IFERROR(__xludf.DUMMYFUNCTION("""COMPUTED_VALUE"""),45987.08333333333)</f>
        <v>45987.08333</v>
      </c>
      <c r="H1220" s="238">
        <f>IFERROR(__xludf.DUMMYFUNCTION("""COMPUTED_VALUE"""),45987.29166666667)</f>
        <v>45987.29167</v>
      </c>
      <c r="I1220" s="237" t="str">
        <f t="shared" si="1"/>
        <v>Fora</v>
      </c>
      <c r="J1220" s="239">
        <v>240.00000000698492</v>
      </c>
    </row>
    <row r="1221">
      <c r="A1221" s="234" t="s">
        <v>2915</v>
      </c>
      <c r="B1221" s="234" t="str">
        <f>IFERROR(__xludf.DUMMYFUNCTION("""COMPUTED_VALUE"""),"SoC_MG_Betim")</f>
        <v>SoC_MG_Betim</v>
      </c>
      <c r="C1221" s="234" t="str">
        <f>IFERROR(__xludf.DUMMYFUNCTION("""COMPUTED_VALUE"""),"SOC-MG2")</f>
        <v>SOC-MG2</v>
      </c>
      <c r="D1221" s="234"/>
      <c r="E1221" s="237" t="str">
        <f>IFERROR(__xludf.DUMMYFUNCTION("""COMPUTED_VALUE"""),"LT0PBP01SFKG2")</f>
        <v>LT0PBP01SFKG2</v>
      </c>
      <c r="F1221" s="238" t="str">
        <f>IFERROR(__xludf.DUMMYFUNCTION("""COMPUTED_VALUE"""),"FIL1H94,DPF0820")</f>
        <v>FIL1H94,DPF0820</v>
      </c>
      <c r="G1221" s="238">
        <f>IFERROR(__xludf.DUMMYFUNCTION("""COMPUTED_VALUE"""),45987.125)</f>
        <v>45987.125</v>
      </c>
      <c r="H1221" s="238">
        <f>IFERROR(__xludf.DUMMYFUNCTION("""COMPUTED_VALUE"""),45987.29166666667)</f>
        <v>45987.29167</v>
      </c>
      <c r="I1221" s="237" t="str">
        <f t="shared" si="1"/>
        <v>Fora</v>
      </c>
      <c r="J1221" s="239">
        <v>240.00000000698492</v>
      </c>
    </row>
    <row r="1222">
      <c r="A1222" s="234" t="s">
        <v>2916</v>
      </c>
      <c r="B1222" s="234" t="str">
        <f>IFERROR(__xludf.DUMMYFUNCTION("""COMPUTED_VALUE"""),"SoC_RJ_Duque de Caxias")</f>
        <v>SoC_RJ_Duque de Caxias</v>
      </c>
      <c r="C1222" s="234" t="str">
        <f>IFERROR(__xludf.DUMMYFUNCTION("""COMPUTED_VALUE"""),"SOC-RJ2")</f>
        <v>SOC-RJ2</v>
      </c>
      <c r="D1222" s="234"/>
      <c r="E1222" s="237" t="str">
        <f>IFERROR(__xludf.DUMMYFUNCTION("""COMPUTED_VALUE"""),"LT0PBP01SHSU1")</f>
        <v>LT0PBP01SHSU1</v>
      </c>
      <c r="F1222" s="238" t="str">
        <f>IFERROR(__xludf.DUMMYFUNCTION("""COMPUTED_VALUE"""),"KWI9H23,BWV6I82")</f>
        <v>KWI9H23,BWV6I82</v>
      </c>
      <c r="G1222" s="238">
        <f>IFERROR(__xludf.DUMMYFUNCTION("""COMPUTED_VALUE"""),45987.125)</f>
        <v>45987.125</v>
      </c>
      <c r="H1222" s="238">
        <f>IFERROR(__xludf.DUMMYFUNCTION("""COMPUTED_VALUE"""),45987.29166666667)</f>
        <v>45987.29167</v>
      </c>
      <c r="I1222" s="237" t="str">
        <f t="shared" si="1"/>
        <v>Fora</v>
      </c>
      <c r="J1222" s="239">
        <v>240.00000000698492</v>
      </c>
    </row>
    <row r="1223">
      <c r="A1223" s="234" t="s">
        <v>2917</v>
      </c>
      <c r="B1223" s="234" t="str">
        <f>IFERROR(__xludf.DUMMYFUNCTION("""COMPUTED_VALUE"""),"SoC_RJ_Duque de Caxias")</f>
        <v>SoC_RJ_Duque de Caxias</v>
      </c>
      <c r="C1223" s="234" t="str">
        <f>IFERROR(__xludf.DUMMYFUNCTION("""COMPUTED_VALUE"""),"SOC-RJ2")</f>
        <v>SOC-RJ2</v>
      </c>
      <c r="D1223" s="234"/>
      <c r="E1223" s="237" t="str">
        <f>IFERROR(__xludf.DUMMYFUNCTION("""COMPUTED_VALUE"""),"LT0PBP01SHSW2")</f>
        <v>LT0PBP01SHSW2</v>
      </c>
      <c r="F1223" s="238" t="str">
        <f>IFERROR(__xludf.DUMMYFUNCTION("""COMPUTED_VALUE"""),"BAN7E12,QIZ2A83")</f>
        <v>BAN7E12,QIZ2A83</v>
      </c>
      <c r="G1223" s="238">
        <f>IFERROR(__xludf.DUMMYFUNCTION("""COMPUTED_VALUE"""),45987.125)</f>
        <v>45987.125</v>
      </c>
      <c r="H1223" s="238">
        <f>IFERROR(__xludf.DUMMYFUNCTION("""COMPUTED_VALUE"""),45987.29166666667)</f>
        <v>45987.29167</v>
      </c>
      <c r="I1223" s="237" t="str">
        <f t="shared" si="1"/>
        <v>Fora</v>
      </c>
      <c r="J1223" s="239">
        <v>180.0</v>
      </c>
    </row>
    <row r="1224">
      <c r="A1224" s="234" t="s">
        <v>2918</v>
      </c>
      <c r="B1224" s="234" t="str">
        <f>IFERROR(__xludf.DUMMYFUNCTION("""COMPUTED_VALUE"""),"SoC_GO_Goiânia_02")</f>
        <v>SoC_GO_Goiânia_02</v>
      </c>
      <c r="C1224" s="234" t="str">
        <f>IFERROR(__xludf.DUMMYFUNCTION("""COMPUTED_VALUE"""),"SOC-GO2")</f>
        <v>SOC-GO2</v>
      </c>
      <c r="D1224" s="234"/>
      <c r="E1224" s="237" t="str">
        <f>IFERROR(__xludf.DUMMYFUNCTION("""COMPUTED_VALUE"""),"LT1PBQ01SV2Y1")</f>
        <v>LT1PBQ01SV2Y1</v>
      </c>
      <c r="F1224" s="238" t="str">
        <f>IFERROR(__xludf.DUMMYFUNCTION("""COMPUTED_VALUE"""),"TLN8C37,AXI9D02")</f>
        <v>TLN8C37,AXI9D02</v>
      </c>
      <c r="G1224" s="238">
        <f>IFERROR(__xludf.DUMMYFUNCTION("""COMPUTED_VALUE"""),45987.16666666667)</f>
        <v>45987.16667</v>
      </c>
      <c r="H1224" s="238">
        <f>IFERROR(__xludf.DUMMYFUNCTION("""COMPUTED_VALUE"""),45987.29166666667)</f>
        <v>45987.29167</v>
      </c>
      <c r="I1224" s="237" t="str">
        <f t="shared" si="1"/>
        <v>Fora</v>
      </c>
      <c r="J1224" s="239">
        <v>120.00000001396984</v>
      </c>
    </row>
    <row r="1225">
      <c r="A1225" s="234" t="s">
        <v>2919</v>
      </c>
      <c r="B1225" s="234" t="str">
        <f>IFERROR(__xludf.DUMMYFUNCTION("""COMPUTED_VALUE"""),"LM Hub_SP_Barueri_01")</f>
        <v>LM Hub_SP_Barueri_01</v>
      </c>
      <c r="C1225" s="234" t="str">
        <f>IFERROR(__xludf.DUMMYFUNCTION("""COMPUTED_VALUE"""),"HUB-LSP-81")</f>
        <v>HUB-LSP-81</v>
      </c>
      <c r="D1225" s="234">
        <f>IFERROR(__xludf.DUMMYFUNCTION("""COMPUTED_VALUE"""),9.0)</f>
        <v>9</v>
      </c>
      <c r="E1225" s="237" t="str">
        <f>IFERROR(__xludf.DUMMYFUNCTION("""COMPUTED_VALUE"""),"LT0PBQ01SKYH1")</f>
        <v>LT0PBQ01SKYH1</v>
      </c>
      <c r="F1225" s="238" t="str">
        <f>IFERROR(__xludf.DUMMYFUNCTION("""COMPUTED_VALUE"""),"GEV2J37")</f>
        <v>GEV2J37</v>
      </c>
      <c r="G1225" s="238">
        <f>IFERROR(__xludf.DUMMYFUNCTION("""COMPUTED_VALUE"""),45987.20833333333)</f>
        <v>45987.20833</v>
      </c>
      <c r="H1225" s="238">
        <f>IFERROR(__xludf.DUMMYFUNCTION("""COMPUTED_VALUE"""),45987.29166666667)</f>
        <v>45987.29167</v>
      </c>
      <c r="I1225" s="237" t="str">
        <f t="shared" si="1"/>
        <v>Fora</v>
      </c>
      <c r="J1225" s="239">
        <v>120.00000001396984</v>
      </c>
    </row>
    <row r="1226">
      <c r="A1226" s="234" t="s">
        <v>2920</v>
      </c>
      <c r="B1226" s="234" t="str">
        <f>IFERROR(__xludf.DUMMYFUNCTION("""COMPUTED_VALUE"""),"LM Hub_SP_Jundiaí")</f>
        <v>LM Hub_SP_Jundiaí</v>
      </c>
      <c r="C1226" s="234" t="str">
        <f>IFERROR(__xludf.DUMMYFUNCTION("""COMPUTED_VALUE"""),"HUB-LSP-20")</f>
        <v>HUB-LSP-20</v>
      </c>
      <c r="D1226" s="234">
        <f>IFERROR(__xludf.DUMMYFUNCTION("""COMPUTED_VALUE"""),7.0)</f>
        <v>7</v>
      </c>
      <c r="E1226" s="237" t="str">
        <f>IFERROR(__xludf.DUMMYFUNCTION("""COMPUTED_VALUE"""),"LT0PBQ01SFRW1")</f>
        <v>LT0PBQ01SFRW1</v>
      </c>
      <c r="F1226" s="238" t="str">
        <f>IFERROR(__xludf.DUMMYFUNCTION("""COMPUTED_VALUE"""),"DBM1893")</f>
        <v>DBM1893</v>
      </c>
      <c r="G1226" s="238">
        <f>IFERROR(__xludf.DUMMYFUNCTION("""COMPUTED_VALUE"""),45987.20833333333)</f>
        <v>45987.20833</v>
      </c>
      <c r="H1226" s="238">
        <f>IFERROR(__xludf.DUMMYFUNCTION("""COMPUTED_VALUE"""),45987.29166666667)</f>
        <v>45987.29167</v>
      </c>
      <c r="I1226" s="237" t="str">
        <f t="shared" si="1"/>
        <v>Fora</v>
      </c>
      <c r="J1226" s="239">
        <v>120.00000001396984</v>
      </c>
    </row>
    <row r="1227">
      <c r="A1227" s="234" t="s">
        <v>2921</v>
      </c>
      <c r="B1227" s="234" t="str">
        <f>IFERROR(__xludf.DUMMYFUNCTION("""COMPUTED_VALUE"""),"LM Hub_SP_Jurubatuba")</f>
        <v>LM Hub_SP_Jurubatuba</v>
      </c>
      <c r="C1227" s="234" t="str">
        <f>IFERROR(__xludf.DUMMYFUNCTION("""COMPUTED_VALUE"""),"HUB-LSP-16")</f>
        <v>HUB-LSP-16</v>
      </c>
      <c r="D1227" s="234">
        <f>IFERROR(__xludf.DUMMYFUNCTION("""COMPUTED_VALUE"""),22.0)</f>
        <v>22</v>
      </c>
      <c r="E1227" s="237" t="str">
        <f>IFERROR(__xludf.DUMMYFUNCTION("""COMPUTED_VALUE"""),"LT0PBQ01SGQQ1")</f>
        <v>LT0PBQ01SGQQ1</v>
      </c>
      <c r="F1227" s="238" t="str">
        <f>IFERROR(__xludf.DUMMYFUNCTION("""COMPUTED_VALUE"""),"MQM6I27,FXB7G01")</f>
        <v>MQM6I27,FXB7G01</v>
      </c>
      <c r="G1227" s="238">
        <f>IFERROR(__xludf.DUMMYFUNCTION("""COMPUTED_VALUE"""),45987.20833333333)</f>
        <v>45987.20833</v>
      </c>
      <c r="H1227" s="238">
        <f>IFERROR(__xludf.DUMMYFUNCTION("""COMPUTED_VALUE"""),45987.29166666667)</f>
        <v>45987.29167</v>
      </c>
      <c r="I1227" s="237" t="str">
        <f t="shared" si="1"/>
        <v>Fora</v>
      </c>
      <c r="J1227" s="239">
        <v>120.00000001396984</v>
      </c>
    </row>
    <row r="1228">
      <c r="A1228" s="234" t="s">
        <v>2922</v>
      </c>
      <c r="B1228" s="234" t="str">
        <f>IFERROR(__xludf.DUMMYFUNCTION("""COMPUTED_VALUE"""),"LM Hub_SP_Piracicaba")</f>
        <v>LM Hub_SP_Piracicaba</v>
      </c>
      <c r="C1228" s="234" t="str">
        <f>IFERROR(__xludf.DUMMYFUNCTION("""COMPUTED_VALUE"""),"HUB-LSP-62")</f>
        <v>HUB-LSP-62</v>
      </c>
      <c r="D1228" s="234">
        <f>IFERROR(__xludf.DUMMYFUNCTION("""COMPUTED_VALUE"""),24.0)</f>
        <v>24</v>
      </c>
      <c r="E1228" s="237" t="str">
        <f>IFERROR(__xludf.DUMMYFUNCTION("""COMPUTED_VALUE"""),"LT0PBQ01SGBE1")</f>
        <v>LT0PBQ01SGBE1</v>
      </c>
      <c r="F1228" s="238" t="str">
        <f>IFERROR(__xludf.DUMMYFUNCTION("""COMPUTED_VALUE"""),"EOF4D32")</f>
        <v>EOF4D32</v>
      </c>
      <c r="G1228" s="238">
        <f>IFERROR(__xludf.DUMMYFUNCTION("""COMPUTED_VALUE"""),45987.20833333333)</f>
        <v>45987.20833</v>
      </c>
      <c r="H1228" s="238">
        <f>IFERROR(__xludf.DUMMYFUNCTION("""COMPUTED_VALUE"""),45987.29166666667)</f>
        <v>45987.29167</v>
      </c>
      <c r="I1228" s="237" t="str">
        <f t="shared" si="1"/>
        <v>Fora</v>
      </c>
      <c r="J1228" s="239">
        <v>120.00000001396984</v>
      </c>
    </row>
    <row r="1229">
      <c r="A1229" s="234" t="s">
        <v>2923</v>
      </c>
      <c r="B1229" s="234" t="str">
        <f>IFERROR(__xludf.DUMMYFUNCTION("""COMPUTED_VALUE"""),"LM Hub_SP_Santos_PraiaGrande_02")</f>
        <v>LM Hub_SP_Santos_PraiaGrande_02</v>
      </c>
      <c r="C1229" s="234" t="str">
        <f>IFERROR(__xludf.DUMMYFUNCTION("""COMPUTED_VALUE"""),"HUB-LSP-63")</f>
        <v>HUB-LSP-63</v>
      </c>
      <c r="D1229" s="234">
        <f>IFERROR(__xludf.DUMMYFUNCTION("""COMPUTED_VALUE"""),36.0)</f>
        <v>36</v>
      </c>
      <c r="E1229" s="237" t="str">
        <f>IFERROR(__xludf.DUMMYFUNCTION("""COMPUTED_VALUE"""),"LT0PBQ01SGRW1")</f>
        <v>LT0PBQ01SGRW1</v>
      </c>
      <c r="F1229" s="238" t="str">
        <f>IFERROR(__xludf.DUMMYFUNCTION("""COMPUTED_VALUE"""),"GEJ6E62")</f>
        <v>GEJ6E62</v>
      </c>
      <c r="G1229" s="238">
        <f>IFERROR(__xludf.DUMMYFUNCTION("""COMPUTED_VALUE"""),45987.20833333333)</f>
        <v>45987.20833</v>
      </c>
      <c r="H1229" s="238">
        <f>IFERROR(__xludf.DUMMYFUNCTION("""COMPUTED_VALUE"""),45987.29166666667)</f>
        <v>45987.29167</v>
      </c>
      <c r="I1229" s="237" t="str">
        <f t="shared" si="1"/>
        <v>Fora</v>
      </c>
      <c r="J1229" s="239">
        <v>119.99999999301508</v>
      </c>
    </row>
    <row r="1230">
      <c r="A1230" s="234" t="s">
        <v>2924</v>
      </c>
      <c r="B1230" s="234" t="str">
        <f>IFERROR(__xludf.DUMMYFUNCTION("""COMPUTED_VALUE"""),"LM Hub_SP_Guarujá")</f>
        <v>LM Hub_SP_Guarujá</v>
      </c>
      <c r="C1230" s="234" t="str">
        <f>IFERROR(__xludf.DUMMYFUNCTION("""COMPUTED_VALUE"""),"HUB-LSP-06")</f>
        <v>HUB-LSP-06</v>
      </c>
      <c r="D1230" s="234"/>
      <c r="E1230" s="237" t="str">
        <f>IFERROR(__xludf.DUMMYFUNCTION("""COMPUTED_VALUE"""),"LT0PBQ01SGRC1")</f>
        <v>LT0PBQ01SGRC1</v>
      </c>
      <c r="F1230" s="238" t="str">
        <f>IFERROR(__xludf.DUMMYFUNCTION("""COMPUTED_VALUE"""),"DIK3532")</f>
        <v>DIK3532</v>
      </c>
      <c r="G1230" s="238">
        <f>IFERROR(__xludf.DUMMYFUNCTION("""COMPUTED_VALUE"""),45987.22916666667)</f>
        <v>45987.22917</v>
      </c>
      <c r="H1230" s="238">
        <f>IFERROR(__xludf.DUMMYFUNCTION("""COMPUTED_VALUE"""),45987.3125)</f>
        <v>45987.3125</v>
      </c>
      <c r="I1230" s="237" t="str">
        <f t="shared" si="1"/>
        <v>Fora</v>
      </c>
      <c r="J1230" s="239">
        <v>119.99999999301508</v>
      </c>
    </row>
    <row r="1231">
      <c r="A1231" s="234" t="s">
        <v>2925</v>
      </c>
      <c r="B1231" s="234" t="str">
        <f>IFERROR(__xludf.DUMMYFUNCTION("""COMPUTED_VALUE"""),"LM Hub_SP_Itapevi")</f>
        <v>LM Hub_SP_Itapevi</v>
      </c>
      <c r="C1231" s="234" t="str">
        <f>IFERROR(__xludf.DUMMYFUNCTION("""COMPUTED_VALUE"""),"HUB-LSP-41")</f>
        <v>HUB-LSP-41</v>
      </c>
      <c r="D1231" s="234">
        <f>IFERROR(__xludf.DUMMYFUNCTION("""COMPUTED_VALUE"""),15.0)</f>
        <v>15</v>
      </c>
      <c r="E1231" s="237" t="str">
        <f>IFERROR(__xludf.DUMMYFUNCTION("""COMPUTED_VALUE"""),"LT0PBQ01SFNM1")</f>
        <v>LT0PBQ01SFNM1</v>
      </c>
      <c r="F1231" s="238" t="str">
        <f>IFERROR(__xludf.DUMMYFUNCTION("""COMPUTED_VALUE"""),"HNQ8267")</f>
        <v>HNQ8267</v>
      </c>
      <c r="G1231" s="238">
        <f>IFERROR(__xludf.DUMMYFUNCTION("""COMPUTED_VALUE"""),45987.22916666667)</f>
        <v>45987.22917</v>
      </c>
      <c r="H1231" s="238">
        <f>IFERROR(__xludf.DUMMYFUNCTION("""COMPUTED_VALUE"""),45987.3125)</f>
        <v>45987.3125</v>
      </c>
      <c r="I1231" s="237" t="str">
        <f t="shared" si="1"/>
        <v>Fora</v>
      </c>
      <c r="J1231" s="239">
        <v>119.99999999301508</v>
      </c>
    </row>
    <row r="1232">
      <c r="A1232" s="234" t="s">
        <v>2926</v>
      </c>
      <c r="B1232" s="234" t="str">
        <f>IFERROR(__xludf.DUMMYFUNCTION("""COMPUTED_VALUE"""),"LM Hub_SP_Santos_Praia Grande")</f>
        <v>LM Hub_SP_Santos_Praia Grande</v>
      </c>
      <c r="C1232" s="234" t="str">
        <f>IFERROR(__xludf.DUMMYFUNCTION("""COMPUTED_VALUE"""),"HUB-LSP-09")</f>
        <v>HUB-LSP-09</v>
      </c>
      <c r="D1232" s="234"/>
      <c r="E1232" s="237" t="str">
        <f>IFERROR(__xludf.DUMMYFUNCTION("""COMPUTED_VALUE"""),"LT0PBQ01SGRH1")</f>
        <v>LT0PBQ01SGRH1</v>
      </c>
      <c r="F1232" s="238" t="str">
        <f>IFERROR(__xludf.DUMMYFUNCTION("""COMPUTED_VALUE"""),"GDW1D96")</f>
        <v>GDW1D96</v>
      </c>
      <c r="G1232" s="238">
        <f>IFERROR(__xludf.DUMMYFUNCTION("""COMPUTED_VALUE"""),45987.22916666667)</f>
        <v>45987.22917</v>
      </c>
      <c r="H1232" s="238">
        <f>IFERROR(__xludf.DUMMYFUNCTION("""COMPUTED_VALUE"""),45987.3125)</f>
        <v>45987.3125</v>
      </c>
      <c r="I1232" s="237" t="str">
        <f t="shared" si="1"/>
        <v>Fora</v>
      </c>
      <c r="J1232" s="239">
        <v>119.99999999301508</v>
      </c>
    </row>
    <row r="1233">
      <c r="A1233" s="234" t="s">
        <v>2927</v>
      </c>
      <c r="B1233" s="234" t="str">
        <f>IFERROR(__xludf.DUMMYFUNCTION("""COMPUTED_VALUE"""),"LM Hub_SP_São José dos Campos")</f>
        <v>LM Hub_SP_São José dos Campos</v>
      </c>
      <c r="C1233" s="234" t="str">
        <f>IFERROR(__xludf.DUMMYFUNCTION("""COMPUTED_VALUE"""),"HUB-LSP-04")</f>
        <v>HUB-LSP-04</v>
      </c>
      <c r="D1233" s="234"/>
      <c r="E1233" s="237" t="str">
        <f>IFERROR(__xludf.DUMMYFUNCTION("""COMPUTED_VALUE"""),"LT0PBQ01SGRM1")</f>
        <v>LT0PBQ01SGRM1</v>
      </c>
      <c r="F1233" s="238" t="str">
        <f>IFERROR(__xludf.DUMMYFUNCTION("""COMPUTED_VALUE"""),"UGN5F59")</f>
        <v>UGN5F59</v>
      </c>
      <c r="G1233" s="238">
        <f>IFERROR(__xludf.DUMMYFUNCTION("""COMPUTED_VALUE"""),45987.22916666667)</f>
        <v>45987.22917</v>
      </c>
      <c r="H1233" s="238">
        <f>IFERROR(__xludf.DUMMYFUNCTION("""COMPUTED_VALUE"""),45987.3125)</f>
        <v>45987.3125</v>
      </c>
      <c r="I1233" s="237" t="str">
        <f t="shared" si="1"/>
        <v>Fora</v>
      </c>
      <c r="J1233" s="239">
        <v>119.99999999301508</v>
      </c>
    </row>
    <row r="1234">
      <c r="A1234" s="234" t="s">
        <v>2928</v>
      </c>
      <c r="B1234" s="234" t="str">
        <f>IFERROR(__xludf.DUMMYFUNCTION("""COMPUTED_VALUE"""),"LM Hub_SP_São Paulo_Mooca")</f>
        <v>LM Hub_SP_São Paulo_Mooca</v>
      </c>
      <c r="C1234" s="234" t="str">
        <f>IFERROR(__xludf.DUMMYFUNCTION("""COMPUTED_VALUE"""),"HUB-LSP-13")</f>
        <v>HUB-LSP-13</v>
      </c>
      <c r="D1234" s="234"/>
      <c r="E1234" s="237" t="str">
        <f>IFERROR(__xludf.DUMMYFUNCTION("""COMPUTED_VALUE"""),"LT0PBQ01SOLH1")</f>
        <v>LT0PBQ01SOLH1</v>
      </c>
      <c r="F1234" s="238" t="str">
        <f>IFERROR(__xludf.DUMMYFUNCTION("""COMPUTED_VALUE"""),"FGI1F79")</f>
        <v>FGI1F79</v>
      </c>
      <c r="G1234" s="238">
        <f>IFERROR(__xludf.DUMMYFUNCTION("""COMPUTED_VALUE"""),45987.22916666667)</f>
        <v>45987.22917</v>
      </c>
      <c r="H1234" s="238">
        <f>IFERROR(__xludf.DUMMYFUNCTION("""COMPUTED_VALUE"""),45987.3125)</f>
        <v>45987.3125</v>
      </c>
      <c r="I1234" s="237" t="str">
        <f t="shared" si="1"/>
        <v>Fora</v>
      </c>
      <c r="J1234" s="239">
        <v>119.99999999301508</v>
      </c>
    </row>
    <row r="1235">
      <c r="A1235" s="234" t="s">
        <v>2929</v>
      </c>
      <c r="B1235" s="234" t="str">
        <f>IFERROR(__xludf.DUMMYFUNCTION("""COMPUTED_VALUE"""),"LM Hub_SP_Zimba")</f>
        <v>LM Hub_SP_Zimba</v>
      </c>
      <c r="C1235" s="234" t="str">
        <f>IFERROR(__xludf.DUMMYFUNCTION("""COMPUTED_VALUE"""),"HUB-LSP-74")</f>
        <v>HUB-LSP-74</v>
      </c>
      <c r="D1235" s="234">
        <f>IFERROR(__xludf.DUMMYFUNCTION("""COMPUTED_VALUE"""),38.0)</f>
        <v>38</v>
      </c>
      <c r="E1235" s="237" t="str">
        <f>IFERROR(__xludf.DUMMYFUNCTION("""COMPUTED_VALUE"""),"LT0PBQ01SGR71")</f>
        <v>LT0PBQ01SGR71</v>
      </c>
      <c r="F1235" s="238" t="str">
        <f>IFERROR(__xludf.DUMMYFUNCTION("""COMPUTED_VALUE"""),"OPY9J66")</f>
        <v>OPY9J66</v>
      </c>
      <c r="G1235" s="238">
        <f>IFERROR(__xludf.DUMMYFUNCTION("""COMPUTED_VALUE"""),45987.22916666667)</f>
        <v>45987.22917</v>
      </c>
      <c r="H1235" s="238">
        <f>IFERROR(__xludf.DUMMYFUNCTION("""COMPUTED_VALUE"""),45987.3125)</f>
        <v>45987.3125</v>
      </c>
      <c r="I1235" s="237" t="str">
        <f t="shared" si="1"/>
        <v>Fora</v>
      </c>
      <c r="J1235" s="239">
        <v>360.0</v>
      </c>
    </row>
    <row r="1236">
      <c r="A1236" s="234" t="s">
        <v>2930</v>
      </c>
      <c r="B1236" s="234" t="str">
        <f>IFERROR(__xludf.DUMMYFUNCTION("""COMPUTED_VALUE"""),"SoC_RJ_Duque de Caxias")</f>
        <v>SoC_RJ_Duque de Caxias</v>
      </c>
      <c r="C1236" s="234" t="str">
        <f>IFERROR(__xludf.DUMMYFUNCTION("""COMPUTED_VALUE"""),"SOC-RJ2")</f>
        <v>SOC-RJ2</v>
      </c>
      <c r="D1236" s="234"/>
      <c r="E1236" s="237" t="str">
        <f>IFERROR(__xludf.DUMMYFUNCTION("""COMPUTED_VALUE"""),"LT1PBQ01SV2E1")</f>
        <v>LT1PBQ01SV2E1</v>
      </c>
      <c r="F1236" s="238" t="str">
        <f>IFERROR(__xludf.DUMMYFUNCTION("""COMPUTED_VALUE"""),"ETU8301,ETU9645")</f>
        <v>ETU8301,ETU9645</v>
      </c>
      <c r="G1236" s="238">
        <f>IFERROR(__xludf.DUMMYFUNCTION("""COMPUTED_VALUE"""),45987.08333333333)</f>
        <v>45987.08333</v>
      </c>
      <c r="H1236" s="238">
        <f>IFERROR(__xludf.DUMMYFUNCTION("""COMPUTED_VALUE"""),45987.33333333333)</f>
        <v>45987.33333</v>
      </c>
      <c r="I1236" s="237" t="str">
        <f t="shared" si="1"/>
        <v>Fora</v>
      </c>
      <c r="J1236" s="239">
        <v>599.0000000037253</v>
      </c>
    </row>
    <row r="1237">
      <c r="A1237" s="234" t="s">
        <v>2931</v>
      </c>
      <c r="B1237" s="234" t="str">
        <f>IFERROR(__xludf.DUMMYFUNCTION("""COMPUTED_VALUE"""),"Soc_BA_Simoes Filho")</f>
        <v>Soc_BA_Simoes Filho</v>
      </c>
      <c r="C1237" s="234" t="str">
        <f>IFERROR(__xludf.DUMMYFUNCTION("""COMPUTED_VALUE"""),"SOC-BA2")</f>
        <v>SOC-BA2</v>
      </c>
      <c r="D1237" s="234">
        <f>IFERROR(__xludf.DUMMYFUNCTION("""COMPUTED_VALUE"""),35.0)</f>
        <v>35</v>
      </c>
      <c r="E1237" s="237" t="str">
        <f>IFERROR(__xludf.DUMMYFUNCTION("""COMPUTED_VALUE"""),"LT0PBQ01SLA02")</f>
        <v>LT0PBQ01SLA02</v>
      </c>
      <c r="F1237" s="238" t="str">
        <f>IFERROR(__xludf.DUMMYFUNCTION("""COMPUTED_VALUE"""),"RXZ0C04,SJE8H43")</f>
        <v>RXZ0C04,SJE8H43</v>
      </c>
      <c r="G1237" s="238">
        <f>IFERROR(__xludf.DUMMYFUNCTION("""COMPUTED_VALUE"""),45987.25069444445)</f>
        <v>45987.25069</v>
      </c>
      <c r="H1237" s="238">
        <f>IFERROR(__xludf.DUMMYFUNCTION("""COMPUTED_VALUE"""),45987.66666666667)</f>
        <v>45987.66667</v>
      </c>
      <c r="I1237" s="237" t="str">
        <f t="shared" si="1"/>
        <v>Fora</v>
      </c>
      <c r="J1237" s="239">
        <v>598.0000000004657</v>
      </c>
    </row>
    <row r="1238">
      <c r="A1238" s="234" t="s">
        <v>2932</v>
      </c>
      <c r="B1238" s="234" t="str">
        <f>IFERROR(__xludf.DUMMYFUNCTION("""COMPUTED_VALUE"""),"SoC_SP_Cravinhos")</f>
        <v>SoC_SP_Cravinhos</v>
      </c>
      <c r="C1238" s="234" t="str">
        <f>IFERROR(__xludf.DUMMYFUNCTION("""COMPUTED_VALUE"""),"SOC-SP5")</f>
        <v>SOC-SP5</v>
      </c>
      <c r="D1238" s="234">
        <f>IFERROR(__xludf.DUMMYFUNCTION("""COMPUTED_VALUE"""),49.0)</f>
        <v>49</v>
      </c>
      <c r="E1238" s="237" t="str">
        <f>IFERROR(__xludf.DUMMYFUNCTION("""COMPUTED_VALUE"""),"LT0PBQ01SFL71")</f>
        <v>LT0PBQ01SFL71</v>
      </c>
      <c r="F1238" s="238" t="str">
        <f>IFERROR(__xludf.DUMMYFUNCTION("""COMPUTED_VALUE"""),"EJZ8E65,DTE5G24")</f>
        <v>EJZ8E65,DTE5G24</v>
      </c>
      <c r="G1238" s="238">
        <f>IFERROR(__xludf.DUMMYFUNCTION("""COMPUTED_VALUE"""),45987.41805555555)</f>
        <v>45987.41806</v>
      </c>
      <c r="H1238" s="238">
        <f>IFERROR(__xludf.DUMMYFUNCTION("""COMPUTED_VALUE"""),45987.83333333333)</f>
        <v>45987.83333</v>
      </c>
      <c r="I1238" s="237" t="str">
        <f t="shared" si="1"/>
        <v>Fora</v>
      </c>
      <c r="J1238" s="239">
        <v>119.99999999301508</v>
      </c>
    </row>
    <row r="1239">
      <c r="A1239" s="234" t="s">
        <v>2933</v>
      </c>
      <c r="B1239" s="234" t="str">
        <f>IFERROR(__xludf.DUMMYFUNCTION("""COMPUTED_VALUE"""),"SoC_SC_Itajaí")</f>
        <v>SoC_SC_Itajaí</v>
      </c>
      <c r="C1239" s="234" t="str">
        <f>IFERROR(__xludf.DUMMYFUNCTION("""COMPUTED_VALUE"""),"SOC-SC1")</f>
        <v>SOC-SC1</v>
      </c>
      <c r="D1239" s="234">
        <f>IFERROR(__xludf.DUMMYFUNCTION("""COMPUTED_VALUE"""),21.0)</f>
        <v>21</v>
      </c>
      <c r="E1239" s="237" t="str">
        <f>IFERROR(__xludf.DUMMYFUNCTION("""COMPUTED_VALUE"""),"LT0PBQ01SK9T1")</f>
        <v>LT0PBQ01SK9T1</v>
      </c>
      <c r="F1239" s="238" t="str">
        <f>IFERROR(__xludf.DUMMYFUNCTION("""COMPUTED_VALUE"""),"AXN2G91,PQT1A41")</f>
        <v>AXN2G91,PQT1A41</v>
      </c>
      <c r="G1239" s="238">
        <f>IFERROR(__xludf.DUMMYFUNCTION("""COMPUTED_VALUE"""),45987.75)</f>
        <v>45987.75</v>
      </c>
      <c r="H1239" s="238">
        <f>IFERROR(__xludf.DUMMYFUNCTION("""COMPUTED_VALUE"""),45987.83333333333)</f>
        <v>45987.83333</v>
      </c>
      <c r="I1239" s="237" t="str">
        <f t="shared" si="1"/>
        <v>Fora</v>
      </c>
      <c r="J1239" s="239">
        <v>540.0</v>
      </c>
    </row>
    <row r="1240">
      <c r="A1240" s="234" t="s">
        <v>2934</v>
      </c>
      <c r="B1240" s="234" t="str">
        <f>IFERROR(__xludf.DUMMYFUNCTION("""COMPUTED_VALUE"""),"SoC_SP_Cravinhos")</f>
        <v>SoC_SP_Cravinhos</v>
      </c>
      <c r="C1240" s="234" t="str">
        <f>IFERROR(__xludf.DUMMYFUNCTION("""COMPUTED_VALUE"""),"SOC-SP5")</f>
        <v>SOC-SP5</v>
      </c>
      <c r="D1240" s="234">
        <f>IFERROR(__xludf.DUMMYFUNCTION("""COMPUTED_VALUE"""),5.0)</f>
        <v>5</v>
      </c>
      <c r="E1240" s="237" t="str">
        <f>IFERROR(__xludf.DUMMYFUNCTION("""COMPUTED_VALUE"""),"LT0PBQ01SFLI1")</f>
        <v>LT0PBQ01SFLI1</v>
      </c>
      <c r="F1240" s="238" t="str">
        <f>IFERROR(__xludf.DUMMYFUNCTION("""COMPUTED_VALUE"""),"NRZ2I38")</f>
        <v>NRZ2I38</v>
      </c>
      <c r="G1240" s="238">
        <f>IFERROR(__xludf.DUMMYFUNCTION("""COMPUTED_VALUE"""),45987.58333333333)</f>
        <v>45987.58333</v>
      </c>
      <c r="H1240" s="238">
        <f>IFERROR(__xludf.DUMMYFUNCTION("""COMPUTED_VALUE"""),45987.95833333333)</f>
        <v>45987.95833</v>
      </c>
      <c r="I1240" s="237" t="str">
        <f t="shared" si="1"/>
        <v>Fora</v>
      </c>
      <c r="J1240" s="239">
        <v>119.99999999301508</v>
      </c>
    </row>
    <row r="1241">
      <c r="A1241" s="234" t="s">
        <v>2935</v>
      </c>
      <c r="B1241" s="234" t="str">
        <f>IFERROR(__xludf.DUMMYFUNCTION("""COMPUTED_VALUE"""),"LM Hub_SP_Osasco_02")</f>
        <v>LM Hub_SP_Osasco_02</v>
      </c>
      <c r="C1241" s="234" t="str">
        <f>IFERROR(__xludf.DUMMYFUNCTION("""COMPUTED_VALUE"""),"HUB-LSP-08")</f>
        <v>HUB-LSP-08</v>
      </c>
      <c r="D1241" s="234">
        <f>IFERROR(__xludf.DUMMYFUNCTION("""COMPUTED_VALUE"""),33.0)</f>
        <v>33</v>
      </c>
      <c r="E1241" s="237" t="str">
        <f>IFERROR(__xludf.DUMMYFUNCTION("""COMPUTED_VALUE"""),"LT0PBQ01SFNU1")</f>
        <v>LT0PBQ01SFNU1</v>
      </c>
      <c r="F1241" s="238" t="str">
        <f>IFERROR(__xludf.DUMMYFUNCTION("""COMPUTED_VALUE"""),"HBN8F05,TKX7F43")</f>
        <v>HBN8F05,TKX7F43</v>
      </c>
      <c r="G1241" s="238">
        <f>IFERROR(__xludf.DUMMYFUNCTION("""COMPUTED_VALUE"""),45987.875)</f>
        <v>45987.875</v>
      </c>
      <c r="H1241" s="238">
        <f>IFERROR(__xludf.DUMMYFUNCTION("""COMPUTED_VALUE"""),45987.95833333333)</f>
        <v>45987.95833</v>
      </c>
      <c r="I1241" s="237" t="str">
        <f t="shared" si="1"/>
        <v>Fora</v>
      </c>
      <c r="J1241" s="239">
        <v>117.99999998649582</v>
      </c>
    </row>
    <row r="1242">
      <c r="A1242" s="234" t="s">
        <v>2936</v>
      </c>
      <c r="B1242" s="234" t="str">
        <f>IFERROR(__xludf.DUMMYFUNCTION("""COMPUTED_VALUE"""),"LM Hub_SP_Taubaté")</f>
        <v>LM Hub_SP_Taubaté</v>
      </c>
      <c r="C1242" s="234" t="str">
        <f>IFERROR(__xludf.DUMMYFUNCTION("""COMPUTED_VALUE"""),"HUB-LSP-08")</f>
        <v>HUB-LSP-08</v>
      </c>
      <c r="D1242" s="234">
        <f>IFERROR(__xludf.DUMMYFUNCTION("""COMPUTED_VALUE"""),16.0)</f>
        <v>16</v>
      </c>
      <c r="E1242" s="237" t="str">
        <f>IFERROR(__xludf.DUMMYFUNCTION("""COMPUTED_VALUE"""),"LT0PBQ01SOD51")</f>
        <v>LT0PBQ01SOD51</v>
      </c>
      <c r="F1242" s="238" t="str">
        <f>IFERROR(__xludf.DUMMYFUNCTION("""COMPUTED_VALUE"""),"ASN0C15,MBC2C84")</f>
        <v>ASN0C15,MBC2C84</v>
      </c>
      <c r="G1242" s="238">
        <f>IFERROR(__xludf.DUMMYFUNCTION("""COMPUTED_VALUE"""),45987.87638888889)</f>
        <v>45987.87639</v>
      </c>
      <c r="H1242" s="238">
        <f>IFERROR(__xludf.DUMMYFUNCTION("""COMPUTED_VALUE"""),45987.95833333333)</f>
        <v>45987.95833</v>
      </c>
      <c r="I1242" s="237" t="str">
        <f t="shared" si="1"/>
        <v>Fora</v>
      </c>
      <c r="J1242" s="239">
        <v>120.00000001396984</v>
      </c>
    </row>
    <row r="1243">
      <c r="A1243" s="234" t="s">
        <v>2937</v>
      </c>
      <c r="B1243" s="234" t="str">
        <f>IFERROR(__xludf.DUMMYFUNCTION("""COMPUTED_VALUE"""),"LM Hub_MG_Juiz de Fora_Dist Ind")</f>
        <v>LM Hub_MG_Juiz de Fora_Dist Ind</v>
      </c>
      <c r="C1243" s="234" t="str">
        <f>IFERROR(__xludf.DUMMYFUNCTION("""COMPUTED_VALUE"""),"HUB-LMG-59")</f>
        <v>HUB-LMG-59</v>
      </c>
      <c r="D1243" s="234">
        <f>IFERROR(__xludf.DUMMYFUNCTION("""COMPUTED_VALUE"""),13.0)</f>
        <v>13</v>
      </c>
      <c r="E1243" s="237" t="str">
        <f>IFERROR(__xludf.DUMMYFUNCTION("""COMPUTED_VALUE"""),"LT0PBQ01SM1K1")</f>
        <v>LT0PBQ01SM1K1</v>
      </c>
      <c r="F1243" s="238" t="str">
        <f>IFERROR(__xludf.DUMMYFUNCTION("""COMPUTED_VALUE"""),"SVZ3D32")</f>
        <v>SVZ3D32</v>
      </c>
      <c r="G1243" s="238">
        <f>IFERROR(__xludf.DUMMYFUNCTION("""COMPUTED_VALUE"""),45987.89583333333)</f>
        <v>45987.89583</v>
      </c>
      <c r="H1243" s="238">
        <f>IFERROR(__xludf.DUMMYFUNCTION("""COMPUTED_VALUE"""),45987.97916666667)</f>
        <v>45987.97917</v>
      </c>
      <c r="I1243" s="237" t="str">
        <f t="shared" si="1"/>
        <v>Fora</v>
      </c>
      <c r="J1243" s="239">
        <v>120.00000001396984</v>
      </c>
    </row>
    <row r="1244">
      <c r="A1244" s="234" t="s">
        <v>2938</v>
      </c>
      <c r="B1244" s="234" t="str">
        <f>IFERROR(__xludf.DUMMYFUNCTION("""COMPUTED_VALUE"""),"LM Hub_SP_Santos_Praia Grande")</f>
        <v>LM Hub_SP_Santos_Praia Grande</v>
      </c>
      <c r="C1244" s="234" t="str">
        <f>IFERROR(__xludf.DUMMYFUNCTION("""COMPUTED_VALUE"""),"HUB-LSP-09")</f>
        <v>HUB-LSP-09</v>
      </c>
      <c r="D1244" s="234">
        <f>IFERROR(__xludf.DUMMYFUNCTION("""COMPUTED_VALUE"""),26.0)</f>
        <v>26</v>
      </c>
      <c r="E1244" s="237" t="str">
        <f>IFERROR(__xludf.DUMMYFUNCTION("""COMPUTED_VALUE"""),"LT0PBQ01SFQ21")</f>
        <v>LT0PBQ01SFQ21</v>
      </c>
      <c r="F1244" s="238" t="str">
        <f>IFERROR(__xludf.DUMMYFUNCTION("""COMPUTED_VALUE"""),"FUZ4C73,TLL9H76")</f>
        <v>FUZ4C73,TLL9H76</v>
      </c>
      <c r="G1244" s="238">
        <f>IFERROR(__xludf.DUMMYFUNCTION("""COMPUTED_VALUE"""),45987.89583333333)</f>
        <v>45987.89583</v>
      </c>
      <c r="H1244" s="238">
        <f>IFERROR(__xludf.DUMMYFUNCTION("""COMPUTED_VALUE"""),45987.97916666667)</f>
        <v>45987.97917</v>
      </c>
      <c r="I1244" s="237" t="str">
        <f t="shared" si="1"/>
        <v>Fora</v>
      </c>
      <c r="J1244" s="239">
        <v>120.00000001396984</v>
      </c>
    </row>
    <row r="1245">
      <c r="A1245" s="234" t="s">
        <v>2939</v>
      </c>
      <c r="B1245" s="234" t="str">
        <f>IFERROR(__xludf.DUMMYFUNCTION("""COMPUTED_VALUE"""),"LM Hub_SP_Zimba")</f>
        <v>LM Hub_SP_Zimba</v>
      </c>
      <c r="C1245" s="234" t="str">
        <f>IFERROR(__xludf.DUMMYFUNCTION("""COMPUTED_VALUE"""),"HUB-LSP-74")</f>
        <v>HUB-LSP-74</v>
      </c>
      <c r="D1245" s="234">
        <f>IFERROR(__xludf.DUMMYFUNCTION("""COMPUTED_VALUE"""),32.0)</f>
        <v>32</v>
      </c>
      <c r="E1245" s="237" t="str">
        <f>IFERROR(__xludf.DUMMYFUNCTION("""COMPUTED_VALUE"""),"LT0PBQ01SFO71")</f>
        <v>LT0PBQ01SFO71</v>
      </c>
      <c r="F1245" s="238" t="str">
        <f>IFERROR(__xludf.DUMMYFUNCTION("""COMPUTED_VALUE"""),"SUQ5C99,TLD5B82")</f>
        <v>SUQ5C99,TLD5B82</v>
      </c>
      <c r="G1245" s="238">
        <f>IFERROR(__xludf.DUMMYFUNCTION("""COMPUTED_VALUE"""),45987.89583333333)</f>
        <v>45987.89583</v>
      </c>
      <c r="H1245" s="238">
        <f>IFERROR(__xludf.DUMMYFUNCTION("""COMPUTED_VALUE"""),45987.97916666667)</f>
        <v>45987.97917</v>
      </c>
      <c r="I1245" s="237" t="str">
        <f t="shared" si="1"/>
        <v>Fora</v>
      </c>
      <c r="J1245" s="239">
        <v>119.00000001071021</v>
      </c>
    </row>
    <row r="1246">
      <c r="A1246" s="234" t="s">
        <v>2940</v>
      </c>
      <c r="B1246" s="234" t="str">
        <f>IFERROR(__xludf.DUMMYFUNCTION("""COMPUTED_VALUE"""),"LM Hub_SP_Jurubatuba")</f>
        <v>LM Hub_SP_Jurubatuba</v>
      </c>
      <c r="C1246" s="234" t="str">
        <f>IFERROR(__xludf.DUMMYFUNCTION("""COMPUTED_VALUE"""),"HUB-LSP-16")</f>
        <v>HUB-LSP-16</v>
      </c>
      <c r="D1246" s="234">
        <f>IFERROR(__xludf.DUMMYFUNCTION("""COMPUTED_VALUE"""),14.0)</f>
        <v>14</v>
      </c>
      <c r="E1246" s="237" t="str">
        <f>IFERROR(__xludf.DUMMYFUNCTION("""COMPUTED_VALUE"""),"LT0PBQ01SOCP1")</f>
        <v>LT0PBQ01SOCP1</v>
      </c>
      <c r="F1246" s="238" t="str">
        <f>IFERROR(__xludf.DUMMYFUNCTION("""COMPUTED_VALUE"""),"DTD4722,NCK7E66")</f>
        <v>DTD4722,NCK7E66</v>
      </c>
      <c r="G1246" s="238">
        <f>IFERROR(__xludf.DUMMYFUNCTION("""COMPUTED_VALUE"""),45987.896527777775)</f>
        <v>45987.89653</v>
      </c>
      <c r="H1246" s="238">
        <f>IFERROR(__xludf.DUMMYFUNCTION("""COMPUTED_VALUE"""),45987.97916666667)</f>
        <v>45987.97917</v>
      </c>
      <c r="I1246" s="237" t="str">
        <f t="shared" si="1"/>
        <v>Fora</v>
      </c>
      <c r="J1246" s="239">
        <v>119.00000001071021</v>
      </c>
    </row>
    <row r="1247">
      <c r="A1247" s="234" t="s">
        <v>2941</v>
      </c>
      <c r="B1247" s="234" t="str">
        <f>IFERROR(__xludf.DUMMYFUNCTION("""COMPUTED_VALUE"""),"LM Hub_SP_Mogi das Cruzes_Jund")</f>
        <v>LM Hub_SP_Mogi das Cruzes_Jund</v>
      </c>
      <c r="C1247" s="234" t="str">
        <f>IFERROR(__xludf.DUMMYFUNCTION("""COMPUTED_VALUE"""),"HUB-LSP-78")</f>
        <v>HUB-LSP-78</v>
      </c>
      <c r="D1247" s="234">
        <f>IFERROR(__xludf.DUMMYFUNCTION("""COMPUTED_VALUE"""),34.0)</f>
        <v>34</v>
      </c>
      <c r="E1247" s="237" t="str">
        <f>IFERROR(__xludf.DUMMYFUNCTION("""COMPUTED_VALUE"""),"LT0PBQ01SII11")</f>
        <v>LT0PBQ01SII11</v>
      </c>
      <c r="F1247" s="234" t="str">
        <f>IFERROR(__xludf.DUMMYFUNCTION("""COMPUTED_VALUE"""),"DTC8058")</f>
        <v>DTC8058</v>
      </c>
      <c r="G1247" s="238">
        <f>IFERROR(__xludf.DUMMYFUNCTION("""COMPUTED_VALUE"""),45987.896527777775)</f>
        <v>45987.89653</v>
      </c>
      <c r="H1247" s="238">
        <f>IFERROR(__xludf.DUMMYFUNCTION("""COMPUTED_VALUE"""),45987.97916666667)</f>
        <v>45987.97917</v>
      </c>
      <c r="I1247" s="237" t="str">
        <f t="shared" si="1"/>
        <v>Fora</v>
      </c>
      <c r="J1247" s="239">
        <v>119.00000001071021</v>
      </c>
    </row>
    <row r="1248">
      <c r="A1248" s="234" t="s">
        <v>2942</v>
      </c>
      <c r="B1248" s="234" t="str">
        <f>IFERROR(__xludf.DUMMYFUNCTION("""COMPUTED_VALUE"""),"LM Hub_SP_São José dos Campos")</f>
        <v>LM Hub_SP_São José dos Campos</v>
      </c>
      <c r="C1248" s="234" t="str">
        <f>IFERROR(__xludf.DUMMYFUNCTION("""COMPUTED_VALUE"""),"HUB-LSP-04")</f>
        <v>HUB-LSP-04</v>
      </c>
      <c r="D1248" s="234">
        <f>IFERROR(__xludf.DUMMYFUNCTION("""COMPUTED_VALUE"""),19.0)</f>
        <v>19</v>
      </c>
      <c r="E1248" s="237" t="str">
        <f>IFERROR(__xludf.DUMMYFUNCTION("""COMPUTED_VALUE"""),"LT0PBQ01SODF1")</f>
        <v>LT0PBQ01SODF1</v>
      </c>
      <c r="F1248" s="238" t="str">
        <f>IFERROR(__xludf.DUMMYFUNCTION("""COMPUTED_VALUE"""),"TIR7J78")</f>
        <v>TIR7J78</v>
      </c>
      <c r="G1248" s="238">
        <f>IFERROR(__xludf.DUMMYFUNCTION("""COMPUTED_VALUE"""),45987.896527777775)</f>
        <v>45987.89653</v>
      </c>
      <c r="H1248" s="238">
        <f>IFERROR(__xludf.DUMMYFUNCTION("""COMPUTED_VALUE"""),45987.97916666667)</f>
        <v>45987.97917</v>
      </c>
      <c r="I1248" s="237" t="str">
        <f t="shared" si="1"/>
        <v>Fora</v>
      </c>
      <c r="J1248" s="239">
        <v>118.00000000745058</v>
      </c>
    </row>
    <row r="1249">
      <c r="A1249" s="234" t="s">
        <v>2943</v>
      </c>
      <c r="B1249" s="234" t="str">
        <f>IFERROR(__xludf.DUMMYFUNCTION("""COMPUTED_VALUE"""),"LM Hub_SP_São Paulo_Lapa")</f>
        <v>LM Hub_SP_São Paulo_Lapa</v>
      </c>
      <c r="C1249" s="234" t="str">
        <f>IFERROR(__xludf.DUMMYFUNCTION("""COMPUTED_VALUE"""),"HUB-LSP-15")</f>
        <v>HUB-LSP-15</v>
      </c>
      <c r="D1249" s="234">
        <f>IFERROR(__xludf.DUMMYFUNCTION("""COMPUTED_VALUE"""),38.0)</f>
        <v>38</v>
      </c>
      <c r="E1249" s="237" t="str">
        <f>IFERROR(__xludf.DUMMYFUNCTION("""COMPUTED_VALUE"""),"LT0PBQ01SFN31")</f>
        <v>LT0PBQ01SFN31</v>
      </c>
      <c r="F1249" s="238" t="str">
        <f>IFERROR(__xludf.DUMMYFUNCTION("""COMPUTED_VALUE"""),"BZO5G56,GFT5F38")</f>
        <v>BZO5G56,GFT5F38</v>
      </c>
      <c r="G1249" s="238">
        <f>IFERROR(__xludf.DUMMYFUNCTION("""COMPUTED_VALUE"""),45987.89722222222)</f>
        <v>45987.89722</v>
      </c>
      <c r="H1249" s="238">
        <f>IFERROR(__xludf.DUMMYFUNCTION("""COMPUTED_VALUE"""),45987.97916666667)</f>
        <v>45987.97917</v>
      </c>
      <c r="I1249" s="237" t="str">
        <f t="shared" si="1"/>
        <v>Fora</v>
      </c>
      <c r="J1249" s="239">
        <v>118.99999998975545</v>
      </c>
    </row>
    <row r="1250">
      <c r="A1250" s="234" t="s">
        <v>2944</v>
      </c>
      <c r="B1250" s="234" t="str">
        <f>IFERROR(__xludf.DUMMYFUNCTION("""COMPUTED_VALUE"""),"LM Hub_SP_Guarujá")</f>
        <v>LM Hub_SP_Guarujá</v>
      </c>
      <c r="C1250" s="234" t="str">
        <f>IFERROR(__xludf.DUMMYFUNCTION("""COMPUTED_VALUE"""),"HUB-LSP-06")</f>
        <v>HUB-LSP-06</v>
      </c>
      <c r="D1250" s="234">
        <f>IFERROR(__xludf.DUMMYFUNCTION("""COMPUTED_VALUE"""),7.0)</f>
        <v>7</v>
      </c>
      <c r="E1250" s="237" t="str">
        <f>IFERROR(__xludf.DUMMYFUNCTION("""COMPUTED_VALUE"""),"LT0PBQ01SFP21")</f>
        <v>LT0PBQ01SFP21</v>
      </c>
      <c r="F1250" s="238" t="str">
        <f>IFERROR(__xludf.DUMMYFUNCTION("""COMPUTED_VALUE"""),"TJN5H17")</f>
        <v>TJN5H17</v>
      </c>
      <c r="G1250" s="238">
        <f>IFERROR(__xludf.DUMMYFUNCTION("""COMPUTED_VALUE"""),45987.91666666667)</f>
        <v>45987.91667</v>
      </c>
      <c r="H1250" s="238">
        <f>IFERROR(__xludf.DUMMYFUNCTION("""COMPUTED_VALUE"""),45987.99930555555)</f>
        <v>45987.99931</v>
      </c>
      <c r="I1250" s="237" t="str">
        <f t="shared" si="1"/>
        <v>Fora</v>
      </c>
      <c r="J1250" s="239">
        <v>119.99999999301508</v>
      </c>
    </row>
    <row r="1251">
      <c r="A1251" s="234" t="s">
        <v>2945</v>
      </c>
      <c r="B1251" s="234" t="str">
        <f>IFERROR(__xludf.DUMMYFUNCTION("""COMPUTED_VALUE"""),"LM Hub_RS_Porto Alegre_Floresta")</f>
        <v>LM Hub_RS_Porto Alegre_Floresta</v>
      </c>
      <c r="C1251" s="234" t="str">
        <f>IFERROR(__xludf.DUMMYFUNCTION("""COMPUTED_VALUE"""),"HUB-LRS-03")</f>
        <v>HUB-LRS-03</v>
      </c>
      <c r="D1251" s="234">
        <f>IFERROR(__xludf.DUMMYFUNCTION("""COMPUTED_VALUE"""),21.0)</f>
        <v>21</v>
      </c>
      <c r="E1251" s="237" t="str">
        <f>IFERROR(__xludf.DUMMYFUNCTION("""COMPUTED_VALUE"""),"LT0PBQ01SM111")</f>
        <v>LT0PBQ01SM111</v>
      </c>
      <c r="F1251" s="238" t="str">
        <f>IFERROR(__xludf.DUMMYFUNCTION("""COMPUTED_VALUE"""),"QHS2J17")</f>
        <v>QHS2J17</v>
      </c>
      <c r="G1251" s="238">
        <f>IFERROR(__xludf.DUMMYFUNCTION("""COMPUTED_VALUE"""),45987.91666666667)</f>
        <v>45987.91667</v>
      </c>
      <c r="H1251" s="238">
        <f>IFERROR(__xludf.DUMMYFUNCTION("""COMPUTED_VALUE"""),45988.0)</f>
        <v>45988</v>
      </c>
      <c r="I1251" s="237" t="str">
        <f t="shared" si="1"/>
        <v>Fora</v>
      </c>
      <c r="J1251" s="239">
        <v>119.99999999301508</v>
      </c>
    </row>
    <row r="1252">
      <c r="A1252" s="234" t="s">
        <v>2946</v>
      </c>
      <c r="B1252" s="234" t="str">
        <f>IFERROR(__xludf.DUMMYFUNCTION("""COMPUTED_VALUE"""),"LM Hub_SP_Artur Alvim")</f>
        <v>LM Hub_SP_Artur Alvim</v>
      </c>
      <c r="C1252" s="234" t="str">
        <f>IFERROR(__xludf.DUMMYFUNCTION("""COMPUTED_VALUE"""),"HUB-LSP-07")</f>
        <v>HUB-LSP-07</v>
      </c>
      <c r="D1252" s="234">
        <f>IFERROR(__xludf.DUMMYFUNCTION("""COMPUTED_VALUE"""),15.0)</f>
        <v>15</v>
      </c>
      <c r="E1252" s="237" t="str">
        <f>IFERROR(__xludf.DUMMYFUNCTION("""COMPUTED_VALUE"""),"LT0PBQ01SFMN1")</f>
        <v>LT0PBQ01SFMN1</v>
      </c>
      <c r="F1252" s="238" t="str">
        <f>IFERROR(__xludf.DUMMYFUNCTION("""COMPUTED_VALUE"""),"EBS3J90,JXA3594")</f>
        <v>EBS3J90,JXA3594</v>
      </c>
      <c r="G1252" s="238">
        <f>IFERROR(__xludf.DUMMYFUNCTION("""COMPUTED_VALUE"""),45987.91666666667)</f>
        <v>45987.91667</v>
      </c>
      <c r="H1252" s="238">
        <f>IFERROR(__xludf.DUMMYFUNCTION("""COMPUTED_VALUE"""),45988.0)</f>
        <v>45988</v>
      </c>
      <c r="I1252" s="237" t="str">
        <f t="shared" si="1"/>
        <v>Fora</v>
      </c>
      <c r="J1252" s="239">
        <v>119.99999999301508</v>
      </c>
    </row>
    <row r="1253">
      <c r="A1253" s="234" t="s">
        <v>2947</v>
      </c>
      <c r="B1253" s="234" t="str">
        <f>IFERROR(__xludf.DUMMYFUNCTION("""COMPUTED_VALUE"""),"LM Hub_SP_Barueri_01")</f>
        <v>LM Hub_SP_Barueri_01</v>
      </c>
      <c r="C1253" s="234" t="str">
        <f>IFERROR(__xludf.DUMMYFUNCTION("""COMPUTED_VALUE"""),"HUB-LSP-81")</f>
        <v>HUB-LSP-81</v>
      </c>
      <c r="D1253" s="234">
        <f>IFERROR(__xludf.DUMMYFUNCTION("""COMPUTED_VALUE"""),9.0)</f>
        <v>9</v>
      </c>
      <c r="E1253" s="237" t="str">
        <f>IFERROR(__xludf.DUMMYFUNCTION("""COMPUTED_VALUE"""),"LT0PBQ01SKYN1")</f>
        <v>LT0PBQ01SKYN1</v>
      </c>
      <c r="F1253" s="238" t="str">
        <f>IFERROR(__xludf.DUMMYFUNCTION("""COMPUTED_VALUE"""),"GEV2J37")</f>
        <v>GEV2J37</v>
      </c>
      <c r="G1253" s="238">
        <f>IFERROR(__xludf.DUMMYFUNCTION("""COMPUTED_VALUE"""),45987.91666666667)</f>
        <v>45987.91667</v>
      </c>
      <c r="H1253" s="238">
        <f>IFERROR(__xludf.DUMMYFUNCTION("""COMPUTED_VALUE"""),45988.0)</f>
        <v>45988</v>
      </c>
      <c r="I1253" s="237" t="str">
        <f t="shared" si="1"/>
        <v>Fora</v>
      </c>
      <c r="J1253" s="239">
        <v>119.99999999301508</v>
      </c>
    </row>
    <row r="1254">
      <c r="A1254" s="234" t="s">
        <v>2948</v>
      </c>
      <c r="B1254" s="234" t="str">
        <f>IFERROR(__xludf.DUMMYFUNCTION("""COMPUTED_VALUE"""),"LM Hub_SP_Limeira_Campo Belo")</f>
        <v>LM Hub_SP_Limeira_Campo Belo</v>
      </c>
      <c r="C1254" s="234" t="str">
        <f>IFERROR(__xludf.DUMMYFUNCTION("""COMPUTED_VALUE"""),"HUB-LSP-24")</f>
        <v>HUB-LSP-24</v>
      </c>
      <c r="D1254" s="234">
        <f>IFERROR(__xludf.DUMMYFUNCTION("""COMPUTED_VALUE"""),39.0)</f>
        <v>39</v>
      </c>
      <c r="E1254" s="237" t="str">
        <f>IFERROR(__xludf.DUMMYFUNCTION("""COMPUTED_VALUE"""),"LT0PBQ01SFQJ1")</f>
        <v>LT0PBQ01SFQJ1</v>
      </c>
      <c r="F1254" s="238" t="str">
        <f>IFERROR(__xludf.DUMMYFUNCTION("""COMPUTED_VALUE"""),"SVM9H44,GDU4H95")</f>
        <v>SVM9H44,GDU4H95</v>
      </c>
      <c r="G1254" s="238">
        <f>IFERROR(__xludf.DUMMYFUNCTION("""COMPUTED_VALUE"""),45987.91666666667)</f>
        <v>45987.91667</v>
      </c>
      <c r="H1254" s="238">
        <f>IFERROR(__xludf.DUMMYFUNCTION("""COMPUTED_VALUE"""),45988.0)</f>
        <v>45988</v>
      </c>
      <c r="I1254" s="237" t="str">
        <f t="shared" si="1"/>
        <v>Fora</v>
      </c>
      <c r="J1254" s="239">
        <v>119.99999999301508</v>
      </c>
    </row>
    <row r="1255">
      <c r="A1255" s="234" t="s">
        <v>2949</v>
      </c>
      <c r="B1255" s="234" t="str">
        <f>IFERROR(__xludf.DUMMYFUNCTION("""COMPUTED_VALUE"""),"LM Hub_SP_Mauá")</f>
        <v>LM Hub_SP_Mauá</v>
      </c>
      <c r="C1255" s="234" t="str">
        <f>IFERROR(__xludf.DUMMYFUNCTION("""COMPUTED_VALUE"""),"HUB-LSP-64")</f>
        <v>HUB-LSP-64</v>
      </c>
      <c r="D1255" s="234">
        <f>IFERROR(__xludf.DUMMYFUNCTION("""COMPUTED_VALUE"""),12.0)</f>
        <v>12</v>
      </c>
      <c r="E1255" s="237" t="str">
        <f>IFERROR(__xludf.DUMMYFUNCTION("""COMPUTED_VALUE"""),"LT0PBQ01SFO01")</f>
        <v>LT0PBQ01SFO01</v>
      </c>
      <c r="F1255" s="238" t="str">
        <f>IFERROR(__xludf.DUMMYFUNCTION("""COMPUTED_VALUE"""),"ONN9D62")</f>
        <v>ONN9D62</v>
      </c>
      <c r="G1255" s="238">
        <f>IFERROR(__xludf.DUMMYFUNCTION("""COMPUTED_VALUE"""),45987.91666666667)</f>
        <v>45987.91667</v>
      </c>
      <c r="H1255" s="238">
        <f>IFERROR(__xludf.DUMMYFUNCTION("""COMPUTED_VALUE"""),45988.0)</f>
        <v>45988</v>
      </c>
      <c r="I1255" s="237" t="str">
        <f t="shared" si="1"/>
        <v>Fora</v>
      </c>
      <c r="J1255" s="239">
        <v>119.99999999301508</v>
      </c>
    </row>
    <row r="1256">
      <c r="A1256" s="234" t="s">
        <v>2950</v>
      </c>
      <c r="B1256" s="234" t="str">
        <f>IFERROR(__xludf.DUMMYFUNCTION("""COMPUTED_VALUE"""),"LM Hub_SP_São José do Rio P")</f>
        <v>LM Hub_SP_São José do Rio P</v>
      </c>
      <c r="C1256" s="234" t="str">
        <f>IFERROR(__xludf.DUMMYFUNCTION("""COMPUTED_VALUE"""),"HUB-LSP-27")</f>
        <v>HUB-LSP-27</v>
      </c>
      <c r="D1256" s="234">
        <f>IFERROR(__xludf.DUMMYFUNCTION("""COMPUTED_VALUE"""),41.0)</f>
        <v>41</v>
      </c>
      <c r="E1256" s="237" t="str">
        <f>IFERROR(__xludf.DUMMYFUNCTION("""COMPUTED_VALUE"""),"LT0PBQ01SJO31")</f>
        <v>LT0PBQ01SJO31</v>
      </c>
      <c r="F1256" s="238" t="str">
        <f>IFERROR(__xludf.DUMMYFUNCTION("""COMPUTED_VALUE"""),"SFN2C52")</f>
        <v>SFN2C52</v>
      </c>
      <c r="G1256" s="238">
        <f>IFERROR(__xludf.DUMMYFUNCTION("""COMPUTED_VALUE"""),45987.91666666667)</f>
        <v>45987.91667</v>
      </c>
      <c r="H1256" s="238">
        <f>IFERROR(__xludf.DUMMYFUNCTION("""COMPUTED_VALUE"""),45988.0)</f>
        <v>45988</v>
      </c>
      <c r="I1256" s="237" t="str">
        <f t="shared" si="1"/>
        <v>Fora</v>
      </c>
      <c r="J1256" s="239">
        <v>119.00000000023283</v>
      </c>
    </row>
    <row r="1257">
      <c r="A1257" s="234" t="s">
        <v>2951</v>
      </c>
      <c r="B1257" s="234" t="str">
        <f>IFERROR(__xludf.DUMMYFUNCTION("""COMPUTED_VALUE"""),"LM Hub_SP_Itapevi")</f>
        <v>LM Hub_SP_Itapevi</v>
      </c>
      <c r="C1257" s="234" t="str">
        <f>IFERROR(__xludf.DUMMYFUNCTION("""COMPUTED_VALUE"""),"HUB-LSP-41")</f>
        <v>HUB-LSP-41</v>
      </c>
      <c r="D1257" s="234">
        <f>IFERROR(__xludf.DUMMYFUNCTION("""COMPUTED_VALUE"""),6.0)</f>
        <v>6</v>
      </c>
      <c r="E1257" s="237" t="str">
        <f>IFERROR(__xludf.DUMMYFUNCTION("""COMPUTED_VALUE"""),"LT0PBQ01SOCU1")</f>
        <v>LT0PBQ01SOCU1</v>
      </c>
      <c r="F1257" s="238" t="str">
        <f>IFERROR(__xludf.DUMMYFUNCTION("""COMPUTED_VALUE"""),"FYQ5533")</f>
        <v>FYQ5533</v>
      </c>
      <c r="G1257" s="238">
        <f>IFERROR(__xludf.DUMMYFUNCTION("""COMPUTED_VALUE"""),45987.91736111111)</f>
        <v>45987.91736</v>
      </c>
      <c r="H1257" s="238">
        <f>IFERROR(__xludf.DUMMYFUNCTION("""COMPUTED_VALUE"""),45988.0)</f>
        <v>45988</v>
      </c>
      <c r="I1257" s="237" t="str">
        <f t="shared" si="1"/>
        <v>Fora</v>
      </c>
      <c r="J1257" s="239">
        <v>119.00000000023283</v>
      </c>
    </row>
    <row r="1258">
      <c r="A1258" s="234" t="s">
        <v>2952</v>
      </c>
      <c r="B1258" s="234" t="str">
        <f>IFERROR(__xludf.DUMMYFUNCTION("""COMPUTED_VALUE"""),"LM Hub_SP_Santo André")</f>
        <v>LM Hub_SP_Santo André</v>
      </c>
      <c r="C1258" s="234" t="str">
        <f>IFERROR(__xludf.DUMMYFUNCTION("""COMPUTED_VALUE"""),"HUB-LSP-93")</f>
        <v>HUB-LSP-93</v>
      </c>
      <c r="D1258" s="234">
        <f>IFERROR(__xludf.DUMMYFUNCTION("""COMPUTED_VALUE"""),22.0)</f>
        <v>22</v>
      </c>
      <c r="E1258" s="237" t="str">
        <f>IFERROR(__xludf.DUMMYFUNCTION("""COMPUTED_VALUE"""),"LT0PBQ01SI901")</f>
        <v>LT0PBQ01SI901</v>
      </c>
      <c r="F1258" s="238" t="str">
        <f>IFERROR(__xludf.DUMMYFUNCTION("""COMPUTED_VALUE"""),"FQF6B98,DTA7802")</f>
        <v>FQF6B98,DTA7802</v>
      </c>
      <c r="G1258" s="238">
        <f>IFERROR(__xludf.DUMMYFUNCTION("""COMPUTED_VALUE"""),45987.91736111111)</f>
        <v>45987.91736</v>
      </c>
      <c r="H1258" s="238">
        <f>IFERROR(__xludf.DUMMYFUNCTION("""COMPUTED_VALUE"""),45988.0)</f>
        <v>45988</v>
      </c>
      <c r="I1258" s="237" t="str">
        <f t="shared" si="1"/>
        <v>Fora</v>
      </c>
      <c r="J1258" s="239">
        <v>119.99999999301508</v>
      </c>
    </row>
    <row r="1259">
      <c r="A1259" s="234" t="s">
        <v>2953</v>
      </c>
      <c r="B1259" s="234" t="str">
        <f>IFERROR(__xludf.DUMMYFUNCTION("""COMPUTED_VALUE"""),"LM Hub_SP_Jardim Adriana")</f>
        <v>LM Hub_SP_Jardim Adriana</v>
      </c>
      <c r="C1259" s="234" t="str">
        <f>IFERROR(__xludf.DUMMYFUNCTION("""COMPUTED_VALUE"""),"HUB-LSP-12")</f>
        <v>HUB-LSP-12</v>
      </c>
      <c r="D1259" s="234">
        <f>IFERROR(__xludf.DUMMYFUNCTION("""COMPUTED_VALUE"""),5.0)</f>
        <v>5</v>
      </c>
      <c r="E1259" s="237" t="str">
        <f>IFERROR(__xludf.DUMMYFUNCTION("""COMPUTED_VALUE"""),"LT0PBQ01SFMS1")</f>
        <v>LT0PBQ01SFMS1</v>
      </c>
      <c r="F1259" s="238" t="str">
        <f>IFERROR(__xludf.DUMMYFUNCTION("""COMPUTED_VALUE"""),"FNW2D28")</f>
        <v>FNW2D28</v>
      </c>
      <c r="G1259" s="238">
        <f>IFERROR(__xludf.DUMMYFUNCTION("""COMPUTED_VALUE"""),45987.9375)</f>
        <v>45987.9375</v>
      </c>
      <c r="H1259" s="238">
        <f>IFERROR(__xludf.DUMMYFUNCTION("""COMPUTED_VALUE"""),45988.02083333333)</f>
        <v>45988.02083</v>
      </c>
      <c r="I1259" s="237" t="str">
        <f t="shared" si="1"/>
        <v>Fora</v>
      </c>
      <c r="J1259" s="239">
        <v>119.99999999301508</v>
      </c>
    </row>
    <row r="1260">
      <c r="A1260" s="234" t="s">
        <v>2954</v>
      </c>
      <c r="B1260" s="234" t="str">
        <f>IFERROR(__xludf.DUMMYFUNCTION("""COMPUTED_VALUE"""),"LM Hub_SP_São Paulo_Carandiru")</f>
        <v>LM Hub_SP_São Paulo_Carandiru</v>
      </c>
      <c r="C1260" s="234" t="str">
        <f>IFERROR(__xludf.DUMMYFUNCTION("""COMPUTED_VALUE"""),"HUB-LSP-18")</f>
        <v>HUB-LSP-18</v>
      </c>
      <c r="D1260" s="234">
        <f>IFERROR(__xludf.DUMMYFUNCTION("""COMPUTED_VALUE"""),39.0)</f>
        <v>39</v>
      </c>
      <c r="E1260" s="237" t="str">
        <f>IFERROR(__xludf.DUMMYFUNCTION("""COMPUTED_VALUE"""),"LT0PBQ01SFNB1")</f>
        <v>LT0PBQ01SFNB1</v>
      </c>
      <c r="F1260" s="238" t="str">
        <f>IFERROR(__xludf.DUMMYFUNCTION("""COMPUTED_VALUE"""),"FMD3I95")</f>
        <v>FMD3I95</v>
      </c>
      <c r="G1260" s="238">
        <f>IFERROR(__xludf.DUMMYFUNCTION("""COMPUTED_VALUE"""),45987.9375)</f>
        <v>45987.9375</v>
      </c>
      <c r="H1260" s="238">
        <f>IFERROR(__xludf.DUMMYFUNCTION("""COMPUTED_VALUE"""),45988.02083333333)</f>
        <v>45988.02083</v>
      </c>
      <c r="I1260" s="237" t="str">
        <f t="shared" si="1"/>
        <v>Fora</v>
      </c>
      <c r="J1260" s="239">
        <v>118.99999998975545</v>
      </c>
    </row>
    <row r="1261">
      <c r="A1261" s="234" t="s">
        <v>2955</v>
      </c>
      <c r="B1261" s="234" t="str">
        <f>IFERROR(__xludf.DUMMYFUNCTION("""COMPUTED_VALUE"""),"LM Hub_SP_Parque Novo Mundo")</f>
        <v>LM Hub_SP_Parque Novo Mundo</v>
      </c>
      <c r="C1261" s="234" t="str">
        <f>IFERROR(__xludf.DUMMYFUNCTION("""COMPUTED_VALUE"""),"HUB-LSP-89")</f>
        <v>HUB-LSP-89</v>
      </c>
      <c r="D1261" s="234">
        <f>IFERROR(__xludf.DUMMYFUNCTION("""COMPUTED_VALUE"""),35.0)</f>
        <v>35</v>
      </c>
      <c r="E1261" s="237" t="str">
        <f>IFERROR(__xludf.DUMMYFUNCTION("""COMPUTED_VALUE"""),"LT0PBQ01SOK51")</f>
        <v>LT0PBQ01SOK51</v>
      </c>
      <c r="F1261" s="238" t="str">
        <f>IFERROR(__xludf.DUMMYFUNCTION("""COMPUTED_VALUE"""),"FNK8E47,FAM1829")</f>
        <v>FNK8E47,FAM1829</v>
      </c>
      <c r="G1261" s="238">
        <f>IFERROR(__xludf.DUMMYFUNCTION("""COMPUTED_VALUE"""),45987.93819444445)</f>
        <v>45987.93819</v>
      </c>
      <c r="H1261" s="238">
        <f>IFERROR(__xludf.DUMMYFUNCTION("""COMPUTED_VALUE"""),45988.02083333333)</f>
        <v>45988.02083</v>
      </c>
      <c r="I1261" s="237" t="str">
        <f t="shared" si="1"/>
        <v>Fora</v>
      </c>
      <c r="J1261" s="239">
        <v>118.99999998975545</v>
      </c>
    </row>
    <row r="1262">
      <c r="A1262" s="234" t="s">
        <v>2956</v>
      </c>
      <c r="B1262" s="234" t="str">
        <f>IFERROR(__xludf.DUMMYFUNCTION("""COMPUTED_VALUE"""),"LM Hub_SP_Piracicaba")</f>
        <v>LM Hub_SP_Piracicaba</v>
      </c>
      <c r="C1262" s="234" t="str">
        <f>IFERROR(__xludf.DUMMYFUNCTION("""COMPUTED_VALUE"""),"HUB-LSP-62")</f>
        <v>HUB-LSP-62</v>
      </c>
      <c r="D1262" s="234">
        <f>IFERROR(__xludf.DUMMYFUNCTION("""COMPUTED_VALUE"""),25.0)</f>
        <v>25</v>
      </c>
      <c r="E1262" s="237" t="str">
        <f>IFERROR(__xludf.DUMMYFUNCTION("""COMPUTED_VALUE"""),"LT0PBQ01SOI71")</f>
        <v>LT0PBQ01SOI71</v>
      </c>
      <c r="F1262" s="238" t="str">
        <f>IFERROR(__xludf.DUMMYFUNCTION("""COMPUTED_VALUE"""),"EWJ1C48")</f>
        <v>EWJ1C48</v>
      </c>
      <c r="G1262" s="238">
        <f>IFERROR(__xludf.DUMMYFUNCTION("""COMPUTED_VALUE"""),45987.93819444445)</f>
        <v>45987.93819</v>
      </c>
      <c r="H1262" s="238">
        <f>IFERROR(__xludf.DUMMYFUNCTION("""COMPUTED_VALUE"""),45988.02083333333)</f>
        <v>45988.02083</v>
      </c>
      <c r="I1262" s="237" t="str">
        <f t="shared" si="1"/>
        <v>Fora</v>
      </c>
      <c r="J1262" s="239">
        <v>118.99999998975545</v>
      </c>
    </row>
    <row r="1263">
      <c r="A1263" s="234" t="s">
        <v>2957</v>
      </c>
      <c r="B1263" s="234" t="str">
        <f>IFERROR(__xludf.DUMMYFUNCTION("""COMPUTED_VALUE"""),"LM Hub_SP_VilaGuilherme")</f>
        <v>LM Hub_SP_VilaGuilherme</v>
      </c>
      <c r="C1263" s="234" t="str">
        <f>IFERROR(__xludf.DUMMYFUNCTION("""COMPUTED_VALUE"""),"HUB-LSP-68")</f>
        <v>HUB-LSP-68</v>
      </c>
      <c r="D1263" s="234">
        <f>IFERROR(__xludf.DUMMYFUNCTION("""COMPUTED_VALUE"""),17.0)</f>
        <v>17</v>
      </c>
      <c r="E1263" s="237" t="str">
        <f>IFERROR(__xludf.DUMMYFUNCTION("""COMPUTED_VALUE"""),"LT0PBQ01SOCY1")</f>
        <v>LT0PBQ01SOCY1</v>
      </c>
      <c r="F1263" s="238" t="str">
        <f>IFERROR(__xludf.DUMMYFUNCTION("""COMPUTED_VALUE"""),"HFD4H27,JXG9745")</f>
        <v>HFD4H27,JXG9745</v>
      </c>
      <c r="G1263" s="238">
        <f>IFERROR(__xludf.DUMMYFUNCTION("""COMPUTED_VALUE"""),45987.93819444445)</f>
        <v>45987.93819</v>
      </c>
      <c r="H1263" s="238">
        <f>IFERROR(__xludf.DUMMYFUNCTION("""COMPUTED_VALUE"""),45988.02083333333)</f>
        <v>45988.02083</v>
      </c>
      <c r="I1263" s="237" t="str">
        <f t="shared" si="1"/>
        <v>Fora</v>
      </c>
      <c r="J1263" s="239">
        <v>120.00000001396984</v>
      </c>
    </row>
    <row r="1264">
      <c r="A1264" s="234" t="s">
        <v>2958</v>
      </c>
      <c r="B1264" s="234" t="str">
        <f>IFERROR(__xludf.DUMMYFUNCTION("""COMPUTED_VALUE"""),"LM Hub_SP_Jundiaí")</f>
        <v>LM Hub_SP_Jundiaí</v>
      </c>
      <c r="C1264" s="234" t="str">
        <f>IFERROR(__xludf.DUMMYFUNCTION("""COMPUTED_VALUE"""),"HUB-LSP-100")</f>
        <v>HUB-LSP-100</v>
      </c>
      <c r="D1264" s="234">
        <f>IFERROR(__xludf.DUMMYFUNCTION("""COMPUTED_VALUE"""),6.0)</f>
        <v>6</v>
      </c>
      <c r="E1264" s="237" t="str">
        <f>IFERROR(__xludf.DUMMYFUNCTION("""COMPUTED_VALUE"""),"LT0PBQ01SFS21")</f>
        <v>LT0PBQ01SFS21</v>
      </c>
      <c r="F1264" s="238" t="str">
        <f>IFERROR(__xludf.DUMMYFUNCTION("""COMPUTED_VALUE"""),"TBX6C27")</f>
        <v>TBX6C27</v>
      </c>
      <c r="G1264" s="238">
        <f>IFERROR(__xludf.DUMMYFUNCTION("""COMPUTED_VALUE"""),45987.95833333333)</f>
        <v>45987.95833</v>
      </c>
      <c r="H1264" s="238">
        <f>IFERROR(__xludf.DUMMYFUNCTION("""COMPUTED_VALUE"""),45988.04166666667)</f>
        <v>45988.04167</v>
      </c>
      <c r="I1264" s="237" t="str">
        <f t="shared" si="1"/>
        <v>Fora</v>
      </c>
      <c r="J1264" s="239">
        <v>120.00000001396984</v>
      </c>
    </row>
    <row r="1265">
      <c r="A1265" s="234" t="s">
        <v>2959</v>
      </c>
      <c r="B1265" s="234" t="str">
        <f>IFERROR(__xludf.DUMMYFUNCTION("""COMPUTED_VALUE"""),"SoC_SC_Itajaí")</f>
        <v>SoC_SC_Itajaí</v>
      </c>
      <c r="C1265" s="234" t="str">
        <f>IFERROR(__xludf.DUMMYFUNCTION("""COMPUTED_VALUE"""),"SOC-SC1")</f>
        <v>SOC-SC1</v>
      </c>
      <c r="D1265" s="234">
        <f>IFERROR(__xludf.DUMMYFUNCTION("""COMPUTED_VALUE"""),24.0)</f>
        <v>24</v>
      </c>
      <c r="E1265" s="237" t="str">
        <f>IFERROR(__xludf.DUMMYFUNCTION("""COMPUTED_VALUE"""),"LT1PBQ01SVQW1")</f>
        <v>LT1PBQ01SVQW1</v>
      </c>
      <c r="F1265" s="238" t="str">
        <f>IFERROR(__xludf.DUMMYFUNCTION("""COMPUTED_VALUE"""),"RYR5A43,RLJ3D37")</f>
        <v>RYR5A43,RLJ3D37</v>
      </c>
      <c r="G1265" s="238">
        <f>IFERROR(__xludf.DUMMYFUNCTION("""COMPUTED_VALUE"""),45987.95833333333)</f>
        <v>45987.95833</v>
      </c>
      <c r="H1265" s="238">
        <f>IFERROR(__xludf.DUMMYFUNCTION("""COMPUTED_VALUE"""),45988.04166666667)</f>
        <v>45988.04167</v>
      </c>
      <c r="I1265" s="237" t="str">
        <f t="shared" si="1"/>
        <v>Fora</v>
      </c>
      <c r="J1265" s="239">
        <v>119.00000001071021</v>
      </c>
    </row>
    <row r="1266">
      <c r="A1266" s="234" t="s">
        <v>2960</v>
      </c>
      <c r="B1266" s="234" t="str">
        <f>IFERROR(__xludf.DUMMYFUNCTION("""COMPUTED_VALUE"""),"LM Hub_SP_Mogi Mirim")</f>
        <v>LM Hub_SP_Mogi Mirim</v>
      </c>
      <c r="C1266" s="234" t="str">
        <f>IFERROR(__xludf.DUMMYFUNCTION("""COMPUTED_VALUE"""),"HUB-LSP-37")</f>
        <v>HUB-LSP-37</v>
      </c>
      <c r="D1266" s="234">
        <f>IFERROR(__xludf.DUMMYFUNCTION("""COMPUTED_VALUE"""),36.0)</f>
        <v>36</v>
      </c>
      <c r="E1266" s="237" t="str">
        <f>IFERROR(__xludf.DUMMYFUNCTION("""COMPUTED_VALUE"""),"LT0PBQ01SFRL1")</f>
        <v>LT0PBQ01SFRL1</v>
      </c>
      <c r="F1266" s="238" t="str">
        <f>IFERROR(__xludf.DUMMYFUNCTION("""COMPUTED_VALUE"""),"TAJ5D50")</f>
        <v>TAJ5D50</v>
      </c>
      <c r="G1266" s="238">
        <f>IFERROR(__xludf.DUMMYFUNCTION("""COMPUTED_VALUE"""),45987.959027777775)</f>
        <v>45987.95903</v>
      </c>
      <c r="H1266" s="238">
        <f>IFERROR(__xludf.DUMMYFUNCTION("""COMPUTED_VALUE"""),45988.04166666667)</f>
        <v>45988.04167</v>
      </c>
      <c r="I1266" s="237" t="str">
        <f t="shared" si="1"/>
        <v>Fora</v>
      </c>
      <c r="J1266" s="239">
        <v>119.99999999301508</v>
      </c>
    </row>
    <row r="1267">
      <c r="A1267" s="234" t="s">
        <v>2961</v>
      </c>
      <c r="B1267" s="234" t="str">
        <f>IFERROR(__xludf.DUMMYFUNCTION("""COMPUTED_VALUE"""),"LM Hub_SP_Araraquara")</f>
        <v>LM Hub_SP_Araraquara</v>
      </c>
      <c r="C1267" s="234" t="str">
        <f>IFERROR(__xludf.DUMMYFUNCTION("""COMPUTED_VALUE"""),"HUB-LSP-29")</f>
        <v>HUB-LSP-29</v>
      </c>
      <c r="D1267" s="234">
        <f>IFERROR(__xludf.DUMMYFUNCTION("""COMPUTED_VALUE"""),43.0)</f>
        <v>43</v>
      </c>
      <c r="E1267" s="237" t="str">
        <f>IFERROR(__xludf.DUMMYFUNCTION("""COMPUTED_VALUE"""),"LT0PBQ01SFRR1")</f>
        <v>LT0PBQ01SFRR1</v>
      </c>
      <c r="F1267" s="238" t="str">
        <f>IFERROR(__xludf.DUMMYFUNCTION("""COMPUTED_VALUE"""),"EWJ2H21")</f>
        <v>EWJ2H21</v>
      </c>
      <c r="G1267" s="238">
        <f>IFERROR(__xludf.DUMMYFUNCTION("""COMPUTED_VALUE"""),45987.97916666667)</f>
        <v>45987.97917</v>
      </c>
      <c r="H1267" s="238">
        <f>IFERROR(__xludf.DUMMYFUNCTION("""COMPUTED_VALUE"""),45988.0625)</f>
        <v>45988.0625</v>
      </c>
      <c r="I1267" s="237" t="str">
        <f t="shared" si="1"/>
        <v>Fora</v>
      </c>
      <c r="J1267" s="239">
        <v>119.99999999301508</v>
      </c>
    </row>
    <row r="1268">
      <c r="A1268" s="234" t="s">
        <v>2962</v>
      </c>
      <c r="B1268" s="234" t="str">
        <f>IFERROR(__xludf.DUMMYFUNCTION("""COMPUTED_VALUE"""),"LM Hub_SP_Atibaia_Ponte_Alta")</f>
        <v>LM Hub_SP_Atibaia_Ponte_Alta</v>
      </c>
      <c r="C1268" s="234" t="str">
        <f>IFERROR(__xludf.DUMMYFUNCTION("""COMPUTED_VALUE"""),"HUB-LSP-87")</f>
        <v>HUB-LSP-87</v>
      </c>
      <c r="D1268" s="234">
        <f>IFERROR(__xludf.DUMMYFUNCTION("""COMPUTED_VALUE"""),9.0)</f>
        <v>9</v>
      </c>
      <c r="E1268" s="237" t="str">
        <f>IFERROR(__xludf.DUMMYFUNCTION("""COMPUTED_VALUE"""),"LT0PBQ01SJJV1")</f>
        <v>LT0PBQ01SJJV1</v>
      </c>
      <c r="F1268" s="238" t="str">
        <f>IFERROR(__xludf.DUMMYFUNCTION("""COMPUTED_VALUE"""),"FZI9C28,FXA8D98")</f>
        <v>FZI9C28,FXA8D98</v>
      </c>
      <c r="G1268" s="238">
        <f>IFERROR(__xludf.DUMMYFUNCTION("""COMPUTED_VALUE"""),45987.97916666667)</f>
        <v>45987.97917</v>
      </c>
      <c r="H1268" s="238">
        <f>IFERROR(__xludf.DUMMYFUNCTION("""COMPUTED_VALUE"""),45988.0625)</f>
        <v>45988.0625</v>
      </c>
      <c r="I1268" s="237" t="str">
        <f t="shared" si="1"/>
        <v>Fora</v>
      </c>
      <c r="J1268" s="239">
        <v>119.00000000023283</v>
      </c>
    </row>
    <row r="1269">
      <c r="A1269" s="234" t="s">
        <v>2963</v>
      </c>
      <c r="B1269" s="234" t="str">
        <f>IFERROR(__xludf.DUMMYFUNCTION("""COMPUTED_VALUE"""),"LM Hub_SP_Várzea Paulista")</f>
        <v>LM Hub_SP_Várzea Paulista</v>
      </c>
      <c r="C1269" s="234" t="str">
        <f>IFERROR(__xludf.DUMMYFUNCTION("""COMPUTED_VALUE"""),"HUB-LSP-61")</f>
        <v>HUB-LSP-61</v>
      </c>
      <c r="D1269" s="234">
        <f>IFERROR(__xludf.DUMMYFUNCTION("""COMPUTED_VALUE"""),42.0)</f>
        <v>42</v>
      </c>
      <c r="E1269" s="237" t="str">
        <f>IFERROR(__xludf.DUMMYFUNCTION("""COMPUTED_VALUE"""),"LT0PBQ01SFQT1")</f>
        <v>LT0PBQ01SFQT1</v>
      </c>
      <c r="F1269" s="238" t="str">
        <f>IFERROR(__xludf.DUMMYFUNCTION("""COMPUTED_VALUE"""),"RBG0F94,SHV1I10")</f>
        <v>RBG0F94,SHV1I10</v>
      </c>
      <c r="G1269" s="238">
        <f>IFERROR(__xludf.DUMMYFUNCTION("""COMPUTED_VALUE"""),45987.97986111111)</f>
        <v>45987.97986</v>
      </c>
      <c r="H1269" s="238">
        <f>IFERROR(__xludf.DUMMYFUNCTION("""COMPUTED_VALUE"""),45988.0625)</f>
        <v>45988.0625</v>
      </c>
      <c r="I1269" s="237" t="str">
        <f t="shared" si="1"/>
        <v>Fora</v>
      </c>
      <c r="J1269" s="239">
        <v>119.99999999301508</v>
      </c>
    </row>
    <row r="1270">
      <c r="A1270" s="234" t="s">
        <v>2964</v>
      </c>
      <c r="B1270" s="234" t="str">
        <f>IFERROR(__xludf.DUMMYFUNCTION("""COMPUTED_VALUE"""),"SoC_PR_Curitiba")</f>
        <v>SoC_PR_Curitiba</v>
      </c>
      <c r="C1270" s="234" t="str">
        <f>IFERROR(__xludf.DUMMYFUNCTION("""COMPUTED_VALUE"""),"SOC-PR1")</f>
        <v>SOC-PR1</v>
      </c>
      <c r="D1270" s="234">
        <f>IFERROR(__xludf.DUMMYFUNCTION("""COMPUTED_VALUE"""),37.0)</f>
        <v>37</v>
      </c>
      <c r="E1270" s="237" t="str">
        <f>IFERROR(__xludf.DUMMYFUNCTION("""COMPUTED_VALUE"""),"LT0PBR01SFKP1")</f>
        <v>LT0PBR01SFKP1</v>
      </c>
      <c r="F1270" s="238" t="str">
        <f>IFERROR(__xludf.DUMMYFUNCTION("""COMPUTED_VALUE"""),"SXP3I83,SXP3F63")</f>
        <v>SXP3I83,SXP3F63</v>
      </c>
      <c r="G1270" s="238">
        <f>IFERROR(__xludf.DUMMYFUNCTION("""COMPUTED_VALUE"""),45988.0)</f>
        <v>45988</v>
      </c>
      <c r="H1270" s="238">
        <f>IFERROR(__xludf.DUMMYFUNCTION("""COMPUTED_VALUE"""),45988.08333333333)</f>
        <v>45988.08333</v>
      </c>
      <c r="I1270" s="237" t="str">
        <f t="shared" si="1"/>
        <v>Fora</v>
      </c>
      <c r="J1270" s="239">
        <v>119.99999999301508</v>
      </c>
    </row>
    <row r="1271">
      <c r="A1271" s="234" t="s">
        <v>2965</v>
      </c>
      <c r="B1271" s="234" t="str">
        <f>IFERROR(__xludf.DUMMYFUNCTION("""COMPUTED_VALUE"""),"SoC_RS_Gravataí_02")</f>
        <v>SoC_RS_Gravataí_02</v>
      </c>
      <c r="C1271" s="234" t="str">
        <f>IFERROR(__xludf.DUMMYFUNCTION("""COMPUTED_VALUE"""),"SOC-RS2")</f>
        <v>SOC-RS2</v>
      </c>
      <c r="D1271" s="234">
        <f>IFERROR(__xludf.DUMMYFUNCTION("""COMPUTED_VALUE"""),23.0)</f>
        <v>23</v>
      </c>
      <c r="E1271" s="237" t="str">
        <f>IFERROR(__xludf.DUMMYFUNCTION("""COMPUTED_VALUE"""),"LT0PBR01SLLH1")</f>
        <v>LT0PBR01SLLH1</v>
      </c>
      <c r="F1271" s="238" t="str">
        <f>IFERROR(__xludf.DUMMYFUNCTION("""COMPUTED_VALUE"""),"JDE1F59,BAW1I35")</f>
        <v>JDE1F59,BAW1I35</v>
      </c>
      <c r="G1271" s="238">
        <f>IFERROR(__xludf.DUMMYFUNCTION("""COMPUTED_VALUE"""),45988.0)</f>
        <v>45988</v>
      </c>
      <c r="H1271" s="238">
        <f>IFERROR(__xludf.DUMMYFUNCTION("""COMPUTED_VALUE"""),45988.08333333333)</f>
        <v>45988.08333</v>
      </c>
      <c r="I1271" s="237" t="str">
        <f t="shared" si="1"/>
        <v>Fora</v>
      </c>
      <c r="J1271" s="239">
        <v>120.00000001396984</v>
      </c>
    </row>
    <row r="1272">
      <c r="A1272" s="234" t="s">
        <v>2966</v>
      </c>
      <c r="B1272" s="234" t="str">
        <f>IFERROR(__xludf.DUMMYFUNCTION("""COMPUTED_VALUE"""),"LM Hub_MG_Varginha_Fausto")</f>
        <v>LM Hub_MG_Varginha_Fausto</v>
      </c>
      <c r="C1272" s="234" t="str">
        <f>IFERROR(__xludf.DUMMYFUNCTION("""COMPUTED_VALUE"""),"HUB-LMG-45")</f>
        <v>HUB-LMG-45</v>
      </c>
      <c r="D1272" s="234">
        <f>IFERROR(__xludf.DUMMYFUNCTION("""COMPUTED_VALUE"""),14.0)</f>
        <v>14</v>
      </c>
      <c r="E1272" s="237" t="str">
        <f>IFERROR(__xludf.DUMMYFUNCTION("""COMPUTED_VALUE"""),"LT0PBR01SKY71")</f>
        <v>LT0PBR01SKY71</v>
      </c>
      <c r="F1272" s="238" t="str">
        <f>IFERROR(__xludf.DUMMYFUNCTION("""COMPUTED_VALUE"""),"EZP2D49")</f>
        <v>EZP2D49</v>
      </c>
      <c r="G1272" s="238">
        <f>IFERROR(__xludf.DUMMYFUNCTION("""COMPUTED_VALUE"""),45988.02083333333)</f>
        <v>45988.02083</v>
      </c>
      <c r="H1272" s="238">
        <f>IFERROR(__xludf.DUMMYFUNCTION("""COMPUTED_VALUE"""),45988.10416666667)</f>
        <v>45988.10417</v>
      </c>
      <c r="I1272" s="237" t="str">
        <f t="shared" si="1"/>
        <v>Fora</v>
      </c>
      <c r="J1272" s="239">
        <v>239.0000000037253</v>
      </c>
    </row>
    <row r="1273">
      <c r="A1273" s="234" t="s">
        <v>2967</v>
      </c>
      <c r="B1273" s="234" t="str">
        <f>IFERROR(__xludf.DUMMYFUNCTION("""COMPUTED_VALUE"""),"SoC_SP_Louveira")</f>
        <v>SoC_SP_Louveira</v>
      </c>
      <c r="C1273" s="234" t="str">
        <f>IFERROR(__xludf.DUMMYFUNCTION("""COMPUTED_VALUE"""),"SOC-SP7")</f>
        <v>SOC-SP7</v>
      </c>
      <c r="D1273" s="234">
        <f>IFERROR(__xludf.DUMMYFUNCTION("""COMPUTED_VALUE"""),40.0)</f>
        <v>40</v>
      </c>
      <c r="E1273" s="237" t="str">
        <f>IFERROR(__xludf.DUMMYFUNCTION("""COMPUTED_VALUE"""),"LT0PBQ01SFMI1")</f>
        <v>LT0PBQ01SFMI1</v>
      </c>
      <c r="F1273" s="238" t="str">
        <f>IFERROR(__xludf.DUMMYFUNCTION("""COMPUTED_VALUE"""),"SWU9B89,RBC5B90")</f>
        <v>SWU9B89,RBC5B90</v>
      </c>
      <c r="G1273" s="238">
        <f>IFERROR(__xludf.DUMMYFUNCTION("""COMPUTED_VALUE"""),45987.959027777775)</f>
        <v>45987.95903</v>
      </c>
      <c r="H1273" s="238">
        <f>IFERROR(__xludf.DUMMYFUNCTION("""COMPUTED_VALUE"""),45988.125)</f>
        <v>45988.125</v>
      </c>
      <c r="I1273" s="237" t="str">
        <f t="shared" si="1"/>
        <v>Fora</v>
      </c>
      <c r="J1273" s="239">
        <v>119.99999999301508</v>
      </c>
    </row>
    <row r="1274">
      <c r="A1274" s="234" t="s">
        <v>2968</v>
      </c>
      <c r="B1274" s="234" t="str">
        <f>IFERROR(__xludf.DUMMYFUNCTION("""COMPUTED_VALUE"""),"SoC_BA_Simoes Filho")</f>
        <v>SoC_BA_Simoes Filho</v>
      </c>
      <c r="C1274" s="234" t="str">
        <f>IFERROR(__xludf.DUMMYFUNCTION("""COMPUTED_VALUE"""),"SOC-BA2")</f>
        <v>SOC-BA2</v>
      </c>
      <c r="D1274" s="234"/>
      <c r="E1274" s="237" t="str">
        <f>IFERROR(__xludf.DUMMYFUNCTION("""COMPUTED_VALUE"""),"LT1PBR01SVQS1")</f>
        <v>LT1PBR01SVQS1</v>
      </c>
      <c r="F1274" s="238" t="str">
        <f>IFERROR(__xludf.DUMMYFUNCTION("""COMPUTED_VALUE"""),"NGC1D43,RYP9I64")</f>
        <v>NGC1D43,RYP9I64</v>
      </c>
      <c r="G1274" s="238">
        <f>IFERROR(__xludf.DUMMYFUNCTION("""COMPUTED_VALUE"""),45988.04166666667)</f>
        <v>45988.04167</v>
      </c>
      <c r="H1274" s="238">
        <f>IFERROR(__xludf.DUMMYFUNCTION("""COMPUTED_VALUE"""),45988.125)</f>
        <v>45988.125</v>
      </c>
      <c r="I1274" s="237" t="str">
        <f t="shared" si="1"/>
        <v>Fora</v>
      </c>
      <c r="J1274" s="239">
        <v>119.99999999301508</v>
      </c>
    </row>
    <row r="1275">
      <c r="A1275" s="234" t="s">
        <v>2969</v>
      </c>
      <c r="B1275" s="234" t="str">
        <f>IFERROR(__xludf.DUMMYFUNCTION("""COMPUTED_VALUE"""),"SoC_GO_Goiânia_02")</f>
        <v>SoC_GO_Goiânia_02</v>
      </c>
      <c r="C1275" s="234" t="str">
        <f>IFERROR(__xludf.DUMMYFUNCTION("""COMPUTED_VALUE"""),"SOC-GO2")</f>
        <v>SOC-GO2</v>
      </c>
      <c r="D1275" s="234">
        <f>IFERROR(__xludf.DUMMYFUNCTION("""COMPUTED_VALUE"""),85.0)</f>
        <v>85</v>
      </c>
      <c r="E1275" s="237" t="str">
        <f>IFERROR(__xludf.DUMMYFUNCTION("""COMPUTED_VALUE"""),"LT1PBR01SVQZ1")</f>
        <v>LT1PBR01SVQZ1</v>
      </c>
      <c r="F1275" s="238" t="str">
        <f>IFERROR(__xludf.DUMMYFUNCTION("""COMPUTED_VALUE"""),"FVS7J52,FJP9A87")</f>
        <v>FVS7J52,FJP9A87</v>
      </c>
      <c r="G1275" s="238">
        <f>IFERROR(__xludf.DUMMYFUNCTION("""COMPUTED_VALUE"""),45988.04166666667)</f>
        <v>45988.04167</v>
      </c>
      <c r="H1275" s="238">
        <f>IFERROR(__xludf.DUMMYFUNCTION("""COMPUTED_VALUE"""),45988.125)</f>
        <v>45988.125</v>
      </c>
      <c r="I1275" s="237" t="str">
        <f t="shared" si="1"/>
        <v>Fora</v>
      </c>
      <c r="J1275" s="239">
        <v>119.99999999301508</v>
      </c>
    </row>
    <row r="1276">
      <c r="A1276" s="234" t="s">
        <v>2970</v>
      </c>
      <c r="B1276" s="234" t="str">
        <f>IFERROR(__xludf.DUMMYFUNCTION("""COMPUTED_VALUE"""),"SoC_RS_Gravataí_02")</f>
        <v>SoC_RS_Gravataí_02</v>
      </c>
      <c r="C1276" s="234" t="str">
        <f>IFERROR(__xludf.DUMMYFUNCTION("""COMPUTED_VALUE"""),"SOC-RS2")</f>
        <v>SOC-RS2</v>
      </c>
      <c r="D1276" s="234">
        <f>IFERROR(__xludf.DUMMYFUNCTION("""COMPUTED_VALUE"""),16.0)</f>
        <v>16</v>
      </c>
      <c r="E1276" s="237" t="str">
        <f>IFERROR(__xludf.DUMMYFUNCTION("""COMPUTED_VALUE"""),"LT1PBR01SVQU1")</f>
        <v>LT1PBR01SVQU1</v>
      </c>
      <c r="F1276" s="238" t="str">
        <f>IFERROR(__xludf.DUMMYFUNCTION("""COMPUTED_VALUE"""),"FDZ2A95,TJA0A15")</f>
        <v>FDZ2A95,TJA0A15</v>
      </c>
      <c r="G1276" s="238">
        <f>IFERROR(__xludf.DUMMYFUNCTION("""COMPUTED_VALUE"""),45988.04166666667)</f>
        <v>45988.04167</v>
      </c>
      <c r="H1276" s="238">
        <f>IFERROR(__xludf.DUMMYFUNCTION("""COMPUTED_VALUE"""),45988.125)</f>
        <v>45988.125</v>
      </c>
      <c r="I1276" s="237" t="str">
        <f t="shared" si="1"/>
        <v>Fora</v>
      </c>
      <c r="J1276" s="239">
        <v>119.99999999301508</v>
      </c>
    </row>
    <row r="1277">
      <c r="A1277" s="234" t="s">
        <v>2971</v>
      </c>
      <c r="B1277" s="234" t="str">
        <f>IFERROR(__xludf.DUMMYFUNCTION("""COMPUTED_VALUE"""),"SoC_SC_Itajaí")</f>
        <v>SoC_SC_Itajaí</v>
      </c>
      <c r="C1277" s="234" t="str">
        <f>IFERROR(__xludf.DUMMYFUNCTION("""COMPUTED_VALUE"""),"SOC-SC1")</f>
        <v>SOC-SC1</v>
      </c>
      <c r="D1277" s="234">
        <f>IFERROR(__xludf.DUMMYFUNCTION("""COMPUTED_VALUE"""),18.0)</f>
        <v>18</v>
      </c>
      <c r="E1277" s="237" t="str">
        <f>IFERROR(__xludf.DUMMYFUNCTION("""COMPUTED_VALUE"""),"LT0PBR01SK9I1")</f>
        <v>LT0PBR01SK9I1</v>
      </c>
      <c r="F1277" s="238" t="str">
        <f>IFERROR(__xludf.DUMMYFUNCTION("""COMPUTED_VALUE"""),"RLF4B54,RYH0J55")</f>
        <v>RLF4B54,RYH0J55</v>
      </c>
      <c r="G1277" s="238">
        <f>IFERROR(__xludf.DUMMYFUNCTION("""COMPUTED_VALUE"""),45988.04166666667)</f>
        <v>45988.04167</v>
      </c>
      <c r="H1277" s="238">
        <f>IFERROR(__xludf.DUMMYFUNCTION("""COMPUTED_VALUE"""),45988.125)</f>
        <v>45988.125</v>
      </c>
      <c r="I1277" s="237" t="str">
        <f t="shared" si="1"/>
        <v>Fora</v>
      </c>
      <c r="J1277" s="239">
        <v>240.00000000698492</v>
      </c>
    </row>
    <row r="1278">
      <c r="A1278" s="234" t="s">
        <v>2972</v>
      </c>
      <c r="B1278" s="234" t="str">
        <f>IFERROR(__xludf.DUMMYFUNCTION("""COMPUTED_VALUE"""),"SoC_GO_Goiânia_02")</f>
        <v>SoC_GO_Goiânia_02</v>
      </c>
      <c r="C1278" s="234" t="str">
        <f>IFERROR(__xludf.DUMMYFUNCTION("""COMPUTED_VALUE"""),"SOC-GO2")</f>
        <v>SOC-GO2</v>
      </c>
      <c r="D1278" s="234">
        <f>IFERROR(__xludf.DUMMYFUNCTION("""COMPUTED_VALUE"""),86.0)</f>
        <v>86</v>
      </c>
      <c r="E1278" s="237" t="str">
        <f>IFERROR(__xludf.DUMMYFUNCTION("""COMPUTED_VALUE"""),"LT0PBR01SLIK1")</f>
        <v>LT0PBR01SLIK1</v>
      </c>
      <c r="F1278" s="238" t="str">
        <f>IFERROR(__xludf.DUMMYFUNCTION("""COMPUTED_VALUE"""),"BJP6C95,TLT1F85")</f>
        <v>BJP6C95,TLT1F85</v>
      </c>
      <c r="G1278" s="238">
        <f>IFERROR(__xludf.DUMMYFUNCTION("""COMPUTED_VALUE"""),45988.0)</f>
        <v>45988</v>
      </c>
      <c r="H1278" s="238">
        <f>IFERROR(__xludf.DUMMYFUNCTION("""COMPUTED_VALUE"""),45988.16666666667)</f>
        <v>45988.16667</v>
      </c>
      <c r="I1278" s="237" t="str">
        <f t="shared" si="1"/>
        <v>Fora</v>
      </c>
      <c r="J1278" s="239">
        <v>120.00000001396984</v>
      </c>
    </row>
    <row r="1279">
      <c r="A1279" s="234" t="s">
        <v>2973</v>
      </c>
      <c r="B1279" s="234" t="str">
        <f>IFERROR(__xludf.DUMMYFUNCTION("""COMPUTED_VALUE"""),"SoC_BA_Simoes Filho")</f>
        <v>SoC_BA_Simoes Filho</v>
      </c>
      <c r="C1279" s="234" t="str">
        <f>IFERROR(__xludf.DUMMYFUNCTION("""COMPUTED_VALUE"""),"SOC-BA2")</f>
        <v>SOC-BA2</v>
      </c>
      <c r="D1279" s="234"/>
      <c r="E1279" s="237" t="str">
        <f>IFERROR(__xludf.DUMMYFUNCTION("""COMPUTED_VALUE"""),"LT1PBQ01SVQR1")</f>
        <v>LT1PBQ01SVQR1</v>
      </c>
      <c r="F1279" s="238" t="str">
        <f>IFERROR(__xludf.DUMMYFUNCTION("""COMPUTED_VALUE"""),"PYE0A19,SCK2G88")</f>
        <v>PYE0A19,SCK2G88</v>
      </c>
      <c r="G1279" s="238">
        <f>IFERROR(__xludf.DUMMYFUNCTION("""COMPUTED_VALUE"""),45988.08333333333)</f>
        <v>45988.08333</v>
      </c>
      <c r="H1279" s="238">
        <f>IFERROR(__xludf.DUMMYFUNCTION("""COMPUTED_VALUE"""),45988.16666666667)</f>
        <v>45988.16667</v>
      </c>
      <c r="I1279" s="237" t="str">
        <f t="shared" si="1"/>
        <v>Fora</v>
      </c>
      <c r="J1279" s="239">
        <v>120.00000001396984</v>
      </c>
    </row>
    <row r="1280">
      <c r="A1280" s="234" t="s">
        <v>2974</v>
      </c>
      <c r="B1280" s="234" t="str">
        <f>IFERROR(__xludf.DUMMYFUNCTION("""COMPUTED_VALUE"""),"SoC_BA_Simoes Filho")</f>
        <v>SoC_BA_Simoes Filho</v>
      </c>
      <c r="C1280" s="234" t="str">
        <f>IFERROR(__xludf.DUMMYFUNCTION("""COMPUTED_VALUE"""),"SOC-BA2")</f>
        <v>SOC-BA2</v>
      </c>
      <c r="D1280" s="234"/>
      <c r="E1280" s="237" t="str">
        <f>IFERROR(__xludf.DUMMYFUNCTION("""COMPUTED_VALUE"""),"LT1PBR01SW4Y1")</f>
        <v>LT1PBR01SW4Y1</v>
      </c>
      <c r="F1280" s="234"/>
      <c r="G1280" s="238">
        <f>IFERROR(__xludf.DUMMYFUNCTION("""COMPUTED_VALUE"""),45988.08333333333)</f>
        <v>45988.08333</v>
      </c>
      <c r="H1280" s="238">
        <f>IFERROR(__xludf.DUMMYFUNCTION("""COMPUTED_VALUE"""),45988.16666666667)</f>
        <v>45988.16667</v>
      </c>
      <c r="I1280" s="237" t="str">
        <f t="shared" si="1"/>
        <v>Fora</v>
      </c>
      <c r="J1280" s="239">
        <v>120.00000001396984</v>
      </c>
    </row>
    <row r="1281">
      <c r="A1281" s="234" t="s">
        <v>2975</v>
      </c>
      <c r="B1281" s="234" t="str">
        <f>IFERROR(__xludf.DUMMYFUNCTION("""COMPUTED_VALUE"""),"SoC_BA_Simoes Filho")</f>
        <v>SoC_BA_Simoes Filho</v>
      </c>
      <c r="C1281" s="234" t="str">
        <f>IFERROR(__xludf.DUMMYFUNCTION("""COMPUTED_VALUE"""),"SOC-BA2")</f>
        <v>SOC-BA2</v>
      </c>
      <c r="D1281" s="234"/>
      <c r="E1281" s="237" t="str">
        <f>IFERROR(__xludf.DUMMYFUNCTION("""COMPUTED_VALUE"""),"LT1PBR01SW5F1")</f>
        <v>LT1PBR01SW5F1</v>
      </c>
      <c r="F1281" s="238" t="str">
        <f>IFERROR(__xludf.DUMMYFUNCTION("""COMPUTED_VALUE"""),"FSC3J74,TDB8F66")</f>
        <v>FSC3J74,TDB8F66</v>
      </c>
      <c r="G1281" s="238">
        <f>IFERROR(__xludf.DUMMYFUNCTION("""COMPUTED_VALUE"""),45988.08333333333)</f>
        <v>45988.08333</v>
      </c>
      <c r="H1281" s="238">
        <f>IFERROR(__xludf.DUMMYFUNCTION("""COMPUTED_VALUE"""),45988.16666666667)</f>
        <v>45988.16667</v>
      </c>
      <c r="I1281" s="237" t="str">
        <f t="shared" si="1"/>
        <v>Fora</v>
      </c>
      <c r="J1281" s="239">
        <v>120.00000001396984</v>
      </c>
    </row>
    <row r="1282">
      <c r="A1282" s="234" t="s">
        <v>2976</v>
      </c>
      <c r="B1282" s="234" t="str">
        <f>IFERROR(__xludf.DUMMYFUNCTION("""COMPUTED_VALUE"""),"SoC_MG_Betim")</f>
        <v>SoC_MG_Betim</v>
      </c>
      <c r="C1282" s="234" t="str">
        <f>IFERROR(__xludf.DUMMYFUNCTION("""COMPUTED_VALUE"""),"SOC-MG2")</f>
        <v>SOC-MG2</v>
      </c>
      <c r="D1282" s="234">
        <f>IFERROR(__xludf.DUMMYFUNCTION("""COMPUTED_VALUE"""),47.0)</f>
        <v>47</v>
      </c>
      <c r="E1282" s="237" t="str">
        <f>IFERROR(__xludf.DUMMYFUNCTION("""COMPUTED_VALUE"""),"LT1PBR01SVQN1")</f>
        <v>LT1PBR01SVQN1</v>
      </c>
      <c r="F1282" s="238" t="str">
        <f>IFERROR(__xludf.DUMMYFUNCTION("""COMPUTED_VALUE"""),"EHH3B94,GBG7J83")</f>
        <v>EHH3B94,GBG7J83</v>
      </c>
      <c r="G1282" s="238">
        <f>IFERROR(__xludf.DUMMYFUNCTION("""COMPUTED_VALUE"""),45988.08333333333)</f>
        <v>45988.08333</v>
      </c>
      <c r="H1282" s="238">
        <f>IFERROR(__xludf.DUMMYFUNCTION("""COMPUTED_VALUE"""),45988.16666666667)</f>
        <v>45988.16667</v>
      </c>
      <c r="I1282" s="237" t="str">
        <f t="shared" si="1"/>
        <v>Fora</v>
      </c>
      <c r="J1282" s="239">
        <v>120.00000001396984</v>
      </c>
    </row>
    <row r="1283">
      <c r="A1283" s="234" t="s">
        <v>2977</v>
      </c>
      <c r="B1283" s="234" t="str">
        <f>IFERROR(__xludf.DUMMYFUNCTION("""COMPUTED_VALUE"""),"SoC_MG_Betim")</f>
        <v>SoC_MG_Betim</v>
      </c>
      <c r="C1283" s="234" t="str">
        <f>IFERROR(__xludf.DUMMYFUNCTION("""COMPUTED_VALUE"""),"SOC-MG2")</f>
        <v>SOC-MG2</v>
      </c>
      <c r="D1283" s="234">
        <f>IFERROR(__xludf.DUMMYFUNCTION("""COMPUTED_VALUE"""),13.0)</f>
        <v>13</v>
      </c>
      <c r="E1283" s="237" t="str">
        <f>IFERROR(__xludf.DUMMYFUNCTION("""COMPUTED_VALUE"""),"LT1PBR01SVQO1")</f>
        <v>LT1PBR01SVQO1</v>
      </c>
      <c r="F1283" s="238" t="str">
        <f>IFERROR(__xludf.DUMMYFUNCTION("""COMPUTED_VALUE"""),"FCO3G05,GGX0B98")</f>
        <v>FCO3G05,GGX0B98</v>
      </c>
      <c r="G1283" s="238">
        <f>IFERROR(__xludf.DUMMYFUNCTION("""COMPUTED_VALUE"""),45988.08333333333)</f>
        <v>45988.08333</v>
      </c>
      <c r="H1283" s="238">
        <f>IFERROR(__xludf.DUMMYFUNCTION("""COMPUTED_VALUE"""),45988.16666666667)</f>
        <v>45988.16667</v>
      </c>
      <c r="I1283" s="237" t="str">
        <f t="shared" si="1"/>
        <v>Fora</v>
      </c>
      <c r="J1283" s="239">
        <v>120.00000001396984</v>
      </c>
    </row>
    <row r="1284">
      <c r="A1284" s="234" t="s">
        <v>2978</v>
      </c>
      <c r="B1284" s="234" t="str">
        <f>IFERROR(__xludf.DUMMYFUNCTION("""COMPUTED_VALUE"""),"SoC_PE_Jaboatão dos Guararapes")</f>
        <v>SoC_PE_Jaboatão dos Guararapes</v>
      </c>
      <c r="C1284" s="234" t="str">
        <f>IFERROR(__xludf.DUMMYFUNCTION("""COMPUTED_VALUE"""),"SOC-PE2")</f>
        <v>SOC-PE2</v>
      </c>
      <c r="D1284" s="234">
        <f>IFERROR(__xludf.DUMMYFUNCTION("""COMPUTED_VALUE"""),12.0)</f>
        <v>12</v>
      </c>
      <c r="E1284" s="237" t="str">
        <f>IFERROR(__xludf.DUMMYFUNCTION("""COMPUTED_VALUE"""),"LT0PBR01SL6O1")</f>
        <v>LT0PBR01SL6O1</v>
      </c>
      <c r="F1284" s="238" t="str">
        <f>IFERROR(__xludf.DUMMYFUNCTION("""COMPUTED_VALUE"""),"DVS9E41,AYP8D03")</f>
        <v>DVS9E41,AYP8D03</v>
      </c>
      <c r="G1284" s="238">
        <f>IFERROR(__xludf.DUMMYFUNCTION("""COMPUTED_VALUE"""),45988.08333333333)</f>
        <v>45988.08333</v>
      </c>
      <c r="H1284" s="238">
        <f>IFERROR(__xludf.DUMMYFUNCTION("""COMPUTED_VALUE"""),45988.16666666667)</f>
        <v>45988.16667</v>
      </c>
      <c r="I1284" s="237" t="str">
        <f t="shared" si="1"/>
        <v>Fora</v>
      </c>
      <c r="J1284" s="239">
        <v>119.00000001071021</v>
      </c>
    </row>
    <row r="1285">
      <c r="A1285" s="234" t="s">
        <v>2979</v>
      </c>
      <c r="B1285" s="234" t="str">
        <f>IFERROR(__xludf.DUMMYFUNCTION("""COMPUTED_VALUE"""),"LM Hub_SP_Tatuí")</f>
        <v>LM Hub_SP_Tatuí</v>
      </c>
      <c r="C1285" s="234" t="str">
        <f>IFERROR(__xludf.DUMMYFUNCTION("""COMPUTED_VALUE"""),"HUB-LSP-51")</f>
        <v>HUB-LSP-51</v>
      </c>
      <c r="D1285" s="234">
        <f>IFERROR(__xludf.DUMMYFUNCTION("""COMPUTED_VALUE"""),6.0)</f>
        <v>6</v>
      </c>
      <c r="E1285" s="237" t="str">
        <f>IFERROR(__xludf.DUMMYFUNCTION("""COMPUTED_VALUE"""),"LT0PBR01SFOH1")</f>
        <v>LT0PBR01SFOH1</v>
      </c>
      <c r="F1285" s="238" t="str">
        <f>IFERROR(__xludf.DUMMYFUNCTION("""COMPUTED_VALUE"""),"TLE4D84")</f>
        <v>TLE4D84</v>
      </c>
      <c r="G1285" s="238">
        <f>IFERROR(__xludf.DUMMYFUNCTION("""COMPUTED_VALUE"""),45988.084027777775)</f>
        <v>45988.08403</v>
      </c>
      <c r="H1285" s="238">
        <f>IFERROR(__xludf.DUMMYFUNCTION("""COMPUTED_VALUE"""),45988.16666666667)</f>
        <v>45988.16667</v>
      </c>
      <c r="I1285" s="237" t="str">
        <f t="shared" si="1"/>
        <v>Fora</v>
      </c>
      <c r="J1285" s="239">
        <v>119.99999999301508</v>
      </c>
    </row>
    <row r="1286">
      <c r="A1286" s="234" t="s">
        <v>2980</v>
      </c>
      <c r="B1286" s="234" t="str">
        <f>IFERROR(__xludf.DUMMYFUNCTION("""COMPUTED_VALUE"""),"LM Hub_SP_São Carlos")</f>
        <v>LM Hub_SP_São Carlos</v>
      </c>
      <c r="C1286" s="234" t="str">
        <f>IFERROR(__xludf.DUMMYFUNCTION("""COMPUTED_VALUE"""),"HUB-LSP-31")</f>
        <v>HUB-LSP-31</v>
      </c>
      <c r="D1286" s="234">
        <f>IFERROR(__xludf.DUMMYFUNCTION("""COMPUTED_VALUE"""),34.0)</f>
        <v>34</v>
      </c>
      <c r="E1286" s="237" t="str">
        <f>IFERROR(__xludf.DUMMYFUNCTION("""COMPUTED_VALUE"""),"LT0PBR01SFR51")</f>
        <v>LT0PBR01SFR51</v>
      </c>
      <c r="F1286" s="238" t="str">
        <f>IFERROR(__xludf.DUMMYFUNCTION("""COMPUTED_VALUE"""),"FZQ1I50")</f>
        <v>FZQ1I50</v>
      </c>
      <c r="G1286" s="238">
        <f>IFERROR(__xludf.DUMMYFUNCTION("""COMPUTED_VALUE"""),45988.10416666667)</f>
        <v>45988.10417</v>
      </c>
      <c r="H1286" s="238">
        <f>IFERROR(__xludf.DUMMYFUNCTION("""COMPUTED_VALUE"""),45988.1875)</f>
        <v>45988.1875</v>
      </c>
      <c r="I1286" s="237" t="str">
        <f t="shared" si="1"/>
        <v>Fora</v>
      </c>
      <c r="J1286" s="239">
        <v>119.00000000023283</v>
      </c>
    </row>
    <row r="1287">
      <c r="A1287" s="234" t="s">
        <v>2981</v>
      </c>
      <c r="B1287" s="234" t="str">
        <f>IFERROR(__xludf.DUMMYFUNCTION("""COMPUTED_VALUE"""),"LM Hub_SP_Itapetininga")</f>
        <v>LM Hub_SP_Itapetininga</v>
      </c>
      <c r="C1287" s="234" t="str">
        <f>IFERROR(__xludf.DUMMYFUNCTION("""COMPUTED_VALUE"""),"HUB-LSP-53")</f>
        <v>HUB-LSP-53</v>
      </c>
      <c r="D1287" s="234">
        <f>IFERROR(__xludf.DUMMYFUNCTION("""COMPUTED_VALUE"""),45.0)</f>
        <v>45</v>
      </c>
      <c r="E1287" s="237" t="str">
        <f>IFERROR(__xludf.DUMMYFUNCTION("""COMPUTED_VALUE"""),"LT0PBR01SFOC1")</f>
        <v>LT0PBR01SFOC1</v>
      </c>
      <c r="F1287" s="238" t="str">
        <f>IFERROR(__xludf.DUMMYFUNCTION("""COMPUTED_VALUE"""),"FZY3F48")</f>
        <v>FZY3F48</v>
      </c>
      <c r="G1287" s="238">
        <f>IFERROR(__xludf.DUMMYFUNCTION("""COMPUTED_VALUE"""),45988.10486111111)</f>
        <v>45988.10486</v>
      </c>
      <c r="H1287" s="238">
        <f>IFERROR(__xludf.DUMMYFUNCTION("""COMPUTED_VALUE"""),45988.1875)</f>
        <v>45988.1875</v>
      </c>
      <c r="I1287" s="237" t="str">
        <f t="shared" si="1"/>
        <v>Fora</v>
      </c>
      <c r="J1287" s="239">
        <v>180.0</v>
      </c>
    </row>
    <row r="1288">
      <c r="A1288" s="234" t="s">
        <v>2982</v>
      </c>
      <c r="B1288" s="234" t="str">
        <f>IFERROR(__xludf.DUMMYFUNCTION("""COMPUTED_VALUE"""),"SoC_SP_Santana")</f>
        <v>SoC_SP_Santana</v>
      </c>
      <c r="C1288" s="234" t="str">
        <f>IFERROR(__xludf.DUMMYFUNCTION("""COMPUTED_VALUE"""),"SOC-SP2")</f>
        <v>SOC-SP2</v>
      </c>
      <c r="D1288" s="234">
        <f>IFERROR(__xludf.DUMMYFUNCTION("""COMPUTED_VALUE"""),35.0)</f>
        <v>35</v>
      </c>
      <c r="E1288" s="237" t="str">
        <f>IFERROR(__xludf.DUMMYFUNCTION("""COMPUTED_VALUE"""),"LT0PBR01SG3V1")</f>
        <v>LT0PBR01SG3V1</v>
      </c>
      <c r="F1288" s="238" t="str">
        <f>IFERROR(__xludf.DUMMYFUNCTION("""COMPUTED_VALUE"""),"NFG8B11,GDP0B86")</f>
        <v>NFG8B11,GDP0B86</v>
      </c>
      <c r="G1288" s="238">
        <f>IFERROR(__xludf.DUMMYFUNCTION("""COMPUTED_VALUE"""),45988.08333333333)</f>
        <v>45988.08333</v>
      </c>
      <c r="H1288" s="238">
        <f>IFERROR(__xludf.DUMMYFUNCTION("""COMPUTED_VALUE"""),45988.20833333333)</f>
        <v>45988.20833</v>
      </c>
      <c r="I1288" s="237" t="str">
        <f t="shared" si="1"/>
        <v>Fora</v>
      </c>
      <c r="J1288" s="239">
        <v>119.99999999301508</v>
      </c>
    </row>
    <row r="1289">
      <c r="A1289" s="234" t="s">
        <v>2983</v>
      </c>
      <c r="B1289" s="234" t="str">
        <f>IFERROR(__xludf.DUMMYFUNCTION("""COMPUTED_VALUE"""),"LM Hub_SP_Itapeva")</f>
        <v>LM Hub_SP_Itapeva</v>
      </c>
      <c r="C1289" s="234" t="str">
        <f>IFERROR(__xludf.DUMMYFUNCTION("""COMPUTED_VALUE"""),"HUB-LSP-39")</f>
        <v>HUB-LSP-39</v>
      </c>
      <c r="D1289" s="234">
        <f>IFERROR(__xludf.DUMMYFUNCTION("""COMPUTED_VALUE"""),9.0)</f>
        <v>9</v>
      </c>
      <c r="E1289" s="237" t="str">
        <f>IFERROR(__xludf.DUMMYFUNCTION("""COMPUTED_VALUE"""),"LT0PBR01SFON1")</f>
        <v>LT0PBR01SFON1</v>
      </c>
      <c r="F1289" s="238" t="str">
        <f>IFERROR(__xludf.DUMMYFUNCTION("""COMPUTED_VALUE"""),"DTC3E38")</f>
        <v>DTC3E38</v>
      </c>
      <c r="G1289" s="238">
        <f>IFERROR(__xludf.DUMMYFUNCTION("""COMPUTED_VALUE"""),45988.125)</f>
        <v>45988.125</v>
      </c>
      <c r="H1289" s="238">
        <f>IFERROR(__xludf.DUMMYFUNCTION("""COMPUTED_VALUE"""),45988.20833333333)</f>
        <v>45988.20833</v>
      </c>
      <c r="I1289" s="237" t="str">
        <f t="shared" si="1"/>
        <v>Fora</v>
      </c>
      <c r="J1289" s="239">
        <v>119.99999999301508</v>
      </c>
    </row>
    <row r="1290">
      <c r="A1290" s="234" t="s">
        <v>2984</v>
      </c>
      <c r="B1290" s="234" t="str">
        <f>IFERROR(__xludf.DUMMYFUNCTION("""COMPUTED_VALUE"""),"LM Hub_SP_Registro")</f>
        <v>LM Hub_SP_Registro</v>
      </c>
      <c r="C1290" s="234" t="str">
        <f>IFERROR(__xludf.DUMMYFUNCTION("""COMPUTED_VALUE"""),"HUB-LSP-40")</f>
        <v>HUB-LSP-40</v>
      </c>
      <c r="D1290" s="234">
        <f>IFERROR(__xludf.DUMMYFUNCTION("""COMPUTED_VALUE"""),7.0)</f>
        <v>7</v>
      </c>
      <c r="E1290" s="237" t="str">
        <f>IFERROR(__xludf.DUMMYFUNCTION("""COMPUTED_VALUE"""),"LT0PBR01SFP81")</f>
        <v>LT0PBR01SFP81</v>
      </c>
      <c r="F1290" s="238" t="str">
        <f>IFERROR(__xludf.DUMMYFUNCTION("""COMPUTED_VALUE"""),"FSV9B90")</f>
        <v>FSV9B90</v>
      </c>
      <c r="G1290" s="238">
        <f>IFERROR(__xludf.DUMMYFUNCTION("""COMPUTED_VALUE"""),45988.125)</f>
        <v>45988.125</v>
      </c>
      <c r="H1290" s="238">
        <f>IFERROR(__xludf.DUMMYFUNCTION("""COMPUTED_VALUE"""),45988.20833333333)</f>
        <v>45988.20833</v>
      </c>
      <c r="I1290" s="237" t="str">
        <f t="shared" si="1"/>
        <v>Fora</v>
      </c>
      <c r="J1290" s="239">
        <v>119.99999999301508</v>
      </c>
    </row>
    <row r="1291">
      <c r="A1291" s="234" t="s">
        <v>2985</v>
      </c>
      <c r="B1291" s="234" t="str">
        <f>IFERROR(__xludf.DUMMYFUNCTION("""COMPUTED_VALUE"""),"LM Hub_SP_Sumaré_Nova Veneza_1")</f>
        <v>LM Hub_SP_Sumaré_Nova Veneza_1</v>
      </c>
      <c r="C1291" s="234" t="str">
        <f>IFERROR(__xludf.DUMMYFUNCTION("""COMPUTED_VALUE"""),"HUB-LSP-88")</f>
        <v>HUB-LSP-88</v>
      </c>
      <c r="D1291" s="234">
        <f>IFERROR(__xludf.DUMMYFUNCTION("""COMPUTED_VALUE"""),44.0)</f>
        <v>44</v>
      </c>
      <c r="E1291" s="237" t="str">
        <f>IFERROR(__xludf.DUMMYFUNCTION("""COMPUTED_VALUE"""),"LT0PBR01SKUC1")</f>
        <v>LT0PBR01SKUC1</v>
      </c>
      <c r="F1291" s="238" t="str">
        <f>IFERROR(__xludf.DUMMYFUNCTION("""COMPUTED_VALUE"""),"TLW1F27")</f>
        <v>TLW1F27</v>
      </c>
      <c r="G1291" s="238">
        <f>IFERROR(__xludf.DUMMYFUNCTION("""COMPUTED_VALUE"""),45988.125)</f>
        <v>45988.125</v>
      </c>
      <c r="H1291" s="238">
        <f>IFERROR(__xludf.DUMMYFUNCTION("""COMPUTED_VALUE"""),45988.20833333333)</f>
        <v>45988.20833</v>
      </c>
      <c r="I1291" s="237" t="str">
        <f t="shared" si="1"/>
        <v>Fora</v>
      </c>
      <c r="J1291" s="239">
        <v>119.99999999301508</v>
      </c>
    </row>
    <row r="1292">
      <c r="A1292" s="234" t="s">
        <v>2986</v>
      </c>
      <c r="B1292" s="234" t="str">
        <f>IFERROR(__xludf.DUMMYFUNCTION("""COMPUTED_VALUE"""),"SoC_BA_Simoes Filho")</f>
        <v>SoC_BA_Simoes Filho</v>
      </c>
      <c r="C1292" s="234" t="str">
        <f>IFERROR(__xludf.DUMMYFUNCTION("""COMPUTED_VALUE"""),"SOC-BA2")</f>
        <v>SOC-BA2</v>
      </c>
      <c r="D1292" s="234">
        <f>IFERROR(__xludf.DUMMYFUNCTION("""COMPUTED_VALUE"""),49.0)</f>
        <v>49</v>
      </c>
      <c r="E1292" s="237" t="str">
        <f>IFERROR(__xludf.DUMMYFUNCTION("""COMPUTED_VALUE"""),"LT1PBR01SVQT1")</f>
        <v>LT1PBR01SVQT1</v>
      </c>
      <c r="F1292" s="238" t="str">
        <f>IFERROR(__xludf.DUMMYFUNCTION("""COMPUTED_VALUE"""),"NGC1D43,RYP9I64")</f>
        <v>NGC1D43,RYP9I64</v>
      </c>
      <c r="G1292" s="238">
        <f>IFERROR(__xludf.DUMMYFUNCTION("""COMPUTED_VALUE"""),45988.125)</f>
        <v>45988.125</v>
      </c>
      <c r="H1292" s="238">
        <f>IFERROR(__xludf.DUMMYFUNCTION("""COMPUTED_VALUE"""),45988.20833333333)</f>
        <v>45988.20833</v>
      </c>
      <c r="I1292" s="237" t="str">
        <f t="shared" si="1"/>
        <v>Fora</v>
      </c>
      <c r="J1292" s="239">
        <v>119.99999999301508</v>
      </c>
    </row>
    <row r="1293">
      <c r="A1293" s="234" t="s">
        <v>2987</v>
      </c>
      <c r="B1293" s="234" t="str">
        <f>IFERROR(__xludf.DUMMYFUNCTION("""COMPUTED_VALUE"""),"SoC_GO_Goiânia_02")</f>
        <v>SoC_GO_Goiânia_02</v>
      </c>
      <c r="C1293" s="234" t="str">
        <f>IFERROR(__xludf.DUMMYFUNCTION("""COMPUTED_VALUE"""),"SOC-GO2")</f>
        <v>SOC-GO2</v>
      </c>
      <c r="D1293" s="234"/>
      <c r="E1293" s="237" t="str">
        <f>IFERROR(__xludf.DUMMYFUNCTION("""COMPUTED_VALUE"""),"LT1PBR01SVR01")</f>
        <v>LT1PBR01SVR01</v>
      </c>
      <c r="F1293" s="238" t="str">
        <f>IFERROR(__xludf.DUMMYFUNCTION("""COMPUTED_VALUE"""),"QPH3J14,AXR7G29")</f>
        <v>QPH3J14,AXR7G29</v>
      </c>
      <c r="G1293" s="238">
        <f>IFERROR(__xludf.DUMMYFUNCTION("""COMPUTED_VALUE"""),45988.125)</f>
        <v>45988.125</v>
      </c>
      <c r="H1293" s="238">
        <f>IFERROR(__xludf.DUMMYFUNCTION("""COMPUTED_VALUE"""),45988.20833333333)</f>
        <v>45988.20833</v>
      </c>
      <c r="I1293" s="237" t="str">
        <f t="shared" si="1"/>
        <v>Fora</v>
      </c>
      <c r="J1293" s="239">
        <v>119.99999999301508</v>
      </c>
    </row>
    <row r="1294">
      <c r="A1294" s="234" t="s">
        <v>2988</v>
      </c>
      <c r="B1294" s="234" t="str">
        <f>IFERROR(__xludf.DUMMYFUNCTION("""COMPUTED_VALUE"""),"SoC_GO_Goiânia_02")</f>
        <v>SoC_GO_Goiânia_02</v>
      </c>
      <c r="C1294" s="234" t="str">
        <f>IFERROR(__xludf.DUMMYFUNCTION("""COMPUTED_VALUE"""),"SOC-GO2")</f>
        <v>SOC-GO2</v>
      </c>
      <c r="D1294" s="234">
        <f>IFERROR(__xludf.DUMMYFUNCTION("""COMPUTED_VALUE"""),46.0)</f>
        <v>46</v>
      </c>
      <c r="E1294" s="237" t="str">
        <f>IFERROR(__xludf.DUMMYFUNCTION("""COMPUTED_VALUE"""),"LT1PBR01SW5H1")</f>
        <v>LT1PBR01SW5H1</v>
      </c>
      <c r="F1294" s="238" t="str">
        <f>IFERROR(__xludf.DUMMYFUNCTION("""COMPUTED_VALUE"""),"EVO8J10,DAH8I41")</f>
        <v>EVO8J10,DAH8I41</v>
      </c>
      <c r="G1294" s="238">
        <f>IFERROR(__xludf.DUMMYFUNCTION("""COMPUTED_VALUE"""),45988.125)</f>
        <v>45988.125</v>
      </c>
      <c r="H1294" s="238">
        <f>IFERROR(__xludf.DUMMYFUNCTION("""COMPUTED_VALUE"""),45988.20833333333)</f>
        <v>45988.20833</v>
      </c>
      <c r="I1294" s="237" t="str">
        <f t="shared" si="1"/>
        <v>Fora</v>
      </c>
      <c r="J1294" s="239">
        <v>119.99999999301508</v>
      </c>
    </row>
    <row r="1295">
      <c r="A1295" s="234" t="s">
        <v>2989</v>
      </c>
      <c r="B1295" s="234" t="str">
        <f>IFERROR(__xludf.DUMMYFUNCTION("""COMPUTED_VALUE"""),"SoC_GO_Goiânia_02")</f>
        <v>SoC_GO_Goiânia_02</v>
      </c>
      <c r="C1295" s="234" t="str">
        <f>IFERROR(__xludf.DUMMYFUNCTION("""COMPUTED_VALUE"""),"SOC-GO2")</f>
        <v>SOC-GO2</v>
      </c>
      <c r="D1295" s="234"/>
      <c r="E1295" s="237" t="str">
        <f>IFERROR(__xludf.DUMMYFUNCTION("""COMPUTED_VALUE"""),"LT1PBR01SW501")</f>
        <v>LT1PBR01SW501</v>
      </c>
      <c r="F1295" s="234"/>
      <c r="G1295" s="238">
        <f>IFERROR(__xludf.DUMMYFUNCTION("""COMPUTED_VALUE"""),45988.125)</f>
        <v>45988.125</v>
      </c>
      <c r="H1295" s="238">
        <f>IFERROR(__xludf.DUMMYFUNCTION("""COMPUTED_VALUE"""),45988.20833333333)</f>
        <v>45988.20833</v>
      </c>
      <c r="I1295" s="237" t="str">
        <f t="shared" si="1"/>
        <v>Fora</v>
      </c>
      <c r="J1295" s="239">
        <v>119.99999999301508</v>
      </c>
    </row>
    <row r="1296">
      <c r="A1296" s="234" t="s">
        <v>2990</v>
      </c>
      <c r="B1296" s="234" t="str">
        <f>IFERROR(__xludf.DUMMYFUNCTION("""COMPUTED_VALUE"""),"SoC_PE_Jaboatão dos Guararapes")</f>
        <v>SoC_PE_Jaboatão dos Guararapes</v>
      </c>
      <c r="C1296" s="234" t="str">
        <f>IFERROR(__xludf.DUMMYFUNCTION("""COMPUTED_VALUE"""),"SOC-PE2")</f>
        <v>SOC-PE2</v>
      </c>
      <c r="D1296" s="234">
        <f>IFERROR(__xludf.DUMMYFUNCTION("""COMPUTED_VALUE"""),19.0)</f>
        <v>19</v>
      </c>
      <c r="E1296" s="237" t="str">
        <f>IFERROR(__xludf.DUMMYFUNCTION("""COMPUTED_VALUE"""),"LT1PBR01SVQQ1")</f>
        <v>LT1PBR01SVQQ1</v>
      </c>
      <c r="F1296" s="238" t="str">
        <f>IFERROR(__xludf.DUMMYFUNCTION("""COMPUTED_VALUE"""),"EJZ9F38,DTC0D81")</f>
        <v>EJZ9F38,DTC0D81</v>
      </c>
      <c r="G1296" s="238">
        <f>IFERROR(__xludf.DUMMYFUNCTION("""COMPUTED_VALUE"""),45988.125)</f>
        <v>45988.125</v>
      </c>
      <c r="H1296" s="238">
        <f>IFERROR(__xludf.DUMMYFUNCTION("""COMPUTED_VALUE"""),45988.20833333333)</f>
        <v>45988.20833</v>
      </c>
      <c r="I1296" s="237" t="str">
        <f t="shared" si="1"/>
        <v>Fora</v>
      </c>
      <c r="J1296" s="239">
        <v>119.99999999301508</v>
      </c>
    </row>
    <row r="1297">
      <c r="A1297" s="234" t="s">
        <v>2991</v>
      </c>
      <c r="B1297" s="234" t="str">
        <f>IFERROR(__xludf.DUMMYFUNCTION("""COMPUTED_VALUE"""),"SoC_PR_Curitiba")</f>
        <v>SoC_PR_Curitiba</v>
      </c>
      <c r="C1297" s="234" t="str">
        <f>IFERROR(__xludf.DUMMYFUNCTION("""COMPUTED_VALUE"""),"SOC-PR1")</f>
        <v>SOC-PR1</v>
      </c>
      <c r="D1297" s="234">
        <f>IFERROR(__xludf.DUMMYFUNCTION("""COMPUTED_VALUE"""),36.0)</f>
        <v>36</v>
      </c>
      <c r="E1297" s="237" t="str">
        <f>IFERROR(__xludf.DUMMYFUNCTION("""COMPUTED_VALUE"""),"LT1PBR01SVQP1")</f>
        <v>LT1PBR01SVQP1</v>
      </c>
      <c r="F1297" s="238" t="str">
        <f>IFERROR(__xludf.DUMMYFUNCTION("""COMPUTED_VALUE"""),"RLC0B36,RXU7G75")</f>
        <v>RLC0B36,RXU7G75</v>
      </c>
      <c r="G1297" s="238">
        <f>IFERROR(__xludf.DUMMYFUNCTION("""COMPUTED_VALUE"""),45988.125)</f>
        <v>45988.125</v>
      </c>
      <c r="H1297" s="238">
        <f>IFERROR(__xludf.DUMMYFUNCTION("""COMPUTED_VALUE"""),45988.20833333333)</f>
        <v>45988.20833</v>
      </c>
      <c r="I1297" s="237" t="str">
        <f t="shared" si="1"/>
        <v>Fora</v>
      </c>
      <c r="J1297" s="239">
        <v>119.99999999301508</v>
      </c>
    </row>
    <row r="1298">
      <c r="A1298" s="234" t="s">
        <v>2992</v>
      </c>
      <c r="B1298" s="234" t="str">
        <f>IFERROR(__xludf.DUMMYFUNCTION("""COMPUTED_VALUE"""),"SoC_RS_Gravataí_02")</f>
        <v>SoC_RS_Gravataí_02</v>
      </c>
      <c r="C1298" s="234" t="str">
        <f>IFERROR(__xludf.DUMMYFUNCTION("""COMPUTED_VALUE"""),"SOC-RS2")</f>
        <v>SOC-RS2</v>
      </c>
      <c r="D1298" s="234"/>
      <c r="E1298" s="237" t="str">
        <f>IFERROR(__xludf.DUMMYFUNCTION("""COMPUTED_VALUE"""),"LT1PBR01SVQV1")</f>
        <v>LT1PBR01SVQV1</v>
      </c>
      <c r="F1298" s="238" t="str">
        <f>IFERROR(__xludf.DUMMYFUNCTION("""COMPUTED_VALUE"""),"QKI3I55,JDF5E09")</f>
        <v>QKI3I55,JDF5E09</v>
      </c>
      <c r="G1298" s="238">
        <f>IFERROR(__xludf.DUMMYFUNCTION("""COMPUTED_VALUE"""),45988.125)</f>
        <v>45988.125</v>
      </c>
      <c r="H1298" s="238">
        <f>IFERROR(__xludf.DUMMYFUNCTION("""COMPUTED_VALUE"""),45988.20833333333)</f>
        <v>45988.20833</v>
      </c>
      <c r="I1298" s="237" t="str">
        <f t="shared" si="1"/>
        <v>Fora</v>
      </c>
      <c r="J1298" s="239">
        <v>119.99999999301508</v>
      </c>
    </row>
    <row r="1299">
      <c r="A1299" s="234" t="s">
        <v>2993</v>
      </c>
      <c r="B1299" s="234" t="str">
        <f>IFERROR(__xludf.DUMMYFUNCTION("""COMPUTED_VALUE"""),"SoC_SC_Itajaí")</f>
        <v>SoC_SC_Itajaí</v>
      </c>
      <c r="C1299" s="234" t="str">
        <f>IFERROR(__xludf.DUMMYFUNCTION("""COMPUTED_VALUE"""),"SOC-SC1")</f>
        <v>SOC-SC1</v>
      </c>
      <c r="D1299" s="234"/>
      <c r="E1299" s="237" t="str">
        <f>IFERROR(__xludf.DUMMYFUNCTION("""COMPUTED_VALUE"""),"LT1PBR01SVQX1")</f>
        <v>LT1PBR01SVQX1</v>
      </c>
      <c r="F1299" s="238" t="str">
        <f>IFERROR(__xludf.DUMMYFUNCTION("""COMPUTED_VALUE"""),"MJD9B37,SXK5A73")</f>
        <v>MJD9B37,SXK5A73</v>
      </c>
      <c r="G1299" s="238">
        <f>IFERROR(__xludf.DUMMYFUNCTION("""COMPUTED_VALUE"""),45988.125)</f>
        <v>45988.125</v>
      </c>
      <c r="H1299" s="238">
        <f>IFERROR(__xludf.DUMMYFUNCTION("""COMPUTED_VALUE"""),45988.20833333333)</f>
        <v>45988.20833</v>
      </c>
      <c r="I1299" s="237" t="str">
        <f t="shared" si="1"/>
        <v>Fora</v>
      </c>
      <c r="J1299" s="239">
        <v>119.99999999301508</v>
      </c>
    </row>
    <row r="1300">
      <c r="A1300" s="234" t="s">
        <v>2994</v>
      </c>
      <c r="B1300" s="234" t="str">
        <f>IFERROR(__xludf.DUMMYFUNCTION("""COMPUTED_VALUE"""),"SoC_SP_Guarulhos")</f>
        <v>SoC_SP_Guarulhos</v>
      </c>
      <c r="C1300" s="234" t="str">
        <f>IFERROR(__xludf.DUMMYFUNCTION("""COMPUTED_VALUE"""),"SOC-SP6")</f>
        <v>SOC-SP6</v>
      </c>
      <c r="D1300" s="234">
        <f>IFERROR(__xludf.DUMMYFUNCTION("""COMPUTED_VALUE"""),29.0)</f>
        <v>29</v>
      </c>
      <c r="E1300" s="237" t="str">
        <f>IFERROR(__xludf.DUMMYFUNCTION("""COMPUTED_VALUE"""),"LT1PBR01SVQK1")</f>
        <v>LT1PBR01SVQK1</v>
      </c>
      <c r="F1300" s="238" t="str">
        <f>IFERROR(__xludf.DUMMYFUNCTION("""COMPUTED_VALUE"""),"MXC1542,OVJ7491")</f>
        <v>MXC1542,OVJ7491</v>
      </c>
      <c r="G1300" s="238">
        <f>IFERROR(__xludf.DUMMYFUNCTION("""COMPUTED_VALUE"""),45988.125)</f>
        <v>45988.125</v>
      </c>
      <c r="H1300" s="238">
        <f>IFERROR(__xludf.DUMMYFUNCTION("""COMPUTED_VALUE"""),45988.20833333333)</f>
        <v>45988.20833</v>
      </c>
      <c r="I1300" s="237" t="str">
        <f t="shared" si="1"/>
        <v>Fora</v>
      </c>
      <c r="J1300" s="239">
        <v>120.00000001396984</v>
      </c>
    </row>
    <row r="1301">
      <c r="A1301" s="234" t="s">
        <v>2995</v>
      </c>
      <c r="B1301" s="234" t="str">
        <f>IFERROR(__xludf.DUMMYFUNCTION("""COMPUTED_VALUE"""),"LM Hub_SP_Campinas_São Martinho")</f>
        <v>LM Hub_SP_Campinas_São Martinho</v>
      </c>
      <c r="C1301" s="234" t="str">
        <f>IFERROR(__xludf.DUMMYFUNCTION("""COMPUTED_VALUE"""),"HUB-LSP-19")</f>
        <v>HUB-LSP-19</v>
      </c>
      <c r="D1301" s="234">
        <f>IFERROR(__xludf.DUMMYFUNCTION("""COMPUTED_VALUE"""),15.0)</f>
        <v>15</v>
      </c>
      <c r="E1301" s="237" t="str">
        <f>IFERROR(__xludf.DUMMYFUNCTION("""COMPUTED_VALUE"""),"LT0PBR01SFSG1")</f>
        <v>LT0PBR01SFSG1</v>
      </c>
      <c r="F1301" s="238" t="str">
        <f>IFERROR(__xludf.DUMMYFUNCTION("""COMPUTED_VALUE"""),"EBM2I49")</f>
        <v>EBM2I49</v>
      </c>
      <c r="G1301" s="238">
        <f>IFERROR(__xludf.DUMMYFUNCTION("""COMPUTED_VALUE"""),45988.14583333333)</f>
        <v>45988.14583</v>
      </c>
      <c r="H1301" s="238">
        <f>IFERROR(__xludf.DUMMYFUNCTION("""COMPUTED_VALUE"""),45988.22916666667)</f>
        <v>45988.22917</v>
      </c>
      <c r="I1301" s="237" t="str">
        <f t="shared" si="1"/>
        <v>Fora</v>
      </c>
      <c r="J1301" s="239">
        <v>120.00000001396984</v>
      </c>
    </row>
    <row r="1302">
      <c r="A1302" s="234" t="s">
        <v>2996</v>
      </c>
      <c r="B1302" s="234" t="str">
        <f>IFERROR(__xludf.DUMMYFUNCTION("""COMPUTED_VALUE"""),"LM Hub_SP_Mogi Mirim")</f>
        <v>LM Hub_SP_Mogi Mirim</v>
      </c>
      <c r="C1302" s="234" t="str">
        <f>IFERROR(__xludf.DUMMYFUNCTION("""COMPUTED_VALUE"""),"HUB-LSP-37")</f>
        <v>HUB-LSP-37</v>
      </c>
      <c r="D1302" s="234">
        <f>IFERROR(__xludf.DUMMYFUNCTION("""COMPUTED_VALUE"""),38.0)</f>
        <v>38</v>
      </c>
      <c r="E1302" s="237" t="str">
        <f>IFERROR(__xludf.DUMMYFUNCTION("""COMPUTED_VALUE"""),"LT0PBR01SFRG1")</f>
        <v>LT0PBR01SFRG1</v>
      </c>
      <c r="F1302" s="238" t="str">
        <f>IFERROR(__xludf.DUMMYFUNCTION("""COMPUTED_VALUE"""),"CUG3E95")</f>
        <v>CUG3E95</v>
      </c>
      <c r="G1302" s="238">
        <f>IFERROR(__xludf.DUMMYFUNCTION("""COMPUTED_VALUE"""),45988.14583333333)</f>
        <v>45988.14583</v>
      </c>
      <c r="H1302" s="238">
        <f>IFERROR(__xludf.DUMMYFUNCTION("""COMPUTED_VALUE"""),45988.22916666667)</f>
        <v>45988.22917</v>
      </c>
      <c r="I1302" s="237" t="str">
        <f t="shared" si="1"/>
        <v>Fora</v>
      </c>
      <c r="J1302" s="239">
        <v>120.00000001396984</v>
      </c>
    </row>
    <row r="1303">
      <c r="A1303" s="234" t="s">
        <v>2997</v>
      </c>
      <c r="B1303" s="234" t="str">
        <f>IFERROR(__xludf.DUMMYFUNCTION("""COMPUTED_VALUE"""),"LM Hub_SP_Osasco_02")</f>
        <v>LM Hub_SP_Osasco_02</v>
      </c>
      <c r="C1303" s="234" t="str">
        <f>IFERROR(__xludf.DUMMYFUNCTION("""COMPUTED_VALUE"""),"HUB-LSP-60")</f>
        <v>HUB-LSP-60</v>
      </c>
      <c r="D1303" s="234">
        <f>IFERROR(__xludf.DUMMYFUNCTION("""COMPUTED_VALUE"""),37.0)</f>
        <v>37</v>
      </c>
      <c r="E1303" s="237" t="str">
        <f>IFERROR(__xludf.DUMMYFUNCTION("""COMPUTED_VALUE"""),"LT0PBR01SGQY1")</f>
        <v>LT0PBR01SGQY1</v>
      </c>
      <c r="F1303" s="238" t="str">
        <f>IFERROR(__xludf.DUMMYFUNCTION("""COMPUTED_VALUE"""),"FEU6H63")</f>
        <v>FEU6H63</v>
      </c>
      <c r="G1303" s="238">
        <f>IFERROR(__xludf.DUMMYFUNCTION("""COMPUTED_VALUE"""),45988.14583333333)</f>
        <v>45988.14583</v>
      </c>
      <c r="H1303" s="238">
        <f>IFERROR(__xludf.DUMMYFUNCTION("""COMPUTED_VALUE"""),45988.22916666667)</f>
        <v>45988.22917</v>
      </c>
      <c r="I1303" s="237" t="str">
        <f t="shared" si="1"/>
        <v>Fora</v>
      </c>
      <c r="J1303" s="239">
        <v>120.00000001396984</v>
      </c>
    </row>
    <row r="1304">
      <c r="A1304" s="234" t="s">
        <v>2998</v>
      </c>
      <c r="B1304" s="234" t="str">
        <f>IFERROR(__xludf.DUMMYFUNCTION("""COMPUTED_VALUE"""),"LM Hub_SP_Sorocaba_Região Norte")</f>
        <v>LM Hub_SP_Sorocaba_Região Norte</v>
      </c>
      <c r="C1304" s="234" t="str">
        <f>IFERROR(__xludf.DUMMYFUNCTION("""COMPUTED_VALUE"""),"HUB-LSP-10")</f>
        <v>HUB-LSP-10</v>
      </c>
      <c r="D1304" s="234">
        <f>IFERROR(__xludf.DUMMYFUNCTION("""COMPUTED_VALUE"""),24.0)</f>
        <v>24</v>
      </c>
      <c r="E1304" s="237" t="str">
        <f>IFERROR(__xludf.DUMMYFUNCTION("""COMPUTED_VALUE"""),"LT0PBR01SFQ81")</f>
        <v>LT0PBR01SFQ81</v>
      </c>
      <c r="F1304" s="238" t="str">
        <f>IFERROR(__xludf.DUMMYFUNCTION("""COMPUTED_VALUE"""),"GHJ3E37,OUU8J45")</f>
        <v>GHJ3E37,OUU8J45</v>
      </c>
      <c r="G1304" s="238">
        <f>IFERROR(__xludf.DUMMYFUNCTION("""COMPUTED_VALUE"""),45988.14583333333)</f>
        <v>45988.14583</v>
      </c>
      <c r="H1304" s="238">
        <f>IFERROR(__xludf.DUMMYFUNCTION("""COMPUTED_VALUE"""),45988.22916666667)</f>
        <v>45988.22917</v>
      </c>
      <c r="I1304" s="237" t="str">
        <f t="shared" si="1"/>
        <v>Fora</v>
      </c>
      <c r="J1304" s="239">
        <v>240.00000000698492</v>
      </c>
    </row>
    <row r="1305">
      <c r="A1305" s="234" t="s">
        <v>2999</v>
      </c>
      <c r="B1305" s="234" t="str">
        <f>IFERROR(__xludf.DUMMYFUNCTION("""COMPUTED_VALUE"""),"SoC_SP_Louveira")</f>
        <v>SoC_SP_Louveira</v>
      </c>
      <c r="C1305" s="234" t="str">
        <f>IFERROR(__xludf.DUMMYFUNCTION("""COMPUTED_VALUE"""),"SOC-SP7")</f>
        <v>SOC-SP7</v>
      </c>
      <c r="D1305" s="234">
        <f>IFERROR(__xludf.DUMMYFUNCTION("""COMPUTED_VALUE"""),28.0)</f>
        <v>28</v>
      </c>
      <c r="E1305" s="237" t="str">
        <f>IFERROR(__xludf.DUMMYFUNCTION("""COMPUTED_VALUE"""),"LT1PBR01SVQH1")</f>
        <v>LT1PBR01SVQH1</v>
      </c>
      <c r="F1305" s="238" t="str">
        <f>IFERROR(__xludf.DUMMYFUNCTION("""COMPUTED_VALUE"""),"ARC6D70,MJB7A06")</f>
        <v>ARC6D70,MJB7A06</v>
      </c>
      <c r="G1305" s="238">
        <f>IFERROR(__xludf.DUMMYFUNCTION("""COMPUTED_VALUE"""),45988.08333333333)</f>
        <v>45988.08333</v>
      </c>
      <c r="H1305" s="238">
        <f>IFERROR(__xludf.DUMMYFUNCTION("""COMPUTED_VALUE"""),45988.25)</f>
        <v>45988.25</v>
      </c>
      <c r="I1305" s="237" t="str">
        <f t="shared" si="1"/>
        <v>Fora</v>
      </c>
      <c r="J1305" s="239">
        <v>119.99999999301508</v>
      </c>
    </row>
    <row r="1306">
      <c r="A1306" s="234" t="s">
        <v>3000</v>
      </c>
      <c r="B1306" s="234" t="str">
        <f>IFERROR(__xludf.DUMMYFUNCTION("""COMPUTED_VALUE"""),"LM Hub_ES_Viana")</f>
        <v>LM Hub_ES_Viana</v>
      </c>
      <c r="C1306" s="234" t="str">
        <f>IFERROR(__xludf.DUMMYFUNCTION("""COMPUTED_VALUE"""),"HUB-LES-09")</f>
        <v>HUB-LES-09</v>
      </c>
      <c r="D1306" s="234">
        <f>IFERROR(__xludf.DUMMYFUNCTION("""COMPUTED_VALUE"""),29.0)</f>
        <v>29</v>
      </c>
      <c r="E1306" s="237" t="str">
        <f>IFERROR(__xludf.DUMMYFUNCTION("""COMPUTED_VALUE"""),"LT0PBR01SJPH1")</f>
        <v>LT0PBR01SJPH1</v>
      </c>
      <c r="F1306" s="238" t="str">
        <f>IFERROR(__xludf.DUMMYFUNCTION("""COMPUTED_VALUE"""),"CUT8J65")</f>
        <v>CUT8J65</v>
      </c>
      <c r="G1306" s="238">
        <f>IFERROR(__xludf.DUMMYFUNCTION("""COMPUTED_VALUE"""),45988.16666666667)</f>
        <v>45988.16667</v>
      </c>
      <c r="H1306" s="238">
        <f>IFERROR(__xludf.DUMMYFUNCTION("""COMPUTED_VALUE"""),45988.25)</f>
        <v>45988.25</v>
      </c>
      <c r="I1306" s="237" t="str">
        <f t="shared" si="1"/>
        <v>Fora</v>
      </c>
      <c r="J1306" s="239">
        <v>119.99999999301508</v>
      </c>
    </row>
    <row r="1307">
      <c r="A1307" s="234" t="s">
        <v>3001</v>
      </c>
      <c r="B1307" s="234" t="str">
        <f>IFERROR(__xludf.DUMMYFUNCTION("""COMPUTED_VALUE"""),"LM Hub_SP_Guaratinguetá")</f>
        <v>LM Hub_SP_Guaratinguetá</v>
      </c>
      <c r="C1307" s="234" t="str">
        <f>IFERROR(__xludf.DUMMYFUNCTION("""COMPUTED_VALUE"""),"HUB-LSP-33")</f>
        <v>HUB-LSP-33</v>
      </c>
      <c r="D1307" s="234">
        <f>IFERROR(__xludf.DUMMYFUNCTION("""COMPUTED_VALUE"""),16.0)</f>
        <v>16</v>
      </c>
      <c r="E1307" s="237" t="str">
        <f>IFERROR(__xludf.DUMMYFUNCTION("""COMPUTED_VALUE"""),"LT0PBR01SFPJ1")</f>
        <v>LT0PBR01SFPJ1</v>
      </c>
      <c r="F1307" s="238" t="str">
        <f>IFERROR(__xludf.DUMMYFUNCTION("""COMPUTED_VALUE"""),"EKH3880")</f>
        <v>EKH3880</v>
      </c>
      <c r="G1307" s="238">
        <f>IFERROR(__xludf.DUMMYFUNCTION("""COMPUTED_VALUE"""),45988.16666666667)</f>
        <v>45988.16667</v>
      </c>
      <c r="H1307" s="238">
        <f>IFERROR(__xludf.DUMMYFUNCTION("""COMPUTED_VALUE"""),45988.25)</f>
        <v>45988.25</v>
      </c>
      <c r="I1307" s="237" t="str">
        <f t="shared" si="1"/>
        <v>Fora</v>
      </c>
      <c r="J1307" s="239">
        <v>119.99999999301508</v>
      </c>
    </row>
    <row r="1308">
      <c r="A1308" s="234" t="s">
        <v>3002</v>
      </c>
      <c r="B1308" s="234" t="str">
        <f>IFERROR(__xludf.DUMMYFUNCTION("""COMPUTED_VALUE"""),"LM Hub_SP_Limeira_Campo Belo")</f>
        <v>LM Hub_SP_Limeira_Campo Belo</v>
      </c>
      <c r="C1308" s="234" t="str">
        <f>IFERROR(__xludf.DUMMYFUNCTION("""COMPUTED_VALUE"""),"HUB-LSP-24")</f>
        <v>HUB-LSP-24</v>
      </c>
      <c r="D1308" s="234">
        <f>IFERROR(__xludf.DUMMYFUNCTION("""COMPUTED_VALUE"""),39.0)</f>
        <v>39</v>
      </c>
      <c r="E1308" s="237" t="str">
        <f>IFERROR(__xludf.DUMMYFUNCTION("""COMPUTED_VALUE"""),"LT0PBR01SFQE1")</f>
        <v>LT0PBR01SFQE1</v>
      </c>
      <c r="F1308" s="238" t="str">
        <f>IFERROR(__xludf.DUMMYFUNCTION("""COMPUTED_VALUE"""),"UDI0A98")</f>
        <v>UDI0A98</v>
      </c>
      <c r="G1308" s="238">
        <f>IFERROR(__xludf.DUMMYFUNCTION("""COMPUTED_VALUE"""),45988.16666666667)</f>
        <v>45988.16667</v>
      </c>
      <c r="H1308" s="238">
        <f>IFERROR(__xludf.DUMMYFUNCTION("""COMPUTED_VALUE"""),45988.25)</f>
        <v>45988.25</v>
      </c>
      <c r="I1308" s="237" t="str">
        <f t="shared" si="1"/>
        <v>Fora</v>
      </c>
      <c r="J1308" s="239">
        <v>119.99999999301508</v>
      </c>
    </row>
    <row r="1309">
      <c r="A1309" s="234" t="s">
        <v>3003</v>
      </c>
      <c r="B1309" s="234" t="str">
        <f>IFERROR(__xludf.DUMMYFUNCTION("""COMPUTED_VALUE"""),"LM Hub_SP_Várzea Paulista")</f>
        <v>LM Hub_SP_Várzea Paulista</v>
      </c>
      <c r="C1309" s="234" t="str">
        <f>IFERROR(__xludf.DUMMYFUNCTION("""COMPUTED_VALUE"""),"HUB-LSP-61")</f>
        <v>HUB-LSP-61</v>
      </c>
      <c r="D1309" s="234">
        <f>IFERROR(__xludf.DUMMYFUNCTION("""COMPUTED_VALUE"""),43.0)</f>
        <v>43</v>
      </c>
      <c r="E1309" s="237" t="str">
        <f>IFERROR(__xludf.DUMMYFUNCTION("""COMPUTED_VALUE"""),"LT0PBR01SFQO1")</f>
        <v>LT0PBR01SFQO1</v>
      </c>
      <c r="F1309" s="238" t="str">
        <f>IFERROR(__xludf.DUMMYFUNCTION("""COMPUTED_VALUE"""),"LRU5J40")</f>
        <v>LRU5J40</v>
      </c>
      <c r="G1309" s="238">
        <f>IFERROR(__xludf.DUMMYFUNCTION("""COMPUTED_VALUE"""),45988.16666666667)</f>
        <v>45988.16667</v>
      </c>
      <c r="H1309" s="238">
        <f>IFERROR(__xludf.DUMMYFUNCTION("""COMPUTED_VALUE"""),45988.25)</f>
        <v>45988.25</v>
      </c>
      <c r="I1309" s="237" t="str">
        <f t="shared" si="1"/>
        <v>Fora</v>
      </c>
      <c r="J1309" s="239">
        <v>119.99999999301508</v>
      </c>
    </row>
    <row r="1310">
      <c r="A1310" s="234" t="s">
        <v>3004</v>
      </c>
      <c r="B1310" s="234" t="str">
        <f>IFERROR(__xludf.DUMMYFUNCTION("""COMPUTED_VALUE"""),"SoC_BA_Simoes Filho")</f>
        <v>SoC_BA_Simoes Filho</v>
      </c>
      <c r="C1310" s="234" t="str">
        <f>IFERROR(__xludf.DUMMYFUNCTION("""COMPUTED_VALUE"""),"SOC-BA2")</f>
        <v>SOC-BA2</v>
      </c>
      <c r="D1310" s="234"/>
      <c r="E1310" s="237" t="str">
        <f>IFERROR(__xludf.DUMMYFUNCTION("""COMPUTED_VALUE"""),"LT1PBR01SW5G1")</f>
        <v>LT1PBR01SW5G1</v>
      </c>
      <c r="F1310" s="238" t="str">
        <f>IFERROR(__xludf.DUMMYFUNCTION("""COMPUTED_VALUE"""),"RHA7C68,TEH8A40")</f>
        <v>RHA7C68,TEH8A40</v>
      </c>
      <c r="G1310" s="238">
        <f>IFERROR(__xludf.DUMMYFUNCTION("""COMPUTED_VALUE"""),45988.16666666667)</f>
        <v>45988.16667</v>
      </c>
      <c r="H1310" s="238">
        <f>IFERROR(__xludf.DUMMYFUNCTION("""COMPUTED_VALUE"""),45988.25)</f>
        <v>45988.25</v>
      </c>
      <c r="I1310" s="237" t="str">
        <f t="shared" si="1"/>
        <v>Fora</v>
      </c>
      <c r="J1310" s="239">
        <v>119.99999999301508</v>
      </c>
    </row>
    <row r="1311">
      <c r="A1311" s="234" t="s">
        <v>3005</v>
      </c>
      <c r="B1311" s="234" t="str">
        <f>IFERROR(__xludf.DUMMYFUNCTION("""COMPUTED_VALUE"""),"SoC_BA_Simoes Filho")</f>
        <v>SoC_BA_Simoes Filho</v>
      </c>
      <c r="C1311" s="234" t="str">
        <f>IFERROR(__xludf.DUMMYFUNCTION("""COMPUTED_VALUE"""),"SOC-BA2")</f>
        <v>SOC-BA2</v>
      </c>
      <c r="D1311" s="234"/>
      <c r="E1311" s="237" t="str">
        <f>IFERROR(__xludf.DUMMYFUNCTION("""COMPUTED_VALUE"""),"LT1PBR01SW4Z1")</f>
        <v>LT1PBR01SW4Z1</v>
      </c>
      <c r="F1311" s="234"/>
      <c r="G1311" s="238">
        <f>IFERROR(__xludf.DUMMYFUNCTION("""COMPUTED_VALUE"""),45988.16666666667)</f>
        <v>45988.16667</v>
      </c>
      <c r="H1311" s="238">
        <f>IFERROR(__xludf.DUMMYFUNCTION("""COMPUTED_VALUE"""),45988.25)</f>
        <v>45988.25</v>
      </c>
      <c r="I1311" s="237" t="str">
        <f t="shared" si="1"/>
        <v>Fora</v>
      </c>
      <c r="J1311" s="239">
        <v>119.99999999301508</v>
      </c>
    </row>
    <row r="1312">
      <c r="A1312" s="234" t="s">
        <v>3006</v>
      </c>
      <c r="B1312" s="234" t="str">
        <f>IFERROR(__xludf.DUMMYFUNCTION("""COMPUTED_VALUE"""),"SoC_SP_Cravinhos")</f>
        <v>SoC_SP_Cravinhos</v>
      </c>
      <c r="C1312" s="234" t="str">
        <f>IFERROR(__xludf.DUMMYFUNCTION("""COMPUTED_VALUE"""),"SOC-SP5")</f>
        <v>SOC-SP5</v>
      </c>
      <c r="D1312" s="234">
        <f>IFERROR(__xludf.DUMMYFUNCTION("""COMPUTED_VALUE"""),47.0)</f>
        <v>47</v>
      </c>
      <c r="E1312" s="237" t="str">
        <f>IFERROR(__xludf.DUMMYFUNCTION("""COMPUTED_VALUE"""),"LT1PBR01SVQI1")</f>
        <v>LT1PBR01SVQI1</v>
      </c>
      <c r="F1312" s="238" t="str">
        <f>IFERROR(__xludf.DUMMYFUNCTION("""COMPUTED_VALUE"""),"EVD4B19,EVW7D14")</f>
        <v>EVD4B19,EVW7D14</v>
      </c>
      <c r="G1312" s="238">
        <f>IFERROR(__xludf.DUMMYFUNCTION("""COMPUTED_VALUE"""),45988.16666666667)</f>
        <v>45988.16667</v>
      </c>
      <c r="H1312" s="238">
        <f>IFERROR(__xludf.DUMMYFUNCTION("""COMPUTED_VALUE"""),45988.25)</f>
        <v>45988.25</v>
      </c>
      <c r="I1312" s="237" t="str">
        <f t="shared" si="1"/>
        <v>Fora</v>
      </c>
      <c r="J1312" s="239">
        <v>119.99999999301508</v>
      </c>
    </row>
    <row r="1313">
      <c r="A1313" s="234" t="s">
        <v>3007</v>
      </c>
      <c r="B1313" s="234" t="str">
        <f>IFERROR(__xludf.DUMMYFUNCTION("""COMPUTED_VALUE"""),"SoC_SP_Cravinhos")</f>
        <v>SoC_SP_Cravinhos</v>
      </c>
      <c r="C1313" s="234" t="str">
        <f>IFERROR(__xludf.DUMMYFUNCTION("""COMPUTED_VALUE"""),"SOC-SP5")</f>
        <v>SOC-SP5</v>
      </c>
      <c r="D1313" s="234">
        <f>IFERROR(__xludf.DUMMYFUNCTION("""COMPUTED_VALUE"""),48.0)</f>
        <v>48</v>
      </c>
      <c r="E1313" s="237" t="str">
        <f>IFERROR(__xludf.DUMMYFUNCTION("""COMPUTED_VALUE"""),"LT1PBR01SVQJ1")</f>
        <v>LT1PBR01SVQJ1</v>
      </c>
      <c r="F1313" s="238" t="str">
        <f>IFERROR(__xludf.DUMMYFUNCTION("""COMPUTED_VALUE"""),"FZF0J72,MYL3C03")</f>
        <v>FZF0J72,MYL3C03</v>
      </c>
      <c r="G1313" s="238">
        <f>IFERROR(__xludf.DUMMYFUNCTION("""COMPUTED_VALUE"""),45988.16666666667)</f>
        <v>45988.16667</v>
      </c>
      <c r="H1313" s="238">
        <f>IFERROR(__xludf.DUMMYFUNCTION("""COMPUTED_VALUE"""),45988.25)</f>
        <v>45988.25</v>
      </c>
      <c r="I1313" s="237" t="str">
        <f t="shared" si="1"/>
        <v>Fora</v>
      </c>
      <c r="J1313" s="239">
        <v>119.99999999301508</v>
      </c>
    </row>
    <row r="1314">
      <c r="A1314" s="234" t="s">
        <v>3008</v>
      </c>
      <c r="B1314" s="234" t="str">
        <f>IFERROR(__xludf.DUMMYFUNCTION("""COMPUTED_VALUE"""),"LM Hub_SP_Atibaia_Ponte_Alta")</f>
        <v>LM Hub_SP_Atibaia_Ponte_Alta</v>
      </c>
      <c r="C1314" s="234" t="str">
        <f>IFERROR(__xludf.DUMMYFUNCTION("""COMPUTED_VALUE"""),"HUB-LSP-87")</f>
        <v>HUB-LSP-87</v>
      </c>
      <c r="D1314" s="234">
        <f>IFERROR(__xludf.DUMMYFUNCTION("""COMPUTED_VALUE"""),14.0)</f>
        <v>14</v>
      </c>
      <c r="E1314" s="237" t="str">
        <f>IFERROR(__xludf.DUMMYFUNCTION("""COMPUTED_VALUE"""),"LT0PBR01SJJQ1")</f>
        <v>LT0PBR01SJJQ1</v>
      </c>
      <c r="F1314" s="238" t="str">
        <f>IFERROR(__xludf.DUMMYFUNCTION("""COMPUTED_VALUE"""),"UGN4B10")</f>
        <v>UGN4B10</v>
      </c>
      <c r="G1314" s="238">
        <f>IFERROR(__xludf.DUMMYFUNCTION("""COMPUTED_VALUE"""),45988.1875)</f>
        <v>45988.1875</v>
      </c>
      <c r="H1314" s="238">
        <f>IFERROR(__xludf.DUMMYFUNCTION("""COMPUTED_VALUE"""),45988.27083333333)</f>
        <v>45988.27083</v>
      </c>
      <c r="I1314" s="237" t="str">
        <f t="shared" si="1"/>
        <v>Fora</v>
      </c>
      <c r="J1314" s="239">
        <v>119.99999999301508</v>
      </c>
    </row>
    <row r="1315">
      <c r="A1315" s="234" t="s">
        <v>3009</v>
      </c>
      <c r="B1315" s="234" t="str">
        <f>IFERROR(__xludf.DUMMYFUNCTION("""COMPUTED_VALUE"""),"LM Hub_SP_Embu das Artes")</f>
        <v>LM Hub_SP_Embu das Artes</v>
      </c>
      <c r="C1315" s="234" t="str">
        <f>IFERROR(__xludf.DUMMYFUNCTION("""COMPUTED_VALUE"""),"HUB-LSP-36")</f>
        <v>HUB-LSP-36</v>
      </c>
      <c r="D1315" s="234">
        <f>IFERROR(__xludf.DUMMYFUNCTION("""COMPUTED_VALUE"""),32.0)</f>
        <v>32</v>
      </c>
      <c r="E1315" s="237" t="str">
        <f>IFERROR(__xludf.DUMMYFUNCTION("""COMPUTED_VALUE"""),"LT0PBR01SGS21")</f>
        <v>LT0PBR01SGS21</v>
      </c>
      <c r="F1315" s="238" t="str">
        <f>IFERROR(__xludf.DUMMYFUNCTION("""COMPUTED_VALUE"""),"FBH4883")</f>
        <v>FBH4883</v>
      </c>
      <c r="G1315" s="238">
        <f>IFERROR(__xludf.DUMMYFUNCTION("""COMPUTED_VALUE"""),45988.1875)</f>
        <v>45988.1875</v>
      </c>
      <c r="H1315" s="238">
        <f>IFERROR(__xludf.DUMMYFUNCTION("""COMPUTED_VALUE"""),45988.27083333333)</f>
        <v>45988.27083</v>
      </c>
      <c r="I1315" s="237" t="str">
        <f t="shared" si="1"/>
        <v>Fora</v>
      </c>
      <c r="J1315" s="239">
        <v>119.99999999301508</v>
      </c>
    </row>
    <row r="1316">
      <c r="A1316" s="234" t="s">
        <v>3010</v>
      </c>
      <c r="B1316" s="234" t="str">
        <f>IFERROR(__xludf.DUMMYFUNCTION("""COMPUTED_VALUE"""),"LM Hub_SP_Taubaté")</f>
        <v>LM Hub_SP_Taubaté</v>
      </c>
      <c r="C1316" s="234" t="str">
        <f>IFERROR(__xludf.DUMMYFUNCTION("""COMPUTED_VALUE"""),"HUB-LSP-08")</f>
        <v>HUB-LSP-08</v>
      </c>
      <c r="D1316" s="234"/>
      <c r="E1316" s="237" t="str">
        <f>IFERROR(__xludf.DUMMYFUNCTION("""COMPUTED_VALUE"""),"LT0PBR01SFPT1")</f>
        <v>LT0PBR01SFPT1</v>
      </c>
      <c r="F1316" s="238" t="str">
        <f>IFERROR(__xludf.DUMMYFUNCTION("""COMPUTED_VALUE"""),"ECT4I26")</f>
        <v>ECT4I26</v>
      </c>
      <c r="G1316" s="238">
        <f>IFERROR(__xludf.DUMMYFUNCTION("""COMPUTED_VALUE"""),45988.1875)</f>
        <v>45988.1875</v>
      </c>
      <c r="H1316" s="238">
        <f>IFERROR(__xludf.DUMMYFUNCTION("""COMPUTED_VALUE"""),45988.27083333333)</f>
        <v>45988.27083</v>
      </c>
      <c r="I1316" s="237" t="str">
        <f t="shared" si="1"/>
        <v>Fora</v>
      </c>
      <c r="J1316" s="239">
        <v>540.0</v>
      </c>
    </row>
    <row r="1317">
      <c r="A1317" s="234" t="s">
        <v>3011</v>
      </c>
      <c r="B1317" s="234" t="str">
        <f>IFERROR(__xludf.DUMMYFUNCTION("""COMPUTED_VALUE"""),"SoC_MG_Betim")</f>
        <v>SoC_MG_Betim</v>
      </c>
      <c r="C1317" s="234" t="str">
        <f>IFERROR(__xludf.DUMMYFUNCTION("""COMPUTED_VALUE"""),"SOC-MG2")</f>
        <v>SOC-MG2</v>
      </c>
      <c r="D1317" s="234">
        <f>IFERROR(__xludf.DUMMYFUNCTION("""COMPUTED_VALUE"""),91.0)</f>
        <v>91</v>
      </c>
      <c r="E1317" s="237" t="str">
        <f>IFERROR(__xludf.DUMMYFUNCTION("""COMPUTED_VALUE"""),"LT0PBQ01SFKH1")</f>
        <v>LT0PBQ01SFKH1</v>
      </c>
      <c r="F1317" s="238" t="str">
        <f>IFERROR(__xludf.DUMMYFUNCTION("""COMPUTED_VALUE"""),"STY3A64,TAT8D53")</f>
        <v>STY3A64,TAT8D53</v>
      </c>
      <c r="G1317" s="238">
        <f>IFERROR(__xludf.DUMMYFUNCTION("""COMPUTED_VALUE"""),45987.91666666667)</f>
        <v>45987.91667</v>
      </c>
      <c r="H1317" s="238">
        <f>IFERROR(__xludf.DUMMYFUNCTION("""COMPUTED_VALUE"""),45988.29166666667)</f>
        <v>45988.29167</v>
      </c>
      <c r="I1317" s="237" t="str">
        <f t="shared" si="1"/>
        <v>Fora</v>
      </c>
      <c r="J1317" s="239">
        <v>540.0</v>
      </c>
    </row>
    <row r="1318">
      <c r="A1318" s="234" t="s">
        <v>3012</v>
      </c>
      <c r="B1318" s="234" t="str">
        <f>IFERROR(__xludf.DUMMYFUNCTION("""COMPUTED_VALUE"""),"SoC_RJ_Duque de Caxias")</f>
        <v>SoC_RJ_Duque de Caxias</v>
      </c>
      <c r="C1318" s="234" t="str">
        <f>IFERROR(__xludf.DUMMYFUNCTION("""COMPUTED_VALUE"""),"SOC-RJ2")</f>
        <v>SOC-RJ2</v>
      </c>
      <c r="D1318" s="234">
        <f>IFERROR(__xludf.DUMMYFUNCTION("""COMPUTED_VALUE"""),7.0)</f>
        <v>7</v>
      </c>
      <c r="E1318" s="237" t="str">
        <f>IFERROR(__xludf.DUMMYFUNCTION("""COMPUTED_VALUE"""),"LT0PBQ01SHSJ1")</f>
        <v>LT0PBQ01SHSJ1</v>
      </c>
      <c r="F1318" s="238" t="str">
        <f>IFERROR(__xludf.DUMMYFUNCTION("""COMPUTED_VALUE"""),"BBR6A51,QSW3B90")</f>
        <v>BBR6A51,QSW3B90</v>
      </c>
      <c r="G1318" s="238">
        <f>IFERROR(__xludf.DUMMYFUNCTION("""COMPUTED_VALUE"""),45987.91666666667)</f>
        <v>45987.91667</v>
      </c>
      <c r="H1318" s="238">
        <f>IFERROR(__xludf.DUMMYFUNCTION("""COMPUTED_VALUE"""),45988.29166666667)</f>
        <v>45988.29167</v>
      </c>
      <c r="I1318" s="237" t="str">
        <f t="shared" si="1"/>
        <v>Fora</v>
      </c>
      <c r="J1318" s="239">
        <v>540.0</v>
      </c>
    </row>
    <row r="1319">
      <c r="A1319" s="234" t="s">
        <v>3013</v>
      </c>
      <c r="B1319" s="234" t="str">
        <f>IFERROR(__xludf.DUMMYFUNCTION("""COMPUTED_VALUE"""),"SoC_RJ_Duque de Caxias")</f>
        <v>SoC_RJ_Duque de Caxias</v>
      </c>
      <c r="C1319" s="234" t="str">
        <f>IFERROR(__xludf.DUMMYFUNCTION("""COMPUTED_VALUE"""),"SOC-RJ2")</f>
        <v>SOC-RJ2</v>
      </c>
      <c r="D1319" s="234">
        <f>IFERROR(__xludf.DUMMYFUNCTION("""COMPUTED_VALUE"""),48.0)</f>
        <v>48</v>
      </c>
      <c r="E1319" s="237" t="str">
        <f>IFERROR(__xludf.DUMMYFUNCTION("""COMPUTED_VALUE"""),"LT0PBQ01SHSL2")</f>
        <v>LT0PBQ01SHSL2</v>
      </c>
      <c r="F1319" s="238" t="str">
        <f>IFERROR(__xludf.DUMMYFUNCTION("""COMPUTED_VALUE"""),"OLE2G02,NFC1G78")</f>
        <v>OLE2G02,NFC1G78</v>
      </c>
      <c r="G1319" s="238">
        <f>IFERROR(__xludf.DUMMYFUNCTION("""COMPUTED_VALUE"""),45987.91666666667)</f>
        <v>45987.91667</v>
      </c>
      <c r="H1319" s="238">
        <f>IFERROR(__xludf.DUMMYFUNCTION("""COMPUTED_VALUE"""),45988.29166666667)</f>
        <v>45988.29167</v>
      </c>
      <c r="I1319" s="237" t="str">
        <f t="shared" si="1"/>
        <v>Fora</v>
      </c>
      <c r="J1319" s="239">
        <v>540.0</v>
      </c>
    </row>
    <row r="1320">
      <c r="A1320" s="234" t="s">
        <v>3014</v>
      </c>
      <c r="B1320" s="234" t="str">
        <f>IFERROR(__xludf.DUMMYFUNCTION("""COMPUTED_VALUE"""),"SoC_RJ_Duque de Caxias")</f>
        <v>SoC_RJ_Duque de Caxias</v>
      </c>
      <c r="C1320" s="234" t="str">
        <f>IFERROR(__xludf.DUMMYFUNCTION("""COMPUTED_VALUE"""),"SOC-RJ2")</f>
        <v>SOC-RJ2</v>
      </c>
      <c r="D1320" s="234">
        <f>IFERROR(__xludf.DUMMYFUNCTION("""COMPUTED_VALUE"""),92.0)</f>
        <v>92</v>
      </c>
      <c r="E1320" s="237" t="str">
        <f>IFERROR(__xludf.DUMMYFUNCTION("""COMPUTED_VALUE"""),"LT0PBQ01SHSN3")</f>
        <v>LT0PBQ01SHSN3</v>
      </c>
      <c r="F1320" s="238" t="str">
        <f>IFERROR(__xludf.DUMMYFUNCTION("""COMPUTED_VALUE"""),"FPB6H47,FZP4C43")</f>
        <v>FPB6H47,FZP4C43</v>
      </c>
      <c r="G1320" s="238">
        <f>IFERROR(__xludf.DUMMYFUNCTION("""COMPUTED_VALUE"""),45987.91666666667)</f>
        <v>45987.91667</v>
      </c>
      <c r="H1320" s="238">
        <f>IFERROR(__xludf.DUMMYFUNCTION("""COMPUTED_VALUE"""),45988.29166666667)</f>
        <v>45988.29167</v>
      </c>
      <c r="I1320" s="237" t="str">
        <f t="shared" si="1"/>
        <v>Fora</v>
      </c>
      <c r="J1320" s="239">
        <v>539.0000000072177</v>
      </c>
    </row>
    <row r="1321">
      <c r="A1321" s="234" t="s">
        <v>3015</v>
      </c>
      <c r="B1321" s="234" t="str">
        <f>IFERROR(__xludf.DUMMYFUNCTION("""COMPUTED_VALUE"""),"SoC_BA_Simoes Filho")</f>
        <v>SoC_BA_Simoes Filho</v>
      </c>
      <c r="C1321" s="234" t="str">
        <f>IFERROR(__xludf.DUMMYFUNCTION("""COMPUTED_VALUE"""),"SOC-BA2")</f>
        <v>SOC-BA2</v>
      </c>
      <c r="D1321" s="234">
        <f>IFERROR(__xludf.DUMMYFUNCTION("""COMPUTED_VALUE"""),89.0)</f>
        <v>89</v>
      </c>
      <c r="E1321" s="237" t="str">
        <f>IFERROR(__xludf.DUMMYFUNCTION("""COMPUTED_VALUE"""),"LT0PBQ01SLAH1")</f>
        <v>LT0PBQ01SLAH1</v>
      </c>
      <c r="F1321" s="238" t="str">
        <f>IFERROR(__xludf.DUMMYFUNCTION("""COMPUTED_VALUE"""),"TCT8H84,SYY0D22")</f>
        <v>TCT8H84,SYY0D22</v>
      </c>
      <c r="G1321" s="238">
        <f>IFERROR(__xludf.DUMMYFUNCTION("""COMPUTED_VALUE"""),45987.91736111111)</f>
        <v>45987.91736</v>
      </c>
      <c r="H1321" s="238">
        <f>IFERROR(__xludf.DUMMYFUNCTION("""COMPUTED_VALUE"""),45988.29166666667)</f>
        <v>45988.29167</v>
      </c>
      <c r="I1321" s="237" t="str">
        <f t="shared" si="1"/>
        <v>Fora</v>
      </c>
      <c r="J1321" s="239">
        <v>539.0000000072177</v>
      </c>
    </row>
    <row r="1322">
      <c r="A1322" s="234" t="s">
        <v>3016</v>
      </c>
      <c r="B1322" s="234" t="str">
        <f>IFERROR(__xludf.DUMMYFUNCTION("""COMPUTED_VALUE"""),"SoC_MG_Betim")</f>
        <v>SoC_MG_Betim</v>
      </c>
      <c r="C1322" s="234" t="str">
        <f>IFERROR(__xludf.DUMMYFUNCTION("""COMPUTED_VALUE"""),"SOC-MG2")</f>
        <v>SOC-MG2</v>
      </c>
      <c r="D1322" s="234">
        <f>IFERROR(__xludf.DUMMYFUNCTION("""COMPUTED_VALUE"""),91.0)</f>
        <v>91</v>
      </c>
      <c r="E1322" s="237" t="str">
        <f>IFERROR(__xludf.DUMMYFUNCTION("""COMPUTED_VALUE"""),"LT0PBQ01SOC62")</f>
        <v>LT0PBQ01SOC62</v>
      </c>
      <c r="F1322" s="238" t="str">
        <f>IFERROR(__xludf.DUMMYFUNCTION("""COMPUTED_VALUE"""),"RFE4B95,MLT4098")</f>
        <v>RFE4B95,MLT4098</v>
      </c>
      <c r="G1322" s="238">
        <f>IFERROR(__xludf.DUMMYFUNCTION("""COMPUTED_VALUE"""),45987.91736111111)</f>
        <v>45987.91736</v>
      </c>
      <c r="H1322" s="238">
        <f>IFERROR(__xludf.DUMMYFUNCTION("""COMPUTED_VALUE"""),45988.29166666667)</f>
        <v>45988.29167</v>
      </c>
      <c r="I1322" s="237" t="str">
        <f t="shared" si="1"/>
        <v>Fora</v>
      </c>
      <c r="J1322" s="239">
        <v>539.0000000072177</v>
      </c>
    </row>
    <row r="1323">
      <c r="A1323" s="234" t="s">
        <v>3017</v>
      </c>
      <c r="B1323" s="234" t="str">
        <f>IFERROR(__xludf.DUMMYFUNCTION("""COMPUTED_VALUE"""),"SoC_SP_Cravinhos")</f>
        <v>SoC_SP_Cravinhos</v>
      </c>
      <c r="C1323" s="234" t="str">
        <f>IFERROR(__xludf.DUMMYFUNCTION("""COMPUTED_VALUE"""),"SOC-SP5")</f>
        <v>SOC-SP5</v>
      </c>
      <c r="D1323" s="234">
        <f>IFERROR(__xludf.DUMMYFUNCTION("""COMPUTED_VALUE"""),95.0)</f>
        <v>95</v>
      </c>
      <c r="E1323" s="237" t="str">
        <f>IFERROR(__xludf.DUMMYFUNCTION("""COMPUTED_VALUE"""),"LT0PBQ01SFLT1")</f>
        <v>LT0PBQ01SFLT1</v>
      </c>
      <c r="F1323" s="238" t="str">
        <f>IFERROR(__xludf.DUMMYFUNCTION("""COMPUTED_VALUE"""),"QJR7C40,FTA0E26")</f>
        <v>QJR7C40,FTA0E26</v>
      </c>
      <c r="G1323" s="238">
        <f>IFERROR(__xludf.DUMMYFUNCTION("""COMPUTED_VALUE"""),45987.91736111111)</f>
        <v>45987.91736</v>
      </c>
      <c r="H1323" s="238">
        <f>IFERROR(__xludf.DUMMYFUNCTION("""COMPUTED_VALUE"""),45988.29166666667)</f>
        <v>45988.29167</v>
      </c>
      <c r="I1323" s="237" t="str">
        <f t="shared" si="1"/>
        <v>Fora</v>
      </c>
      <c r="J1323" s="239">
        <v>539.0000000072177</v>
      </c>
    </row>
    <row r="1324">
      <c r="A1324" s="234" t="s">
        <v>3018</v>
      </c>
      <c r="B1324" s="234" t="str">
        <f>IFERROR(__xludf.DUMMYFUNCTION("""COMPUTED_VALUE"""),"SoC_SP_Cravinhos")</f>
        <v>SoC_SP_Cravinhos</v>
      </c>
      <c r="C1324" s="234" t="str">
        <f>IFERROR(__xludf.DUMMYFUNCTION("""COMPUTED_VALUE"""),"SOC-SP5")</f>
        <v>SOC-SP5</v>
      </c>
      <c r="D1324" s="234">
        <f>IFERROR(__xludf.DUMMYFUNCTION("""COMPUTED_VALUE"""),94.0)</f>
        <v>94</v>
      </c>
      <c r="E1324" s="237" t="str">
        <f>IFERROR(__xludf.DUMMYFUNCTION("""COMPUTED_VALUE"""),"LT0PBQ01SFLV2")</f>
        <v>LT0PBQ01SFLV2</v>
      </c>
      <c r="F1324" s="238" t="str">
        <f>IFERROR(__xludf.DUMMYFUNCTION("""COMPUTED_VALUE"""),"FAU6B75,SWA7F40")</f>
        <v>FAU6B75,SWA7F40</v>
      </c>
      <c r="G1324" s="238">
        <f>IFERROR(__xludf.DUMMYFUNCTION("""COMPUTED_VALUE"""),45987.91736111111)</f>
        <v>45987.91736</v>
      </c>
      <c r="H1324" s="238">
        <f>IFERROR(__xludf.DUMMYFUNCTION("""COMPUTED_VALUE"""),45988.29166666667)</f>
        <v>45988.29167</v>
      </c>
      <c r="I1324" s="237" t="str">
        <f t="shared" si="1"/>
        <v>Fora</v>
      </c>
      <c r="J1324" s="239">
        <v>300.00000001396984</v>
      </c>
    </row>
    <row r="1325">
      <c r="A1325" s="234" t="s">
        <v>3019</v>
      </c>
      <c r="B1325" s="234" t="str">
        <f>IFERROR(__xludf.DUMMYFUNCTION("""COMPUTED_VALUE"""),"SoC_RJ_Duque de Caxias")</f>
        <v>SoC_RJ_Duque de Caxias</v>
      </c>
      <c r="C1325" s="234" t="str">
        <f>IFERROR(__xludf.DUMMYFUNCTION("""COMPUTED_VALUE"""),"SOC-RJ2")</f>
        <v>SOC-RJ2</v>
      </c>
      <c r="D1325" s="234">
        <f>IFERROR(__xludf.DUMMYFUNCTION("""COMPUTED_VALUE"""),5.0)</f>
        <v>5</v>
      </c>
      <c r="E1325" s="237" t="str">
        <f>IFERROR(__xludf.DUMMYFUNCTION("""COMPUTED_VALUE"""),"LT1PBR01SVQL1")</f>
        <v>LT1PBR01SVQL1</v>
      </c>
      <c r="F1325" s="238" t="str">
        <f>IFERROR(__xludf.DUMMYFUNCTION("""COMPUTED_VALUE"""),"RHW6B03,UAW9I16")</f>
        <v>RHW6B03,UAW9I16</v>
      </c>
      <c r="G1325" s="238">
        <f>IFERROR(__xludf.DUMMYFUNCTION("""COMPUTED_VALUE"""),45988.08333333333)</f>
        <v>45988.08333</v>
      </c>
      <c r="H1325" s="238">
        <f>IFERROR(__xludf.DUMMYFUNCTION("""COMPUTED_VALUE"""),45988.29166666667)</f>
        <v>45988.29167</v>
      </c>
      <c r="I1325" s="237" t="str">
        <f t="shared" si="1"/>
        <v>Fora</v>
      </c>
      <c r="J1325" s="239">
        <v>300.00000001396984</v>
      </c>
    </row>
    <row r="1326">
      <c r="A1326" s="234" t="s">
        <v>3020</v>
      </c>
      <c r="B1326" s="234" t="str">
        <f>IFERROR(__xludf.DUMMYFUNCTION("""COMPUTED_VALUE"""),"SoC_RJ_Duque de Caxias")</f>
        <v>SoC_RJ_Duque de Caxias</v>
      </c>
      <c r="C1326" s="234" t="str">
        <f>IFERROR(__xludf.DUMMYFUNCTION("""COMPUTED_VALUE"""),"SOC-RJ2")</f>
        <v>SOC-RJ2</v>
      </c>
      <c r="D1326" s="234">
        <f>IFERROR(__xludf.DUMMYFUNCTION("""COMPUTED_VALUE"""),93.0)</f>
        <v>93</v>
      </c>
      <c r="E1326" s="237" t="str">
        <f>IFERROR(__xludf.DUMMYFUNCTION("""COMPUTED_VALUE"""),"LT1PBR01SVQM1")</f>
        <v>LT1PBR01SVQM1</v>
      </c>
      <c r="F1326" s="238" t="str">
        <f>IFERROR(__xludf.DUMMYFUNCTION("""COMPUTED_VALUE"""),"UFF1E13,QSV1C27")</f>
        <v>UFF1E13,QSV1C27</v>
      </c>
      <c r="G1326" s="238">
        <f>IFERROR(__xludf.DUMMYFUNCTION("""COMPUTED_VALUE"""),45988.08333333333)</f>
        <v>45988.08333</v>
      </c>
      <c r="H1326" s="238">
        <f>IFERROR(__xludf.DUMMYFUNCTION("""COMPUTED_VALUE"""),45988.29166666667)</f>
        <v>45988.29167</v>
      </c>
      <c r="I1326" s="237" t="str">
        <f t="shared" si="1"/>
        <v>Fora</v>
      </c>
      <c r="J1326" s="239">
        <v>120.00000001396984</v>
      </c>
    </row>
    <row r="1327">
      <c r="A1327" s="234" t="s">
        <v>3021</v>
      </c>
      <c r="B1327" s="234" t="str">
        <f>IFERROR(__xludf.DUMMYFUNCTION("""COMPUTED_VALUE"""),"LM Hub_SP_Barueri_01")</f>
        <v>LM Hub_SP_Barueri_01</v>
      </c>
      <c r="C1327" s="234" t="str">
        <f>IFERROR(__xludf.DUMMYFUNCTION("""COMPUTED_VALUE"""),"HUB-LSP-81")</f>
        <v>HUB-LSP-81</v>
      </c>
      <c r="D1327" s="234">
        <f>IFERROR(__xludf.DUMMYFUNCTION("""COMPUTED_VALUE"""),6.0)</f>
        <v>6</v>
      </c>
      <c r="E1327" s="237" t="str">
        <f>IFERROR(__xludf.DUMMYFUNCTION("""COMPUTED_VALUE"""),"LT0PBR01SKYI1")</f>
        <v>LT0PBR01SKYI1</v>
      </c>
      <c r="F1327" s="238" t="str">
        <f>IFERROR(__xludf.DUMMYFUNCTION("""COMPUTED_VALUE"""),"OPY9J66")</f>
        <v>OPY9J66</v>
      </c>
      <c r="G1327" s="238">
        <f>IFERROR(__xludf.DUMMYFUNCTION("""COMPUTED_VALUE"""),45988.20833333333)</f>
        <v>45988.20833</v>
      </c>
      <c r="H1327" s="238">
        <f>IFERROR(__xludf.DUMMYFUNCTION("""COMPUTED_VALUE"""),45988.29166666667)</f>
        <v>45988.29167</v>
      </c>
      <c r="I1327" s="237" t="str">
        <f t="shared" si="1"/>
        <v>Fora</v>
      </c>
      <c r="J1327" s="239">
        <v>120.00000001396984</v>
      </c>
    </row>
    <row r="1328">
      <c r="A1328" s="234" t="s">
        <v>3022</v>
      </c>
      <c r="B1328" s="234" t="str">
        <f>IFERROR(__xludf.DUMMYFUNCTION("""COMPUTED_VALUE"""),"LM Hub_SP_Jundiaí")</f>
        <v>LM Hub_SP_Jundiaí</v>
      </c>
      <c r="C1328" s="234" t="str">
        <f>IFERROR(__xludf.DUMMYFUNCTION("""COMPUTED_VALUE"""),"HUB-LSP-100")</f>
        <v>HUB-LSP-100</v>
      </c>
      <c r="D1328" s="234">
        <f>IFERROR(__xludf.DUMMYFUNCTION("""COMPUTED_VALUE"""),12.0)</f>
        <v>12</v>
      </c>
      <c r="E1328" s="237" t="str">
        <f>IFERROR(__xludf.DUMMYFUNCTION("""COMPUTED_VALUE"""),"LT0PBR01SFRX1")</f>
        <v>LT0PBR01SFRX1</v>
      </c>
      <c r="F1328" s="238" t="str">
        <f>IFERROR(__xludf.DUMMYFUNCTION("""COMPUTED_VALUE"""),"DBM1893")</f>
        <v>DBM1893</v>
      </c>
      <c r="G1328" s="238">
        <f>IFERROR(__xludf.DUMMYFUNCTION("""COMPUTED_VALUE"""),45988.20833333333)</f>
        <v>45988.20833</v>
      </c>
      <c r="H1328" s="238">
        <f>IFERROR(__xludf.DUMMYFUNCTION("""COMPUTED_VALUE"""),45988.29166666667)</f>
        <v>45988.29167</v>
      </c>
      <c r="I1328" s="237" t="str">
        <f t="shared" si="1"/>
        <v>Fora</v>
      </c>
      <c r="J1328" s="239">
        <v>120.00000001396984</v>
      </c>
    </row>
    <row r="1329">
      <c r="A1329" s="234" t="s">
        <v>3023</v>
      </c>
      <c r="B1329" s="234" t="str">
        <f>IFERROR(__xludf.DUMMYFUNCTION("""COMPUTED_VALUE"""),"LM Hub_SP_Jurubatuba")</f>
        <v>LM Hub_SP_Jurubatuba</v>
      </c>
      <c r="C1329" s="234" t="str">
        <f>IFERROR(__xludf.DUMMYFUNCTION("""COMPUTED_VALUE"""),"HUB-LSP-16")</f>
        <v>HUB-LSP-16</v>
      </c>
      <c r="D1329" s="234">
        <f>IFERROR(__xludf.DUMMYFUNCTION("""COMPUTED_VALUE"""),22.0)</f>
        <v>22</v>
      </c>
      <c r="E1329" s="237" t="str">
        <f>IFERROR(__xludf.DUMMYFUNCTION("""COMPUTED_VALUE"""),"LT0PBR01SGQR1")</f>
        <v>LT0PBR01SGQR1</v>
      </c>
      <c r="F1329" s="238" t="str">
        <f>IFERROR(__xludf.DUMMYFUNCTION("""COMPUTED_VALUE"""),"MQM6I27,FXB7G01")</f>
        <v>MQM6I27,FXB7G01</v>
      </c>
      <c r="G1329" s="238">
        <f>IFERROR(__xludf.DUMMYFUNCTION("""COMPUTED_VALUE"""),45988.20833333333)</f>
        <v>45988.20833</v>
      </c>
      <c r="H1329" s="238">
        <f>IFERROR(__xludf.DUMMYFUNCTION("""COMPUTED_VALUE"""),45988.29166666667)</f>
        <v>45988.29167</v>
      </c>
      <c r="I1329" s="237" t="str">
        <f t="shared" si="1"/>
        <v>Fora</v>
      </c>
      <c r="J1329" s="239">
        <v>120.00000001396984</v>
      </c>
    </row>
    <row r="1330">
      <c r="A1330" s="234" t="s">
        <v>3024</v>
      </c>
      <c r="B1330" s="234" t="str">
        <f>IFERROR(__xludf.DUMMYFUNCTION("""COMPUTED_VALUE"""),"LM Hub_SP_Piracicaba")</f>
        <v>LM Hub_SP_Piracicaba</v>
      </c>
      <c r="C1330" s="234" t="str">
        <f>IFERROR(__xludf.DUMMYFUNCTION("""COMPUTED_VALUE"""),"HUB-LSP-62")</f>
        <v>HUB-LSP-62</v>
      </c>
      <c r="D1330" s="234"/>
      <c r="E1330" s="237" t="str">
        <f>IFERROR(__xludf.DUMMYFUNCTION("""COMPUTED_VALUE"""),"LT0PBR01SGBG1")</f>
        <v>LT0PBR01SGBG1</v>
      </c>
      <c r="F1330" s="238" t="str">
        <f>IFERROR(__xludf.DUMMYFUNCTION("""COMPUTED_VALUE"""),"EOF4D32")</f>
        <v>EOF4D32</v>
      </c>
      <c r="G1330" s="238">
        <f>IFERROR(__xludf.DUMMYFUNCTION("""COMPUTED_VALUE"""),45988.20833333333)</f>
        <v>45988.20833</v>
      </c>
      <c r="H1330" s="238">
        <f>IFERROR(__xludf.DUMMYFUNCTION("""COMPUTED_VALUE"""),45988.29166666667)</f>
        <v>45988.29167</v>
      </c>
      <c r="I1330" s="237" t="str">
        <f t="shared" si="1"/>
        <v>Fora</v>
      </c>
      <c r="J1330" s="239">
        <v>120.00000001396984</v>
      </c>
    </row>
    <row r="1331">
      <c r="A1331" s="234" t="s">
        <v>3025</v>
      </c>
      <c r="B1331" s="234" t="str">
        <f>IFERROR(__xludf.DUMMYFUNCTION("""COMPUTED_VALUE"""),"LM Hub_SP_Santos_PraiaGrande_02")</f>
        <v>LM Hub_SP_Santos_PraiaGrande_02</v>
      </c>
      <c r="C1331" s="234" t="str">
        <f>IFERROR(__xludf.DUMMYFUNCTION("""COMPUTED_VALUE"""),"HUB-LSP-63")</f>
        <v>HUB-LSP-63</v>
      </c>
      <c r="D1331" s="234">
        <f>IFERROR(__xludf.DUMMYFUNCTION("""COMPUTED_VALUE"""),21.0)</f>
        <v>21</v>
      </c>
      <c r="E1331" s="237" t="str">
        <f>IFERROR(__xludf.DUMMYFUNCTION("""COMPUTED_VALUE"""),"LT0PBR01SGRX1")</f>
        <v>LT0PBR01SGRX1</v>
      </c>
      <c r="F1331" s="238" t="str">
        <f>IFERROR(__xludf.DUMMYFUNCTION("""COMPUTED_VALUE"""),"GEJ6E62")</f>
        <v>GEJ6E62</v>
      </c>
      <c r="G1331" s="238">
        <f>IFERROR(__xludf.DUMMYFUNCTION("""COMPUTED_VALUE"""),45988.20833333333)</f>
        <v>45988.20833</v>
      </c>
      <c r="H1331" s="238">
        <f>IFERROR(__xludf.DUMMYFUNCTION("""COMPUTED_VALUE"""),45988.29166666667)</f>
        <v>45988.29167</v>
      </c>
      <c r="I1331" s="237" t="str">
        <f t="shared" si="1"/>
        <v>Fora</v>
      </c>
      <c r="J1331" s="239">
        <v>119.99999999301508</v>
      </c>
    </row>
    <row r="1332">
      <c r="A1332" s="234" t="s">
        <v>3026</v>
      </c>
      <c r="B1332" s="234" t="str">
        <f>IFERROR(__xludf.DUMMYFUNCTION("""COMPUTED_VALUE"""),"LM Hub_SP_Guarujá")</f>
        <v>LM Hub_SP_Guarujá</v>
      </c>
      <c r="C1332" s="234" t="str">
        <f>IFERROR(__xludf.DUMMYFUNCTION("""COMPUTED_VALUE"""),"HUB-LSP-06")</f>
        <v>HUB-LSP-06</v>
      </c>
      <c r="D1332" s="234">
        <f>IFERROR(__xludf.DUMMYFUNCTION("""COMPUTED_VALUE"""),9.0)</f>
        <v>9</v>
      </c>
      <c r="E1332" s="237" t="str">
        <f>IFERROR(__xludf.DUMMYFUNCTION("""COMPUTED_VALUE"""),"LT0PBR01SGRD1")</f>
        <v>LT0PBR01SGRD1</v>
      </c>
      <c r="F1332" s="238" t="str">
        <f>IFERROR(__xludf.DUMMYFUNCTION("""COMPUTED_VALUE"""),"DIK3532")</f>
        <v>DIK3532</v>
      </c>
      <c r="G1332" s="238">
        <f>IFERROR(__xludf.DUMMYFUNCTION("""COMPUTED_VALUE"""),45988.22916666667)</f>
        <v>45988.22917</v>
      </c>
      <c r="H1332" s="238">
        <f>IFERROR(__xludf.DUMMYFUNCTION("""COMPUTED_VALUE"""),45988.3125)</f>
        <v>45988.3125</v>
      </c>
      <c r="I1332" s="237" t="str">
        <f t="shared" si="1"/>
        <v>Fora</v>
      </c>
      <c r="J1332" s="239">
        <v>119.99999999301508</v>
      </c>
    </row>
    <row r="1333">
      <c r="A1333" s="234" t="s">
        <v>3027</v>
      </c>
      <c r="B1333" s="234" t="str">
        <f>IFERROR(__xludf.DUMMYFUNCTION("""COMPUTED_VALUE"""),"LM Hub_SP_Itapevi")</f>
        <v>LM Hub_SP_Itapevi</v>
      </c>
      <c r="C1333" s="234" t="str">
        <f>IFERROR(__xludf.DUMMYFUNCTION("""COMPUTED_VALUE"""),"HUB-LSP-41")</f>
        <v>HUB-LSP-41</v>
      </c>
      <c r="D1333" s="234">
        <f>IFERROR(__xludf.DUMMYFUNCTION("""COMPUTED_VALUE"""),15.0)</f>
        <v>15</v>
      </c>
      <c r="E1333" s="237" t="str">
        <f>IFERROR(__xludf.DUMMYFUNCTION("""COMPUTED_VALUE"""),"LT0PBR01SFNO1")</f>
        <v>LT0PBR01SFNO1</v>
      </c>
      <c r="F1333" s="238" t="str">
        <f>IFERROR(__xludf.DUMMYFUNCTION("""COMPUTED_VALUE"""),"HNQ8267")</f>
        <v>HNQ8267</v>
      </c>
      <c r="G1333" s="238">
        <f>IFERROR(__xludf.DUMMYFUNCTION("""COMPUTED_VALUE"""),45988.22916666667)</f>
        <v>45988.22917</v>
      </c>
      <c r="H1333" s="238">
        <f>IFERROR(__xludf.DUMMYFUNCTION("""COMPUTED_VALUE"""),45988.3125)</f>
        <v>45988.3125</v>
      </c>
      <c r="I1333" s="237" t="str">
        <f t="shared" si="1"/>
        <v>Fora</v>
      </c>
      <c r="J1333" s="239">
        <v>119.99999999301508</v>
      </c>
    </row>
    <row r="1334">
      <c r="A1334" s="234" t="s">
        <v>3028</v>
      </c>
      <c r="B1334" s="234" t="str">
        <f>IFERROR(__xludf.DUMMYFUNCTION("""COMPUTED_VALUE"""),"LM Hub_SP_Santos_Praia Grande")</f>
        <v>LM Hub_SP_Santos_Praia Grande</v>
      </c>
      <c r="C1334" s="234" t="str">
        <f>IFERROR(__xludf.DUMMYFUNCTION("""COMPUTED_VALUE"""),"HUB-LSP-09")</f>
        <v>HUB-LSP-09</v>
      </c>
      <c r="D1334" s="234">
        <f>IFERROR(__xludf.DUMMYFUNCTION("""COMPUTED_VALUE"""),27.0)</f>
        <v>27</v>
      </c>
      <c r="E1334" s="237" t="str">
        <f>IFERROR(__xludf.DUMMYFUNCTION("""COMPUTED_VALUE"""),"LT0PBR01SGRI1")</f>
        <v>LT0PBR01SGRI1</v>
      </c>
      <c r="F1334" s="238" t="str">
        <f>IFERROR(__xludf.DUMMYFUNCTION("""COMPUTED_VALUE"""),"GDW1D96")</f>
        <v>GDW1D96</v>
      </c>
      <c r="G1334" s="238">
        <f>IFERROR(__xludf.DUMMYFUNCTION("""COMPUTED_VALUE"""),45988.22916666667)</f>
        <v>45988.22917</v>
      </c>
      <c r="H1334" s="238">
        <f>IFERROR(__xludf.DUMMYFUNCTION("""COMPUTED_VALUE"""),45988.3125)</f>
        <v>45988.3125</v>
      </c>
      <c r="I1334" s="237" t="str">
        <f t="shared" si="1"/>
        <v>Fora</v>
      </c>
      <c r="J1334" s="239">
        <v>119.99999999301508</v>
      </c>
    </row>
    <row r="1335">
      <c r="A1335" s="234" t="s">
        <v>3029</v>
      </c>
      <c r="B1335" s="234" t="str">
        <f>IFERROR(__xludf.DUMMYFUNCTION("""COMPUTED_VALUE"""),"LM Hub_SP_São José dos Campos")</f>
        <v>LM Hub_SP_São José dos Campos</v>
      </c>
      <c r="C1335" s="234" t="str">
        <f>IFERROR(__xludf.DUMMYFUNCTION("""COMPUTED_VALUE"""),"HUB-LSP-04")</f>
        <v>HUB-LSP-04</v>
      </c>
      <c r="D1335" s="234">
        <f>IFERROR(__xludf.DUMMYFUNCTION("""COMPUTED_VALUE"""),25.0)</f>
        <v>25</v>
      </c>
      <c r="E1335" s="237" t="str">
        <f>IFERROR(__xludf.DUMMYFUNCTION("""COMPUTED_VALUE"""),"LT0PBR01SGRN1")</f>
        <v>LT0PBR01SGRN1</v>
      </c>
      <c r="F1335" s="238" t="str">
        <f>IFERROR(__xludf.DUMMYFUNCTION("""COMPUTED_VALUE"""),"GEU4H46")</f>
        <v>GEU4H46</v>
      </c>
      <c r="G1335" s="238">
        <f>IFERROR(__xludf.DUMMYFUNCTION("""COMPUTED_VALUE"""),45988.22916666667)</f>
        <v>45988.22917</v>
      </c>
      <c r="H1335" s="238">
        <f>IFERROR(__xludf.DUMMYFUNCTION("""COMPUTED_VALUE"""),45988.3125)</f>
        <v>45988.3125</v>
      </c>
      <c r="I1335" s="237" t="str">
        <f t="shared" si="1"/>
        <v>Fora</v>
      </c>
      <c r="J1335" s="239">
        <v>119.99999999301508</v>
      </c>
    </row>
    <row r="1336">
      <c r="A1336" s="234" t="s">
        <v>3030</v>
      </c>
      <c r="B1336" s="234" t="str">
        <f>IFERROR(__xludf.DUMMYFUNCTION("""COMPUTED_VALUE"""),"LM Hub_SP_São Paulo_Mooca")</f>
        <v>LM Hub_SP_São Paulo_Mooca</v>
      </c>
      <c r="C1336" s="234" t="str">
        <f>IFERROR(__xludf.DUMMYFUNCTION("""COMPUTED_VALUE"""),"HUB-LSP-13")</f>
        <v>HUB-LSP-13</v>
      </c>
      <c r="D1336" s="234">
        <f>IFERROR(__xludf.DUMMYFUNCTION("""COMPUTED_VALUE"""),7.0)</f>
        <v>7</v>
      </c>
      <c r="E1336" s="237" t="str">
        <f>IFERROR(__xludf.DUMMYFUNCTION("""COMPUTED_VALUE"""),"LT0PBR01SOLI1")</f>
        <v>LT0PBR01SOLI1</v>
      </c>
      <c r="F1336" s="238" t="str">
        <f>IFERROR(__xludf.DUMMYFUNCTION("""COMPUTED_VALUE"""),"FGI1F79")</f>
        <v>FGI1F79</v>
      </c>
      <c r="G1336" s="238">
        <f>IFERROR(__xludf.DUMMYFUNCTION("""COMPUTED_VALUE"""),45988.22916666667)</f>
        <v>45988.22917</v>
      </c>
      <c r="H1336" s="238">
        <f>IFERROR(__xludf.DUMMYFUNCTION("""COMPUTED_VALUE"""),45988.3125)</f>
        <v>45988.3125</v>
      </c>
      <c r="I1336" s="237" t="str">
        <f t="shared" si="1"/>
        <v>Fora</v>
      </c>
      <c r="J1336" s="239">
        <v>119.99999999301508</v>
      </c>
    </row>
    <row r="1337">
      <c r="A1337" s="234" t="s">
        <v>3031</v>
      </c>
      <c r="B1337" s="234" t="str">
        <f>IFERROR(__xludf.DUMMYFUNCTION("""COMPUTED_VALUE"""),"LM Hub_SP_Zimba")</f>
        <v>LM Hub_SP_Zimba</v>
      </c>
      <c r="C1337" s="234" t="str">
        <f>IFERROR(__xludf.DUMMYFUNCTION("""COMPUTED_VALUE"""),"HUB-LSP-74")</f>
        <v>HUB-LSP-74</v>
      </c>
      <c r="D1337" s="234"/>
      <c r="E1337" s="237" t="str">
        <f>IFERROR(__xludf.DUMMYFUNCTION("""COMPUTED_VALUE"""),"LT0PBR01SGR81")</f>
        <v>LT0PBR01SGR81</v>
      </c>
      <c r="F1337" s="238" t="str">
        <f>IFERROR(__xludf.DUMMYFUNCTION("""COMPUTED_VALUE"""),"RCA4J36")</f>
        <v>RCA4J36</v>
      </c>
      <c r="G1337" s="238">
        <f>IFERROR(__xludf.DUMMYFUNCTION("""COMPUTED_VALUE"""),45988.22916666667)</f>
        <v>45988.22917</v>
      </c>
      <c r="H1337" s="238">
        <f>IFERROR(__xludf.DUMMYFUNCTION("""COMPUTED_VALUE"""),45988.3125)</f>
        <v>45988.3125</v>
      </c>
      <c r="I1337" s="237" t="str">
        <f t="shared" si="1"/>
        <v>Fora</v>
      </c>
      <c r="J1337" s="239">
        <v>540.0</v>
      </c>
    </row>
    <row r="1338">
      <c r="A1338" s="234" t="s">
        <v>3032</v>
      </c>
      <c r="B1338" s="234" t="str">
        <f>IFERROR(__xludf.DUMMYFUNCTION("""COMPUTED_VALUE"""),"SoC_MG_Betim")</f>
        <v>SoC_MG_Betim</v>
      </c>
      <c r="C1338" s="234" t="str">
        <f>IFERROR(__xludf.DUMMYFUNCTION("""COMPUTED_VALUE"""),"SOC-MG2")</f>
        <v>SOC-MG2</v>
      </c>
      <c r="D1338" s="234"/>
      <c r="E1338" s="237" t="str">
        <f>IFERROR(__xludf.DUMMYFUNCTION("""COMPUTED_VALUE"""),"LT0PBQ01SFKJ2")</f>
        <v>LT0PBQ01SFKJ2</v>
      </c>
      <c r="F1338" s="238" t="str">
        <f>IFERROR(__xludf.DUMMYFUNCTION("""COMPUTED_VALUE"""),"FRM4I25,FCM8B62")</f>
        <v>FRM4I25,FCM8B62</v>
      </c>
      <c r="G1338" s="238">
        <f>IFERROR(__xludf.DUMMYFUNCTION("""COMPUTED_VALUE"""),45987.95833333333)</f>
        <v>45987.95833</v>
      </c>
      <c r="H1338" s="238">
        <f>IFERROR(__xludf.DUMMYFUNCTION("""COMPUTED_VALUE"""),45988.33333333333)</f>
        <v>45988.33333</v>
      </c>
      <c r="I1338" s="237" t="str">
        <f t="shared" si="1"/>
        <v>Fora</v>
      </c>
      <c r="J1338" s="239">
        <v>120.00000001396984</v>
      </c>
    </row>
    <row r="1339">
      <c r="A1339" s="234" t="s">
        <v>3033</v>
      </c>
      <c r="B1339" s="234" t="str">
        <f>IFERROR(__xludf.DUMMYFUNCTION("""COMPUTED_VALUE"""),"LM Hub_MG_Juiz de Fora_Dist Ind")</f>
        <v>LM Hub_MG_Juiz de Fora_Dist Ind</v>
      </c>
      <c r="C1339" s="234" t="str">
        <f>IFERROR(__xludf.DUMMYFUNCTION("""COMPUTED_VALUE"""),"HUB-LMG-59")</f>
        <v>HUB-LMG-59</v>
      </c>
      <c r="D1339" s="234">
        <f>IFERROR(__xludf.DUMMYFUNCTION("""COMPUTED_VALUE"""),15.0)</f>
        <v>15</v>
      </c>
      <c r="E1339" s="237" t="str">
        <f>IFERROR(__xludf.DUMMYFUNCTION("""COMPUTED_VALUE"""),"LT0PBR01SM1L1")</f>
        <v>LT0PBR01SM1L1</v>
      </c>
      <c r="F1339" s="238" t="str">
        <f>IFERROR(__xludf.DUMMYFUNCTION("""COMPUTED_VALUE"""),"SVY7B23")</f>
        <v>SVY7B23</v>
      </c>
      <c r="G1339" s="238">
        <f>IFERROR(__xludf.DUMMYFUNCTION("""COMPUTED_VALUE"""),45988.89583333333)</f>
        <v>45988.89583</v>
      </c>
      <c r="H1339" s="238">
        <f>IFERROR(__xludf.DUMMYFUNCTION("""COMPUTED_VALUE"""),45988.97916666667)</f>
        <v>45988.97917</v>
      </c>
      <c r="I1339" s="237" t="str">
        <f t="shared" si="1"/>
        <v>Fora</v>
      </c>
      <c r="J1339" s="239">
        <v>120.00000001396984</v>
      </c>
    </row>
    <row r="1340">
      <c r="A1340" s="234" t="s">
        <v>3034</v>
      </c>
      <c r="B1340" s="234" t="str">
        <f>IFERROR(__xludf.DUMMYFUNCTION("""COMPUTED_VALUE"""),"LM Hub_SP_Itaqua_Zimba")</f>
        <v>LM Hub_SP_Itaqua_Zimba</v>
      </c>
      <c r="C1340" s="234" t="str">
        <f>IFERROR(__xludf.DUMMYFUNCTION("""COMPUTED_VALUE"""),"HUB")</f>
        <v>HUB</v>
      </c>
      <c r="D1340" s="234">
        <f>IFERROR(__xludf.DUMMYFUNCTION("""COMPUTED_VALUE"""),29.0)</f>
        <v>29</v>
      </c>
      <c r="E1340" s="237" t="str">
        <f>IFERROR(__xludf.DUMMYFUNCTION("""COMPUTED_VALUE"""),"LT0PBR01SFO81")</f>
        <v>LT0PBR01SFO81</v>
      </c>
      <c r="F1340" s="238" t="str">
        <f>IFERROR(__xludf.DUMMYFUNCTION("""COMPUTED_VALUE"""),"SUQ5C99,TLD5B82")</f>
        <v>SUQ5C99,TLD5B82</v>
      </c>
      <c r="G1340" s="238">
        <f>IFERROR(__xludf.DUMMYFUNCTION("""COMPUTED_VALUE"""),45988.89583333333)</f>
        <v>45988.89583</v>
      </c>
      <c r="H1340" s="238">
        <f>IFERROR(__xludf.DUMMYFUNCTION("""COMPUTED_VALUE"""),45988.97916666667)</f>
        <v>45988.97917</v>
      </c>
      <c r="I1340" s="237" t="str">
        <f t="shared" si="1"/>
        <v>Fora</v>
      </c>
      <c r="J1340" s="239">
        <v>120.00000001396984</v>
      </c>
    </row>
    <row r="1341">
      <c r="A1341" s="234" t="s">
        <v>3035</v>
      </c>
      <c r="B1341" s="234" t="str">
        <f>IFERROR(__xludf.DUMMYFUNCTION("""COMPUTED_VALUE"""),"LM Hub_SP_Santos_Praia Grande")</f>
        <v>LM Hub_SP_Santos_Praia Grande</v>
      </c>
      <c r="C1341" s="234" t="str">
        <f>IFERROR(__xludf.DUMMYFUNCTION("""COMPUTED_VALUE"""),"HUB-LSP-09")</f>
        <v>HUB-LSP-09</v>
      </c>
      <c r="D1341" s="234">
        <f>IFERROR(__xludf.DUMMYFUNCTION("""COMPUTED_VALUE"""),32.0)</f>
        <v>32</v>
      </c>
      <c r="E1341" s="237" t="str">
        <f>IFERROR(__xludf.DUMMYFUNCTION("""COMPUTED_VALUE"""),"LT0PBR01SFQ31")</f>
        <v>LT0PBR01SFQ31</v>
      </c>
      <c r="F1341" s="238" t="str">
        <f>IFERROR(__xludf.DUMMYFUNCTION("""COMPUTED_VALUE"""),"GDK3309,GDS7G86")</f>
        <v>GDK3309,GDS7G86</v>
      </c>
      <c r="G1341" s="238">
        <f>IFERROR(__xludf.DUMMYFUNCTION("""COMPUTED_VALUE"""),45988.89583333333)</f>
        <v>45988.89583</v>
      </c>
      <c r="H1341" s="238">
        <f>IFERROR(__xludf.DUMMYFUNCTION("""COMPUTED_VALUE"""),45988.97916666667)</f>
        <v>45988.97917</v>
      </c>
      <c r="I1341" s="237" t="str">
        <f t="shared" si="1"/>
        <v>Fora</v>
      </c>
      <c r="J1341" s="239">
        <v>119.00000001071021</v>
      </c>
    </row>
    <row r="1342">
      <c r="A1342" s="234" t="s">
        <v>3036</v>
      </c>
      <c r="B1342" s="234" t="str">
        <f>IFERROR(__xludf.DUMMYFUNCTION("""COMPUTED_VALUE"""),"LM Hub_SP_Jurubatuba")</f>
        <v>LM Hub_SP_Jurubatuba</v>
      </c>
      <c r="C1342" s="234" t="str">
        <f>IFERROR(__xludf.DUMMYFUNCTION("""COMPUTED_VALUE"""),"HUB-LSP-16")</f>
        <v>HUB-LSP-16</v>
      </c>
      <c r="D1342" s="234">
        <f>IFERROR(__xludf.DUMMYFUNCTION("""COMPUTED_VALUE"""),16.0)</f>
        <v>16</v>
      </c>
      <c r="E1342" s="237" t="str">
        <f>IFERROR(__xludf.DUMMYFUNCTION("""COMPUTED_VALUE"""),"LT0PBR01SOCQ1")</f>
        <v>LT0PBR01SOCQ1</v>
      </c>
      <c r="F1342" s="238" t="str">
        <f>IFERROR(__xludf.DUMMYFUNCTION("""COMPUTED_VALUE"""),"DTD4722,NCK7E66")</f>
        <v>DTD4722,NCK7E66</v>
      </c>
      <c r="G1342" s="238">
        <f>IFERROR(__xludf.DUMMYFUNCTION("""COMPUTED_VALUE"""),45988.896527777775)</f>
        <v>45988.89653</v>
      </c>
      <c r="H1342" s="238">
        <f>IFERROR(__xludf.DUMMYFUNCTION("""COMPUTED_VALUE"""),45988.97916666667)</f>
        <v>45988.97917</v>
      </c>
      <c r="I1342" s="237" t="str">
        <f t="shared" si="1"/>
        <v>Fora</v>
      </c>
      <c r="J1342" s="239">
        <v>119.00000001071021</v>
      </c>
    </row>
    <row r="1343">
      <c r="A1343" s="234" t="s">
        <v>3037</v>
      </c>
      <c r="B1343" s="234" t="str">
        <f>IFERROR(__xludf.DUMMYFUNCTION("""COMPUTED_VALUE"""),"LM Hub_SP_Mogi das Cruzes_Jund")</f>
        <v>LM Hub_SP_Mogi das Cruzes_Jund</v>
      </c>
      <c r="C1343" s="234" t="str">
        <f>IFERROR(__xludf.DUMMYFUNCTION("""COMPUTED_VALUE"""),"HUB-LSP-78")</f>
        <v>HUB-LSP-78</v>
      </c>
      <c r="D1343" s="234"/>
      <c r="E1343" s="237" t="str">
        <f>IFERROR(__xludf.DUMMYFUNCTION("""COMPUTED_VALUE"""),"LT0PBR01SII21")</f>
        <v>LT0PBR01SII21</v>
      </c>
      <c r="F1343" s="234"/>
      <c r="G1343" s="238">
        <f>IFERROR(__xludf.DUMMYFUNCTION("""COMPUTED_VALUE"""),45988.896527777775)</f>
        <v>45988.89653</v>
      </c>
      <c r="H1343" s="238">
        <f>IFERROR(__xludf.DUMMYFUNCTION("""COMPUTED_VALUE"""),45988.97916666667)</f>
        <v>45988.97917</v>
      </c>
      <c r="I1343" s="237" t="str">
        <f t="shared" si="1"/>
        <v>Fora</v>
      </c>
      <c r="J1343" s="239">
        <v>119.00000001071021</v>
      </c>
    </row>
    <row r="1344">
      <c r="A1344" s="234" t="s">
        <v>3038</v>
      </c>
      <c r="B1344" s="234" t="str">
        <f>IFERROR(__xludf.DUMMYFUNCTION("""COMPUTED_VALUE"""),"LM Hub_SP_São José dos Campos")</f>
        <v>LM Hub_SP_São José dos Campos</v>
      </c>
      <c r="C1344" s="234" t="str">
        <f>IFERROR(__xludf.DUMMYFUNCTION("""COMPUTED_VALUE"""),"HUB-LSP-04")</f>
        <v>HUB-LSP-04</v>
      </c>
      <c r="D1344" s="234">
        <f>IFERROR(__xludf.DUMMYFUNCTION("""COMPUTED_VALUE"""),17.0)</f>
        <v>17</v>
      </c>
      <c r="E1344" s="237" t="str">
        <f>IFERROR(__xludf.DUMMYFUNCTION("""COMPUTED_VALUE"""),"LT0PBR01SODG1")</f>
        <v>LT0PBR01SODG1</v>
      </c>
      <c r="F1344" s="238" t="str">
        <f>IFERROR(__xludf.DUMMYFUNCTION("""COMPUTED_VALUE"""),"TIR7J78")</f>
        <v>TIR7J78</v>
      </c>
      <c r="G1344" s="238">
        <f>IFERROR(__xludf.DUMMYFUNCTION("""COMPUTED_VALUE"""),45988.896527777775)</f>
        <v>45988.89653</v>
      </c>
      <c r="H1344" s="238">
        <f>IFERROR(__xludf.DUMMYFUNCTION("""COMPUTED_VALUE"""),45988.97916666667)</f>
        <v>45988.97917</v>
      </c>
      <c r="I1344" s="237" t="str">
        <f t="shared" si="1"/>
        <v>Fora</v>
      </c>
      <c r="J1344" s="239">
        <v>119.00000001071021</v>
      </c>
    </row>
    <row r="1345">
      <c r="A1345" s="234" t="s">
        <v>3039</v>
      </c>
      <c r="B1345" s="234" t="str">
        <f>IFERROR(__xludf.DUMMYFUNCTION("""COMPUTED_VALUE"""),"LM Hub_SP_São Paulo_Lapa")</f>
        <v>LM Hub_SP_São Paulo_Lapa</v>
      </c>
      <c r="C1345" s="234" t="str">
        <f>IFERROR(__xludf.DUMMYFUNCTION("""COMPUTED_VALUE"""),"HUB-LSP-15")</f>
        <v>HUB-LSP-15</v>
      </c>
      <c r="D1345" s="234">
        <f>IFERROR(__xludf.DUMMYFUNCTION("""COMPUTED_VALUE"""),44.0)</f>
        <v>44</v>
      </c>
      <c r="E1345" s="237" t="str">
        <f>IFERROR(__xludf.DUMMYFUNCTION("""COMPUTED_VALUE"""),"LT0PBR01SOCK1")</f>
        <v>LT0PBR01SOCK1</v>
      </c>
      <c r="F1345" s="238" t="str">
        <f>IFERROR(__xludf.DUMMYFUNCTION("""COMPUTED_VALUE"""),"BZO5G56,GFT5F38")</f>
        <v>BZO5G56,GFT5F38</v>
      </c>
      <c r="G1345" s="238">
        <f>IFERROR(__xludf.DUMMYFUNCTION("""COMPUTED_VALUE"""),45988.896527777775)</f>
        <v>45988.89653</v>
      </c>
      <c r="H1345" s="238">
        <f>IFERROR(__xludf.DUMMYFUNCTION("""COMPUTED_VALUE"""),45988.97916666667)</f>
        <v>45988.97917</v>
      </c>
      <c r="I1345" s="237" t="str">
        <f t="shared" si="1"/>
        <v>Fora</v>
      </c>
      <c r="J1345" s="239">
        <v>118.99999998975545</v>
      </c>
    </row>
    <row r="1346">
      <c r="A1346" s="234" t="s">
        <v>3040</v>
      </c>
      <c r="B1346" s="234" t="str">
        <f>IFERROR(__xludf.DUMMYFUNCTION("""COMPUTED_VALUE"""),"LM Hub_SP_Guarujá")</f>
        <v>LM Hub_SP_Guarujá</v>
      </c>
      <c r="C1346" s="234" t="str">
        <f>IFERROR(__xludf.DUMMYFUNCTION("""COMPUTED_VALUE"""),"HUB-LSP-06")</f>
        <v>HUB-LSP-06</v>
      </c>
      <c r="D1346" s="234">
        <f>IFERROR(__xludf.DUMMYFUNCTION("""COMPUTED_VALUE"""),9.0)</f>
        <v>9</v>
      </c>
      <c r="E1346" s="237" t="str">
        <f>IFERROR(__xludf.DUMMYFUNCTION("""COMPUTED_VALUE"""),"LT0PBR01SFP31")</f>
        <v>LT0PBR01SFP31</v>
      </c>
      <c r="F1346" s="238" t="str">
        <f>IFERROR(__xludf.DUMMYFUNCTION("""COMPUTED_VALUE"""),"TJN5H17")</f>
        <v>TJN5H17</v>
      </c>
      <c r="G1346" s="238">
        <f>IFERROR(__xludf.DUMMYFUNCTION("""COMPUTED_VALUE"""),45988.91666666667)</f>
        <v>45988.91667</v>
      </c>
      <c r="H1346" s="238">
        <f>IFERROR(__xludf.DUMMYFUNCTION("""COMPUTED_VALUE"""),45988.99930555555)</f>
        <v>45988.99931</v>
      </c>
      <c r="I1346" s="237" t="str">
        <f t="shared" si="1"/>
        <v>Fora</v>
      </c>
      <c r="J1346" s="239">
        <v>119.99999999301508</v>
      </c>
    </row>
    <row r="1347">
      <c r="A1347" s="234" t="s">
        <v>3041</v>
      </c>
      <c r="B1347" s="234" t="str">
        <f>IFERROR(__xludf.DUMMYFUNCTION("""COMPUTED_VALUE"""),"LM Hub_RS_Porto Alegre_Floresta")</f>
        <v>LM Hub_RS_Porto Alegre_Floresta</v>
      </c>
      <c r="C1347" s="234" t="str">
        <f>IFERROR(__xludf.DUMMYFUNCTION("""COMPUTED_VALUE"""),"HUB-LRS-03")</f>
        <v>HUB-LRS-03</v>
      </c>
      <c r="D1347" s="234">
        <f>IFERROR(__xludf.DUMMYFUNCTION("""COMPUTED_VALUE"""),23.0)</f>
        <v>23</v>
      </c>
      <c r="E1347" s="237" t="str">
        <f>IFERROR(__xludf.DUMMYFUNCTION("""COMPUTED_VALUE"""),"LT0PBR01SM121")</f>
        <v>LT0PBR01SM121</v>
      </c>
      <c r="F1347" s="238" t="str">
        <f>IFERROR(__xludf.DUMMYFUNCTION("""COMPUTED_VALUE"""),"FCM8G15")</f>
        <v>FCM8G15</v>
      </c>
      <c r="G1347" s="238">
        <f>IFERROR(__xludf.DUMMYFUNCTION("""COMPUTED_VALUE"""),45988.91666666667)</f>
        <v>45988.91667</v>
      </c>
      <c r="H1347" s="238">
        <f>IFERROR(__xludf.DUMMYFUNCTION("""COMPUTED_VALUE"""),45989.0)</f>
        <v>45989</v>
      </c>
      <c r="I1347" s="237" t="str">
        <f t="shared" si="1"/>
        <v>Fora</v>
      </c>
      <c r="J1347" s="239">
        <v>119.99999999301508</v>
      </c>
    </row>
    <row r="1348">
      <c r="A1348" s="234" t="s">
        <v>3042</v>
      </c>
      <c r="B1348" s="234" t="str">
        <f>IFERROR(__xludf.DUMMYFUNCTION("""COMPUTED_VALUE"""),"LM Hub_SP_Artur Alvim")</f>
        <v>LM Hub_SP_Artur Alvim</v>
      </c>
      <c r="C1348" s="234" t="str">
        <f>IFERROR(__xludf.DUMMYFUNCTION("""COMPUTED_VALUE"""),"HUB-LSP-07")</f>
        <v>HUB-LSP-07</v>
      </c>
      <c r="D1348" s="234">
        <f>IFERROR(__xludf.DUMMYFUNCTION("""COMPUTED_VALUE"""),18.0)</f>
        <v>18</v>
      </c>
      <c r="E1348" s="237" t="str">
        <f>IFERROR(__xludf.DUMMYFUNCTION("""COMPUTED_VALUE"""),"LT0PBR01SFMO1")</f>
        <v>LT0PBR01SFMO1</v>
      </c>
      <c r="F1348" s="238" t="str">
        <f>IFERROR(__xludf.DUMMYFUNCTION("""COMPUTED_VALUE"""),"CUA7E69,CGR1D13")</f>
        <v>CUA7E69,CGR1D13</v>
      </c>
      <c r="G1348" s="238">
        <f>IFERROR(__xludf.DUMMYFUNCTION("""COMPUTED_VALUE"""),45988.91666666667)</f>
        <v>45988.91667</v>
      </c>
      <c r="H1348" s="238">
        <f>IFERROR(__xludf.DUMMYFUNCTION("""COMPUTED_VALUE"""),45989.0)</f>
        <v>45989</v>
      </c>
      <c r="I1348" s="237" t="str">
        <f t="shared" si="1"/>
        <v>Fora</v>
      </c>
      <c r="J1348" s="239">
        <v>119.99999999301508</v>
      </c>
    </row>
    <row r="1349">
      <c r="A1349" s="234" t="s">
        <v>3043</v>
      </c>
      <c r="B1349" s="234" t="str">
        <f>IFERROR(__xludf.DUMMYFUNCTION("""COMPUTED_VALUE"""),"LM Hub_SP_Barueri_01")</f>
        <v>LM Hub_SP_Barueri_01</v>
      </c>
      <c r="C1349" s="234" t="str">
        <f>IFERROR(__xludf.DUMMYFUNCTION("""COMPUTED_VALUE"""),"HUB-LSP-81")</f>
        <v>HUB-LSP-81</v>
      </c>
      <c r="D1349" s="234">
        <f>IFERROR(__xludf.DUMMYFUNCTION("""COMPUTED_VALUE"""),14.0)</f>
        <v>14</v>
      </c>
      <c r="E1349" s="237" t="str">
        <f>IFERROR(__xludf.DUMMYFUNCTION("""COMPUTED_VALUE"""),"LT0PBR01SKYO1")</f>
        <v>LT0PBR01SKYO1</v>
      </c>
      <c r="F1349" s="238" t="str">
        <f>IFERROR(__xludf.DUMMYFUNCTION("""COMPUTED_VALUE"""),"GEV2J37")</f>
        <v>GEV2J37</v>
      </c>
      <c r="G1349" s="238">
        <f>IFERROR(__xludf.DUMMYFUNCTION("""COMPUTED_VALUE"""),45988.91666666667)</f>
        <v>45988.91667</v>
      </c>
      <c r="H1349" s="238">
        <f>IFERROR(__xludf.DUMMYFUNCTION("""COMPUTED_VALUE"""),45989.0)</f>
        <v>45989</v>
      </c>
      <c r="I1349" s="237" t="str">
        <f t="shared" si="1"/>
        <v>Fora</v>
      </c>
      <c r="J1349" s="239">
        <v>119.99999999301508</v>
      </c>
    </row>
    <row r="1350">
      <c r="A1350" s="234" t="s">
        <v>3044</v>
      </c>
      <c r="B1350" s="234" t="str">
        <f>IFERROR(__xludf.DUMMYFUNCTION("""COMPUTED_VALUE"""),"LM Hub_SP_Limeira_Campo Belo")</f>
        <v>LM Hub_SP_Limeira_Campo Belo</v>
      </c>
      <c r="C1350" s="234" t="str">
        <f>IFERROR(__xludf.DUMMYFUNCTION("""COMPUTED_VALUE"""),"HUB-LSP-24")</f>
        <v>HUB-LSP-24</v>
      </c>
      <c r="D1350" s="234">
        <f>IFERROR(__xludf.DUMMYFUNCTION("""COMPUTED_VALUE"""),38.0)</f>
        <v>38</v>
      </c>
      <c r="E1350" s="237" t="str">
        <f>IFERROR(__xludf.DUMMYFUNCTION("""COMPUTED_VALUE"""),"LT0PBR01SFQK1")</f>
        <v>LT0PBR01SFQK1</v>
      </c>
      <c r="F1350" s="238" t="str">
        <f>IFERROR(__xludf.DUMMYFUNCTION("""COMPUTED_VALUE"""),"FLN0H65,FTJ9A92")</f>
        <v>FLN0H65,FTJ9A92</v>
      </c>
      <c r="G1350" s="238">
        <f>IFERROR(__xludf.DUMMYFUNCTION("""COMPUTED_VALUE"""),45988.91666666667)</f>
        <v>45988.91667</v>
      </c>
      <c r="H1350" s="238">
        <f>IFERROR(__xludf.DUMMYFUNCTION("""COMPUTED_VALUE"""),45989.0)</f>
        <v>45989</v>
      </c>
      <c r="I1350" s="237" t="str">
        <f t="shared" si="1"/>
        <v>Fora</v>
      </c>
      <c r="J1350" s="239">
        <v>119.99999999301508</v>
      </c>
    </row>
    <row r="1351">
      <c r="A1351" s="234" t="s">
        <v>3045</v>
      </c>
      <c r="B1351" s="234" t="str">
        <f>IFERROR(__xludf.DUMMYFUNCTION("""COMPUTED_VALUE"""),"LM Hub_SP_Mauá")</f>
        <v>LM Hub_SP_Mauá</v>
      </c>
      <c r="C1351" s="234" t="str">
        <f>IFERROR(__xludf.DUMMYFUNCTION("""COMPUTED_VALUE"""),"HUB-LSP-64")</f>
        <v>HUB-LSP-64</v>
      </c>
      <c r="D1351" s="234">
        <f>IFERROR(__xludf.DUMMYFUNCTION("""COMPUTED_VALUE"""),6.0)</f>
        <v>6</v>
      </c>
      <c r="E1351" s="237" t="str">
        <f>IFERROR(__xludf.DUMMYFUNCTION("""COMPUTED_VALUE"""),"LT0PBR01SFO11")</f>
        <v>LT0PBR01SFO11</v>
      </c>
      <c r="F1351" s="238" t="str">
        <f>IFERROR(__xludf.DUMMYFUNCTION("""COMPUTED_VALUE"""),"ONN9D62")</f>
        <v>ONN9D62</v>
      </c>
      <c r="G1351" s="238">
        <f>IFERROR(__xludf.DUMMYFUNCTION("""COMPUTED_VALUE"""),45988.91666666667)</f>
        <v>45988.91667</v>
      </c>
      <c r="H1351" s="238">
        <f>IFERROR(__xludf.DUMMYFUNCTION("""COMPUTED_VALUE"""),45989.0)</f>
        <v>45989</v>
      </c>
      <c r="I1351" s="237" t="str">
        <f t="shared" si="1"/>
        <v>Fora</v>
      </c>
      <c r="J1351" s="239">
        <v>119.99999999301508</v>
      </c>
    </row>
    <row r="1352">
      <c r="A1352" s="234" t="s">
        <v>3046</v>
      </c>
      <c r="B1352" s="234" t="str">
        <f>IFERROR(__xludf.DUMMYFUNCTION("""COMPUTED_VALUE"""),"LM Hub_SP_São José do Rio P")</f>
        <v>LM Hub_SP_São José do Rio P</v>
      </c>
      <c r="C1352" s="234" t="str">
        <f>IFERROR(__xludf.DUMMYFUNCTION("""COMPUTED_VALUE"""),"HUB-LSP-27")</f>
        <v>HUB-LSP-27</v>
      </c>
      <c r="D1352" s="234">
        <f>IFERROR(__xludf.DUMMYFUNCTION("""COMPUTED_VALUE"""),46.0)</f>
        <v>46</v>
      </c>
      <c r="E1352" s="237" t="str">
        <f>IFERROR(__xludf.DUMMYFUNCTION("""COMPUTED_VALUE"""),"LT0PBR01SJO41")</f>
        <v>LT0PBR01SJO41</v>
      </c>
      <c r="F1352" s="238" t="str">
        <f>IFERROR(__xludf.DUMMYFUNCTION("""COMPUTED_VALUE"""),"TJE4H96")</f>
        <v>TJE4H96</v>
      </c>
      <c r="G1352" s="238">
        <f>IFERROR(__xludf.DUMMYFUNCTION("""COMPUTED_VALUE"""),45988.91666666667)</f>
        <v>45988.91667</v>
      </c>
      <c r="H1352" s="238">
        <f>IFERROR(__xludf.DUMMYFUNCTION("""COMPUTED_VALUE"""),45989.0)</f>
        <v>45989</v>
      </c>
      <c r="I1352" s="237" t="str">
        <f t="shared" si="1"/>
        <v>Fora</v>
      </c>
      <c r="J1352" s="239">
        <v>119.99999999301508</v>
      </c>
    </row>
    <row r="1353">
      <c r="A1353" s="234" t="s">
        <v>3047</v>
      </c>
      <c r="B1353" s="234" t="str">
        <f>IFERROR(__xludf.DUMMYFUNCTION("""COMPUTED_VALUE"""),"SoC_BA_Simoes Filho")</f>
        <v>SoC_BA_Simoes Filho</v>
      </c>
      <c r="C1353" s="234" t="str">
        <f>IFERROR(__xludf.DUMMYFUNCTION("""COMPUTED_VALUE"""),"SOC-BA2")</f>
        <v>SOC-BA2</v>
      </c>
      <c r="D1353" s="234">
        <f>IFERROR(__xludf.DUMMYFUNCTION("""COMPUTED_VALUE"""),49.0)</f>
        <v>49</v>
      </c>
      <c r="E1353" s="237" t="str">
        <f>IFERROR(__xludf.DUMMYFUNCTION("""COMPUTED_VALUE"""),"LT1PBR01SXNL1")</f>
        <v>LT1PBR01SXNL1</v>
      </c>
      <c r="F1353" s="238" t="str">
        <f>IFERROR(__xludf.DUMMYFUNCTION("""COMPUTED_VALUE"""),"RYL4A50,SXG0C95")</f>
        <v>RYL4A50,SXG0C95</v>
      </c>
      <c r="G1353" s="238">
        <f>IFERROR(__xludf.DUMMYFUNCTION("""COMPUTED_VALUE"""),45988.91666666667)</f>
        <v>45988.91667</v>
      </c>
      <c r="H1353" s="238">
        <f>IFERROR(__xludf.DUMMYFUNCTION("""COMPUTED_VALUE"""),45989.0)</f>
        <v>45989</v>
      </c>
      <c r="I1353" s="237" t="str">
        <f t="shared" si="1"/>
        <v>Fora</v>
      </c>
      <c r="J1353" s="239">
        <v>119.00000000023283</v>
      </c>
    </row>
    <row r="1354">
      <c r="A1354" s="234" t="s">
        <v>3048</v>
      </c>
      <c r="B1354" s="234" t="str">
        <f>IFERROR(__xludf.DUMMYFUNCTION("""COMPUTED_VALUE"""),"LM Hub_SP_Guarulhos")</f>
        <v>LM Hub_SP_Guarulhos</v>
      </c>
      <c r="C1354" s="234" t="str">
        <f>IFERROR(__xludf.DUMMYFUNCTION("""COMPUTED_VALUE"""),"HUB-LSP-77")</f>
        <v>HUB-LSP-77</v>
      </c>
      <c r="D1354" s="234"/>
      <c r="E1354" s="237" t="str">
        <f>IFERROR(__xludf.DUMMYFUNCTION("""COMPUTED_VALUE"""),"LT0PBR01SGBA1")</f>
        <v>LT0PBR01SGBA1</v>
      </c>
      <c r="F1354" s="238" t="str">
        <f>IFERROR(__xludf.DUMMYFUNCTION("""COMPUTED_VALUE"""),"FEB5I21,FRT9A70")</f>
        <v>FEB5I21,FRT9A70</v>
      </c>
      <c r="G1354" s="238">
        <f>IFERROR(__xludf.DUMMYFUNCTION("""COMPUTED_VALUE"""),45988.91736111111)</f>
        <v>45988.91736</v>
      </c>
      <c r="H1354" s="238">
        <f>IFERROR(__xludf.DUMMYFUNCTION("""COMPUTED_VALUE"""),45989.0)</f>
        <v>45989</v>
      </c>
      <c r="I1354" s="237" t="str">
        <f t="shared" si="1"/>
        <v>Fora</v>
      </c>
      <c r="J1354" s="239">
        <v>119.00000000023283</v>
      </c>
    </row>
    <row r="1355">
      <c r="A1355" s="234" t="s">
        <v>3049</v>
      </c>
      <c r="B1355" s="234" t="str">
        <f>IFERROR(__xludf.DUMMYFUNCTION("""COMPUTED_VALUE"""),"LM Hub_SP_Itapevi")</f>
        <v>LM Hub_SP_Itapevi</v>
      </c>
      <c r="C1355" s="234" t="str">
        <f>IFERROR(__xludf.DUMMYFUNCTION("""COMPUTED_VALUE"""),"HUB-LSP-41")</f>
        <v>HUB-LSP-41</v>
      </c>
      <c r="D1355" s="234">
        <f>IFERROR(__xludf.DUMMYFUNCTION("""COMPUTED_VALUE"""),5.0)</f>
        <v>5</v>
      </c>
      <c r="E1355" s="237" t="str">
        <f>IFERROR(__xludf.DUMMYFUNCTION("""COMPUTED_VALUE"""),"LT0PBR01SOCV1")</f>
        <v>LT0PBR01SOCV1</v>
      </c>
      <c r="F1355" s="238" t="str">
        <f>IFERROR(__xludf.DUMMYFUNCTION("""COMPUTED_VALUE"""),"FYQ5533")</f>
        <v>FYQ5533</v>
      </c>
      <c r="G1355" s="238">
        <f>IFERROR(__xludf.DUMMYFUNCTION("""COMPUTED_VALUE"""),45988.91736111111)</f>
        <v>45988.91736</v>
      </c>
      <c r="H1355" s="238">
        <f>IFERROR(__xludf.DUMMYFUNCTION("""COMPUTED_VALUE"""),45989.0)</f>
        <v>45989</v>
      </c>
      <c r="I1355" s="237" t="str">
        <f t="shared" si="1"/>
        <v>Fora</v>
      </c>
      <c r="J1355" s="239">
        <v>119.00000000023283</v>
      </c>
    </row>
    <row r="1356">
      <c r="A1356" s="234" t="s">
        <v>3050</v>
      </c>
      <c r="B1356" s="234" t="str">
        <f>IFERROR(__xludf.DUMMYFUNCTION("""COMPUTED_VALUE"""),"LM Hub_SP_Santo André")</f>
        <v>LM Hub_SP_Santo André</v>
      </c>
      <c r="C1356" s="234" t="str">
        <f>IFERROR(__xludf.DUMMYFUNCTION("""COMPUTED_VALUE"""),"HUB-LSP-93")</f>
        <v>HUB-LSP-93</v>
      </c>
      <c r="D1356" s="234">
        <f>IFERROR(__xludf.DUMMYFUNCTION("""COMPUTED_VALUE"""),24.0)</f>
        <v>24</v>
      </c>
      <c r="E1356" s="237" t="str">
        <f>IFERROR(__xludf.DUMMYFUNCTION("""COMPUTED_VALUE"""),"LT0PBR01SI921")</f>
        <v>LT0PBR01SI921</v>
      </c>
      <c r="F1356" s="238" t="str">
        <f>IFERROR(__xludf.DUMMYFUNCTION("""COMPUTED_VALUE"""),"FQF6B98,DTA7802")</f>
        <v>FQF6B98,DTA7802</v>
      </c>
      <c r="G1356" s="238">
        <f>IFERROR(__xludf.DUMMYFUNCTION("""COMPUTED_VALUE"""),45988.91736111111)</f>
        <v>45988.91736</v>
      </c>
      <c r="H1356" s="238">
        <f>IFERROR(__xludf.DUMMYFUNCTION("""COMPUTED_VALUE"""),45989.0)</f>
        <v>45989</v>
      </c>
      <c r="I1356" s="237" t="str">
        <f t="shared" si="1"/>
        <v>Fora</v>
      </c>
      <c r="J1356" s="239">
        <v>119.99999999301508</v>
      </c>
    </row>
    <row r="1357">
      <c r="A1357" s="234" t="s">
        <v>3051</v>
      </c>
      <c r="B1357" s="234" t="str">
        <f>IFERROR(__xludf.DUMMYFUNCTION("""COMPUTED_VALUE"""),"LM Hub_SP_Jardim Adriana")</f>
        <v>LM Hub_SP_Jardim Adriana</v>
      </c>
      <c r="C1357" s="234" t="str">
        <f>IFERROR(__xludf.DUMMYFUNCTION("""COMPUTED_VALUE"""),"HUB-LSP-12")</f>
        <v>HUB-LSP-12</v>
      </c>
      <c r="D1357" s="234">
        <f>IFERROR(__xludf.DUMMYFUNCTION("""COMPUTED_VALUE"""),7.0)</f>
        <v>7</v>
      </c>
      <c r="E1357" s="237" t="str">
        <f>IFERROR(__xludf.DUMMYFUNCTION("""COMPUTED_VALUE"""),"LT0PBR01SFMT1")</f>
        <v>LT0PBR01SFMT1</v>
      </c>
      <c r="F1357" s="238" t="str">
        <f>IFERROR(__xludf.DUMMYFUNCTION("""COMPUTED_VALUE"""),"FNW2D28")</f>
        <v>FNW2D28</v>
      </c>
      <c r="G1357" s="238">
        <f>IFERROR(__xludf.DUMMYFUNCTION("""COMPUTED_VALUE"""),45988.9375)</f>
        <v>45988.9375</v>
      </c>
      <c r="H1357" s="238">
        <f>IFERROR(__xludf.DUMMYFUNCTION("""COMPUTED_VALUE"""),45989.02083333333)</f>
        <v>45989.02083</v>
      </c>
      <c r="I1357" s="237" t="str">
        <f t="shared" si="1"/>
        <v>Fora</v>
      </c>
      <c r="J1357" s="239">
        <v>119.99999999301508</v>
      </c>
    </row>
    <row r="1358">
      <c r="A1358" s="234" t="s">
        <v>3052</v>
      </c>
      <c r="B1358" s="234" t="str">
        <f>IFERROR(__xludf.DUMMYFUNCTION("""COMPUTED_VALUE"""),"LM Hub_SP_São Paulo_Carandiru")</f>
        <v>LM Hub_SP_São Paulo_Carandiru</v>
      </c>
      <c r="C1358" s="234" t="str">
        <f>IFERROR(__xludf.DUMMYFUNCTION("""COMPUTED_VALUE"""),"HUB-LSP-18")</f>
        <v>HUB-LSP-18</v>
      </c>
      <c r="D1358" s="234"/>
      <c r="E1358" s="237" t="str">
        <f>IFERROR(__xludf.DUMMYFUNCTION("""COMPUTED_VALUE"""),"LT0PBR01SFNC1")</f>
        <v>LT0PBR01SFNC1</v>
      </c>
      <c r="F1358" s="238" t="str">
        <f>IFERROR(__xludf.DUMMYFUNCTION("""COMPUTED_VALUE"""),"BVT4B34")</f>
        <v>BVT4B34</v>
      </c>
      <c r="G1358" s="238">
        <f>IFERROR(__xludf.DUMMYFUNCTION("""COMPUTED_VALUE"""),45988.9375)</f>
        <v>45988.9375</v>
      </c>
      <c r="H1358" s="238">
        <f>IFERROR(__xludf.DUMMYFUNCTION("""COMPUTED_VALUE"""),45989.02083333333)</f>
        <v>45989.02083</v>
      </c>
      <c r="I1358" s="237" t="str">
        <f t="shared" si="1"/>
        <v>Fora</v>
      </c>
      <c r="J1358" s="239">
        <v>118.99999998975545</v>
      </c>
    </row>
    <row r="1359">
      <c r="A1359" s="234" t="s">
        <v>3053</v>
      </c>
      <c r="B1359" s="234" t="str">
        <f>IFERROR(__xludf.DUMMYFUNCTION("""COMPUTED_VALUE"""),"LM Hub_SP_Parque Novo Mundo")</f>
        <v>LM Hub_SP_Parque Novo Mundo</v>
      </c>
      <c r="C1359" s="234" t="str">
        <f>IFERROR(__xludf.DUMMYFUNCTION("""COMPUTED_VALUE"""),"HUB-LSP-89")</f>
        <v>HUB-LSP-89</v>
      </c>
      <c r="D1359" s="234">
        <f>IFERROR(__xludf.DUMMYFUNCTION("""COMPUTED_VALUE"""),35.0)</f>
        <v>35</v>
      </c>
      <c r="E1359" s="237" t="str">
        <f>IFERROR(__xludf.DUMMYFUNCTION("""COMPUTED_VALUE"""),"LT0PBR01SOK61")</f>
        <v>LT0PBR01SOK61</v>
      </c>
      <c r="F1359" s="238" t="str">
        <f>IFERROR(__xludf.DUMMYFUNCTION("""COMPUTED_VALUE"""),"FNK8E47,FAM1829")</f>
        <v>FNK8E47,FAM1829</v>
      </c>
      <c r="G1359" s="238">
        <f>IFERROR(__xludf.DUMMYFUNCTION("""COMPUTED_VALUE"""),45988.93819444445)</f>
        <v>45988.93819</v>
      </c>
      <c r="H1359" s="238">
        <f>IFERROR(__xludf.DUMMYFUNCTION("""COMPUTED_VALUE"""),45989.02083333333)</f>
        <v>45989.02083</v>
      </c>
      <c r="I1359" s="237" t="str">
        <f t="shared" si="1"/>
        <v>Fora</v>
      </c>
      <c r="J1359" s="239">
        <v>118.99999998975545</v>
      </c>
    </row>
    <row r="1360">
      <c r="A1360" s="234" t="s">
        <v>3054</v>
      </c>
      <c r="B1360" s="234" t="str">
        <f>IFERROR(__xludf.DUMMYFUNCTION("""COMPUTED_VALUE"""),"LM Hub_SP_Piracicaba")</f>
        <v>LM Hub_SP_Piracicaba</v>
      </c>
      <c r="C1360" s="234" t="str">
        <f>IFERROR(__xludf.DUMMYFUNCTION("""COMPUTED_VALUE"""),"HUB-LSP-62")</f>
        <v>HUB-LSP-62</v>
      </c>
      <c r="D1360" s="234">
        <f>IFERROR(__xludf.DUMMYFUNCTION("""COMPUTED_VALUE"""),27.0)</f>
        <v>27</v>
      </c>
      <c r="E1360" s="237" t="str">
        <f>IFERROR(__xludf.DUMMYFUNCTION("""COMPUTED_VALUE"""),"LT0PBR01SOI81")</f>
        <v>LT0PBR01SOI81</v>
      </c>
      <c r="F1360" s="238" t="str">
        <f>IFERROR(__xludf.DUMMYFUNCTION("""COMPUTED_VALUE"""),"EWJ1C48")</f>
        <v>EWJ1C48</v>
      </c>
      <c r="G1360" s="238">
        <f>IFERROR(__xludf.DUMMYFUNCTION("""COMPUTED_VALUE"""),45988.93819444445)</f>
        <v>45988.93819</v>
      </c>
      <c r="H1360" s="238">
        <f>IFERROR(__xludf.DUMMYFUNCTION("""COMPUTED_VALUE"""),45989.02083333333)</f>
        <v>45989.02083</v>
      </c>
      <c r="I1360" s="237" t="str">
        <f t="shared" si="1"/>
        <v>Fora</v>
      </c>
      <c r="J1360" s="239">
        <v>118.99999998975545</v>
      </c>
    </row>
    <row r="1361">
      <c r="A1361" s="234" t="s">
        <v>3055</v>
      </c>
      <c r="B1361" s="234" t="str">
        <f>IFERROR(__xludf.DUMMYFUNCTION("""COMPUTED_VALUE"""),"LM Hub_SP_VilaGuilherme")</f>
        <v>LM Hub_SP_VilaGuilherme</v>
      </c>
      <c r="C1361" s="234" t="str">
        <f>IFERROR(__xludf.DUMMYFUNCTION("""COMPUTED_VALUE"""),"HUB-LSP-68")</f>
        <v>HUB-LSP-68</v>
      </c>
      <c r="D1361" s="234">
        <f>IFERROR(__xludf.DUMMYFUNCTION("""COMPUTED_VALUE"""),19.0)</f>
        <v>19</v>
      </c>
      <c r="E1361" s="237" t="str">
        <f>IFERROR(__xludf.DUMMYFUNCTION("""COMPUTED_VALUE"""),"LT0PBR01SOCZ1")</f>
        <v>LT0PBR01SOCZ1</v>
      </c>
      <c r="F1361" s="238" t="str">
        <f>IFERROR(__xludf.DUMMYFUNCTION("""COMPUTED_VALUE"""),"HFD4H27,JXG9745")</f>
        <v>HFD4H27,JXG9745</v>
      </c>
      <c r="G1361" s="238">
        <f>IFERROR(__xludf.DUMMYFUNCTION("""COMPUTED_VALUE"""),45988.93819444445)</f>
        <v>45988.93819</v>
      </c>
      <c r="H1361" s="238">
        <f>IFERROR(__xludf.DUMMYFUNCTION("""COMPUTED_VALUE"""),45989.02083333333)</f>
        <v>45989.02083</v>
      </c>
      <c r="I1361" s="237" t="str">
        <f t="shared" si="1"/>
        <v>Fora</v>
      </c>
      <c r="J1361" s="239">
        <v>120.00000001396984</v>
      </c>
    </row>
    <row r="1362">
      <c r="A1362" s="234" t="s">
        <v>3056</v>
      </c>
      <c r="B1362" s="234" t="str">
        <f>IFERROR(__xludf.DUMMYFUNCTION("""COMPUTED_VALUE"""),"LM Hub_SP_Jundiaí")</f>
        <v>LM Hub_SP_Jundiaí</v>
      </c>
      <c r="C1362" s="234" t="str">
        <f>IFERROR(__xludf.DUMMYFUNCTION("""COMPUTED_VALUE"""),"HUB-LSP-100")</f>
        <v>HUB-LSP-100</v>
      </c>
      <c r="D1362" s="234">
        <f>IFERROR(__xludf.DUMMYFUNCTION("""COMPUTED_VALUE"""),12.0)</f>
        <v>12</v>
      </c>
      <c r="E1362" s="237" t="str">
        <f>IFERROR(__xludf.DUMMYFUNCTION("""COMPUTED_VALUE"""),"LT0PBR01SFS31")</f>
        <v>LT0PBR01SFS31</v>
      </c>
      <c r="F1362" s="238" t="str">
        <f>IFERROR(__xludf.DUMMYFUNCTION("""COMPUTED_VALUE"""),"JBJ0I18")</f>
        <v>JBJ0I18</v>
      </c>
      <c r="G1362" s="238">
        <f>IFERROR(__xludf.DUMMYFUNCTION("""COMPUTED_VALUE"""),45988.95833333333)</f>
        <v>45988.95833</v>
      </c>
      <c r="H1362" s="238">
        <f>IFERROR(__xludf.DUMMYFUNCTION("""COMPUTED_VALUE"""),45989.04166666667)</f>
        <v>45989.04167</v>
      </c>
      <c r="I1362" s="237" t="str">
        <f t="shared" si="1"/>
        <v>Fora</v>
      </c>
      <c r="J1362" s="239">
        <v>120.00000001396984</v>
      </c>
    </row>
    <row r="1363">
      <c r="A1363" s="234" t="s">
        <v>3057</v>
      </c>
      <c r="B1363" s="234" t="str">
        <f>IFERROR(__xludf.DUMMYFUNCTION("""COMPUTED_VALUE"""),"SoC_SP_Guarulhos")</f>
        <v>SoC_SP_Guarulhos</v>
      </c>
      <c r="C1363" s="234" t="str">
        <f>IFERROR(__xludf.DUMMYFUNCTION("""COMPUTED_VALUE"""),"SOC-SP6")</f>
        <v>SOC-SP6</v>
      </c>
      <c r="D1363" s="234">
        <f>IFERROR(__xludf.DUMMYFUNCTION("""COMPUTED_VALUE"""),37.0)</f>
        <v>37</v>
      </c>
      <c r="E1363" s="237" t="str">
        <f>IFERROR(__xludf.DUMMYFUNCTION("""COMPUTED_VALUE"""),"LT1PBR01SXNG1")</f>
        <v>LT1PBR01SXNG1</v>
      </c>
      <c r="F1363" s="238" t="str">
        <f>IFERROR(__xludf.DUMMYFUNCTION("""COMPUTED_VALUE"""),"ODE7J96,UGA3J73")</f>
        <v>ODE7J96,UGA3J73</v>
      </c>
      <c r="G1363" s="238">
        <f>IFERROR(__xludf.DUMMYFUNCTION("""COMPUTED_VALUE"""),45988.95833333333)</f>
        <v>45988.95833</v>
      </c>
      <c r="H1363" s="238">
        <f>IFERROR(__xludf.DUMMYFUNCTION("""COMPUTED_VALUE"""),45989.04166666667)</f>
        <v>45989.04167</v>
      </c>
      <c r="I1363" s="237" t="str">
        <f t="shared" si="1"/>
        <v>Fora</v>
      </c>
      <c r="J1363" s="239">
        <v>119.00000001071021</v>
      </c>
    </row>
    <row r="1364">
      <c r="A1364" s="234" t="s">
        <v>3058</v>
      </c>
      <c r="B1364" s="234" t="str">
        <f>IFERROR(__xludf.DUMMYFUNCTION("""COMPUTED_VALUE"""),"LM Hub_SP_Mogi Mirim")</f>
        <v>LM Hub_SP_Mogi Mirim</v>
      </c>
      <c r="C1364" s="234" t="str">
        <f>IFERROR(__xludf.DUMMYFUNCTION("""COMPUTED_VALUE"""),"HUB-LSP-37")</f>
        <v>HUB-LSP-37</v>
      </c>
      <c r="D1364" s="234">
        <f>IFERROR(__xludf.DUMMYFUNCTION("""COMPUTED_VALUE"""),41.0)</f>
        <v>41</v>
      </c>
      <c r="E1364" s="237" t="str">
        <f>IFERROR(__xludf.DUMMYFUNCTION("""COMPUTED_VALUE"""),"LT0PBR01SFRM1")</f>
        <v>LT0PBR01SFRM1</v>
      </c>
      <c r="F1364" s="238" t="str">
        <f>IFERROR(__xludf.DUMMYFUNCTION("""COMPUTED_VALUE"""),"DCU9C23,TJQ3B56")</f>
        <v>DCU9C23,TJQ3B56</v>
      </c>
      <c r="G1364" s="238">
        <f>IFERROR(__xludf.DUMMYFUNCTION("""COMPUTED_VALUE"""),45988.959027777775)</f>
        <v>45988.95903</v>
      </c>
      <c r="H1364" s="238">
        <f>IFERROR(__xludf.DUMMYFUNCTION("""COMPUTED_VALUE"""),45989.04166666667)</f>
        <v>45989.04167</v>
      </c>
      <c r="I1364" s="237" t="str">
        <f t="shared" si="1"/>
        <v>Fora</v>
      </c>
      <c r="J1364" s="239">
        <v>119.99999999301508</v>
      </c>
    </row>
    <row r="1365">
      <c r="A1365" s="234" t="s">
        <v>3059</v>
      </c>
      <c r="B1365" s="234" t="str">
        <f>IFERROR(__xludf.DUMMYFUNCTION("""COMPUTED_VALUE"""),"LM Hub_SP_Araraquara")</f>
        <v>LM Hub_SP_Araraquara</v>
      </c>
      <c r="C1365" s="234" t="str">
        <f>IFERROR(__xludf.DUMMYFUNCTION("""COMPUTED_VALUE"""),"HUB-LSP-29")</f>
        <v>HUB-LSP-29</v>
      </c>
      <c r="D1365" s="234">
        <f>IFERROR(__xludf.DUMMYFUNCTION("""COMPUTED_VALUE"""),43.0)</f>
        <v>43</v>
      </c>
      <c r="E1365" s="237" t="str">
        <f>IFERROR(__xludf.DUMMYFUNCTION("""COMPUTED_VALUE"""),"LT0PBR01SFRS1")</f>
        <v>LT0PBR01SFRS1</v>
      </c>
      <c r="F1365" s="238" t="str">
        <f>IFERROR(__xludf.DUMMYFUNCTION("""COMPUTED_VALUE"""),"EWJ2H21")</f>
        <v>EWJ2H21</v>
      </c>
      <c r="G1365" s="238">
        <f>IFERROR(__xludf.DUMMYFUNCTION("""COMPUTED_VALUE"""),45988.97916666667)</f>
        <v>45988.97917</v>
      </c>
      <c r="H1365" s="238">
        <f>IFERROR(__xludf.DUMMYFUNCTION("""COMPUTED_VALUE"""),45989.0625)</f>
        <v>45989.0625</v>
      </c>
      <c r="I1365" s="237" t="str">
        <f t="shared" si="1"/>
        <v>Fora</v>
      </c>
      <c r="J1365" s="239">
        <v>119.99999999301508</v>
      </c>
    </row>
    <row r="1366">
      <c r="A1366" s="234" t="s">
        <v>3060</v>
      </c>
      <c r="B1366" s="234" t="str">
        <f>IFERROR(__xludf.DUMMYFUNCTION("""COMPUTED_VALUE"""),"LM Hub_SP_Atibaia_Ponte_Alta")</f>
        <v>LM Hub_SP_Atibaia_Ponte_Alta</v>
      </c>
      <c r="C1366" s="234" t="str">
        <f>IFERROR(__xludf.DUMMYFUNCTION("""COMPUTED_VALUE"""),"HUB-LSP-87")</f>
        <v>HUB-LSP-87</v>
      </c>
      <c r="D1366" s="234">
        <f>IFERROR(__xludf.DUMMYFUNCTION("""COMPUTED_VALUE"""),9.0)</f>
        <v>9</v>
      </c>
      <c r="E1366" s="237" t="str">
        <f>IFERROR(__xludf.DUMMYFUNCTION("""COMPUTED_VALUE"""),"LT0PBR01SJJW1")</f>
        <v>LT0PBR01SJJW1</v>
      </c>
      <c r="F1366" s="238" t="str">
        <f>IFERROR(__xludf.DUMMYFUNCTION("""COMPUTED_VALUE"""),"PJM8D84,DPR1F59")</f>
        <v>PJM8D84,DPR1F59</v>
      </c>
      <c r="G1366" s="238">
        <f>IFERROR(__xludf.DUMMYFUNCTION("""COMPUTED_VALUE"""),45988.97916666667)</f>
        <v>45988.97917</v>
      </c>
      <c r="H1366" s="238">
        <f>IFERROR(__xludf.DUMMYFUNCTION("""COMPUTED_VALUE"""),45989.0625)</f>
        <v>45989.0625</v>
      </c>
      <c r="I1366" s="237" t="str">
        <f t="shared" si="1"/>
        <v>Fora</v>
      </c>
      <c r="J1366" s="239">
        <v>119.00000000023283</v>
      </c>
    </row>
    <row r="1367">
      <c r="A1367" s="234" t="s">
        <v>3061</v>
      </c>
      <c r="B1367" s="234" t="str">
        <f>IFERROR(__xludf.DUMMYFUNCTION("""COMPUTED_VALUE"""),"LM Hub_SP_Várzea Paulista")</f>
        <v>LM Hub_SP_Várzea Paulista</v>
      </c>
      <c r="C1367" s="234" t="str">
        <f>IFERROR(__xludf.DUMMYFUNCTION("""COMPUTED_VALUE"""),"HUB-LSP-61")</f>
        <v>HUB-LSP-61</v>
      </c>
      <c r="D1367" s="234">
        <f>IFERROR(__xludf.DUMMYFUNCTION("""COMPUTED_VALUE"""),45.0)</f>
        <v>45</v>
      </c>
      <c r="E1367" s="237" t="str">
        <f>IFERROR(__xludf.DUMMYFUNCTION("""COMPUTED_VALUE"""),"LT0PBR01SFQU1")</f>
        <v>LT0PBR01SFQU1</v>
      </c>
      <c r="F1367" s="238" t="str">
        <f>IFERROR(__xludf.DUMMYFUNCTION("""COMPUTED_VALUE"""),"HJD3B39,TLW4C75")</f>
        <v>HJD3B39,TLW4C75</v>
      </c>
      <c r="G1367" s="238">
        <f>IFERROR(__xludf.DUMMYFUNCTION("""COMPUTED_VALUE"""),45988.97986111111)</f>
        <v>45988.97986</v>
      </c>
      <c r="H1367" s="238">
        <f>IFERROR(__xludf.DUMMYFUNCTION("""COMPUTED_VALUE"""),45989.0625)</f>
        <v>45989.0625</v>
      </c>
      <c r="I1367" s="237" t="str">
        <f t="shared" si="1"/>
        <v>Fora</v>
      </c>
      <c r="J1367" s="239">
        <v>119.99999999301508</v>
      </c>
    </row>
    <row r="1368">
      <c r="A1368" s="234" t="s">
        <v>3062</v>
      </c>
      <c r="B1368" s="234" t="str">
        <f>IFERROR(__xludf.DUMMYFUNCTION("""COMPUTED_VALUE"""),"SoC_PE_Jaboatão dos Guararapes")</f>
        <v>SoC_PE_Jaboatão dos Guararapes</v>
      </c>
      <c r="C1368" s="234" t="str">
        <f>IFERROR(__xludf.DUMMYFUNCTION("""COMPUTED_VALUE"""),"SOC-PE2")</f>
        <v>SOC-PE2</v>
      </c>
      <c r="D1368" s="234">
        <f>IFERROR(__xludf.DUMMYFUNCTION("""COMPUTED_VALUE"""),21.0)</f>
        <v>21</v>
      </c>
      <c r="E1368" s="237" t="str">
        <f>IFERROR(__xludf.DUMMYFUNCTION("""COMPUTED_VALUE"""),"LT0PBS01SL6P1")</f>
        <v>LT0PBS01SL6P1</v>
      </c>
      <c r="F1368" s="238" t="str">
        <f>IFERROR(__xludf.DUMMYFUNCTION("""COMPUTED_VALUE"""),"OCZ8A21,NTK6D68")</f>
        <v>OCZ8A21,NTK6D68</v>
      </c>
      <c r="G1368" s="238">
        <f>IFERROR(__xludf.DUMMYFUNCTION("""COMPUTED_VALUE"""),45989.0)</f>
        <v>45989</v>
      </c>
      <c r="H1368" s="238">
        <f>IFERROR(__xludf.DUMMYFUNCTION("""COMPUTED_VALUE"""),45989.08333333333)</f>
        <v>45989.08333</v>
      </c>
      <c r="I1368" s="237" t="str">
        <f t="shared" si="1"/>
        <v>Fora</v>
      </c>
      <c r="J1368" s="239">
        <v>119.99999999301508</v>
      </c>
    </row>
    <row r="1369">
      <c r="A1369" s="234" t="s">
        <v>3063</v>
      </c>
      <c r="B1369" s="234" t="str">
        <f>IFERROR(__xludf.DUMMYFUNCTION("""COMPUTED_VALUE"""),"SoC_PR_Curitiba")</f>
        <v>SoC_PR_Curitiba</v>
      </c>
      <c r="C1369" s="234" t="str">
        <f>IFERROR(__xludf.DUMMYFUNCTION("""COMPUTED_VALUE"""),"SOC-PR1")</f>
        <v>SOC-PR1</v>
      </c>
      <c r="D1369" s="234">
        <f>IFERROR(__xludf.DUMMYFUNCTION("""COMPUTED_VALUE"""),40.0)</f>
        <v>40</v>
      </c>
      <c r="E1369" s="237" t="str">
        <f>IFERROR(__xludf.DUMMYFUNCTION("""COMPUTED_VALUE"""),"LT0PBS01SFKQ1")</f>
        <v>LT0PBS01SFKQ1</v>
      </c>
      <c r="F1369" s="238" t="str">
        <f>IFERROR(__xludf.DUMMYFUNCTION("""COMPUTED_VALUE"""),"RXZ5A74,TMH3B57")</f>
        <v>RXZ5A74,TMH3B57</v>
      </c>
      <c r="G1369" s="238">
        <f>IFERROR(__xludf.DUMMYFUNCTION("""COMPUTED_VALUE"""),45989.0)</f>
        <v>45989</v>
      </c>
      <c r="H1369" s="238">
        <f>IFERROR(__xludf.DUMMYFUNCTION("""COMPUTED_VALUE"""),45989.08333333333)</f>
        <v>45989.08333</v>
      </c>
      <c r="I1369" s="237" t="str">
        <f t="shared" si="1"/>
        <v>Fora</v>
      </c>
      <c r="J1369" s="239">
        <v>119.99999999301508</v>
      </c>
    </row>
    <row r="1370">
      <c r="A1370" s="234" t="s">
        <v>3064</v>
      </c>
      <c r="B1370" s="234" t="str">
        <f>IFERROR(__xludf.DUMMYFUNCTION("""COMPUTED_VALUE"""),"SoC_RS_Gravataí_02")</f>
        <v>SoC_RS_Gravataí_02</v>
      </c>
      <c r="C1370" s="234" t="str">
        <f>IFERROR(__xludf.DUMMYFUNCTION("""COMPUTED_VALUE"""),"SOC-RS2")</f>
        <v>SOC-RS2</v>
      </c>
      <c r="D1370" s="234">
        <f>IFERROR(__xludf.DUMMYFUNCTION("""COMPUTED_VALUE"""),22.0)</f>
        <v>22</v>
      </c>
      <c r="E1370" s="237" t="str">
        <f>IFERROR(__xludf.DUMMYFUNCTION("""COMPUTED_VALUE"""),"LT0PBS01SLLI1")</f>
        <v>LT0PBS01SLLI1</v>
      </c>
      <c r="F1370" s="238" t="str">
        <f>IFERROR(__xludf.DUMMYFUNCTION("""COMPUTED_VALUE"""),"JDG8B86,JBY2I32")</f>
        <v>JDG8B86,JBY2I32</v>
      </c>
      <c r="G1370" s="238">
        <f>IFERROR(__xludf.DUMMYFUNCTION("""COMPUTED_VALUE"""),45989.0)</f>
        <v>45989</v>
      </c>
      <c r="H1370" s="238">
        <f>IFERROR(__xludf.DUMMYFUNCTION("""COMPUTED_VALUE"""),45989.08333333333)</f>
        <v>45989.08333</v>
      </c>
      <c r="I1370" s="237" t="str">
        <f t="shared" si="1"/>
        <v>Fora</v>
      </c>
      <c r="J1370" s="239">
        <v>120.00000001396984</v>
      </c>
    </row>
    <row r="1371">
      <c r="A1371" s="238" t="s">
        <v>3065</v>
      </c>
      <c r="B1371" s="234" t="str">
        <f>IFERROR(__xludf.DUMMYFUNCTION("""COMPUTED_VALUE"""),"LM Hub_MG_Varginha_Fausto")</f>
        <v>LM Hub_MG_Varginha_Fausto</v>
      </c>
      <c r="C1371" s="234" t="str">
        <f>IFERROR(__xludf.DUMMYFUNCTION("""COMPUTED_VALUE"""),"HUB-LMG-45")</f>
        <v>HUB-LMG-45</v>
      </c>
      <c r="D1371" s="234">
        <f>IFERROR(__xludf.DUMMYFUNCTION("""COMPUTED_VALUE"""),25.0)</f>
        <v>25</v>
      </c>
      <c r="E1371" s="243" t="str">
        <f>IFERROR(__xludf.DUMMYFUNCTION("""COMPUTED_VALUE"""),"LT0PBS01SKY81")</f>
        <v>LT0PBS01SKY81</v>
      </c>
      <c r="F1371" s="238" t="str">
        <f>IFERROR(__xludf.DUMMYFUNCTION("""COMPUTED_VALUE"""),"ERA8F85")</f>
        <v>ERA8F85</v>
      </c>
      <c r="G1371" s="238">
        <f>IFERROR(__xludf.DUMMYFUNCTION("""COMPUTED_VALUE"""),45989.02083333333)</f>
        <v>45989.02083</v>
      </c>
      <c r="H1371" s="238">
        <f>IFERROR(__xludf.DUMMYFUNCTION("""COMPUTED_VALUE"""),45989.10416666667)</f>
        <v>45989.10417</v>
      </c>
      <c r="I1371" s="237" t="str">
        <f t="shared" si="1"/>
        <v>Fora</v>
      </c>
      <c r="J1371" s="239">
        <v>239.0000000037253</v>
      </c>
    </row>
    <row r="1372">
      <c r="A1372" s="234" t="s">
        <v>3066</v>
      </c>
      <c r="B1372" s="234" t="str">
        <f>IFERROR(__xludf.DUMMYFUNCTION("""COMPUTED_VALUE"""),"SoC_SP_Louveira")</f>
        <v>SoC_SP_Louveira</v>
      </c>
      <c r="C1372" s="234" t="str">
        <f>IFERROR(__xludf.DUMMYFUNCTION("""COMPUTED_VALUE"""),"SOC-SP7")</f>
        <v>SOC-SP7</v>
      </c>
      <c r="D1372" s="234">
        <f>IFERROR(__xludf.DUMMYFUNCTION("""COMPUTED_VALUE"""),44.0)</f>
        <v>44</v>
      </c>
      <c r="E1372" s="237" t="str">
        <f>IFERROR(__xludf.DUMMYFUNCTION("""COMPUTED_VALUE"""),"LT0PBR01SFMJ1")</f>
        <v>LT0PBR01SFMJ1</v>
      </c>
      <c r="F1372" s="238" t="str">
        <f>IFERROR(__xludf.DUMMYFUNCTION("""COMPUTED_VALUE"""),"SWU9B89,RBC5B90")</f>
        <v>SWU9B89,RBC5B90</v>
      </c>
      <c r="G1372" s="238">
        <f>IFERROR(__xludf.DUMMYFUNCTION("""COMPUTED_VALUE"""),45988.959027777775)</f>
        <v>45988.95903</v>
      </c>
      <c r="H1372" s="238">
        <f>IFERROR(__xludf.DUMMYFUNCTION("""COMPUTED_VALUE"""),45989.125)</f>
        <v>45989.125</v>
      </c>
      <c r="I1372" s="237" t="str">
        <f t="shared" si="1"/>
        <v>Fora</v>
      </c>
      <c r="J1372" s="239">
        <v>119.99999999301508</v>
      </c>
    </row>
    <row r="1373">
      <c r="A1373" s="234" t="s">
        <v>3067</v>
      </c>
      <c r="B1373" s="234" t="str">
        <f>IFERROR(__xludf.DUMMYFUNCTION("""COMPUTED_VALUE"""),"SoC_BA_Simoes Filho")</f>
        <v>SoC_BA_Simoes Filho</v>
      </c>
      <c r="C1373" s="234" t="str">
        <f>IFERROR(__xludf.DUMMYFUNCTION("""COMPUTED_VALUE"""),"SOC-BA2")</f>
        <v>SOC-BA2</v>
      </c>
      <c r="D1373" s="234"/>
      <c r="E1373" s="237" t="str">
        <f>IFERROR(__xludf.DUMMYFUNCTION("""COMPUTED_VALUE"""),"LT1PBS01SXNM1")</f>
        <v>LT1PBS01SXNM1</v>
      </c>
      <c r="F1373" s="238" t="str">
        <f>IFERROR(__xludf.DUMMYFUNCTION("""COMPUTED_VALUE"""),"RYS2A45,RLH8I30")</f>
        <v>RYS2A45,RLH8I30</v>
      </c>
      <c r="G1373" s="238">
        <f>IFERROR(__xludf.DUMMYFUNCTION("""COMPUTED_VALUE"""),45989.04166666667)</f>
        <v>45989.04167</v>
      </c>
      <c r="H1373" s="238">
        <f>IFERROR(__xludf.DUMMYFUNCTION("""COMPUTED_VALUE"""),45989.125)</f>
        <v>45989.125</v>
      </c>
      <c r="I1373" s="237" t="str">
        <f t="shared" si="1"/>
        <v>Fora</v>
      </c>
      <c r="J1373" s="239">
        <v>119.99999999301508</v>
      </c>
    </row>
    <row r="1374">
      <c r="A1374" s="234" t="s">
        <v>3068</v>
      </c>
      <c r="B1374" s="234" t="str">
        <f>IFERROR(__xludf.DUMMYFUNCTION("""COMPUTED_VALUE"""),"SoC_RJ_Duque de Caxias")</f>
        <v>SoC_RJ_Duque de Caxias</v>
      </c>
      <c r="C1374" s="234" t="str">
        <f>IFERROR(__xludf.DUMMYFUNCTION("""COMPUTED_VALUE"""),"SOC-RJ2")</f>
        <v>SOC-RJ2</v>
      </c>
      <c r="D1374" s="234">
        <f>IFERROR(__xludf.DUMMYFUNCTION("""COMPUTED_VALUE"""),47.0)</f>
        <v>47</v>
      </c>
      <c r="E1374" s="237" t="str">
        <f>IFERROR(__xludf.DUMMYFUNCTION("""COMPUTED_VALUE"""),"LT1PBS01SXNH1")</f>
        <v>LT1PBS01SXNH1</v>
      </c>
      <c r="F1374" s="238" t="str">
        <f>IFERROR(__xludf.DUMMYFUNCTION("""COMPUTED_VALUE"""),"FOM4G45,GCU7I71")</f>
        <v>FOM4G45,GCU7I71</v>
      </c>
      <c r="G1374" s="238">
        <f>IFERROR(__xludf.DUMMYFUNCTION("""COMPUTED_VALUE"""),45989.04166666667)</f>
        <v>45989.04167</v>
      </c>
      <c r="H1374" s="238">
        <f>IFERROR(__xludf.DUMMYFUNCTION("""COMPUTED_VALUE"""),45989.125)</f>
        <v>45989.125</v>
      </c>
      <c r="I1374" s="237" t="str">
        <f t="shared" si="1"/>
        <v>Fora</v>
      </c>
      <c r="J1374" s="239">
        <v>119.99999999301508</v>
      </c>
    </row>
    <row r="1375">
      <c r="A1375" s="234" t="s">
        <v>3069</v>
      </c>
      <c r="B1375" s="234" t="str">
        <f>IFERROR(__xludf.DUMMYFUNCTION("""COMPUTED_VALUE"""),"SoC_SC_Itajaí")</f>
        <v>SoC_SC_Itajaí</v>
      </c>
      <c r="C1375" s="234" t="str">
        <f>IFERROR(__xludf.DUMMYFUNCTION("""COMPUTED_VALUE"""),"SOC-SC1")</f>
        <v>SOC-SC1</v>
      </c>
      <c r="D1375" s="234">
        <f>IFERROR(__xludf.DUMMYFUNCTION("""COMPUTED_VALUE"""),26.0)</f>
        <v>26</v>
      </c>
      <c r="E1375" s="237" t="str">
        <f>IFERROR(__xludf.DUMMYFUNCTION("""COMPUTED_VALUE"""),"LT0PBS01SK9J1")</f>
        <v>LT0PBS01SK9J1</v>
      </c>
      <c r="F1375" s="238" t="str">
        <f>IFERROR(__xludf.DUMMYFUNCTION("""COMPUTED_VALUE"""),"TBV9I29,MIX7C03")</f>
        <v>TBV9I29,MIX7C03</v>
      </c>
      <c r="G1375" s="238">
        <f>IFERROR(__xludf.DUMMYFUNCTION("""COMPUTED_VALUE"""),45989.04166666667)</f>
        <v>45989.04167</v>
      </c>
      <c r="H1375" s="238">
        <f>IFERROR(__xludf.DUMMYFUNCTION("""COMPUTED_VALUE"""),45989.125)</f>
        <v>45989.125</v>
      </c>
      <c r="I1375" s="237" t="str">
        <f t="shared" si="1"/>
        <v>Fora</v>
      </c>
      <c r="J1375" s="239">
        <v>240.00000000698492</v>
      </c>
    </row>
    <row r="1376">
      <c r="A1376" s="234" t="s">
        <v>3070</v>
      </c>
      <c r="B1376" s="234" t="str">
        <f>IFERROR(__xludf.DUMMYFUNCTION("""COMPUTED_VALUE"""),"SoC_GO_Goiânia_02")</f>
        <v>SoC_GO_Goiânia_02</v>
      </c>
      <c r="C1376" s="234" t="str">
        <f>IFERROR(__xludf.DUMMYFUNCTION("""COMPUTED_VALUE"""),"SOC-GO2")</f>
        <v>SOC-GO2</v>
      </c>
      <c r="D1376" s="234">
        <f>IFERROR(__xludf.DUMMYFUNCTION("""COMPUTED_VALUE"""),87.0)</f>
        <v>87</v>
      </c>
      <c r="E1376" s="237" t="str">
        <f>IFERROR(__xludf.DUMMYFUNCTION("""COMPUTED_VALUE"""),"LT0PBS01SLIL1")</f>
        <v>LT0PBS01SLIL1</v>
      </c>
      <c r="F1376" s="238" t="str">
        <f>IFERROR(__xludf.DUMMYFUNCTION("""COMPUTED_VALUE"""),"FTT0B82,EZL3E48")</f>
        <v>FTT0B82,EZL3E48</v>
      </c>
      <c r="G1376" s="238">
        <f>IFERROR(__xludf.DUMMYFUNCTION("""COMPUTED_VALUE"""),45989.0)</f>
        <v>45989</v>
      </c>
      <c r="H1376" s="238">
        <f>IFERROR(__xludf.DUMMYFUNCTION("""COMPUTED_VALUE"""),45989.16666666667)</f>
        <v>45989.16667</v>
      </c>
      <c r="I1376" s="237" t="str">
        <f t="shared" si="1"/>
        <v>Fora</v>
      </c>
      <c r="J1376" s="239">
        <v>120.00000001396984</v>
      </c>
    </row>
    <row r="1377">
      <c r="A1377" s="234" t="s">
        <v>3071</v>
      </c>
      <c r="B1377" s="234" t="str">
        <f>IFERROR(__xludf.DUMMYFUNCTION("""COMPUTED_VALUE"""),"SoC_BA_Simoes Filho")</f>
        <v>SoC_BA_Simoes Filho</v>
      </c>
      <c r="C1377" s="234" t="str">
        <f>IFERROR(__xludf.DUMMYFUNCTION("""COMPUTED_VALUE"""),"SOC-BA2")</f>
        <v>SOC-BA2</v>
      </c>
      <c r="D1377" s="234">
        <f>IFERROR(__xludf.DUMMYFUNCTION("""COMPUTED_VALUE"""),88.0)</f>
        <v>88</v>
      </c>
      <c r="E1377" s="237" t="str">
        <f>IFERROR(__xludf.DUMMYFUNCTION("""COMPUTED_VALUE"""),"LT1PBS01SXNN1")</f>
        <v>LT1PBS01SXNN1</v>
      </c>
      <c r="F1377" s="238" t="str">
        <f>IFERROR(__xludf.DUMMYFUNCTION("""COMPUTED_VALUE"""),"OLB7068,QJE6037")</f>
        <v>OLB7068,QJE6037</v>
      </c>
      <c r="G1377" s="238">
        <f>IFERROR(__xludf.DUMMYFUNCTION("""COMPUTED_VALUE"""),45989.08333333333)</f>
        <v>45989.08333</v>
      </c>
      <c r="H1377" s="238">
        <f>IFERROR(__xludf.DUMMYFUNCTION("""COMPUTED_VALUE"""),45989.16666666667)</f>
        <v>45989.16667</v>
      </c>
      <c r="I1377" s="237" t="str">
        <f t="shared" si="1"/>
        <v>Fora</v>
      </c>
      <c r="J1377" s="239">
        <v>120.00000001396984</v>
      </c>
    </row>
    <row r="1378">
      <c r="A1378" s="234" t="s">
        <v>3072</v>
      </c>
      <c r="B1378" s="234" t="str">
        <f>IFERROR(__xludf.DUMMYFUNCTION("""COMPUTED_VALUE"""),"SoC_GO_Goiânia_02")</f>
        <v>SoC_GO_Goiânia_02</v>
      </c>
      <c r="C1378" s="234" t="str">
        <f>IFERROR(__xludf.DUMMYFUNCTION("""COMPUTED_VALUE"""),"SOC-GO2")</f>
        <v>SOC-GO2</v>
      </c>
      <c r="D1378" s="234">
        <f>IFERROR(__xludf.DUMMYFUNCTION("""COMPUTED_VALUE"""),14.0)</f>
        <v>14</v>
      </c>
      <c r="E1378" s="237" t="str">
        <f>IFERROR(__xludf.DUMMYFUNCTION("""COMPUTED_VALUE"""),"LT1PBS01SXZ21")</f>
        <v>LT1PBS01SXZ21</v>
      </c>
      <c r="F1378" s="238" t="str">
        <f>IFERROR(__xludf.DUMMYFUNCTION("""COMPUTED_VALUE"""),"FXX5F66,FJP5G11")</f>
        <v>FXX5F66,FJP5G11</v>
      </c>
      <c r="G1378" s="238">
        <f>IFERROR(__xludf.DUMMYFUNCTION("""COMPUTED_VALUE"""),45989.08333333333)</f>
        <v>45989.08333</v>
      </c>
      <c r="H1378" s="238">
        <f>IFERROR(__xludf.DUMMYFUNCTION("""COMPUTED_VALUE"""),45989.16666666667)</f>
        <v>45989.16667</v>
      </c>
      <c r="I1378" s="237" t="str">
        <f t="shared" si="1"/>
        <v>Fora</v>
      </c>
      <c r="J1378" s="239">
        <v>120.00000001396984</v>
      </c>
    </row>
    <row r="1379">
      <c r="A1379" s="234" t="s">
        <v>3073</v>
      </c>
      <c r="B1379" s="234" t="str">
        <f>IFERROR(__xludf.DUMMYFUNCTION("""COMPUTED_VALUE"""),"SoC_MG_Betim")</f>
        <v>SoC_MG_Betim</v>
      </c>
      <c r="C1379" s="234" t="str">
        <f>IFERROR(__xludf.DUMMYFUNCTION("""COMPUTED_VALUE"""),"SOC-MG2")</f>
        <v>SOC-MG2</v>
      </c>
      <c r="D1379" s="234">
        <f>IFERROR(__xludf.DUMMYFUNCTION("""COMPUTED_VALUE"""),48.0)</f>
        <v>48</v>
      </c>
      <c r="E1379" s="237" t="str">
        <f>IFERROR(__xludf.DUMMYFUNCTION("""COMPUTED_VALUE"""),"LT1PBS01SXNJ1")</f>
        <v>LT1PBS01SXNJ1</v>
      </c>
      <c r="F1379" s="238" t="str">
        <f>IFERROR(__xludf.DUMMYFUNCTION("""COMPUTED_VALUE"""),"TQU8D61,TQX7G59")</f>
        <v>TQU8D61,TQX7G59</v>
      </c>
      <c r="G1379" s="238">
        <f>IFERROR(__xludf.DUMMYFUNCTION("""COMPUTED_VALUE"""),45989.08333333333)</f>
        <v>45989.08333</v>
      </c>
      <c r="H1379" s="238">
        <f>IFERROR(__xludf.DUMMYFUNCTION("""COMPUTED_VALUE"""),45989.16666666667)</f>
        <v>45989.16667</v>
      </c>
      <c r="I1379" s="237" t="str">
        <f t="shared" si="1"/>
        <v>Fora</v>
      </c>
      <c r="J1379" s="239">
        <v>120.00000001396984</v>
      </c>
    </row>
    <row r="1380">
      <c r="A1380" s="234" t="s">
        <v>3074</v>
      </c>
      <c r="B1380" s="234" t="str">
        <f>IFERROR(__xludf.DUMMYFUNCTION("""COMPUTED_VALUE"""),"SoC_PE_Jaboatão dos Guararapes")</f>
        <v>SoC_PE_Jaboatão dos Guararapes</v>
      </c>
      <c r="C1380" s="234" t="str">
        <f>IFERROR(__xludf.DUMMYFUNCTION("""COMPUTED_VALUE"""),"SOC-PE2")</f>
        <v>SOC-PE2</v>
      </c>
      <c r="D1380" s="234"/>
      <c r="E1380" s="237" t="str">
        <f>IFERROR(__xludf.DUMMYFUNCTION("""COMPUTED_VALUE"""),"LT1PBS01SXNK1")</f>
        <v>LT1PBS01SXNK1</v>
      </c>
      <c r="F1380" s="238" t="str">
        <f>IFERROR(__xludf.DUMMYFUNCTION("""COMPUTED_VALUE"""),"NQL6A91,ADZ0H17")</f>
        <v>NQL6A91,ADZ0H17</v>
      </c>
      <c r="G1380" s="238">
        <f>IFERROR(__xludf.DUMMYFUNCTION("""COMPUTED_VALUE"""),45989.08333333333)</f>
        <v>45989.08333</v>
      </c>
      <c r="H1380" s="238">
        <f>IFERROR(__xludf.DUMMYFUNCTION("""COMPUTED_VALUE"""),45989.16666666667)</f>
        <v>45989.16667</v>
      </c>
      <c r="I1380" s="237" t="str">
        <f t="shared" si="1"/>
        <v>Fora</v>
      </c>
      <c r="J1380" s="239">
        <v>119.00000001071021</v>
      </c>
    </row>
    <row r="1381">
      <c r="A1381" s="234" t="s">
        <v>3075</v>
      </c>
      <c r="B1381" s="234" t="str">
        <f>IFERROR(__xludf.DUMMYFUNCTION("""COMPUTED_VALUE"""),"LM Hub_SP_Tatuí")</f>
        <v>LM Hub_SP_Tatuí</v>
      </c>
      <c r="C1381" s="234" t="str">
        <f>IFERROR(__xludf.DUMMYFUNCTION("""COMPUTED_VALUE"""),"HUB-LSP-51")</f>
        <v>HUB-LSP-51</v>
      </c>
      <c r="D1381" s="234">
        <f>IFERROR(__xludf.DUMMYFUNCTION("""COMPUTED_VALUE"""),7.0)</f>
        <v>7</v>
      </c>
      <c r="E1381" s="237" t="str">
        <f>IFERROR(__xludf.DUMMYFUNCTION("""COMPUTED_VALUE"""),"LT0PBS01SFOI1")</f>
        <v>LT0PBS01SFOI1</v>
      </c>
      <c r="F1381" s="238" t="str">
        <f>IFERROR(__xludf.DUMMYFUNCTION("""COMPUTED_VALUE"""),"TLE4D84")</f>
        <v>TLE4D84</v>
      </c>
      <c r="G1381" s="238">
        <f>IFERROR(__xludf.DUMMYFUNCTION("""COMPUTED_VALUE"""),45989.084027777775)</f>
        <v>45989.08403</v>
      </c>
      <c r="H1381" s="238">
        <f>IFERROR(__xludf.DUMMYFUNCTION("""COMPUTED_VALUE"""),45989.16666666667)</f>
        <v>45989.16667</v>
      </c>
      <c r="I1381" s="237" t="str">
        <f t="shared" si="1"/>
        <v>Fora</v>
      </c>
      <c r="J1381" s="239">
        <v>119.99999999301508</v>
      </c>
    </row>
    <row r="1382">
      <c r="A1382" s="234" t="s">
        <v>3076</v>
      </c>
      <c r="B1382" s="234" t="str">
        <f>IFERROR(__xludf.DUMMYFUNCTION("""COMPUTED_VALUE"""),"LM Hub_SP_São Carlos")</f>
        <v>LM Hub_SP_São Carlos</v>
      </c>
      <c r="C1382" s="234" t="str">
        <f>IFERROR(__xludf.DUMMYFUNCTION("""COMPUTED_VALUE"""),"HUB-LSP-31")</f>
        <v>HUB-LSP-31</v>
      </c>
      <c r="D1382" s="234">
        <f>IFERROR(__xludf.DUMMYFUNCTION("""COMPUTED_VALUE"""),34.0)</f>
        <v>34</v>
      </c>
      <c r="E1382" s="237" t="str">
        <f>IFERROR(__xludf.DUMMYFUNCTION("""COMPUTED_VALUE"""),"LT0PBS01SFR61")</f>
        <v>LT0PBS01SFR61</v>
      </c>
      <c r="F1382" s="238" t="str">
        <f>IFERROR(__xludf.DUMMYFUNCTION("""COMPUTED_VALUE"""),"MYP2D33")</f>
        <v>MYP2D33</v>
      </c>
      <c r="G1382" s="238">
        <f>IFERROR(__xludf.DUMMYFUNCTION("""COMPUTED_VALUE"""),45989.10416666667)</f>
        <v>45989.10417</v>
      </c>
      <c r="H1382" s="238">
        <f>IFERROR(__xludf.DUMMYFUNCTION("""COMPUTED_VALUE"""),45989.1875)</f>
        <v>45989.1875</v>
      </c>
      <c r="I1382" s="237" t="str">
        <f t="shared" si="1"/>
        <v>Fora</v>
      </c>
      <c r="J1382" s="239">
        <v>119.00000000023283</v>
      </c>
    </row>
    <row r="1383">
      <c r="A1383" s="234" t="s">
        <v>3077</v>
      </c>
      <c r="B1383" s="234" t="str">
        <f>IFERROR(__xludf.DUMMYFUNCTION("""COMPUTED_VALUE"""),"LM Hub_SP_Itapetininga")</f>
        <v>LM Hub_SP_Itapetininga</v>
      </c>
      <c r="C1383" s="234" t="str">
        <f>IFERROR(__xludf.DUMMYFUNCTION("""COMPUTED_VALUE"""),"HUB-LSP-53")</f>
        <v>HUB-LSP-53</v>
      </c>
      <c r="D1383" s="234">
        <f>IFERROR(__xludf.DUMMYFUNCTION("""COMPUTED_VALUE"""),42.0)</f>
        <v>42</v>
      </c>
      <c r="E1383" s="237" t="str">
        <f>IFERROR(__xludf.DUMMYFUNCTION("""COMPUTED_VALUE"""),"LT0PBS01SFOD1")</f>
        <v>LT0PBS01SFOD1</v>
      </c>
      <c r="F1383" s="238" t="str">
        <f>IFERROR(__xludf.DUMMYFUNCTION("""COMPUTED_VALUE"""),"FZY3F48")</f>
        <v>FZY3F48</v>
      </c>
      <c r="G1383" s="238">
        <f>IFERROR(__xludf.DUMMYFUNCTION("""COMPUTED_VALUE"""),45989.10486111111)</f>
        <v>45989.10486</v>
      </c>
      <c r="H1383" s="238">
        <f>IFERROR(__xludf.DUMMYFUNCTION("""COMPUTED_VALUE"""),45989.1875)</f>
        <v>45989.1875</v>
      </c>
      <c r="I1383" s="237" t="str">
        <f t="shared" si="1"/>
        <v>Fora</v>
      </c>
      <c r="J1383" s="239">
        <v>180.0</v>
      </c>
    </row>
    <row r="1384">
      <c r="A1384" s="234" t="s">
        <v>3078</v>
      </c>
      <c r="B1384" s="234" t="str">
        <f>IFERROR(__xludf.DUMMYFUNCTION("""COMPUTED_VALUE"""),"SoC_SP_Santana")</f>
        <v>SoC_SP_Santana</v>
      </c>
      <c r="C1384" s="234" t="str">
        <f>IFERROR(__xludf.DUMMYFUNCTION("""COMPUTED_VALUE"""),"SOC-SP2")</f>
        <v>SOC-SP2</v>
      </c>
      <c r="D1384" s="234">
        <f>IFERROR(__xludf.DUMMYFUNCTION("""COMPUTED_VALUE"""),46.0)</f>
        <v>46</v>
      </c>
      <c r="E1384" s="237" t="str">
        <f>IFERROR(__xludf.DUMMYFUNCTION("""COMPUTED_VALUE"""),"LT0PBS01SG3W1")</f>
        <v>LT0PBS01SG3W1</v>
      </c>
      <c r="F1384" s="238" t="str">
        <f>IFERROR(__xludf.DUMMYFUNCTION("""COMPUTED_VALUE"""),"NFG8B11,GDP0B86")</f>
        <v>NFG8B11,GDP0B86</v>
      </c>
      <c r="G1384" s="238">
        <f>IFERROR(__xludf.DUMMYFUNCTION("""COMPUTED_VALUE"""),45989.08333333333)</f>
        <v>45989.08333</v>
      </c>
      <c r="H1384" s="238">
        <f>IFERROR(__xludf.DUMMYFUNCTION("""COMPUTED_VALUE"""),45989.20833333333)</f>
        <v>45989.20833</v>
      </c>
      <c r="I1384" s="237" t="str">
        <f t="shared" si="1"/>
        <v>Fora</v>
      </c>
      <c r="J1384" s="239">
        <v>119.99999999301508</v>
      </c>
    </row>
    <row r="1385">
      <c r="A1385" s="234" t="s">
        <v>3079</v>
      </c>
      <c r="B1385" s="234" t="str">
        <f>IFERROR(__xludf.DUMMYFUNCTION("""COMPUTED_VALUE"""),"LM Hub_SP_Itapeva")</f>
        <v>LM Hub_SP_Itapeva</v>
      </c>
      <c r="C1385" s="234" t="str">
        <f>IFERROR(__xludf.DUMMYFUNCTION("""COMPUTED_VALUE"""),"HUB-LSP-39")</f>
        <v>HUB-LSP-39</v>
      </c>
      <c r="D1385" s="234">
        <f>IFERROR(__xludf.DUMMYFUNCTION("""COMPUTED_VALUE"""),9.0)</f>
        <v>9</v>
      </c>
      <c r="E1385" s="237" t="str">
        <f>IFERROR(__xludf.DUMMYFUNCTION("""COMPUTED_VALUE"""),"LT0PBS01SFOO1")</f>
        <v>LT0PBS01SFOO1</v>
      </c>
      <c r="F1385" s="238" t="str">
        <f>IFERROR(__xludf.DUMMYFUNCTION("""COMPUTED_VALUE"""),"DTC3E38")</f>
        <v>DTC3E38</v>
      </c>
      <c r="G1385" s="238">
        <f>IFERROR(__xludf.DUMMYFUNCTION("""COMPUTED_VALUE"""),45989.125)</f>
        <v>45989.125</v>
      </c>
      <c r="H1385" s="238">
        <f>IFERROR(__xludf.DUMMYFUNCTION("""COMPUTED_VALUE"""),45989.20833333333)</f>
        <v>45989.20833</v>
      </c>
      <c r="I1385" s="237" t="str">
        <f t="shared" si="1"/>
        <v>Fora</v>
      </c>
      <c r="J1385" s="239">
        <v>119.99999999301508</v>
      </c>
    </row>
    <row r="1386">
      <c r="A1386" s="234" t="s">
        <v>3080</v>
      </c>
      <c r="B1386" s="234" t="str">
        <f>IFERROR(__xludf.DUMMYFUNCTION("""COMPUTED_VALUE"""),"LM Hub_SP_Registro")</f>
        <v>LM Hub_SP_Registro</v>
      </c>
      <c r="C1386" s="234" t="str">
        <f>IFERROR(__xludf.DUMMYFUNCTION("""COMPUTED_VALUE"""),"HUB-LSP-40")</f>
        <v>HUB-LSP-40</v>
      </c>
      <c r="D1386" s="234">
        <f>IFERROR(__xludf.DUMMYFUNCTION("""COMPUTED_VALUE"""),12.0)</f>
        <v>12</v>
      </c>
      <c r="E1386" s="237" t="str">
        <f>IFERROR(__xludf.DUMMYFUNCTION("""COMPUTED_VALUE"""),"LT0PBS01SFP91")</f>
        <v>LT0PBS01SFP91</v>
      </c>
      <c r="F1386" s="238" t="str">
        <f>IFERROR(__xludf.DUMMYFUNCTION("""COMPUTED_VALUE"""),"FSV9B90")</f>
        <v>FSV9B90</v>
      </c>
      <c r="G1386" s="238">
        <f>IFERROR(__xludf.DUMMYFUNCTION("""COMPUTED_VALUE"""),45989.125)</f>
        <v>45989.125</v>
      </c>
      <c r="H1386" s="238">
        <f>IFERROR(__xludf.DUMMYFUNCTION("""COMPUTED_VALUE"""),45989.20833333333)</f>
        <v>45989.20833</v>
      </c>
      <c r="I1386" s="237" t="str">
        <f t="shared" si="1"/>
        <v>Fora</v>
      </c>
      <c r="J1386" s="239">
        <v>119.99999999301508</v>
      </c>
    </row>
    <row r="1387">
      <c r="A1387" s="234" t="s">
        <v>3081</v>
      </c>
      <c r="B1387" s="234" t="str">
        <f>IFERROR(__xludf.DUMMYFUNCTION("""COMPUTED_VALUE"""),"LM Hub_SP_Sumaré_Nova Veneza_1")</f>
        <v>LM Hub_SP_Sumaré_Nova Veneza_1</v>
      </c>
      <c r="C1387" s="234" t="str">
        <f>IFERROR(__xludf.DUMMYFUNCTION("""COMPUTED_VALUE"""),"HUB-LSP-88")</f>
        <v>HUB-LSP-88</v>
      </c>
      <c r="D1387" s="234">
        <f>IFERROR(__xludf.DUMMYFUNCTION("""COMPUTED_VALUE"""),48.0)</f>
        <v>48</v>
      </c>
      <c r="E1387" s="237" t="str">
        <f>IFERROR(__xludf.DUMMYFUNCTION("""COMPUTED_VALUE"""),"LT0PBS01SKUD1")</f>
        <v>LT0PBS01SKUD1</v>
      </c>
      <c r="F1387" s="238" t="str">
        <f>IFERROR(__xludf.DUMMYFUNCTION("""COMPUTED_VALUE"""),"BDH5H68")</f>
        <v>BDH5H68</v>
      </c>
      <c r="G1387" s="238">
        <f>IFERROR(__xludf.DUMMYFUNCTION("""COMPUTED_VALUE"""),45989.125)</f>
        <v>45989.125</v>
      </c>
      <c r="H1387" s="238">
        <f>IFERROR(__xludf.DUMMYFUNCTION("""COMPUTED_VALUE"""),45989.20833333333)</f>
        <v>45989.20833</v>
      </c>
      <c r="I1387" s="237" t="str">
        <f t="shared" si="1"/>
        <v>Fora</v>
      </c>
      <c r="J1387" s="239">
        <v>119.99999999301508</v>
      </c>
    </row>
    <row r="1388">
      <c r="A1388" s="234" t="s">
        <v>3082</v>
      </c>
      <c r="B1388" s="234" t="str">
        <f>IFERROR(__xludf.DUMMYFUNCTION("""COMPUTED_VALUE"""),"SoC_BA_Simoes Filho")</f>
        <v>SoC_BA_Simoes Filho</v>
      </c>
      <c r="C1388" s="234" t="str">
        <f>IFERROR(__xludf.DUMMYFUNCTION("""COMPUTED_VALUE"""),"SOC-BA2")</f>
        <v>SOC-BA2</v>
      </c>
      <c r="D1388" s="234"/>
      <c r="E1388" s="237" t="str">
        <f>IFERROR(__xludf.DUMMYFUNCTION("""COMPUTED_VALUE"""),"LT1PBS01SXZ01")</f>
        <v>LT1PBS01SXZ01</v>
      </c>
      <c r="F1388" s="238" t="str">
        <f>IFERROR(__xludf.DUMMYFUNCTION("""COMPUTED_VALUE"""),"RHA7C68,TEH8A40")</f>
        <v>RHA7C68,TEH8A40</v>
      </c>
      <c r="G1388" s="238">
        <f>IFERROR(__xludf.DUMMYFUNCTION("""COMPUTED_VALUE"""),45989.125)</f>
        <v>45989.125</v>
      </c>
      <c r="H1388" s="238">
        <f>IFERROR(__xludf.DUMMYFUNCTION("""COMPUTED_VALUE"""),45989.20833333333)</f>
        <v>45989.20833</v>
      </c>
      <c r="I1388" s="237" t="str">
        <f t="shared" si="1"/>
        <v>Fora</v>
      </c>
      <c r="J1388" s="239">
        <v>119.99999999301508</v>
      </c>
    </row>
    <row r="1389">
      <c r="A1389" s="234" t="s">
        <v>3083</v>
      </c>
      <c r="B1389" s="234" t="str">
        <f>IFERROR(__xludf.DUMMYFUNCTION("""COMPUTED_VALUE"""),"SoC_SP_Louveira")</f>
        <v>SoC_SP_Louveira</v>
      </c>
      <c r="C1389" s="234" t="str">
        <f>IFERROR(__xludf.DUMMYFUNCTION("""COMPUTED_VALUE"""),"SOC-SP7")</f>
        <v>SOC-SP7</v>
      </c>
      <c r="D1389" s="234"/>
      <c r="E1389" s="237" t="str">
        <f>IFERROR(__xludf.DUMMYFUNCTION("""COMPUTED_VALUE"""),"LT1PBS01SXNU1")</f>
        <v>LT1PBS01SXNU1</v>
      </c>
      <c r="F1389" s="238" t="str">
        <f>IFERROR(__xludf.DUMMYFUNCTION("""COMPUTED_VALUE"""),"IRW2J90,DPE5726")</f>
        <v>IRW2J90,DPE5726</v>
      </c>
      <c r="G1389" s="238">
        <f>IFERROR(__xludf.DUMMYFUNCTION("""COMPUTED_VALUE"""),45989.125)</f>
        <v>45989.125</v>
      </c>
      <c r="H1389" s="238">
        <f>IFERROR(__xludf.DUMMYFUNCTION("""COMPUTED_VALUE"""),45989.20833333333)</f>
        <v>45989.20833</v>
      </c>
      <c r="I1389" s="237" t="str">
        <f t="shared" si="1"/>
        <v>Fora</v>
      </c>
      <c r="J1389" s="239">
        <v>120.00000001396984</v>
      </c>
    </row>
    <row r="1390">
      <c r="A1390" s="234" t="s">
        <v>3084</v>
      </c>
      <c r="B1390" s="234" t="str">
        <f>IFERROR(__xludf.DUMMYFUNCTION("""COMPUTED_VALUE"""),"LM Hub_SP_Campinas_São Martinho")</f>
        <v>LM Hub_SP_Campinas_São Martinho</v>
      </c>
      <c r="C1390" s="234" t="str">
        <f>IFERROR(__xludf.DUMMYFUNCTION("""COMPUTED_VALUE"""),"HUB-LSP-19")</f>
        <v>HUB-LSP-19</v>
      </c>
      <c r="D1390" s="234"/>
      <c r="E1390" s="237" t="str">
        <f>IFERROR(__xludf.DUMMYFUNCTION("""COMPUTED_VALUE"""),"LT0PBS01SFSI1")</f>
        <v>LT0PBS01SFSI1</v>
      </c>
      <c r="F1390" s="238" t="str">
        <f>IFERROR(__xludf.DUMMYFUNCTION("""COMPUTED_VALUE"""),"EBM2I49")</f>
        <v>EBM2I49</v>
      </c>
      <c r="G1390" s="238">
        <f>IFERROR(__xludf.DUMMYFUNCTION("""COMPUTED_VALUE"""),45989.14583333333)</f>
        <v>45989.14583</v>
      </c>
      <c r="H1390" s="238">
        <f>IFERROR(__xludf.DUMMYFUNCTION("""COMPUTED_VALUE"""),45989.22916666667)</f>
        <v>45989.22917</v>
      </c>
      <c r="I1390" s="237" t="str">
        <f t="shared" si="1"/>
        <v>Fora</v>
      </c>
      <c r="J1390" s="239">
        <v>120.00000001396984</v>
      </c>
    </row>
    <row r="1391">
      <c r="A1391" s="234" t="s">
        <v>3085</v>
      </c>
      <c r="B1391" s="234" t="str">
        <f>IFERROR(__xludf.DUMMYFUNCTION("""COMPUTED_VALUE"""),"LM Hub_SP_Mogi Mirim")</f>
        <v>LM Hub_SP_Mogi Mirim</v>
      </c>
      <c r="C1391" s="234" t="str">
        <f>IFERROR(__xludf.DUMMYFUNCTION("""COMPUTED_VALUE"""),"HUB-LSP-37")</f>
        <v>HUB-LSP-37</v>
      </c>
      <c r="D1391" s="234">
        <f>IFERROR(__xludf.DUMMYFUNCTION("""COMPUTED_VALUE"""),38.0)</f>
        <v>38</v>
      </c>
      <c r="E1391" s="237" t="str">
        <f>IFERROR(__xludf.DUMMYFUNCTION("""COMPUTED_VALUE"""),"LT0PBS01SFRH1")</f>
        <v>LT0PBS01SFRH1</v>
      </c>
      <c r="F1391" s="238" t="str">
        <f>IFERROR(__xludf.DUMMYFUNCTION("""COMPUTED_VALUE"""),"UDI0A98")</f>
        <v>UDI0A98</v>
      </c>
      <c r="G1391" s="238">
        <f>IFERROR(__xludf.DUMMYFUNCTION("""COMPUTED_VALUE"""),45989.14583333333)</f>
        <v>45989.14583</v>
      </c>
      <c r="H1391" s="238">
        <f>IFERROR(__xludf.DUMMYFUNCTION("""COMPUTED_VALUE"""),45989.22916666667)</f>
        <v>45989.22917</v>
      </c>
      <c r="I1391" s="237" t="str">
        <f t="shared" si="1"/>
        <v>Fora</v>
      </c>
      <c r="J1391" s="239">
        <v>120.00000001396984</v>
      </c>
    </row>
    <row r="1392">
      <c r="A1392" s="234" t="s">
        <v>3086</v>
      </c>
      <c r="B1392" s="234" t="str">
        <f>IFERROR(__xludf.DUMMYFUNCTION("""COMPUTED_VALUE"""),"LM Hub_SP_Osasco_02")</f>
        <v>LM Hub_SP_Osasco_02</v>
      </c>
      <c r="C1392" s="234" t="str">
        <f>IFERROR(__xludf.DUMMYFUNCTION("""COMPUTED_VALUE"""),"HUB-LSP-60")</f>
        <v>HUB-LSP-60</v>
      </c>
      <c r="D1392" s="234">
        <f>IFERROR(__xludf.DUMMYFUNCTION("""COMPUTED_VALUE"""),32.0)</f>
        <v>32</v>
      </c>
      <c r="E1392" s="237" t="str">
        <f>IFERROR(__xludf.DUMMYFUNCTION("""COMPUTED_VALUE"""),"LT0PBS01SGQZ1")</f>
        <v>LT0PBS01SGQZ1</v>
      </c>
      <c r="F1392" s="238" t="str">
        <f>IFERROR(__xludf.DUMMYFUNCTION("""COMPUTED_VALUE"""),"FEU6H63")</f>
        <v>FEU6H63</v>
      </c>
      <c r="G1392" s="238">
        <f>IFERROR(__xludf.DUMMYFUNCTION("""COMPUTED_VALUE"""),45989.14583333333)</f>
        <v>45989.14583</v>
      </c>
      <c r="H1392" s="238">
        <f>IFERROR(__xludf.DUMMYFUNCTION("""COMPUTED_VALUE"""),45989.22916666667)</f>
        <v>45989.22917</v>
      </c>
      <c r="I1392" s="237" t="str">
        <f t="shared" si="1"/>
        <v>Fora</v>
      </c>
      <c r="J1392" s="239">
        <v>120.00000001396984</v>
      </c>
    </row>
    <row r="1393">
      <c r="A1393" s="234" t="s">
        <v>3087</v>
      </c>
      <c r="B1393" s="234" t="str">
        <f>IFERROR(__xludf.DUMMYFUNCTION("""COMPUTED_VALUE"""),"LM Hub_SP_Sorocaba_Região Norte")</f>
        <v>LM Hub_SP_Sorocaba_Região Norte</v>
      </c>
      <c r="C1393" s="234" t="str">
        <f>IFERROR(__xludf.DUMMYFUNCTION("""COMPUTED_VALUE"""),"HUB-LSP-10")</f>
        <v>HUB-LSP-10</v>
      </c>
      <c r="D1393" s="234">
        <f>IFERROR(__xludf.DUMMYFUNCTION("""COMPUTED_VALUE"""),19.0)</f>
        <v>19</v>
      </c>
      <c r="E1393" s="237" t="str">
        <f>IFERROR(__xludf.DUMMYFUNCTION("""COMPUTED_VALUE"""),"LT0PBS01SFQ91")</f>
        <v>LT0PBS01SFQ91</v>
      </c>
      <c r="F1393" s="238" t="str">
        <f>IFERROR(__xludf.DUMMYFUNCTION("""COMPUTED_VALUE"""),"NFW3H03,CYN6J16")</f>
        <v>NFW3H03,CYN6J16</v>
      </c>
      <c r="G1393" s="238">
        <f>IFERROR(__xludf.DUMMYFUNCTION("""COMPUTED_VALUE"""),45989.14583333333)</f>
        <v>45989.14583</v>
      </c>
      <c r="H1393" s="238">
        <f>IFERROR(__xludf.DUMMYFUNCTION("""COMPUTED_VALUE"""),45989.22916666667)</f>
        <v>45989.22917</v>
      </c>
      <c r="I1393" s="237" t="str">
        <f t="shared" si="1"/>
        <v>Fora</v>
      </c>
      <c r="J1393" s="239">
        <v>118.99999998975545</v>
      </c>
    </row>
    <row r="1394">
      <c r="A1394" s="234" t="s">
        <v>3088</v>
      </c>
      <c r="B1394" s="234" t="str">
        <f>IFERROR(__xludf.DUMMYFUNCTION("""COMPUTED_VALUE"""),"SoC_SP_Cravinhos")</f>
        <v>SoC_SP_Cravinhos</v>
      </c>
      <c r="C1394" s="234" t="str">
        <f>IFERROR(__xludf.DUMMYFUNCTION("""COMPUTED_VALUE"""),"SOC-SP5")</f>
        <v>SOC-SP5</v>
      </c>
      <c r="D1394" s="234"/>
      <c r="E1394" s="237" t="str">
        <f>IFERROR(__xludf.DUMMYFUNCTION("""COMPUTED_VALUE"""),"LT1PBS01SXNF1")</f>
        <v>LT1PBS01SXNF1</v>
      </c>
      <c r="F1394" s="238" t="str">
        <f>IFERROR(__xludf.DUMMYFUNCTION("""COMPUTED_VALUE"""),"RHE8G73,UFN9J70")</f>
        <v>RHE8G73,UFN9J70</v>
      </c>
      <c r="G1394" s="238">
        <f>IFERROR(__xludf.DUMMYFUNCTION("""COMPUTED_VALUE"""),45989.16666666667)</f>
        <v>45989.16667</v>
      </c>
      <c r="H1394" s="238">
        <f>IFERROR(__xludf.DUMMYFUNCTION("""COMPUTED_VALUE"""),45989.24930555555)</f>
        <v>45989.24931</v>
      </c>
      <c r="I1394" s="237" t="str">
        <f t="shared" si="1"/>
        <v>Fora</v>
      </c>
      <c r="J1394" s="239">
        <v>119.99999999301508</v>
      </c>
    </row>
    <row r="1395">
      <c r="A1395" s="234" t="s">
        <v>3089</v>
      </c>
      <c r="B1395" s="234" t="str">
        <f>IFERROR(__xludf.DUMMYFUNCTION("""COMPUTED_VALUE"""),"LM Hub_ES_Viana")</f>
        <v>LM Hub_ES_Viana</v>
      </c>
      <c r="C1395" s="234" t="str">
        <f>IFERROR(__xludf.DUMMYFUNCTION("""COMPUTED_VALUE"""),"HUB-LES-09")</f>
        <v>HUB-LES-09</v>
      </c>
      <c r="D1395" s="234">
        <f>IFERROR(__xludf.DUMMYFUNCTION("""COMPUTED_VALUE"""),28.0)</f>
        <v>28</v>
      </c>
      <c r="E1395" s="237" t="str">
        <f>IFERROR(__xludf.DUMMYFUNCTION("""COMPUTED_VALUE"""),"LT0PBS01SJPI1")</f>
        <v>LT0PBS01SJPI1</v>
      </c>
      <c r="F1395" s="238" t="str">
        <f>IFERROR(__xludf.DUMMYFUNCTION("""COMPUTED_VALUE"""),"FIV1H06")</f>
        <v>FIV1H06</v>
      </c>
      <c r="G1395" s="238">
        <f>IFERROR(__xludf.DUMMYFUNCTION("""COMPUTED_VALUE"""),45989.16666666667)</f>
        <v>45989.16667</v>
      </c>
      <c r="H1395" s="238">
        <f>IFERROR(__xludf.DUMMYFUNCTION("""COMPUTED_VALUE"""),45989.25)</f>
        <v>45989.25</v>
      </c>
      <c r="I1395" s="237" t="str">
        <f t="shared" si="1"/>
        <v>Fora</v>
      </c>
      <c r="J1395" s="239">
        <v>119.99999999301508</v>
      </c>
    </row>
    <row r="1396">
      <c r="A1396" s="234" t="s">
        <v>3090</v>
      </c>
      <c r="B1396" s="234" t="str">
        <f>IFERROR(__xludf.DUMMYFUNCTION("""COMPUTED_VALUE"""),"LM Hub_SP_Guaratinguetá")</f>
        <v>LM Hub_SP_Guaratinguetá</v>
      </c>
      <c r="C1396" s="234" t="str">
        <f>IFERROR(__xludf.DUMMYFUNCTION("""COMPUTED_VALUE"""),"HUB-LSP-33")</f>
        <v>HUB-LSP-33</v>
      </c>
      <c r="D1396" s="234">
        <f>IFERROR(__xludf.DUMMYFUNCTION("""COMPUTED_VALUE"""),23.0)</f>
        <v>23</v>
      </c>
      <c r="E1396" s="237" t="str">
        <f>IFERROR(__xludf.DUMMYFUNCTION("""COMPUTED_VALUE"""),"LT0PBS01SFPK1")</f>
        <v>LT0PBS01SFPK1</v>
      </c>
      <c r="F1396" s="238" t="str">
        <f>IFERROR(__xludf.DUMMYFUNCTION("""COMPUTED_VALUE"""),"EKH3880")</f>
        <v>EKH3880</v>
      </c>
      <c r="G1396" s="238">
        <f>IFERROR(__xludf.DUMMYFUNCTION("""COMPUTED_VALUE"""),45989.16666666667)</f>
        <v>45989.16667</v>
      </c>
      <c r="H1396" s="238">
        <f>IFERROR(__xludf.DUMMYFUNCTION("""COMPUTED_VALUE"""),45989.25)</f>
        <v>45989.25</v>
      </c>
      <c r="I1396" s="237" t="str">
        <f t="shared" si="1"/>
        <v>Fora</v>
      </c>
      <c r="J1396" s="239">
        <v>119.99999999301508</v>
      </c>
    </row>
    <row r="1397">
      <c r="A1397" s="234" t="s">
        <v>3091</v>
      </c>
      <c r="B1397" s="234" t="str">
        <f>IFERROR(__xludf.DUMMYFUNCTION("""COMPUTED_VALUE"""),"LM Hub_SP_Limeira_Campo Belo")</f>
        <v>LM Hub_SP_Limeira_Campo Belo</v>
      </c>
      <c r="C1397" s="234" t="str">
        <f>IFERROR(__xludf.DUMMYFUNCTION("""COMPUTED_VALUE"""),"HUB-LSP-24")</f>
        <v>HUB-LSP-24</v>
      </c>
      <c r="D1397" s="234">
        <f>IFERROR(__xludf.DUMMYFUNCTION("""COMPUTED_VALUE"""),41.0)</f>
        <v>41</v>
      </c>
      <c r="E1397" s="237" t="str">
        <f>IFERROR(__xludf.DUMMYFUNCTION("""COMPUTED_VALUE"""),"LT0PBS01SFQF1")</f>
        <v>LT0PBS01SFQF1</v>
      </c>
      <c r="F1397" s="238" t="str">
        <f>IFERROR(__xludf.DUMMYFUNCTION("""COMPUTED_VALUE"""),"CUG3E95")</f>
        <v>CUG3E95</v>
      </c>
      <c r="G1397" s="238">
        <f>IFERROR(__xludf.DUMMYFUNCTION("""COMPUTED_VALUE"""),45989.16666666667)</f>
        <v>45989.16667</v>
      </c>
      <c r="H1397" s="238">
        <f>IFERROR(__xludf.DUMMYFUNCTION("""COMPUTED_VALUE"""),45989.25)</f>
        <v>45989.25</v>
      </c>
      <c r="I1397" s="237" t="str">
        <f t="shared" si="1"/>
        <v>Fora</v>
      </c>
      <c r="J1397" s="239">
        <v>119.99999999301508</v>
      </c>
    </row>
    <row r="1398">
      <c r="A1398" s="234" t="s">
        <v>3092</v>
      </c>
      <c r="B1398" s="234" t="str">
        <f>IFERROR(__xludf.DUMMYFUNCTION("""COMPUTED_VALUE"""),"LM Hub_SP_Várzea Paulista")</f>
        <v>LM Hub_SP_Várzea Paulista</v>
      </c>
      <c r="C1398" s="234" t="str">
        <f>IFERROR(__xludf.DUMMYFUNCTION("""COMPUTED_VALUE"""),"HUB-LSP-61")</f>
        <v>HUB-LSP-61</v>
      </c>
      <c r="D1398" s="234">
        <f>IFERROR(__xludf.DUMMYFUNCTION("""COMPUTED_VALUE"""),45.0)</f>
        <v>45</v>
      </c>
      <c r="E1398" s="237" t="str">
        <f>IFERROR(__xludf.DUMMYFUNCTION("""COMPUTED_VALUE"""),"LT0PBS01SFQP1")</f>
        <v>LT0PBS01SFQP1</v>
      </c>
      <c r="F1398" s="238" t="str">
        <f>IFERROR(__xludf.DUMMYFUNCTION("""COMPUTED_VALUE"""),"LRU5J40")</f>
        <v>LRU5J40</v>
      </c>
      <c r="G1398" s="238">
        <f>IFERROR(__xludf.DUMMYFUNCTION("""COMPUTED_VALUE"""),45989.16666666667)</f>
        <v>45989.16667</v>
      </c>
      <c r="H1398" s="238">
        <f>IFERROR(__xludf.DUMMYFUNCTION("""COMPUTED_VALUE"""),45989.25)</f>
        <v>45989.25</v>
      </c>
      <c r="I1398" s="237" t="str">
        <f t="shared" si="1"/>
        <v>Fora</v>
      </c>
      <c r="J1398" s="239">
        <v>119.99999999301508</v>
      </c>
    </row>
    <row r="1399">
      <c r="A1399" s="234" t="s">
        <v>3093</v>
      </c>
      <c r="B1399" s="234" t="str">
        <f>IFERROR(__xludf.DUMMYFUNCTION("""COMPUTED_VALUE"""),"SoC_BA_Simoes Filho")</f>
        <v>SoC_BA_Simoes Filho</v>
      </c>
      <c r="C1399" s="234" t="str">
        <f>IFERROR(__xludf.DUMMYFUNCTION("""COMPUTED_VALUE"""),"SOC-BA2")</f>
        <v>SOC-BA2</v>
      </c>
      <c r="D1399" s="234"/>
      <c r="E1399" s="237" t="str">
        <f>IFERROR(__xludf.DUMMYFUNCTION("""COMPUTED_VALUE"""),"LT1PBS01SXZ11")</f>
        <v>LT1PBS01SXZ11</v>
      </c>
      <c r="F1399" s="238" t="str">
        <f>IFERROR(__xludf.DUMMYFUNCTION("""COMPUTED_VALUE"""),"FJG8A41,TXT0A47")</f>
        <v>FJG8A41,TXT0A47</v>
      </c>
      <c r="G1399" s="238">
        <f>IFERROR(__xludf.DUMMYFUNCTION("""COMPUTED_VALUE"""),45989.16666666667)</f>
        <v>45989.16667</v>
      </c>
      <c r="H1399" s="238">
        <f>IFERROR(__xludf.DUMMYFUNCTION("""COMPUTED_VALUE"""),45989.25)</f>
        <v>45989.25</v>
      </c>
      <c r="I1399" s="237" t="str">
        <f t="shared" si="1"/>
        <v>Fora</v>
      </c>
      <c r="J1399" s="239">
        <v>119.99999999301508</v>
      </c>
    </row>
    <row r="1400">
      <c r="A1400" s="234" t="s">
        <v>3094</v>
      </c>
      <c r="B1400" s="234" t="str">
        <f>IFERROR(__xludf.DUMMYFUNCTION("""COMPUTED_VALUE"""),"SoC_GO_Goiânia_02")</f>
        <v>SoC_GO_Goiânia_02</v>
      </c>
      <c r="C1400" s="234" t="str">
        <f>IFERROR(__xludf.DUMMYFUNCTION("""COMPUTED_VALUE"""),"SOC-GO2")</f>
        <v>SOC-GO2</v>
      </c>
      <c r="D1400" s="234">
        <f>IFERROR(__xludf.DUMMYFUNCTION("""COMPUTED_VALUE"""),39.0)</f>
        <v>39</v>
      </c>
      <c r="E1400" s="237" t="str">
        <f>IFERROR(__xludf.DUMMYFUNCTION("""COMPUTED_VALUE"""),"LT1PBS01SXZ31")</f>
        <v>LT1PBS01SXZ31</v>
      </c>
      <c r="F1400" s="238" t="str">
        <f>IFERROR(__xludf.DUMMYFUNCTION("""COMPUTED_VALUE"""),"IZR3I00,FSB1A27")</f>
        <v>IZR3I00,FSB1A27</v>
      </c>
      <c r="G1400" s="238">
        <f>IFERROR(__xludf.DUMMYFUNCTION("""COMPUTED_VALUE"""),45989.16666666667)</f>
        <v>45989.16667</v>
      </c>
      <c r="H1400" s="238">
        <f>IFERROR(__xludf.DUMMYFUNCTION("""COMPUTED_VALUE"""),45989.25)</f>
        <v>45989.25</v>
      </c>
      <c r="I1400" s="237" t="str">
        <f t="shared" si="1"/>
        <v>Fora</v>
      </c>
      <c r="J1400" s="239">
        <v>119.99999999301508</v>
      </c>
    </row>
    <row r="1401">
      <c r="A1401" s="234" t="s">
        <v>3095</v>
      </c>
      <c r="B1401" s="234" t="str">
        <f>IFERROR(__xludf.DUMMYFUNCTION("""COMPUTED_VALUE"""),"SoC_MG_Betim")</f>
        <v>SoC_MG_Betim</v>
      </c>
      <c r="C1401" s="234" t="str">
        <f>IFERROR(__xludf.DUMMYFUNCTION("""COMPUTED_VALUE"""),"SOC-MG2")</f>
        <v>SOC-MG2</v>
      </c>
      <c r="D1401" s="234">
        <f>IFERROR(__xludf.DUMMYFUNCTION("""COMPUTED_VALUE"""),14.0)</f>
        <v>14</v>
      </c>
      <c r="E1401" s="237" t="str">
        <f>IFERROR(__xludf.DUMMYFUNCTION("""COMPUTED_VALUE"""),"LT1PBS01SXZ41")</f>
        <v>LT1PBS01SXZ41</v>
      </c>
      <c r="F1401" s="238" t="str">
        <f>IFERROR(__xludf.DUMMYFUNCTION("""COMPUTED_VALUE"""),"BDM4J58,SXP5H91")</f>
        <v>BDM4J58,SXP5H91</v>
      </c>
      <c r="G1401" s="238">
        <f>IFERROR(__xludf.DUMMYFUNCTION("""COMPUTED_VALUE"""),45989.16666666667)</f>
        <v>45989.16667</v>
      </c>
      <c r="H1401" s="238">
        <f>IFERROR(__xludf.DUMMYFUNCTION("""COMPUTED_VALUE"""),45989.25)</f>
        <v>45989.25</v>
      </c>
      <c r="I1401" s="237" t="str">
        <f t="shared" si="1"/>
        <v>Fora</v>
      </c>
      <c r="J1401" s="239">
        <v>119.99999999301508</v>
      </c>
    </row>
    <row r="1402">
      <c r="A1402" s="234" t="s">
        <v>3096</v>
      </c>
      <c r="B1402" s="234" t="str">
        <f>IFERROR(__xludf.DUMMYFUNCTION("""COMPUTED_VALUE"""),"LM Hub_SP_Atibaia_Ponte_Alta")</f>
        <v>LM Hub_SP_Atibaia_Ponte_Alta</v>
      </c>
      <c r="C1402" s="234" t="str">
        <f>IFERROR(__xludf.DUMMYFUNCTION("""COMPUTED_VALUE"""),"HUB-LSP-87")</f>
        <v>HUB-LSP-87</v>
      </c>
      <c r="D1402" s="234">
        <f>IFERROR(__xludf.DUMMYFUNCTION("""COMPUTED_VALUE"""),15.0)</f>
        <v>15</v>
      </c>
      <c r="E1402" s="237" t="str">
        <f>IFERROR(__xludf.DUMMYFUNCTION("""COMPUTED_VALUE"""),"LT0PBS01SJJR1")</f>
        <v>LT0PBS01SJJR1</v>
      </c>
      <c r="F1402" s="238" t="str">
        <f>IFERROR(__xludf.DUMMYFUNCTION("""COMPUTED_VALUE"""),"PCW9A46")</f>
        <v>PCW9A46</v>
      </c>
      <c r="G1402" s="238">
        <f>IFERROR(__xludf.DUMMYFUNCTION("""COMPUTED_VALUE"""),45989.1875)</f>
        <v>45989.1875</v>
      </c>
      <c r="H1402" s="238">
        <f>IFERROR(__xludf.DUMMYFUNCTION("""COMPUTED_VALUE"""),45989.27083333333)</f>
        <v>45989.27083</v>
      </c>
      <c r="I1402" s="237" t="str">
        <f t="shared" si="1"/>
        <v>Fora</v>
      </c>
      <c r="J1402" s="239">
        <v>119.99999999301508</v>
      </c>
    </row>
    <row r="1403">
      <c r="A1403" s="234" t="s">
        <v>3097</v>
      </c>
      <c r="B1403" s="234" t="str">
        <f>IFERROR(__xludf.DUMMYFUNCTION("""COMPUTED_VALUE"""),"LM Hub_SP_Embu das Artes")</f>
        <v>LM Hub_SP_Embu das Artes</v>
      </c>
      <c r="C1403" s="234" t="str">
        <f>IFERROR(__xludf.DUMMYFUNCTION("""COMPUTED_VALUE"""),"HUB-LSP-36")</f>
        <v>HUB-LSP-36</v>
      </c>
      <c r="D1403" s="234">
        <f>IFERROR(__xludf.DUMMYFUNCTION("""COMPUTED_VALUE"""),40.0)</f>
        <v>40</v>
      </c>
      <c r="E1403" s="237" t="str">
        <f>IFERROR(__xludf.DUMMYFUNCTION("""COMPUTED_VALUE"""),"LT0PBS01SGS31")</f>
        <v>LT0PBS01SGS31</v>
      </c>
      <c r="F1403" s="238" t="str">
        <f>IFERROR(__xludf.DUMMYFUNCTION("""COMPUTED_VALUE"""),"FBH4883")</f>
        <v>FBH4883</v>
      </c>
      <c r="G1403" s="238">
        <f>IFERROR(__xludf.DUMMYFUNCTION("""COMPUTED_VALUE"""),45989.1875)</f>
        <v>45989.1875</v>
      </c>
      <c r="H1403" s="238">
        <f>IFERROR(__xludf.DUMMYFUNCTION("""COMPUTED_VALUE"""),45989.27083333333)</f>
        <v>45989.27083</v>
      </c>
      <c r="I1403" s="237" t="str">
        <f t="shared" si="1"/>
        <v>Fora</v>
      </c>
      <c r="J1403" s="239">
        <v>119.99999999301508</v>
      </c>
    </row>
    <row r="1404">
      <c r="A1404" s="234" t="s">
        <v>3098</v>
      </c>
      <c r="B1404" s="234" t="str">
        <f>IFERROR(__xludf.DUMMYFUNCTION("""COMPUTED_VALUE"""),"LM Hub_SP_Taubaté")</f>
        <v>LM Hub_SP_Taubaté</v>
      </c>
      <c r="C1404" s="234" t="str">
        <f>IFERROR(__xludf.DUMMYFUNCTION("""COMPUTED_VALUE"""),"HUB-LSP-08")</f>
        <v>HUB-LSP-08</v>
      </c>
      <c r="D1404" s="234">
        <f>IFERROR(__xludf.DUMMYFUNCTION("""COMPUTED_VALUE"""),16.0)</f>
        <v>16</v>
      </c>
      <c r="E1404" s="237" t="str">
        <f>IFERROR(__xludf.DUMMYFUNCTION("""COMPUTED_VALUE"""),"LT0PBS01SFPU1")</f>
        <v>LT0PBS01SFPU1</v>
      </c>
      <c r="F1404" s="238" t="str">
        <f>IFERROR(__xludf.DUMMYFUNCTION("""COMPUTED_VALUE"""),"ECT4I26")</f>
        <v>ECT4I26</v>
      </c>
      <c r="G1404" s="238">
        <f>IFERROR(__xludf.DUMMYFUNCTION("""COMPUTED_VALUE"""),45989.1875)</f>
        <v>45989.1875</v>
      </c>
      <c r="H1404" s="238">
        <f>IFERROR(__xludf.DUMMYFUNCTION("""COMPUTED_VALUE"""),45989.27083333333)</f>
        <v>45989.27083</v>
      </c>
      <c r="I1404" s="237" t="str">
        <f t="shared" si="1"/>
        <v>Fora</v>
      </c>
      <c r="J1404" s="239">
        <v>540.0</v>
      </c>
    </row>
    <row r="1405">
      <c r="A1405" s="234" t="s">
        <v>3099</v>
      </c>
      <c r="B1405" s="234" t="str">
        <f>IFERROR(__xludf.DUMMYFUNCTION("""COMPUTED_VALUE"""),"SoC_MG_Betim")</f>
        <v>SoC_MG_Betim</v>
      </c>
      <c r="C1405" s="234" t="str">
        <f>IFERROR(__xludf.DUMMYFUNCTION("""COMPUTED_VALUE"""),"SOC-MG2")</f>
        <v>SOC-MG2</v>
      </c>
      <c r="D1405" s="234">
        <f>IFERROR(__xludf.DUMMYFUNCTION("""COMPUTED_VALUE"""),91.0)</f>
        <v>91</v>
      </c>
      <c r="E1405" s="237" t="str">
        <f>IFERROR(__xludf.DUMMYFUNCTION("""COMPUTED_VALUE"""),"LT0PBR01SFKI1")</f>
        <v>LT0PBR01SFKI1</v>
      </c>
      <c r="F1405" s="238" t="str">
        <f>IFERROR(__xludf.DUMMYFUNCTION("""COMPUTED_VALUE"""),"QPC6A81,FXQ6J12")</f>
        <v>QPC6A81,FXQ6J12</v>
      </c>
      <c r="G1405" s="238">
        <f>IFERROR(__xludf.DUMMYFUNCTION("""COMPUTED_VALUE"""),45988.91666666667)</f>
        <v>45988.91667</v>
      </c>
      <c r="H1405" s="238">
        <f>IFERROR(__xludf.DUMMYFUNCTION("""COMPUTED_VALUE"""),45989.29166666667)</f>
        <v>45989.29167</v>
      </c>
      <c r="I1405" s="237" t="str">
        <f t="shared" si="1"/>
        <v>Fora</v>
      </c>
      <c r="J1405" s="239">
        <v>540.0</v>
      </c>
    </row>
    <row r="1406">
      <c r="A1406" s="234" t="s">
        <v>3100</v>
      </c>
      <c r="B1406" s="234" t="str">
        <f>IFERROR(__xludf.DUMMYFUNCTION("""COMPUTED_VALUE"""),"SoC_MG_Betim")</f>
        <v>SoC_MG_Betim</v>
      </c>
      <c r="C1406" s="234" t="str">
        <f>IFERROR(__xludf.DUMMYFUNCTION("""COMPUTED_VALUE"""),"SOC-MG2")</f>
        <v>SOC-MG2</v>
      </c>
      <c r="D1406" s="234">
        <f>IFERROR(__xludf.DUMMYFUNCTION("""COMPUTED_VALUE"""),90.0)</f>
        <v>90</v>
      </c>
      <c r="E1406" s="237" t="str">
        <f>IFERROR(__xludf.DUMMYFUNCTION("""COMPUTED_VALUE"""),"LT0PBR01SFKK2")</f>
        <v>LT0PBR01SFKK2</v>
      </c>
      <c r="F1406" s="238" t="str">
        <f>IFERROR(__xludf.DUMMYFUNCTION("""COMPUTED_VALUE"""),"UDW5E79,TLL6F35")</f>
        <v>UDW5E79,TLL6F35</v>
      </c>
      <c r="G1406" s="238">
        <f>IFERROR(__xludf.DUMMYFUNCTION("""COMPUTED_VALUE"""),45988.91666666667)</f>
        <v>45988.91667</v>
      </c>
      <c r="H1406" s="238">
        <f>IFERROR(__xludf.DUMMYFUNCTION("""COMPUTED_VALUE"""),45989.29166666667)</f>
        <v>45989.29167</v>
      </c>
      <c r="I1406" s="237" t="str">
        <f t="shared" si="1"/>
        <v>Fora</v>
      </c>
      <c r="J1406" s="239">
        <v>540.0</v>
      </c>
    </row>
    <row r="1407">
      <c r="A1407" s="234" t="s">
        <v>3101</v>
      </c>
      <c r="B1407" s="234" t="str">
        <f>IFERROR(__xludf.DUMMYFUNCTION("""COMPUTED_VALUE"""),"SoC_RJ_Duque de Caxias")</f>
        <v>SoC_RJ_Duque de Caxias</v>
      </c>
      <c r="C1407" s="234" t="str">
        <f>IFERROR(__xludf.DUMMYFUNCTION("""COMPUTED_VALUE"""),"SOC-RJ2")</f>
        <v>SOC-RJ2</v>
      </c>
      <c r="D1407" s="234">
        <f>IFERROR(__xludf.DUMMYFUNCTION("""COMPUTED_VALUE"""),6.0)</f>
        <v>6</v>
      </c>
      <c r="E1407" s="237" t="str">
        <f>IFERROR(__xludf.DUMMYFUNCTION("""COMPUTED_VALUE"""),"LT0PBR01SHSM1")</f>
        <v>LT0PBR01SHSM1</v>
      </c>
      <c r="F1407" s="238" t="str">
        <f>IFERROR(__xludf.DUMMYFUNCTION("""COMPUTED_VALUE"""),"EQN2H35,ERS9J88")</f>
        <v>EQN2H35,ERS9J88</v>
      </c>
      <c r="G1407" s="238">
        <f>IFERROR(__xludf.DUMMYFUNCTION("""COMPUTED_VALUE"""),45988.91666666667)</f>
        <v>45988.91667</v>
      </c>
      <c r="H1407" s="238">
        <f>IFERROR(__xludf.DUMMYFUNCTION("""COMPUTED_VALUE"""),45989.29166666667)</f>
        <v>45989.29167</v>
      </c>
      <c r="I1407" s="237" t="str">
        <f t="shared" si="1"/>
        <v>Fora</v>
      </c>
      <c r="J1407" s="239">
        <v>540.0</v>
      </c>
    </row>
    <row r="1408">
      <c r="A1408" s="234" t="s">
        <v>3102</v>
      </c>
      <c r="B1408" s="234" t="str">
        <f>IFERROR(__xludf.DUMMYFUNCTION("""COMPUTED_VALUE"""),"SoC_RJ_Duque de Caxias")</f>
        <v>SoC_RJ_Duque de Caxias</v>
      </c>
      <c r="C1408" s="234" t="str">
        <f>IFERROR(__xludf.DUMMYFUNCTION("""COMPUTED_VALUE"""),"SOC-RJ2")</f>
        <v>SOC-RJ2</v>
      </c>
      <c r="D1408" s="234">
        <f>IFERROR(__xludf.DUMMYFUNCTION("""COMPUTED_VALUE"""),33.0)</f>
        <v>33</v>
      </c>
      <c r="E1408" s="237" t="str">
        <f>IFERROR(__xludf.DUMMYFUNCTION("""COMPUTED_VALUE"""),"LT0PBR01SHSO2")</f>
        <v>LT0PBR01SHSO2</v>
      </c>
      <c r="F1408" s="238" t="str">
        <f>IFERROR(__xludf.DUMMYFUNCTION("""COMPUTED_VALUE"""),"FRH2C02,SVD2F42")</f>
        <v>FRH2C02,SVD2F42</v>
      </c>
      <c r="G1408" s="238">
        <f>IFERROR(__xludf.DUMMYFUNCTION("""COMPUTED_VALUE"""),45988.91666666667)</f>
        <v>45988.91667</v>
      </c>
      <c r="H1408" s="238">
        <f>IFERROR(__xludf.DUMMYFUNCTION("""COMPUTED_VALUE"""),45989.29166666667)</f>
        <v>45989.29167</v>
      </c>
      <c r="I1408" s="237" t="str">
        <f t="shared" si="1"/>
        <v>Fora</v>
      </c>
      <c r="J1408" s="239">
        <v>540.0</v>
      </c>
    </row>
    <row r="1409">
      <c r="A1409" s="234" t="s">
        <v>3103</v>
      </c>
      <c r="B1409" s="234" t="str">
        <f>IFERROR(__xludf.DUMMYFUNCTION("""COMPUTED_VALUE"""),"SoC_RJ_Duque de Caxias")</f>
        <v>SoC_RJ_Duque de Caxias</v>
      </c>
      <c r="C1409" s="234" t="str">
        <f>IFERROR(__xludf.DUMMYFUNCTION("""COMPUTED_VALUE"""),"SOC-RJ2")</f>
        <v>SOC-RJ2</v>
      </c>
      <c r="D1409" s="234">
        <f>IFERROR(__xludf.DUMMYFUNCTION("""COMPUTED_VALUE"""),93.0)</f>
        <v>93</v>
      </c>
      <c r="E1409" s="237" t="str">
        <f>IFERROR(__xludf.DUMMYFUNCTION("""COMPUTED_VALUE"""),"LT0PBR01SHSQ3")</f>
        <v>LT0PBR01SHSQ3</v>
      </c>
      <c r="F1409" s="238" t="str">
        <f>IFERROR(__xludf.DUMMYFUNCTION("""COMPUTED_VALUE"""),"IQS6G15,DJE9G45")</f>
        <v>IQS6G15,DJE9G45</v>
      </c>
      <c r="G1409" s="238">
        <f>IFERROR(__xludf.DUMMYFUNCTION("""COMPUTED_VALUE"""),45988.91666666667)</f>
        <v>45988.91667</v>
      </c>
      <c r="H1409" s="238">
        <f>IFERROR(__xludf.DUMMYFUNCTION("""COMPUTED_VALUE"""),45989.29166666667)</f>
        <v>45989.29167</v>
      </c>
      <c r="I1409" s="237" t="str">
        <f t="shared" si="1"/>
        <v>Fora</v>
      </c>
      <c r="J1409" s="239">
        <v>539.0000000072177</v>
      </c>
    </row>
    <row r="1410">
      <c r="A1410" s="234" t="s">
        <v>3104</v>
      </c>
      <c r="B1410" s="234" t="str">
        <f>IFERROR(__xludf.DUMMYFUNCTION("""COMPUTED_VALUE"""),"SoC_BA_Simoes Filho")</f>
        <v>SoC_BA_Simoes Filho</v>
      </c>
      <c r="C1410" s="234" t="str">
        <f>IFERROR(__xludf.DUMMYFUNCTION("""COMPUTED_VALUE"""),"SOC-BA2")</f>
        <v>SOC-BA2</v>
      </c>
      <c r="D1410" s="234"/>
      <c r="E1410" s="237" t="str">
        <f>IFERROR(__xludf.DUMMYFUNCTION("""COMPUTED_VALUE"""),"LT0PBR01SLAJ1")</f>
        <v>LT0PBR01SLAJ1</v>
      </c>
      <c r="F1410" s="238" t="str">
        <f>IFERROR(__xludf.DUMMYFUNCTION("""COMPUTED_VALUE"""),"FSC3J74,TDB8F66")</f>
        <v>FSC3J74,TDB8F66</v>
      </c>
      <c r="G1410" s="238">
        <f>IFERROR(__xludf.DUMMYFUNCTION("""COMPUTED_VALUE"""),45988.91736111111)</f>
        <v>45988.91736</v>
      </c>
      <c r="H1410" s="238">
        <f>IFERROR(__xludf.DUMMYFUNCTION("""COMPUTED_VALUE"""),45989.29166666667)</f>
        <v>45989.29167</v>
      </c>
      <c r="I1410" s="237" t="str">
        <f t="shared" si="1"/>
        <v>Fora</v>
      </c>
      <c r="J1410" s="239">
        <v>539.0000000072177</v>
      </c>
    </row>
    <row r="1411">
      <c r="A1411" s="234" t="s">
        <v>3105</v>
      </c>
      <c r="B1411" s="234" t="str">
        <f>IFERROR(__xludf.DUMMYFUNCTION("""COMPUTED_VALUE"""),"SoC_SP_Cravinhos")</f>
        <v>SoC_SP_Cravinhos</v>
      </c>
      <c r="C1411" s="234" t="str">
        <f>IFERROR(__xludf.DUMMYFUNCTION("""COMPUTED_VALUE"""),"SOC-SP5")</f>
        <v>SOC-SP5</v>
      </c>
      <c r="D1411" s="234">
        <f>IFERROR(__xludf.DUMMYFUNCTION("""COMPUTED_VALUE"""),5.0)</f>
        <v>5</v>
      </c>
      <c r="E1411" s="237" t="str">
        <f>IFERROR(__xludf.DUMMYFUNCTION("""COMPUTED_VALUE"""),"LT0PBR01SFLW1")</f>
        <v>LT0PBR01SFLW1</v>
      </c>
      <c r="F1411" s="238" t="str">
        <f>IFERROR(__xludf.DUMMYFUNCTION("""COMPUTED_VALUE"""),"ETU9F30,CLU2H96")</f>
        <v>ETU9F30,CLU2H96</v>
      </c>
      <c r="G1411" s="238">
        <f>IFERROR(__xludf.DUMMYFUNCTION("""COMPUTED_VALUE"""),45988.91736111111)</f>
        <v>45988.91736</v>
      </c>
      <c r="H1411" s="238">
        <f>IFERROR(__xludf.DUMMYFUNCTION("""COMPUTED_VALUE"""),45989.29166666667)</f>
        <v>45989.29167</v>
      </c>
      <c r="I1411" s="237" t="str">
        <f t="shared" si="1"/>
        <v>Fora</v>
      </c>
      <c r="J1411" s="239">
        <v>539.0000000072177</v>
      </c>
    </row>
    <row r="1412">
      <c r="A1412" s="234" t="s">
        <v>3106</v>
      </c>
      <c r="B1412" s="234" t="str">
        <f>IFERROR(__xludf.DUMMYFUNCTION("""COMPUTED_VALUE"""),"SoC_SP_Cravinhos")</f>
        <v>SoC_SP_Cravinhos</v>
      </c>
      <c r="C1412" s="234" t="str">
        <f>IFERROR(__xludf.DUMMYFUNCTION("""COMPUTED_VALUE"""),"SOC-SP5")</f>
        <v>SOC-SP5</v>
      </c>
      <c r="D1412" s="234">
        <f>IFERROR(__xludf.DUMMYFUNCTION("""COMPUTED_VALUE"""),44.0)</f>
        <v>44</v>
      </c>
      <c r="E1412" s="237" t="str">
        <f>IFERROR(__xludf.DUMMYFUNCTION("""COMPUTED_VALUE"""),"LT0PBR01SFLY2")</f>
        <v>LT0PBR01SFLY2</v>
      </c>
      <c r="F1412" s="238" t="str">
        <f>IFERROR(__xludf.DUMMYFUNCTION("""COMPUTED_VALUE"""),"GKI8F28,IPI7C15")</f>
        <v>GKI8F28,IPI7C15</v>
      </c>
      <c r="G1412" s="238">
        <f>IFERROR(__xludf.DUMMYFUNCTION("""COMPUTED_VALUE"""),45988.91736111111)</f>
        <v>45988.91736</v>
      </c>
      <c r="H1412" s="238">
        <f>IFERROR(__xludf.DUMMYFUNCTION("""COMPUTED_VALUE"""),45989.29166666667)</f>
        <v>45989.29167</v>
      </c>
      <c r="I1412" s="237" t="str">
        <f t="shared" si="1"/>
        <v>Fora</v>
      </c>
      <c r="J1412" s="239">
        <v>120.00000001396984</v>
      </c>
    </row>
    <row r="1413">
      <c r="A1413" s="234" t="s">
        <v>3107</v>
      </c>
      <c r="B1413" s="234" t="str">
        <f>IFERROR(__xludf.DUMMYFUNCTION("""COMPUTED_VALUE"""),"LM Hub_SP_Barueri_01")</f>
        <v>LM Hub_SP_Barueri_01</v>
      </c>
      <c r="C1413" s="234" t="str">
        <f>IFERROR(__xludf.DUMMYFUNCTION("""COMPUTED_VALUE"""),"HUB-LSP-81")</f>
        <v>HUB-LSP-81</v>
      </c>
      <c r="D1413" s="234">
        <f>IFERROR(__xludf.DUMMYFUNCTION("""COMPUTED_VALUE"""),6.0)</f>
        <v>6</v>
      </c>
      <c r="E1413" s="237" t="str">
        <f>IFERROR(__xludf.DUMMYFUNCTION("""COMPUTED_VALUE"""),"LT0PBS01SKYK1")</f>
        <v>LT0PBS01SKYK1</v>
      </c>
      <c r="F1413" s="238" t="str">
        <f>IFERROR(__xludf.DUMMYFUNCTION("""COMPUTED_VALUE"""),"OPY9J66")</f>
        <v>OPY9J66</v>
      </c>
      <c r="G1413" s="238">
        <f>IFERROR(__xludf.DUMMYFUNCTION("""COMPUTED_VALUE"""),45989.20833333333)</f>
        <v>45989.20833</v>
      </c>
      <c r="H1413" s="238">
        <f>IFERROR(__xludf.DUMMYFUNCTION("""COMPUTED_VALUE"""),45989.29166666667)</f>
        <v>45989.29167</v>
      </c>
      <c r="I1413" s="237" t="str">
        <f t="shared" si="1"/>
        <v>Fora</v>
      </c>
      <c r="J1413" s="239">
        <v>120.00000001396984</v>
      </c>
    </row>
    <row r="1414">
      <c r="A1414" s="234" t="s">
        <v>3108</v>
      </c>
      <c r="B1414" s="234" t="str">
        <f>IFERROR(__xludf.DUMMYFUNCTION("""COMPUTED_VALUE"""),"LM Hub_SP_Jundiaí")</f>
        <v>LM Hub_SP_Jundiaí</v>
      </c>
      <c r="C1414" s="234" t="str">
        <f>IFERROR(__xludf.DUMMYFUNCTION("""COMPUTED_VALUE"""),"HUB-LSP-100")</f>
        <v>HUB-LSP-100</v>
      </c>
      <c r="D1414" s="234">
        <f>IFERROR(__xludf.DUMMYFUNCTION("""COMPUTED_VALUE"""),7.0)</f>
        <v>7</v>
      </c>
      <c r="E1414" s="237" t="str">
        <f>IFERROR(__xludf.DUMMYFUNCTION("""COMPUTED_VALUE"""),"LT0PBS01SFRY1")</f>
        <v>LT0PBS01SFRY1</v>
      </c>
      <c r="F1414" s="238" t="str">
        <f>IFERROR(__xludf.DUMMYFUNCTION("""COMPUTED_VALUE"""),"TLT1G28")</f>
        <v>TLT1G28</v>
      </c>
      <c r="G1414" s="238">
        <f>IFERROR(__xludf.DUMMYFUNCTION("""COMPUTED_VALUE"""),45989.20833333333)</f>
        <v>45989.20833</v>
      </c>
      <c r="H1414" s="238">
        <f>IFERROR(__xludf.DUMMYFUNCTION("""COMPUTED_VALUE"""),45989.29166666667)</f>
        <v>45989.29167</v>
      </c>
      <c r="I1414" s="237" t="str">
        <f t="shared" si="1"/>
        <v>Fora</v>
      </c>
      <c r="J1414" s="239">
        <v>120.00000001396984</v>
      </c>
    </row>
    <row r="1415">
      <c r="A1415" s="234" t="s">
        <v>3109</v>
      </c>
      <c r="B1415" s="234" t="str">
        <f>IFERROR(__xludf.DUMMYFUNCTION("""COMPUTED_VALUE"""),"LM Hub_SP_Jurubatuba")</f>
        <v>LM Hub_SP_Jurubatuba</v>
      </c>
      <c r="C1415" s="234" t="str">
        <f>IFERROR(__xludf.DUMMYFUNCTION("""COMPUTED_VALUE"""),"HUB-LSP-16")</f>
        <v>HUB-LSP-16</v>
      </c>
      <c r="D1415" s="234">
        <f>IFERROR(__xludf.DUMMYFUNCTION("""COMPUTED_VALUE"""),18.0)</f>
        <v>18</v>
      </c>
      <c r="E1415" s="237" t="str">
        <f>IFERROR(__xludf.DUMMYFUNCTION("""COMPUTED_VALUE"""),"LT0PBS01SGQS1")</f>
        <v>LT0PBS01SGQS1</v>
      </c>
      <c r="F1415" s="238" t="str">
        <f>IFERROR(__xludf.DUMMYFUNCTION("""COMPUTED_VALUE"""),"CUA7C61,FPW0F14")</f>
        <v>CUA7C61,FPW0F14</v>
      </c>
      <c r="G1415" s="238">
        <f>IFERROR(__xludf.DUMMYFUNCTION("""COMPUTED_VALUE"""),45989.20833333333)</f>
        <v>45989.20833</v>
      </c>
      <c r="H1415" s="238">
        <f>IFERROR(__xludf.DUMMYFUNCTION("""COMPUTED_VALUE"""),45989.29166666667)</f>
        <v>45989.29167</v>
      </c>
      <c r="I1415" s="237" t="str">
        <f t="shared" si="1"/>
        <v>Fora</v>
      </c>
      <c r="J1415" s="239">
        <v>120.00000001396984</v>
      </c>
    </row>
    <row r="1416">
      <c r="A1416" s="234" t="s">
        <v>3110</v>
      </c>
      <c r="B1416" s="234" t="str">
        <f>IFERROR(__xludf.DUMMYFUNCTION("""COMPUTED_VALUE"""),"LM Hub_SP_Piracicaba")</f>
        <v>LM Hub_SP_Piracicaba</v>
      </c>
      <c r="C1416" s="234" t="str">
        <f>IFERROR(__xludf.DUMMYFUNCTION("""COMPUTED_VALUE"""),"HUB-LSP-62")</f>
        <v>HUB-LSP-62</v>
      </c>
      <c r="D1416" s="234">
        <f>IFERROR(__xludf.DUMMYFUNCTION("""COMPUTED_VALUE"""),26.0)</f>
        <v>26</v>
      </c>
      <c r="E1416" s="237" t="str">
        <f>IFERROR(__xludf.DUMMYFUNCTION("""COMPUTED_VALUE"""),"LT0PBS01SGBF1")</f>
        <v>LT0PBS01SGBF1</v>
      </c>
      <c r="F1416" s="238" t="str">
        <f>IFERROR(__xludf.DUMMYFUNCTION("""COMPUTED_VALUE"""),"EOF4D32")</f>
        <v>EOF4D32</v>
      </c>
      <c r="G1416" s="238">
        <f>IFERROR(__xludf.DUMMYFUNCTION("""COMPUTED_VALUE"""),45989.20833333333)</f>
        <v>45989.20833</v>
      </c>
      <c r="H1416" s="238">
        <f>IFERROR(__xludf.DUMMYFUNCTION("""COMPUTED_VALUE"""),45989.29166666667)</f>
        <v>45989.29167</v>
      </c>
      <c r="I1416" s="237" t="str">
        <f t="shared" si="1"/>
        <v>Fora</v>
      </c>
      <c r="J1416" s="239">
        <v>120.00000001396984</v>
      </c>
    </row>
    <row r="1417">
      <c r="A1417" s="234" t="s">
        <v>3111</v>
      </c>
      <c r="B1417" s="234" t="str">
        <f>IFERROR(__xludf.DUMMYFUNCTION("""COMPUTED_VALUE"""),"LM Hub_SP_Santos_PraiaGrande_02")</f>
        <v>LM Hub_SP_Santos_PraiaGrande_02</v>
      </c>
      <c r="C1417" s="234" t="str">
        <f>IFERROR(__xludf.DUMMYFUNCTION("""COMPUTED_VALUE"""),"HUB-LSP-63")</f>
        <v>HUB-LSP-63</v>
      </c>
      <c r="D1417" s="234">
        <f>IFERROR(__xludf.DUMMYFUNCTION("""COMPUTED_VALUE"""),25.0)</f>
        <v>25</v>
      </c>
      <c r="E1417" s="237" t="str">
        <f>IFERROR(__xludf.DUMMYFUNCTION("""COMPUTED_VALUE"""),"LT0PBS01SGRY1")</f>
        <v>LT0PBS01SGRY1</v>
      </c>
      <c r="F1417" s="238" t="str">
        <f>IFERROR(__xludf.DUMMYFUNCTION("""COMPUTED_VALUE"""),"GEJ6E62")</f>
        <v>GEJ6E62</v>
      </c>
      <c r="G1417" s="238">
        <f>IFERROR(__xludf.DUMMYFUNCTION("""COMPUTED_VALUE"""),45989.20833333333)</f>
        <v>45989.20833</v>
      </c>
      <c r="H1417" s="238">
        <f>IFERROR(__xludf.DUMMYFUNCTION("""COMPUTED_VALUE"""),45989.29166666667)</f>
        <v>45989.29167</v>
      </c>
      <c r="I1417" s="237" t="str">
        <f t="shared" si="1"/>
        <v>Fora</v>
      </c>
      <c r="J1417" s="239">
        <v>119.99999999301508</v>
      </c>
    </row>
    <row r="1418">
      <c r="A1418" s="234" t="s">
        <v>3112</v>
      </c>
      <c r="B1418" s="234" t="str">
        <f>IFERROR(__xludf.DUMMYFUNCTION("""COMPUTED_VALUE"""),"LM Hub_SP_Guarujá")</f>
        <v>LM Hub_SP_Guarujá</v>
      </c>
      <c r="C1418" s="234" t="str">
        <f>IFERROR(__xludf.DUMMYFUNCTION("""COMPUTED_VALUE"""),"HUB-LSP-06")</f>
        <v>HUB-LSP-06</v>
      </c>
      <c r="D1418" s="234">
        <f>IFERROR(__xludf.DUMMYFUNCTION("""COMPUTED_VALUE"""),12.0)</f>
        <v>12</v>
      </c>
      <c r="E1418" s="237" t="str">
        <f>IFERROR(__xludf.DUMMYFUNCTION("""COMPUTED_VALUE"""),"LT0PBS01SGRE1")</f>
        <v>LT0PBS01SGRE1</v>
      </c>
      <c r="F1418" s="238" t="str">
        <f>IFERROR(__xludf.DUMMYFUNCTION("""COMPUTED_VALUE"""),"DIK3532")</f>
        <v>DIK3532</v>
      </c>
      <c r="G1418" s="238">
        <f>IFERROR(__xludf.DUMMYFUNCTION("""COMPUTED_VALUE"""),45989.22916666667)</f>
        <v>45989.22917</v>
      </c>
      <c r="H1418" s="238">
        <f>IFERROR(__xludf.DUMMYFUNCTION("""COMPUTED_VALUE"""),45989.3125)</f>
        <v>45989.3125</v>
      </c>
      <c r="I1418" s="237" t="str">
        <f t="shared" si="1"/>
        <v>Fora</v>
      </c>
      <c r="J1418" s="239">
        <v>119.99999999301508</v>
      </c>
    </row>
    <row r="1419">
      <c r="A1419" s="234" t="s">
        <v>3113</v>
      </c>
      <c r="B1419" s="234" t="str">
        <f>IFERROR(__xludf.DUMMYFUNCTION("""COMPUTED_VALUE"""),"LM Hub_SP_Itapevi")</f>
        <v>LM Hub_SP_Itapevi</v>
      </c>
      <c r="C1419" s="234" t="str">
        <f>IFERROR(__xludf.DUMMYFUNCTION("""COMPUTED_VALUE"""),"HUB-LSP-41")</f>
        <v>HUB-LSP-41</v>
      </c>
      <c r="D1419" s="234">
        <f>IFERROR(__xludf.DUMMYFUNCTION("""COMPUTED_VALUE"""),9.0)</f>
        <v>9</v>
      </c>
      <c r="E1419" s="237" t="str">
        <f>IFERROR(__xludf.DUMMYFUNCTION("""COMPUTED_VALUE"""),"LT0PBS01SFNP1")</f>
        <v>LT0PBS01SFNP1</v>
      </c>
      <c r="F1419" s="238" t="str">
        <f>IFERROR(__xludf.DUMMYFUNCTION("""COMPUTED_VALUE"""),"HNQ8267")</f>
        <v>HNQ8267</v>
      </c>
      <c r="G1419" s="238">
        <f>IFERROR(__xludf.DUMMYFUNCTION("""COMPUTED_VALUE"""),45989.22916666667)</f>
        <v>45989.22917</v>
      </c>
      <c r="H1419" s="238">
        <f>IFERROR(__xludf.DUMMYFUNCTION("""COMPUTED_VALUE"""),45989.3125)</f>
        <v>45989.3125</v>
      </c>
      <c r="I1419" s="237" t="str">
        <f t="shared" si="1"/>
        <v>Fora</v>
      </c>
      <c r="J1419" s="239">
        <v>119.99999999301508</v>
      </c>
    </row>
    <row r="1420">
      <c r="A1420" s="234" t="s">
        <v>3114</v>
      </c>
      <c r="B1420" s="234" t="str">
        <f>IFERROR(__xludf.DUMMYFUNCTION("""COMPUTED_VALUE"""),"LM Hub_SP_Itaqua_Zimba")</f>
        <v>LM Hub_SP_Itaqua_Zimba</v>
      </c>
      <c r="C1420" s="234" t="str">
        <f>IFERROR(__xludf.DUMMYFUNCTION("""COMPUTED_VALUE"""),"-")</f>
        <v>-</v>
      </c>
      <c r="D1420" s="234"/>
      <c r="E1420" s="237" t="str">
        <f>IFERROR(__xludf.DUMMYFUNCTION("""COMPUTED_VALUE"""),"LT0PBS01SGR91")</f>
        <v>LT0PBS01SGR91</v>
      </c>
      <c r="F1420" s="238" t="str">
        <f>IFERROR(__xludf.DUMMYFUNCTION("""COMPUTED_VALUE"""),"RCA4J36")</f>
        <v>RCA4J36</v>
      </c>
      <c r="G1420" s="238">
        <f>IFERROR(__xludf.DUMMYFUNCTION("""COMPUTED_VALUE"""),45989.22916666667)</f>
        <v>45989.22917</v>
      </c>
      <c r="H1420" s="238">
        <f>IFERROR(__xludf.DUMMYFUNCTION("""COMPUTED_VALUE"""),45989.3125)</f>
        <v>45989.3125</v>
      </c>
      <c r="I1420" s="237" t="str">
        <f t="shared" si="1"/>
        <v>Fora</v>
      </c>
      <c r="J1420" s="239">
        <v>119.99999999301508</v>
      </c>
    </row>
    <row r="1421">
      <c r="A1421" s="234" t="s">
        <v>3115</v>
      </c>
      <c r="B1421" s="234" t="str">
        <f>IFERROR(__xludf.DUMMYFUNCTION("""COMPUTED_VALUE"""),"LM Hub_SP_Santos_Praia Grande")</f>
        <v>LM Hub_SP_Santos_Praia Grande</v>
      </c>
      <c r="C1421" s="234" t="str">
        <f>IFERROR(__xludf.DUMMYFUNCTION("""COMPUTED_VALUE"""),"HUB-LSP-09")</f>
        <v>HUB-LSP-09</v>
      </c>
      <c r="D1421" s="234">
        <f>IFERROR(__xludf.DUMMYFUNCTION("""COMPUTED_VALUE"""),27.0)</f>
        <v>27</v>
      </c>
      <c r="E1421" s="237" t="str">
        <f>IFERROR(__xludf.DUMMYFUNCTION("""COMPUTED_VALUE"""),"LT0PBS01SGRJ1")</f>
        <v>LT0PBS01SGRJ1</v>
      </c>
      <c r="F1421" s="238" t="str">
        <f>IFERROR(__xludf.DUMMYFUNCTION("""COMPUTED_VALUE"""),"GDW1D96")</f>
        <v>GDW1D96</v>
      </c>
      <c r="G1421" s="238">
        <f>IFERROR(__xludf.DUMMYFUNCTION("""COMPUTED_VALUE"""),45989.22916666667)</f>
        <v>45989.22917</v>
      </c>
      <c r="H1421" s="238">
        <f>IFERROR(__xludf.DUMMYFUNCTION("""COMPUTED_VALUE"""),45989.3125)</f>
        <v>45989.3125</v>
      </c>
      <c r="I1421" s="237" t="str">
        <f t="shared" si="1"/>
        <v>Fora</v>
      </c>
      <c r="J1421" s="239">
        <v>119.99999999301508</v>
      </c>
    </row>
    <row r="1422">
      <c r="A1422" s="234" t="s">
        <v>3116</v>
      </c>
      <c r="B1422" s="234" t="str">
        <f>IFERROR(__xludf.DUMMYFUNCTION("""COMPUTED_VALUE"""),"LM Hub_SP_São José dos Campos")</f>
        <v>LM Hub_SP_São José dos Campos</v>
      </c>
      <c r="C1422" s="234" t="str">
        <f>IFERROR(__xludf.DUMMYFUNCTION("""COMPUTED_VALUE"""),"HUB-LSP-04")</f>
        <v>HUB-LSP-04</v>
      </c>
      <c r="D1422" s="234">
        <f>IFERROR(__xludf.DUMMYFUNCTION("""COMPUTED_VALUE"""),22.0)</f>
        <v>22</v>
      </c>
      <c r="E1422" s="237" t="str">
        <f>IFERROR(__xludf.DUMMYFUNCTION("""COMPUTED_VALUE"""),"LT0PBS01SGRO1")</f>
        <v>LT0PBS01SGRO1</v>
      </c>
      <c r="F1422" s="238" t="str">
        <f>IFERROR(__xludf.DUMMYFUNCTION("""COMPUTED_VALUE"""),"EXF3J05")</f>
        <v>EXF3J05</v>
      </c>
      <c r="G1422" s="238">
        <f>IFERROR(__xludf.DUMMYFUNCTION("""COMPUTED_VALUE"""),45989.22916666667)</f>
        <v>45989.22917</v>
      </c>
      <c r="H1422" s="238">
        <f>IFERROR(__xludf.DUMMYFUNCTION("""COMPUTED_VALUE"""),45989.3125)</f>
        <v>45989.3125</v>
      </c>
      <c r="I1422" s="237" t="str">
        <f t="shared" si="1"/>
        <v>Fora</v>
      </c>
      <c r="J1422" s="239">
        <v>119.99999999301508</v>
      </c>
    </row>
    <row r="1423">
      <c r="A1423" s="234" t="s">
        <v>3117</v>
      </c>
      <c r="B1423" s="234" t="str">
        <f>IFERROR(__xludf.DUMMYFUNCTION("""COMPUTED_VALUE"""),"LM Hub_SP_São Paulo_Mooca")</f>
        <v>LM Hub_SP_São Paulo_Mooca</v>
      </c>
      <c r="C1423" s="234" t="str">
        <f>IFERROR(__xludf.DUMMYFUNCTION("""COMPUTED_VALUE"""),"HUB-LSP-13")</f>
        <v>HUB-LSP-13</v>
      </c>
      <c r="D1423" s="234">
        <f>IFERROR(__xludf.DUMMYFUNCTION("""COMPUTED_VALUE"""),13.0)</f>
        <v>13</v>
      </c>
      <c r="E1423" s="237" t="str">
        <f>IFERROR(__xludf.DUMMYFUNCTION("""COMPUTED_VALUE"""),"LT0PBS01SOLJ1")</f>
        <v>LT0PBS01SOLJ1</v>
      </c>
      <c r="F1423" s="238" t="str">
        <f>IFERROR(__xludf.DUMMYFUNCTION("""COMPUTED_VALUE"""),"FGI1F79")</f>
        <v>FGI1F79</v>
      </c>
      <c r="G1423" s="238">
        <f>IFERROR(__xludf.DUMMYFUNCTION("""COMPUTED_VALUE"""),45989.22916666667)</f>
        <v>45989.22917</v>
      </c>
      <c r="H1423" s="238">
        <f>IFERROR(__xludf.DUMMYFUNCTION("""COMPUTED_VALUE"""),45989.3125)</f>
        <v>45989.3125</v>
      </c>
      <c r="I1423" s="237" t="str">
        <f t="shared" si="1"/>
        <v>Fora</v>
      </c>
      <c r="J1423" s="239">
        <v>360.0</v>
      </c>
    </row>
    <row r="1424">
      <c r="A1424" s="234" t="s">
        <v>3118</v>
      </c>
      <c r="B1424" s="234" t="str">
        <f>IFERROR(__xludf.DUMMYFUNCTION("""COMPUTED_VALUE"""),"SoC_MG_Betim")</f>
        <v>SoC_MG_Betim</v>
      </c>
      <c r="C1424" s="234" t="str">
        <f>IFERROR(__xludf.DUMMYFUNCTION("""COMPUTED_VALUE"""),"SOC-MG2")</f>
        <v>SOC-MG2</v>
      </c>
      <c r="D1424" s="234">
        <f>IFERROR(__xludf.DUMMYFUNCTION("""COMPUTED_VALUE"""),17.0)</f>
        <v>17</v>
      </c>
      <c r="E1424" s="237" t="str">
        <f>IFERROR(__xludf.DUMMYFUNCTION("""COMPUTED_VALUE"""),"LT1PBS01SXNI1")</f>
        <v>LT1PBS01SXNI1</v>
      </c>
      <c r="F1424" s="238" t="str">
        <f>IFERROR(__xludf.DUMMYFUNCTION("""COMPUTED_VALUE"""),"QJC4E00,MFZ6A94")</f>
        <v>QJC4E00,MFZ6A94</v>
      </c>
      <c r="G1424" s="238">
        <f>IFERROR(__xludf.DUMMYFUNCTION("""COMPUTED_VALUE"""),45989.08333333333)</f>
        <v>45989.08333</v>
      </c>
      <c r="H1424" s="238">
        <f>IFERROR(__xludf.DUMMYFUNCTION("""COMPUTED_VALUE"""),45989.33333333333)</f>
        <v>45989.33333</v>
      </c>
      <c r="I1424" s="237" t="str">
        <f t="shared" si="1"/>
        <v>Fora</v>
      </c>
      <c r="J1424" s="239">
        <v>120.00000001396984</v>
      </c>
    </row>
    <row r="1425">
      <c r="A1425" s="234" t="s">
        <v>3119</v>
      </c>
      <c r="B1425" s="234" t="str">
        <f>IFERROR(__xludf.DUMMYFUNCTION("""COMPUTED_VALUE"""),"LM Hub_MG_Juiz de Fora_Dist Ind")</f>
        <v>LM Hub_MG_Juiz de Fora_Dist Ind</v>
      </c>
      <c r="C1425" s="234" t="str">
        <f>IFERROR(__xludf.DUMMYFUNCTION("""COMPUTED_VALUE"""),"HUB-LMG-59")</f>
        <v>HUB-LMG-59</v>
      </c>
      <c r="D1425" s="234">
        <f>IFERROR(__xludf.DUMMYFUNCTION("""COMPUTED_VALUE"""),15.0)</f>
        <v>15</v>
      </c>
      <c r="E1425" s="237" t="str">
        <f>IFERROR(__xludf.DUMMYFUNCTION("""COMPUTED_VALUE"""),"LT0PBS01SM1M1")</f>
        <v>LT0PBS01SM1M1</v>
      </c>
      <c r="F1425" s="238" t="str">
        <f>IFERROR(__xludf.DUMMYFUNCTION("""COMPUTED_VALUE"""),"TLQ5H43")</f>
        <v>TLQ5H43</v>
      </c>
      <c r="G1425" s="238">
        <f>IFERROR(__xludf.DUMMYFUNCTION("""COMPUTED_VALUE"""),45989.89583333333)</f>
        <v>45989.89583</v>
      </c>
      <c r="H1425" s="238">
        <f>IFERROR(__xludf.DUMMYFUNCTION("""COMPUTED_VALUE"""),45989.97916666667)</f>
        <v>45989.97917</v>
      </c>
      <c r="I1425" s="237" t="str">
        <f t="shared" si="1"/>
        <v>Fora</v>
      </c>
      <c r="J1425" s="239">
        <v>120.00000001396984</v>
      </c>
    </row>
    <row r="1426">
      <c r="A1426" s="234" t="s">
        <v>3120</v>
      </c>
      <c r="B1426" s="234" t="str">
        <f>IFERROR(__xludf.DUMMYFUNCTION("""COMPUTED_VALUE"""),"LM Hub_SP_Itaqua_Zimba")</f>
        <v>LM Hub_SP_Itaqua_Zimba</v>
      </c>
      <c r="C1426" s="234" t="str">
        <f>IFERROR(__xludf.DUMMYFUNCTION("""COMPUTED_VALUE"""),"HUB")</f>
        <v>HUB</v>
      </c>
      <c r="D1426" s="234">
        <f>IFERROR(__xludf.DUMMYFUNCTION("""COMPUTED_VALUE"""),29.0)</f>
        <v>29</v>
      </c>
      <c r="E1426" s="237" t="str">
        <f>IFERROR(__xludf.DUMMYFUNCTION("""COMPUTED_VALUE"""),"LT0PBS01SFO91")</f>
        <v>LT0PBS01SFO91</v>
      </c>
      <c r="F1426" s="238" t="str">
        <f>IFERROR(__xludf.DUMMYFUNCTION("""COMPUTED_VALUE"""),"SUQ5C99,TLD5B82")</f>
        <v>SUQ5C99,TLD5B82</v>
      </c>
      <c r="G1426" s="238">
        <f>IFERROR(__xludf.DUMMYFUNCTION("""COMPUTED_VALUE"""),45989.89583333333)</f>
        <v>45989.89583</v>
      </c>
      <c r="H1426" s="238">
        <f>IFERROR(__xludf.DUMMYFUNCTION("""COMPUTED_VALUE"""),45989.97916666667)</f>
        <v>45989.97917</v>
      </c>
      <c r="I1426" s="237" t="str">
        <f t="shared" si="1"/>
        <v>Fora</v>
      </c>
      <c r="J1426" s="239">
        <v>120.00000001396984</v>
      </c>
    </row>
    <row r="1427">
      <c r="A1427" s="234" t="s">
        <v>3121</v>
      </c>
      <c r="B1427" s="234" t="str">
        <f>IFERROR(__xludf.DUMMYFUNCTION("""COMPUTED_VALUE"""),"LM Hub_SP_Santos_Praia Grande")</f>
        <v>LM Hub_SP_Santos_Praia Grande</v>
      </c>
      <c r="C1427" s="234" t="str">
        <f>IFERROR(__xludf.DUMMYFUNCTION("""COMPUTED_VALUE"""),"HUB-LSP-09")</f>
        <v>HUB-LSP-09</v>
      </c>
      <c r="D1427" s="234">
        <f>IFERROR(__xludf.DUMMYFUNCTION("""COMPUTED_VALUE"""),33.0)</f>
        <v>33</v>
      </c>
      <c r="E1427" s="237" t="str">
        <f>IFERROR(__xludf.DUMMYFUNCTION("""COMPUTED_VALUE"""),"LT0PBS01SFQ41")</f>
        <v>LT0PBS01SFQ41</v>
      </c>
      <c r="F1427" s="238" t="str">
        <f>IFERROR(__xludf.DUMMYFUNCTION("""COMPUTED_VALUE"""),"FUZ4C73,TLL9H76")</f>
        <v>FUZ4C73,TLL9H76</v>
      </c>
      <c r="G1427" s="238">
        <f>IFERROR(__xludf.DUMMYFUNCTION("""COMPUTED_VALUE"""),45989.89583333333)</f>
        <v>45989.89583</v>
      </c>
      <c r="H1427" s="238">
        <f>IFERROR(__xludf.DUMMYFUNCTION("""COMPUTED_VALUE"""),45989.97916666667)</f>
        <v>45989.97917</v>
      </c>
      <c r="I1427" s="237" t="str">
        <f t="shared" si="1"/>
        <v>Fora</v>
      </c>
      <c r="J1427" s="239">
        <v>119.00000001071021</v>
      </c>
    </row>
    <row r="1428">
      <c r="A1428" s="234" t="s">
        <v>3122</v>
      </c>
      <c r="B1428" s="234" t="str">
        <f>IFERROR(__xludf.DUMMYFUNCTION("""COMPUTED_VALUE"""),"LM Hub_SP_Jurubatuba")</f>
        <v>LM Hub_SP_Jurubatuba</v>
      </c>
      <c r="C1428" s="234" t="str">
        <f>IFERROR(__xludf.DUMMYFUNCTION("""COMPUTED_VALUE"""),"HUB-LSP-16")</f>
        <v>HUB-LSP-16</v>
      </c>
      <c r="D1428" s="234">
        <f>IFERROR(__xludf.DUMMYFUNCTION("""COMPUTED_VALUE"""),23.0)</f>
        <v>23</v>
      </c>
      <c r="E1428" s="237" t="str">
        <f>IFERROR(__xludf.DUMMYFUNCTION("""COMPUTED_VALUE"""),"LT0PBS01SOCR1")</f>
        <v>LT0PBS01SOCR1</v>
      </c>
      <c r="F1428" s="238" t="str">
        <f>IFERROR(__xludf.DUMMYFUNCTION("""COMPUTED_VALUE"""),"DTD4722,NCK7E66")</f>
        <v>DTD4722,NCK7E66</v>
      </c>
      <c r="G1428" s="238">
        <f>IFERROR(__xludf.DUMMYFUNCTION("""COMPUTED_VALUE"""),45989.896527777775)</f>
        <v>45989.89653</v>
      </c>
      <c r="H1428" s="238">
        <f>IFERROR(__xludf.DUMMYFUNCTION("""COMPUTED_VALUE"""),45989.97916666667)</f>
        <v>45989.97917</v>
      </c>
      <c r="I1428" s="237" t="str">
        <f t="shared" si="1"/>
        <v>Fora</v>
      </c>
      <c r="J1428" s="239">
        <v>119.00000001071021</v>
      </c>
    </row>
    <row r="1429">
      <c r="A1429" s="234" t="s">
        <v>3123</v>
      </c>
      <c r="B1429" s="234" t="str">
        <f>IFERROR(__xludf.DUMMYFUNCTION("""COMPUTED_VALUE"""),"LM Hub_SP_Mogi das Cruzes_Jund")</f>
        <v>LM Hub_SP_Mogi das Cruzes_Jund</v>
      </c>
      <c r="C1429" s="234" t="str">
        <f>IFERROR(__xludf.DUMMYFUNCTION("""COMPUTED_VALUE"""),"HUB-LSP-78")</f>
        <v>HUB-LSP-78</v>
      </c>
      <c r="D1429" s="234"/>
      <c r="E1429" s="237" t="str">
        <f>IFERROR(__xludf.DUMMYFUNCTION("""COMPUTED_VALUE"""),"LT0PBS01SII31")</f>
        <v>LT0PBS01SII31</v>
      </c>
      <c r="F1429" s="238" t="str">
        <f>IFERROR(__xludf.DUMMYFUNCTION("""COMPUTED_VALUE"""),"DTC8058")</f>
        <v>DTC8058</v>
      </c>
      <c r="G1429" s="238">
        <f>IFERROR(__xludf.DUMMYFUNCTION("""COMPUTED_VALUE"""),45989.896527777775)</f>
        <v>45989.89653</v>
      </c>
      <c r="H1429" s="238">
        <f>IFERROR(__xludf.DUMMYFUNCTION("""COMPUTED_VALUE"""),45989.97916666667)</f>
        <v>45989.97917</v>
      </c>
      <c r="I1429" s="237" t="str">
        <f t="shared" si="1"/>
        <v>Fora</v>
      </c>
      <c r="J1429" s="239">
        <v>119.00000001071021</v>
      </c>
    </row>
    <row r="1430">
      <c r="A1430" s="234" t="s">
        <v>3124</v>
      </c>
      <c r="B1430" s="234" t="str">
        <f>IFERROR(__xludf.DUMMYFUNCTION("""COMPUTED_VALUE"""),"LM Hub_SP_São José dos Campos")</f>
        <v>LM Hub_SP_São José dos Campos</v>
      </c>
      <c r="C1430" s="234" t="str">
        <f>IFERROR(__xludf.DUMMYFUNCTION("""COMPUTED_VALUE"""),"HUB-LSP-04")</f>
        <v>HUB-LSP-04</v>
      </c>
      <c r="D1430" s="234">
        <f>IFERROR(__xludf.DUMMYFUNCTION("""COMPUTED_VALUE"""),26.0)</f>
        <v>26</v>
      </c>
      <c r="E1430" s="237" t="str">
        <f>IFERROR(__xludf.DUMMYFUNCTION("""COMPUTED_VALUE"""),"LT0PBS01SODH1")</f>
        <v>LT0PBS01SODH1</v>
      </c>
      <c r="F1430" s="238" t="str">
        <f>IFERROR(__xludf.DUMMYFUNCTION("""COMPUTED_VALUE"""),"TIR7J78")</f>
        <v>TIR7J78</v>
      </c>
      <c r="G1430" s="238">
        <f>IFERROR(__xludf.DUMMYFUNCTION("""COMPUTED_VALUE"""),45989.896527777775)</f>
        <v>45989.89653</v>
      </c>
      <c r="H1430" s="238">
        <f>IFERROR(__xludf.DUMMYFUNCTION("""COMPUTED_VALUE"""),45989.97916666667)</f>
        <v>45989.97917</v>
      </c>
      <c r="I1430" s="237" t="str">
        <f t="shared" si="1"/>
        <v>Fora</v>
      </c>
      <c r="J1430" s="239">
        <v>118.00000000745058</v>
      </c>
    </row>
    <row r="1431">
      <c r="A1431" s="234" t="s">
        <v>3125</v>
      </c>
      <c r="B1431" s="234" t="str">
        <f>IFERROR(__xludf.DUMMYFUNCTION("""COMPUTED_VALUE"""),"LM Hub_SP_São Paulo_Lapa")</f>
        <v>LM Hub_SP_São Paulo_Lapa</v>
      </c>
      <c r="C1431" s="234" t="str">
        <f>IFERROR(__xludf.DUMMYFUNCTION("""COMPUTED_VALUE"""),"HUB-LSP-15")</f>
        <v>HUB-LSP-15</v>
      </c>
      <c r="D1431" s="234">
        <f>IFERROR(__xludf.DUMMYFUNCTION("""COMPUTED_VALUE"""),42.0)</f>
        <v>42</v>
      </c>
      <c r="E1431" s="237" t="str">
        <f>IFERROR(__xludf.DUMMYFUNCTION("""COMPUTED_VALUE"""),"LT0PBS01SFN41")</f>
        <v>LT0PBS01SFN41</v>
      </c>
      <c r="F1431" s="238" t="str">
        <f>IFERROR(__xludf.DUMMYFUNCTION("""COMPUTED_VALUE"""),"GGS7H66,ALA3I95")</f>
        <v>GGS7H66,ALA3I95</v>
      </c>
      <c r="G1431" s="238">
        <f>IFERROR(__xludf.DUMMYFUNCTION("""COMPUTED_VALUE"""),45989.89722222222)</f>
        <v>45989.89722</v>
      </c>
      <c r="H1431" s="238">
        <f>IFERROR(__xludf.DUMMYFUNCTION("""COMPUTED_VALUE"""),45989.97916666667)</f>
        <v>45989.97917</v>
      </c>
      <c r="I1431" s="237" t="str">
        <f t="shared" si="1"/>
        <v>Fora</v>
      </c>
      <c r="J1431" s="239">
        <v>118.99999998975545</v>
      </c>
    </row>
    <row r="1432">
      <c r="A1432" s="234" t="s">
        <v>3126</v>
      </c>
      <c r="B1432" s="234" t="str">
        <f>IFERROR(__xludf.DUMMYFUNCTION("""COMPUTED_VALUE"""),"LM Hub_SP_Guarujá")</f>
        <v>LM Hub_SP_Guarujá</v>
      </c>
      <c r="C1432" s="234" t="str">
        <f>IFERROR(__xludf.DUMMYFUNCTION("""COMPUTED_VALUE"""),"HUB-LSP-06")</f>
        <v>HUB-LSP-06</v>
      </c>
      <c r="D1432" s="234">
        <f>IFERROR(__xludf.DUMMYFUNCTION("""COMPUTED_VALUE"""),7.0)</f>
        <v>7</v>
      </c>
      <c r="E1432" s="237" t="str">
        <f>IFERROR(__xludf.DUMMYFUNCTION("""COMPUTED_VALUE"""),"LT0PBS01SFP41")</f>
        <v>LT0PBS01SFP41</v>
      </c>
      <c r="F1432" s="238" t="str">
        <f>IFERROR(__xludf.DUMMYFUNCTION("""COMPUTED_VALUE"""),"TJN5H17")</f>
        <v>TJN5H17</v>
      </c>
      <c r="G1432" s="238">
        <f>IFERROR(__xludf.DUMMYFUNCTION("""COMPUTED_VALUE"""),45989.91666666667)</f>
        <v>45989.91667</v>
      </c>
      <c r="H1432" s="238">
        <f>IFERROR(__xludf.DUMMYFUNCTION("""COMPUTED_VALUE"""),45989.99930555555)</f>
        <v>45989.99931</v>
      </c>
      <c r="I1432" s="237" t="str">
        <f t="shared" si="1"/>
        <v>Fora</v>
      </c>
      <c r="J1432" s="239">
        <v>119.99999999301508</v>
      </c>
    </row>
    <row r="1433">
      <c r="A1433" s="234" t="s">
        <v>3127</v>
      </c>
      <c r="B1433" s="234" t="str">
        <f>IFERROR(__xludf.DUMMYFUNCTION("""COMPUTED_VALUE"""),"LM Hub_SP_Artur Alvim")</f>
        <v>LM Hub_SP_Artur Alvim</v>
      </c>
      <c r="C1433" s="234" t="str">
        <f>IFERROR(__xludf.DUMMYFUNCTION("""COMPUTED_VALUE"""),"HUB-LSP-07")</f>
        <v>HUB-LSP-07</v>
      </c>
      <c r="D1433" s="234">
        <f>IFERROR(__xludf.DUMMYFUNCTION("""COMPUTED_VALUE"""),19.0)</f>
        <v>19</v>
      </c>
      <c r="E1433" s="237" t="str">
        <f>IFERROR(__xludf.DUMMYFUNCTION("""COMPUTED_VALUE"""),"LT0PBS01SFMP1")</f>
        <v>LT0PBS01SFMP1</v>
      </c>
      <c r="F1433" s="238" t="str">
        <f>IFERROR(__xludf.DUMMYFUNCTION("""COMPUTED_VALUE"""),"EBS3J90,JXA3594")</f>
        <v>EBS3J90,JXA3594</v>
      </c>
      <c r="G1433" s="238">
        <f>IFERROR(__xludf.DUMMYFUNCTION("""COMPUTED_VALUE"""),45989.91666666667)</f>
        <v>45989.91667</v>
      </c>
      <c r="H1433" s="238">
        <f>IFERROR(__xludf.DUMMYFUNCTION("""COMPUTED_VALUE"""),45990.0)</f>
        <v>45990</v>
      </c>
      <c r="I1433" s="237" t="str">
        <f t="shared" si="1"/>
        <v>Fora</v>
      </c>
      <c r="J1433" s="239">
        <v>119.99999999301508</v>
      </c>
    </row>
    <row r="1434">
      <c r="A1434" s="234" t="s">
        <v>3128</v>
      </c>
      <c r="B1434" s="234" t="str">
        <f>IFERROR(__xludf.DUMMYFUNCTION("""COMPUTED_VALUE"""),"LM Hub_SP_Barueri_01")</f>
        <v>LM Hub_SP_Barueri_01</v>
      </c>
      <c r="C1434" s="234" t="str">
        <f>IFERROR(__xludf.DUMMYFUNCTION("""COMPUTED_VALUE"""),"HUB-LSP-81")</f>
        <v>HUB-LSP-81</v>
      </c>
      <c r="D1434" s="234">
        <f>IFERROR(__xludf.DUMMYFUNCTION("""COMPUTED_VALUE"""),9.0)</f>
        <v>9</v>
      </c>
      <c r="E1434" s="237" t="str">
        <f>IFERROR(__xludf.DUMMYFUNCTION("""COMPUTED_VALUE"""),"LT0PBS01SKYP1")</f>
        <v>LT0PBS01SKYP1</v>
      </c>
      <c r="F1434" s="238" t="str">
        <f>IFERROR(__xludf.DUMMYFUNCTION("""COMPUTED_VALUE"""),"GEV2J37")</f>
        <v>GEV2J37</v>
      </c>
      <c r="G1434" s="238">
        <f>IFERROR(__xludf.DUMMYFUNCTION("""COMPUTED_VALUE"""),45989.91666666667)</f>
        <v>45989.91667</v>
      </c>
      <c r="H1434" s="238">
        <f>IFERROR(__xludf.DUMMYFUNCTION("""COMPUTED_VALUE"""),45990.0)</f>
        <v>45990</v>
      </c>
      <c r="I1434" s="237" t="str">
        <f t="shared" si="1"/>
        <v>Fora</v>
      </c>
      <c r="J1434" s="239">
        <v>119.99999999301508</v>
      </c>
    </row>
    <row r="1435">
      <c r="A1435" s="234" t="s">
        <v>3129</v>
      </c>
      <c r="B1435" s="234" t="str">
        <f>IFERROR(__xludf.DUMMYFUNCTION("""COMPUTED_VALUE"""),"LM Hub_SP_Limeira_Campo Belo")</f>
        <v>LM Hub_SP_Limeira_Campo Belo</v>
      </c>
      <c r="C1435" s="234" t="str">
        <f>IFERROR(__xludf.DUMMYFUNCTION("""COMPUTED_VALUE"""),"HUB-LSP-24")</f>
        <v>HUB-LSP-24</v>
      </c>
      <c r="D1435" s="234">
        <f>IFERROR(__xludf.DUMMYFUNCTION("""COMPUTED_VALUE"""),37.0)</f>
        <v>37</v>
      </c>
      <c r="E1435" s="237" t="str">
        <f>IFERROR(__xludf.DUMMYFUNCTION("""COMPUTED_VALUE"""),"LT0PBS01SFQL1")</f>
        <v>LT0PBS01SFQL1</v>
      </c>
      <c r="F1435" s="238" t="str">
        <f>IFERROR(__xludf.DUMMYFUNCTION("""COMPUTED_VALUE"""),"SVM9H44,GDU4H95")</f>
        <v>SVM9H44,GDU4H95</v>
      </c>
      <c r="G1435" s="238">
        <f>IFERROR(__xludf.DUMMYFUNCTION("""COMPUTED_VALUE"""),45989.91666666667)</f>
        <v>45989.91667</v>
      </c>
      <c r="H1435" s="238">
        <f>IFERROR(__xludf.DUMMYFUNCTION("""COMPUTED_VALUE"""),45990.0)</f>
        <v>45990</v>
      </c>
      <c r="I1435" s="237" t="str">
        <f t="shared" si="1"/>
        <v>Fora</v>
      </c>
      <c r="J1435" s="239">
        <v>119.99999999301508</v>
      </c>
    </row>
    <row r="1436">
      <c r="A1436" s="234" t="s">
        <v>3130</v>
      </c>
      <c r="B1436" s="234" t="str">
        <f>IFERROR(__xludf.DUMMYFUNCTION("""COMPUTED_VALUE"""),"LM Hub_SP_Mauá")</f>
        <v>LM Hub_SP_Mauá</v>
      </c>
      <c r="C1436" s="234" t="str">
        <f>IFERROR(__xludf.DUMMYFUNCTION("""COMPUTED_VALUE"""),"HUB-LSP-64")</f>
        <v>HUB-LSP-64</v>
      </c>
      <c r="D1436" s="234">
        <f>IFERROR(__xludf.DUMMYFUNCTION("""COMPUTED_VALUE"""),13.0)</f>
        <v>13</v>
      </c>
      <c r="E1436" s="237" t="str">
        <f>IFERROR(__xludf.DUMMYFUNCTION("""COMPUTED_VALUE"""),"LT0PBS01SFO21")</f>
        <v>LT0PBS01SFO21</v>
      </c>
      <c r="F1436" s="238" t="str">
        <f>IFERROR(__xludf.DUMMYFUNCTION("""COMPUTED_VALUE"""),"ONN9D62")</f>
        <v>ONN9D62</v>
      </c>
      <c r="G1436" s="238">
        <f>IFERROR(__xludf.DUMMYFUNCTION("""COMPUTED_VALUE"""),45989.91666666667)</f>
        <v>45989.91667</v>
      </c>
      <c r="H1436" s="238">
        <f>IFERROR(__xludf.DUMMYFUNCTION("""COMPUTED_VALUE"""),45990.0)</f>
        <v>45990</v>
      </c>
      <c r="I1436" s="237" t="str">
        <f t="shared" si="1"/>
        <v>Fora</v>
      </c>
      <c r="J1436" s="239">
        <v>119.99999999301508</v>
      </c>
    </row>
    <row r="1437">
      <c r="A1437" s="234" t="s">
        <v>3131</v>
      </c>
      <c r="B1437" s="234" t="str">
        <f>IFERROR(__xludf.DUMMYFUNCTION("""COMPUTED_VALUE"""),"LM Hub_SP_São José do Rio P")</f>
        <v>LM Hub_SP_São José do Rio P</v>
      </c>
      <c r="C1437" s="234" t="str">
        <f>IFERROR(__xludf.DUMMYFUNCTION("""COMPUTED_VALUE"""),"HUB-LSP-27")</f>
        <v>HUB-LSP-27</v>
      </c>
      <c r="D1437" s="234">
        <f>IFERROR(__xludf.DUMMYFUNCTION("""COMPUTED_VALUE"""),35.0)</f>
        <v>35</v>
      </c>
      <c r="E1437" s="237" t="str">
        <f>IFERROR(__xludf.DUMMYFUNCTION("""COMPUTED_VALUE"""),"LT0PBS01SJO51")</f>
        <v>LT0PBS01SJO51</v>
      </c>
      <c r="F1437" s="238" t="str">
        <f>IFERROR(__xludf.DUMMYFUNCTION("""COMPUTED_VALUE"""),"TJE4H96")</f>
        <v>TJE4H96</v>
      </c>
      <c r="G1437" s="238">
        <f>IFERROR(__xludf.DUMMYFUNCTION("""COMPUTED_VALUE"""),45989.91666666667)</f>
        <v>45989.91667</v>
      </c>
      <c r="H1437" s="238">
        <f>IFERROR(__xludf.DUMMYFUNCTION("""COMPUTED_VALUE"""),45990.0)</f>
        <v>45990</v>
      </c>
      <c r="I1437" s="237" t="str">
        <f t="shared" si="1"/>
        <v>Fora</v>
      </c>
      <c r="J1437" s="239">
        <v>119.00000000023283</v>
      </c>
    </row>
    <row r="1438">
      <c r="A1438" s="234" t="s">
        <v>3132</v>
      </c>
      <c r="B1438" s="234" t="str">
        <f>IFERROR(__xludf.DUMMYFUNCTION("""COMPUTED_VALUE"""),"LM Hub_SP_Guarulhos")</f>
        <v>LM Hub_SP_Guarulhos</v>
      </c>
      <c r="C1438" s="234" t="str">
        <f>IFERROR(__xludf.DUMMYFUNCTION("""COMPUTED_VALUE"""),"HUB-LSP-77")</f>
        <v>HUB-LSP-77</v>
      </c>
      <c r="D1438" s="234">
        <f>IFERROR(__xludf.DUMMYFUNCTION("""COMPUTED_VALUE"""),28.0)</f>
        <v>28</v>
      </c>
      <c r="E1438" s="237" t="str">
        <f>IFERROR(__xludf.DUMMYFUNCTION("""COMPUTED_VALUE"""),"LT0PBS01SGBB1")</f>
        <v>LT0PBS01SGBB1</v>
      </c>
      <c r="F1438" s="238" t="str">
        <f>IFERROR(__xludf.DUMMYFUNCTION("""COMPUTED_VALUE"""),"FEB5I21,FRT9A70")</f>
        <v>FEB5I21,FRT9A70</v>
      </c>
      <c r="G1438" s="238">
        <f>IFERROR(__xludf.DUMMYFUNCTION("""COMPUTED_VALUE"""),45989.91736111111)</f>
        <v>45989.91736</v>
      </c>
      <c r="H1438" s="238">
        <f>IFERROR(__xludf.DUMMYFUNCTION("""COMPUTED_VALUE"""),45990.0)</f>
        <v>45990</v>
      </c>
      <c r="I1438" s="237" t="str">
        <f t="shared" si="1"/>
        <v>Fora</v>
      </c>
      <c r="J1438" s="239">
        <v>119.00000000023283</v>
      </c>
    </row>
    <row r="1439">
      <c r="A1439" s="234" t="s">
        <v>3133</v>
      </c>
      <c r="B1439" s="234" t="str">
        <f>IFERROR(__xludf.DUMMYFUNCTION("""COMPUTED_VALUE"""),"LM Hub_SP_Itapevi")</f>
        <v>LM Hub_SP_Itapevi</v>
      </c>
      <c r="C1439" s="234" t="str">
        <f>IFERROR(__xludf.DUMMYFUNCTION("""COMPUTED_VALUE"""),"HUB-LSP-41")</f>
        <v>HUB-LSP-41</v>
      </c>
      <c r="D1439" s="234">
        <f>IFERROR(__xludf.DUMMYFUNCTION("""COMPUTED_VALUE"""),6.0)</f>
        <v>6</v>
      </c>
      <c r="E1439" s="237" t="str">
        <f>IFERROR(__xludf.DUMMYFUNCTION("""COMPUTED_VALUE"""),"LT0PBS01SOCW1")</f>
        <v>LT0PBS01SOCW1</v>
      </c>
      <c r="F1439" s="238" t="str">
        <f>IFERROR(__xludf.DUMMYFUNCTION("""COMPUTED_VALUE"""),"FYQ5533")</f>
        <v>FYQ5533</v>
      </c>
      <c r="G1439" s="238">
        <f>IFERROR(__xludf.DUMMYFUNCTION("""COMPUTED_VALUE"""),45989.91736111111)</f>
        <v>45989.91736</v>
      </c>
      <c r="H1439" s="238">
        <f>IFERROR(__xludf.DUMMYFUNCTION("""COMPUTED_VALUE"""),45990.0)</f>
        <v>45990</v>
      </c>
      <c r="I1439" s="237" t="str">
        <f t="shared" si="1"/>
        <v>Fora</v>
      </c>
      <c r="J1439" s="239">
        <v>119.00000000023283</v>
      </c>
    </row>
    <row r="1440">
      <c r="A1440" s="234" t="s">
        <v>3134</v>
      </c>
      <c r="B1440" s="234" t="str">
        <f>IFERROR(__xludf.DUMMYFUNCTION("""COMPUTED_VALUE"""),"LM Hub_SP_Santo André")</f>
        <v>LM Hub_SP_Santo André</v>
      </c>
      <c r="C1440" s="234" t="str">
        <f>IFERROR(__xludf.DUMMYFUNCTION("""COMPUTED_VALUE"""),"HUB-LSP-93")</f>
        <v>HUB-LSP-93</v>
      </c>
      <c r="D1440" s="234">
        <f>IFERROR(__xludf.DUMMYFUNCTION("""COMPUTED_VALUE"""),25.0)</f>
        <v>25</v>
      </c>
      <c r="E1440" s="237" t="str">
        <f>IFERROR(__xludf.DUMMYFUNCTION("""COMPUTED_VALUE"""),"LT0PBS01SI931")</f>
        <v>LT0PBS01SI931</v>
      </c>
      <c r="F1440" s="238" t="str">
        <f>IFERROR(__xludf.DUMMYFUNCTION("""COMPUTED_VALUE"""),"FQF6B98,DTA7802")</f>
        <v>FQF6B98,DTA7802</v>
      </c>
      <c r="G1440" s="238">
        <f>IFERROR(__xludf.DUMMYFUNCTION("""COMPUTED_VALUE"""),45989.91736111111)</f>
        <v>45989.91736</v>
      </c>
      <c r="H1440" s="238">
        <f>IFERROR(__xludf.DUMMYFUNCTION("""COMPUTED_VALUE"""),45990.0)</f>
        <v>45990</v>
      </c>
      <c r="I1440" s="237" t="str">
        <f t="shared" si="1"/>
        <v>Fora</v>
      </c>
      <c r="J1440" s="239">
        <v>119.99999999301508</v>
      </c>
    </row>
    <row r="1441">
      <c r="A1441" s="234" t="s">
        <v>3135</v>
      </c>
      <c r="B1441" s="234" t="str">
        <f>IFERROR(__xludf.DUMMYFUNCTION("""COMPUTED_VALUE"""),"LM Hub_SP_Jardim Adriana")</f>
        <v>LM Hub_SP_Jardim Adriana</v>
      </c>
      <c r="C1441" s="234" t="str">
        <f>IFERROR(__xludf.DUMMYFUNCTION("""COMPUTED_VALUE"""),"HUB-LSP-12")</f>
        <v>HUB-LSP-12</v>
      </c>
      <c r="D1441" s="234">
        <f>IFERROR(__xludf.DUMMYFUNCTION("""COMPUTED_VALUE"""),20.0)</f>
        <v>20</v>
      </c>
      <c r="E1441" s="237" t="str">
        <f>IFERROR(__xludf.DUMMYFUNCTION("""COMPUTED_VALUE"""),"LT0PBS01SFMU1")</f>
        <v>LT0PBS01SFMU1</v>
      </c>
      <c r="F1441" s="238" t="str">
        <f>IFERROR(__xludf.DUMMYFUNCTION("""COMPUTED_VALUE"""),"FNW2D28")</f>
        <v>FNW2D28</v>
      </c>
      <c r="G1441" s="238">
        <f>IFERROR(__xludf.DUMMYFUNCTION("""COMPUTED_VALUE"""),45989.9375)</f>
        <v>45989.9375</v>
      </c>
      <c r="H1441" s="238">
        <f>IFERROR(__xludf.DUMMYFUNCTION("""COMPUTED_VALUE"""),45990.02083333333)</f>
        <v>45990.02083</v>
      </c>
      <c r="I1441" s="237" t="str">
        <f t="shared" si="1"/>
        <v>Fora</v>
      </c>
      <c r="J1441" s="239">
        <v>119.99999999301508</v>
      </c>
    </row>
    <row r="1442">
      <c r="A1442" s="234" t="s">
        <v>3136</v>
      </c>
      <c r="B1442" s="234" t="str">
        <f>IFERROR(__xludf.DUMMYFUNCTION("""COMPUTED_VALUE"""),"LM Hub_SP_São Paulo_Carandiru")</f>
        <v>LM Hub_SP_São Paulo_Carandiru</v>
      </c>
      <c r="C1442" s="234" t="str">
        <f>IFERROR(__xludf.DUMMYFUNCTION("""COMPUTED_VALUE"""),"HUB-LSP-18")</f>
        <v>HUB-LSP-18</v>
      </c>
      <c r="D1442" s="234">
        <f>IFERROR(__xludf.DUMMYFUNCTION("""COMPUTED_VALUE"""),39.0)</f>
        <v>39</v>
      </c>
      <c r="E1442" s="237" t="str">
        <f>IFERROR(__xludf.DUMMYFUNCTION("""COMPUTED_VALUE"""),"LT0PBS01SFND1")</f>
        <v>LT0PBS01SFND1</v>
      </c>
      <c r="F1442" s="238" t="str">
        <f>IFERROR(__xludf.DUMMYFUNCTION("""COMPUTED_VALUE"""),"NVO0561")</f>
        <v>NVO0561</v>
      </c>
      <c r="G1442" s="238">
        <f>IFERROR(__xludf.DUMMYFUNCTION("""COMPUTED_VALUE"""),45989.9375)</f>
        <v>45989.9375</v>
      </c>
      <c r="H1442" s="238">
        <f>IFERROR(__xludf.DUMMYFUNCTION("""COMPUTED_VALUE"""),45990.02083333333)</f>
        <v>45990.02083</v>
      </c>
      <c r="I1442" s="237" t="str">
        <f t="shared" si="1"/>
        <v>Fora</v>
      </c>
      <c r="J1442" s="239">
        <v>118.99999998975545</v>
      </c>
    </row>
    <row r="1443">
      <c r="A1443" s="234" t="s">
        <v>3137</v>
      </c>
      <c r="B1443" s="234" t="str">
        <f>IFERROR(__xludf.DUMMYFUNCTION("""COMPUTED_VALUE"""),"LM Hub_SP_Parque Novo Mundo")</f>
        <v>LM Hub_SP_Parque Novo Mundo</v>
      </c>
      <c r="C1443" s="234" t="str">
        <f>IFERROR(__xludf.DUMMYFUNCTION("""COMPUTED_VALUE"""),"HUB-LSP-89")</f>
        <v>HUB-LSP-89</v>
      </c>
      <c r="D1443" s="234">
        <f>IFERROR(__xludf.DUMMYFUNCTION("""COMPUTED_VALUE"""),34.0)</f>
        <v>34</v>
      </c>
      <c r="E1443" s="237" t="str">
        <f>IFERROR(__xludf.DUMMYFUNCTION("""COMPUTED_VALUE"""),"LT0PBS01SOK71")</f>
        <v>LT0PBS01SOK71</v>
      </c>
      <c r="F1443" s="238" t="str">
        <f>IFERROR(__xludf.DUMMYFUNCTION("""COMPUTED_VALUE"""),"FNK8E47,FAM1829")</f>
        <v>FNK8E47,FAM1829</v>
      </c>
      <c r="G1443" s="238">
        <f>IFERROR(__xludf.DUMMYFUNCTION("""COMPUTED_VALUE"""),45989.93819444445)</f>
        <v>45989.93819</v>
      </c>
      <c r="H1443" s="238">
        <f>IFERROR(__xludf.DUMMYFUNCTION("""COMPUTED_VALUE"""),45990.02083333333)</f>
        <v>45990.02083</v>
      </c>
      <c r="I1443" s="237" t="str">
        <f t="shared" si="1"/>
        <v>Fora</v>
      </c>
      <c r="J1443" s="239">
        <v>118.99999998975545</v>
      </c>
    </row>
    <row r="1444">
      <c r="A1444" s="234" t="s">
        <v>3138</v>
      </c>
      <c r="B1444" s="234" t="str">
        <f>IFERROR(__xludf.DUMMYFUNCTION("""COMPUTED_VALUE"""),"LM Hub_SP_Piracicaba")</f>
        <v>LM Hub_SP_Piracicaba</v>
      </c>
      <c r="C1444" s="234" t="str">
        <f>IFERROR(__xludf.DUMMYFUNCTION("""COMPUTED_VALUE"""),"HUB-LSP-62")</f>
        <v>HUB-LSP-62</v>
      </c>
      <c r="D1444" s="234">
        <f>IFERROR(__xludf.DUMMYFUNCTION("""COMPUTED_VALUE"""),32.0)</f>
        <v>32</v>
      </c>
      <c r="E1444" s="237" t="str">
        <f>IFERROR(__xludf.DUMMYFUNCTION("""COMPUTED_VALUE"""),"LT0PBS01SOI91")</f>
        <v>LT0PBS01SOI91</v>
      </c>
      <c r="F1444" s="238" t="str">
        <f>IFERROR(__xludf.DUMMYFUNCTION("""COMPUTED_VALUE"""),"EWJ1C48")</f>
        <v>EWJ1C48</v>
      </c>
      <c r="G1444" s="238">
        <f>IFERROR(__xludf.DUMMYFUNCTION("""COMPUTED_VALUE"""),45989.93819444445)</f>
        <v>45989.93819</v>
      </c>
      <c r="H1444" s="238">
        <f>IFERROR(__xludf.DUMMYFUNCTION("""COMPUTED_VALUE"""),45990.02083333333)</f>
        <v>45990.02083</v>
      </c>
      <c r="I1444" s="237" t="str">
        <f t="shared" si="1"/>
        <v>Fora</v>
      </c>
      <c r="J1444" s="239">
        <v>118.99999998975545</v>
      </c>
    </row>
    <row r="1445">
      <c r="A1445" s="234" t="s">
        <v>3139</v>
      </c>
      <c r="B1445" s="234" t="str">
        <f>IFERROR(__xludf.DUMMYFUNCTION("""COMPUTED_VALUE"""),"LM Hub_SP_VilaGuilherme")</f>
        <v>LM Hub_SP_VilaGuilherme</v>
      </c>
      <c r="C1445" s="234" t="str">
        <f>IFERROR(__xludf.DUMMYFUNCTION("""COMPUTED_VALUE"""),"HUB-LSP-68")</f>
        <v>HUB-LSP-68</v>
      </c>
      <c r="D1445" s="234">
        <f>IFERROR(__xludf.DUMMYFUNCTION("""COMPUTED_VALUE"""),14.0)</f>
        <v>14</v>
      </c>
      <c r="E1445" s="237" t="str">
        <f>IFERROR(__xludf.DUMMYFUNCTION("""COMPUTED_VALUE"""),"LT0PBS01SOD01")</f>
        <v>LT0PBS01SOD01</v>
      </c>
      <c r="F1445" s="238" t="str">
        <f>IFERROR(__xludf.DUMMYFUNCTION("""COMPUTED_VALUE"""),"HFD4H27,JXG9745")</f>
        <v>HFD4H27,JXG9745</v>
      </c>
      <c r="G1445" s="238">
        <f>IFERROR(__xludf.DUMMYFUNCTION("""COMPUTED_VALUE"""),45989.93819444445)</f>
        <v>45989.93819</v>
      </c>
      <c r="H1445" s="238">
        <f>IFERROR(__xludf.DUMMYFUNCTION("""COMPUTED_VALUE"""),45990.02083333333)</f>
        <v>45990.02083</v>
      </c>
      <c r="I1445" s="237" t="str">
        <f t="shared" si="1"/>
        <v>Fora</v>
      </c>
      <c r="J1445" s="239">
        <v>120.00000001396984</v>
      </c>
    </row>
    <row r="1446">
      <c r="A1446" s="234" t="s">
        <v>3140</v>
      </c>
      <c r="B1446" s="234" t="str">
        <f>IFERROR(__xludf.DUMMYFUNCTION("""COMPUTED_VALUE"""),"LM Hub_SP_Jundiaí")</f>
        <v>LM Hub_SP_Jundiaí</v>
      </c>
      <c r="C1446" s="234" t="str">
        <f>IFERROR(__xludf.DUMMYFUNCTION("""COMPUTED_VALUE"""),"HUB-LSP-100")</f>
        <v>HUB-LSP-100</v>
      </c>
      <c r="D1446" s="234">
        <f>IFERROR(__xludf.DUMMYFUNCTION("""COMPUTED_VALUE"""),5.0)</f>
        <v>5</v>
      </c>
      <c r="E1446" s="237" t="str">
        <f>IFERROR(__xludf.DUMMYFUNCTION("""COMPUTED_VALUE"""),"LT0PBS01SFS41")</f>
        <v>LT0PBS01SFS41</v>
      </c>
      <c r="F1446" s="238" t="str">
        <f>IFERROR(__xludf.DUMMYFUNCTION("""COMPUTED_VALUE"""),"UGN5F59")</f>
        <v>UGN5F59</v>
      </c>
      <c r="G1446" s="238">
        <f>IFERROR(__xludf.DUMMYFUNCTION("""COMPUTED_VALUE"""),45989.95833333333)</f>
        <v>45989.95833</v>
      </c>
      <c r="H1446" s="238">
        <f>IFERROR(__xludf.DUMMYFUNCTION("""COMPUTED_VALUE"""),45990.04166666667)</f>
        <v>45990.04167</v>
      </c>
      <c r="I1446" s="237" t="str">
        <f t="shared" si="1"/>
        <v>Fora</v>
      </c>
      <c r="J1446" s="239">
        <v>119.00000001071021</v>
      </c>
    </row>
    <row r="1447">
      <c r="A1447" s="234" t="s">
        <v>3141</v>
      </c>
      <c r="B1447" s="234" t="str">
        <f>IFERROR(__xludf.DUMMYFUNCTION("""COMPUTED_VALUE"""),"LM Hub_SP_Mogi Mirim")</f>
        <v>LM Hub_SP_Mogi Mirim</v>
      </c>
      <c r="C1447" s="234" t="str">
        <f>IFERROR(__xludf.DUMMYFUNCTION("""COMPUTED_VALUE"""),"HUB-LSP-37")</f>
        <v>HUB-LSP-37</v>
      </c>
      <c r="D1447" s="234">
        <f>IFERROR(__xludf.DUMMYFUNCTION("""COMPUTED_VALUE"""),40.0)</f>
        <v>40</v>
      </c>
      <c r="E1447" s="237" t="str">
        <f>IFERROR(__xludf.DUMMYFUNCTION("""COMPUTED_VALUE"""),"LT0PBS01SFRN1")</f>
        <v>LT0PBS01SFRN1</v>
      </c>
      <c r="F1447" s="238" t="str">
        <f>IFERROR(__xludf.DUMMYFUNCTION("""COMPUTED_VALUE"""),"DCU9C23,TJQ3B56")</f>
        <v>DCU9C23,TJQ3B56</v>
      </c>
      <c r="G1447" s="238">
        <f>IFERROR(__xludf.DUMMYFUNCTION("""COMPUTED_VALUE"""),45989.959027777775)</f>
        <v>45989.95903</v>
      </c>
      <c r="H1447" s="238">
        <f>IFERROR(__xludf.DUMMYFUNCTION("""COMPUTED_VALUE"""),45990.04166666667)</f>
        <v>45990.04167</v>
      </c>
      <c r="I1447" s="237" t="str">
        <f t="shared" si="1"/>
        <v>Fora</v>
      </c>
      <c r="J1447" s="239">
        <v>119.99999999301508</v>
      </c>
    </row>
    <row r="1448">
      <c r="A1448" s="234" t="s">
        <v>3142</v>
      </c>
      <c r="B1448" s="234" t="str">
        <f>IFERROR(__xludf.DUMMYFUNCTION("""COMPUTED_VALUE"""),"LM Hub_SP_Araraquara")</f>
        <v>LM Hub_SP_Araraquara</v>
      </c>
      <c r="C1448" s="234" t="str">
        <f>IFERROR(__xludf.DUMMYFUNCTION("""COMPUTED_VALUE"""),"HUB-LSP-29")</f>
        <v>HUB-LSP-29</v>
      </c>
      <c r="D1448" s="234">
        <f>IFERROR(__xludf.DUMMYFUNCTION("""COMPUTED_VALUE"""),12.0)</f>
        <v>12</v>
      </c>
      <c r="E1448" s="237" t="str">
        <f>IFERROR(__xludf.DUMMYFUNCTION("""COMPUTED_VALUE"""),"LT0PBS01SFRT1")</f>
        <v>LT0PBS01SFRT1</v>
      </c>
      <c r="F1448" s="238" t="str">
        <f>IFERROR(__xludf.DUMMYFUNCTION("""COMPUTED_VALUE"""),"EWJ2H21")</f>
        <v>EWJ2H21</v>
      </c>
      <c r="G1448" s="238">
        <f>IFERROR(__xludf.DUMMYFUNCTION("""COMPUTED_VALUE"""),45989.97916666667)</f>
        <v>45989.97917</v>
      </c>
      <c r="H1448" s="238">
        <f>IFERROR(__xludf.DUMMYFUNCTION("""COMPUTED_VALUE"""),45990.0625)</f>
        <v>45990.0625</v>
      </c>
      <c r="I1448" s="237" t="str">
        <f t="shared" si="1"/>
        <v>Fora</v>
      </c>
      <c r="J1448" s="239">
        <v>119.99999999301508</v>
      </c>
    </row>
    <row r="1449">
      <c r="A1449" s="234" t="s">
        <v>3143</v>
      </c>
      <c r="B1449" s="234" t="str">
        <f>IFERROR(__xludf.DUMMYFUNCTION("""COMPUTED_VALUE"""),"LM Hub_SP_Atibaia_Ponte_Alta")</f>
        <v>LM Hub_SP_Atibaia_Ponte_Alta</v>
      </c>
      <c r="C1449" s="234" t="str">
        <f>IFERROR(__xludf.DUMMYFUNCTION("""COMPUTED_VALUE"""),"HUB-LSP-87")</f>
        <v>HUB-LSP-87</v>
      </c>
      <c r="D1449" s="234">
        <f>IFERROR(__xludf.DUMMYFUNCTION("""COMPUTED_VALUE"""),15.0)</f>
        <v>15</v>
      </c>
      <c r="E1449" s="237" t="str">
        <f>IFERROR(__xludf.DUMMYFUNCTION("""COMPUTED_VALUE"""),"LT0PBS01SJJX1")</f>
        <v>LT0PBS01SJJX1</v>
      </c>
      <c r="F1449" s="238" t="str">
        <f>IFERROR(__xludf.DUMMYFUNCTION("""COMPUTED_VALUE"""),"TBQ8J48,TLH9E09")</f>
        <v>TBQ8J48,TLH9E09</v>
      </c>
      <c r="G1449" s="238">
        <f>IFERROR(__xludf.DUMMYFUNCTION("""COMPUTED_VALUE"""),45989.97916666667)</f>
        <v>45989.97917</v>
      </c>
      <c r="H1449" s="238">
        <f>IFERROR(__xludf.DUMMYFUNCTION("""COMPUTED_VALUE"""),45990.0625)</f>
        <v>45990.0625</v>
      </c>
      <c r="I1449" s="237" t="str">
        <f t="shared" si="1"/>
        <v>Fora</v>
      </c>
      <c r="J1449" s="239">
        <v>119.00000000023283</v>
      </c>
    </row>
    <row r="1450">
      <c r="A1450" s="234" t="s">
        <v>3144</v>
      </c>
      <c r="B1450" s="234" t="str">
        <f>IFERROR(__xludf.DUMMYFUNCTION("""COMPUTED_VALUE"""),"LM Hub_SP_Várzea Paulista")</f>
        <v>LM Hub_SP_Várzea Paulista</v>
      </c>
      <c r="C1450" s="234" t="str">
        <f>IFERROR(__xludf.DUMMYFUNCTION("""COMPUTED_VALUE"""),"HUB-LSP-61")</f>
        <v>HUB-LSP-61</v>
      </c>
      <c r="D1450" s="234">
        <f>IFERROR(__xludf.DUMMYFUNCTION("""COMPUTED_VALUE"""),38.0)</f>
        <v>38</v>
      </c>
      <c r="E1450" s="237" t="str">
        <f>IFERROR(__xludf.DUMMYFUNCTION("""COMPUTED_VALUE"""),"LT0PBS01SFQV1")</f>
        <v>LT0PBS01SFQV1</v>
      </c>
      <c r="F1450" s="238" t="str">
        <f>IFERROR(__xludf.DUMMYFUNCTION("""COMPUTED_VALUE"""),"HEL8635,UGE7G44")</f>
        <v>HEL8635,UGE7G44</v>
      </c>
      <c r="G1450" s="238">
        <f>IFERROR(__xludf.DUMMYFUNCTION("""COMPUTED_VALUE"""),45989.97986111111)</f>
        <v>45989.97986</v>
      </c>
      <c r="H1450" s="238">
        <f>IFERROR(__xludf.DUMMYFUNCTION("""COMPUTED_VALUE"""),45990.0625)</f>
        <v>45990.0625</v>
      </c>
      <c r="I1450" s="237" t="str">
        <f t="shared" si="1"/>
        <v>Fora</v>
      </c>
      <c r="J1450" s="239">
        <v>120.00000001396984</v>
      </c>
    </row>
    <row r="1451">
      <c r="A1451" s="234" t="s">
        <v>3145</v>
      </c>
      <c r="B1451" s="234" t="str">
        <f>IFERROR(__xludf.DUMMYFUNCTION("""COMPUTED_VALUE"""),"LM Hub_MG_Varginha_Fausto")</f>
        <v>LM Hub_MG_Varginha_Fausto</v>
      </c>
      <c r="C1451" s="234" t="str">
        <f>IFERROR(__xludf.DUMMYFUNCTION("""COMPUTED_VALUE"""),"HUB-LMG-45")</f>
        <v>HUB-LMG-45</v>
      </c>
      <c r="D1451" s="234">
        <f>IFERROR(__xludf.DUMMYFUNCTION("""COMPUTED_VALUE"""),16.0)</f>
        <v>16</v>
      </c>
      <c r="E1451" s="237" t="str">
        <f>IFERROR(__xludf.DUMMYFUNCTION("""COMPUTED_VALUE"""),"LT0PBT01SKY91")</f>
        <v>LT0PBT01SKY91</v>
      </c>
      <c r="F1451" s="238" t="str">
        <f>IFERROR(__xludf.DUMMYFUNCTION("""COMPUTED_VALUE"""),"ERA8F85")</f>
        <v>ERA8F85</v>
      </c>
      <c r="G1451" s="238">
        <f>IFERROR(__xludf.DUMMYFUNCTION("""COMPUTED_VALUE"""),45990.02083333333)</f>
        <v>45990.02083</v>
      </c>
      <c r="H1451" s="238">
        <f>IFERROR(__xludf.DUMMYFUNCTION("""COMPUTED_VALUE"""),45990.10416666667)</f>
        <v>45990.10417</v>
      </c>
      <c r="I1451" s="237" t="str">
        <f t="shared" si="1"/>
        <v>Fora</v>
      </c>
      <c r="J1451" s="239">
        <v>240.00000000698492</v>
      </c>
    </row>
    <row r="1452">
      <c r="A1452" s="234" t="s">
        <v>3146</v>
      </c>
      <c r="B1452" s="234" t="str">
        <f>IFERROR(__xludf.DUMMYFUNCTION("""COMPUTED_VALUE"""),"SoC_SP_Louveira")</f>
        <v>SoC_SP_Louveira</v>
      </c>
      <c r="C1452" s="234" t="str">
        <f>IFERROR(__xludf.DUMMYFUNCTION("""COMPUTED_VALUE"""),"SOC-SP7")</f>
        <v>SOC-SP7</v>
      </c>
      <c r="D1452" s="234">
        <f>IFERROR(__xludf.DUMMYFUNCTION("""COMPUTED_VALUE"""),36.0)</f>
        <v>36</v>
      </c>
      <c r="E1452" s="237" t="str">
        <f>IFERROR(__xludf.DUMMYFUNCTION("""COMPUTED_VALUE"""),"LT0PBS01SFMD1")</f>
        <v>LT0PBS01SFMD1</v>
      </c>
      <c r="F1452" s="238" t="str">
        <f>IFERROR(__xludf.DUMMYFUNCTION("""COMPUTED_VALUE"""),"EON5C08,UET2J05")</f>
        <v>EON5C08,UET2J05</v>
      </c>
      <c r="G1452" s="238">
        <f>IFERROR(__xludf.DUMMYFUNCTION("""COMPUTED_VALUE"""),45989.95833333333)</f>
        <v>45989.95833</v>
      </c>
      <c r="H1452" s="238">
        <f>IFERROR(__xludf.DUMMYFUNCTION("""COMPUTED_VALUE"""),45990.125)</f>
        <v>45990.125</v>
      </c>
      <c r="I1452" s="237" t="str">
        <f t="shared" si="1"/>
        <v>Fora</v>
      </c>
      <c r="J1452" s="239">
        <v>119.99999999301508</v>
      </c>
    </row>
    <row r="1453">
      <c r="A1453" s="234" t="s">
        <v>3147</v>
      </c>
      <c r="B1453" s="234" t="str">
        <f>IFERROR(__xludf.DUMMYFUNCTION("""COMPUTED_VALUE"""),"SoC_SC_Itajaí")</f>
        <v>SoC_SC_Itajaí</v>
      </c>
      <c r="C1453" s="234" t="str">
        <f>IFERROR(__xludf.DUMMYFUNCTION("""COMPUTED_VALUE"""),"SOC-SC1")</f>
        <v>SOC-SC1</v>
      </c>
      <c r="D1453" s="234">
        <f>IFERROR(__xludf.DUMMYFUNCTION("""COMPUTED_VALUE"""),17.0)</f>
        <v>17</v>
      </c>
      <c r="E1453" s="237" t="str">
        <f>IFERROR(__xludf.DUMMYFUNCTION("""COMPUTED_VALUE"""),"LT0PBT01SK9K1")</f>
        <v>LT0PBT01SK9K1</v>
      </c>
      <c r="F1453" s="238" t="str">
        <f>IFERROR(__xludf.DUMMYFUNCTION("""COMPUTED_VALUE"""),"RDY8E44,SXI0G18")</f>
        <v>RDY8E44,SXI0G18</v>
      </c>
      <c r="G1453" s="238">
        <f>IFERROR(__xludf.DUMMYFUNCTION("""COMPUTED_VALUE"""),45990.04166666667)</f>
        <v>45990.04167</v>
      </c>
      <c r="H1453" s="238">
        <f>IFERROR(__xludf.DUMMYFUNCTION("""COMPUTED_VALUE"""),45990.125)</f>
        <v>45990.125</v>
      </c>
      <c r="I1453" s="237" t="str">
        <f t="shared" si="1"/>
        <v>Fora</v>
      </c>
      <c r="J1453" s="239">
        <v>120.00000001396984</v>
      </c>
    </row>
    <row r="1454">
      <c r="A1454" s="234" t="s">
        <v>3148</v>
      </c>
      <c r="B1454" s="234" t="str">
        <f>IFERROR(__xludf.DUMMYFUNCTION("""COMPUTED_VALUE"""),"SoC_BA_Simoes Filho")</f>
        <v>SoC_BA_Simoes Filho</v>
      </c>
      <c r="C1454" s="234" t="str">
        <f>IFERROR(__xludf.DUMMYFUNCTION("""COMPUTED_VALUE"""),"SOC-BA2")</f>
        <v>SOC-BA2</v>
      </c>
      <c r="D1454" s="234">
        <f>IFERROR(__xludf.DUMMYFUNCTION("""COMPUTED_VALUE"""),48.0)</f>
        <v>48</v>
      </c>
      <c r="E1454" s="237" t="str">
        <f>IFERROR(__xludf.DUMMYFUNCTION("""COMPUTED_VALUE"""),"LT1PBT01TEI21")</f>
        <v>LT1PBT01TEI21</v>
      </c>
      <c r="F1454" s="238" t="str">
        <f>IFERROR(__xludf.DUMMYFUNCTION("""COMPUTED_VALUE"""),"RYS2A45,RLH8I30")</f>
        <v>RYS2A45,RLH8I30</v>
      </c>
      <c r="G1454" s="238">
        <f>IFERROR(__xludf.DUMMYFUNCTION("""COMPUTED_VALUE"""),45990.08333333333)</f>
        <v>45990.08333</v>
      </c>
      <c r="H1454" s="238">
        <f>IFERROR(__xludf.DUMMYFUNCTION("""COMPUTED_VALUE"""),45990.16666666667)</f>
        <v>45990.16667</v>
      </c>
      <c r="I1454" s="237" t="str">
        <f t="shared" si="1"/>
        <v>Fora</v>
      </c>
      <c r="J1454" s="239">
        <v>120.00000001396984</v>
      </c>
    </row>
    <row r="1455">
      <c r="A1455" s="234" t="s">
        <v>3149</v>
      </c>
      <c r="B1455" s="234" t="str">
        <f>IFERROR(__xludf.DUMMYFUNCTION("""COMPUTED_VALUE"""),"SoC_PR_Curitiba")</f>
        <v>SoC_PR_Curitiba</v>
      </c>
      <c r="C1455" s="234" t="str">
        <f>IFERROR(__xludf.DUMMYFUNCTION("""COMPUTED_VALUE"""),"SOC-PR1")</f>
        <v>SOC-PR1</v>
      </c>
      <c r="D1455" s="234">
        <f>IFERROR(__xludf.DUMMYFUNCTION("""COMPUTED_VALUE"""),35.0)</f>
        <v>35</v>
      </c>
      <c r="E1455" s="237" t="str">
        <f>IFERROR(__xludf.DUMMYFUNCTION("""COMPUTED_VALUE"""),"LT0PBT01SFKR1")</f>
        <v>LT0PBT01SFKR1</v>
      </c>
      <c r="F1455" s="238" t="str">
        <f>IFERROR(__xludf.DUMMYFUNCTION("""COMPUTED_VALUE"""),"ASB4A44,RXU1H23")</f>
        <v>ASB4A44,RXU1H23</v>
      </c>
      <c r="G1455" s="238">
        <f>IFERROR(__xludf.DUMMYFUNCTION("""COMPUTED_VALUE"""),45990.08333333333)</f>
        <v>45990.08333</v>
      </c>
      <c r="H1455" s="238">
        <f>IFERROR(__xludf.DUMMYFUNCTION("""COMPUTED_VALUE"""),45990.16666666667)</f>
        <v>45990.16667</v>
      </c>
      <c r="I1455" s="237" t="str">
        <f t="shared" si="1"/>
        <v>Fora</v>
      </c>
      <c r="J1455" s="239">
        <v>120.00000001396984</v>
      </c>
    </row>
    <row r="1456">
      <c r="A1456" s="234" t="s">
        <v>3150</v>
      </c>
      <c r="B1456" s="234" t="str">
        <f>IFERROR(__xludf.DUMMYFUNCTION("""COMPUTED_VALUE"""),"SoC_RS_Gravataí_02")</f>
        <v>SoC_RS_Gravataí_02</v>
      </c>
      <c r="C1456" s="234" t="str">
        <f>IFERROR(__xludf.DUMMYFUNCTION("""COMPUTED_VALUE"""),"SOC-RS2")</f>
        <v>SOC-RS2</v>
      </c>
      <c r="D1456" s="234">
        <f>IFERROR(__xludf.DUMMYFUNCTION("""COMPUTED_VALUE"""),22.0)</f>
        <v>22</v>
      </c>
      <c r="E1456" s="237" t="str">
        <f>IFERROR(__xludf.DUMMYFUNCTION("""COMPUTED_VALUE"""),"LT0PBT01SLLJ1")</f>
        <v>LT0PBT01SLLJ1</v>
      </c>
      <c r="F1456" s="238" t="str">
        <f>IFERROR(__xludf.DUMMYFUNCTION("""COMPUTED_VALUE"""),"JDJ4B48,JDL8A06")</f>
        <v>JDJ4B48,JDL8A06</v>
      </c>
      <c r="G1456" s="238">
        <f>IFERROR(__xludf.DUMMYFUNCTION("""COMPUTED_VALUE"""),45990.08333333333)</f>
        <v>45990.08333</v>
      </c>
      <c r="H1456" s="238">
        <f>IFERROR(__xludf.DUMMYFUNCTION("""COMPUTED_VALUE"""),45990.16666666667)</f>
        <v>45990.16667</v>
      </c>
      <c r="I1456" s="237" t="str">
        <f t="shared" si="1"/>
        <v>Fora</v>
      </c>
      <c r="J1456" s="239">
        <v>119.00000001071021</v>
      </c>
    </row>
    <row r="1457">
      <c r="A1457" s="234" t="s">
        <v>3151</v>
      </c>
      <c r="B1457" s="234" t="str">
        <f>IFERROR(__xludf.DUMMYFUNCTION("""COMPUTED_VALUE"""),"LM Hub_SP_Tatuí")</f>
        <v>LM Hub_SP_Tatuí</v>
      </c>
      <c r="C1457" s="234" t="str">
        <f>IFERROR(__xludf.DUMMYFUNCTION("""COMPUTED_VALUE"""),"HUB-LSP-51")</f>
        <v>HUB-LSP-51</v>
      </c>
      <c r="D1457" s="234">
        <f>IFERROR(__xludf.DUMMYFUNCTION("""COMPUTED_VALUE"""),12.0)</f>
        <v>12</v>
      </c>
      <c r="E1457" s="237" t="str">
        <f>IFERROR(__xludf.DUMMYFUNCTION("""COMPUTED_VALUE"""),"LT0PBT01SFOJ1")</f>
        <v>LT0PBT01SFOJ1</v>
      </c>
      <c r="F1457" s="238" t="str">
        <f>IFERROR(__xludf.DUMMYFUNCTION("""COMPUTED_VALUE"""),"TLE4D84")</f>
        <v>TLE4D84</v>
      </c>
      <c r="G1457" s="238">
        <f>IFERROR(__xludf.DUMMYFUNCTION("""COMPUTED_VALUE"""),45990.084027777775)</f>
        <v>45990.08403</v>
      </c>
      <c r="H1457" s="238">
        <f>IFERROR(__xludf.DUMMYFUNCTION("""COMPUTED_VALUE"""),45990.16666666667)</f>
        <v>45990.16667</v>
      </c>
      <c r="I1457" s="237" t="str">
        <f t="shared" si="1"/>
        <v>Fora</v>
      </c>
      <c r="J1457" s="239">
        <v>119.99999999301508</v>
      </c>
    </row>
    <row r="1458">
      <c r="A1458" s="234" t="s">
        <v>3152</v>
      </c>
      <c r="B1458" s="234" t="str">
        <f>IFERROR(__xludf.DUMMYFUNCTION("""COMPUTED_VALUE"""),"LM Hub_SP_São Carlos")</f>
        <v>LM Hub_SP_São Carlos</v>
      </c>
      <c r="C1458" s="234" t="str">
        <f>IFERROR(__xludf.DUMMYFUNCTION("""COMPUTED_VALUE"""),"HUB-LSP-31")</f>
        <v>HUB-LSP-31</v>
      </c>
      <c r="D1458" s="234">
        <f>IFERROR(__xludf.DUMMYFUNCTION("""COMPUTED_VALUE"""),32.0)</f>
        <v>32</v>
      </c>
      <c r="E1458" s="237" t="str">
        <f>IFERROR(__xludf.DUMMYFUNCTION("""COMPUTED_VALUE"""),"LT0PBT01SFR71")</f>
        <v>LT0PBT01SFR71</v>
      </c>
      <c r="F1458" s="238" t="str">
        <f>IFERROR(__xludf.DUMMYFUNCTION("""COMPUTED_VALUE"""),"MYP2D33")</f>
        <v>MYP2D33</v>
      </c>
      <c r="G1458" s="238">
        <f>IFERROR(__xludf.DUMMYFUNCTION("""COMPUTED_VALUE"""),45990.10416666667)</f>
        <v>45990.10417</v>
      </c>
      <c r="H1458" s="238">
        <f>IFERROR(__xludf.DUMMYFUNCTION("""COMPUTED_VALUE"""),45990.1875)</f>
        <v>45990.1875</v>
      </c>
      <c r="I1458" s="237" t="str">
        <f t="shared" si="1"/>
        <v>Fora</v>
      </c>
      <c r="J1458" s="239">
        <v>119.00000000023283</v>
      </c>
    </row>
    <row r="1459">
      <c r="A1459" s="234" t="s">
        <v>3153</v>
      </c>
      <c r="B1459" s="234" t="str">
        <f>IFERROR(__xludf.DUMMYFUNCTION("""COMPUTED_VALUE"""),"LM Hub_SP_Itapetininga")</f>
        <v>LM Hub_SP_Itapetininga</v>
      </c>
      <c r="C1459" s="234" t="str">
        <f>IFERROR(__xludf.DUMMYFUNCTION("""COMPUTED_VALUE"""),"HUB-LSP-53")</f>
        <v>HUB-LSP-53</v>
      </c>
      <c r="D1459" s="234">
        <f>IFERROR(__xludf.DUMMYFUNCTION("""COMPUTED_VALUE"""),40.0)</f>
        <v>40</v>
      </c>
      <c r="E1459" s="237" t="str">
        <f>IFERROR(__xludf.DUMMYFUNCTION("""COMPUTED_VALUE"""),"LT0PBT01SFOE1")</f>
        <v>LT0PBT01SFOE1</v>
      </c>
      <c r="F1459" s="238" t="str">
        <f>IFERROR(__xludf.DUMMYFUNCTION("""COMPUTED_VALUE"""),"FZY3F48")</f>
        <v>FZY3F48</v>
      </c>
      <c r="G1459" s="238">
        <f>IFERROR(__xludf.DUMMYFUNCTION("""COMPUTED_VALUE"""),45990.10486111111)</f>
        <v>45990.10486</v>
      </c>
      <c r="H1459" s="238">
        <f>IFERROR(__xludf.DUMMYFUNCTION("""COMPUTED_VALUE"""),45990.1875)</f>
        <v>45990.1875</v>
      </c>
      <c r="I1459" s="237" t="str">
        <f t="shared" si="1"/>
        <v>Fora</v>
      </c>
      <c r="J1459" s="239">
        <v>299.9999999930151</v>
      </c>
    </row>
    <row r="1460">
      <c r="A1460" s="234" t="s">
        <v>3154</v>
      </c>
      <c r="B1460" s="234" t="str">
        <f>IFERROR(__xludf.DUMMYFUNCTION("""COMPUTED_VALUE"""),"SoC_MG_Betim")</f>
        <v>SoC_MG_Betim</v>
      </c>
      <c r="C1460" s="234" t="str">
        <f>IFERROR(__xludf.DUMMYFUNCTION("""COMPUTED_VALUE"""),"SOC-MG2")</f>
        <v>SOC-MG2</v>
      </c>
      <c r="D1460" s="234">
        <f>IFERROR(__xludf.DUMMYFUNCTION("""COMPUTED_VALUE"""),49.0)</f>
        <v>49</v>
      </c>
      <c r="E1460" s="237" t="str">
        <f>IFERROR(__xludf.DUMMYFUNCTION("""COMPUTED_VALUE"""),"LT1PBT01T8PQ1")</f>
        <v>LT1PBT01T8PQ1</v>
      </c>
      <c r="F1460" s="238" t="str">
        <f>IFERROR(__xludf.DUMMYFUNCTION("""COMPUTED_VALUE"""),"EHH3B94,GBG7J83")</f>
        <v>EHH3B94,GBG7J83</v>
      </c>
      <c r="G1460" s="238">
        <f>IFERROR(__xludf.DUMMYFUNCTION("""COMPUTED_VALUE"""),45990.0)</f>
        <v>45990</v>
      </c>
      <c r="H1460" s="238">
        <f>IFERROR(__xludf.DUMMYFUNCTION("""COMPUTED_VALUE"""),45990.20833333333)</f>
        <v>45990.20833</v>
      </c>
      <c r="I1460" s="237" t="str">
        <f t="shared" si="1"/>
        <v>Fora</v>
      </c>
      <c r="J1460" s="239">
        <v>299.9999999930151</v>
      </c>
    </row>
    <row r="1461">
      <c r="A1461" s="234" t="s">
        <v>3155</v>
      </c>
      <c r="B1461" s="234" t="str">
        <f>IFERROR(__xludf.DUMMYFUNCTION("""COMPUTED_VALUE"""),"SoC_MG_Betim")</f>
        <v>SoC_MG_Betim</v>
      </c>
      <c r="C1461" s="234" t="str">
        <f>IFERROR(__xludf.DUMMYFUNCTION("""COMPUTED_VALUE"""),"SOC-MG2")</f>
        <v>SOC-MG2</v>
      </c>
      <c r="D1461" s="234"/>
      <c r="E1461" s="237" t="str">
        <f>IFERROR(__xludf.DUMMYFUNCTION("""COMPUTED_VALUE"""),"LT1PBT01T8PR1")</f>
        <v>LT1PBT01T8PR1</v>
      </c>
      <c r="F1461" s="238" t="str">
        <f>IFERROR(__xludf.DUMMYFUNCTION("""COMPUTED_VALUE"""),"ECO6A13")</f>
        <v>ECO6A13</v>
      </c>
      <c r="G1461" s="238">
        <f>IFERROR(__xludf.DUMMYFUNCTION("""COMPUTED_VALUE"""),45990.0)</f>
        <v>45990</v>
      </c>
      <c r="H1461" s="238">
        <f>IFERROR(__xludf.DUMMYFUNCTION("""COMPUTED_VALUE"""),45990.20833333333)</f>
        <v>45990.20833</v>
      </c>
      <c r="I1461" s="237" t="str">
        <f t="shared" si="1"/>
        <v>Fora</v>
      </c>
      <c r="J1461" s="239">
        <v>239.99999998603016</v>
      </c>
    </row>
    <row r="1462">
      <c r="A1462" s="234" t="s">
        <v>3156</v>
      </c>
      <c r="B1462" s="234" t="str">
        <f>IFERROR(__xludf.DUMMYFUNCTION("""COMPUTED_VALUE"""),"SoC_BA_Simoes Filho")</f>
        <v>SoC_BA_Simoes Filho</v>
      </c>
      <c r="C1462" s="234" t="str">
        <f>IFERROR(__xludf.DUMMYFUNCTION("""COMPUTED_VALUE"""),"SOC-BA2")</f>
        <v>SOC-BA2</v>
      </c>
      <c r="D1462" s="234"/>
      <c r="E1462" s="237" t="str">
        <f>IFERROR(__xludf.DUMMYFUNCTION("""COMPUTED_VALUE"""),"LT1PBT01T8PW1")</f>
        <v>LT1PBT01T8PW1</v>
      </c>
      <c r="F1462" s="238" t="str">
        <f>IFERROR(__xludf.DUMMYFUNCTION("""COMPUTED_VALUE"""),"QIG7A55,GAC1C76")</f>
        <v>QIG7A55,GAC1C76</v>
      </c>
      <c r="G1462" s="238">
        <f>IFERROR(__xludf.DUMMYFUNCTION("""COMPUTED_VALUE"""),45990.04166666667)</f>
        <v>45990.04167</v>
      </c>
      <c r="H1462" s="238">
        <f>IFERROR(__xludf.DUMMYFUNCTION("""COMPUTED_VALUE"""),45990.20833333333)</f>
        <v>45990.20833</v>
      </c>
      <c r="I1462" s="237" t="str">
        <f t="shared" si="1"/>
        <v>Fora</v>
      </c>
      <c r="J1462" s="239">
        <v>239.99999998603016</v>
      </c>
    </row>
    <row r="1463">
      <c r="A1463" s="234" t="s">
        <v>3157</v>
      </c>
      <c r="B1463" s="234" t="str">
        <f>IFERROR(__xludf.DUMMYFUNCTION("""COMPUTED_VALUE"""),"SoC_BA_Simoes Filho")</f>
        <v>SoC_BA_Simoes Filho</v>
      </c>
      <c r="C1463" s="234" t="str">
        <f>IFERROR(__xludf.DUMMYFUNCTION("""COMPUTED_VALUE"""),"SOC-BA2")</f>
        <v>SOC-BA2</v>
      </c>
      <c r="D1463" s="234"/>
      <c r="E1463" s="237" t="str">
        <f>IFERROR(__xludf.DUMMYFUNCTION("""COMPUTED_VALUE"""),"LT1PBT01T8PX1")</f>
        <v>LT1PBT01T8PX1</v>
      </c>
      <c r="F1463" s="238" t="str">
        <f>IFERROR(__xludf.DUMMYFUNCTION("""COMPUTED_VALUE"""),"MLQ4100,SXS1C20")</f>
        <v>MLQ4100,SXS1C20</v>
      </c>
      <c r="G1463" s="238">
        <f>IFERROR(__xludf.DUMMYFUNCTION("""COMPUTED_VALUE"""),45990.04166666667)</f>
        <v>45990.04167</v>
      </c>
      <c r="H1463" s="238">
        <f>IFERROR(__xludf.DUMMYFUNCTION("""COMPUTED_VALUE"""),45990.20833333333)</f>
        <v>45990.20833</v>
      </c>
      <c r="I1463" s="237" t="str">
        <f t="shared" si="1"/>
        <v>Fora</v>
      </c>
      <c r="J1463" s="239">
        <v>119.99999999301508</v>
      </c>
    </row>
    <row r="1464">
      <c r="A1464" s="234" t="s">
        <v>3158</v>
      </c>
      <c r="B1464" s="234" t="str">
        <f>IFERROR(__xludf.DUMMYFUNCTION("""COMPUTED_VALUE"""),"LM Hub_SP_Itapeva")</f>
        <v>LM Hub_SP_Itapeva</v>
      </c>
      <c r="C1464" s="234" t="str">
        <f>IFERROR(__xludf.DUMMYFUNCTION("""COMPUTED_VALUE"""),"HUB-LSP-39")</f>
        <v>HUB-LSP-39</v>
      </c>
      <c r="D1464" s="234">
        <f>IFERROR(__xludf.DUMMYFUNCTION("""COMPUTED_VALUE"""),7.0)</f>
        <v>7</v>
      </c>
      <c r="E1464" s="237" t="str">
        <f>IFERROR(__xludf.DUMMYFUNCTION("""COMPUTED_VALUE"""),"LT0PBT01SFOP1")</f>
        <v>LT0PBT01SFOP1</v>
      </c>
      <c r="F1464" s="238" t="str">
        <f>IFERROR(__xludf.DUMMYFUNCTION("""COMPUTED_VALUE"""),"DTC3E38")</f>
        <v>DTC3E38</v>
      </c>
      <c r="G1464" s="238">
        <f>IFERROR(__xludf.DUMMYFUNCTION("""COMPUTED_VALUE"""),45990.125)</f>
        <v>45990.125</v>
      </c>
      <c r="H1464" s="238">
        <f>IFERROR(__xludf.DUMMYFUNCTION("""COMPUTED_VALUE"""),45990.20833333333)</f>
        <v>45990.20833</v>
      </c>
      <c r="I1464" s="237" t="str">
        <f t="shared" si="1"/>
        <v>Fora</v>
      </c>
      <c r="J1464" s="239">
        <v>119.99999999301508</v>
      </c>
    </row>
    <row r="1465">
      <c r="A1465" s="234" t="s">
        <v>3159</v>
      </c>
      <c r="B1465" s="234" t="str">
        <f>IFERROR(__xludf.DUMMYFUNCTION("""COMPUTED_VALUE"""),"LM Hub_SP_Registro")</f>
        <v>LM Hub_SP_Registro</v>
      </c>
      <c r="C1465" s="234" t="str">
        <f>IFERROR(__xludf.DUMMYFUNCTION("""COMPUTED_VALUE"""),"HUB-LSP-40")</f>
        <v>HUB-LSP-40</v>
      </c>
      <c r="D1465" s="234">
        <f>IFERROR(__xludf.DUMMYFUNCTION("""COMPUTED_VALUE"""),6.0)</f>
        <v>6</v>
      </c>
      <c r="E1465" s="237" t="str">
        <f>IFERROR(__xludf.DUMMYFUNCTION("""COMPUTED_VALUE"""),"LT0PBT01SFPA1")</f>
        <v>LT0PBT01SFPA1</v>
      </c>
      <c r="F1465" s="238" t="str">
        <f>IFERROR(__xludf.DUMMYFUNCTION("""COMPUTED_VALUE"""),"FSV9B90")</f>
        <v>FSV9B90</v>
      </c>
      <c r="G1465" s="238">
        <f>IFERROR(__xludf.DUMMYFUNCTION("""COMPUTED_VALUE"""),45990.125)</f>
        <v>45990.125</v>
      </c>
      <c r="H1465" s="238">
        <f>IFERROR(__xludf.DUMMYFUNCTION("""COMPUTED_VALUE"""),45990.20833333333)</f>
        <v>45990.20833</v>
      </c>
      <c r="I1465" s="237" t="str">
        <f t="shared" si="1"/>
        <v>Fora</v>
      </c>
      <c r="J1465" s="239">
        <v>119.99999999301508</v>
      </c>
    </row>
    <row r="1466">
      <c r="A1466" s="234" t="s">
        <v>3160</v>
      </c>
      <c r="B1466" s="234" t="str">
        <f>IFERROR(__xludf.DUMMYFUNCTION("""COMPUTED_VALUE"""),"LM Hub_SP_Sumaré_Nova Veneza_1")</f>
        <v>LM Hub_SP_Sumaré_Nova Veneza_1</v>
      </c>
      <c r="C1466" s="234" t="str">
        <f>IFERROR(__xludf.DUMMYFUNCTION("""COMPUTED_VALUE"""),"HUB-LSP-88")</f>
        <v>HUB-LSP-88</v>
      </c>
      <c r="D1466" s="234">
        <f>IFERROR(__xludf.DUMMYFUNCTION("""COMPUTED_VALUE"""),34.0)</f>
        <v>34</v>
      </c>
      <c r="E1466" s="237" t="str">
        <f>IFERROR(__xludf.DUMMYFUNCTION("""COMPUTED_VALUE"""),"LT0PBT01SKUE1")</f>
        <v>LT0PBT01SKUE1</v>
      </c>
      <c r="F1466" s="238" t="str">
        <f>IFERROR(__xludf.DUMMYFUNCTION("""COMPUTED_VALUE"""),"DTC3E38")</f>
        <v>DTC3E38</v>
      </c>
      <c r="G1466" s="238">
        <f>IFERROR(__xludf.DUMMYFUNCTION("""COMPUTED_VALUE"""),45990.125)</f>
        <v>45990.125</v>
      </c>
      <c r="H1466" s="238">
        <f>IFERROR(__xludf.DUMMYFUNCTION("""COMPUTED_VALUE"""),45990.20833333333)</f>
        <v>45990.20833</v>
      </c>
      <c r="I1466" s="237" t="str">
        <f t="shared" si="1"/>
        <v>Fora</v>
      </c>
      <c r="J1466" s="239">
        <v>119.99999999301508</v>
      </c>
    </row>
    <row r="1467">
      <c r="A1467" s="234" t="s">
        <v>3161</v>
      </c>
      <c r="B1467" s="234" t="str">
        <f>IFERROR(__xludf.DUMMYFUNCTION("""COMPUTED_VALUE"""),"SoC_SP_Guarulhos")</f>
        <v>SoC_SP_Guarulhos</v>
      </c>
      <c r="C1467" s="234" t="str">
        <f>IFERROR(__xludf.DUMMYFUNCTION("""COMPUTED_VALUE"""),"SOC-SP6")</f>
        <v>SOC-SP6</v>
      </c>
      <c r="D1467" s="234"/>
      <c r="E1467" s="237" t="str">
        <f>IFERROR(__xludf.DUMMYFUNCTION("""COMPUTED_VALUE"""),"LT1PBT01TC181")</f>
        <v>LT1PBT01TC181</v>
      </c>
      <c r="F1467" s="238" t="str">
        <f>IFERROR(__xludf.DUMMYFUNCTION("""COMPUTED_VALUE"""),"ODE7J96")</f>
        <v>ODE7J96</v>
      </c>
      <c r="G1467" s="238">
        <f>IFERROR(__xludf.DUMMYFUNCTION("""COMPUTED_VALUE"""),45990.125)</f>
        <v>45990.125</v>
      </c>
      <c r="H1467" s="238">
        <f>IFERROR(__xludf.DUMMYFUNCTION("""COMPUTED_VALUE"""),45990.20833333333)</f>
        <v>45990.20833</v>
      </c>
      <c r="I1467" s="237" t="str">
        <f t="shared" si="1"/>
        <v>Fora</v>
      </c>
      <c r="J1467" s="239">
        <v>119.99999999301508</v>
      </c>
    </row>
    <row r="1468">
      <c r="A1468" s="234" t="s">
        <v>3162</v>
      </c>
      <c r="B1468" s="234" t="str">
        <f>IFERROR(__xludf.DUMMYFUNCTION("""COMPUTED_VALUE"""),"SoC_SP_São Bernardo do Campo")</f>
        <v>SoC_SP_São Bernardo do Campo</v>
      </c>
      <c r="C1468" s="234" t="str">
        <f>IFERROR(__xludf.DUMMYFUNCTION("""COMPUTED_VALUE"""),"SOC-SP8")</f>
        <v>SOC-SP8</v>
      </c>
      <c r="D1468" s="234">
        <f>IFERROR(__xludf.DUMMYFUNCTION("""COMPUTED_VALUE"""),26.0)</f>
        <v>26</v>
      </c>
      <c r="E1468" s="237" t="str">
        <f>IFERROR(__xludf.DUMMYFUNCTION("""COMPUTED_VALUE"""),"LT1PBT01TBYY1")</f>
        <v>LT1PBT01TBYY1</v>
      </c>
      <c r="F1468" s="238" t="str">
        <f>IFERROR(__xludf.DUMMYFUNCTION("""COMPUTED_VALUE"""),"ETM1C74,EML6G44")</f>
        <v>ETM1C74,EML6G44</v>
      </c>
      <c r="G1468" s="238">
        <f>IFERROR(__xludf.DUMMYFUNCTION("""COMPUTED_VALUE"""),45990.125)</f>
        <v>45990.125</v>
      </c>
      <c r="H1468" s="238">
        <f>IFERROR(__xludf.DUMMYFUNCTION("""COMPUTED_VALUE"""),45990.20833333333)</f>
        <v>45990.20833</v>
      </c>
      <c r="I1468" s="237" t="str">
        <f t="shared" si="1"/>
        <v>Fora</v>
      </c>
      <c r="J1468" s="239">
        <v>120.00000001396984</v>
      </c>
    </row>
    <row r="1469">
      <c r="A1469" s="234" t="s">
        <v>3163</v>
      </c>
      <c r="B1469" s="234" t="str">
        <f>IFERROR(__xludf.DUMMYFUNCTION("""COMPUTED_VALUE"""),"SoC_SP_São Bernardo do Campo")</f>
        <v>SoC_SP_São Bernardo do Campo</v>
      </c>
      <c r="C1469" s="234" t="str">
        <f>IFERROR(__xludf.DUMMYFUNCTION("""COMPUTED_VALUE"""),"SOC-SP8")</f>
        <v>SOC-SP8</v>
      </c>
      <c r="D1469" s="234">
        <f>IFERROR(__xludf.DUMMYFUNCTION("""COMPUTED_VALUE"""),15.0)</f>
        <v>15</v>
      </c>
      <c r="E1469" s="237" t="str">
        <f>IFERROR(__xludf.DUMMYFUNCTION("""COMPUTED_VALUE"""),"LT0PBT01SFQA1")</f>
        <v>LT0PBT01SFQA1</v>
      </c>
      <c r="F1469" s="238" t="str">
        <f>IFERROR(__xludf.DUMMYFUNCTION("""COMPUTED_VALUE"""),"GHJ3E37,OUU8J45")</f>
        <v>GHJ3E37,OUU8J45</v>
      </c>
      <c r="G1469" s="238">
        <f>IFERROR(__xludf.DUMMYFUNCTION("""COMPUTED_VALUE"""),45990.14583333333)</f>
        <v>45990.14583</v>
      </c>
      <c r="H1469" s="238">
        <f>IFERROR(__xludf.DUMMYFUNCTION("""COMPUTED_VALUE"""),45990.22916666667)</f>
        <v>45990.22917</v>
      </c>
      <c r="I1469" s="237" t="str">
        <f t="shared" si="1"/>
        <v>Fora</v>
      </c>
      <c r="J1469" s="239">
        <v>120.00000001396984</v>
      </c>
    </row>
    <row r="1470">
      <c r="A1470" s="234" t="s">
        <v>3164</v>
      </c>
      <c r="B1470" s="234" t="str">
        <f>IFERROR(__xludf.DUMMYFUNCTION("""COMPUTED_VALUE"""),"SoC_SP_São Bernardo do Campo")</f>
        <v>SoC_SP_São Bernardo do Campo</v>
      </c>
      <c r="C1470" s="234" t="str">
        <f>IFERROR(__xludf.DUMMYFUNCTION("""COMPUTED_VALUE"""),"SOC-SP8")</f>
        <v>SOC-SP8</v>
      </c>
      <c r="D1470" s="234">
        <f>IFERROR(__xludf.DUMMYFUNCTION("""COMPUTED_VALUE"""),39.0)</f>
        <v>39</v>
      </c>
      <c r="E1470" s="237" t="str">
        <f>IFERROR(__xludf.DUMMYFUNCTION("""COMPUTED_VALUE"""),"LT0PBT01SFRI1")</f>
        <v>LT0PBT01SFRI1</v>
      </c>
      <c r="F1470" s="238" t="str">
        <f>IFERROR(__xludf.DUMMYFUNCTION("""COMPUTED_VALUE"""),"UDI0A98")</f>
        <v>UDI0A98</v>
      </c>
      <c r="G1470" s="238">
        <f>IFERROR(__xludf.DUMMYFUNCTION("""COMPUTED_VALUE"""),45990.14583333333)</f>
        <v>45990.14583</v>
      </c>
      <c r="H1470" s="238">
        <f>IFERROR(__xludf.DUMMYFUNCTION("""COMPUTED_VALUE"""),45990.22916666667)</f>
        <v>45990.22917</v>
      </c>
      <c r="I1470" s="237" t="str">
        <f t="shared" si="1"/>
        <v>Fora</v>
      </c>
      <c r="J1470" s="239">
        <v>120.00000001396984</v>
      </c>
    </row>
    <row r="1471">
      <c r="A1471" s="234" t="s">
        <v>3165</v>
      </c>
      <c r="B1471" s="234" t="str">
        <f>IFERROR(__xludf.DUMMYFUNCTION("""COMPUTED_VALUE"""),"SoC_SP_São Bernardo do Campo")</f>
        <v>SoC_SP_São Bernardo do Campo</v>
      </c>
      <c r="C1471" s="234" t="str">
        <f>IFERROR(__xludf.DUMMYFUNCTION("""COMPUTED_VALUE"""),"SOC-SP8")</f>
        <v>SOC-SP8</v>
      </c>
      <c r="D1471" s="234">
        <f>IFERROR(__xludf.DUMMYFUNCTION("""COMPUTED_VALUE"""),13.0)</f>
        <v>13</v>
      </c>
      <c r="E1471" s="237" t="str">
        <f>IFERROR(__xludf.DUMMYFUNCTION("""COMPUTED_VALUE"""),"LT0PBT01SFSJ1")</f>
        <v>LT0PBT01SFSJ1</v>
      </c>
      <c r="F1471" s="238" t="str">
        <f>IFERROR(__xludf.DUMMYFUNCTION("""COMPUTED_VALUE"""),"EBM2I49")</f>
        <v>EBM2I49</v>
      </c>
      <c r="G1471" s="238">
        <f>IFERROR(__xludf.DUMMYFUNCTION("""COMPUTED_VALUE"""),45990.14583333333)</f>
        <v>45990.14583</v>
      </c>
      <c r="H1471" s="238">
        <f>IFERROR(__xludf.DUMMYFUNCTION("""COMPUTED_VALUE"""),45990.22916666667)</f>
        <v>45990.22917</v>
      </c>
      <c r="I1471" s="237" t="str">
        <f t="shared" si="1"/>
        <v>Fora</v>
      </c>
      <c r="J1471" s="239">
        <v>120.00000001396984</v>
      </c>
    </row>
    <row r="1472">
      <c r="A1472" s="234" t="s">
        <v>3166</v>
      </c>
      <c r="B1472" s="234" t="str">
        <f>IFERROR(__xludf.DUMMYFUNCTION("""COMPUTED_VALUE"""),"SoC_SP_São Bernardo do Campo")</f>
        <v>SoC_SP_São Bernardo do Campo</v>
      </c>
      <c r="C1472" s="234" t="str">
        <f>IFERROR(__xludf.DUMMYFUNCTION("""COMPUTED_VALUE"""),"SOC-SP8")</f>
        <v>SOC-SP8</v>
      </c>
      <c r="D1472" s="234">
        <f>IFERROR(__xludf.DUMMYFUNCTION("""COMPUTED_VALUE"""),29.0)</f>
        <v>29</v>
      </c>
      <c r="E1472" s="237" t="str">
        <f>IFERROR(__xludf.DUMMYFUNCTION("""COMPUTED_VALUE"""),"LT0PBT01SGR01")</f>
        <v>LT0PBT01SGR01</v>
      </c>
      <c r="F1472" s="238" t="str">
        <f>IFERROR(__xludf.DUMMYFUNCTION("""COMPUTED_VALUE"""),"FEU6H63")</f>
        <v>FEU6H63</v>
      </c>
      <c r="G1472" s="238">
        <f>IFERROR(__xludf.DUMMYFUNCTION("""COMPUTED_VALUE"""),45990.14583333333)</f>
        <v>45990.14583</v>
      </c>
      <c r="H1472" s="238">
        <f>IFERROR(__xludf.DUMMYFUNCTION("""COMPUTED_VALUE"""),45990.22916666667)</f>
        <v>45990.22917</v>
      </c>
      <c r="I1472" s="237" t="str">
        <f t="shared" si="1"/>
        <v>Fora</v>
      </c>
      <c r="J1472" s="239">
        <v>119.99999999301508</v>
      </c>
    </row>
    <row r="1473">
      <c r="A1473" s="234" t="s">
        <v>3167</v>
      </c>
      <c r="B1473" s="234" t="str">
        <f>IFERROR(__xludf.DUMMYFUNCTION("""COMPUTED_VALUE"""),"SoC_SP_Guarulhos")</f>
        <v>SoC_SP_Guarulhos</v>
      </c>
      <c r="C1473" s="234" t="str">
        <f>IFERROR(__xludf.DUMMYFUNCTION("""COMPUTED_VALUE"""),"SOC-SP6")</f>
        <v>SOC-SP6</v>
      </c>
      <c r="D1473" s="234">
        <f>IFERROR(__xludf.DUMMYFUNCTION("""COMPUTED_VALUE"""),24.0)</f>
        <v>24</v>
      </c>
      <c r="E1473" s="237" t="str">
        <f>IFERROR(__xludf.DUMMYFUNCTION("""COMPUTED_VALUE"""),"LT1PBT01TC1A1")</f>
        <v>LT1PBT01TC1A1</v>
      </c>
      <c r="F1473" s="238" t="str">
        <f>IFERROR(__xludf.DUMMYFUNCTION("""COMPUTED_VALUE"""),"EMU5F62,FGK3A38")</f>
        <v>EMU5F62,FGK3A38</v>
      </c>
      <c r="G1473" s="238">
        <f>IFERROR(__xludf.DUMMYFUNCTION("""COMPUTED_VALUE"""),45990.16666666667)</f>
        <v>45990.16667</v>
      </c>
      <c r="H1473" s="238">
        <f>IFERROR(__xludf.DUMMYFUNCTION("""COMPUTED_VALUE"""),45990.25)</f>
        <v>45990.25</v>
      </c>
      <c r="I1473" s="237" t="str">
        <f t="shared" si="1"/>
        <v>Fora</v>
      </c>
      <c r="J1473" s="239">
        <v>119.99999999301508</v>
      </c>
    </row>
    <row r="1474">
      <c r="A1474" s="234" t="s">
        <v>3168</v>
      </c>
      <c r="B1474" s="234" t="str">
        <f>IFERROR(__xludf.DUMMYFUNCTION("""COMPUTED_VALUE"""),"SoC_SP_São Bernardo do Campo")</f>
        <v>SoC_SP_São Bernardo do Campo</v>
      </c>
      <c r="C1474" s="234" t="str">
        <f>IFERROR(__xludf.DUMMYFUNCTION("""COMPUTED_VALUE"""),"SOC-SP8")</f>
        <v>SOC-SP8</v>
      </c>
      <c r="D1474" s="234">
        <f>IFERROR(__xludf.DUMMYFUNCTION("""COMPUTED_VALUE"""),22.0)</f>
        <v>22</v>
      </c>
      <c r="E1474" s="237" t="str">
        <f>IFERROR(__xludf.DUMMYFUNCTION("""COMPUTED_VALUE"""),"LT1PBT01TBYX1")</f>
        <v>LT1PBT01TBYX1</v>
      </c>
      <c r="F1474" s="238" t="str">
        <f>IFERROR(__xludf.DUMMYFUNCTION("""COMPUTED_VALUE"""),"NGE1I09,BAP5B41")</f>
        <v>NGE1I09,BAP5B41</v>
      </c>
      <c r="G1474" s="238">
        <f>IFERROR(__xludf.DUMMYFUNCTION("""COMPUTED_VALUE"""),45990.16666666667)</f>
        <v>45990.16667</v>
      </c>
      <c r="H1474" s="238">
        <f>IFERROR(__xludf.DUMMYFUNCTION("""COMPUTED_VALUE"""),45990.25)</f>
        <v>45990.25</v>
      </c>
      <c r="I1474" s="237" t="str">
        <f t="shared" si="1"/>
        <v>Fora</v>
      </c>
      <c r="J1474" s="239">
        <v>119.99999999301508</v>
      </c>
    </row>
    <row r="1475">
      <c r="A1475" s="234" t="s">
        <v>3169</v>
      </c>
      <c r="B1475" s="234" t="str">
        <f>IFERROR(__xludf.DUMMYFUNCTION("""COMPUTED_VALUE"""),"SoC_SP_São Bernardo do Campo")</f>
        <v>SoC_SP_São Bernardo do Campo</v>
      </c>
      <c r="C1475" s="234" t="str">
        <f>IFERROR(__xludf.DUMMYFUNCTION("""COMPUTED_VALUE"""),"SOC-SP8")</f>
        <v>SOC-SP8</v>
      </c>
      <c r="D1475" s="234">
        <f>IFERROR(__xludf.DUMMYFUNCTION("""COMPUTED_VALUE"""),36.0)</f>
        <v>36</v>
      </c>
      <c r="E1475" s="237" t="str">
        <f>IFERROR(__xludf.DUMMYFUNCTION("""COMPUTED_VALUE"""),"LT1PBT01TBYZ1")</f>
        <v>LT1PBT01TBYZ1</v>
      </c>
      <c r="F1475" s="238" t="str">
        <f>IFERROR(__xludf.DUMMYFUNCTION("""COMPUTED_VALUE"""),"MLQ4100,SXS1C20")</f>
        <v>MLQ4100,SXS1C20</v>
      </c>
      <c r="G1475" s="238">
        <f>IFERROR(__xludf.DUMMYFUNCTION("""COMPUTED_VALUE"""),45990.16666666667)</f>
        <v>45990.16667</v>
      </c>
      <c r="H1475" s="238">
        <f>IFERROR(__xludf.DUMMYFUNCTION("""COMPUTED_VALUE"""),45990.25)</f>
        <v>45990.25</v>
      </c>
      <c r="I1475" s="237" t="str">
        <f t="shared" si="1"/>
        <v>Fora</v>
      </c>
      <c r="J1475" s="239">
        <v>119.99999999301508</v>
      </c>
    </row>
    <row r="1476">
      <c r="A1476" s="234" t="s">
        <v>3170</v>
      </c>
      <c r="B1476" s="234" t="str">
        <f>IFERROR(__xludf.DUMMYFUNCTION("""COMPUTED_VALUE"""),"SoC_SP_São Bernardo do Campo")</f>
        <v>SoC_SP_São Bernardo do Campo</v>
      </c>
      <c r="C1476" s="234" t="str">
        <f>IFERROR(__xludf.DUMMYFUNCTION("""COMPUTED_VALUE"""),"SOC-SP8")</f>
        <v>SOC-SP8</v>
      </c>
      <c r="D1476" s="234">
        <f>IFERROR(__xludf.DUMMYFUNCTION("""COMPUTED_VALUE"""),45.0)</f>
        <v>45</v>
      </c>
      <c r="E1476" s="237" t="str">
        <f>IFERROR(__xludf.DUMMYFUNCTION("""COMPUTED_VALUE"""),"LT0PBT01SFKS1")</f>
        <v>LT0PBT01SFKS1</v>
      </c>
      <c r="F1476" s="238" t="str">
        <f>IFERROR(__xludf.DUMMYFUNCTION("""COMPUTED_VALUE"""),"TJD1F44,BEY5C12")</f>
        <v>TJD1F44,BEY5C12</v>
      </c>
      <c r="G1476" s="238">
        <f>IFERROR(__xludf.DUMMYFUNCTION("""COMPUTED_VALUE"""),45990.16666666667)</f>
        <v>45990.16667</v>
      </c>
      <c r="H1476" s="238">
        <f>IFERROR(__xludf.DUMMYFUNCTION("""COMPUTED_VALUE"""),45990.25)</f>
        <v>45990.25</v>
      </c>
      <c r="I1476" s="237" t="str">
        <f t="shared" si="1"/>
        <v>Fora</v>
      </c>
      <c r="J1476" s="239">
        <v>119.99999999301508</v>
      </c>
    </row>
    <row r="1477">
      <c r="A1477" s="234" t="s">
        <v>3171</v>
      </c>
      <c r="B1477" s="234" t="str">
        <f>IFERROR(__xludf.DUMMYFUNCTION("""COMPUTED_VALUE"""),"SoC_SP_São Bernardo do Campo")</f>
        <v>SoC_SP_São Bernardo do Campo</v>
      </c>
      <c r="C1477" s="234" t="str">
        <f>IFERROR(__xludf.DUMMYFUNCTION("""COMPUTED_VALUE"""),"SOC-SP8")</f>
        <v>SOC-SP8</v>
      </c>
      <c r="D1477" s="234">
        <f>IFERROR(__xludf.DUMMYFUNCTION("""COMPUTED_VALUE"""),18.0)</f>
        <v>18</v>
      </c>
      <c r="E1477" s="237" t="str">
        <f>IFERROR(__xludf.DUMMYFUNCTION("""COMPUTED_VALUE"""),"LT0PBT01SFPL1")</f>
        <v>LT0PBT01SFPL1</v>
      </c>
      <c r="F1477" s="238" t="str">
        <f>IFERROR(__xludf.DUMMYFUNCTION("""COMPUTED_VALUE"""),"EKH3880")</f>
        <v>EKH3880</v>
      </c>
      <c r="G1477" s="238">
        <f>IFERROR(__xludf.DUMMYFUNCTION("""COMPUTED_VALUE"""),45990.16666666667)</f>
        <v>45990.16667</v>
      </c>
      <c r="H1477" s="238">
        <f>IFERROR(__xludf.DUMMYFUNCTION("""COMPUTED_VALUE"""),45990.25)</f>
        <v>45990.25</v>
      </c>
      <c r="I1477" s="237" t="str">
        <f t="shared" si="1"/>
        <v>Fora</v>
      </c>
      <c r="J1477" s="239">
        <v>119.99999999301508</v>
      </c>
    </row>
    <row r="1478">
      <c r="A1478" s="234" t="s">
        <v>3172</v>
      </c>
      <c r="B1478" s="234" t="str">
        <f>IFERROR(__xludf.DUMMYFUNCTION("""COMPUTED_VALUE"""),"SoC_SP_São Bernardo do Campo")</f>
        <v>SoC_SP_São Bernardo do Campo</v>
      </c>
      <c r="C1478" s="234" t="str">
        <f>IFERROR(__xludf.DUMMYFUNCTION("""COMPUTED_VALUE"""),"SOC-SP8")</f>
        <v>SOC-SP8</v>
      </c>
      <c r="D1478" s="234">
        <f>IFERROR(__xludf.DUMMYFUNCTION("""COMPUTED_VALUE"""),41.0)</f>
        <v>41</v>
      </c>
      <c r="E1478" s="237" t="str">
        <f>IFERROR(__xludf.DUMMYFUNCTION("""COMPUTED_VALUE"""),"LT0PBT01SFQG1")</f>
        <v>LT0PBT01SFQG1</v>
      </c>
      <c r="F1478" s="238" t="str">
        <f>IFERROR(__xludf.DUMMYFUNCTION("""COMPUTED_VALUE"""),"CUG3E95")</f>
        <v>CUG3E95</v>
      </c>
      <c r="G1478" s="238">
        <f>IFERROR(__xludf.DUMMYFUNCTION("""COMPUTED_VALUE"""),45990.16666666667)</f>
        <v>45990.16667</v>
      </c>
      <c r="H1478" s="238">
        <f>IFERROR(__xludf.DUMMYFUNCTION("""COMPUTED_VALUE"""),45990.25)</f>
        <v>45990.25</v>
      </c>
      <c r="I1478" s="237" t="str">
        <f t="shared" si="1"/>
        <v>Fora</v>
      </c>
      <c r="J1478" s="239">
        <v>119.99999999301508</v>
      </c>
    </row>
    <row r="1479">
      <c r="A1479" s="234" t="s">
        <v>3173</v>
      </c>
      <c r="B1479" s="234" t="str">
        <f>IFERROR(__xludf.DUMMYFUNCTION("""COMPUTED_VALUE"""),"SoC_SP_São Bernardo do Campo")</f>
        <v>SoC_SP_São Bernardo do Campo</v>
      </c>
      <c r="C1479" s="234" t="str">
        <f>IFERROR(__xludf.DUMMYFUNCTION("""COMPUTED_VALUE"""),"SOC-SP8")</f>
        <v>SOC-SP8</v>
      </c>
      <c r="D1479" s="234">
        <f>IFERROR(__xludf.DUMMYFUNCTION("""COMPUTED_VALUE"""),43.0)</f>
        <v>43</v>
      </c>
      <c r="E1479" s="237" t="str">
        <f>IFERROR(__xludf.DUMMYFUNCTION("""COMPUTED_VALUE"""),"LT0PBT01SFQQ1")</f>
        <v>LT0PBT01SFQQ1</v>
      </c>
      <c r="F1479" s="238" t="str">
        <f>IFERROR(__xludf.DUMMYFUNCTION("""COMPUTED_VALUE"""),"LRU5J40")</f>
        <v>LRU5J40</v>
      </c>
      <c r="G1479" s="238">
        <f>IFERROR(__xludf.DUMMYFUNCTION("""COMPUTED_VALUE"""),45990.16666666667)</f>
        <v>45990.16667</v>
      </c>
      <c r="H1479" s="238">
        <f>IFERROR(__xludf.DUMMYFUNCTION("""COMPUTED_VALUE"""),45990.25)</f>
        <v>45990.25</v>
      </c>
      <c r="I1479" s="237" t="str">
        <f t="shared" si="1"/>
        <v>Fora</v>
      </c>
      <c r="J1479" s="239">
        <v>119.99999999301508</v>
      </c>
    </row>
    <row r="1480">
      <c r="A1480" s="234" t="s">
        <v>3174</v>
      </c>
      <c r="B1480" s="234" t="str">
        <f>IFERROR(__xludf.DUMMYFUNCTION("""COMPUTED_VALUE"""),"LM Hub_SP_Embu das Artes")</f>
        <v>LM Hub_SP_Embu das Artes</v>
      </c>
      <c r="C1480" s="234" t="str">
        <f>IFERROR(__xludf.DUMMYFUNCTION("""COMPUTED_VALUE"""),"HUB-LSP-36")</f>
        <v>HUB-LSP-36</v>
      </c>
      <c r="D1480" s="234">
        <f>IFERROR(__xludf.DUMMYFUNCTION("""COMPUTED_VALUE"""),37.0)</f>
        <v>37</v>
      </c>
      <c r="E1480" s="237" t="str">
        <f>IFERROR(__xludf.DUMMYFUNCTION("""COMPUTED_VALUE"""),"LT0PBT01SGS41")</f>
        <v>LT0PBT01SGS41</v>
      </c>
      <c r="F1480" s="238" t="str">
        <f>IFERROR(__xludf.DUMMYFUNCTION("""COMPUTED_VALUE"""),"BVT4B34")</f>
        <v>BVT4B34</v>
      </c>
      <c r="G1480" s="238">
        <f>IFERROR(__xludf.DUMMYFUNCTION("""COMPUTED_VALUE"""),45990.1875)</f>
        <v>45990.1875</v>
      </c>
      <c r="H1480" s="238">
        <f>IFERROR(__xludf.DUMMYFUNCTION("""COMPUTED_VALUE"""),45990.27083333333)</f>
        <v>45990.27083</v>
      </c>
      <c r="I1480" s="237" t="str">
        <f t="shared" si="1"/>
        <v>Fora</v>
      </c>
      <c r="J1480" s="239">
        <v>119.99999999301508</v>
      </c>
    </row>
    <row r="1481">
      <c r="A1481" s="234" t="s">
        <v>3175</v>
      </c>
      <c r="B1481" s="234" t="str">
        <f>IFERROR(__xludf.DUMMYFUNCTION("""COMPUTED_VALUE"""),"LM Hub_SP_Taubaté")</f>
        <v>LM Hub_SP_Taubaté</v>
      </c>
      <c r="C1481" s="234" t="str">
        <f>IFERROR(__xludf.DUMMYFUNCTION("""COMPUTED_VALUE"""),"HUB-LSP-08")</f>
        <v>HUB-LSP-08</v>
      </c>
      <c r="D1481" s="234">
        <f>IFERROR(__xludf.DUMMYFUNCTION("""COMPUTED_VALUE"""),9.0)</f>
        <v>9</v>
      </c>
      <c r="E1481" s="237" t="str">
        <f>IFERROR(__xludf.DUMMYFUNCTION("""COMPUTED_VALUE"""),"LT0PBT01SFPV1")</f>
        <v>LT0PBT01SFPV1</v>
      </c>
      <c r="F1481" s="238" t="str">
        <f>IFERROR(__xludf.DUMMYFUNCTION("""COMPUTED_VALUE"""),"QQO0H42")</f>
        <v>QQO0H42</v>
      </c>
      <c r="G1481" s="238">
        <f>IFERROR(__xludf.DUMMYFUNCTION("""COMPUTED_VALUE"""),45990.1875)</f>
        <v>45990.1875</v>
      </c>
      <c r="H1481" s="238">
        <f>IFERROR(__xludf.DUMMYFUNCTION("""COMPUTED_VALUE"""),45990.27083333333)</f>
        <v>45990.27083</v>
      </c>
      <c r="I1481" s="237" t="str">
        <f t="shared" si="1"/>
        <v>Fora</v>
      </c>
      <c r="J1481" s="239">
        <v>119.99999999301508</v>
      </c>
    </row>
    <row r="1482">
      <c r="A1482" s="234" t="s">
        <v>3176</v>
      </c>
      <c r="B1482" s="234" t="str">
        <f>IFERROR(__xludf.DUMMYFUNCTION("""COMPUTED_VALUE"""),"SoC_SP_São Bernardo do Campo")</f>
        <v>SoC_SP_São Bernardo do Campo</v>
      </c>
      <c r="C1482" s="234" t="str">
        <f>IFERROR(__xludf.DUMMYFUNCTION("""COMPUTED_VALUE"""),"SOC-SP8")</f>
        <v>SOC-SP8</v>
      </c>
      <c r="D1482" s="234">
        <f>IFERROR(__xludf.DUMMYFUNCTION("""COMPUTED_VALUE"""),14.0)</f>
        <v>14</v>
      </c>
      <c r="E1482" s="237" t="str">
        <f>IFERROR(__xludf.DUMMYFUNCTION("""COMPUTED_VALUE"""),"LT0PBT01SJJS1")</f>
        <v>LT0PBT01SJJS1</v>
      </c>
      <c r="F1482" s="238" t="str">
        <f>IFERROR(__xludf.DUMMYFUNCTION("""COMPUTED_VALUE"""),"EOK0A95")</f>
        <v>EOK0A95</v>
      </c>
      <c r="G1482" s="238">
        <f>IFERROR(__xludf.DUMMYFUNCTION("""COMPUTED_VALUE"""),45990.1875)</f>
        <v>45990.1875</v>
      </c>
      <c r="H1482" s="238">
        <f>IFERROR(__xludf.DUMMYFUNCTION("""COMPUTED_VALUE"""),45990.27083333333)</f>
        <v>45990.27083</v>
      </c>
      <c r="I1482" s="237" t="str">
        <f t="shared" si="1"/>
        <v>Fora</v>
      </c>
      <c r="J1482" s="239">
        <v>540.0</v>
      </c>
    </row>
    <row r="1483">
      <c r="A1483" s="234" t="s">
        <v>3177</v>
      </c>
      <c r="B1483" s="234" t="str">
        <f>IFERROR(__xludf.DUMMYFUNCTION("""COMPUTED_VALUE"""),"SoC_MG_Betim")</f>
        <v>SoC_MG_Betim</v>
      </c>
      <c r="C1483" s="234" t="str">
        <f>IFERROR(__xludf.DUMMYFUNCTION("""COMPUTED_VALUE"""),"SOC-MG2")</f>
        <v>SOC-MG2</v>
      </c>
      <c r="D1483" s="234">
        <f>IFERROR(__xludf.DUMMYFUNCTION("""COMPUTED_VALUE"""),14.0)</f>
        <v>14</v>
      </c>
      <c r="E1483" s="237" t="str">
        <f>IFERROR(__xludf.DUMMYFUNCTION("""COMPUTED_VALUE"""),"LT0PBS01SFKM2")</f>
        <v>LT0PBS01SFKM2</v>
      </c>
      <c r="F1483" s="238" t="str">
        <f>IFERROR(__xludf.DUMMYFUNCTION("""COMPUTED_VALUE"""),"CUT3C97")</f>
        <v>CUT3C97</v>
      </c>
      <c r="G1483" s="238">
        <f>IFERROR(__xludf.DUMMYFUNCTION("""COMPUTED_VALUE"""),45989.91666666667)</f>
        <v>45989.91667</v>
      </c>
      <c r="H1483" s="238">
        <f>IFERROR(__xludf.DUMMYFUNCTION("""COMPUTED_VALUE"""),45990.29166666667)</f>
        <v>45990.29167</v>
      </c>
      <c r="I1483" s="237" t="str">
        <f t="shared" si="1"/>
        <v>Fora</v>
      </c>
      <c r="J1483" s="239">
        <v>540.0</v>
      </c>
    </row>
    <row r="1484">
      <c r="A1484" s="234" t="s">
        <v>3178</v>
      </c>
      <c r="B1484" s="234" t="str">
        <f>IFERROR(__xludf.DUMMYFUNCTION("""COMPUTED_VALUE"""),"SoC_SP_São Bernardo do Campo")</f>
        <v>SoC_SP_São Bernardo do Campo</v>
      </c>
      <c r="C1484" s="234" t="str">
        <f>IFERROR(__xludf.DUMMYFUNCTION("""COMPUTED_VALUE"""),"SOC-SP8")</f>
        <v>SOC-SP8</v>
      </c>
      <c r="D1484" s="234">
        <f>IFERROR(__xludf.DUMMYFUNCTION("""COMPUTED_VALUE"""),91.0)</f>
        <v>91</v>
      </c>
      <c r="E1484" s="237" t="str">
        <f>IFERROR(__xludf.DUMMYFUNCTION("""COMPUTED_VALUE"""),"LT0PBS01SFKL1")</f>
        <v>LT0PBS01SFKL1</v>
      </c>
      <c r="F1484" s="238" t="str">
        <f>IFERROR(__xludf.DUMMYFUNCTION("""COMPUTED_VALUE"""),"SUK7E04,GBX1009")</f>
        <v>SUK7E04,GBX1009</v>
      </c>
      <c r="G1484" s="238">
        <f>IFERROR(__xludf.DUMMYFUNCTION("""COMPUTED_VALUE"""),45989.91666666667)</f>
        <v>45989.91667</v>
      </c>
      <c r="H1484" s="238">
        <f>IFERROR(__xludf.DUMMYFUNCTION("""COMPUTED_VALUE"""),45990.29166666667)</f>
        <v>45990.29167</v>
      </c>
      <c r="I1484" s="237" t="str">
        <f t="shared" si="1"/>
        <v>Fora</v>
      </c>
      <c r="J1484" s="239">
        <v>539.0000000072177</v>
      </c>
    </row>
    <row r="1485">
      <c r="A1485" s="234" t="s">
        <v>3179</v>
      </c>
      <c r="B1485" s="234" t="str">
        <f>IFERROR(__xludf.DUMMYFUNCTION("""COMPUTED_VALUE"""),"SoC_BA_Simoes Filho")</f>
        <v>SoC_BA_Simoes Filho</v>
      </c>
      <c r="C1485" s="234" t="str">
        <f>IFERROR(__xludf.DUMMYFUNCTION("""COMPUTED_VALUE"""),"SOC-BA2")</f>
        <v>SOC-BA2</v>
      </c>
      <c r="D1485" s="234"/>
      <c r="E1485" s="237" t="str">
        <f>IFERROR(__xludf.DUMMYFUNCTION("""COMPUTED_VALUE"""),"LT0PBS01SLAK1")</f>
        <v>LT0PBS01SLAK1</v>
      </c>
      <c r="F1485" s="238" t="str">
        <f>IFERROR(__xludf.DUMMYFUNCTION("""COMPUTED_VALUE"""),"FZM2E38,SHH0J79")</f>
        <v>FZM2E38,SHH0J79</v>
      </c>
      <c r="G1485" s="238">
        <f>IFERROR(__xludf.DUMMYFUNCTION("""COMPUTED_VALUE"""),45989.91736111111)</f>
        <v>45989.91736</v>
      </c>
      <c r="H1485" s="238">
        <f>IFERROR(__xludf.DUMMYFUNCTION("""COMPUTED_VALUE"""),45990.29166666667)</f>
        <v>45990.29167</v>
      </c>
      <c r="I1485" s="237" t="str">
        <f t="shared" si="1"/>
        <v>Fora</v>
      </c>
      <c r="J1485" s="239">
        <v>539.0000000072177</v>
      </c>
    </row>
    <row r="1486">
      <c r="A1486" s="234" t="s">
        <v>3180</v>
      </c>
      <c r="B1486" s="234" t="str">
        <f>IFERROR(__xludf.DUMMYFUNCTION("""COMPUTED_VALUE"""),"SoC_SP_Cravinhos")</f>
        <v>SoC_SP_Cravinhos</v>
      </c>
      <c r="C1486" s="234" t="str">
        <f>IFERROR(__xludf.DUMMYFUNCTION("""COMPUTED_VALUE"""),"SOC-SP5")</f>
        <v>SOC-SP5</v>
      </c>
      <c r="D1486" s="234">
        <f>IFERROR(__xludf.DUMMYFUNCTION("""COMPUTED_VALUE"""),96.0)</f>
        <v>96</v>
      </c>
      <c r="E1486" s="237" t="str">
        <f>IFERROR(__xludf.DUMMYFUNCTION("""COMPUTED_VALUE"""),"LT0PBS01SFLZ2")</f>
        <v>LT0PBS01SFLZ2</v>
      </c>
      <c r="F1486" s="238" t="str">
        <f>IFERROR(__xludf.DUMMYFUNCTION("""COMPUTED_VALUE"""),"CUC6I05,APV2J81")</f>
        <v>CUC6I05,APV2J81</v>
      </c>
      <c r="G1486" s="238">
        <f>IFERROR(__xludf.DUMMYFUNCTION("""COMPUTED_VALUE"""),45989.91736111111)</f>
        <v>45989.91736</v>
      </c>
      <c r="H1486" s="238">
        <f>IFERROR(__xludf.DUMMYFUNCTION("""COMPUTED_VALUE"""),45990.29166666667)</f>
        <v>45990.29167</v>
      </c>
      <c r="I1486" s="237" t="str">
        <f t="shared" si="1"/>
        <v>Fora</v>
      </c>
      <c r="J1486" s="239">
        <v>539.0000000072177</v>
      </c>
    </row>
    <row r="1487">
      <c r="A1487" s="234" t="s">
        <v>3181</v>
      </c>
      <c r="B1487" s="234" t="str">
        <f>IFERROR(__xludf.DUMMYFUNCTION("""COMPUTED_VALUE"""),"SoC_SP_São Bernardo do Campo")</f>
        <v>SoC_SP_São Bernardo do Campo</v>
      </c>
      <c r="C1487" s="234" t="str">
        <f>IFERROR(__xludf.DUMMYFUNCTION("""COMPUTED_VALUE"""),"SOC-SP8")</f>
        <v>SOC-SP8</v>
      </c>
      <c r="D1487" s="234">
        <f>IFERROR(__xludf.DUMMYFUNCTION("""COMPUTED_VALUE"""),49.0)</f>
        <v>49</v>
      </c>
      <c r="E1487" s="237" t="str">
        <f>IFERROR(__xludf.DUMMYFUNCTION("""COMPUTED_VALUE"""),"LT0PBS01SFLX1")</f>
        <v>LT0PBS01SFLX1</v>
      </c>
      <c r="F1487" s="238" t="str">
        <f>IFERROR(__xludf.DUMMYFUNCTION("""COMPUTED_VALUE"""),"TLW4H03,UDA5E04")</f>
        <v>TLW4H03,UDA5E04</v>
      </c>
      <c r="G1487" s="238">
        <f>IFERROR(__xludf.DUMMYFUNCTION("""COMPUTED_VALUE"""),45989.91736111111)</f>
        <v>45989.91736</v>
      </c>
      <c r="H1487" s="238">
        <f>IFERROR(__xludf.DUMMYFUNCTION("""COMPUTED_VALUE"""),45990.29166666667)</f>
        <v>45990.29167</v>
      </c>
      <c r="I1487" s="237" t="str">
        <f t="shared" si="1"/>
        <v>Fora</v>
      </c>
      <c r="J1487" s="239">
        <v>300.00000001396984</v>
      </c>
    </row>
    <row r="1488">
      <c r="A1488" s="234" t="s">
        <v>3182</v>
      </c>
      <c r="B1488" s="234" t="str">
        <f>IFERROR(__xludf.DUMMYFUNCTION("""COMPUTED_VALUE"""),"SoC_GO_Goiânia_02")</f>
        <v>SoC_GO_Goiânia_02</v>
      </c>
      <c r="C1488" s="234" t="str">
        <f>IFERROR(__xludf.DUMMYFUNCTION("""COMPUTED_VALUE"""),"SOC-GO2")</f>
        <v>SOC-GO2</v>
      </c>
      <c r="D1488" s="234">
        <f>IFERROR(__xludf.DUMMYFUNCTION("""COMPUTED_VALUE"""),87.0)</f>
        <v>87</v>
      </c>
      <c r="E1488" s="237" t="str">
        <f>IFERROR(__xludf.DUMMYFUNCTION("""COMPUTED_VALUE"""),"LT1PBS01T8PZ1")</f>
        <v>LT1PBS01T8PZ1</v>
      </c>
      <c r="F1488" s="238" t="str">
        <f>IFERROR(__xludf.DUMMYFUNCTION("""COMPUTED_VALUE"""),"QIG7A55,GAC1276")</f>
        <v>QIG7A55,GAC1276</v>
      </c>
      <c r="G1488" s="238">
        <f>IFERROR(__xludf.DUMMYFUNCTION("""COMPUTED_VALUE"""),45990.08333333333)</f>
        <v>45990.08333</v>
      </c>
      <c r="H1488" s="238">
        <f>IFERROR(__xludf.DUMMYFUNCTION("""COMPUTED_VALUE"""),45990.29166666667)</f>
        <v>45990.29167</v>
      </c>
      <c r="I1488" s="237" t="str">
        <f t="shared" si="1"/>
        <v>Fora</v>
      </c>
      <c r="J1488" s="239">
        <v>300.00000001396984</v>
      </c>
    </row>
    <row r="1489">
      <c r="A1489" s="234" t="s">
        <v>3183</v>
      </c>
      <c r="B1489" s="234" t="str">
        <f>IFERROR(__xludf.DUMMYFUNCTION("""COMPUTED_VALUE"""),"SoC_MG_Betim")</f>
        <v>SoC_MG_Betim</v>
      </c>
      <c r="C1489" s="234" t="str">
        <f>IFERROR(__xludf.DUMMYFUNCTION("""COMPUTED_VALUE"""),"SOC-MG2")</f>
        <v>SOC-MG2</v>
      </c>
      <c r="D1489" s="234"/>
      <c r="E1489" s="237" t="str">
        <f>IFERROR(__xludf.DUMMYFUNCTION("""COMPUTED_VALUE"""),"LT1PBT01T8PT1")</f>
        <v>LT1PBT01T8PT1</v>
      </c>
      <c r="F1489" s="238" t="str">
        <f>IFERROR(__xludf.DUMMYFUNCTION("""COMPUTED_VALUE"""),"-")</f>
        <v>-</v>
      </c>
      <c r="G1489" s="238">
        <f>IFERROR(__xludf.DUMMYFUNCTION("""COMPUTED_VALUE"""),45990.08333333333)</f>
        <v>45990.08333</v>
      </c>
      <c r="H1489" s="238">
        <f>IFERROR(__xludf.DUMMYFUNCTION("""COMPUTED_VALUE"""),45990.29166666667)</f>
        <v>45990.29167</v>
      </c>
      <c r="I1489" s="237" t="str">
        <f t="shared" si="1"/>
        <v>Fora</v>
      </c>
      <c r="J1489" s="239">
        <v>300.00000001396984</v>
      </c>
    </row>
    <row r="1490">
      <c r="A1490" s="234" t="s">
        <v>3184</v>
      </c>
      <c r="B1490" s="234" t="str">
        <f>IFERROR(__xludf.DUMMYFUNCTION("""COMPUTED_VALUE"""),"SoC_MG_Betim")</f>
        <v>SoC_MG_Betim</v>
      </c>
      <c r="C1490" s="234" t="str">
        <f>IFERROR(__xludf.DUMMYFUNCTION("""COMPUTED_VALUE"""),"SOC-MG2")</f>
        <v>SOC-MG2</v>
      </c>
      <c r="D1490" s="234">
        <f>IFERROR(__xludf.DUMMYFUNCTION("""COMPUTED_VALUE"""),91.0)</f>
        <v>91</v>
      </c>
      <c r="E1490" s="237" t="str">
        <f>IFERROR(__xludf.DUMMYFUNCTION("""COMPUTED_VALUE"""),"LT1PBT01T8PS1")</f>
        <v>LT1PBT01T8PS1</v>
      </c>
      <c r="F1490" s="238" t="str">
        <f>IFERROR(__xludf.DUMMYFUNCTION("""COMPUTED_VALUE"""),"RYD0E73,RYM8J89")</f>
        <v>RYD0E73,RYM8J89</v>
      </c>
      <c r="G1490" s="238">
        <f>IFERROR(__xludf.DUMMYFUNCTION("""COMPUTED_VALUE"""),45990.08333333333)</f>
        <v>45990.08333</v>
      </c>
      <c r="H1490" s="238">
        <f>IFERROR(__xludf.DUMMYFUNCTION("""COMPUTED_VALUE"""),45990.29166666667)</f>
        <v>45990.29167</v>
      </c>
      <c r="I1490" s="237" t="str">
        <f t="shared" si="1"/>
        <v>Fora</v>
      </c>
      <c r="J1490" s="239">
        <v>300.00000001396984</v>
      </c>
    </row>
    <row r="1491">
      <c r="A1491" s="234" t="s">
        <v>3185</v>
      </c>
      <c r="B1491" s="234" t="str">
        <f>IFERROR(__xludf.DUMMYFUNCTION("""COMPUTED_VALUE"""),"SoC_RJ_Duque de Caxias")</f>
        <v>SoC_RJ_Duque de Caxias</v>
      </c>
      <c r="C1491" s="234" t="str">
        <f>IFERROR(__xludf.DUMMYFUNCTION("""COMPUTED_VALUE"""),"SOC-RJ2")</f>
        <v>SOC-RJ2</v>
      </c>
      <c r="D1491" s="234">
        <f>IFERROR(__xludf.DUMMYFUNCTION("""COMPUTED_VALUE"""),93.0)</f>
        <v>93</v>
      </c>
      <c r="E1491" s="237" t="str">
        <f>IFERROR(__xludf.DUMMYFUNCTION("""COMPUTED_VALUE"""),"LT1PBT01T8PO1")</f>
        <v>LT1PBT01T8PO1</v>
      </c>
      <c r="F1491" s="238" t="str">
        <f>IFERROR(__xludf.DUMMYFUNCTION("""COMPUTED_VALUE"""),"KZW6F46")</f>
        <v>KZW6F46</v>
      </c>
      <c r="G1491" s="238">
        <f>IFERROR(__xludf.DUMMYFUNCTION("""COMPUTED_VALUE"""),45990.08333333333)</f>
        <v>45990.08333</v>
      </c>
      <c r="H1491" s="238">
        <f>IFERROR(__xludf.DUMMYFUNCTION("""COMPUTED_VALUE"""),45990.29166666667)</f>
        <v>45990.29167</v>
      </c>
      <c r="I1491" s="237" t="str">
        <f t="shared" si="1"/>
        <v>Fora</v>
      </c>
      <c r="J1491" s="239">
        <v>300.00000001396984</v>
      </c>
    </row>
    <row r="1492">
      <c r="A1492" s="234" t="s">
        <v>3186</v>
      </c>
      <c r="B1492" s="234" t="str">
        <f>IFERROR(__xludf.DUMMYFUNCTION("""COMPUTED_VALUE"""),"SoC_RJ_Duque de Caxias")</f>
        <v>SoC_RJ_Duque de Caxias</v>
      </c>
      <c r="C1492" s="234" t="str">
        <f>IFERROR(__xludf.DUMMYFUNCTION("""COMPUTED_VALUE"""),"SOC-RJ2")</f>
        <v>SOC-RJ2</v>
      </c>
      <c r="D1492" s="234"/>
      <c r="E1492" s="237" t="str">
        <f>IFERROR(__xludf.DUMMYFUNCTION("""COMPUTED_VALUE"""),"LT1PBT01T8PP1")</f>
        <v>LT1PBT01T8PP1</v>
      </c>
      <c r="F1492" s="238" t="str">
        <f>IFERROR(__xludf.DUMMYFUNCTION("""COMPUTED_VALUE"""),"-")</f>
        <v>-</v>
      </c>
      <c r="G1492" s="238">
        <f>IFERROR(__xludf.DUMMYFUNCTION("""COMPUTED_VALUE"""),45990.08333333333)</f>
        <v>45990.08333</v>
      </c>
      <c r="H1492" s="238">
        <f>IFERROR(__xludf.DUMMYFUNCTION("""COMPUTED_VALUE"""),45990.29166666667)</f>
        <v>45990.29167</v>
      </c>
      <c r="I1492" s="237" t="str">
        <f t="shared" si="1"/>
        <v>Fora</v>
      </c>
      <c r="J1492" s="239">
        <v>300.00000001396984</v>
      </c>
    </row>
    <row r="1493">
      <c r="A1493" s="234" t="s">
        <v>3187</v>
      </c>
      <c r="B1493" s="234" t="str">
        <f>IFERROR(__xludf.DUMMYFUNCTION("""COMPUTED_VALUE"""),"SoC_SP_São Bernardo do Campo")</f>
        <v>SoC_SP_São Bernardo do Campo</v>
      </c>
      <c r="C1493" s="234" t="str">
        <f>IFERROR(__xludf.DUMMYFUNCTION("""COMPUTED_VALUE"""),"SOC-SP8")</f>
        <v>SOC-SP8</v>
      </c>
      <c r="D1493" s="234">
        <f>IFERROR(__xludf.DUMMYFUNCTION("""COMPUTED_VALUE"""),33.0)</f>
        <v>33</v>
      </c>
      <c r="E1493" s="237" t="str">
        <f>IFERROR(__xludf.DUMMYFUNCTION("""COMPUTED_VALUE"""),"LT0PBT01SG3X1")</f>
        <v>LT0PBT01SG3X1</v>
      </c>
      <c r="F1493" s="238" t="str">
        <f>IFERROR(__xludf.DUMMYFUNCTION("""COMPUTED_VALUE"""),"NFG8B11,GDP0B86")</f>
        <v>NFG8B11,GDP0B86</v>
      </c>
      <c r="G1493" s="238">
        <f>IFERROR(__xludf.DUMMYFUNCTION("""COMPUTED_VALUE"""),45990.08333333333)</f>
        <v>45990.08333</v>
      </c>
      <c r="H1493" s="238">
        <f>IFERROR(__xludf.DUMMYFUNCTION("""COMPUTED_VALUE"""),45990.29166666667)</f>
        <v>45990.29167</v>
      </c>
      <c r="I1493" s="237" t="str">
        <f t="shared" si="1"/>
        <v>Fora</v>
      </c>
      <c r="J1493" s="239">
        <v>300.00000001396984</v>
      </c>
    </row>
    <row r="1494">
      <c r="A1494" s="234" t="s">
        <v>3188</v>
      </c>
      <c r="B1494" s="234" t="str">
        <f>IFERROR(__xludf.DUMMYFUNCTION("""COMPUTED_VALUE"""),"SoC_SP_São Bernardo do Campo")</f>
        <v>SoC_SP_São Bernardo do Campo</v>
      </c>
      <c r="C1494" s="234" t="str">
        <f>IFERROR(__xludf.DUMMYFUNCTION("""COMPUTED_VALUE"""),"SOC-SP8")</f>
        <v>SOC-SP8</v>
      </c>
      <c r="D1494" s="234">
        <f>IFERROR(__xludf.DUMMYFUNCTION("""COMPUTED_VALUE"""),47.0)</f>
        <v>47</v>
      </c>
      <c r="E1494" s="237" t="str">
        <f>IFERROR(__xludf.DUMMYFUNCTION("""COMPUTED_VALUE"""),"LT1PBT01T8Q01")</f>
        <v>LT1PBT01T8Q01</v>
      </c>
      <c r="F1494" s="238" t="str">
        <f>IFERROR(__xludf.DUMMYFUNCTION("""COMPUTED_VALUE"""),"BYW2G68,IQZ4A61")</f>
        <v>BYW2G68,IQZ4A61</v>
      </c>
      <c r="G1494" s="238">
        <f>IFERROR(__xludf.DUMMYFUNCTION("""COMPUTED_VALUE"""),45990.08333333333)</f>
        <v>45990.08333</v>
      </c>
      <c r="H1494" s="238">
        <f>IFERROR(__xludf.DUMMYFUNCTION("""COMPUTED_VALUE"""),45990.29166666667)</f>
        <v>45990.29167</v>
      </c>
      <c r="I1494" s="237" t="str">
        <f t="shared" si="1"/>
        <v>Fora</v>
      </c>
      <c r="J1494" s="239">
        <v>120.00000001396984</v>
      </c>
    </row>
    <row r="1495">
      <c r="A1495" s="234" t="s">
        <v>3189</v>
      </c>
      <c r="B1495" s="234" t="str">
        <f>IFERROR(__xludf.DUMMYFUNCTION("""COMPUTED_VALUE"""),"LM Hub_SP_Barueri_01")</f>
        <v>LM Hub_SP_Barueri_01</v>
      </c>
      <c r="C1495" s="234" t="str">
        <f>IFERROR(__xludf.DUMMYFUNCTION("""COMPUTED_VALUE"""),"HUB-LSP-81")</f>
        <v>HUB-LSP-81</v>
      </c>
      <c r="D1495" s="234">
        <f>IFERROR(__xludf.DUMMYFUNCTION("""COMPUTED_VALUE"""),16.0)</f>
        <v>16</v>
      </c>
      <c r="E1495" s="237" t="str">
        <f>IFERROR(__xludf.DUMMYFUNCTION("""COMPUTED_VALUE"""),"LT0PBT01SKYJ1")</f>
        <v>LT0PBT01SKYJ1</v>
      </c>
      <c r="F1495" s="238" t="str">
        <f>IFERROR(__xludf.DUMMYFUNCTION("""COMPUTED_VALUE"""),"OPY9J66")</f>
        <v>OPY9J66</v>
      </c>
      <c r="G1495" s="238">
        <f>IFERROR(__xludf.DUMMYFUNCTION("""COMPUTED_VALUE"""),45990.20833333333)</f>
        <v>45990.20833</v>
      </c>
      <c r="H1495" s="238">
        <f>IFERROR(__xludf.DUMMYFUNCTION("""COMPUTED_VALUE"""),45990.29166666667)</f>
        <v>45990.29167</v>
      </c>
      <c r="I1495" s="237" t="str">
        <f t="shared" si="1"/>
        <v>Fora</v>
      </c>
      <c r="J1495" s="239">
        <v>120.00000001396984</v>
      </c>
    </row>
    <row r="1496">
      <c r="A1496" s="234" t="s">
        <v>3190</v>
      </c>
      <c r="B1496" s="234" t="str">
        <f>IFERROR(__xludf.DUMMYFUNCTION("""COMPUTED_VALUE"""),"LM Hub_SP_Jundiaí")</f>
        <v>LM Hub_SP_Jundiaí</v>
      </c>
      <c r="C1496" s="234" t="str">
        <f>IFERROR(__xludf.DUMMYFUNCTION("""COMPUTED_VALUE"""),"HUB-LSP-100")</f>
        <v>HUB-LSP-100</v>
      </c>
      <c r="D1496" s="234">
        <f>IFERROR(__xludf.DUMMYFUNCTION("""COMPUTED_VALUE"""),5.0)</f>
        <v>5</v>
      </c>
      <c r="E1496" s="237" t="str">
        <f>IFERROR(__xludf.DUMMYFUNCTION("""COMPUTED_VALUE"""),"LT0PBT01SFRZ1")</f>
        <v>LT0PBT01SFRZ1</v>
      </c>
      <c r="F1496" s="238" t="str">
        <f>IFERROR(__xludf.DUMMYFUNCTION("""COMPUTED_VALUE"""),"EXF3J05")</f>
        <v>EXF3J05</v>
      </c>
      <c r="G1496" s="238">
        <f>IFERROR(__xludf.DUMMYFUNCTION("""COMPUTED_VALUE"""),45990.20833333333)</f>
        <v>45990.20833</v>
      </c>
      <c r="H1496" s="238">
        <f>IFERROR(__xludf.DUMMYFUNCTION("""COMPUTED_VALUE"""),45990.29166666667)</f>
        <v>45990.29167</v>
      </c>
      <c r="I1496" s="237" t="str">
        <f t="shared" si="1"/>
        <v>Fora</v>
      </c>
      <c r="J1496" s="239">
        <v>120.00000001396984</v>
      </c>
    </row>
    <row r="1497">
      <c r="A1497" s="234" t="s">
        <v>3191</v>
      </c>
      <c r="B1497" s="234" t="str">
        <f>IFERROR(__xludf.DUMMYFUNCTION("""COMPUTED_VALUE"""),"LM Hub_SP_Jurubatuba")</f>
        <v>LM Hub_SP_Jurubatuba</v>
      </c>
      <c r="C1497" s="234" t="str">
        <f>IFERROR(__xludf.DUMMYFUNCTION("""COMPUTED_VALUE"""),"HUB-LSP-16")</f>
        <v>HUB-LSP-16</v>
      </c>
      <c r="D1497" s="234">
        <f>IFERROR(__xludf.DUMMYFUNCTION("""COMPUTED_VALUE"""),15.0)</f>
        <v>15</v>
      </c>
      <c r="E1497" s="237" t="str">
        <f>IFERROR(__xludf.DUMMYFUNCTION("""COMPUTED_VALUE"""),"LT0PBT01SGQT1")</f>
        <v>LT0PBT01SGQT1</v>
      </c>
      <c r="F1497" s="238" t="str">
        <f>IFERROR(__xludf.DUMMYFUNCTION("""COMPUTED_VALUE"""),"CUA7C61,FPW0F14")</f>
        <v>CUA7C61,FPW0F14</v>
      </c>
      <c r="G1497" s="238">
        <f>IFERROR(__xludf.DUMMYFUNCTION("""COMPUTED_VALUE"""),45990.20833333333)</f>
        <v>45990.20833</v>
      </c>
      <c r="H1497" s="238">
        <f>IFERROR(__xludf.DUMMYFUNCTION("""COMPUTED_VALUE"""),45990.29166666667)</f>
        <v>45990.29167</v>
      </c>
      <c r="I1497" s="237" t="str">
        <f t="shared" si="1"/>
        <v>Fora</v>
      </c>
      <c r="J1497" s="239">
        <v>120.00000001396984</v>
      </c>
    </row>
    <row r="1498">
      <c r="A1498" s="234" t="s">
        <v>3192</v>
      </c>
      <c r="B1498" s="234" t="str">
        <f>IFERROR(__xludf.DUMMYFUNCTION("""COMPUTED_VALUE"""),"LM Hub_SP_Santos_PraiaGrande_02")</f>
        <v>LM Hub_SP_Santos_PraiaGrande_02</v>
      </c>
      <c r="C1498" s="234" t="str">
        <f>IFERROR(__xludf.DUMMYFUNCTION("""COMPUTED_VALUE"""),"HUB-LSP-63")</f>
        <v>HUB-LSP-63</v>
      </c>
      <c r="D1498" s="234">
        <f>IFERROR(__xludf.DUMMYFUNCTION("""COMPUTED_VALUE"""),25.0)</f>
        <v>25</v>
      </c>
      <c r="E1498" s="237" t="str">
        <f>IFERROR(__xludf.DUMMYFUNCTION("""COMPUTED_VALUE"""),"LT0PBT01SGRZ1")</f>
        <v>LT0PBT01SGRZ1</v>
      </c>
      <c r="F1498" s="238" t="str">
        <f>IFERROR(__xludf.DUMMYFUNCTION("""COMPUTED_VALUE"""),"GEJ6E62")</f>
        <v>GEJ6E62</v>
      </c>
      <c r="G1498" s="238">
        <f>IFERROR(__xludf.DUMMYFUNCTION("""COMPUTED_VALUE"""),45990.20833333333)</f>
        <v>45990.20833</v>
      </c>
      <c r="H1498" s="238">
        <f>IFERROR(__xludf.DUMMYFUNCTION("""COMPUTED_VALUE"""),45990.29166666667)</f>
        <v>45990.29167</v>
      </c>
      <c r="I1498" s="237" t="str">
        <f t="shared" si="1"/>
        <v>Fora</v>
      </c>
      <c r="J1498" s="239">
        <v>120.00000001396984</v>
      </c>
    </row>
    <row r="1499">
      <c r="A1499" s="234" t="s">
        <v>3193</v>
      </c>
      <c r="B1499" s="234" t="str">
        <f>IFERROR(__xludf.DUMMYFUNCTION("""COMPUTED_VALUE"""),"SoC_SP_São Bernardo do Campo")</f>
        <v>SoC_SP_São Bernardo do Campo</v>
      </c>
      <c r="C1499" s="234" t="str">
        <f>IFERROR(__xludf.DUMMYFUNCTION("""COMPUTED_VALUE"""),"SOC-SP8")</f>
        <v>SOC-SP8</v>
      </c>
      <c r="D1499" s="234">
        <f>IFERROR(__xludf.DUMMYFUNCTION("""COMPUTED_VALUE"""),27.0)</f>
        <v>27</v>
      </c>
      <c r="E1499" s="237" t="str">
        <f>IFERROR(__xludf.DUMMYFUNCTION("""COMPUTED_VALUE"""),"LT0PBT01SGBH1")</f>
        <v>LT0PBT01SGBH1</v>
      </c>
      <c r="F1499" s="238" t="str">
        <f>IFERROR(__xludf.DUMMYFUNCTION("""COMPUTED_VALUE"""),"EOF4D32")</f>
        <v>EOF4D32</v>
      </c>
      <c r="G1499" s="238">
        <f>IFERROR(__xludf.DUMMYFUNCTION("""COMPUTED_VALUE"""),45990.20833333333)</f>
        <v>45990.20833</v>
      </c>
      <c r="H1499" s="238">
        <f>IFERROR(__xludf.DUMMYFUNCTION("""COMPUTED_VALUE"""),45990.29166666667)</f>
        <v>45990.29167</v>
      </c>
      <c r="I1499" s="237" t="str">
        <f t="shared" si="1"/>
        <v>Fora</v>
      </c>
      <c r="J1499" s="239">
        <v>119.99999999301508</v>
      </c>
    </row>
    <row r="1500">
      <c r="A1500" s="234" t="s">
        <v>3194</v>
      </c>
      <c r="B1500" s="234" t="str">
        <f>IFERROR(__xludf.DUMMYFUNCTION("""COMPUTED_VALUE"""),"LM Hub_SP_Guarujá")</f>
        <v>LM Hub_SP_Guarujá</v>
      </c>
      <c r="C1500" s="234" t="str">
        <f>IFERROR(__xludf.DUMMYFUNCTION("""COMPUTED_VALUE"""),"HUB-LSP-06")</f>
        <v>HUB-LSP-06</v>
      </c>
      <c r="D1500" s="234">
        <f>IFERROR(__xludf.DUMMYFUNCTION("""COMPUTED_VALUE"""),12.0)</f>
        <v>12</v>
      </c>
      <c r="E1500" s="237" t="str">
        <f>IFERROR(__xludf.DUMMYFUNCTION("""COMPUTED_VALUE"""),"LT0PBT01SGRF1")</f>
        <v>LT0PBT01SGRF1</v>
      </c>
      <c r="F1500" s="238" t="str">
        <f>IFERROR(__xludf.DUMMYFUNCTION("""COMPUTED_VALUE"""),"DIK3532")</f>
        <v>DIK3532</v>
      </c>
      <c r="G1500" s="238">
        <f>IFERROR(__xludf.DUMMYFUNCTION("""COMPUTED_VALUE"""),45990.22916666667)</f>
        <v>45990.22917</v>
      </c>
      <c r="H1500" s="238">
        <f>IFERROR(__xludf.DUMMYFUNCTION("""COMPUTED_VALUE"""),45990.3125)</f>
        <v>45990.3125</v>
      </c>
      <c r="I1500" s="237" t="str">
        <f t="shared" si="1"/>
        <v>Fora</v>
      </c>
      <c r="J1500" s="239">
        <v>119.99999999301508</v>
      </c>
    </row>
    <row r="1501">
      <c r="A1501" s="234" t="s">
        <v>3195</v>
      </c>
      <c r="B1501" s="234" t="str">
        <f>IFERROR(__xludf.DUMMYFUNCTION("""COMPUTED_VALUE"""),"LM Hub_SP_Itapevi")</f>
        <v>LM Hub_SP_Itapevi</v>
      </c>
      <c r="C1501" s="234" t="str">
        <f>IFERROR(__xludf.DUMMYFUNCTION("""COMPUTED_VALUE"""),"HUB-LSP-41")</f>
        <v>HUB-LSP-41</v>
      </c>
      <c r="D1501" s="234">
        <f>IFERROR(__xludf.DUMMYFUNCTION("""COMPUTED_VALUE"""),6.0)</f>
        <v>6</v>
      </c>
      <c r="E1501" s="237" t="str">
        <f>IFERROR(__xludf.DUMMYFUNCTION("""COMPUTED_VALUE"""),"LT0PBT01SFNQ1")</f>
        <v>LT0PBT01SFNQ1</v>
      </c>
      <c r="F1501" s="238" t="str">
        <f>IFERROR(__xludf.DUMMYFUNCTION("""COMPUTED_VALUE"""),"HNQ8267")</f>
        <v>HNQ8267</v>
      </c>
      <c r="G1501" s="238">
        <f>IFERROR(__xludf.DUMMYFUNCTION("""COMPUTED_VALUE"""),45990.22916666667)</f>
        <v>45990.22917</v>
      </c>
      <c r="H1501" s="238">
        <f>IFERROR(__xludf.DUMMYFUNCTION("""COMPUTED_VALUE"""),45990.3125)</f>
        <v>45990.3125</v>
      </c>
      <c r="I1501" s="237" t="str">
        <f t="shared" si="1"/>
        <v>Fora</v>
      </c>
      <c r="J1501" s="239">
        <v>119.99999999301508</v>
      </c>
    </row>
    <row r="1502">
      <c r="A1502" s="234" t="s">
        <v>3196</v>
      </c>
      <c r="B1502" s="234" t="str">
        <f>IFERROR(__xludf.DUMMYFUNCTION("""COMPUTED_VALUE"""),"LM Hub_SP_Itaqua_Zimba")</f>
        <v>LM Hub_SP_Itaqua_Zimba</v>
      </c>
      <c r="C1502" s="234" t="str">
        <f>IFERROR(__xludf.DUMMYFUNCTION("""COMPUTED_VALUE"""),"HUB")</f>
        <v>HUB</v>
      </c>
      <c r="D1502" s="234">
        <f>IFERROR(__xludf.DUMMYFUNCTION("""COMPUTED_VALUE"""),17.0)</f>
        <v>17</v>
      </c>
      <c r="E1502" s="237" t="str">
        <f>IFERROR(__xludf.DUMMYFUNCTION("""COMPUTED_VALUE"""),"LT0PBT01SGRA1")</f>
        <v>LT0PBT01SGRA1</v>
      </c>
      <c r="F1502" s="238" t="str">
        <f>IFERROR(__xludf.DUMMYFUNCTION("""COMPUTED_VALUE"""),"EKH0I75")</f>
        <v>EKH0I75</v>
      </c>
      <c r="G1502" s="238">
        <f>IFERROR(__xludf.DUMMYFUNCTION("""COMPUTED_VALUE"""),45990.22916666667)</f>
        <v>45990.22917</v>
      </c>
      <c r="H1502" s="238">
        <f>IFERROR(__xludf.DUMMYFUNCTION("""COMPUTED_VALUE"""),45990.3125)</f>
        <v>45990.3125</v>
      </c>
      <c r="I1502" s="237" t="str">
        <f t="shared" si="1"/>
        <v>Fora</v>
      </c>
      <c r="J1502" s="239">
        <v>119.99999999301508</v>
      </c>
    </row>
    <row r="1503">
      <c r="A1503" s="234" t="s">
        <v>3197</v>
      </c>
      <c r="B1503" s="234" t="str">
        <f>IFERROR(__xludf.DUMMYFUNCTION("""COMPUTED_VALUE"""),"LM Hub_SP_Santos_Praia Grande")</f>
        <v>LM Hub_SP_Santos_Praia Grande</v>
      </c>
      <c r="C1503" s="234" t="str">
        <f>IFERROR(__xludf.DUMMYFUNCTION("""COMPUTED_VALUE"""),"HUB-LSP-09")</f>
        <v>HUB-LSP-09</v>
      </c>
      <c r="D1503" s="234">
        <f>IFERROR(__xludf.DUMMYFUNCTION("""COMPUTED_VALUE"""),28.0)</f>
        <v>28</v>
      </c>
      <c r="E1503" s="237" t="str">
        <f>IFERROR(__xludf.DUMMYFUNCTION("""COMPUTED_VALUE"""),"LT0PBT01SGRK1")</f>
        <v>LT0PBT01SGRK1</v>
      </c>
      <c r="F1503" s="238" t="str">
        <f>IFERROR(__xludf.DUMMYFUNCTION("""COMPUTED_VALUE"""),"GDW1D96")</f>
        <v>GDW1D96</v>
      </c>
      <c r="G1503" s="238">
        <f>IFERROR(__xludf.DUMMYFUNCTION("""COMPUTED_VALUE"""),45990.22916666667)</f>
        <v>45990.22917</v>
      </c>
      <c r="H1503" s="238">
        <f>IFERROR(__xludf.DUMMYFUNCTION("""COMPUTED_VALUE"""),45990.3125)</f>
        <v>45990.3125</v>
      </c>
      <c r="I1503" s="237" t="str">
        <f t="shared" si="1"/>
        <v>Fora</v>
      </c>
      <c r="J1503" s="239">
        <v>119.99999999301508</v>
      </c>
    </row>
    <row r="1504">
      <c r="A1504" s="234" t="s">
        <v>3198</v>
      </c>
      <c r="B1504" s="234" t="str">
        <f>IFERROR(__xludf.DUMMYFUNCTION("""COMPUTED_VALUE"""),"LM Hub_SP_São José dos Campos")</f>
        <v>LM Hub_SP_São José dos Campos</v>
      </c>
      <c r="C1504" s="234" t="str">
        <f>IFERROR(__xludf.DUMMYFUNCTION("""COMPUTED_VALUE"""),"HUB-LSP-04")</f>
        <v>HUB-LSP-04</v>
      </c>
      <c r="D1504" s="234">
        <f>IFERROR(__xludf.DUMMYFUNCTION("""COMPUTED_VALUE"""),21.0)</f>
        <v>21</v>
      </c>
      <c r="E1504" s="237" t="str">
        <f>IFERROR(__xludf.DUMMYFUNCTION("""COMPUTED_VALUE"""),"LT0PBT01SGRP1")</f>
        <v>LT0PBT01SGRP1</v>
      </c>
      <c r="F1504" s="238" t="str">
        <f>IFERROR(__xludf.DUMMYFUNCTION("""COMPUTED_VALUE"""),"ENU3E65")</f>
        <v>ENU3E65</v>
      </c>
      <c r="G1504" s="238">
        <f>IFERROR(__xludf.DUMMYFUNCTION("""COMPUTED_VALUE"""),45990.22916666667)</f>
        <v>45990.22917</v>
      </c>
      <c r="H1504" s="238">
        <f>IFERROR(__xludf.DUMMYFUNCTION("""COMPUTED_VALUE"""),45990.3125)</f>
        <v>45990.3125</v>
      </c>
      <c r="I1504" s="237" t="str">
        <f t="shared" si="1"/>
        <v>Fora</v>
      </c>
      <c r="J1504" s="239">
        <v>119.99999999301508</v>
      </c>
    </row>
    <row r="1505">
      <c r="A1505" s="234" t="s">
        <v>3199</v>
      </c>
      <c r="B1505" s="234" t="str">
        <f>IFERROR(__xludf.DUMMYFUNCTION("""COMPUTED_VALUE"""),"LM Hub_SP_São Paulo_Mooca")</f>
        <v>LM Hub_SP_São Paulo_Mooca</v>
      </c>
      <c r="C1505" s="234" t="str">
        <f>IFERROR(__xludf.DUMMYFUNCTION("""COMPUTED_VALUE"""),"HUB-LSP-13")</f>
        <v>HUB-LSP-13</v>
      </c>
      <c r="D1505" s="234"/>
      <c r="E1505" s="237" t="str">
        <f>IFERROR(__xludf.DUMMYFUNCTION("""COMPUTED_VALUE"""),"LT0PBT01SOLK1")</f>
        <v>LT0PBT01SOLK1</v>
      </c>
      <c r="F1505" s="238" t="str">
        <f>IFERROR(__xludf.DUMMYFUNCTION("""COMPUTED_VALUE"""),"FGI1F79")</f>
        <v>FGI1F79</v>
      </c>
      <c r="G1505" s="238">
        <f>IFERROR(__xludf.DUMMYFUNCTION("""COMPUTED_VALUE"""),45990.22916666667)</f>
        <v>45990.22917</v>
      </c>
      <c r="H1505" s="238">
        <f>IFERROR(__xludf.DUMMYFUNCTION("""COMPUTED_VALUE"""),45990.3125)</f>
        <v>45990.3125</v>
      </c>
      <c r="I1505" s="237" t="str">
        <f t="shared" si="1"/>
        <v>Fora</v>
      </c>
      <c r="J1505" s="239">
        <v>239.99999998603016</v>
      </c>
    </row>
    <row r="1506">
      <c r="A1506" s="234" t="s">
        <v>3200</v>
      </c>
      <c r="B1506" s="234" t="str">
        <f>IFERROR(__xludf.DUMMYFUNCTION("""COMPUTED_VALUE"""),"SoC_GO_Goiânia_02")</f>
        <v>SoC_GO_Goiânia_02</v>
      </c>
      <c r="C1506" s="234" t="str">
        <f>IFERROR(__xludf.DUMMYFUNCTION("""COMPUTED_VALUE"""),"SOC-GO2")</f>
        <v>SOC-GO2</v>
      </c>
      <c r="D1506" s="234"/>
      <c r="E1506" s="237" t="str">
        <f>IFERROR(__xludf.DUMMYFUNCTION("""COMPUTED_VALUE"""),"LT0PBT01SLIO1")</f>
        <v>LT0PBT01SLIO1</v>
      </c>
      <c r="F1506" s="238" t="str">
        <f>IFERROR(__xludf.DUMMYFUNCTION("""COMPUTED_VALUE"""),"GFM9B08,EZL3E59")</f>
        <v>GFM9B08,EZL3E59</v>
      </c>
      <c r="G1506" s="238">
        <f>IFERROR(__xludf.DUMMYFUNCTION("""COMPUTED_VALUE"""),45990.16666666667)</f>
        <v>45990.16667</v>
      </c>
      <c r="H1506" s="238">
        <f>IFERROR(__xludf.DUMMYFUNCTION("""COMPUTED_VALUE"""),45990.33333333333)</f>
        <v>45990.33333</v>
      </c>
      <c r="I1506" s="237" t="str">
        <f t="shared" si="1"/>
        <v>Fora</v>
      </c>
      <c r="J1506" s="239">
        <v>540.0</v>
      </c>
    </row>
    <row r="1507">
      <c r="A1507" s="234" t="s">
        <v>3201</v>
      </c>
      <c r="B1507" s="234" t="str">
        <f>IFERROR(__xludf.DUMMYFUNCTION("""COMPUTED_VALUE"""),"SoC_RJ_Duque de Caxias")</f>
        <v>SoC_RJ_Duque de Caxias</v>
      </c>
      <c r="C1507" s="234" t="str">
        <f>IFERROR(__xludf.DUMMYFUNCTION("""COMPUTED_VALUE"""),"SOC-RJ2")</f>
        <v>SOC-RJ2</v>
      </c>
      <c r="D1507" s="234">
        <f>IFERROR(__xludf.DUMMYFUNCTION("""COMPUTED_VALUE"""),5.0)</f>
        <v>5</v>
      </c>
      <c r="E1507" s="237" t="str">
        <f>IFERROR(__xludf.DUMMYFUNCTION("""COMPUTED_VALUE"""),"LT0PBS01SHSR2")</f>
        <v>LT0PBS01SHSR2</v>
      </c>
      <c r="F1507" s="238" t="str">
        <f>IFERROR(__xludf.DUMMYFUNCTION("""COMPUTED_VALUE"""),"FOT0I16,ECM7I88")</f>
        <v>FOT0I16,ECM7I88</v>
      </c>
      <c r="G1507" s="238">
        <f>IFERROR(__xludf.DUMMYFUNCTION("""COMPUTED_VALUE"""),45990.0)</f>
        <v>45990</v>
      </c>
      <c r="H1507" s="238">
        <f>IFERROR(__xludf.DUMMYFUNCTION("""COMPUTED_VALUE"""),45990.375)</f>
        <v>45990.375</v>
      </c>
      <c r="I1507" s="237" t="str">
        <f t="shared" si="1"/>
        <v>Fora</v>
      </c>
      <c r="J1507" s="239">
        <v>540.0</v>
      </c>
    </row>
    <row r="1508">
      <c r="A1508" s="234" t="s">
        <v>3202</v>
      </c>
      <c r="B1508" s="234" t="str">
        <f>IFERROR(__xludf.DUMMYFUNCTION("""COMPUTED_VALUE"""),"SoC_RJ_Duque de Caxias")</f>
        <v>SoC_RJ_Duque de Caxias</v>
      </c>
      <c r="C1508" s="234" t="str">
        <f>IFERROR(__xludf.DUMMYFUNCTION("""COMPUTED_VALUE"""),"SOC-RJ2")</f>
        <v>SOC-RJ2</v>
      </c>
      <c r="D1508" s="234"/>
      <c r="E1508" s="237" t="str">
        <f>IFERROR(__xludf.DUMMYFUNCTION("""COMPUTED_VALUE"""),"LT0PBS01SHSP1")</f>
        <v>LT0PBS01SHSP1</v>
      </c>
      <c r="F1508" s="238" t="str">
        <f>IFERROR(__xludf.DUMMYFUNCTION("""COMPUTED_VALUE"""),"FFD7D29,JQT3I39")</f>
        <v>FFD7D29,JQT3I39</v>
      </c>
      <c r="G1508" s="238">
        <f>IFERROR(__xludf.DUMMYFUNCTION("""COMPUTED_VALUE"""),45990.08333333333)</f>
        <v>45990.08333</v>
      </c>
      <c r="H1508" s="238">
        <f>IFERROR(__xludf.DUMMYFUNCTION("""COMPUTED_VALUE"""),45990.45833333333)</f>
        <v>45990.45833</v>
      </c>
      <c r="I1508" s="237" t="str">
        <f t="shared" si="1"/>
        <v>Fora</v>
      </c>
      <c r="J1508" s="239" t="e">
        <v>#VALUE!</v>
      </c>
    </row>
    <row r="1509">
      <c r="A1509" s="234" t="s">
        <v>3203</v>
      </c>
      <c r="B1509" s="234" t="str">
        <f>IFERROR(__xludf.DUMMYFUNCTION("""COMPUTED_VALUE"""),"Fanout Desconhecido")</f>
        <v>Fanout Desconhecido</v>
      </c>
      <c r="C1509" s="234" t="str">
        <f>IFERROR(__xludf.DUMMYFUNCTION("""COMPUTED_VALUE"""),"-")</f>
        <v>-</v>
      </c>
      <c r="D1509" s="234">
        <f>IFERROR(__xludf.DUMMYFUNCTION("""COMPUTED_VALUE"""),92.0)</f>
        <v>92</v>
      </c>
      <c r="E1509" s="237" t="str">
        <f>IFERROR(__xludf.DUMMYFUNCTION("""COMPUTED_VALUE"""),"LT0PBS01SHS93")</f>
        <v>LT0PBS01SHS93</v>
      </c>
      <c r="F1509" s="238" t="str">
        <f>IFERROR(__xludf.DUMMYFUNCTION("""COMPUTED_VALUE"""),"ODM5D47,QIG2D94")</f>
        <v>ODM5D47,QIG2D94</v>
      </c>
      <c r="G1509" s="238" t="str">
        <f>IFERROR(__xludf.DUMMYFUNCTION("""COMPUTED_VALUE"""),"-")</f>
        <v>-</v>
      </c>
      <c r="H1509" s="238" t="str">
        <f>IFERROR(__xludf.DUMMYFUNCTION("""COMPUTED_VALUE"""),"-")</f>
        <v>-</v>
      </c>
      <c r="I1509" s="237" t="str">
        <f t="shared" si="1"/>
        <v>Dentro</v>
      </c>
      <c r="J1509" s="239" t="e">
        <v>#VALUE!</v>
      </c>
    </row>
    <row r="1510">
      <c r="A1510" s="234" t="s">
        <v>3204</v>
      </c>
      <c r="B1510" s="234" t="str">
        <f>IFERROR(__xludf.DUMMYFUNCTION("""COMPUTED_VALUE"""),"Fanout Desconhecido")</f>
        <v>Fanout Desconhecido</v>
      </c>
      <c r="C1510" s="234" t="str">
        <f>IFERROR(__xludf.DUMMYFUNCTION("""COMPUTED_VALUE"""),"-")</f>
        <v>-</v>
      </c>
      <c r="D1510" s="234">
        <f>IFERROR(__xludf.DUMMYFUNCTION("""COMPUTED_VALUE"""),44.0)</f>
        <v>44</v>
      </c>
      <c r="E1510" s="237" t="str">
        <f>IFERROR(__xludf.DUMMYFUNCTION("""COMPUTED_VALUE"""),"LT0PBS01SHS72")</f>
        <v>LT0PBS01SHS72</v>
      </c>
      <c r="F1510" s="238" t="str">
        <f>IFERROR(__xludf.DUMMYFUNCTION("""COMPUTED_VALUE"""),"MAR6J89,NUN8J32")</f>
        <v>MAR6J89,NUN8J32</v>
      </c>
      <c r="G1510" s="238" t="str">
        <f>IFERROR(__xludf.DUMMYFUNCTION("""COMPUTED_VALUE"""),"-")</f>
        <v>-</v>
      </c>
      <c r="H1510" s="238" t="str">
        <f>IFERROR(__xludf.DUMMYFUNCTION("""COMPUTED_VALUE"""),"-")</f>
        <v>-</v>
      </c>
      <c r="I1510" s="237" t="str">
        <f t="shared" si="1"/>
        <v>Dentro</v>
      </c>
      <c r="J1510" s="239" t="e">
        <v>#VALUE!</v>
      </c>
    </row>
    <row r="1511">
      <c r="A1511" s="234" t="s">
        <v>3205</v>
      </c>
      <c r="B1511" s="234" t="str">
        <f>IFERROR(__xludf.DUMMYFUNCTION("""COMPUTED_VALUE"""),"Fanout Desconhecido")</f>
        <v>Fanout Desconhecido</v>
      </c>
      <c r="C1511" s="234" t="str">
        <f>IFERROR(__xludf.DUMMYFUNCTION("""COMPUTED_VALUE"""),"-")</f>
        <v>-</v>
      </c>
      <c r="D1511" s="234">
        <f>IFERROR(__xludf.DUMMYFUNCTION("""COMPUTED_VALUE"""),45.0)</f>
        <v>45</v>
      </c>
      <c r="E1511" s="237" t="str">
        <f>IFERROR(__xludf.DUMMYFUNCTION("""COMPUTED_VALUE"""),"LT0PBS01SHS51")</f>
        <v>LT0PBS01SHS51</v>
      </c>
      <c r="F1511" s="238" t="str">
        <f>IFERROR(__xludf.DUMMYFUNCTION("""COMPUTED_VALUE"""),"QST0H68,FWB4F06")</f>
        <v>QST0H68,FWB4F06</v>
      </c>
      <c r="G1511" s="238" t="str">
        <f>IFERROR(__xludf.DUMMYFUNCTION("""COMPUTED_VALUE"""),"-")</f>
        <v>-</v>
      </c>
      <c r="H1511" s="238" t="str">
        <f>IFERROR(__xludf.DUMMYFUNCTION("""COMPUTED_VALUE"""),"-")</f>
        <v>-</v>
      </c>
      <c r="I1511" s="237" t="str">
        <f t="shared" si="1"/>
        <v>Dentro</v>
      </c>
      <c r="J1511" s="239" t="e">
        <v>#VALUE!</v>
      </c>
    </row>
    <row r="1512">
      <c r="A1512" s="234" t="s">
        <v>3206</v>
      </c>
      <c r="B1512" s="234" t="str">
        <f>IFERROR(__xludf.DUMMYFUNCTION("""COMPUTED_VALUE"""),"Fanout Desconhecido")</f>
        <v>Fanout Desconhecido</v>
      </c>
      <c r="C1512" s="234" t="str">
        <f>IFERROR(__xludf.DUMMYFUNCTION("""COMPUTED_VALUE"""),"-")</f>
        <v>-</v>
      </c>
      <c r="D1512" s="234">
        <f>IFERROR(__xludf.DUMMYFUNCTION("""COMPUTED_VALUE"""),89.0)</f>
        <v>89</v>
      </c>
      <c r="E1512" s="237" t="str">
        <f>IFERROR(__xludf.DUMMYFUNCTION("""COMPUTED_VALUE"""),"LT0PBS01SLA61")</f>
        <v>LT0PBS01SLA61</v>
      </c>
      <c r="F1512" s="238" t="str">
        <f>IFERROR(__xludf.DUMMYFUNCTION("""COMPUTED_VALUE"""),"FJG8A41,TXT0A47")</f>
        <v>FJG8A41,TXT0A47</v>
      </c>
      <c r="G1512" s="238" t="str">
        <f>IFERROR(__xludf.DUMMYFUNCTION("""COMPUTED_VALUE"""),"-")</f>
        <v>-</v>
      </c>
      <c r="H1512" s="238" t="str">
        <f>IFERROR(__xludf.DUMMYFUNCTION("""COMPUTED_VALUE"""),"-")</f>
        <v>-</v>
      </c>
      <c r="I1512" s="237" t="str">
        <f t="shared" si="1"/>
        <v>Dentro</v>
      </c>
      <c r="J1512" s="239" t="e">
        <v>#VALUE!</v>
      </c>
    </row>
    <row r="1513">
      <c r="A1513" s="234" t="s">
        <v>3207</v>
      </c>
      <c r="B1513" s="234" t="str">
        <f>IFERROR(__xludf.DUMMYFUNCTION("""COMPUTED_VALUE"""),"Fanout Desconhecido")</f>
        <v>Fanout Desconhecido</v>
      </c>
      <c r="C1513" s="234" t="str">
        <f>IFERROR(__xludf.DUMMYFUNCTION("""COMPUTED_VALUE"""),"-")</f>
        <v>-</v>
      </c>
      <c r="D1513" s="234">
        <f>IFERROR(__xludf.DUMMYFUNCTION("""COMPUTED_VALUE"""),19.0)</f>
        <v>19</v>
      </c>
      <c r="E1513" s="237" t="str">
        <f>IFERROR(__xludf.DUMMYFUNCTION("""COMPUTED_VALUE"""),"LT0PBT01SL6Q1")</f>
        <v>LT0PBT01SL6Q1</v>
      </c>
      <c r="F1513" s="238" t="str">
        <f>IFERROR(__xludf.DUMMYFUNCTION("""COMPUTED_VALUE"""),"-")</f>
        <v>-</v>
      </c>
      <c r="G1513" s="238" t="str">
        <f>IFERROR(__xludf.DUMMYFUNCTION("""COMPUTED_VALUE"""),"-")</f>
        <v>-</v>
      </c>
      <c r="H1513" s="238" t="str">
        <f>IFERROR(__xludf.DUMMYFUNCTION("""COMPUTED_VALUE"""),"-")</f>
        <v>-</v>
      </c>
      <c r="I1513" s="237" t="str">
        <f t="shared" si="1"/>
        <v>Dentro</v>
      </c>
      <c r="J1513" s="239">
        <v>119.00000001071021</v>
      </c>
    </row>
    <row r="1514">
      <c r="A1514" s="234" t="s">
        <v>3208</v>
      </c>
      <c r="B1514" s="234" t="str">
        <f>IFERROR(__xludf.DUMMYFUNCTION("""COMPUTED_VALUE"""),"LM Hub_SP_São José dos Campos")</f>
        <v>LM Hub_SP_São José dos Campos</v>
      </c>
      <c r="C1514" s="234" t="str">
        <f>IFERROR(__xludf.DUMMYFUNCTION("""COMPUTED_VALUE"""),"HUB-LSP-04")</f>
        <v>HUB-LSP-04</v>
      </c>
      <c r="D1514" s="234">
        <f>IFERROR(__xludf.DUMMYFUNCTION("""COMPUTED_VALUE"""),19.0)</f>
        <v>19</v>
      </c>
      <c r="E1514" s="237" t="str">
        <f>IFERROR(__xludf.DUMMYFUNCTION("""COMPUTED_VALUE"""),"LT0PBT01SODI1")</f>
        <v>LT0PBT01SODI1</v>
      </c>
      <c r="F1514" s="238" t="str">
        <f>IFERROR(__xludf.DUMMYFUNCTION("""COMPUTED_VALUE"""),"TIR7J78")</f>
        <v>TIR7J78</v>
      </c>
      <c r="G1514" s="238">
        <f>IFERROR(__xludf.DUMMYFUNCTION("""COMPUTED_VALUE"""),45990.896527777775)</f>
        <v>45990.89653</v>
      </c>
      <c r="H1514" s="238">
        <f>IFERROR(__xludf.DUMMYFUNCTION("""COMPUTED_VALUE"""),45990.97916666667)</f>
        <v>45990.97917</v>
      </c>
      <c r="I1514" s="237" t="str">
        <f t="shared" si="1"/>
        <v>Fora</v>
      </c>
      <c r="J1514" s="239">
        <v>118.00000000745058</v>
      </c>
    </row>
    <row r="1515">
      <c r="A1515" s="234" t="s">
        <v>3209</v>
      </c>
      <c r="B1515" s="234" t="str">
        <f>IFERROR(__xludf.DUMMYFUNCTION("""COMPUTED_VALUE"""),"LM Hub_SP_São Paulo_Lapa")</f>
        <v>LM Hub_SP_São Paulo_Lapa</v>
      </c>
      <c r="C1515" s="234" t="str">
        <f>IFERROR(__xludf.DUMMYFUNCTION("""COMPUTED_VALUE"""),"HUB-LSP-15")</f>
        <v>HUB-LSP-15</v>
      </c>
      <c r="D1515" s="234">
        <f>IFERROR(__xludf.DUMMYFUNCTION("""COMPUTED_VALUE"""),35.0)</f>
        <v>35</v>
      </c>
      <c r="E1515" s="237" t="str">
        <f>IFERROR(__xludf.DUMMYFUNCTION("""COMPUTED_VALUE"""),"LT0PBT01SFN51")</f>
        <v>LT0PBT01SFN51</v>
      </c>
      <c r="F1515" s="238" t="str">
        <f>IFERROR(__xludf.DUMMYFUNCTION("""COMPUTED_VALUE"""),"FEQ5G38,DBM6B83")</f>
        <v>FEQ5G38,DBM6B83</v>
      </c>
      <c r="G1515" s="238">
        <f>IFERROR(__xludf.DUMMYFUNCTION("""COMPUTED_VALUE"""),45990.89722222222)</f>
        <v>45990.89722</v>
      </c>
      <c r="H1515" s="238">
        <f>IFERROR(__xludf.DUMMYFUNCTION("""COMPUTED_VALUE"""),45990.97916666667)</f>
        <v>45990.97917</v>
      </c>
      <c r="I1515" s="237" t="str">
        <f t="shared" si="1"/>
        <v>Fora</v>
      </c>
      <c r="J1515" s="239">
        <v>60.00000000698492</v>
      </c>
    </row>
    <row r="1516">
      <c r="A1516" s="234" t="s">
        <v>3210</v>
      </c>
      <c r="B1516" s="234" t="str">
        <f>IFERROR(__xludf.DUMMYFUNCTION("""COMPUTED_VALUE"""),"LM Hub_SP_Mogi das Cruzes_Jund")</f>
        <v>LM Hub_SP_Mogi das Cruzes_Jund</v>
      </c>
      <c r="C1516" s="234" t="str">
        <f>IFERROR(__xludf.DUMMYFUNCTION("""COMPUTED_VALUE"""),"HUB-LSP-78")</f>
        <v>HUB-LSP-78</v>
      </c>
      <c r="D1516" s="234">
        <f>IFERROR(__xludf.DUMMYFUNCTION("""COMPUTED_VALUE"""),44.0)</f>
        <v>44</v>
      </c>
      <c r="E1516" s="237" t="str">
        <f>IFERROR(__xludf.DUMMYFUNCTION("""COMPUTED_VALUE"""),"LT1PBT01TF7V1")</f>
        <v>LT1PBT01TF7V1</v>
      </c>
      <c r="F1516" s="238" t="str">
        <f>IFERROR(__xludf.DUMMYFUNCTION("""COMPUTED_VALUE"""),"ELW4G12")</f>
        <v>ELW4G12</v>
      </c>
      <c r="G1516" s="238">
        <f>IFERROR(__xludf.DUMMYFUNCTION("""COMPUTED_VALUE"""),45990.9375)</f>
        <v>45990.9375</v>
      </c>
      <c r="H1516" s="238">
        <f>IFERROR(__xludf.DUMMYFUNCTION("""COMPUTED_VALUE"""),45990.97916666667)</f>
        <v>45990.97917</v>
      </c>
      <c r="I1516" s="237" t="str">
        <f t="shared" si="1"/>
        <v>Fora</v>
      </c>
      <c r="J1516" s="239">
        <v>118.99999998975545</v>
      </c>
    </row>
    <row r="1517">
      <c r="A1517" s="234" t="s">
        <v>3211</v>
      </c>
      <c r="B1517" s="234" t="str">
        <f>IFERROR(__xludf.DUMMYFUNCTION("""COMPUTED_VALUE"""),"LM Hub_SP_Guarujá")</f>
        <v>LM Hub_SP_Guarujá</v>
      </c>
      <c r="C1517" s="234" t="str">
        <f>IFERROR(__xludf.DUMMYFUNCTION("""COMPUTED_VALUE"""),"HUB-LSP-06")</f>
        <v>HUB-LSP-06</v>
      </c>
      <c r="D1517" s="234">
        <f>IFERROR(__xludf.DUMMYFUNCTION("""COMPUTED_VALUE"""),7.0)</f>
        <v>7</v>
      </c>
      <c r="E1517" s="237" t="str">
        <f>IFERROR(__xludf.DUMMYFUNCTION("""COMPUTED_VALUE"""),"LT0PBT01SFP51")</f>
        <v>LT0PBT01SFP51</v>
      </c>
      <c r="F1517" s="238" t="str">
        <f>IFERROR(__xludf.DUMMYFUNCTION("""COMPUTED_VALUE"""),"DIK3532")</f>
        <v>DIK3532</v>
      </c>
      <c r="G1517" s="238">
        <f>IFERROR(__xludf.DUMMYFUNCTION("""COMPUTED_VALUE"""),45990.91666666667)</f>
        <v>45990.91667</v>
      </c>
      <c r="H1517" s="238">
        <f>IFERROR(__xludf.DUMMYFUNCTION("""COMPUTED_VALUE"""),45990.99930555555)</f>
        <v>45990.99931</v>
      </c>
      <c r="I1517" s="237" t="str">
        <f t="shared" si="1"/>
        <v>Fora</v>
      </c>
      <c r="J1517" s="239">
        <v>119.99999999301508</v>
      </c>
    </row>
    <row r="1518">
      <c r="A1518" s="234" t="s">
        <v>3212</v>
      </c>
      <c r="B1518" s="234" t="str">
        <f>IFERROR(__xludf.DUMMYFUNCTION("""COMPUTED_VALUE"""),"LM Hub_SP_Barueri_01")</f>
        <v>LM Hub_SP_Barueri_01</v>
      </c>
      <c r="C1518" s="234" t="str">
        <f>IFERROR(__xludf.DUMMYFUNCTION("""COMPUTED_VALUE"""),"HUB-LSP-81")</f>
        <v>HUB-LSP-81</v>
      </c>
      <c r="D1518" s="234">
        <f>IFERROR(__xludf.DUMMYFUNCTION("""COMPUTED_VALUE"""),17.0)</f>
        <v>17</v>
      </c>
      <c r="E1518" s="237" t="str">
        <f>IFERROR(__xludf.DUMMYFUNCTION("""COMPUTED_VALUE"""),"LT0PBT01SKYQ1")</f>
        <v>LT0PBT01SKYQ1</v>
      </c>
      <c r="F1518" s="238" t="str">
        <f>IFERROR(__xludf.DUMMYFUNCTION("""COMPUTED_VALUE"""),"GEV2J37")</f>
        <v>GEV2J37</v>
      </c>
      <c r="G1518" s="238">
        <f>IFERROR(__xludf.DUMMYFUNCTION("""COMPUTED_VALUE"""),45990.91666666667)</f>
        <v>45990.91667</v>
      </c>
      <c r="H1518" s="238">
        <f>IFERROR(__xludf.DUMMYFUNCTION("""COMPUTED_VALUE"""),45991.0)</f>
        <v>45991</v>
      </c>
      <c r="I1518" s="237" t="str">
        <f t="shared" si="1"/>
        <v>Fora</v>
      </c>
      <c r="J1518" s="239">
        <v>119.99999999301508</v>
      </c>
    </row>
    <row r="1519">
      <c r="A1519" s="234" t="s">
        <v>3213</v>
      </c>
      <c r="B1519" s="234" t="str">
        <f>IFERROR(__xludf.DUMMYFUNCTION("""COMPUTED_VALUE"""),"LM Hub_SP_Mauá")</f>
        <v>LM Hub_SP_Mauá</v>
      </c>
      <c r="C1519" s="234" t="str">
        <f>IFERROR(__xludf.DUMMYFUNCTION("""COMPUTED_VALUE"""),"HUB-LSP-64")</f>
        <v>HUB-LSP-64</v>
      </c>
      <c r="D1519" s="234">
        <f>IFERROR(__xludf.DUMMYFUNCTION("""COMPUTED_VALUE"""),13.0)</f>
        <v>13</v>
      </c>
      <c r="E1519" s="237" t="str">
        <f>IFERROR(__xludf.DUMMYFUNCTION("""COMPUTED_VALUE"""),"LT0PBT01SFO31")</f>
        <v>LT0PBT01SFO31</v>
      </c>
      <c r="F1519" s="238" t="str">
        <f>IFERROR(__xludf.DUMMYFUNCTION("""COMPUTED_VALUE"""),"ONN9D62")</f>
        <v>ONN9D62</v>
      </c>
      <c r="G1519" s="238">
        <f>IFERROR(__xludf.DUMMYFUNCTION("""COMPUTED_VALUE"""),45990.91666666667)</f>
        <v>45990.91667</v>
      </c>
      <c r="H1519" s="238">
        <f>IFERROR(__xludf.DUMMYFUNCTION("""COMPUTED_VALUE"""),45991.0)</f>
        <v>45991</v>
      </c>
      <c r="I1519" s="237" t="str">
        <f t="shared" si="1"/>
        <v>Fora</v>
      </c>
      <c r="J1519" s="239">
        <v>119.00000000023283</v>
      </c>
    </row>
    <row r="1520">
      <c r="A1520" s="234" t="s">
        <v>3214</v>
      </c>
      <c r="B1520" s="234" t="str">
        <f>IFERROR(__xludf.DUMMYFUNCTION("""COMPUTED_VALUE"""),"LM Hub_SP_Guarulhos")</f>
        <v>LM Hub_SP_Guarulhos</v>
      </c>
      <c r="C1520" s="234" t="str">
        <f>IFERROR(__xludf.DUMMYFUNCTION("""COMPUTED_VALUE"""),"HUB-LSP-77")</f>
        <v>HUB-LSP-77</v>
      </c>
      <c r="D1520" s="234">
        <f>IFERROR(__xludf.DUMMYFUNCTION("""COMPUTED_VALUE"""),9.0)</f>
        <v>9</v>
      </c>
      <c r="E1520" s="237" t="str">
        <f>IFERROR(__xludf.DUMMYFUNCTION("""COMPUTED_VALUE"""),"LT0PBT01SGBC1")</f>
        <v>LT0PBT01SGBC1</v>
      </c>
      <c r="F1520" s="238" t="str">
        <f>IFERROR(__xludf.DUMMYFUNCTION("""COMPUTED_VALUE"""),"FEB5I21,FRT9A70")</f>
        <v>FEB5I21,FRT9A70</v>
      </c>
      <c r="G1520" s="238">
        <f>IFERROR(__xludf.DUMMYFUNCTION("""COMPUTED_VALUE"""),45990.91736111111)</f>
        <v>45990.91736</v>
      </c>
      <c r="H1520" s="238">
        <f>IFERROR(__xludf.DUMMYFUNCTION("""COMPUTED_VALUE"""),45991.0)</f>
        <v>45991</v>
      </c>
      <c r="I1520" s="237" t="str">
        <f t="shared" si="1"/>
        <v>Fora</v>
      </c>
      <c r="J1520" s="239">
        <v>119.99999999301508</v>
      </c>
    </row>
    <row r="1521">
      <c r="A1521" s="234" t="s">
        <v>3215</v>
      </c>
      <c r="B1521" s="234" t="str">
        <f>IFERROR(__xludf.DUMMYFUNCTION("""COMPUTED_VALUE"""),"LM Hub_SP_Jardim Adriana")</f>
        <v>LM Hub_SP_Jardim Adriana</v>
      </c>
      <c r="C1521" s="234" t="str">
        <f>IFERROR(__xludf.DUMMYFUNCTION("""COMPUTED_VALUE"""),"HUB-LSP-12")</f>
        <v>HUB-LSP-12</v>
      </c>
      <c r="D1521" s="234">
        <f>IFERROR(__xludf.DUMMYFUNCTION("""COMPUTED_VALUE"""),12.0)</f>
        <v>12</v>
      </c>
      <c r="E1521" s="237" t="str">
        <f>IFERROR(__xludf.DUMMYFUNCTION("""COMPUTED_VALUE"""),"LT0PBT01SFMV1")</f>
        <v>LT0PBT01SFMV1</v>
      </c>
      <c r="F1521" s="238" t="str">
        <f>IFERROR(__xludf.DUMMYFUNCTION("""COMPUTED_VALUE"""),"FNW2D28")</f>
        <v>FNW2D28</v>
      </c>
      <c r="G1521" s="238">
        <f>IFERROR(__xludf.DUMMYFUNCTION("""COMPUTED_VALUE"""),45990.9375)</f>
        <v>45990.9375</v>
      </c>
      <c r="H1521" s="238">
        <f>IFERROR(__xludf.DUMMYFUNCTION("""COMPUTED_VALUE"""),45991.02083333333)</f>
        <v>45991.02083</v>
      </c>
      <c r="I1521" s="237" t="str">
        <f t="shared" si="1"/>
        <v>Fora</v>
      </c>
      <c r="J1521" s="239">
        <v>119.99999999301508</v>
      </c>
    </row>
    <row r="1522">
      <c r="A1522" s="234" t="s">
        <v>3216</v>
      </c>
      <c r="B1522" s="234" t="str">
        <f>IFERROR(__xludf.DUMMYFUNCTION("""COMPUTED_VALUE"""),"LM Hub_SP_São Paulo_Carandiru")</f>
        <v>LM Hub_SP_São Paulo_Carandiru</v>
      </c>
      <c r="C1522" s="234" t="str">
        <f>IFERROR(__xludf.DUMMYFUNCTION("""COMPUTED_VALUE"""),"HUB-LSP-18")</f>
        <v>HUB-LSP-18</v>
      </c>
      <c r="D1522" s="234">
        <f>IFERROR(__xludf.DUMMYFUNCTION("""COMPUTED_VALUE"""),36.0)</f>
        <v>36</v>
      </c>
      <c r="E1522" s="237" t="str">
        <f>IFERROR(__xludf.DUMMYFUNCTION("""COMPUTED_VALUE"""),"LT0PBT01SFNE1")</f>
        <v>LT0PBT01SFNE1</v>
      </c>
      <c r="F1522" s="238" t="str">
        <f>IFERROR(__xludf.DUMMYFUNCTION("""COMPUTED_VALUE"""),"FZJ9H38")</f>
        <v>FZJ9H38</v>
      </c>
      <c r="G1522" s="238">
        <f>IFERROR(__xludf.DUMMYFUNCTION("""COMPUTED_VALUE"""),45990.9375)</f>
        <v>45990.9375</v>
      </c>
      <c r="H1522" s="238">
        <f>IFERROR(__xludf.DUMMYFUNCTION("""COMPUTED_VALUE"""),45991.02083333333)</f>
        <v>45991.02083</v>
      </c>
      <c r="I1522" s="237" t="str">
        <f t="shared" si="1"/>
        <v>Fora</v>
      </c>
      <c r="J1522" s="239">
        <v>118.99999998975545</v>
      </c>
    </row>
    <row r="1523">
      <c r="A1523" s="234" t="s">
        <v>3217</v>
      </c>
      <c r="B1523" s="234" t="str">
        <f>IFERROR(__xludf.DUMMYFUNCTION("""COMPUTED_VALUE"""),"LM Hub_SP_Parque Novo Mundo")</f>
        <v>LM Hub_SP_Parque Novo Mundo</v>
      </c>
      <c r="C1523" s="234" t="str">
        <f>IFERROR(__xludf.DUMMYFUNCTION("""COMPUTED_VALUE"""),"HUB-LSP-89")</f>
        <v>HUB-LSP-89</v>
      </c>
      <c r="D1523" s="234">
        <f>IFERROR(__xludf.DUMMYFUNCTION("""COMPUTED_VALUE"""),33.0)</f>
        <v>33</v>
      </c>
      <c r="E1523" s="237" t="str">
        <f>IFERROR(__xludf.DUMMYFUNCTION("""COMPUTED_VALUE"""),"LT0PBT01SOK81")</f>
        <v>LT0PBT01SOK81</v>
      </c>
      <c r="F1523" s="238" t="str">
        <f>IFERROR(__xludf.DUMMYFUNCTION("""COMPUTED_VALUE"""),"FNK8E47,FAM1829")</f>
        <v>FNK8E47,FAM1829</v>
      </c>
      <c r="G1523" s="238">
        <f>IFERROR(__xludf.DUMMYFUNCTION("""COMPUTED_VALUE"""),45990.93819444445)</f>
        <v>45990.93819</v>
      </c>
      <c r="H1523" s="238">
        <f>IFERROR(__xludf.DUMMYFUNCTION("""COMPUTED_VALUE"""),45991.02083333333)</f>
        <v>45991.02083</v>
      </c>
      <c r="I1523" s="237" t="str">
        <f t="shared" si="1"/>
        <v>Fora</v>
      </c>
      <c r="J1523" s="239">
        <v>118.99999998975545</v>
      </c>
    </row>
    <row r="1524">
      <c r="A1524" s="234" t="s">
        <v>3218</v>
      </c>
      <c r="B1524" s="234" t="str">
        <f>IFERROR(__xludf.DUMMYFUNCTION("""COMPUTED_VALUE"""),"LM Hub_SP_Piracicaba")</f>
        <v>LM Hub_SP_Piracicaba</v>
      </c>
      <c r="C1524" s="234" t="str">
        <f>IFERROR(__xludf.DUMMYFUNCTION("""COMPUTED_VALUE"""),"HUB-LSP-62")</f>
        <v>HUB-LSP-62</v>
      </c>
      <c r="D1524" s="234">
        <f>IFERROR(__xludf.DUMMYFUNCTION("""COMPUTED_VALUE"""),29.0)</f>
        <v>29</v>
      </c>
      <c r="E1524" s="237" t="str">
        <f>IFERROR(__xludf.DUMMYFUNCTION("""COMPUTED_VALUE"""),"LT0PBT01SOIA1")</f>
        <v>LT0PBT01SOIA1</v>
      </c>
      <c r="F1524" s="238" t="str">
        <f>IFERROR(__xludf.DUMMYFUNCTION("""COMPUTED_VALUE"""),"EWJ1C48")</f>
        <v>EWJ1C48</v>
      </c>
      <c r="G1524" s="238">
        <f>IFERROR(__xludf.DUMMYFUNCTION("""COMPUTED_VALUE"""),45990.93819444445)</f>
        <v>45990.93819</v>
      </c>
      <c r="H1524" s="238">
        <f>IFERROR(__xludf.DUMMYFUNCTION("""COMPUTED_VALUE"""),45991.02083333333)</f>
        <v>45991.02083</v>
      </c>
      <c r="I1524" s="237" t="str">
        <f t="shared" si="1"/>
        <v>Fora</v>
      </c>
      <c r="J1524" s="239">
        <v>118.99999998975545</v>
      </c>
    </row>
    <row r="1525">
      <c r="A1525" s="234" t="s">
        <v>3219</v>
      </c>
      <c r="B1525" s="234" t="str">
        <f>IFERROR(__xludf.DUMMYFUNCTION("""COMPUTED_VALUE"""),"LM Hub_SP_VilaGuilherme")</f>
        <v>LM Hub_SP_VilaGuilherme</v>
      </c>
      <c r="C1525" s="234" t="str">
        <f>IFERROR(__xludf.DUMMYFUNCTION("""COMPUTED_VALUE"""),"HUB-LSP-68")</f>
        <v>HUB-LSP-68</v>
      </c>
      <c r="D1525" s="234">
        <f>IFERROR(__xludf.DUMMYFUNCTION("""COMPUTED_VALUE"""),16.0)</f>
        <v>16</v>
      </c>
      <c r="E1525" s="237" t="str">
        <f>IFERROR(__xludf.DUMMYFUNCTION("""COMPUTED_VALUE"""),"LT0PBT01SOD11")</f>
        <v>LT0PBT01SOD11</v>
      </c>
      <c r="F1525" s="238" t="str">
        <f>IFERROR(__xludf.DUMMYFUNCTION("""COMPUTED_VALUE"""),"HFD4H27,JXG9745")</f>
        <v>HFD4H27,JXG9745</v>
      </c>
      <c r="G1525" s="238">
        <f>IFERROR(__xludf.DUMMYFUNCTION("""COMPUTED_VALUE"""),45990.93819444445)</f>
        <v>45990.93819</v>
      </c>
      <c r="H1525" s="238">
        <f>IFERROR(__xludf.DUMMYFUNCTION("""COMPUTED_VALUE"""),45991.02083333333)</f>
        <v>45991.02083</v>
      </c>
      <c r="I1525" s="237" t="str">
        <f t="shared" si="1"/>
        <v>Fora</v>
      </c>
      <c r="J1525" s="239">
        <v>119.99999999301508</v>
      </c>
    </row>
    <row r="1526">
      <c r="A1526" s="234" t="s">
        <v>3220</v>
      </c>
      <c r="B1526" s="234" t="str">
        <f>IFERROR(__xludf.DUMMYFUNCTION("""COMPUTED_VALUE"""),"LM Hub_SP_Araraquara")</f>
        <v>LM Hub_SP_Araraquara</v>
      </c>
      <c r="C1526" s="234" t="str">
        <f>IFERROR(__xludf.DUMMYFUNCTION("""COMPUTED_VALUE"""),"HUB-LSP-29")</f>
        <v>HUB-LSP-29</v>
      </c>
      <c r="D1526" s="234">
        <f>IFERROR(__xludf.DUMMYFUNCTION("""COMPUTED_VALUE"""),46.0)</f>
        <v>46</v>
      </c>
      <c r="E1526" s="237" t="str">
        <f>IFERROR(__xludf.DUMMYFUNCTION("""COMPUTED_VALUE"""),"LT0PBT01SFRU1")</f>
        <v>LT0PBT01SFRU1</v>
      </c>
      <c r="F1526" s="238" t="str">
        <f>IFERROR(__xludf.DUMMYFUNCTION("""COMPUTED_VALUE"""),"EWJ2H21")</f>
        <v>EWJ2H21</v>
      </c>
      <c r="G1526" s="238">
        <f>IFERROR(__xludf.DUMMYFUNCTION("""COMPUTED_VALUE"""),45990.97916666667)</f>
        <v>45990.97917</v>
      </c>
      <c r="H1526" s="238">
        <f>IFERROR(__xludf.DUMMYFUNCTION("""COMPUTED_VALUE"""),45991.0625)</f>
        <v>45991.0625</v>
      </c>
      <c r="I1526" s="237" t="str">
        <f t="shared" si="1"/>
        <v>Fora</v>
      </c>
      <c r="J1526" s="239" t="e">
        <v>#VALUE!</v>
      </c>
    </row>
    <row r="1527">
      <c r="A1527" s="234" t="s">
        <v>3221</v>
      </c>
      <c r="B1527" s="234" t="str">
        <f>IFERROR(__xludf.DUMMYFUNCTION("""COMPUTED_VALUE"""),"Fanout Desconhecido")</f>
        <v>Fanout Desconhecido</v>
      </c>
      <c r="C1527" s="234" t="str">
        <f>IFERROR(__xludf.DUMMYFUNCTION("""COMPUTED_VALUE"""),"-")</f>
        <v>-</v>
      </c>
      <c r="D1527" s="234">
        <f>IFERROR(__xludf.DUMMYFUNCTION("""COMPUTED_VALUE"""),22.0)</f>
        <v>22</v>
      </c>
      <c r="E1527" s="237" t="str">
        <f>IFERROR(__xludf.DUMMYFUNCTION("""COMPUTED_VALUE"""),"LT0PBT01SL751")</f>
        <v>LT0PBT01SL751</v>
      </c>
      <c r="F1527" s="238" t="str">
        <f>IFERROR(__xludf.DUMMYFUNCTION("""COMPUTED_VALUE"""),"-")</f>
        <v>-</v>
      </c>
      <c r="G1527" s="238" t="str">
        <f>IFERROR(__xludf.DUMMYFUNCTION("""COMPUTED_VALUE"""),"-")</f>
        <v>-</v>
      </c>
      <c r="H1527" s="238" t="str">
        <f>IFERROR(__xludf.DUMMYFUNCTION("""COMPUTED_VALUE"""),"-")</f>
        <v>-</v>
      </c>
      <c r="I1527" s="237" t="str">
        <f t="shared" si="1"/>
        <v>Dentro</v>
      </c>
      <c r="J1527" s="239" t="e">
        <v>#VALUE!</v>
      </c>
    </row>
    <row r="1528">
      <c r="A1528" s="234" t="s">
        <v>3222</v>
      </c>
      <c r="B1528" s="234" t="str">
        <f>IFERROR(__xludf.DUMMYFUNCTION("""COMPUTED_VALUE"""),"Fanout Desconhecido")</f>
        <v>Fanout Desconhecido</v>
      </c>
      <c r="C1528" s="234" t="str">
        <f>IFERROR(__xludf.DUMMYFUNCTION("""COMPUTED_VALUE"""),"-")</f>
        <v>-</v>
      </c>
      <c r="D1528" s="234">
        <f>IFERROR(__xludf.DUMMYFUNCTION("""COMPUTED_VALUE"""),45.0)</f>
        <v>45</v>
      </c>
      <c r="E1528" s="237" t="str">
        <f>IFERROR(__xludf.DUMMYFUNCTION("""COMPUTED_VALUE"""),"LT0PBT01SFL41")</f>
        <v>LT0PBT01SFL41</v>
      </c>
      <c r="F1528" s="238" t="str">
        <f>IFERROR(__xludf.DUMMYFUNCTION("""COMPUTED_VALUE"""),"-")</f>
        <v>-</v>
      </c>
      <c r="G1528" s="238" t="str">
        <f>IFERROR(__xludf.DUMMYFUNCTION("""COMPUTED_VALUE"""),"-")</f>
        <v>-</v>
      </c>
      <c r="H1528" s="238" t="str">
        <f>IFERROR(__xludf.DUMMYFUNCTION("""COMPUTED_VALUE"""),"-")</f>
        <v>-</v>
      </c>
      <c r="I1528" s="237" t="str">
        <f t="shared" si="1"/>
        <v>Dentro</v>
      </c>
      <c r="J1528" s="239" t="e">
        <v>#VALUE!</v>
      </c>
    </row>
    <row r="1529">
      <c r="A1529" s="234" t="s">
        <v>3223</v>
      </c>
      <c r="B1529" s="234" t="str">
        <f>IFERROR(__xludf.DUMMYFUNCTION("""COMPUTED_VALUE"""),"Fanout Desconhecido")</f>
        <v>Fanout Desconhecido</v>
      </c>
      <c r="C1529" s="234" t="str">
        <f>IFERROR(__xludf.DUMMYFUNCTION("""COMPUTED_VALUE"""),"-")</f>
        <v>-</v>
      </c>
      <c r="D1529" s="234">
        <f>IFERROR(__xludf.DUMMYFUNCTION("""COMPUTED_VALUE"""),87.0)</f>
        <v>87</v>
      </c>
      <c r="E1529" s="237" t="str">
        <f>IFERROR(__xludf.DUMMYFUNCTION("""COMPUTED_VALUE"""),"LT0PBT01SLJ11")</f>
        <v>LT0PBT01SLJ11</v>
      </c>
      <c r="F1529" s="238" t="str">
        <f>IFERROR(__xludf.DUMMYFUNCTION("""COMPUTED_VALUE"""),"-")</f>
        <v>-</v>
      </c>
      <c r="G1529" s="238" t="str">
        <f>IFERROR(__xludf.DUMMYFUNCTION("""COMPUTED_VALUE"""),"-")</f>
        <v>-</v>
      </c>
      <c r="H1529" s="238" t="str">
        <f>IFERROR(__xludf.DUMMYFUNCTION("""COMPUTED_VALUE"""),"-")</f>
        <v>-</v>
      </c>
      <c r="I1529" s="237" t="str">
        <f t="shared" si="1"/>
        <v>Dentro</v>
      </c>
      <c r="J1529" s="239" t="e">
        <v>#VALUE!</v>
      </c>
    </row>
    <row r="1530">
      <c r="A1530" s="234" t="s">
        <v>3224</v>
      </c>
      <c r="B1530" s="234" t="str">
        <f>IFERROR(__xludf.DUMMYFUNCTION("""COMPUTED_VALUE"""),"Fanout Desconhecido")</f>
        <v>Fanout Desconhecido</v>
      </c>
      <c r="C1530" s="234" t="str">
        <f>IFERROR(__xludf.DUMMYFUNCTION("""COMPUTED_VALUE"""),"-")</f>
        <v>-</v>
      </c>
      <c r="D1530" s="234"/>
      <c r="E1530" s="237" t="str">
        <f>IFERROR(__xludf.DUMMYFUNCTION("""COMPUTED_VALUE"""),"LT0PBT01SFRD1")</f>
        <v>LT0PBT01SFRD1</v>
      </c>
      <c r="F1530" s="238" t="str">
        <f>IFERROR(__xludf.DUMMYFUNCTION("""COMPUTED_VALUE"""),"-")</f>
        <v>-</v>
      </c>
      <c r="G1530" s="238" t="str">
        <f>IFERROR(__xludf.DUMMYFUNCTION("""COMPUTED_VALUE"""),"-")</f>
        <v>-</v>
      </c>
      <c r="H1530" s="238" t="str">
        <f>IFERROR(__xludf.DUMMYFUNCTION("""COMPUTED_VALUE"""),"-")</f>
        <v>-</v>
      </c>
      <c r="I1530" s="237" t="str">
        <f t="shared" si="1"/>
        <v>Dentro</v>
      </c>
      <c r="J1530" s="239" t="e">
        <v>#VALUE!</v>
      </c>
    </row>
    <row r="1531">
      <c r="A1531" s="234" t="s">
        <v>3225</v>
      </c>
      <c r="B1531" s="234" t="str">
        <f>IFERROR(__xludf.DUMMYFUNCTION("""COMPUTED_VALUE"""),"Fanout Desconhecido")</f>
        <v>Fanout Desconhecido</v>
      </c>
      <c r="C1531" s="234" t="str">
        <f>IFERROR(__xludf.DUMMYFUNCTION("""COMPUTED_VALUE"""),"-")</f>
        <v>-</v>
      </c>
      <c r="D1531" s="234">
        <f>IFERROR(__xludf.DUMMYFUNCTION("""COMPUTED_VALUE"""),89.0)</f>
        <v>89</v>
      </c>
      <c r="E1531" s="237" t="str">
        <f>IFERROR(__xludf.DUMMYFUNCTION("""COMPUTED_VALUE"""),"LT0PBT01SLA92")</f>
        <v>LT0PBT01SLA92</v>
      </c>
      <c r="F1531" s="238" t="str">
        <f>IFERROR(__xludf.DUMMYFUNCTION("""COMPUTED_VALUE"""),"-")</f>
        <v>-</v>
      </c>
      <c r="G1531" s="238" t="str">
        <f>IFERROR(__xludf.DUMMYFUNCTION("""COMPUTED_VALUE"""),"-")</f>
        <v>-</v>
      </c>
      <c r="H1531" s="238" t="str">
        <f>IFERROR(__xludf.DUMMYFUNCTION("""COMPUTED_VALUE"""),"-")</f>
        <v>-</v>
      </c>
      <c r="I1531" s="237" t="str">
        <f t="shared" si="1"/>
        <v>Dentro</v>
      </c>
      <c r="J1531" s="239" t="e">
        <v>#VALUE!</v>
      </c>
    </row>
    <row r="1532">
      <c r="A1532" s="234" t="s">
        <v>3226</v>
      </c>
      <c r="B1532" s="234" t="str">
        <f>IFERROR(__xludf.DUMMYFUNCTION("""COMPUTED_VALUE"""),"Fanout Desconhecido")</f>
        <v>Fanout Desconhecido</v>
      </c>
      <c r="C1532" s="234" t="str">
        <f>IFERROR(__xludf.DUMMYFUNCTION("""COMPUTED_VALUE"""),"-")</f>
        <v>-</v>
      </c>
      <c r="D1532" s="234">
        <f>IFERROR(__xludf.DUMMYFUNCTION("""COMPUTED_VALUE"""),49.0)</f>
        <v>49</v>
      </c>
      <c r="E1532" s="237" t="str">
        <f>IFERROR(__xludf.DUMMYFUNCTION("""COMPUTED_VALUE"""),"LT0PBT01SFLN1")</f>
        <v>LT0PBT01SFLN1</v>
      </c>
      <c r="F1532" s="238" t="str">
        <f>IFERROR(__xludf.DUMMYFUNCTION("""COMPUTED_VALUE"""),"-")</f>
        <v>-</v>
      </c>
      <c r="G1532" s="238" t="str">
        <f>IFERROR(__xludf.DUMMYFUNCTION("""COMPUTED_VALUE"""),"-")</f>
        <v>-</v>
      </c>
      <c r="H1532" s="238" t="str">
        <f>IFERROR(__xludf.DUMMYFUNCTION("""COMPUTED_VALUE"""),"-")</f>
        <v>-</v>
      </c>
      <c r="I1532" s="237" t="str">
        <f t="shared" si="1"/>
        <v>Dentro</v>
      </c>
      <c r="J1532" s="239" t="e">
        <v>#VALUE!</v>
      </c>
    </row>
    <row r="1533">
      <c r="A1533" s="234" t="s">
        <v>3227</v>
      </c>
      <c r="B1533" s="234" t="str">
        <f>IFERROR(__xludf.DUMMYFUNCTION("""COMPUTED_VALUE"""),"Fanout Desconhecido")</f>
        <v>Fanout Desconhecido</v>
      </c>
      <c r="C1533" s="234" t="str">
        <f>IFERROR(__xludf.DUMMYFUNCTION("""COMPUTED_VALUE"""),"-")</f>
        <v>-</v>
      </c>
      <c r="D1533" s="234">
        <f>IFERROR(__xludf.DUMMYFUNCTION("""COMPUTED_VALUE"""),48.0)</f>
        <v>48</v>
      </c>
      <c r="E1533" s="237" t="str">
        <f>IFERROR(__xludf.DUMMYFUNCTION("""COMPUTED_VALUE"""),"LT0PBT01SFK41")</f>
        <v>LT0PBT01SFK41</v>
      </c>
      <c r="F1533" s="238" t="str">
        <f>IFERROR(__xludf.DUMMYFUNCTION("""COMPUTED_VALUE"""),"-")</f>
        <v>-</v>
      </c>
      <c r="G1533" s="238" t="str">
        <f>IFERROR(__xludf.DUMMYFUNCTION("""COMPUTED_VALUE"""),"-")</f>
        <v>-</v>
      </c>
      <c r="H1533" s="238" t="str">
        <f>IFERROR(__xludf.DUMMYFUNCTION("""COMPUTED_VALUE"""),"-")</f>
        <v>-</v>
      </c>
      <c r="I1533" s="237" t="str">
        <f t="shared" si="1"/>
        <v>Dentro</v>
      </c>
      <c r="J1533" s="239" t="e">
        <v>#VALUE!</v>
      </c>
    </row>
    <row r="1534">
      <c r="A1534" s="234" t="s">
        <v>3228</v>
      </c>
      <c r="B1534" s="234" t="str">
        <f>IFERROR(__xludf.DUMMYFUNCTION("""COMPUTED_VALUE"""),"Fanout Desconhecido")</f>
        <v>Fanout Desconhecido</v>
      </c>
      <c r="C1534" s="234" t="str">
        <f>IFERROR(__xludf.DUMMYFUNCTION("""COMPUTED_VALUE"""),"-")</f>
        <v>-</v>
      </c>
      <c r="D1534" s="234">
        <f>IFERROR(__xludf.DUMMYFUNCTION("""COMPUTED_VALUE"""),48.0)</f>
        <v>48</v>
      </c>
      <c r="E1534" s="237" t="str">
        <f>IFERROR(__xludf.DUMMYFUNCTION("""COMPUTED_VALUE"""),"LT0PBT01SFK62")</f>
        <v>LT0PBT01SFK62</v>
      </c>
      <c r="F1534" s="238" t="str">
        <f>IFERROR(__xludf.DUMMYFUNCTION("""COMPUTED_VALUE"""),"-")</f>
        <v>-</v>
      </c>
      <c r="G1534" s="238" t="str">
        <f>IFERROR(__xludf.DUMMYFUNCTION("""COMPUTED_VALUE"""),"-")</f>
        <v>-</v>
      </c>
      <c r="H1534" s="238" t="str">
        <f>IFERROR(__xludf.DUMMYFUNCTION("""COMPUTED_VALUE"""),"-")</f>
        <v>-</v>
      </c>
      <c r="I1534" s="237" t="str">
        <f t="shared" si="1"/>
        <v>Dentro</v>
      </c>
      <c r="J1534" s="239" t="e">
        <v>#VALUE!</v>
      </c>
    </row>
    <row r="1535">
      <c r="A1535" s="234" t="s">
        <v>3229</v>
      </c>
      <c r="B1535" s="234" t="str">
        <f>IFERROR(__xludf.DUMMYFUNCTION("""COMPUTED_VALUE"""),"Fanout Desconhecido")</f>
        <v>Fanout Desconhecido</v>
      </c>
      <c r="C1535" s="234" t="str">
        <f>IFERROR(__xludf.DUMMYFUNCTION("""COMPUTED_VALUE"""),"-")</f>
        <v>-</v>
      </c>
      <c r="D1535" s="234">
        <f>IFERROR(__xludf.DUMMYFUNCTION("""COMPUTED_VALUE"""),49.0)</f>
        <v>49</v>
      </c>
      <c r="E1535" s="237" t="str">
        <f>IFERROR(__xludf.DUMMYFUNCTION("""COMPUTED_VALUE"""),"LT0PBT01SHSA1")</f>
        <v>LT0PBT01SHSA1</v>
      </c>
      <c r="F1535" s="238" t="str">
        <f>IFERROR(__xludf.DUMMYFUNCTION("""COMPUTED_VALUE"""),"-")</f>
        <v>-</v>
      </c>
      <c r="G1535" s="238" t="str">
        <f>IFERROR(__xludf.DUMMYFUNCTION("""COMPUTED_VALUE"""),"-")</f>
        <v>-</v>
      </c>
      <c r="H1535" s="238" t="str">
        <f>IFERROR(__xludf.DUMMYFUNCTION("""COMPUTED_VALUE"""),"-")</f>
        <v>-</v>
      </c>
      <c r="I1535" s="237" t="str">
        <f t="shared" si="1"/>
        <v>Dentro</v>
      </c>
      <c r="J1535" s="239" t="e">
        <v>#VALUE!</v>
      </c>
    </row>
    <row r="1536">
      <c r="A1536" s="234" t="s">
        <v>3230</v>
      </c>
      <c r="B1536" s="234" t="str">
        <f>IFERROR(__xludf.DUMMYFUNCTION("""COMPUTED_VALUE"""),"Fanout Desconhecido")</f>
        <v>Fanout Desconhecido</v>
      </c>
      <c r="C1536" s="234" t="str">
        <f>IFERROR(__xludf.DUMMYFUNCTION("""COMPUTED_VALUE"""),"-")</f>
        <v>-</v>
      </c>
      <c r="D1536" s="234">
        <f>IFERROR(__xludf.DUMMYFUNCTION("""COMPUTED_VALUE"""),42.0)</f>
        <v>42</v>
      </c>
      <c r="E1536" s="237" t="str">
        <f>IFERROR(__xludf.DUMMYFUNCTION("""COMPUTED_VALUE"""),"LT0PBT01SHSE3")</f>
        <v>LT0PBT01SHSE3</v>
      </c>
      <c r="F1536" s="238" t="str">
        <f>IFERROR(__xludf.DUMMYFUNCTION("""COMPUTED_VALUE"""),"-")</f>
        <v>-</v>
      </c>
      <c r="G1536" s="238" t="str">
        <f>IFERROR(__xludf.DUMMYFUNCTION("""COMPUTED_VALUE"""),"-")</f>
        <v>-</v>
      </c>
      <c r="H1536" s="238" t="str">
        <f>IFERROR(__xludf.DUMMYFUNCTION("""COMPUTED_VALUE"""),"-")</f>
        <v>-</v>
      </c>
      <c r="I1536" s="237" t="str">
        <f t="shared" si="1"/>
        <v>Dentro</v>
      </c>
      <c r="J1536" s="239" t="e">
        <v>#VALUE!</v>
      </c>
    </row>
    <row r="1537">
      <c r="A1537" s="234" t="s">
        <v>3231</v>
      </c>
      <c r="B1537" s="234" t="str">
        <f>IFERROR(__xludf.DUMMYFUNCTION("""COMPUTED_VALUE"""),"Fanout Desconhecido")</f>
        <v>Fanout Desconhecido</v>
      </c>
      <c r="C1537" s="234" t="str">
        <f>IFERROR(__xludf.DUMMYFUNCTION("""COMPUTED_VALUE"""),"-")</f>
        <v>-</v>
      </c>
      <c r="D1537" s="234">
        <f>IFERROR(__xludf.DUMMYFUNCTION("""COMPUTED_VALUE"""),29.0)</f>
        <v>29</v>
      </c>
      <c r="E1537" s="237" t="str">
        <f>IFERROR(__xludf.DUMMYFUNCTION("""COMPUTED_VALUE"""),"LT0PBT01SFQ51")</f>
        <v>LT0PBT01SFQ51</v>
      </c>
      <c r="F1537" s="238" t="str">
        <f>IFERROR(__xludf.DUMMYFUNCTION("""COMPUTED_VALUE"""),"-")</f>
        <v>-</v>
      </c>
      <c r="G1537" s="238" t="str">
        <f>IFERROR(__xludf.DUMMYFUNCTION("""COMPUTED_VALUE"""),"-")</f>
        <v>-</v>
      </c>
      <c r="H1537" s="238" t="str">
        <f>IFERROR(__xludf.DUMMYFUNCTION("""COMPUTED_VALUE"""),"-")</f>
        <v>-</v>
      </c>
      <c r="I1537" s="237" t="str">
        <f t="shared" si="1"/>
        <v>Dentro</v>
      </c>
      <c r="J1537" s="239" t="e">
        <v>#VALUE!</v>
      </c>
    </row>
    <row r="1538">
      <c r="A1538" s="234" t="s">
        <v>3232</v>
      </c>
      <c r="B1538" s="234" t="str">
        <f>IFERROR(__xludf.DUMMYFUNCTION("""COMPUTED_VALUE"""),"Fanout Desconhecido")</f>
        <v>Fanout Desconhecido</v>
      </c>
      <c r="C1538" s="234" t="str">
        <f>IFERROR(__xludf.DUMMYFUNCTION("""COMPUTED_VALUE"""),"-")</f>
        <v>-</v>
      </c>
      <c r="D1538" s="234">
        <f>IFERROR(__xludf.DUMMYFUNCTION("""COMPUTED_VALUE"""),32.0)</f>
        <v>32</v>
      </c>
      <c r="E1538" s="237" t="str">
        <f>IFERROR(__xludf.DUMMYFUNCTION("""COMPUTED_VALUE"""),"LT0PBT01SOD21")</f>
        <v>LT0PBT01SOD21</v>
      </c>
      <c r="F1538" s="238" t="str">
        <f>IFERROR(__xludf.DUMMYFUNCTION("""COMPUTED_VALUE"""),"-")</f>
        <v>-</v>
      </c>
      <c r="G1538" s="238" t="str">
        <f>IFERROR(__xludf.DUMMYFUNCTION("""COMPUTED_VALUE"""),"-")</f>
        <v>-</v>
      </c>
      <c r="H1538" s="238" t="str">
        <f>IFERROR(__xludf.DUMMYFUNCTION("""COMPUTED_VALUE"""),"-")</f>
        <v>-</v>
      </c>
      <c r="I1538" s="237" t="str">
        <f t="shared" si="1"/>
        <v>Dentro</v>
      </c>
      <c r="J1538" s="239" t="e">
        <v>#VALUE!</v>
      </c>
    </row>
    <row r="1539">
      <c r="A1539" s="234" t="s">
        <v>3233</v>
      </c>
      <c r="B1539" s="234" t="str">
        <f>IFERROR(__xludf.DUMMYFUNCTION("""COMPUTED_VALUE"""),"Fanout Desconhecido")</f>
        <v>Fanout Desconhecido</v>
      </c>
      <c r="C1539" s="234" t="str">
        <f>IFERROR(__xludf.DUMMYFUNCTION("""COMPUTED_VALUE"""),"-")</f>
        <v>-</v>
      </c>
      <c r="D1539" s="234">
        <f>IFERROR(__xludf.DUMMYFUNCTION("""COMPUTED_VALUE"""),42.0)</f>
        <v>42</v>
      </c>
      <c r="E1539" s="237" t="str">
        <f>IFERROR(__xludf.DUMMYFUNCTION("""COMPUTED_VALUE"""),"LT0PBT01SII41")</f>
        <v>LT0PBT01SII41</v>
      </c>
      <c r="F1539" s="238" t="str">
        <f>IFERROR(__xludf.DUMMYFUNCTION("""COMPUTED_VALUE"""),"-")</f>
        <v>-</v>
      </c>
      <c r="G1539" s="238" t="str">
        <f>IFERROR(__xludf.DUMMYFUNCTION("""COMPUTED_VALUE"""),"-")</f>
        <v>-</v>
      </c>
      <c r="H1539" s="238" t="str">
        <f>IFERROR(__xludf.DUMMYFUNCTION("""COMPUTED_VALUE"""),"-")</f>
        <v>-</v>
      </c>
      <c r="I1539" s="237" t="str">
        <f t="shared" si="1"/>
        <v>Dentro</v>
      </c>
      <c r="J1539" s="239" t="e">
        <v>#VALUE!</v>
      </c>
    </row>
    <row r="1540">
      <c r="A1540" s="234" t="s">
        <v>3234</v>
      </c>
      <c r="B1540" s="234" t="str">
        <f>IFERROR(__xludf.DUMMYFUNCTION("""COMPUTED_VALUE"""),"Fanout Desconhecido")</f>
        <v>Fanout Desconhecido</v>
      </c>
      <c r="C1540" s="234" t="str">
        <f>IFERROR(__xludf.DUMMYFUNCTION("""COMPUTED_VALUE"""),"-")</f>
        <v>-</v>
      </c>
      <c r="D1540" s="234">
        <f>IFERROR(__xludf.DUMMYFUNCTION("""COMPUTED_VALUE"""),15.0)</f>
        <v>15</v>
      </c>
      <c r="E1540" s="237" t="str">
        <f>IFERROR(__xludf.DUMMYFUNCTION("""COMPUTED_VALUE"""),"LT0PBT01SHRH2")</f>
        <v>LT0PBT01SHRH2</v>
      </c>
      <c r="F1540" s="238" t="str">
        <f>IFERROR(__xludf.DUMMYFUNCTION("""COMPUTED_VALUE"""),"-")</f>
        <v>-</v>
      </c>
      <c r="G1540" s="238" t="str">
        <f>IFERROR(__xludf.DUMMYFUNCTION("""COMPUTED_VALUE"""),"-")</f>
        <v>-</v>
      </c>
      <c r="H1540" s="238" t="str">
        <f>IFERROR(__xludf.DUMMYFUNCTION("""COMPUTED_VALUE"""),"-")</f>
        <v>-</v>
      </c>
      <c r="I1540" s="237" t="str">
        <f t="shared" si="1"/>
        <v>Dentro</v>
      </c>
      <c r="J1540" s="239" t="e">
        <v>#VALUE!</v>
      </c>
    </row>
    <row r="1541">
      <c r="A1541" s="234" t="s">
        <v>3235</v>
      </c>
      <c r="B1541" s="234" t="str">
        <f>IFERROR(__xludf.DUMMYFUNCTION("""COMPUTED_VALUE"""),"Fanout Desconhecido")</f>
        <v>Fanout Desconhecido</v>
      </c>
      <c r="C1541" s="234" t="str">
        <f>IFERROR(__xludf.DUMMYFUNCTION("""COMPUTED_VALUE"""),"-")</f>
        <v>-</v>
      </c>
      <c r="D1541" s="234">
        <f>IFERROR(__xludf.DUMMYFUNCTION("""COMPUTED_VALUE"""),18.0)</f>
        <v>18</v>
      </c>
      <c r="E1541" s="237" t="str">
        <f>IFERROR(__xludf.DUMMYFUNCTION("""COMPUTED_VALUE"""),"LT0PBT01SLJ32")</f>
        <v>LT0PBT01SLJ32</v>
      </c>
      <c r="F1541" s="238" t="str">
        <f>IFERROR(__xludf.DUMMYFUNCTION("""COMPUTED_VALUE"""),"-")</f>
        <v>-</v>
      </c>
      <c r="G1541" s="238" t="str">
        <f>IFERROR(__xludf.DUMMYFUNCTION("""COMPUTED_VALUE"""),"-")</f>
        <v>-</v>
      </c>
      <c r="H1541" s="238" t="str">
        <f>IFERROR(__xludf.DUMMYFUNCTION("""COMPUTED_VALUE"""),"-")</f>
        <v>-</v>
      </c>
      <c r="I1541" s="237" t="str">
        <f t="shared" si="1"/>
        <v>Dentro</v>
      </c>
      <c r="J1541" s="239" t="e">
        <v>#VALUE!</v>
      </c>
    </row>
    <row r="1542">
      <c r="A1542" s="234" t="s">
        <v>3236</v>
      </c>
      <c r="B1542" s="234" t="str">
        <f>IFERROR(__xludf.DUMMYFUNCTION("""COMPUTED_VALUE"""),"Fanout Desconhecido")</f>
        <v>Fanout Desconhecido</v>
      </c>
      <c r="C1542" s="234" t="str">
        <f>IFERROR(__xludf.DUMMYFUNCTION("""COMPUTED_VALUE"""),"-")</f>
        <v>-</v>
      </c>
      <c r="D1542" s="234">
        <f>IFERROR(__xludf.DUMMYFUNCTION("""COMPUTED_VALUE"""),34.0)</f>
        <v>34</v>
      </c>
      <c r="E1542" s="237" t="str">
        <f>IFERROR(__xludf.DUMMYFUNCTION("""COMPUTED_VALUE"""),"LT0PBT01SFMC1")</f>
        <v>LT0PBT01SFMC1</v>
      </c>
      <c r="F1542" s="238" t="str">
        <f>IFERROR(__xludf.DUMMYFUNCTION("""COMPUTED_VALUE"""),"-")</f>
        <v>-</v>
      </c>
      <c r="G1542" s="238" t="str">
        <f>IFERROR(__xludf.DUMMYFUNCTION("""COMPUTED_VALUE"""),"-")</f>
        <v>-</v>
      </c>
      <c r="H1542" s="238" t="str">
        <f>IFERROR(__xludf.DUMMYFUNCTION("""COMPUTED_VALUE"""),"-")</f>
        <v>-</v>
      </c>
      <c r="I1542" s="237" t="str">
        <f t="shared" si="1"/>
        <v>Dentro</v>
      </c>
      <c r="J1542" s="239" t="e">
        <v>#VALUE!</v>
      </c>
    </row>
    <row r="1543">
      <c r="A1543" s="234" t="s">
        <v>3237</v>
      </c>
      <c r="B1543" s="234" t="str">
        <f>IFERROR(__xludf.DUMMYFUNCTION("""COMPUTED_VALUE"""),"Fanout Desconhecido")</f>
        <v>Fanout Desconhecido</v>
      </c>
      <c r="C1543" s="234" t="str">
        <f>IFERROR(__xludf.DUMMYFUNCTION("""COMPUTED_VALUE"""),"-")</f>
        <v>-</v>
      </c>
      <c r="D1543" s="234">
        <f>IFERROR(__xludf.DUMMYFUNCTION("""COMPUTED_VALUE"""),35.0)</f>
        <v>35</v>
      </c>
      <c r="E1543" s="237" t="str">
        <f>IFERROR(__xludf.DUMMYFUNCTION("""COMPUTED_VALUE"""),"LT0PBT01SG461")</f>
        <v>LT0PBT01SG461</v>
      </c>
      <c r="F1543" s="238" t="str">
        <f>IFERROR(__xludf.DUMMYFUNCTION("""COMPUTED_VALUE"""),"-")</f>
        <v>-</v>
      </c>
      <c r="G1543" s="238" t="str">
        <f>IFERROR(__xludf.DUMMYFUNCTION("""COMPUTED_VALUE"""),"-")</f>
        <v>-</v>
      </c>
      <c r="H1543" s="238" t="str">
        <f>IFERROR(__xludf.DUMMYFUNCTION("""COMPUTED_VALUE"""),"-")</f>
        <v>-</v>
      </c>
      <c r="I1543" s="237" t="str">
        <f t="shared" si="1"/>
        <v>Dentro</v>
      </c>
      <c r="J1543" s="239" t="e">
        <v>#VALUE!</v>
      </c>
    </row>
    <row r="1544">
      <c r="A1544" s="234" t="s">
        <v>3238</v>
      </c>
      <c r="B1544" s="234" t="str">
        <f>IFERROR(__xludf.DUMMYFUNCTION("""COMPUTED_VALUE"""),"Fanout Desconhecido")</f>
        <v>Fanout Desconhecido</v>
      </c>
      <c r="C1544" s="234" t="str">
        <f>IFERROR(__xludf.DUMMYFUNCTION("""COMPUTED_VALUE"""),"-")</f>
        <v>-</v>
      </c>
      <c r="D1544" s="234">
        <f>IFERROR(__xludf.DUMMYFUNCTION("""COMPUTED_VALUE"""),23.0)</f>
        <v>23</v>
      </c>
      <c r="E1544" s="237" t="str">
        <f>IFERROR(__xludf.DUMMYFUNCTION("""COMPUTED_VALUE"""),"LT0PBU01SL6R1")</f>
        <v>LT0PBU01SL6R1</v>
      </c>
      <c r="F1544" s="238" t="str">
        <f>IFERROR(__xludf.DUMMYFUNCTION("""COMPUTED_VALUE"""),"-")</f>
        <v>-</v>
      </c>
      <c r="G1544" s="238" t="str">
        <f>IFERROR(__xludf.DUMMYFUNCTION("""COMPUTED_VALUE"""),"-")</f>
        <v>-</v>
      </c>
      <c r="H1544" s="238" t="str">
        <f>IFERROR(__xludf.DUMMYFUNCTION("""COMPUTED_VALUE"""),"-")</f>
        <v>-</v>
      </c>
      <c r="I1544" s="237" t="str">
        <f t="shared" si="1"/>
        <v>Dentro</v>
      </c>
      <c r="J1544" s="239" t="e">
        <v>#VALUE!</v>
      </c>
    </row>
    <row r="1545">
      <c r="A1545" s="234" t="s">
        <v>3239</v>
      </c>
      <c r="B1545" s="234" t="str">
        <f>IFERROR(__xludf.DUMMYFUNCTION("""COMPUTED_VALUE"""),"Fanout Desconhecido")</f>
        <v>Fanout Desconhecido</v>
      </c>
      <c r="C1545" s="234" t="str">
        <f>IFERROR(__xludf.DUMMYFUNCTION("""COMPUTED_VALUE"""),"-")</f>
        <v>-</v>
      </c>
      <c r="D1545" s="234">
        <f>IFERROR(__xludf.DUMMYFUNCTION("""COMPUTED_VALUE"""),45.0)</f>
        <v>45</v>
      </c>
      <c r="E1545" s="237" t="str">
        <f>IFERROR(__xludf.DUMMYFUNCTION("""COMPUTED_VALUE"""),"LT0PBT01SLAE1")</f>
        <v>LT0PBT01SLAE1</v>
      </c>
      <c r="F1545" s="238" t="str">
        <f>IFERROR(__xludf.DUMMYFUNCTION("""COMPUTED_VALUE"""),"-")</f>
        <v>-</v>
      </c>
      <c r="G1545" s="238" t="str">
        <f>IFERROR(__xludf.DUMMYFUNCTION("""COMPUTED_VALUE"""),"-")</f>
        <v>-</v>
      </c>
      <c r="H1545" s="238" t="str">
        <f>IFERROR(__xludf.DUMMYFUNCTION("""COMPUTED_VALUE"""),"-")</f>
        <v>-</v>
      </c>
      <c r="I1545" s="237" t="str">
        <f t="shared" si="1"/>
        <v>Dentro</v>
      </c>
      <c r="J1545" s="239" t="e">
        <v>#VALUE!</v>
      </c>
    </row>
    <row r="1546">
      <c r="A1546" s="234" t="s">
        <v>3240</v>
      </c>
      <c r="B1546" s="234" t="str">
        <f>IFERROR(__xludf.DUMMYFUNCTION("""COMPUTED_VALUE"""),"Fanout Desconhecido")</f>
        <v>Fanout Desconhecido</v>
      </c>
      <c r="C1546" s="234" t="str">
        <f>IFERROR(__xludf.DUMMYFUNCTION("""COMPUTED_VALUE"""),"-")</f>
        <v>-</v>
      </c>
      <c r="D1546" s="234"/>
      <c r="E1546" s="237" t="str">
        <f>IFERROR(__xludf.DUMMYFUNCTION("""COMPUTED_VALUE"""),"LT0PBT01SLAG2")</f>
        <v>LT0PBT01SLAG2</v>
      </c>
      <c r="F1546" s="238" t="str">
        <f>IFERROR(__xludf.DUMMYFUNCTION("""COMPUTED_VALUE"""),"-")</f>
        <v>-</v>
      </c>
      <c r="G1546" s="238" t="str">
        <f>IFERROR(__xludf.DUMMYFUNCTION("""COMPUTED_VALUE"""),"-")</f>
        <v>-</v>
      </c>
      <c r="H1546" s="238" t="str">
        <f>IFERROR(__xludf.DUMMYFUNCTION("""COMPUTED_VALUE"""),"-")</f>
        <v>-</v>
      </c>
      <c r="I1546" s="237" t="str">
        <f t="shared" si="1"/>
        <v>Dentro</v>
      </c>
      <c r="J1546" s="239" t="e">
        <v>#VALUE!</v>
      </c>
    </row>
    <row r="1547">
      <c r="A1547" s="234" t="s">
        <v>3241</v>
      </c>
      <c r="B1547" s="234" t="str">
        <f>IFERROR(__xludf.DUMMYFUNCTION("""COMPUTED_VALUE"""),"Fanout Desconhecido")</f>
        <v>Fanout Desconhecido</v>
      </c>
      <c r="C1547" s="234" t="str">
        <f>IFERROR(__xludf.DUMMYFUNCTION("""COMPUTED_VALUE"""),"-")</f>
        <v>-</v>
      </c>
      <c r="D1547" s="234"/>
      <c r="E1547" s="237" t="str">
        <f>IFERROR(__xludf.DUMMYFUNCTION("""COMPUTED_VALUE"""),"LT0PBT01SLAI3")</f>
        <v>LT0PBT01SLAI3</v>
      </c>
      <c r="F1547" s="238" t="str">
        <f>IFERROR(__xludf.DUMMYFUNCTION("""COMPUTED_VALUE"""),"-")</f>
        <v>-</v>
      </c>
      <c r="G1547" s="238" t="str">
        <f>IFERROR(__xludf.DUMMYFUNCTION("""COMPUTED_VALUE"""),"-")</f>
        <v>-</v>
      </c>
      <c r="H1547" s="238" t="str">
        <f>IFERROR(__xludf.DUMMYFUNCTION("""COMPUTED_VALUE"""),"-")</f>
        <v>-</v>
      </c>
      <c r="I1547" s="237" t="str">
        <f t="shared" si="1"/>
        <v>Dentro</v>
      </c>
      <c r="J1547" s="239" t="e">
        <v>#VALUE!</v>
      </c>
    </row>
    <row r="1548">
      <c r="A1548" s="234" t="s">
        <v>3242</v>
      </c>
      <c r="B1548" s="234" t="str">
        <f>IFERROR(__xludf.DUMMYFUNCTION("""COMPUTED_VALUE"""),"Fanout Desconhecido")</f>
        <v>Fanout Desconhecido</v>
      </c>
      <c r="C1548" s="234" t="str">
        <f>IFERROR(__xludf.DUMMYFUNCTION("""COMPUTED_VALUE"""),"-")</f>
        <v>-</v>
      </c>
      <c r="D1548" s="234"/>
      <c r="E1548" s="237" t="str">
        <f>IFERROR(__xludf.DUMMYFUNCTION("""COMPUTED_VALUE"""),"LT0PBT01SFK91")</f>
        <v>LT0PBT01SFK91</v>
      </c>
      <c r="F1548" s="238" t="str">
        <f>IFERROR(__xludf.DUMMYFUNCTION("""COMPUTED_VALUE"""),"-")</f>
        <v>-</v>
      </c>
      <c r="G1548" s="238" t="str">
        <f>IFERROR(__xludf.DUMMYFUNCTION("""COMPUTED_VALUE"""),"-")</f>
        <v>-</v>
      </c>
      <c r="H1548" s="238" t="str">
        <f>IFERROR(__xludf.DUMMYFUNCTION("""COMPUTED_VALUE"""),"-")</f>
        <v>-</v>
      </c>
      <c r="I1548" s="237" t="str">
        <f t="shared" si="1"/>
        <v>Dentro</v>
      </c>
      <c r="J1548" s="239" t="e">
        <v>#VALUE!</v>
      </c>
    </row>
    <row r="1549">
      <c r="A1549" s="234" t="s">
        <v>3243</v>
      </c>
      <c r="B1549" s="234" t="str">
        <f>IFERROR(__xludf.DUMMYFUNCTION("""COMPUTED_VALUE"""),"Fanout Desconhecido")</f>
        <v>Fanout Desconhecido</v>
      </c>
      <c r="C1549" s="234" t="str">
        <f>IFERROR(__xludf.DUMMYFUNCTION("""COMPUTED_VALUE"""),"-")</f>
        <v>-</v>
      </c>
      <c r="D1549" s="234"/>
      <c r="E1549" s="237" t="str">
        <f>IFERROR(__xludf.DUMMYFUNCTION("""COMPUTED_VALUE"""),"LT0PBT01SFKF4")</f>
        <v>LT0PBT01SFKF4</v>
      </c>
      <c r="F1549" s="238" t="str">
        <f>IFERROR(__xludf.DUMMYFUNCTION("""COMPUTED_VALUE"""),"-")</f>
        <v>-</v>
      </c>
      <c r="G1549" s="238" t="str">
        <f>IFERROR(__xludf.DUMMYFUNCTION("""COMPUTED_VALUE"""),"-")</f>
        <v>-</v>
      </c>
      <c r="H1549" s="238" t="str">
        <f>IFERROR(__xludf.DUMMYFUNCTION("""COMPUTED_VALUE"""),"-")</f>
        <v>-</v>
      </c>
      <c r="I1549" s="237" t="str">
        <f t="shared" si="1"/>
        <v>Dentro</v>
      </c>
      <c r="J1549" s="239" t="e">
        <v>#VALUE!</v>
      </c>
    </row>
    <row r="1550">
      <c r="A1550" s="234" t="s">
        <v>3244</v>
      </c>
      <c r="B1550" s="234" t="str">
        <f>IFERROR(__xludf.DUMMYFUNCTION("""COMPUTED_VALUE"""),"Fanout Desconhecido")</f>
        <v>Fanout Desconhecido</v>
      </c>
      <c r="C1550" s="234" t="str">
        <f>IFERROR(__xludf.DUMMYFUNCTION("""COMPUTED_VALUE"""),"-")</f>
        <v>-</v>
      </c>
      <c r="D1550" s="234"/>
      <c r="E1550" s="237" t="str">
        <f>IFERROR(__xludf.DUMMYFUNCTION("""COMPUTED_VALUE"""),"LT0PBT01SHSB1")</f>
        <v>LT0PBT01SHSB1</v>
      </c>
      <c r="F1550" s="238" t="str">
        <f>IFERROR(__xludf.DUMMYFUNCTION("""COMPUTED_VALUE"""),"-")</f>
        <v>-</v>
      </c>
      <c r="G1550" s="238" t="str">
        <f>IFERROR(__xludf.DUMMYFUNCTION("""COMPUTED_VALUE"""),"-")</f>
        <v>-</v>
      </c>
      <c r="H1550" s="238" t="str">
        <f>IFERROR(__xludf.DUMMYFUNCTION("""COMPUTED_VALUE"""),"-")</f>
        <v>-</v>
      </c>
      <c r="I1550" s="237" t="str">
        <f t="shared" si="1"/>
        <v>Dentro</v>
      </c>
      <c r="J1550" s="239" t="e">
        <v>#VALUE!</v>
      </c>
    </row>
    <row r="1551">
      <c r="A1551" s="234" t="s">
        <v>3245</v>
      </c>
      <c r="B1551" s="234" t="str">
        <f>IFERROR(__xludf.DUMMYFUNCTION("""COMPUTED_VALUE"""),"Fanout Desconhecido")</f>
        <v>Fanout Desconhecido</v>
      </c>
      <c r="C1551" s="234" t="str">
        <f>IFERROR(__xludf.DUMMYFUNCTION("""COMPUTED_VALUE"""),"-")</f>
        <v>-</v>
      </c>
      <c r="D1551" s="234"/>
      <c r="E1551" s="237" t="str">
        <f>IFERROR(__xludf.DUMMYFUNCTION("""COMPUTED_VALUE"""),"LT0PBT01SFKB2")</f>
        <v>LT0PBT01SFKB2</v>
      </c>
      <c r="F1551" s="238" t="str">
        <f>IFERROR(__xludf.DUMMYFUNCTION("""COMPUTED_VALUE"""),"-")</f>
        <v>-</v>
      </c>
      <c r="G1551" s="238" t="str">
        <f>IFERROR(__xludf.DUMMYFUNCTION("""COMPUTED_VALUE"""),"-")</f>
        <v>-</v>
      </c>
      <c r="H1551" s="238" t="str">
        <f>IFERROR(__xludf.DUMMYFUNCTION("""COMPUTED_VALUE"""),"-")</f>
        <v>-</v>
      </c>
      <c r="I1551" s="237" t="str">
        <f t="shared" si="1"/>
        <v>Dentro</v>
      </c>
      <c r="J1551" s="239" t="e">
        <v>#VALUE!</v>
      </c>
    </row>
    <row r="1552">
      <c r="A1552" s="234" t="s">
        <v>3246</v>
      </c>
      <c r="B1552" s="234" t="str">
        <f>IFERROR(__xludf.DUMMYFUNCTION("""COMPUTED_VALUE"""),"Fanout Desconhecido")</f>
        <v>Fanout Desconhecido</v>
      </c>
      <c r="C1552" s="234" t="str">
        <f>IFERROR(__xludf.DUMMYFUNCTION("""COMPUTED_VALUE"""),"-")</f>
        <v>-</v>
      </c>
      <c r="D1552" s="234"/>
      <c r="E1552" s="237" t="str">
        <f>IFERROR(__xludf.DUMMYFUNCTION("""COMPUTED_VALUE"""),"LT0PBT01SFKD3")</f>
        <v>LT0PBT01SFKD3</v>
      </c>
      <c r="F1552" s="238" t="str">
        <f>IFERROR(__xludf.DUMMYFUNCTION("""COMPUTED_VALUE"""),"-")</f>
        <v>-</v>
      </c>
      <c r="G1552" s="238" t="str">
        <f>IFERROR(__xludf.DUMMYFUNCTION("""COMPUTED_VALUE"""),"-")</f>
        <v>-</v>
      </c>
      <c r="H1552" s="238" t="str">
        <f>IFERROR(__xludf.DUMMYFUNCTION("""COMPUTED_VALUE"""),"-")</f>
        <v>-</v>
      </c>
      <c r="I1552" s="237" t="str">
        <f t="shared" si="1"/>
        <v>Dentro</v>
      </c>
      <c r="J1552" s="239" t="e">
        <v>#VALUE!</v>
      </c>
    </row>
    <row r="1553">
      <c r="A1553" s="234" t="s">
        <v>3247</v>
      </c>
      <c r="B1553" s="234" t="str">
        <f>IFERROR(__xludf.DUMMYFUNCTION("""COMPUTED_VALUE"""),"Fanout Desconhecido")</f>
        <v>Fanout Desconhecido</v>
      </c>
      <c r="C1553" s="234" t="str">
        <f>IFERROR(__xludf.DUMMYFUNCTION("""COMPUTED_VALUE"""),"-")</f>
        <v>-</v>
      </c>
      <c r="D1553" s="234">
        <f>IFERROR(__xludf.DUMMYFUNCTION("""COMPUTED_VALUE"""),94.0)</f>
        <v>94</v>
      </c>
      <c r="E1553" s="237" t="str">
        <f>IFERROR(__xludf.DUMMYFUNCTION("""COMPUTED_VALUE"""),"LT0PBT01SFLP2")</f>
        <v>LT0PBT01SFLP2</v>
      </c>
      <c r="F1553" s="238" t="str">
        <f>IFERROR(__xludf.DUMMYFUNCTION("""COMPUTED_VALUE"""),"-")</f>
        <v>-</v>
      </c>
      <c r="G1553" s="238" t="str">
        <f>IFERROR(__xludf.DUMMYFUNCTION("""COMPUTED_VALUE"""),"-")</f>
        <v>-</v>
      </c>
      <c r="H1553" s="238" t="str">
        <f>IFERROR(__xludf.DUMMYFUNCTION("""COMPUTED_VALUE"""),"-")</f>
        <v>-</v>
      </c>
      <c r="I1553" s="237" t="str">
        <f t="shared" si="1"/>
        <v>Dentro</v>
      </c>
      <c r="J1553" s="239" t="e">
        <v>#VALUE!</v>
      </c>
    </row>
    <row r="1554">
      <c r="A1554" s="234" t="s">
        <v>3248</v>
      </c>
      <c r="B1554" s="234" t="str">
        <f>IFERROR(__xludf.DUMMYFUNCTION("""COMPUTED_VALUE"""),"Fanout Desconhecido")</f>
        <v>Fanout Desconhecido</v>
      </c>
      <c r="C1554" s="234" t="str">
        <f>IFERROR(__xludf.DUMMYFUNCTION("""COMPUTED_VALUE"""),"-")</f>
        <v>-</v>
      </c>
      <c r="D1554" s="234"/>
      <c r="E1554" s="237" t="str">
        <f>IFERROR(__xludf.DUMMYFUNCTION("""COMPUTED_VALUE"""),"LT0PBT01SHSD2")</f>
        <v>LT0PBT01SHSD2</v>
      </c>
      <c r="F1554" s="238" t="str">
        <f>IFERROR(__xludf.DUMMYFUNCTION("""COMPUTED_VALUE"""),"-")</f>
        <v>-</v>
      </c>
      <c r="G1554" s="238" t="str">
        <f>IFERROR(__xludf.DUMMYFUNCTION("""COMPUTED_VALUE"""),"-")</f>
        <v>-</v>
      </c>
      <c r="H1554" s="238" t="str">
        <f>IFERROR(__xludf.DUMMYFUNCTION("""COMPUTED_VALUE"""),"-")</f>
        <v>-</v>
      </c>
      <c r="I1554" s="237" t="str">
        <f t="shared" si="1"/>
        <v>Dentro</v>
      </c>
      <c r="J1554" s="239" t="e">
        <v>#VALUE!</v>
      </c>
    </row>
    <row r="1555">
      <c r="A1555" s="234" t="s">
        <v>3249</v>
      </c>
      <c r="B1555" s="234" t="str">
        <f>IFERROR(__xludf.DUMMYFUNCTION("""COMPUTED_VALUE"""),"Fanout Desconhecido")</f>
        <v>Fanout Desconhecido</v>
      </c>
      <c r="C1555" s="234" t="str">
        <f>IFERROR(__xludf.DUMMYFUNCTION("""COMPUTED_VALUE"""),"-")</f>
        <v>-</v>
      </c>
      <c r="D1555" s="234"/>
      <c r="E1555" s="237" t="str">
        <f>IFERROR(__xludf.DUMMYFUNCTION("""COMPUTED_VALUE"""),"LT0PBT01SHSF3")</f>
        <v>LT0PBT01SHSF3</v>
      </c>
      <c r="F1555" s="238" t="str">
        <f>IFERROR(__xludf.DUMMYFUNCTION("""COMPUTED_VALUE"""),"-")</f>
        <v>-</v>
      </c>
      <c r="G1555" s="238" t="str">
        <f>IFERROR(__xludf.DUMMYFUNCTION("""COMPUTED_VALUE"""),"-")</f>
        <v>-</v>
      </c>
      <c r="H1555" s="238" t="str">
        <f>IFERROR(__xludf.DUMMYFUNCTION("""COMPUTED_VALUE"""),"-")</f>
        <v>-</v>
      </c>
      <c r="I1555" s="237" t="str">
        <f t="shared" si="1"/>
        <v>Dentro</v>
      </c>
      <c r="J1555" s="239" t="e">
        <v>#VALUE!</v>
      </c>
    </row>
    <row r="1556">
      <c r="A1556" s="234" t="s">
        <v>3250</v>
      </c>
      <c r="B1556" s="234" t="str">
        <f>IFERROR(__xludf.DUMMYFUNCTION("""COMPUTED_VALUE"""),"Fanout Desconhecido")</f>
        <v>Fanout Desconhecido</v>
      </c>
      <c r="C1556" s="234" t="str">
        <f>IFERROR(__xludf.DUMMYFUNCTION("""COMPUTED_VALUE"""),"-")</f>
        <v>-</v>
      </c>
      <c r="D1556" s="234"/>
      <c r="E1556" s="237" t="str">
        <f>IFERROR(__xludf.DUMMYFUNCTION("""COMPUTED_VALUE"""),"LT0PBT01SHSH4")</f>
        <v>LT0PBT01SHSH4</v>
      </c>
      <c r="F1556" s="238" t="str">
        <f>IFERROR(__xludf.DUMMYFUNCTION("""COMPUTED_VALUE"""),"-")</f>
        <v>-</v>
      </c>
      <c r="G1556" s="238" t="str">
        <f>IFERROR(__xludf.DUMMYFUNCTION("""COMPUTED_VALUE"""),"-")</f>
        <v>-</v>
      </c>
      <c r="H1556" s="238" t="str">
        <f>IFERROR(__xludf.DUMMYFUNCTION("""COMPUTED_VALUE"""),"-")</f>
        <v>-</v>
      </c>
      <c r="I1556" s="237" t="str">
        <f t="shared" si="1"/>
        <v>Dentro</v>
      </c>
      <c r="J1556" s="239" t="e">
        <v>#VALUE!</v>
      </c>
    </row>
    <row r="1557">
      <c r="A1557" s="234" t="s">
        <v>3251</v>
      </c>
      <c r="B1557" s="234" t="str">
        <f>IFERROR(__xludf.DUMMYFUNCTION("""COMPUTED_VALUE"""),"Fanout Desconhecido")</f>
        <v>Fanout Desconhecido</v>
      </c>
      <c r="C1557" s="234" t="str">
        <f>IFERROR(__xludf.DUMMYFUNCTION("""COMPUTED_VALUE"""),"-")</f>
        <v>-</v>
      </c>
      <c r="D1557" s="234"/>
      <c r="E1557" s="237" t="str">
        <f>IFERROR(__xludf.DUMMYFUNCTION("""COMPUTED_VALUE"""),"LT0PBU01SFKT1")</f>
        <v>LT0PBU01SFKT1</v>
      </c>
      <c r="F1557" s="238" t="str">
        <f>IFERROR(__xludf.DUMMYFUNCTION("""COMPUTED_VALUE"""),"-")</f>
        <v>-</v>
      </c>
      <c r="G1557" s="238" t="str">
        <f>IFERROR(__xludf.DUMMYFUNCTION("""COMPUTED_VALUE"""),"-")</f>
        <v>-</v>
      </c>
      <c r="H1557" s="238" t="str">
        <f>IFERROR(__xludf.DUMMYFUNCTION("""COMPUTED_VALUE"""),"-")</f>
        <v>-</v>
      </c>
      <c r="I1557" s="237" t="str">
        <f t="shared" si="1"/>
        <v>Dentro</v>
      </c>
      <c r="J1557" s="239" t="e">
        <v>#VALUE!</v>
      </c>
    </row>
    <row r="1558">
      <c r="A1558" s="234" t="s">
        <v>3252</v>
      </c>
      <c r="B1558" s="234" t="str">
        <f>IFERROR(__xludf.DUMMYFUNCTION("""COMPUTED_VALUE"""),"Fanout Desconhecido")</f>
        <v>Fanout Desconhecido</v>
      </c>
      <c r="C1558" s="234" t="str">
        <f>IFERROR(__xludf.DUMMYFUNCTION("""COMPUTED_VALUE"""),"-")</f>
        <v>-</v>
      </c>
      <c r="D1558" s="234"/>
      <c r="E1558" s="237" t="str">
        <f>IFERROR(__xludf.DUMMYFUNCTION("""COMPUTED_VALUE"""),"LT0PBT01SFLR1")</f>
        <v>LT0PBT01SFLR1</v>
      </c>
      <c r="F1558" s="238" t="str">
        <f>IFERROR(__xludf.DUMMYFUNCTION("""COMPUTED_VALUE"""),"-")</f>
        <v>-</v>
      </c>
      <c r="G1558" s="238" t="str">
        <f>IFERROR(__xludf.DUMMYFUNCTION("""COMPUTED_VALUE"""),"-")</f>
        <v>-</v>
      </c>
      <c r="H1558" s="238" t="str">
        <f>IFERROR(__xludf.DUMMYFUNCTION("""COMPUTED_VALUE"""),"-")</f>
        <v>-</v>
      </c>
      <c r="I1558" s="237" t="str">
        <f t="shared" si="1"/>
        <v>Dentro</v>
      </c>
      <c r="J1558" s="239" t="e">
        <v>#VALUE!</v>
      </c>
    </row>
    <row r="1559">
      <c r="A1559" s="234" t="s">
        <v>3253</v>
      </c>
      <c r="B1559" s="234" t="str">
        <f>IFERROR(__xludf.DUMMYFUNCTION("""COMPUTED_VALUE"""),"Fanout Desconhecido")</f>
        <v>Fanout Desconhecido</v>
      </c>
      <c r="C1559" s="234" t="str">
        <f>IFERROR(__xludf.DUMMYFUNCTION("""COMPUTED_VALUE"""),"-")</f>
        <v>-</v>
      </c>
      <c r="D1559" s="234"/>
      <c r="E1559" s="237" t="str">
        <f>IFERROR(__xludf.DUMMYFUNCTION("""COMPUTED_VALUE"""),"LT0PBT01SHSS1")</f>
        <v>LT0PBT01SHSS1</v>
      </c>
      <c r="F1559" s="238" t="str">
        <f>IFERROR(__xludf.DUMMYFUNCTION("""COMPUTED_VALUE"""),"-")</f>
        <v>-</v>
      </c>
      <c r="G1559" s="238" t="str">
        <f>IFERROR(__xludf.DUMMYFUNCTION("""COMPUTED_VALUE"""),"-")</f>
        <v>-</v>
      </c>
      <c r="H1559" s="238" t="str">
        <f>IFERROR(__xludf.DUMMYFUNCTION("""COMPUTED_VALUE"""),"-")</f>
        <v>-</v>
      </c>
      <c r="I1559" s="237" t="str">
        <f t="shared" si="1"/>
        <v>Dentro</v>
      </c>
      <c r="J1559" s="239">
        <v>120.00000001396984</v>
      </c>
    </row>
    <row r="1560">
      <c r="A1560" s="234" t="s">
        <v>3254</v>
      </c>
      <c r="B1560" s="234" t="str">
        <f>IFERROR(__xludf.DUMMYFUNCTION("""COMPUTED_VALUE"""),"SoC_MG_Betim")</f>
        <v>SoC_MG_Betim</v>
      </c>
      <c r="C1560" s="234" t="str">
        <f>IFERROR(__xludf.DUMMYFUNCTION("""COMPUTED_VALUE"""),"SOC-MG2")</f>
        <v>SOC-MG2</v>
      </c>
      <c r="D1560" s="234">
        <f>IFERROR(__xludf.DUMMYFUNCTION("""COMPUTED_VALUE"""),91.0)</f>
        <v>91</v>
      </c>
      <c r="E1560" s="237" t="str">
        <f>IFERROR(__xludf.DUMMYFUNCTION("""COMPUTED_VALUE"""),"LT1PC101TFQ41")</f>
        <v>LT1PC101TFQ41</v>
      </c>
      <c r="F1560" s="238" t="str">
        <f>IFERROR(__xludf.DUMMYFUNCTION("""COMPUTED_VALUE"""),"PQW3D62,UFF5C89")</f>
        <v>PQW3D62,UFF5C89</v>
      </c>
      <c r="G1560" s="238">
        <f>IFERROR(__xludf.DUMMYFUNCTION("""COMPUTED_VALUE"""),45992.83333333333)</f>
        <v>45992.83333</v>
      </c>
      <c r="H1560" s="238">
        <f>IFERROR(__xludf.DUMMYFUNCTION("""COMPUTED_VALUE"""),45992.91666666667)</f>
        <v>45992.91667</v>
      </c>
      <c r="I1560" s="237" t="str">
        <f t="shared" si="1"/>
        <v>Fora</v>
      </c>
      <c r="J1560" s="239">
        <v>60.00000000698492</v>
      </c>
    </row>
    <row r="1561">
      <c r="A1561" s="234" t="s">
        <v>3255</v>
      </c>
      <c r="B1561" s="234" t="str">
        <f>IFERROR(__xludf.DUMMYFUNCTION("""COMPUTED_VALUE"""),"LM Hub_SP_Mogi das Cruzes_Jund")</f>
        <v>LM Hub_SP_Mogi das Cruzes_Jund</v>
      </c>
      <c r="C1561" s="234" t="str">
        <f>IFERROR(__xludf.DUMMYFUNCTION("""COMPUTED_VALUE"""),"HUB-LSP-78")</f>
        <v>HUB-LSP-78</v>
      </c>
      <c r="D1561" s="234"/>
      <c r="E1561" s="237" t="str">
        <f>IFERROR(__xludf.DUMMYFUNCTION("""COMPUTED_VALUE"""),"LT0PC101T3K31")</f>
        <v>LT0PC101T3K31</v>
      </c>
      <c r="F1561" s="238" t="str">
        <f>IFERROR(__xludf.DUMMYFUNCTION("""COMPUTED_VALUE"""),"DTC8058")</f>
        <v>DTC8058</v>
      </c>
      <c r="G1561" s="238">
        <f>IFERROR(__xludf.DUMMYFUNCTION("""COMPUTED_VALUE"""),45992.89583333333)</f>
        <v>45992.89583</v>
      </c>
      <c r="H1561" s="238">
        <f>IFERROR(__xludf.DUMMYFUNCTION("""COMPUTED_VALUE"""),45992.9375)</f>
        <v>45992.9375</v>
      </c>
      <c r="I1561" s="237" t="str">
        <f t="shared" si="1"/>
        <v>Fora</v>
      </c>
      <c r="J1561" s="239">
        <v>540.0</v>
      </c>
    </row>
    <row r="1562">
      <c r="A1562" s="234" t="s">
        <v>3256</v>
      </c>
      <c r="B1562" s="234" t="str">
        <f>IFERROR(__xludf.DUMMYFUNCTION("""COMPUTED_VALUE"""),"SoC_BA_Simoes Filho")</f>
        <v>SoC_BA_Simoes Filho</v>
      </c>
      <c r="C1562" s="234" t="str">
        <f>IFERROR(__xludf.DUMMYFUNCTION("""COMPUTED_VALUE"""),"SOC-BA2")</f>
        <v>SOC-BA2</v>
      </c>
      <c r="D1562" s="234">
        <f>IFERROR(__xludf.DUMMYFUNCTION("""COMPUTED_VALUE"""),88.0)</f>
        <v>88</v>
      </c>
      <c r="E1562" s="237" t="str">
        <f>IFERROR(__xludf.DUMMYFUNCTION("""COMPUTED_VALUE"""),"LT0PC101T6JJ1")</f>
        <v>LT0PC101T6JJ1</v>
      </c>
      <c r="F1562" s="238" t="str">
        <f>IFERROR(__xludf.DUMMYFUNCTION("""COMPUTED_VALUE"""),"FYQ3A83,TEJ7G43")</f>
        <v>FYQ3A83,TEJ7G43</v>
      </c>
      <c r="G1562" s="238">
        <f>IFERROR(__xludf.DUMMYFUNCTION("""COMPUTED_VALUE"""),45992.58333333333)</f>
        <v>45992.58333</v>
      </c>
      <c r="H1562" s="238">
        <f>IFERROR(__xludf.DUMMYFUNCTION("""COMPUTED_VALUE"""),45992.95833333333)</f>
        <v>45992.95833</v>
      </c>
      <c r="I1562" s="237" t="str">
        <f t="shared" si="1"/>
        <v>Fora</v>
      </c>
      <c r="J1562" s="239">
        <v>120.00000001396984</v>
      </c>
    </row>
    <row r="1563">
      <c r="A1563" s="234" t="s">
        <v>3257</v>
      </c>
      <c r="B1563" s="234" t="str">
        <f>IFERROR(__xludf.DUMMYFUNCTION("""COMPUTED_VALUE"""),"LM Hub_SP_Itaqua_Zimba")</f>
        <v>LM Hub_SP_Itaqua_Zimba</v>
      </c>
      <c r="C1563" s="234" t="str">
        <f>IFERROR(__xludf.DUMMYFUNCTION("""COMPUTED_VALUE"""),"HUB-LSP-74")</f>
        <v>HUB-LSP-74</v>
      </c>
      <c r="D1563" s="234">
        <f>IFERROR(__xludf.DUMMYFUNCTION("""COMPUTED_VALUE"""),32.0)</f>
        <v>32</v>
      </c>
      <c r="E1563" s="237" t="str">
        <f>IFERROR(__xludf.DUMMYFUNCTION("""COMPUTED_VALUE"""),"LT0PC101T0FE1")</f>
        <v>LT0PC101T0FE1</v>
      </c>
      <c r="F1563" s="238" t="str">
        <f>IFERROR(__xludf.DUMMYFUNCTION("""COMPUTED_VALUE"""),"SUQ5C99,TLD5B82")</f>
        <v>SUQ5C99,TLD5B82</v>
      </c>
      <c r="G1563" s="238">
        <f>IFERROR(__xludf.DUMMYFUNCTION("""COMPUTED_VALUE"""),45992.89583333333)</f>
        <v>45992.89583</v>
      </c>
      <c r="H1563" s="238">
        <f>IFERROR(__xludf.DUMMYFUNCTION("""COMPUTED_VALUE"""),45992.97916666667)</f>
        <v>45992.97917</v>
      </c>
      <c r="I1563" s="237" t="str">
        <f t="shared" si="1"/>
        <v>Fora</v>
      </c>
      <c r="J1563" s="239">
        <v>120.00000001396984</v>
      </c>
    </row>
    <row r="1564">
      <c r="A1564" s="234" t="s">
        <v>3258</v>
      </c>
      <c r="B1564" s="234" t="str">
        <f>IFERROR(__xludf.DUMMYFUNCTION("""COMPUTED_VALUE"""),"LM Hub_SP_Jurubatuba")</f>
        <v>LM Hub_SP_Jurubatuba</v>
      </c>
      <c r="C1564" s="234" t="str">
        <f>IFERROR(__xludf.DUMMYFUNCTION("""COMPUTED_VALUE"""),"HUB-LSP-16")</f>
        <v>HUB-LSP-16</v>
      </c>
      <c r="D1564" s="234"/>
      <c r="E1564" s="237" t="str">
        <f>IFERROR(__xludf.DUMMYFUNCTION("""COMPUTED_VALUE"""),"LT0PC101T0E91")</f>
        <v>LT0PC101T0E91</v>
      </c>
      <c r="F1564" s="238" t="str">
        <f>IFERROR(__xludf.DUMMYFUNCTION("""COMPUTED_VALUE"""),"-")</f>
        <v>-</v>
      </c>
      <c r="G1564" s="238">
        <f>IFERROR(__xludf.DUMMYFUNCTION("""COMPUTED_VALUE"""),45992.89583333333)</f>
        <v>45992.89583</v>
      </c>
      <c r="H1564" s="238">
        <f>IFERROR(__xludf.DUMMYFUNCTION("""COMPUTED_VALUE"""),45992.97916666667)</f>
        <v>45992.97917</v>
      </c>
      <c r="I1564" s="237" t="str">
        <f t="shared" si="1"/>
        <v>Fora</v>
      </c>
      <c r="J1564" s="239">
        <v>120.00000001396984</v>
      </c>
    </row>
    <row r="1565">
      <c r="A1565" s="234" t="s">
        <v>3259</v>
      </c>
      <c r="B1565" s="234" t="str">
        <f>IFERROR(__xludf.DUMMYFUNCTION("""COMPUTED_VALUE"""),"LM Hub_SP_Santos_Praia Grande")</f>
        <v>LM Hub_SP_Santos_Praia Grande</v>
      </c>
      <c r="C1565" s="234" t="str">
        <f>IFERROR(__xludf.DUMMYFUNCTION("""COMPUTED_VALUE"""),"HUB-LSP-09")</f>
        <v>HUB-LSP-09</v>
      </c>
      <c r="D1565" s="234">
        <f>IFERROR(__xludf.DUMMYFUNCTION("""COMPUTED_VALUE"""),27.0)</f>
        <v>27</v>
      </c>
      <c r="E1565" s="237" t="str">
        <f>IFERROR(__xludf.DUMMYFUNCTION("""COMPUTED_VALUE"""),"LT0PC101T0H51")</f>
        <v>LT0PC101T0H51</v>
      </c>
      <c r="F1565" s="238" t="str">
        <f>IFERROR(__xludf.DUMMYFUNCTION("""COMPUTED_VALUE"""),"BXD3J67,TKH2J26")</f>
        <v>BXD3J67,TKH2J26</v>
      </c>
      <c r="G1565" s="238">
        <f>IFERROR(__xludf.DUMMYFUNCTION("""COMPUTED_VALUE"""),45992.89583333333)</f>
        <v>45992.89583</v>
      </c>
      <c r="H1565" s="238">
        <f>IFERROR(__xludf.DUMMYFUNCTION("""COMPUTED_VALUE"""),45992.97916666667)</f>
        <v>45992.97917</v>
      </c>
      <c r="I1565" s="237" t="str">
        <f t="shared" si="1"/>
        <v>Fora</v>
      </c>
      <c r="J1565" s="239">
        <v>120.00000001396984</v>
      </c>
    </row>
    <row r="1566">
      <c r="A1566" s="234" t="s">
        <v>3260</v>
      </c>
      <c r="B1566" s="234" t="str">
        <f>IFERROR(__xludf.DUMMYFUNCTION("""COMPUTED_VALUE"""),"LM Hub_SP_São José dos Campos")</f>
        <v>LM Hub_SP_São José dos Campos</v>
      </c>
      <c r="C1566" s="234" t="str">
        <f>IFERROR(__xludf.DUMMYFUNCTION("""COMPUTED_VALUE"""),"HUB-LSP-04")</f>
        <v>HUB-LSP-04</v>
      </c>
      <c r="D1566" s="234">
        <f>IFERROR(__xludf.DUMMYFUNCTION("""COMPUTED_VALUE"""),26.0)</f>
        <v>26</v>
      </c>
      <c r="E1566" s="237" t="str">
        <f>IFERROR(__xludf.DUMMYFUNCTION("""COMPUTED_VALUE"""),"LT0PC101T0I71")</f>
        <v>LT0PC101T0I71</v>
      </c>
      <c r="F1566" s="238" t="str">
        <f>IFERROR(__xludf.DUMMYFUNCTION("""COMPUTED_VALUE"""),"FFW3D68")</f>
        <v>FFW3D68</v>
      </c>
      <c r="G1566" s="238">
        <f>IFERROR(__xludf.DUMMYFUNCTION("""COMPUTED_VALUE"""),45992.89583333333)</f>
        <v>45992.89583</v>
      </c>
      <c r="H1566" s="238">
        <f>IFERROR(__xludf.DUMMYFUNCTION("""COMPUTED_VALUE"""),45992.97916666667)</f>
        <v>45992.97917</v>
      </c>
      <c r="I1566" s="237" t="str">
        <f t="shared" si="1"/>
        <v>Fora</v>
      </c>
      <c r="J1566" s="239">
        <v>120.00000001396984</v>
      </c>
    </row>
    <row r="1567">
      <c r="A1567" s="234" t="s">
        <v>3261</v>
      </c>
      <c r="B1567" s="234" t="str">
        <f>IFERROR(__xludf.DUMMYFUNCTION("""COMPUTED_VALUE"""),"LM Hub_SP_São Paulo_Lapa")</f>
        <v>LM Hub_SP_São Paulo_Lapa</v>
      </c>
      <c r="C1567" s="234" t="str">
        <f>IFERROR(__xludf.DUMMYFUNCTION("""COMPUTED_VALUE"""),"HUB-LSP-15")</f>
        <v>HUB-LSP-15</v>
      </c>
      <c r="D1567" s="234">
        <f>IFERROR(__xludf.DUMMYFUNCTION("""COMPUTED_VALUE"""),46.0)</f>
        <v>46</v>
      </c>
      <c r="E1567" s="237" t="str">
        <f>IFERROR(__xludf.DUMMYFUNCTION("""COMPUTED_VALUE"""),"LT0PC101TA9C1")</f>
        <v>LT0PC101TA9C1</v>
      </c>
      <c r="F1567" s="238" t="str">
        <f>IFERROR(__xludf.DUMMYFUNCTION("""COMPUTED_VALUE"""),"ASN0C15,MBC2C84")</f>
        <v>ASN0C15,MBC2C84</v>
      </c>
      <c r="G1567" s="238">
        <f>IFERROR(__xludf.DUMMYFUNCTION("""COMPUTED_VALUE"""),45992.89583333333)</f>
        <v>45992.89583</v>
      </c>
      <c r="H1567" s="238">
        <f>IFERROR(__xludf.DUMMYFUNCTION("""COMPUTED_VALUE"""),45992.97916666667)</f>
        <v>45992.97917</v>
      </c>
      <c r="I1567" s="237" t="str">
        <f t="shared" si="1"/>
        <v>Fora</v>
      </c>
      <c r="J1567" s="239">
        <v>120.00000001396984</v>
      </c>
    </row>
    <row r="1568">
      <c r="A1568" s="234" t="s">
        <v>3262</v>
      </c>
      <c r="B1568" s="234" t="str">
        <f>IFERROR(__xludf.DUMMYFUNCTION("""COMPUTED_VALUE"""),"SoC_SP_Guarulhos")</f>
        <v>SoC_SP_Guarulhos</v>
      </c>
      <c r="C1568" s="234" t="str">
        <f>IFERROR(__xludf.DUMMYFUNCTION("""COMPUTED_VALUE"""),"SOC-SP6")</f>
        <v>SOC-SP6</v>
      </c>
      <c r="D1568" s="234">
        <f>IFERROR(__xludf.DUMMYFUNCTION("""COMPUTED_VALUE"""),38.0)</f>
        <v>38</v>
      </c>
      <c r="E1568" s="237" t="str">
        <f>IFERROR(__xludf.DUMMYFUNCTION("""COMPUTED_VALUE"""),"LT0PC101T1FY1")</f>
        <v>LT0PC101T1FY1</v>
      </c>
      <c r="F1568" s="238" t="str">
        <f>IFERROR(__xludf.DUMMYFUNCTION("""COMPUTED_VALUE"""),"EMU5F62,FGK3A38")</f>
        <v>EMU5F62,FGK3A38</v>
      </c>
      <c r="G1568" s="238">
        <f>IFERROR(__xludf.DUMMYFUNCTION("""COMPUTED_VALUE"""),45992.89583333333)</f>
        <v>45992.89583</v>
      </c>
      <c r="H1568" s="238">
        <f>IFERROR(__xludf.DUMMYFUNCTION("""COMPUTED_VALUE"""),45992.97916666667)</f>
        <v>45992.97917</v>
      </c>
      <c r="I1568" s="237" t="str">
        <f t="shared" si="1"/>
        <v>Fora</v>
      </c>
      <c r="J1568" s="239">
        <v>118.99999998975545</v>
      </c>
    </row>
    <row r="1569">
      <c r="A1569" s="234" t="s">
        <v>3263</v>
      </c>
      <c r="B1569" s="234" t="str">
        <f>IFERROR(__xludf.DUMMYFUNCTION("""COMPUTED_VALUE"""),"LM Hub_SP_Guarujá")</f>
        <v>LM Hub_SP_Guarujá</v>
      </c>
      <c r="C1569" s="234" t="str">
        <f>IFERROR(__xludf.DUMMYFUNCTION("""COMPUTED_VALUE"""),"HUB-LSP-06")</f>
        <v>HUB-LSP-06</v>
      </c>
      <c r="D1569" s="234">
        <f>IFERROR(__xludf.DUMMYFUNCTION("""COMPUTED_VALUE"""),5.0)</f>
        <v>5</v>
      </c>
      <c r="E1569" s="237" t="str">
        <f>IFERROR(__xludf.DUMMYFUNCTION("""COMPUTED_VALUE"""),"LT0PC101T0G91")</f>
        <v>LT0PC101T0G91</v>
      </c>
      <c r="F1569" s="238" t="str">
        <f>IFERROR(__xludf.DUMMYFUNCTION("""COMPUTED_VALUE"""),"GFQ6J64")</f>
        <v>GFQ6J64</v>
      </c>
      <c r="G1569" s="238">
        <f>IFERROR(__xludf.DUMMYFUNCTION("""COMPUTED_VALUE"""),45992.91666666667)</f>
        <v>45992.91667</v>
      </c>
      <c r="H1569" s="238">
        <f>IFERROR(__xludf.DUMMYFUNCTION("""COMPUTED_VALUE"""),45992.99930555555)</f>
        <v>45992.99931</v>
      </c>
      <c r="I1569" s="237" t="str">
        <f t="shared" si="1"/>
        <v>Fora</v>
      </c>
      <c r="J1569" s="239">
        <v>119.99999999301508</v>
      </c>
    </row>
    <row r="1570">
      <c r="A1570" s="234" t="s">
        <v>3264</v>
      </c>
      <c r="B1570" s="234" t="str">
        <f>IFERROR(__xludf.DUMMYFUNCTION("""COMPUTED_VALUE"""),"LM Hub_RS_Porto Alegre_Floresta")</f>
        <v>LM Hub_RS_Porto Alegre_Floresta</v>
      </c>
      <c r="C1570" s="234" t="str">
        <f>IFERROR(__xludf.DUMMYFUNCTION("""COMPUTED_VALUE"""),"HUB-LRS-03")</f>
        <v>HUB-LRS-03</v>
      </c>
      <c r="D1570" s="234">
        <f>IFERROR(__xludf.DUMMYFUNCTION("""COMPUTED_VALUE"""),24.0)</f>
        <v>24</v>
      </c>
      <c r="E1570" s="237" t="str">
        <f>IFERROR(__xludf.DUMMYFUNCTION("""COMPUTED_VALUE"""),"LT0PC101T7CZ1")</f>
        <v>LT0PC101T7CZ1</v>
      </c>
      <c r="F1570" s="238" t="str">
        <f>IFERROR(__xludf.DUMMYFUNCTION("""COMPUTED_VALUE"""),"CUZ0I03")</f>
        <v>CUZ0I03</v>
      </c>
      <c r="G1570" s="238">
        <f>IFERROR(__xludf.DUMMYFUNCTION("""COMPUTED_VALUE"""),45992.91666666667)</f>
        <v>45992.91667</v>
      </c>
      <c r="H1570" s="238">
        <f>IFERROR(__xludf.DUMMYFUNCTION("""COMPUTED_VALUE"""),45993.0)</f>
        <v>45993</v>
      </c>
      <c r="I1570" s="237" t="str">
        <f t="shared" si="1"/>
        <v>Fora</v>
      </c>
      <c r="J1570" s="239">
        <v>119.99999999301508</v>
      </c>
    </row>
    <row r="1571">
      <c r="A1571" s="234" t="s">
        <v>3265</v>
      </c>
      <c r="B1571" s="234" t="str">
        <f>IFERROR(__xludf.DUMMYFUNCTION("""COMPUTED_VALUE"""),"LM Hub_SP_Artur Alvim")</f>
        <v>LM Hub_SP_Artur Alvim</v>
      </c>
      <c r="C1571" s="234" t="str">
        <f>IFERROR(__xludf.DUMMYFUNCTION("""COMPUTED_VALUE"""),"HUB-LSP-07")</f>
        <v>HUB-LSP-07</v>
      </c>
      <c r="D1571" s="234">
        <f>IFERROR(__xludf.DUMMYFUNCTION("""COMPUTED_VALUE"""),18.0)</f>
        <v>18</v>
      </c>
      <c r="E1571" s="237" t="str">
        <f>IFERROR(__xludf.DUMMYFUNCTION("""COMPUTED_VALUE"""),"LT0PC101T0DO1")</f>
        <v>LT0PC101T0DO1</v>
      </c>
      <c r="F1571" s="238" t="str">
        <f>IFERROR(__xludf.DUMMYFUNCTION("""COMPUTED_VALUE"""),"QPV1A02,ELQ6F04")</f>
        <v>QPV1A02,ELQ6F04</v>
      </c>
      <c r="G1571" s="238">
        <f>IFERROR(__xludf.DUMMYFUNCTION("""COMPUTED_VALUE"""),45992.91666666667)</f>
        <v>45992.91667</v>
      </c>
      <c r="H1571" s="238">
        <f>IFERROR(__xludf.DUMMYFUNCTION("""COMPUTED_VALUE"""),45993.0)</f>
        <v>45993</v>
      </c>
      <c r="I1571" s="237" t="str">
        <f t="shared" si="1"/>
        <v>Fora</v>
      </c>
      <c r="J1571" s="239">
        <v>119.99999999301508</v>
      </c>
    </row>
    <row r="1572">
      <c r="A1572" s="234" t="s">
        <v>3266</v>
      </c>
      <c r="B1572" s="234" t="str">
        <f>IFERROR(__xludf.DUMMYFUNCTION("""COMPUTED_VALUE"""),"LM Hub_SP_Barueri_01")</f>
        <v>LM Hub_SP_Barueri_01</v>
      </c>
      <c r="C1572" s="234" t="str">
        <f>IFERROR(__xludf.DUMMYFUNCTION("""COMPUTED_VALUE"""),"HUB-LSP-81")</f>
        <v>HUB-LSP-81</v>
      </c>
      <c r="D1572" s="234">
        <f>IFERROR(__xludf.DUMMYFUNCTION("""COMPUTED_VALUE"""),16.0)</f>
        <v>16</v>
      </c>
      <c r="E1572" s="237" t="str">
        <f>IFERROR(__xludf.DUMMYFUNCTION("""COMPUTED_VALUE"""),"LT0PC101T6601")</f>
        <v>LT0PC101T6601</v>
      </c>
      <c r="F1572" s="238" t="str">
        <f>IFERROR(__xludf.DUMMYFUNCTION("""COMPUTED_VALUE"""),"GEV2J37")</f>
        <v>GEV2J37</v>
      </c>
      <c r="G1572" s="238">
        <f>IFERROR(__xludf.DUMMYFUNCTION("""COMPUTED_VALUE"""),45992.91666666667)</f>
        <v>45992.91667</v>
      </c>
      <c r="H1572" s="238">
        <f>IFERROR(__xludf.DUMMYFUNCTION("""COMPUTED_VALUE"""),45993.0)</f>
        <v>45993</v>
      </c>
      <c r="I1572" s="237" t="str">
        <f t="shared" si="1"/>
        <v>Fora</v>
      </c>
      <c r="J1572" s="239">
        <v>119.99999999301508</v>
      </c>
    </row>
    <row r="1573">
      <c r="A1573" s="234" t="s">
        <v>3267</v>
      </c>
      <c r="B1573" s="234" t="str">
        <f>IFERROR(__xludf.DUMMYFUNCTION("""COMPUTED_VALUE"""),"LM Hub_SP_Guarulhos")</f>
        <v>LM Hub_SP_Guarulhos</v>
      </c>
      <c r="C1573" s="234" t="str">
        <f>IFERROR(__xludf.DUMMYFUNCTION("""COMPUTED_VALUE"""),"HUB-LSP-77")</f>
        <v>HUB-LSP-77</v>
      </c>
      <c r="D1573" s="234">
        <f>IFERROR(__xludf.DUMMYFUNCTION("""COMPUTED_VALUE"""),25.0)</f>
        <v>25</v>
      </c>
      <c r="E1573" s="237" t="str">
        <f>IFERROR(__xludf.DUMMYFUNCTION("""COMPUTED_VALUE"""),"LT0PC101T15N1")</f>
        <v>LT0PC101T15N1</v>
      </c>
      <c r="F1573" s="238" t="str">
        <f>IFERROR(__xludf.DUMMYFUNCTION("""COMPUTED_VALUE"""),"FEB5I21,FRT9A70")</f>
        <v>FEB5I21,FRT9A70</v>
      </c>
      <c r="G1573" s="238">
        <f>IFERROR(__xludf.DUMMYFUNCTION("""COMPUTED_VALUE"""),45992.91666666667)</f>
        <v>45992.91667</v>
      </c>
      <c r="H1573" s="238">
        <f>IFERROR(__xludf.DUMMYFUNCTION("""COMPUTED_VALUE"""),45993.0)</f>
        <v>45993</v>
      </c>
      <c r="I1573" s="237" t="str">
        <f t="shared" si="1"/>
        <v>Fora</v>
      </c>
      <c r="J1573" s="239">
        <v>119.99999999301508</v>
      </c>
    </row>
    <row r="1574">
      <c r="A1574" s="234" t="s">
        <v>3268</v>
      </c>
      <c r="B1574" s="234" t="str">
        <f>IFERROR(__xludf.DUMMYFUNCTION("""COMPUTED_VALUE"""),"LM Hub_SP_Itapevi")</f>
        <v>LM Hub_SP_Itapevi</v>
      </c>
      <c r="C1574" s="234" t="str">
        <f>IFERROR(__xludf.DUMMYFUNCTION("""COMPUTED_VALUE"""),"HUB-LSP-41")</f>
        <v>HUB-LSP-41</v>
      </c>
      <c r="D1574" s="234">
        <f>IFERROR(__xludf.DUMMYFUNCTION("""COMPUTED_VALUE"""),9.0)</f>
        <v>9</v>
      </c>
      <c r="E1574" s="237" t="str">
        <f>IFERROR(__xludf.DUMMYFUNCTION("""COMPUTED_VALUE"""),"LT0PC101T0EW1")</f>
        <v>LT0PC101T0EW1</v>
      </c>
      <c r="F1574" s="238" t="str">
        <f>IFERROR(__xludf.DUMMYFUNCTION("""COMPUTED_VALUE"""),"DTB2F44,GRN0E44")</f>
        <v>DTB2F44,GRN0E44</v>
      </c>
      <c r="G1574" s="238">
        <f>IFERROR(__xludf.DUMMYFUNCTION("""COMPUTED_VALUE"""),45992.91666666667)</f>
        <v>45992.91667</v>
      </c>
      <c r="H1574" s="238">
        <f>IFERROR(__xludf.DUMMYFUNCTION("""COMPUTED_VALUE"""),45993.0)</f>
        <v>45993</v>
      </c>
      <c r="I1574" s="237" t="str">
        <f t="shared" si="1"/>
        <v>Fora</v>
      </c>
      <c r="J1574" s="239">
        <v>119.99999999301508</v>
      </c>
    </row>
    <row r="1575">
      <c r="A1575" s="234" t="s">
        <v>3269</v>
      </c>
      <c r="B1575" s="234" t="str">
        <f>IFERROR(__xludf.DUMMYFUNCTION("""COMPUTED_VALUE"""),"LM Hub_SP_Limeira_Campo Belo")</f>
        <v>LM Hub_SP_Limeira_Campo Belo</v>
      </c>
      <c r="C1575" s="234" t="str">
        <f>IFERROR(__xludf.DUMMYFUNCTION("""COMPUTED_VALUE"""),"HUB-LSP-24")</f>
        <v>HUB-LSP-24</v>
      </c>
      <c r="D1575" s="234">
        <f>IFERROR(__xludf.DUMMYFUNCTION("""COMPUTED_VALUE"""),41.0)</f>
        <v>41</v>
      </c>
      <c r="E1575" s="237" t="str">
        <f>IFERROR(__xludf.DUMMYFUNCTION("""COMPUTED_VALUE"""),"LT0PC101T0HS1")</f>
        <v>LT0PC101T0HS1</v>
      </c>
      <c r="F1575" s="238" t="str">
        <f>IFERROR(__xludf.DUMMYFUNCTION("""COMPUTED_VALUE"""),"SVM9H44,GDU4H95")</f>
        <v>SVM9H44,GDU4H95</v>
      </c>
      <c r="G1575" s="238">
        <f>IFERROR(__xludf.DUMMYFUNCTION("""COMPUTED_VALUE"""),45992.91666666667)</f>
        <v>45992.91667</v>
      </c>
      <c r="H1575" s="238">
        <f>IFERROR(__xludf.DUMMYFUNCTION("""COMPUTED_VALUE"""),45993.0)</f>
        <v>45993</v>
      </c>
      <c r="I1575" s="237" t="str">
        <f t="shared" si="1"/>
        <v>Fora</v>
      </c>
      <c r="J1575" s="239">
        <v>119.99999999301508</v>
      </c>
    </row>
    <row r="1576">
      <c r="A1576" s="234" t="s">
        <v>3270</v>
      </c>
      <c r="B1576" s="234" t="str">
        <f>IFERROR(__xludf.DUMMYFUNCTION("""COMPUTED_VALUE"""),"LM Hub_SP_Mauá")</f>
        <v>LM Hub_SP_Mauá</v>
      </c>
      <c r="C1576" s="234" t="str">
        <f>IFERROR(__xludf.DUMMYFUNCTION("""COMPUTED_VALUE"""),"HUB-LSP-64")</f>
        <v>HUB-LSP-64</v>
      </c>
      <c r="D1576" s="234">
        <f>IFERROR(__xludf.DUMMYFUNCTION("""COMPUTED_VALUE"""),8.0)</f>
        <v>8</v>
      </c>
      <c r="E1576" s="237" t="str">
        <f>IFERROR(__xludf.DUMMYFUNCTION("""COMPUTED_VALUE"""),"LT0PC101T0F51")</f>
        <v>LT0PC101T0F51</v>
      </c>
      <c r="F1576" s="238" t="str">
        <f>IFERROR(__xludf.DUMMYFUNCTION("""COMPUTED_VALUE"""),"FQF6B98,DTA7802")</f>
        <v>FQF6B98,DTA7802</v>
      </c>
      <c r="G1576" s="238">
        <f>IFERROR(__xludf.DUMMYFUNCTION("""COMPUTED_VALUE"""),45992.91666666667)</f>
        <v>45992.91667</v>
      </c>
      <c r="H1576" s="238">
        <f>IFERROR(__xludf.DUMMYFUNCTION("""COMPUTED_VALUE"""),45993.0)</f>
        <v>45993</v>
      </c>
      <c r="I1576" s="237" t="str">
        <f t="shared" si="1"/>
        <v>Fora</v>
      </c>
      <c r="J1576" s="239">
        <v>119.99999999301508</v>
      </c>
    </row>
    <row r="1577">
      <c r="A1577" s="234" t="s">
        <v>3271</v>
      </c>
      <c r="B1577" s="234" t="str">
        <f>IFERROR(__xludf.DUMMYFUNCTION("""COMPUTED_VALUE"""),"LM Hub_SP_Santo André")</f>
        <v>LM Hub_SP_Santo André</v>
      </c>
      <c r="C1577" s="234" t="str">
        <f>IFERROR(__xludf.DUMMYFUNCTION("""COMPUTED_VALUE"""),"HUB-LSP-93")</f>
        <v>HUB-LSP-93</v>
      </c>
      <c r="D1577" s="234">
        <f>IFERROR(__xludf.DUMMYFUNCTION("""COMPUTED_VALUE"""),23.0)</f>
        <v>23</v>
      </c>
      <c r="E1577" s="237" t="str">
        <f>IFERROR(__xludf.DUMMYFUNCTION("""COMPUTED_VALUE"""),"LT0PC101T3AH1")</f>
        <v>LT0PC101T3AH1</v>
      </c>
      <c r="F1577" s="238" t="str">
        <f>IFERROR(__xludf.DUMMYFUNCTION("""COMPUTED_VALUE"""),"ONN9D62")</f>
        <v>ONN9D62</v>
      </c>
      <c r="G1577" s="238">
        <f>IFERROR(__xludf.DUMMYFUNCTION("""COMPUTED_VALUE"""),45992.91666666667)</f>
        <v>45992.91667</v>
      </c>
      <c r="H1577" s="238">
        <f>IFERROR(__xludf.DUMMYFUNCTION("""COMPUTED_VALUE"""),45993.0)</f>
        <v>45993</v>
      </c>
      <c r="I1577" s="237" t="str">
        <f t="shared" si="1"/>
        <v>Fora</v>
      </c>
      <c r="J1577" s="239">
        <v>119.99999999301508</v>
      </c>
    </row>
    <row r="1578">
      <c r="A1578" s="234" t="s">
        <v>3272</v>
      </c>
      <c r="B1578" s="234" t="str">
        <f>IFERROR(__xludf.DUMMYFUNCTION("""COMPUTED_VALUE"""),"SoC_BA_Simoes Filho")</f>
        <v>SoC_BA_Simoes Filho</v>
      </c>
      <c r="C1578" s="234" t="str">
        <f>IFERROR(__xludf.DUMMYFUNCTION("""COMPUTED_VALUE"""),"SOC-BA2")</f>
        <v>SOC-BA2</v>
      </c>
      <c r="D1578" s="234">
        <f>IFERROR(__xludf.DUMMYFUNCTION("""COMPUTED_VALUE"""),89.0)</f>
        <v>89</v>
      </c>
      <c r="E1578" s="237" t="str">
        <f>IFERROR(__xludf.DUMMYFUNCTION("""COMPUTED_VALUE"""),"LT1PC101TFQC1")</f>
        <v>LT1PC101TFQC1</v>
      </c>
      <c r="F1578" s="238" t="str">
        <f>IFERROR(__xludf.DUMMYFUNCTION("""COMPUTED_VALUE"""),"FPQ8H50,FYU2I00")</f>
        <v>FPQ8H50,FYU2I00</v>
      </c>
      <c r="G1578" s="238">
        <f>IFERROR(__xludf.DUMMYFUNCTION("""COMPUTED_VALUE"""),45992.91666666667)</f>
        <v>45992.91667</v>
      </c>
      <c r="H1578" s="238">
        <f>IFERROR(__xludf.DUMMYFUNCTION("""COMPUTED_VALUE"""),45993.0)</f>
        <v>45993</v>
      </c>
      <c r="I1578" s="237" t="str">
        <f t="shared" si="1"/>
        <v>Fora</v>
      </c>
      <c r="J1578" s="239">
        <v>119.99999999301508</v>
      </c>
    </row>
    <row r="1579">
      <c r="A1579" s="234" t="s">
        <v>3273</v>
      </c>
      <c r="B1579" s="234" t="str">
        <f>IFERROR(__xludf.DUMMYFUNCTION("""COMPUTED_VALUE"""),"SoC_MG_Betim")</f>
        <v>SoC_MG_Betim</v>
      </c>
      <c r="C1579" s="234" t="str">
        <f>IFERROR(__xludf.DUMMYFUNCTION("""COMPUTED_VALUE"""),"SOC-MG2")</f>
        <v>SOC-MG2</v>
      </c>
      <c r="D1579" s="234">
        <f>IFERROR(__xludf.DUMMYFUNCTION("""COMPUTED_VALUE"""),100.0)</f>
        <v>100</v>
      </c>
      <c r="E1579" s="237" t="str">
        <f>IFERROR(__xludf.DUMMYFUNCTION("""COMPUTED_VALUE"""),"LT1PC101TFQ51")</f>
        <v>LT1PC101TFQ51</v>
      </c>
      <c r="F1579" s="238" t="str">
        <f>IFERROR(__xludf.DUMMYFUNCTION("""COMPUTED_VALUE"""),"FUR8D92,TAX1I65")</f>
        <v>FUR8D92,TAX1I65</v>
      </c>
      <c r="G1579" s="238">
        <f>IFERROR(__xludf.DUMMYFUNCTION("""COMPUTED_VALUE"""),45992.91666666667)</f>
        <v>45992.91667</v>
      </c>
      <c r="H1579" s="238">
        <f>IFERROR(__xludf.DUMMYFUNCTION("""COMPUTED_VALUE"""),45993.0)</f>
        <v>45993</v>
      </c>
      <c r="I1579" s="237" t="str">
        <f t="shared" si="1"/>
        <v>Fora</v>
      </c>
      <c r="J1579" s="239">
        <v>119.99999999301508</v>
      </c>
    </row>
    <row r="1580">
      <c r="A1580" s="234" t="s">
        <v>3274</v>
      </c>
      <c r="B1580" s="234" t="str">
        <f>IFERROR(__xludf.DUMMYFUNCTION("""COMPUTED_VALUE"""),"SoC_RS_Gravataí_02")</f>
        <v>SoC_RS_Gravataí_02</v>
      </c>
      <c r="C1580" s="234" t="str">
        <f>IFERROR(__xludf.DUMMYFUNCTION("""COMPUTED_VALUE"""),"SOC-RS2")</f>
        <v>SOC-RS2</v>
      </c>
      <c r="D1580" s="234">
        <f>IFERROR(__xludf.DUMMYFUNCTION("""COMPUTED_VALUE"""),29.0)</f>
        <v>29</v>
      </c>
      <c r="E1580" s="237" t="str">
        <f>IFERROR(__xludf.DUMMYFUNCTION("""COMPUTED_VALUE"""),"LT0PC101T6VP1")</f>
        <v>LT0PC101T6VP1</v>
      </c>
      <c r="F1580" s="238" t="str">
        <f>IFERROR(__xludf.DUMMYFUNCTION("""COMPUTED_VALUE"""),"IQS9A76,AYE4J00")</f>
        <v>IQS9A76,AYE4J00</v>
      </c>
      <c r="G1580" s="238">
        <f>IFERROR(__xludf.DUMMYFUNCTION("""COMPUTED_VALUE"""),45992.91666666667)</f>
        <v>45992.91667</v>
      </c>
      <c r="H1580" s="238">
        <f>IFERROR(__xludf.DUMMYFUNCTION("""COMPUTED_VALUE"""),45993.0)</f>
        <v>45993</v>
      </c>
      <c r="I1580" s="237" t="str">
        <f t="shared" si="1"/>
        <v>Fora</v>
      </c>
      <c r="J1580" s="239">
        <v>119.99999999301508</v>
      </c>
    </row>
    <row r="1581">
      <c r="A1581" s="234" t="s">
        <v>3275</v>
      </c>
      <c r="B1581" s="234" t="str">
        <f>IFERROR(__xludf.DUMMYFUNCTION("""COMPUTED_VALUE"""),"SoC_SP_Louveira")</f>
        <v>SoC_SP_Louveira</v>
      </c>
      <c r="C1581" s="234" t="str">
        <f>IFERROR(__xludf.DUMMYFUNCTION("""COMPUTED_VALUE"""),"SOC-SP7")</f>
        <v>SOC-SP7</v>
      </c>
      <c r="D1581" s="234"/>
      <c r="E1581" s="237" t="str">
        <f>IFERROR(__xludf.DUMMYFUNCTION("""COMPUTED_VALUE"""),"LT0PC101T0DG1")</f>
        <v>LT0PC101T0DG1</v>
      </c>
      <c r="F1581" s="238" t="str">
        <f>IFERROR(__xludf.DUMMYFUNCTION("""COMPUTED_VALUE"""),"STJ6A96")</f>
        <v>STJ6A96</v>
      </c>
      <c r="G1581" s="238">
        <f>IFERROR(__xludf.DUMMYFUNCTION("""COMPUTED_VALUE"""),45992.91666666667)</f>
        <v>45992.91667</v>
      </c>
      <c r="H1581" s="238">
        <f>IFERROR(__xludf.DUMMYFUNCTION("""COMPUTED_VALUE"""),45993.0)</f>
        <v>45993</v>
      </c>
      <c r="I1581" s="237" t="str">
        <f t="shared" si="1"/>
        <v>Fora</v>
      </c>
      <c r="J1581" s="239">
        <v>119.99999999301508</v>
      </c>
    </row>
    <row r="1582">
      <c r="A1582" s="234" t="s">
        <v>3276</v>
      </c>
      <c r="B1582" s="234" t="str">
        <f>IFERROR(__xludf.DUMMYFUNCTION("""COMPUTED_VALUE"""),"SoC_SP_Santana")</f>
        <v>SoC_SP_Santana</v>
      </c>
      <c r="C1582" s="234" t="str">
        <f>IFERROR(__xludf.DUMMYFUNCTION("""COMPUTED_VALUE"""),"SOC-SP2")</f>
        <v>SOC-SP2</v>
      </c>
      <c r="D1582" s="234"/>
      <c r="E1582" s="237" t="str">
        <f>IFERROR(__xludf.DUMMYFUNCTION("""COMPUTED_VALUE"""),"LT0PC101TAE01")</f>
        <v>LT0PC101TAE01</v>
      </c>
      <c r="F1582" s="238" t="str">
        <f>IFERROR(__xludf.DUMMYFUNCTION("""COMPUTED_VALUE"""),"EFU9C99")</f>
        <v>EFU9C99</v>
      </c>
      <c r="G1582" s="238">
        <f>IFERROR(__xludf.DUMMYFUNCTION("""COMPUTED_VALUE"""),45992.91666666667)</f>
        <v>45992.91667</v>
      </c>
      <c r="H1582" s="238">
        <f>IFERROR(__xludf.DUMMYFUNCTION("""COMPUTED_VALUE"""),45993.0)</f>
        <v>45993</v>
      </c>
      <c r="I1582" s="237" t="str">
        <f t="shared" si="1"/>
        <v>Fora</v>
      </c>
      <c r="J1582" s="239">
        <v>119.00000000023283</v>
      </c>
    </row>
    <row r="1583">
      <c r="A1583" s="234" t="s">
        <v>3277</v>
      </c>
      <c r="B1583" s="234" t="str">
        <f>IFERROR(__xludf.DUMMYFUNCTION("""COMPUTED_VALUE"""),"LM Hub_SP_Santo André")</f>
        <v>LM Hub_SP_Santo André</v>
      </c>
      <c r="C1583" s="234" t="str">
        <f>IFERROR(__xludf.DUMMYFUNCTION("""COMPUTED_VALUE"""),"HUB-LSP-93")</f>
        <v>HUB-LSP-93</v>
      </c>
      <c r="D1583" s="234">
        <f>IFERROR(__xludf.DUMMYFUNCTION("""COMPUTED_VALUE"""),22.0)</f>
        <v>22</v>
      </c>
      <c r="E1583" s="237" t="str">
        <f>IFERROR(__xludf.DUMMYFUNCTION("""COMPUTED_VALUE"""),"LT0PC101TATK1")</f>
        <v>LT0PC101TATK1</v>
      </c>
      <c r="F1583" s="238" t="str">
        <f>IFERROR(__xludf.DUMMYFUNCTION("""COMPUTED_VALUE"""),"FNK8E47,FAM1829")</f>
        <v>FNK8E47,FAM1829</v>
      </c>
      <c r="G1583" s="238">
        <f>IFERROR(__xludf.DUMMYFUNCTION("""COMPUTED_VALUE"""),45992.91736111111)</f>
        <v>45992.91736</v>
      </c>
      <c r="H1583" s="238">
        <f>IFERROR(__xludf.DUMMYFUNCTION("""COMPUTED_VALUE"""),45993.0)</f>
        <v>45993</v>
      </c>
      <c r="I1583" s="237" t="str">
        <f t="shared" si="1"/>
        <v>Fora</v>
      </c>
      <c r="J1583" s="239">
        <v>119.99999999301508</v>
      </c>
    </row>
    <row r="1584">
      <c r="A1584" s="234" t="s">
        <v>3278</v>
      </c>
      <c r="B1584" s="234" t="str">
        <f>IFERROR(__xludf.DUMMYFUNCTION("""COMPUTED_VALUE"""),"LM Hub_SP_Jardim Adriana")</f>
        <v>LM Hub_SP_Jardim Adriana</v>
      </c>
      <c r="C1584" s="234" t="str">
        <f>IFERROR(__xludf.DUMMYFUNCTION("""COMPUTED_VALUE"""),"HUB-LSP-12")</f>
        <v>HUB-LSP-12</v>
      </c>
      <c r="D1584" s="234">
        <f>IFERROR(__xludf.DUMMYFUNCTION("""COMPUTED_VALUE"""),6.0)</f>
        <v>6</v>
      </c>
      <c r="E1584" s="237" t="str">
        <f>IFERROR(__xludf.DUMMYFUNCTION("""COMPUTED_VALUE"""),"LT0PC101T0DV1")</f>
        <v>LT0PC101T0DV1</v>
      </c>
      <c r="F1584" s="238" t="str">
        <f>IFERROR(__xludf.DUMMYFUNCTION("""COMPUTED_VALUE"""),"FNW2D28")</f>
        <v>FNW2D28</v>
      </c>
      <c r="G1584" s="238">
        <f>IFERROR(__xludf.DUMMYFUNCTION("""COMPUTED_VALUE"""),45992.9375)</f>
        <v>45992.9375</v>
      </c>
      <c r="H1584" s="238">
        <f>IFERROR(__xludf.DUMMYFUNCTION("""COMPUTED_VALUE"""),45993.02083333333)</f>
        <v>45993.02083</v>
      </c>
      <c r="I1584" s="237" t="str">
        <f t="shared" si="1"/>
        <v>Fora</v>
      </c>
      <c r="J1584" s="239">
        <v>119.99999999301508</v>
      </c>
    </row>
    <row r="1585">
      <c r="A1585" s="234" t="s">
        <v>3279</v>
      </c>
      <c r="B1585" s="234" t="str">
        <f>IFERROR(__xludf.DUMMYFUNCTION("""COMPUTED_VALUE"""),"LM Hub_SP_Parque Novo Mundo")</f>
        <v>LM Hub_SP_Parque Novo Mundo</v>
      </c>
      <c r="C1585" s="234" t="str">
        <f>IFERROR(__xludf.DUMMYFUNCTION("""COMPUTED_VALUE"""),"HUB-LSP-89")</f>
        <v>HUB-LSP-89</v>
      </c>
      <c r="D1585" s="234">
        <f>IFERROR(__xludf.DUMMYFUNCTION("""COMPUTED_VALUE"""),33.0)</f>
        <v>33</v>
      </c>
      <c r="E1585" s="237" t="str">
        <f>IFERROR(__xludf.DUMMYFUNCTION("""COMPUTED_VALUE"""),"LT0PC101T1DX1")</f>
        <v>LT0PC101T1DX1</v>
      </c>
      <c r="F1585" s="238" t="str">
        <f>IFERROR(__xludf.DUMMYFUNCTION("""COMPUTED_VALUE"""),"GIQ1C13,AKZ0B43")</f>
        <v>GIQ1C13,AKZ0B43</v>
      </c>
      <c r="G1585" s="238">
        <f>IFERROR(__xludf.DUMMYFUNCTION("""COMPUTED_VALUE"""),45992.9375)</f>
        <v>45992.9375</v>
      </c>
      <c r="H1585" s="238">
        <f>IFERROR(__xludf.DUMMYFUNCTION("""COMPUTED_VALUE"""),45993.02083333333)</f>
        <v>45993.02083</v>
      </c>
      <c r="I1585" s="237" t="str">
        <f t="shared" si="1"/>
        <v>Fora</v>
      </c>
      <c r="J1585" s="239">
        <v>119.99999999301508</v>
      </c>
    </row>
    <row r="1586">
      <c r="A1586" s="234" t="s">
        <v>3280</v>
      </c>
      <c r="B1586" s="234" t="str">
        <f>IFERROR(__xludf.DUMMYFUNCTION("""COMPUTED_VALUE"""),"LM Hub_SP_Piracicaba")</f>
        <v>LM Hub_SP_Piracicaba</v>
      </c>
      <c r="C1586" s="234" t="str">
        <f>IFERROR(__xludf.DUMMYFUNCTION("""COMPUTED_VALUE"""),"HUB-LSP-62")</f>
        <v>HUB-LSP-62</v>
      </c>
      <c r="D1586" s="234">
        <f>IFERROR(__xludf.DUMMYFUNCTION("""COMPUTED_VALUE"""),35.0)</f>
        <v>35</v>
      </c>
      <c r="E1586" s="237" t="str">
        <f>IFERROR(__xludf.DUMMYFUNCTION("""COMPUTED_VALUE"""),"LT0PC101T15W1")</f>
        <v>LT0PC101T15W1</v>
      </c>
      <c r="F1586" s="238" t="str">
        <f>IFERROR(__xludf.DUMMYFUNCTION("""COMPUTED_VALUE"""),"EOF4D32")</f>
        <v>EOF4D32</v>
      </c>
      <c r="G1586" s="238">
        <f>IFERROR(__xludf.DUMMYFUNCTION("""COMPUTED_VALUE"""),45992.9375)</f>
        <v>45992.9375</v>
      </c>
      <c r="H1586" s="238">
        <f>IFERROR(__xludf.DUMMYFUNCTION("""COMPUTED_VALUE"""),45993.02083333333)</f>
        <v>45993.02083</v>
      </c>
      <c r="I1586" s="237" t="str">
        <f t="shared" si="1"/>
        <v>Fora</v>
      </c>
      <c r="J1586" s="239">
        <v>119.99999999301508</v>
      </c>
    </row>
    <row r="1587">
      <c r="A1587" s="234" t="s">
        <v>3281</v>
      </c>
      <c r="B1587" s="234" t="str">
        <f>IFERROR(__xludf.DUMMYFUNCTION("""COMPUTED_VALUE"""),"LM Hub_SP_VilaGuilherme")</f>
        <v>LM Hub_SP_VilaGuilherme</v>
      </c>
      <c r="C1587" s="234" t="str">
        <f>IFERROR(__xludf.DUMMYFUNCTION("""COMPUTED_VALUE"""),"HUB-LSP-68")</f>
        <v>HUB-LSP-68</v>
      </c>
      <c r="D1587" s="234">
        <f>IFERROR(__xludf.DUMMYFUNCTION("""COMPUTED_VALUE"""),19.0)</f>
        <v>19</v>
      </c>
      <c r="E1587" s="237" t="str">
        <f>IFERROR(__xludf.DUMMYFUNCTION("""COMPUTED_VALUE"""),"LT0PC101T0FC1")</f>
        <v>LT0PC101T0FC1</v>
      </c>
      <c r="F1587" s="238" t="str">
        <f>IFERROR(__xludf.DUMMYFUNCTION("""COMPUTED_VALUE"""),"GIJ6J75,FYD9B85")</f>
        <v>GIJ6J75,FYD9B85</v>
      </c>
      <c r="G1587" s="238">
        <f>IFERROR(__xludf.DUMMYFUNCTION("""COMPUTED_VALUE"""),45992.9375)</f>
        <v>45992.9375</v>
      </c>
      <c r="H1587" s="238">
        <f>IFERROR(__xludf.DUMMYFUNCTION("""COMPUTED_VALUE"""),45993.02083333333)</f>
        <v>45993.02083</v>
      </c>
      <c r="I1587" s="237" t="str">
        <f t="shared" si="1"/>
        <v>Fora</v>
      </c>
      <c r="J1587" s="239">
        <v>120.00000001396984</v>
      </c>
    </row>
    <row r="1588">
      <c r="A1588" s="234" t="s">
        <v>3282</v>
      </c>
      <c r="B1588" s="234" t="str">
        <f>IFERROR(__xludf.DUMMYFUNCTION("""COMPUTED_VALUE"""),"LM Hub_SP_Jundiaí")</f>
        <v>LM Hub_SP_Jundiaí</v>
      </c>
      <c r="C1588" s="234" t="str">
        <f>IFERROR(__xludf.DUMMYFUNCTION("""COMPUTED_VALUE"""),"HUB-LSP-100")</f>
        <v>HUB-LSP-100</v>
      </c>
      <c r="D1588" s="234">
        <f>IFERROR(__xludf.DUMMYFUNCTION("""COMPUTED_VALUE"""),14.0)</f>
        <v>14</v>
      </c>
      <c r="E1588" s="237" t="str">
        <f>IFERROR(__xludf.DUMMYFUNCTION("""COMPUTED_VALUE"""),"LT0PC101T7P11")</f>
        <v>LT0PC101T7P11</v>
      </c>
      <c r="F1588" s="238" t="str">
        <f>IFERROR(__xludf.DUMMYFUNCTION("""COMPUTED_VALUE"""),"QTV2I26,TJY6E29")</f>
        <v>QTV2I26,TJY6E29</v>
      </c>
      <c r="G1588" s="238">
        <f>IFERROR(__xludf.DUMMYFUNCTION("""COMPUTED_VALUE"""),45992.95833333333)</f>
        <v>45992.95833</v>
      </c>
      <c r="H1588" s="238">
        <f>IFERROR(__xludf.DUMMYFUNCTION("""COMPUTED_VALUE"""),45993.04166666667)</f>
        <v>45993.04167</v>
      </c>
      <c r="I1588" s="237" t="str">
        <f t="shared" si="1"/>
        <v>Fora</v>
      </c>
      <c r="J1588" s="239">
        <v>120.00000001396984</v>
      </c>
    </row>
    <row r="1589">
      <c r="A1589" s="234" t="s">
        <v>3283</v>
      </c>
      <c r="B1589" s="234" t="str">
        <f>IFERROR(__xludf.DUMMYFUNCTION("""COMPUTED_VALUE"""),"LM Hub_SP_Mogi Mirim")</f>
        <v>LM Hub_SP_Mogi Mirim</v>
      </c>
      <c r="C1589" s="234" t="str">
        <f>IFERROR(__xludf.DUMMYFUNCTION("""COMPUTED_VALUE"""),"HUB-LSP-37")</f>
        <v>HUB-LSP-37</v>
      </c>
      <c r="D1589" s="234">
        <f>IFERROR(__xludf.DUMMYFUNCTION("""COMPUTED_VALUE"""),43.0)</f>
        <v>43</v>
      </c>
      <c r="E1589" s="237" t="str">
        <f>IFERROR(__xludf.DUMMYFUNCTION("""COMPUTED_VALUE"""),"LT0PC101T0IQ1")</f>
        <v>LT0PC101T0IQ1</v>
      </c>
      <c r="F1589" s="238" t="str">
        <f>IFERROR(__xludf.DUMMYFUNCTION("""COMPUTED_VALUE"""),"SWJ6C56,RXK6D30")</f>
        <v>SWJ6C56,RXK6D30</v>
      </c>
      <c r="G1589" s="238">
        <f>IFERROR(__xludf.DUMMYFUNCTION("""COMPUTED_VALUE"""),45992.95833333333)</f>
        <v>45992.95833</v>
      </c>
      <c r="H1589" s="238">
        <f>IFERROR(__xludf.DUMMYFUNCTION("""COMPUTED_VALUE"""),45993.04166666667)</f>
        <v>45993.04167</v>
      </c>
      <c r="I1589" s="237" t="str">
        <f t="shared" si="1"/>
        <v>Fora</v>
      </c>
      <c r="J1589" s="239">
        <v>119.99999999301508</v>
      </c>
    </row>
    <row r="1590">
      <c r="A1590" s="234" t="s">
        <v>3284</v>
      </c>
      <c r="B1590" s="234" t="str">
        <f>IFERROR(__xludf.DUMMYFUNCTION("""COMPUTED_VALUE"""),"LM Hub_SP_Araraquara")</f>
        <v>LM Hub_SP_Araraquara</v>
      </c>
      <c r="C1590" s="234" t="str">
        <f>IFERROR(__xludf.DUMMYFUNCTION("""COMPUTED_VALUE"""),"HUB-LSP-29")</f>
        <v>HUB-LSP-29</v>
      </c>
      <c r="D1590" s="234">
        <f>IFERROR(__xludf.DUMMYFUNCTION("""COMPUTED_VALUE"""),42.0)</f>
        <v>42</v>
      </c>
      <c r="E1590" s="237" t="str">
        <f>IFERROR(__xludf.DUMMYFUNCTION("""COMPUTED_VALUE"""),"LT0PC101T0IV1")</f>
        <v>LT0PC101T0IV1</v>
      </c>
      <c r="F1590" s="238" t="str">
        <f>IFERROR(__xludf.DUMMYFUNCTION("""COMPUTED_VALUE"""),"EWJ2H21")</f>
        <v>EWJ2H21</v>
      </c>
      <c r="G1590" s="238">
        <f>IFERROR(__xludf.DUMMYFUNCTION("""COMPUTED_VALUE"""),45992.97916666667)</f>
        <v>45992.97917</v>
      </c>
      <c r="H1590" s="238">
        <f>IFERROR(__xludf.DUMMYFUNCTION("""COMPUTED_VALUE"""),45993.0625)</f>
        <v>45993.0625</v>
      </c>
      <c r="I1590" s="237" t="str">
        <f t="shared" si="1"/>
        <v>Fora</v>
      </c>
      <c r="J1590" s="239">
        <v>119.99999999301508</v>
      </c>
    </row>
    <row r="1591">
      <c r="A1591" s="234" t="s">
        <v>3285</v>
      </c>
      <c r="B1591" s="234" t="str">
        <f>IFERROR(__xludf.DUMMYFUNCTION("""COMPUTED_VALUE"""),"LM Hub_SP_Atibaia_Ponte_Alta")</f>
        <v>LM Hub_SP_Atibaia_Ponte_Alta</v>
      </c>
      <c r="C1591" s="234" t="str">
        <f>IFERROR(__xludf.DUMMYFUNCTION("""COMPUTED_VALUE"""),"HUB-LSP-87")</f>
        <v>HUB-LSP-87</v>
      </c>
      <c r="D1591" s="234">
        <f>IFERROR(__xludf.DUMMYFUNCTION("""COMPUTED_VALUE"""),12.0)</f>
        <v>12</v>
      </c>
      <c r="E1591" s="237" t="str">
        <f>IFERROR(__xludf.DUMMYFUNCTION("""COMPUTED_VALUE"""),"LT0PC101T4QH1")</f>
        <v>LT0PC101T4QH1</v>
      </c>
      <c r="F1591" s="238" t="str">
        <f>IFERROR(__xludf.DUMMYFUNCTION("""COMPUTED_VALUE"""),"EQT2I59,TPO4I05")</f>
        <v>EQT2I59,TPO4I05</v>
      </c>
      <c r="G1591" s="238">
        <f>IFERROR(__xludf.DUMMYFUNCTION("""COMPUTED_VALUE"""),45992.97916666667)</f>
        <v>45992.97917</v>
      </c>
      <c r="H1591" s="238">
        <f>IFERROR(__xludf.DUMMYFUNCTION("""COMPUTED_VALUE"""),45993.0625)</f>
        <v>45993.0625</v>
      </c>
      <c r="I1591" s="237" t="str">
        <f t="shared" si="1"/>
        <v>Fora</v>
      </c>
      <c r="J1591" s="239">
        <v>119.99999999301508</v>
      </c>
    </row>
    <row r="1592">
      <c r="A1592" s="234" t="s">
        <v>3286</v>
      </c>
      <c r="B1592" s="234" t="str">
        <f>IFERROR(__xludf.DUMMYFUNCTION("""COMPUTED_VALUE"""),"LM Hub_SP_Várzea Paulista")</f>
        <v>LM Hub_SP_Várzea Paulista</v>
      </c>
      <c r="C1592" s="234" t="str">
        <f>IFERROR(__xludf.DUMMYFUNCTION("""COMPUTED_VALUE"""),"HUB-LSP-61")</f>
        <v>HUB-LSP-61</v>
      </c>
      <c r="D1592" s="234">
        <f>IFERROR(__xludf.DUMMYFUNCTION("""COMPUTED_VALUE"""),48.0)</f>
        <v>48</v>
      </c>
      <c r="E1592" s="237" t="str">
        <f>IFERROR(__xludf.DUMMYFUNCTION("""COMPUTED_VALUE"""),"LT0PC101T0I21")</f>
        <v>LT0PC101T0I21</v>
      </c>
      <c r="F1592" s="238" t="str">
        <f>IFERROR(__xludf.DUMMYFUNCTION("""COMPUTED_VALUE"""),"RNE2H82,OVJ7491")</f>
        <v>RNE2H82,OVJ7491</v>
      </c>
      <c r="G1592" s="238">
        <f>IFERROR(__xludf.DUMMYFUNCTION("""COMPUTED_VALUE"""),45992.97916666667)</f>
        <v>45992.97917</v>
      </c>
      <c r="H1592" s="238">
        <f>IFERROR(__xludf.DUMMYFUNCTION("""COMPUTED_VALUE"""),45993.0625)</f>
        <v>45993.0625</v>
      </c>
      <c r="I1592" s="237" t="str">
        <f t="shared" si="1"/>
        <v>Fora</v>
      </c>
      <c r="J1592" s="239">
        <v>119.99999999301508</v>
      </c>
    </row>
    <row r="1593">
      <c r="A1593" s="234" t="s">
        <v>3287</v>
      </c>
      <c r="B1593" s="234" t="str">
        <f>IFERROR(__xludf.DUMMYFUNCTION("""COMPUTED_VALUE"""),"SoC_PE_Jaboatão dos Guararapes")</f>
        <v>SoC_PE_Jaboatão dos Guararapes</v>
      </c>
      <c r="C1593" s="234" t="str">
        <f>IFERROR(__xludf.DUMMYFUNCTION("""COMPUTED_VALUE"""),"SOC-PE2")</f>
        <v>SOC-PE2</v>
      </c>
      <c r="D1593" s="234">
        <f>IFERROR(__xludf.DUMMYFUNCTION("""COMPUTED_VALUE"""),21.0)</f>
        <v>21</v>
      </c>
      <c r="E1593" s="237" t="str">
        <f>IFERROR(__xludf.DUMMYFUNCTION("""COMPUTED_VALUE"""),"LT0PC201T6FF1")</f>
        <v>LT0PC201T6FF1</v>
      </c>
      <c r="F1593" s="238" t="str">
        <f>IFERROR(__xludf.DUMMYFUNCTION("""COMPUTED_VALUE"""),"QWU2317,HMN2A39")</f>
        <v>QWU2317,HMN2A39</v>
      </c>
      <c r="G1593" s="238">
        <f>IFERROR(__xludf.DUMMYFUNCTION("""COMPUTED_VALUE"""),45993.0)</f>
        <v>45993</v>
      </c>
      <c r="H1593" s="238">
        <f>IFERROR(__xludf.DUMMYFUNCTION("""COMPUTED_VALUE"""),45993.08333333333)</f>
        <v>45993.08333</v>
      </c>
      <c r="I1593" s="237" t="str">
        <f t="shared" si="1"/>
        <v>Fora</v>
      </c>
      <c r="J1593" s="239">
        <v>119.99999999301508</v>
      </c>
    </row>
    <row r="1594">
      <c r="A1594" s="234" t="s">
        <v>3288</v>
      </c>
      <c r="B1594" s="234" t="str">
        <f>IFERROR(__xludf.DUMMYFUNCTION("""COMPUTED_VALUE"""),"SoC_PR_Curitiba")</f>
        <v>SoC_PR_Curitiba</v>
      </c>
      <c r="C1594" s="234" t="str">
        <f>IFERROR(__xludf.DUMMYFUNCTION("""COMPUTED_VALUE"""),"SOC-PR1")</f>
        <v>SOC-PR1</v>
      </c>
      <c r="D1594" s="234"/>
      <c r="E1594" s="237" t="str">
        <f>IFERROR(__xludf.DUMMYFUNCTION("""COMPUTED_VALUE"""),"LT0PC201T0BQ1")</f>
        <v>LT0PC201T0BQ1</v>
      </c>
      <c r="F1594" s="238" t="str">
        <f>IFERROR(__xludf.DUMMYFUNCTION("""COMPUTED_VALUE"""),"FQJ8B01,TLG8D55")</f>
        <v>FQJ8B01,TLG8D55</v>
      </c>
      <c r="G1594" s="238">
        <f>IFERROR(__xludf.DUMMYFUNCTION("""COMPUTED_VALUE"""),45993.0)</f>
        <v>45993</v>
      </c>
      <c r="H1594" s="238">
        <f>IFERROR(__xludf.DUMMYFUNCTION("""COMPUTED_VALUE"""),45993.08333333333)</f>
        <v>45993.08333</v>
      </c>
      <c r="I1594" s="237" t="str">
        <f t="shared" si="1"/>
        <v>Fora</v>
      </c>
      <c r="J1594" s="239">
        <v>119.99999999301508</v>
      </c>
    </row>
    <row r="1595">
      <c r="A1595" s="234" t="s">
        <v>3289</v>
      </c>
      <c r="B1595" s="234" t="str">
        <f>IFERROR(__xludf.DUMMYFUNCTION("""COMPUTED_VALUE"""),"SoC_PR_Curitiba")</f>
        <v>SoC_PR_Curitiba</v>
      </c>
      <c r="C1595" s="234" t="str">
        <f>IFERROR(__xludf.DUMMYFUNCTION("""COMPUTED_VALUE"""),"SOC-PR1")</f>
        <v>SOC-PR1</v>
      </c>
      <c r="D1595" s="234">
        <f>IFERROR(__xludf.DUMMYFUNCTION("""COMPUTED_VALUE"""),47.0)</f>
        <v>47</v>
      </c>
      <c r="E1595" s="237" t="str">
        <f>IFERROR(__xludf.DUMMYFUNCTION("""COMPUTED_VALUE"""),"LT1PC201TFQ81")</f>
        <v>LT1PC201TFQ81</v>
      </c>
      <c r="F1595" s="238" t="str">
        <f>IFERROR(__xludf.DUMMYFUNCTION("""COMPUTED_VALUE"""),"MLG9J90,UFZ1D02")</f>
        <v>MLG9J90,UFZ1D02</v>
      </c>
      <c r="G1595" s="238">
        <f>IFERROR(__xludf.DUMMYFUNCTION("""COMPUTED_VALUE"""),45993.0)</f>
        <v>45993</v>
      </c>
      <c r="H1595" s="238">
        <f>IFERROR(__xludf.DUMMYFUNCTION("""COMPUTED_VALUE"""),45993.08333333333)</f>
        <v>45993.08333</v>
      </c>
      <c r="I1595" s="237" t="str">
        <f t="shared" si="1"/>
        <v>Fora</v>
      </c>
      <c r="J1595" s="239">
        <v>119.99999999301508</v>
      </c>
    </row>
    <row r="1596">
      <c r="A1596" s="234" t="s">
        <v>3290</v>
      </c>
      <c r="B1596" s="234" t="str">
        <f>IFERROR(__xludf.DUMMYFUNCTION("""COMPUTED_VALUE"""),"SoC_RS_Gravataí_02")</f>
        <v>SoC_RS_Gravataí_02</v>
      </c>
      <c r="C1596" s="234" t="str">
        <f>IFERROR(__xludf.DUMMYFUNCTION("""COMPUTED_VALUE"""),"SOC-RS2")</f>
        <v>SOC-RS2</v>
      </c>
      <c r="D1596" s="234">
        <f>IFERROR(__xludf.DUMMYFUNCTION("""COMPUTED_VALUE"""),24.0)</f>
        <v>24</v>
      </c>
      <c r="E1596" s="237" t="str">
        <f>IFERROR(__xludf.DUMMYFUNCTION("""COMPUTED_VALUE"""),"LT0PC201T6V61")</f>
        <v>LT0PC201T6V61</v>
      </c>
      <c r="F1596" s="238" t="str">
        <f>IFERROR(__xludf.DUMMYFUNCTION("""COMPUTED_VALUE"""),"CUZ0I01,CUZ3A13")</f>
        <v>CUZ0I01,CUZ3A13</v>
      </c>
      <c r="G1596" s="238">
        <f>IFERROR(__xludf.DUMMYFUNCTION("""COMPUTED_VALUE"""),45993.0)</f>
        <v>45993</v>
      </c>
      <c r="H1596" s="238">
        <f>IFERROR(__xludf.DUMMYFUNCTION("""COMPUTED_VALUE"""),45993.08333333333)</f>
        <v>45993.08333</v>
      </c>
      <c r="I1596" s="237" t="str">
        <f t="shared" si="1"/>
        <v>Fora</v>
      </c>
      <c r="J1596" s="239">
        <v>119.99999999301508</v>
      </c>
    </row>
    <row r="1597">
      <c r="A1597" s="234" t="s">
        <v>3291</v>
      </c>
      <c r="B1597" s="234" t="str">
        <f>IFERROR(__xludf.DUMMYFUNCTION("""COMPUTED_VALUE"""),"SoC_SC_Itajaí")</f>
        <v>SoC_SC_Itajaí</v>
      </c>
      <c r="C1597" s="234" t="str">
        <f>IFERROR(__xludf.DUMMYFUNCTION("""COMPUTED_VALUE"""),"SOC-SC1")</f>
        <v>SOC-SC1</v>
      </c>
      <c r="D1597" s="234">
        <f>IFERROR(__xludf.DUMMYFUNCTION("""COMPUTED_VALUE"""),22.0)</f>
        <v>22</v>
      </c>
      <c r="E1597" s="237" t="str">
        <f>IFERROR(__xludf.DUMMYFUNCTION("""COMPUTED_VALUE"""),"LT0PC201T5HY1")</f>
        <v>LT0PC201T5HY1</v>
      </c>
      <c r="F1597" s="238" t="str">
        <f>IFERROR(__xludf.DUMMYFUNCTION("""COMPUTED_VALUE"""),"RYN1D89,SXT9D73")</f>
        <v>RYN1D89,SXT9D73</v>
      </c>
      <c r="G1597" s="238">
        <f>IFERROR(__xludf.DUMMYFUNCTION("""COMPUTED_VALUE"""),45993.0)</f>
        <v>45993</v>
      </c>
      <c r="H1597" s="238">
        <f>IFERROR(__xludf.DUMMYFUNCTION("""COMPUTED_VALUE"""),45993.08333333333)</f>
        <v>45993.08333</v>
      </c>
      <c r="I1597" s="237" t="str">
        <f t="shared" si="1"/>
        <v>Fora</v>
      </c>
      <c r="J1597" s="239">
        <v>120.00000001396984</v>
      </c>
    </row>
    <row r="1598">
      <c r="A1598" s="234" t="s">
        <v>3292</v>
      </c>
      <c r="B1598" s="234" t="str">
        <f>IFERROR(__xludf.DUMMYFUNCTION("""COMPUTED_VALUE"""),"LM Hub_MG_Varginha_Fausto")</f>
        <v>LM Hub_MG_Varginha_Fausto</v>
      </c>
      <c r="C1598" s="234" t="str">
        <f>IFERROR(__xludf.DUMMYFUNCTION("""COMPUTED_VALUE"""),"HUB-LMG-45")</f>
        <v>HUB-LMG-45</v>
      </c>
      <c r="D1598" s="234">
        <f>IFERROR(__xludf.DUMMYFUNCTION("""COMPUTED_VALUE"""),15.0)</f>
        <v>15</v>
      </c>
      <c r="E1598" s="237" t="str">
        <f>IFERROR(__xludf.DUMMYFUNCTION("""COMPUTED_VALUE"""),"LT0PC201T65L1")</f>
        <v>LT0PC201T65L1</v>
      </c>
      <c r="F1598" s="238" t="str">
        <f>IFERROR(__xludf.DUMMYFUNCTION("""COMPUTED_VALUE"""),"ERA8F85")</f>
        <v>ERA8F85</v>
      </c>
      <c r="G1598" s="238">
        <f>IFERROR(__xludf.DUMMYFUNCTION("""COMPUTED_VALUE"""),45993.02083333333)</f>
        <v>45993.02083</v>
      </c>
      <c r="H1598" s="238">
        <f>IFERROR(__xludf.DUMMYFUNCTION("""COMPUTED_VALUE"""),45993.10416666667)</f>
        <v>45993.10417</v>
      </c>
      <c r="I1598" s="237" t="str">
        <f t="shared" si="1"/>
        <v>Fora</v>
      </c>
      <c r="J1598" s="239">
        <v>119.99999999301508</v>
      </c>
    </row>
    <row r="1599">
      <c r="A1599" s="234" t="s">
        <v>3293</v>
      </c>
      <c r="B1599" s="234" t="str">
        <f>IFERROR(__xludf.DUMMYFUNCTION("""COMPUTED_VALUE"""),"SoC_GO_Goiânia_02")</f>
        <v>SoC_GO_Goiânia_02</v>
      </c>
      <c r="C1599" s="234" t="str">
        <f>IFERROR(__xludf.DUMMYFUNCTION("""COMPUTED_VALUE"""),"SOC-GO2")</f>
        <v>SOC-GO2</v>
      </c>
      <c r="D1599" s="234">
        <f>IFERROR(__xludf.DUMMYFUNCTION("""COMPUTED_VALUE"""),16.0)</f>
        <v>16</v>
      </c>
      <c r="E1599" s="237" t="str">
        <f>IFERROR(__xludf.DUMMYFUNCTION("""COMPUTED_VALUE"""),"LT1PC201TFQT1")</f>
        <v>LT1PC201TFQT1</v>
      </c>
      <c r="F1599" s="238" t="str">
        <f>IFERROR(__xludf.DUMMYFUNCTION("""COMPUTED_VALUE"""),"FVS7J52,FJP9A87")</f>
        <v>FVS7J52,FJP9A87</v>
      </c>
      <c r="G1599" s="238">
        <f>IFERROR(__xludf.DUMMYFUNCTION("""COMPUTED_VALUE"""),45993.04166666667)</f>
        <v>45993.04167</v>
      </c>
      <c r="H1599" s="238">
        <f>IFERROR(__xludf.DUMMYFUNCTION("""COMPUTED_VALUE"""),45993.125)</f>
        <v>45993.125</v>
      </c>
      <c r="I1599" s="237" t="str">
        <f t="shared" si="1"/>
        <v>Fora</v>
      </c>
      <c r="J1599" s="239">
        <v>540.0</v>
      </c>
    </row>
    <row r="1600">
      <c r="A1600" s="234" t="s">
        <v>3294</v>
      </c>
      <c r="B1600" s="234" t="str">
        <f>IFERROR(__xludf.DUMMYFUNCTION("""COMPUTED_VALUE"""),"SoC_SP_Cravinhos")</f>
        <v>SoC_SP_Cravinhos</v>
      </c>
      <c r="C1600" s="234" t="str">
        <f>IFERROR(__xludf.DUMMYFUNCTION("""COMPUTED_VALUE"""),"SOC-SP5")</f>
        <v>SOC-SP5</v>
      </c>
      <c r="D1600" s="234">
        <f>IFERROR(__xludf.DUMMYFUNCTION("""COMPUTED_VALUE"""),94.0)</f>
        <v>94</v>
      </c>
      <c r="E1600" s="237" t="str">
        <f>IFERROR(__xludf.DUMMYFUNCTION("""COMPUTED_VALUE"""),"LT0PC101T0CE1")</f>
        <v>LT0PC101T0CE1</v>
      </c>
      <c r="F1600" s="238" t="str">
        <f>IFERROR(__xludf.DUMMYFUNCTION("""COMPUTED_VALUE"""),"USD4D73,QST0E50")</f>
        <v>USD4D73,QST0E50</v>
      </c>
      <c r="G1600" s="238">
        <f>IFERROR(__xludf.DUMMYFUNCTION("""COMPUTED_VALUE"""),45992.79166666667)</f>
        <v>45992.79167</v>
      </c>
      <c r="H1600" s="238">
        <f>IFERROR(__xludf.DUMMYFUNCTION("""COMPUTED_VALUE"""),45993.16666666667)</f>
        <v>45993.16667</v>
      </c>
      <c r="I1600" s="237" t="str">
        <f t="shared" si="1"/>
        <v>Fora</v>
      </c>
      <c r="J1600" s="239">
        <v>120.00000001396984</v>
      </c>
    </row>
    <row r="1601">
      <c r="A1601" s="234" t="s">
        <v>3295</v>
      </c>
      <c r="B1601" s="234" t="str">
        <f>IFERROR(__xludf.DUMMYFUNCTION("""COMPUTED_VALUE"""),"LM Hub_SP_Tatuí")</f>
        <v>LM Hub_SP_Tatuí</v>
      </c>
      <c r="C1601" s="234" t="str">
        <f>IFERROR(__xludf.DUMMYFUNCTION("""COMPUTED_VALUE"""),"HUB-LSP-51")</f>
        <v>HUB-LSP-51</v>
      </c>
      <c r="D1601" s="234">
        <f>IFERROR(__xludf.DUMMYFUNCTION("""COMPUTED_VALUE"""),8.0)</f>
        <v>8</v>
      </c>
      <c r="E1601" s="237" t="str">
        <f>IFERROR(__xludf.DUMMYFUNCTION("""COMPUTED_VALUE"""),"LT0PC201T0FO1")</f>
        <v>LT0PC201T0FO1</v>
      </c>
      <c r="F1601" s="238" t="str">
        <f>IFERROR(__xludf.DUMMYFUNCTION("""COMPUTED_VALUE"""),"SWR6H23,FTZ4B35")</f>
        <v>SWR6H23,FTZ4B35</v>
      </c>
      <c r="G1601" s="238">
        <f>IFERROR(__xludf.DUMMYFUNCTION("""COMPUTED_VALUE"""),45993.08333333333)</f>
        <v>45993.08333</v>
      </c>
      <c r="H1601" s="238">
        <f>IFERROR(__xludf.DUMMYFUNCTION("""COMPUTED_VALUE"""),45993.16666666667)</f>
        <v>45993.16667</v>
      </c>
      <c r="I1601" s="237" t="str">
        <f t="shared" si="1"/>
        <v>Fora</v>
      </c>
      <c r="J1601" s="239">
        <v>120.00000001396984</v>
      </c>
    </row>
    <row r="1602">
      <c r="A1602" s="234" t="s">
        <v>3296</v>
      </c>
      <c r="B1602" s="234" t="str">
        <f>IFERROR(__xludf.DUMMYFUNCTION("""COMPUTED_VALUE"""),"SoC_BA_Simoes Filho")</f>
        <v>SoC_BA_Simoes Filho</v>
      </c>
      <c r="C1602" s="234" t="str">
        <f>IFERROR(__xludf.DUMMYFUNCTION("""COMPUTED_VALUE"""),"SOC-BA2")</f>
        <v>SOC-BA2</v>
      </c>
      <c r="D1602" s="234"/>
      <c r="E1602" s="237" t="str">
        <f>IFERROR(__xludf.DUMMYFUNCTION("""COMPUTED_VALUE"""),"LT1PC201TFQP1")</f>
        <v>LT1PC201TFQP1</v>
      </c>
      <c r="F1602" s="238" t="str">
        <f>IFERROR(__xludf.DUMMYFUNCTION("""COMPUTED_VALUE"""),"FYC1J19,GFJ0C99")</f>
        <v>FYC1J19,GFJ0C99</v>
      </c>
      <c r="G1602" s="238">
        <f>IFERROR(__xludf.DUMMYFUNCTION("""COMPUTED_VALUE"""),45993.08333333333)</f>
        <v>45993.08333</v>
      </c>
      <c r="H1602" s="238">
        <f>IFERROR(__xludf.DUMMYFUNCTION("""COMPUTED_VALUE"""),45993.16666666667)</f>
        <v>45993.16667</v>
      </c>
      <c r="I1602" s="237" t="str">
        <f t="shared" si="1"/>
        <v>Fora</v>
      </c>
      <c r="J1602" s="239">
        <v>120.00000001396984</v>
      </c>
    </row>
    <row r="1603">
      <c r="A1603" s="234" t="s">
        <v>3297</v>
      </c>
      <c r="B1603" s="234" t="str">
        <f>IFERROR(__xludf.DUMMYFUNCTION("""COMPUTED_VALUE"""),"SoC_MG_Betim")</f>
        <v>SoC_MG_Betim</v>
      </c>
      <c r="C1603" s="234" t="str">
        <f>IFERROR(__xludf.DUMMYFUNCTION("""COMPUTED_VALUE"""),"SOC-MG2")</f>
        <v>SOC-MG2</v>
      </c>
      <c r="D1603" s="234"/>
      <c r="E1603" s="237" t="str">
        <f>IFERROR(__xludf.DUMMYFUNCTION("""COMPUTED_VALUE"""),"LT1PC201TFQ61")</f>
        <v>LT1PC201TFQ61</v>
      </c>
      <c r="F1603" s="238" t="str">
        <f>IFERROR(__xludf.DUMMYFUNCTION("""COMPUTED_VALUE"""),"SUQ0C67,RXM3H49")</f>
        <v>SUQ0C67,RXM3H49</v>
      </c>
      <c r="G1603" s="238">
        <f>IFERROR(__xludf.DUMMYFUNCTION("""COMPUTED_VALUE"""),45993.08333333333)</f>
        <v>45993.08333</v>
      </c>
      <c r="H1603" s="238">
        <f>IFERROR(__xludf.DUMMYFUNCTION("""COMPUTED_VALUE"""),45993.16666666667)</f>
        <v>45993.16667</v>
      </c>
      <c r="I1603" s="237" t="str">
        <f t="shared" si="1"/>
        <v>Fora</v>
      </c>
      <c r="J1603" s="239">
        <v>120.00000001396984</v>
      </c>
    </row>
    <row r="1604">
      <c r="A1604" s="234" t="s">
        <v>3298</v>
      </c>
      <c r="B1604" s="234" t="str">
        <f>IFERROR(__xludf.DUMMYFUNCTION("""COMPUTED_VALUE"""),"SoC_RJ_Duque de Caxias")</f>
        <v>SoC_RJ_Duque de Caxias</v>
      </c>
      <c r="C1604" s="234" t="str">
        <f>IFERROR(__xludf.DUMMYFUNCTION("""COMPUTED_VALUE"""),"SOC-RJ2")</f>
        <v>SOC-RJ2</v>
      </c>
      <c r="D1604" s="234">
        <f>IFERROR(__xludf.DUMMYFUNCTION("""COMPUTED_VALUE"""),48.0)</f>
        <v>48</v>
      </c>
      <c r="E1604" s="237" t="str">
        <f>IFERROR(__xludf.DUMMYFUNCTION("""COMPUTED_VALUE"""),"LT1PC201TFQ21")</f>
        <v>LT1PC201TFQ21</v>
      </c>
      <c r="F1604" s="238" t="str">
        <f>IFERROR(__xludf.DUMMYFUNCTION("""COMPUTED_VALUE"""),"CVN5H75,APK3F13")</f>
        <v>CVN5H75,APK3F13</v>
      </c>
      <c r="G1604" s="238">
        <f>IFERROR(__xludf.DUMMYFUNCTION("""COMPUTED_VALUE"""),45993.08333333333)</f>
        <v>45993.08333</v>
      </c>
      <c r="H1604" s="238">
        <f>IFERROR(__xludf.DUMMYFUNCTION("""COMPUTED_VALUE"""),45993.16666666667)</f>
        <v>45993.16667</v>
      </c>
      <c r="I1604" s="237" t="str">
        <f t="shared" si="1"/>
        <v>Fora</v>
      </c>
      <c r="J1604" s="239">
        <v>120.00000001396984</v>
      </c>
    </row>
    <row r="1605">
      <c r="A1605" s="234" t="s">
        <v>3299</v>
      </c>
      <c r="B1605" s="234" t="str">
        <f>IFERROR(__xludf.DUMMYFUNCTION("""COMPUTED_VALUE"""),"SoC_SC_Itajaí")</f>
        <v>SoC_SC_Itajaí</v>
      </c>
      <c r="C1605" s="234" t="str">
        <f>IFERROR(__xludf.DUMMYFUNCTION("""COMPUTED_VALUE"""),"SOC-SC1")</f>
        <v>SOC-SC1</v>
      </c>
      <c r="D1605" s="234">
        <f>IFERROR(__xludf.DUMMYFUNCTION("""COMPUTED_VALUE"""),23.0)</f>
        <v>23</v>
      </c>
      <c r="E1605" s="237" t="str">
        <f>IFERROR(__xludf.DUMMYFUNCTION("""COMPUTED_VALUE"""),"LT1PC201TFQR1")</f>
        <v>LT1PC201TFQR1</v>
      </c>
      <c r="F1605" s="238" t="str">
        <f>IFERROR(__xludf.DUMMYFUNCTION("""COMPUTED_VALUE"""),"TQB4G58,RXX2G85")</f>
        <v>TQB4G58,RXX2G85</v>
      </c>
      <c r="G1605" s="238">
        <f>IFERROR(__xludf.DUMMYFUNCTION("""COMPUTED_VALUE"""),45993.08333333333)</f>
        <v>45993.08333</v>
      </c>
      <c r="H1605" s="238">
        <f>IFERROR(__xludf.DUMMYFUNCTION("""COMPUTED_VALUE"""),45993.16666666667)</f>
        <v>45993.16667</v>
      </c>
      <c r="I1605" s="237" t="str">
        <f t="shared" si="1"/>
        <v>Fora</v>
      </c>
      <c r="J1605" s="239">
        <v>119.99999999301508</v>
      </c>
    </row>
    <row r="1606">
      <c r="A1606" s="234" t="s">
        <v>3300</v>
      </c>
      <c r="B1606" s="234" t="str">
        <f>IFERROR(__xludf.DUMMYFUNCTION("""COMPUTED_VALUE"""),"LM Hub_SP_Itapetininga")</f>
        <v>LM Hub_SP_Itapetininga</v>
      </c>
      <c r="C1606" s="234" t="str">
        <f>IFERROR(__xludf.DUMMYFUNCTION("""COMPUTED_VALUE"""),"HUB-LSP-53")</f>
        <v>HUB-LSP-53</v>
      </c>
      <c r="D1606" s="234">
        <f>IFERROR(__xludf.DUMMYFUNCTION("""COMPUTED_VALUE"""),43.0)</f>
        <v>43</v>
      </c>
      <c r="E1606" s="237" t="str">
        <f>IFERROR(__xludf.DUMMYFUNCTION("""COMPUTED_VALUE"""),"LT0PC201T0FJ1")</f>
        <v>LT0PC201T0FJ1</v>
      </c>
      <c r="F1606" s="238" t="str">
        <f>IFERROR(__xludf.DUMMYFUNCTION("""COMPUTED_VALUE"""),"FLQ1E34")</f>
        <v>FLQ1E34</v>
      </c>
      <c r="G1606" s="238">
        <f>IFERROR(__xludf.DUMMYFUNCTION("""COMPUTED_VALUE"""),45993.10416666667)</f>
        <v>45993.10417</v>
      </c>
      <c r="H1606" s="238">
        <f>IFERROR(__xludf.DUMMYFUNCTION("""COMPUTED_VALUE"""),45993.1875)</f>
        <v>45993.1875</v>
      </c>
      <c r="I1606" s="237" t="str">
        <f t="shared" si="1"/>
        <v>Fora</v>
      </c>
      <c r="J1606" s="239">
        <v>119.99999999301508</v>
      </c>
    </row>
    <row r="1607">
      <c r="A1607" s="234" t="s">
        <v>3301</v>
      </c>
      <c r="B1607" s="234" t="str">
        <f>IFERROR(__xludf.DUMMYFUNCTION("""COMPUTED_VALUE"""),"LM Hub_SP_São Carlos")</f>
        <v>LM Hub_SP_São Carlos</v>
      </c>
      <c r="C1607" s="234" t="str">
        <f>IFERROR(__xludf.DUMMYFUNCTION("""COMPUTED_VALUE"""),"HUB-LSP-31")</f>
        <v>HUB-LSP-31</v>
      </c>
      <c r="D1607" s="234">
        <f>IFERROR(__xludf.DUMMYFUNCTION("""COMPUTED_VALUE"""),37.0)</f>
        <v>37</v>
      </c>
      <c r="E1607" s="237" t="str">
        <f>IFERROR(__xludf.DUMMYFUNCTION("""COMPUTED_VALUE"""),"LT0PC201T0IE1")</f>
        <v>LT0PC201T0IE1</v>
      </c>
      <c r="F1607" s="238" t="str">
        <f>IFERROR(__xludf.DUMMYFUNCTION("""COMPUTED_VALUE"""),"ENZ6F36")</f>
        <v>ENZ6F36</v>
      </c>
      <c r="G1607" s="238">
        <f>IFERROR(__xludf.DUMMYFUNCTION("""COMPUTED_VALUE"""),45993.10416666667)</f>
        <v>45993.10417</v>
      </c>
      <c r="H1607" s="238">
        <f>IFERROR(__xludf.DUMMYFUNCTION("""COMPUTED_VALUE"""),45993.1875)</f>
        <v>45993.1875</v>
      </c>
      <c r="I1607" s="237" t="str">
        <f t="shared" si="1"/>
        <v>Fora</v>
      </c>
      <c r="J1607" s="239">
        <v>119.99999999301508</v>
      </c>
    </row>
    <row r="1608">
      <c r="A1608" s="234" t="s">
        <v>3302</v>
      </c>
      <c r="B1608" s="234" t="str">
        <f>IFERROR(__xludf.DUMMYFUNCTION("""COMPUTED_VALUE"""),"LM Hub_SP_Itapeva")</f>
        <v>LM Hub_SP_Itapeva</v>
      </c>
      <c r="C1608" s="234" t="str">
        <f>IFERROR(__xludf.DUMMYFUNCTION("""COMPUTED_VALUE"""),"HUB-LSP-39")</f>
        <v>HUB-LSP-39</v>
      </c>
      <c r="D1608" s="234">
        <f>IFERROR(__xludf.DUMMYFUNCTION("""COMPUTED_VALUE"""),6.0)</f>
        <v>6</v>
      </c>
      <c r="E1608" s="237" t="str">
        <f>IFERROR(__xludf.DUMMYFUNCTION("""COMPUTED_VALUE"""),"LT0PC201T0FT1")</f>
        <v>LT0PC201T0FT1</v>
      </c>
      <c r="F1608" s="238" t="str">
        <f>IFERROR(__xludf.DUMMYFUNCTION("""COMPUTED_VALUE"""),"DTC3E38")</f>
        <v>DTC3E38</v>
      </c>
      <c r="G1608" s="238">
        <f>IFERROR(__xludf.DUMMYFUNCTION("""COMPUTED_VALUE"""),45993.125)</f>
        <v>45993.125</v>
      </c>
      <c r="H1608" s="238">
        <f>IFERROR(__xludf.DUMMYFUNCTION("""COMPUTED_VALUE"""),45993.20833333333)</f>
        <v>45993.20833</v>
      </c>
      <c r="I1608" s="237" t="str">
        <f t="shared" si="1"/>
        <v>Fora</v>
      </c>
      <c r="J1608" s="239">
        <v>119.99999999301508</v>
      </c>
    </row>
    <row r="1609">
      <c r="A1609" s="234" t="s">
        <v>3303</v>
      </c>
      <c r="B1609" s="234" t="str">
        <f>IFERROR(__xludf.DUMMYFUNCTION("""COMPUTED_VALUE"""),"LM Hub_SP_Sumaré_Nova Veneza_1")</f>
        <v>LM Hub_SP_Sumaré_Nova Veneza_1</v>
      </c>
      <c r="C1609" s="234" t="str">
        <f>IFERROR(__xludf.DUMMYFUNCTION("""COMPUTED_VALUE"""),"HUB-LSP-88")</f>
        <v>HUB-LSP-88</v>
      </c>
      <c r="D1609" s="234">
        <f>IFERROR(__xludf.DUMMYFUNCTION("""COMPUTED_VALUE"""),39.0)</f>
        <v>39</v>
      </c>
      <c r="E1609" s="237" t="str">
        <f>IFERROR(__xludf.DUMMYFUNCTION("""COMPUTED_VALUE"""),"LT0PC201T61V1")</f>
        <v>LT0PC201T61V1</v>
      </c>
      <c r="F1609" s="238" t="str">
        <f>IFERROR(__xludf.DUMMYFUNCTION("""COMPUTED_VALUE"""),"FZA1C21")</f>
        <v>FZA1C21</v>
      </c>
      <c r="G1609" s="238">
        <f>IFERROR(__xludf.DUMMYFUNCTION("""COMPUTED_VALUE"""),45993.125)</f>
        <v>45993.125</v>
      </c>
      <c r="H1609" s="238">
        <f>IFERROR(__xludf.DUMMYFUNCTION("""COMPUTED_VALUE"""),45993.20833333333)</f>
        <v>45993.20833</v>
      </c>
      <c r="I1609" s="237" t="str">
        <f t="shared" si="1"/>
        <v>Fora</v>
      </c>
      <c r="J1609" s="239">
        <v>119.99999999301508</v>
      </c>
    </row>
    <row r="1610">
      <c r="A1610" s="234" t="s">
        <v>3304</v>
      </c>
      <c r="B1610" s="234" t="str">
        <f>IFERROR(__xludf.DUMMYFUNCTION("""COMPUTED_VALUE"""),"SoC_GO_Goiânia_02")</f>
        <v>SoC_GO_Goiânia_02</v>
      </c>
      <c r="C1610" s="234" t="str">
        <f>IFERROR(__xludf.DUMMYFUNCTION("""COMPUTED_VALUE"""),"SOC-GO2")</f>
        <v>SOC-GO2</v>
      </c>
      <c r="D1610" s="234"/>
      <c r="E1610" s="237" t="str">
        <f>IFERROR(__xludf.DUMMYFUNCTION("""COMPUTED_VALUE"""),"LT1PC201TFQU1")</f>
        <v>LT1PC201TFQU1</v>
      </c>
      <c r="F1610" s="238" t="str">
        <f>IFERROR(__xludf.DUMMYFUNCTION("""COMPUTED_VALUE"""),"QCQ2H50,ELW5B99")</f>
        <v>QCQ2H50,ELW5B99</v>
      </c>
      <c r="G1610" s="238">
        <f>IFERROR(__xludf.DUMMYFUNCTION("""COMPUTED_VALUE"""),45993.125)</f>
        <v>45993.125</v>
      </c>
      <c r="H1610" s="238">
        <f>IFERROR(__xludf.DUMMYFUNCTION("""COMPUTED_VALUE"""),45993.20833333333)</f>
        <v>45993.20833</v>
      </c>
      <c r="I1610" s="237" t="str">
        <f t="shared" si="1"/>
        <v>Fora</v>
      </c>
      <c r="J1610" s="239">
        <v>119.99999999301508</v>
      </c>
    </row>
    <row r="1611">
      <c r="A1611" s="234" t="s">
        <v>3305</v>
      </c>
      <c r="B1611" s="234" t="str">
        <f>IFERROR(__xludf.DUMMYFUNCTION("""COMPUTED_VALUE"""),"SoC_PE_Jaboatão dos Guararapes")</f>
        <v>SoC_PE_Jaboatão dos Guararapes</v>
      </c>
      <c r="C1611" s="234" t="str">
        <f>IFERROR(__xludf.DUMMYFUNCTION("""COMPUTED_VALUE"""),"SOC-PE2")</f>
        <v>SOC-PE2</v>
      </c>
      <c r="D1611" s="234">
        <f>IFERROR(__xludf.DUMMYFUNCTION("""COMPUTED_VALUE"""),17.0)</f>
        <v>17</v>
      </c>
      <c r="E1611" s="237" t="str">
        <f>IFERROR(__xludf.DUMMYFUNCTION("""COMPUTED_VALUE"""),"LT1PC201TFQA1")</f>
        <v>LT1PC201TFQA1</v>
      </c>
      <c r="F1611" s="238" t="str">
        <f>IFERROR(__xludf.DUMMYFUNCTION("""COMPUTED_VALUE"""),"HEX4J17,IQM4B83")</f>
        <v>HEX4J17,IQM4B83</v>
      </c>
      <c r="G1611" s="238">
        <f>IFERROR(__xludf.DUMMYFUNCTION("""COMPUTED_VALUE"""),45993.125)</f>
        <v>45993.125</v>
      </c>
      <c r="H1611" s="238">
        <f>IFERROR(__xludf.DUMMYFUNCTION("""COMPUTED_VALUE"""),45993.20833333333)</f>
        <v>45993.20833</v>
      </c>
      <c r="I1611" s="237" t="str">
        <f t="shared" si="1"/>
        <v>Fora</v>
      </c>
      <c r="J1611" s="239">
        <v>119.99999999301508</v>
      </c>
    </row>
    <row r="1612">
      <c r="A1612" s="234" t="s">
        <v>3306</v>
      </c>
      <c r="B1612" s="234" t="str">
        <f>IFERROR(__xludf.DUMMYFUNCTION("""COMPUTED_VALUE"""),"SoC_SP_Louveira")</f>
        <v>SoC_SP_Louveira</v>
      </c>
      <c r="C1612" s="234" t="str">
        <f>IFERROR(__xludf.DUMMYFUNCTION("""COMPUTED_VALUE"""),"SOC-SP7")</f>
        <v>SOC-SP7</v>
      </c>
      <c r="D1612" s="234">
        <f>IFERROR(__xludf.DUMMYFUNCTION("""COMPUTED_VALUE"""),33.0)</f>
        <v>33</v>
      </c>
      <c r="E1612" s="237" t="str">
        <f>IFERROR(__xludf.DUMMYFUNCTION("""COMPUTED_VALUE"""),"LT1PC201TFPZ1")</f>
        <v>LT1PC201TFPZ1</v>
      </c>
      <c r="F1612" s="238" t="str">
        <f>IFERROR(__xludf.DUMMYFUNCTION("""COMPUTED_VALUE"""),"ARC6D70,MJB7A06")</f>
        <v>ARC6D70,MJB7A06</v>
      </c>
      <c r="G1612" s="238">
        <f>IFERROR(__xludf.DUMMYFUNCTION("""COMPUTED_VALUE"""),45993.125)</f>
        <v>45993.125</v>
      </c>
      <c r="H1612" s="238">
        <f>IFERROR(__xludf.DUMMYFUNCTION("""COMPUTED_VALUE"""),45993.20833333333)</f>
        <v>45993.20833</v>
      </c>
      <c r="I1612" s="237" t="str">
        <f t="shared" si="1"/>
        <v>Fora</v>
      </c>
      <c r="J1612" s="239">
        <v>120.00000001396984</v>
      </c>
    </row>
    <row r="1613">
      <c r="A1613" s="234" t="s">
        <v>3307</v>
      </c>
      <c r="B1613" s="234" t="str">
        <f>IFERROR(__xludf.DUMMYFUNCTION("""COMPUTED_VALUE"""),"LM Hub_SP_Campinas_São Martinho")</f>
        <v>LM Hub_SP_Campinas_São Martinho</v>
      </c>
      <c r="C1613" s="234" t="str">
        <f>IFERROR(__xludf.DUMMYFUNCTION("""COMPUTED_VALUE"""),"HUB-LSP-19")</f>
        <v>HUB-LSP-19</v>
      </c>
      <c r="D1613" s="234">
        <f>IFERROR(__xludf.DUMMYFUNCTION("""COMPUTED_VALUE"""),13.0)</f>
        <v>13</v>
      </c>
      <c r="E1613" s="237" t="str">
        <f>IFERROR(__xludf.DUMMYFUNCTION("""COMPUTED_VALUE"""),"LT0PC201T0J91")</f>
        <v>LT0PC201T0J91</v>
      </c>
      <c r="F1613" s="238" t="str">
        <f>IFERROR(__xludf.DUMMYFUNCTION("""COMPUTED_VALUE"""),"OKQ5H03,FJP9A36")</f>
        <v>OKQ5H03,FJP9A36</v>
      </c>
      <c r="G1613" s="238">
        <f>IFERROR(__xludf.DUMMYFUNCTION("""COMPUTED_VALUE"""),45993.14583333333)</f>
        <v>45993.14583</v>
      </c>
      <c r="H1613" s="238">
        <f>IFERROR(__xludf.DUMMYFUNCTION("""COMPUTED_VALUE"""),45993.22916666667)</f>
        <v>45993.22917</v>
      </c>
      <c r="I1613" s="237" t="str">
        <f t="shared" si="1"/>
        <v>Fora</v>
      </c>
      <c r="J1613" s="239">
        <v>120.00000001396984</v>
      </c>
    </row>
    <row r="1614">
      <c r="A1614" s="234" t="s">
        <v>3308</v>
      </c>
      <c r="B1614" s="234" t="str">
        <f>IFERROR(__xludf.DUMMYFUNCTION("""COMPUTED_VALUE"""),"LM Hub_SP_Mogi Mirim")</f>
        <v>LM Hub_SP_Mogi Mirim</v>
      </c>
      <c r="C1614" s="234" t="str">
        <f>IFERROR(__xludf.DUMMYFUNCTION("""COMPUTED_VALUE"""),"HUB-LSP-37")</f>
        <v>HUB-LSP-37</v>
      </c>
      <c r="D1614" s="234">
        <f>IFERROR(__xludf.DUMMYFUNCTION("""COMPUTED_VALUE"""),36.0)</f>
        <v>36</v>
      </c>
      <c r="E1614" s="237" t="str">
        <f>IFERROR(__xludf.DUMMYFUNCTION("""COMPUTED_VALUE"""),"LT0PC201T0IL1")</f>
        <v>LT0PC201T0IL1</v>
      </c>
      <c r="F1614" s="238" t="str">
        <f>IFERROR(__xludf.DUMMYFUNCTION("""COMPUTED_VALUE"""),"TLE4D84")</f>
        <v>TLE4D84</v>
      </c>
      <c r="G1614" s="238">
        <f>IFERROR(__xludf.DUMMYFUNCTION("""COMPUTED_VALUE"""),45993.14583333333)</f>
        <v>45993.14583</v>
      </c>
      <c r="H1614" s="238">
        <f>IFERROR(__xludf.DUMMYFUNCTION("""COMPUTED_VALUE"""),45993.22916666667)</f>
        <v>45993.22917</v>
      </c>
      <c r="I1614" s="237" t="str">
        <f t="shared" si="1"/>
        <v>Fora</v>
      </c>
      <c r="J1614" s="239">
        <v>120.00000001396984</v>
      </c>
    </row>
    <row r="1615">
      <c r="A1615" s="234" t="s">
        <v>3309</v>
      </c>
      <c r="B1615" s="234" t="str">
        <f>IFERROR(__xludf.DUMMYFUNCTION("""COMPUTED_VALUE"""),"LM Hub_SP_Osasco_02")</f>
        <v>LM Hub_SP_Osasco_02</v>
      </c>
      <c r="C1615" s="234" t="str">
        <f>IFERROR(__xludf.DUMMYFUNCTION("""COMPUTED_VALUE"""),"HUB-LSP-60")</f>
        <v>HUB-LSP-60</v>
      </c>
      <c r="D1615" s="234">
        <f>IFERROR(__xludf.DUMMYFUNCTION("""COMPUTED_VALUE"""),32.0)</f>
        <v>32</v>
      </c>
      <c r="E1615" s="237" t="str">
        <f>IFERROR(__xludf.DUMMYFUNCTION("""COMPUTED_VALUE"""),"LT0PC201T1MG1")</f>
        <v>LT0PC201T1MG1</v>
      </c>
      <c r="F1615" s="238" t="str">
        <f>IFERROR(__xludf.DUMMYFUNCTION("""COMPUTED_VALUE"""),"FGE4C82,SUA8G96")</f>
        <v>FGE4C82,SUA8G96</v>
      </c>
      <c r="G1615" s="238">
        <f>IFERROR(__xludf.DUMMYFUNCTION("""COMPUTED_VALUE"""),45993.14583333333)</f>
        <v>45993.14583</v>
      </c>
      <c r="H1615" s="238">
        <f>IFERROR(__xludf.DUMMYFUNCTION("""COMPUTED_VALUE"""),45993.22916666667)</f>
        <v>45993.22917</v>
      </c>
      <c r="I1615" s="237" t="str">
        <f t="shared" si="1"/>
        <v>Fora</v>
      </c>
      <c r="J1615" s="239">
        <v>119.00000001071021</v>
      </c>
    </row>
    <row r="1616">
      <c r="A1616" s="234" t="s">
        <v>3310</v>
      </c>
      <c r="B1616" s="234" t="str">
        <f>IFERROR(__xludf.DUMMYFUNCTION("""COMPUTED_VALUE"""),"LM Hub_SP_Sorocaba_Região Norte")</f>
        <v>LM Hub_SP_Sorocaba_Região Norte</v>
      </c>
      <c r="C1616" s="234" t="str">
        <f>IFERROR(__xludf.DUMMYFUNCTION("""COMPUTED_VALUE"""),"HUB-LSP-10")</f>
        <v>HUB-LSP-10</v>
      </c>
      <c r="D1616" s="234">
        <f>IFERROR(__xludf.DUMMYFUNCTION("""COMPUTED_VALUE"""),22.0)</f>
        <v>22</v>
      </c>
      <c r="E1616" s="237" t="str">
        <f>IFERROR(__xludf.DUMMYFUNCTION("""COMPUTED_VALUE"""),"LT0PC201T0HF1")</f>
        <v>LT0PC201T0HF1</v>
      </c>
      <c r="F1616" s="238" t="str">
        <f>IFERROR(__xludf.DUMMYFUNCTION("""COMPUTED_VALUE"""),"NFW3H03,CYN6J16")</f>
        <v>NFW3H03,CYN6J16</v>
      </c>
      <c r="G1616" s="238">
        <f>IFERROR(__xludf.DUMMYFUNCTION("""COMPUTED_VALUE"""),45993.146527777775)</f>
        <v>45993.14653</v>
      </c>
      <c r="H1616" s="238">
        <f>IFERROR(__xludf.DUMMYFUNCTION("""COMPUTED_VALUE"""),45993.22916666667)</f>
        <v>45993.22917</v>
      </c>
      <c r="I1616" s="237" t="str">
        <f t="shared" si="1"/>
        <v>Fora</v>
      </c>
      <c r="J1616" s="239">
        <v>119.99999999301508</v>
      </c>
    </row>
    <row r="1617">
      <c r="A1617" s="234" t="s">
        <v>3311</v>
      </c>
      <c r="B1617" s="234" t="str">
        <f>IFERROR(__xludf.DUMMYFUNCTION("""COMPUTED_VALUE"""),"LM Hub_ES_Viana")</f>
        <v>LM Hub_ES_Viana</v>
      </c>
      <c r="C1617" s="234" t="str">
        <f>IFERROR(__xludf.DUMMYFUNCTION("""COMPUTED_VALUE"""),"HUB-LES-09")</f>
        <v>HUB-LES-09</v>
      </c>
      <c r="D1617" s="234">
        <f>IFERROR(__xludf.DUMMYFUNCTION("""COMPUTED_VALUE"""),29.0)</f>
        <v>29</v>
      </c>
      <c r="E1617" s="237" t="str">
        <f>IFERROR(__xludf.DUMMYFUNCTION("""COMPUTED_VALUE"""),"LT0PC201T4WH1")</f>
        <v>LT0PC201T4WH1</v>
      </c>
      <c r="F1617" s="238" t="str">
        <f>IFERROR(__xludf.DUMMYFUNCTION("""COMPUTED_VALUE"""),"SFW7I58")</f>
        <v>SFW7I58</v>
      </c>
      <c r="G1617" s="238">
        <f>IFERROR(__xludf.DUMMYFUNCTION("""COMPUTED_VALUE"""),45993.16666666667)</f>
        <v>45993.16667</v>
      </c>
      <c r="H1617" s="238">
        <f>IFERROR(__xludf.DUMMYFUNCTION("""COMPUTED_VALUE"""),45993.25)</f>
        <v>45993.25</v>
      </c>
      <c r="I1617" s="237" t="str">
        <f t="shared" si="1"/>
        <v>Fora</v>
      </c>
      <c r="J1617" s="239">
        <v>119.99999999301508</v>
      </c>
    </row>
    <row r="1618">
      <c r="A1618" s="234" t="s">
        <v>3312</v>
      </c>
      <c r="B1618" s="234" t="str">
        <f>IFERROR(__xludf.DUMMYFUNCTION("""COMPUTED_VALUE"""),"LM Hub_SP_Guaratinguetá")</f>
        <v>LM Hub_SP_Guaratinguetá</v>
      </c>
      <c r="C1618" s="234" t="str">
        <f>IFERROR(__xludf.DUMMYFUNCTION("""COMPUTED_VALUE"""),"HUB-LSP-33")</f>
        <v>HUB-LSP-33</v>
      </c>
      <c r="D1618" s="234">
        <f>IFERROR(__xludf.DUMMYFUNCTION("""COMPUTED_VALUE"""),14.0)</f>
        <v>14</v>
      </c>
      <c r="E1618" s="237" t="str">
        <f>IFERROR(__xludf.DUMMYFUNCTION("""COMPUTED_VALUE"""),"LT0PC201T0GL1")</f>
        <v>LT0PC201T0GL1</v>
      </c>
      <c r="F1618" s="238" t="str">
        <f>IFERROR(__xludf.DUMMYFUNCTION("""COMPUTED_VALUE"""),"EKH3880")</f>
        <v>EKH3880</v>
      </c>
      <c r="G1618" s="238">
        <f>IFERROR(__xludf.DUMMYFUNCTION("""COMPUTED_VALUE"""),45993.16666666667)</f>
        <v>45993.16667</v>
      </c>
      <c r="H1618" s="238">
        <f>IFERROR(__xludf.DUMMYFUNCTION("""COMPUTED_VALUE"""),45993.25)</f>
        <v>45993.25</v>
      </c>
      <c r="I1618" s="237" t="str">
        <f t="shared" si="1"/>
        <v>Fora</v>
      </c>
      <c r="J1618" s="239">
        <v>119.99999999301508</v>
      </c>
    </row>
    <row r="1619">
      <c r="A1619" s="234" t="s">
        <v>3313</v>
      </c>
      <c r="B1619" s="234" t="str">
        <f>IFERROR(__xludf.DUMMYFUNCTION("""COMPUTED_VALUE"""),"LM Hub_SP_Limeira_Campo Belo")</f>
        <v>LM Hub_SP_Limeira_Campo Belo</v>
      </c>
      <c r="C1619" s="234" t="str">
        <f>IFERROR(__xludf.DUMMYFUNCTION("""COMPUTED_VALUE"""),"HUB-LSP-24")</f>
        <v>HUB-LSP-24</v>
      </c>
      <c r="D1619" s="234">
        <f>IFERROR(__xludf.DUMMYFUNCTION("""COMPUTED_VALUE"""),42.0)</f>
        <v>42</v>
      </c>
      <c r="E1619" s="237" t="str">
        <f>IFERROR(__xludf.DUMMYFUNCTION("""COMPUTED_VALUE"""),"LT0PC201T0HN1")</f>
        <v>LT0PC201T0HN1</v>
      </c>
      <c r="F1619" s="238" t="str">
        <f>IFERROR(__xludf.DUMMYFUNCTION("""COMPUTED_VALUE"""),"TAJ5D56")</f>
        <v>TAJ5D56</v>
      </c>
      <c r="G1619" s="238">
        <f>IFERROR(__xludf.DUMMYFUNCTION("""COMPUTED_VALUE"""),45993.16666666667)</f>
        <v>45993.16667</v>
      </c>
      <c r="H1619" s="238">
        <f>IFERROR(__xludf.DUMMYFUNCTION("""COMPUTED_VALUE"""),45993.25)</f>
        <v>45993.25</v>
      </c>
      <c r="I1619" s="237" t="str">
        <f t="shared" si="1"/>
        <v>Fora</v>
      </c>
      <c r="J1619" s="239">
        <v>119.99999999301508</v>
      </c>
    </row>
    <row r="1620">
      <c r="A1620" s="234" t="s">
        <v>3314</v>
      </c>
      <c r="B1620" s="234" t="str">
        <f>IFERROR(__xludf.DUMMYFUNCTION("""COMPUTED_VALUE"""),"LM Hub_SP_Registro")</f>
        <v>LM Hub_SP_Registro</v>
      </c>
      <c r="C1620" s="234" t="str">
        <f>IFERROR(__xludf.DUMMYFUNCTION("""COMPUTED_VALUE"""),"HUB-LSP-40")</f>
        <v>HUB-LSP-40</v>
      </c>
      <c r="D1620" s="234">
        <f>IFERROR(__xludf.DUMMYFUNCTION("""COMPUTED_VALUE"""),7.0)</f>
        <v>7</v>
      </c>
      <c r="E1620" s="237" t="str">
        <f>IFERROR(__xludf.DUMMYFUNCTION("""COMPUTED_VALUE"""),"LT0PC201T0GA1")</f>
        <v>LT0PC201T0GA1</v>
      </c>
      <c r="F1620" s="238" t="str">
        <f>IFERROR(__xludf.DUMMYFUNCTION("""COMPUTED_VALUE"""),"FSV9B90")</f>
        <v>FSV9B90</v>
      </c>
      <c r="G1620" s="238">
        <f>IFERROR(__xludf.DUMMYFUNCTION("""COMPUTED_VALUE"""),45993.16666666667)</f>
        <v>45993.16667</v>
      </c>
      <c r="H1620" s="238">
        <f>IFERROR(__xludf.DUMMYFUNCTION("""COMPUTED_VALUE"""),45993.25)</f>
        <v>45993.25</v>
      </c>
      <c r="I1620" s="237" t="str">
        <f t="shared" si="1"/>
        <v>Fora</v>
      </c>
      <c r="J1620" s="239">
        <v>119.99999999301508</v>
      </c>
    </row>
    <row r="1621">
      <c r="A1621" s="234" t="s">
        <v>3315</v>
      </c>
      <c r="B1621" s="234" t="str">
        <f>IFERROR(__xludf.DUMMYFUNCTION("""COMPUTED_VALUE"""),"LM Hub_SP_Várzea Paulista")</f>
        <v>LM Hub_SP_Várzea Paulista</v>
      </c>
      <c r="C1621" s="234" t="str">
        <f>IFERROR(__xludf.DUMMYFUNCTION("""COMPUTED_VALUE"""),"HUB-LSP-61")</f>
        <v>HUB-LSP-61</v>
      </c>
      <c r="D1621" s="234">
        <f>IFERROR(__xludf.DUMMYFUNCTION("""COMPUTED_VALUE"""),40.0)</f>
        <v>40</v>
      </c>
      <c r="E1621" s="237" t="str">
        <f>IFERROR(__xludf.DUMMYFUNCTION("""COMPUTED_VALUE"""),"LT0PC201T0HX1")</f>
        <v>LT0PC201T0HX1</v>
      </c>
      <c r="F1621" s="238" t="str">
        <f>IFERROR(__xludf.DUMMYFUNCTION("""COMPUTED_VALUE"""),"HNQ8267")</f>
        <v>HNQ8267</v>
      </c>
      <c r="G1621" s="238">
        <f>IFERROR(__xludf.DUMMYFUNCTION("""COMPUTED_VALUE"""),45993.16666666667)</f>
        <v>45993.16667</v>
      </c>
      <c r="H1621" s="238">
        <f>IFERROR(__xludf.DUMMYFUNCTION("""COMPUTED_VALUE"""),45993.25)</f>
        <v>45993.25</v>
      </c>
      <c r="I1621" s="237" t="str">
        <f t="shared" si="1"/>
        <v>Fora</v>
      </c>
      <c r="J1621" s="239">
        <v>119.99999999301508</v>
      </c>
    </row>
    <row r="1622">
      <c r="A1622" s="234" t="s">
        <v>3316</v>
      </c>
      <c r="B1622" s="234" t="str">
        <f>IFERROR(__xludf.DUMMYFUNCTION("""COMPUTED_VALUE"""),"SoC_PE_Jaboatão dos Guararapes")</f>
        <v>SoC_PE_Jaboatão dos Guararapes</v>
      </c>
      <c r="C1622" s="234" t="str">
        <f>IFERROR(__xludf.DUMMYFUNCTION("""COMPUTED_VALUE"""),"SOC-PE2")</f>
        <v>SOC-PE2</v>
      </c>
      <c r="D1622" s="234">
        <f>IFERROR(__xludf.DUMMYFUNCTION("""COMPUTED_VALUE"""),18.0)</f>
        <v>18</v>
      </c>
      <c r="E1622" s="237" t="str">
        <f>IFERROR(__xludf.DUMMYFUNCTION("""COMPUTED_VALUE"""),"LT0PC201T6FL1")</f>
        <v>LT0PC201T6FL1</v>
      </c>
      <c r="F1622" s="238" t="str">
        <f>IFERROR(__xludf.DUMMYFUNCTION("""COMPUTED_VALUE"""),"OWM4B33,PUZ0I19")</f>
        <v>OWM4B33,PUZ0I19</v>
      </c>
      <c r="G1622" s="238">
        <f>IFERROR(__xludf.DUMMYFUNCTION("""COMPUTED_VALUE"""),45993.16666666667)</f>
        <v>45993.16667</v>
      </c>
      <c r="H1622" s="238">
        <f>IFERROR(__xludf.DUMMYFUNCTION("""COMPUTED_VALUE"""),45993.25)</f>
        <v>45993.25</v>
      </c>
      <c r="I1622" s="237" t="str">
        <f t="shared" si="1"/>
        <v>Fora</v>
      </c>
      <c r="J1622" s="239">
        <v>119.99999999301508</v>
      </c>
    </row>
    <row r="1623">
      <c r="A1623" s="234" t="s">
        <v>3317</v>
      </c>
      <c r="B1623" s="234" t="str">
        <f>IFERROR(__xludf.DUMMYFUNCTION("""COMPUTED_VALUE"""),"SoC_PR_Curitiba")</f>
        <v>SoC_PR_Curitiba</v>
      </c>
      <c r="C1623" s="234" t="str">
        <f>IFERROR(__xludf.DUMMYFUNCTION("""COMPUTED_VALUE"""),"SOC-PR1")</f>
        <v>SOC-PR1</v>
      </c>
      <c r="D1623" s="234">
        <f>IFERROR(__xludf.DUMMYFUNCTION("""COMPUTED_VALUE"""),35.0)</f>
        <v>35</v>
      </c>
      <c r="E1623" s="237" t="str">
        <f>IFERROR(__xludf.DUMMYFUNCTION("""COMPUTED_VALUE"""),"LT1PC201TFQ91")</f>
        <v>LT1PC201TFQ91</v>
      </c>
      <c r="F1623" s="238" t="str">
        <f>IFERROR(__xludf.DUMMYFUNCTION("""COMPUTED_VALUE"""),"FQJ8B01,TLG8D55")</f>
        <v>FQJ8B01,TLG8D55</v>
      </c>
      <c r="G1623" s="238">
        <f>IFERROR(__xludf.DUMMYFUNCTION("""COMPUTED_VALUE"""),45993.16666666667)</f>
        <v>45993.16667</v>
      </c>
      <c r="H1623" s="238">
        <f>IFERROR(__xludf.DUMMYFUNCTION("""COMPUTED_VALUE"""),45993.25)</f>
        <v>45993.25</v>
      </c>
      <c r="I1623" s="237" t="str">
        <f t="shared" si="1"/>
        <v>Fora</v>
      </c>
      <c r="J1623" s="239">
        <v>119.99999999301508</v>
      </c>
    </row>
    <row r="1624">
      <c r="A1624" s="234" t="s">
        <v>3318</v>
      </c>
      <c r="B1624" s="234" t="str">
        <f>IFERROR(__xludf.DUMMYFUNCTION("""COMPUTED_VALUE"""),"SoC_RJ_Duque de Caxias")</f>
        <v>SoC_RJ_Duque de Caxias</v>
      </c>
      <c r="C1624" s="234" t="str">
        <f>IFERROR(__xludf.DUMMYFUNCTION("""COMPUTED_VALUE"""),"SOC-RJ2")</f>
        <v>SOC-RJ2</v>
      </c>
      <c r="D1624" s="234">
        <f>IFERROR(__xludf.DUMMYFUNCTION("""COMPUTED_VALUE"""),15.0)</f>
        <v>15</v>
      </c>
      <c r="E1624" s="237" t="str">
        <f>IFERROR(__xludf.DUMMYFUNCTION("""COMPUTED_VALUE"""),"LT1PC201TFQ31")</f>
        <v>LT1PC201TFQ31</v>
      </c>
      <c r="F1624" s="238" t="str">
        <f>IFERROR(__xludf.DUMMYFUNCTION("""COMPUTED_VALUE"""),"ODM5D47,QIG2D94")</f>
        <v>ODM5D47,QIG2D94</v>
      </c>
      <c r="G1624" s="238">
        <f>IFERROR(__xludf.DUMMYFUNCTION("""COMPUTED_VALUE"""),45993.16666666667)</f>
        <v>45993.16667</v>
      </c>
      <c r="H1624" s="238">
        <f>IFERROR(__xludf.DUMMYFUNCTION("""COMPUTED_VALUE"""),45993.25)</f>
        <v>45993.25</v>
      </c>
      <c r="I1624" s="237" t="str">
        <f t="shared" si="1"/>
        <v>Fora</v>
      </c>
      <c r="J1624" s="239">
        <v>119.99999999301508</v>
      </c>
    </row>
    <row r="1625">
      <c r="A1625" s="234" t="s">
        <v>3319</v>
      </c>
      <c r="B1625" s="234" t="str">
        <f>IFERROR(__xludf.DUMMYFUNCTION("""COMPUTED_VALUE"""),"SoC_RS_Gravataí_02")</f>
        <v>SoC_RS_Gravataí_02</v>
      </c>
      <c r="C1625" s="234" t="str">
        <f>IFERROR(__xludf.DUMMYFUNCTION("""COMPUTED_VALUE"""),"SOC-RS2")</f>
        <v>SOC-RS2</v>
      </c>
      <c r="D1625" s="234">
        <f>IFERROR(__xludf.DUMMYFUNCTION("""COMPUTED_VALUE"""),24.0)</f>
        <v>24</v>
      </c>
      <c r="E1625" s="237" t="str">
        <f>IFERROR(__xludf.DUMMYFUNCTION("""COMPUTED_VALUE"""),"LT0PC201T6VB1")</f>
        <v>LT0PC201T6VB1</v>
      </c>
      <c r="F1625" s="238" t="str">
        <f>IFERROR(__xludf.DUMMYFUNCTION("""COMPUTED_VALUE"""),"TIR3H66,TKI3E64")</f>
        <v>TIR3H66,TKI3E64</v>
      </c>
      <c r="G1625" s="238">
        <f>IFERROR(__xludf.DUMMYFUNCTION("""COMPUTED_VALUE"""),45993.16666666667)</f>
        <v>45993.16667</v>
      </c>
      <c r="H1625" s="238">
        <f>IFERROR(__xludf.DUMMYFUNCTION("""COMPUTED_VALUE"""),45993.25)</f>
        <v>45993.25</v>
      </c>
      <c r="I1625" s="237" t="str">
        <f t="shared" si="1"/>
        <v>Fora</v>
      </c>
      <c r="J1625" s="239">
        <v>119.99999999301508</v>
      </c>
    </row>
    <row r="1626">
      <c r="A1626" s="234" t="s">
        <v>3320</v>
      </c>
      <c r="B1626" s="234" t="str">
        <f>IFERROR(__xludf.DUMMYFUNCTION("""COMPUTED_VALUE"""),"SoC_SP_Louveira")</f>
        <v>SoC_SP_Louveira</v>
      </c>
      <c r="C1626" s="234" t="str">
        <f>IFERROR(__xludf.DUMMYFUNCTION("""COMPUTED_VALUE"""),"SOC-SP7")</f>
        <v>SOC-SP7</v>
      </c>
      <c r="D1626" s="234">
        <f>IFERROR(__xludf.DUMMYFUNCTION("""COMPUTED_VALUE"""),34.0)</f>
        <v>34</v>
      </c>
      <c r="E1626" s="237" t="str">
        <f>IFERROR(__xludf.DUMMYFUNCTION("""COMPUTED_VALUE"""),"LT0PC201T0D21")</f>
        <v>LT0PC201T0D21</v>
      </c>
      <c r="F1626" s="238" t="str">
        <f>IFERROR(__xludf.DUMMYFUNCTION("""COMPUTED_VALUE"""),"SUQ0C67,RXM3H49")</f>
        <v>SUQ0C67,RXM3H49</v>
      </c>
      <c r="G1626" s="238">
        <f>IFERROR(__xludf.DUMMYFUNCTION("""COMPUTED_VALUE"""),45993.16666666667)</f>
        <v>45993.16667</v>
      </c>
      <c r="H1626" s="238">
        <f>IFERROR(__xludf.DUMMYFUNCTION("""COMPUTED_VALUE"""),45993.25)</f>
        <v>45993.25</v>
      </c>
      <c r="I1626" s="237" t="str">
        <f t="shared" si="1"/>
        <v>Fora</v>
      </c>
      <c r="J1626" s="239">
        <v>119.99999999301508</v>
      </c>
    </row>
    <row r="1627">
      <c r="A1627" s="234" t="s">
        <v>3321</v>
      </c>
      <c r="B1627" s="234" t="str">
        <f>IFERROR(__xludf.DUMMYFUNCTION("""COMPUTED_VALUE"""),"SoC_SP_Louveira")</f>
        <v>SoC_SP_Louveira</v>
      </c>
      <c r="C1627" s="234" t="str">
        <f>IFERROR(__xludf.DUMMYFUNCTION("""COMPUTED_VALUE"""),"SOC-SP7")</f>
        <v>SOC-SP7</v>
      </c>
      <c r="D1627" s="234">
        <f>IFERROR(__xludf.DUMMYFUNCTION("""COMPUTED_VALUE"""),27.0)</f>
        <v>27</v>
      </c>
      <c r="E1627" s="237" t="str">
        <f>IFERROR(__xludf.DUMMYFUNCTION("""COMPUTED_VALUE"""),"LT1PC201TFQ01")</f>
        <v>LT1PC201TFQ01</v>
      </c>
      <c r="F1627" s="238" t="str">
        <f>IFERROR(__xludf.DUMMYFUNCTION("""COMPUTED_VALUE"""),"STS7H95,TAX1I64")</f>
        <v>STS7H95,TAX1I64</v>
      </c>
      <c r="G1627" s="238">
        <f>IFERROR(__xludf.DUMMYFUNCTION("""COMPUTED_VALUE"""),45993.16666666667)</f>
        <v>45993.16667</v>
      </c>
      <c r="H1627" s="238">
        <f>IFERROR(__xludf.DUMMYFUNCTION("""COMPUTED_VALUE"""),45993.25)</f>
        <v>45993.25</v>
      </c>
      <c r="I1627" s="237" t="str">
        <f t="shared" si="1"/>
        <v>Fora</v>
      </c>
      <c r="J1627" s="239">
        <v>119.99999999301508</v>
      </c>
    </row>
    <row r="1628">
      <c r="A1628" s="234" t="s">
        <v>3322</v>
      </c>
      <c r="B1628" s="234" t="str">
        <f>IFERROR(__xludf.DUMMYFUNCTION("""COMPUTED_VALUE"""),"LM Hub_SP_Atibaia_Ponte_Alta")</f>
        <v>LM Hub_SP_Atibaia_Ponte_Alta</v>
      </c>
      <c r="C1628" s="234" t="str">
        <f>IFERROR(__xludf.DUMMYFUNCTION("""COMPUTED_VALUE"""),"HUB-LSP-87")</f>
        <v>HUB-LSP-87</v>
      </c>
      <c r="D1628" s="234">
        <f>IFERROR(__xludf.DUMMYFUNCTION("""COMPUTED_VALUE"""),12.0)</f>
        <v>12</v>
      </c>
      <c r="E1628" s="237" t="str">
        <f>IFERROR(__xludf.DUMMYFUNCTION("""COMPUTED_VALUE"""),"LT0PC201T4QC1")</f>
        <v>LT0PC201T4QC1</v>
      </c>
      <c r="F1628" s="238" t="str">
        <f>IFERROR(__xludf.DUMMYFUNCTION("""COMPUTED_VALUE"""),"PCX0H26")</f>
        <v>PCX0H26</v>
      </c>
      <c r="G1628" s="238">
        <f>IFERROR(__xludf.DUMMYFUNCTION("""COMPUTED_VALUE"""),45993.1875)</f>
        <v>45993.1875</v>
      </c>
      <c r="H1628" s="238">
        <f>IFERROR(__xludf.DUMMYFUNCTION("""COMPUTED_VALUE"""),45993.27083333333)</f>
        <v>45993.27083</v>
      </c>
      <c r="I1628" s="237" t="str">
        <f t="shared" si="1"/>
        <v>Fora</v>
      </c>
      <c r="J1628" s="239">
        <v>119.99999999301508</v>
      </c>
    </row>
    <row r="1629">
      <c r="A1629" s="234" t="s">
        <v>3323</v>
      </c>
      <c r="B1629" s="234" t="str">
        <f>IFERROR(__xludf.DUMMYFUNCTION("""COMPUTED_VALUE"""),"LM Hub_SP_Embu das Artes")</f>
        <v>LM Hub_SP_Embu das Artes</v>
      </c>
      <c r="C1629" s="234" t="str">
        <f>IFERROR(__xludf.DUMMYFUNCTION("""COMPUTED_VALUE"""),"HUB-LSP-36")</f>
        <v>HUB-LSP-36</v>
      </c>
      <c r="D1629" s="234">
        <f>IFERROR(__xludf.DUMMYFUNCTION("""COMPUTED_VALUE"""),46.0)</f>
        <v>46</v>
      </c>
      <c r="E1629" s="237" t="str">
        <f>IFERROR(__xludf.DUMMYFUNCTION("""COMPUTED_VALUE"""),"LT0PC201T1NK1")</f>
        <v>LT0PC201T1NK1</v>
      </c>
      <c r="F1629" s="238" t="str">
        <f>IFERROR(__xludf.DUMMYFUNCTION("""COMPUTED_VALUE"""),"FBH4883")</f>
        <v>FBH4883</v>
      </c>
      <c r="G1629" s="238">
        <f>IFERROR(__xludf.DUMMYFUNCTION("""COMPUTED_VALUE"""),45993.1875)</f>
        <v>45993.1875</v>
      </c>
      <c r="H1629" s="238">
        <f>IFERROR(__xludf.DUMMYFUNCTION("""COMPUTED_VALUE"""),45993.27083333333)</f>
        <v>45993.27083</v>
      </c>
      <c r="I1629" s="237" t="str">
        <f t="shared" si="1"/>
        <v>Fora</v>
      </c>
      <c r="J1629" s="239">
        <v>119.99999999301508</v>
      </c>
    </row>
    <row r="1630">
      <c r="A1630" s="234" t="s">
        <v>3324</v>
      </c>
      <c r="B1630" s="234" t="str">
        <f>IFERROR(__xludf.DUMMYFUNCTION("""COMPUTED_VALUE"""),"LM Hub_SP_Taubaté")</f>
        <v>LM Hub_SP_Taubaté</v>
      </c>
      <c r="C1630" s="234" t="str">
        <f>IFERROR(__xludf.DUMMYFUNCTION("""COMPUTED_VALUE"""),"HUB-LSP-08")</f>
        <v>HUB-LSP-08</v>
      </c>
      <c r="D1630" s="234"/>
      <c r="E1630" s="237" t="str">
        <f>IFERROR(__xludf.DUMMYFUNCTION("""COMPUTED_VALUE"""),"LT0PC201T0GW1")</f>
        <v>LT0PC201T0GW1</v>
      </c>
      <c r="F1630" s="238" t="str">
        <f>IFERROR(__xludf.DUMMYFUNCTION("""COMPUTED_VALUE"""),"ECT4I26")</f>
        <v>ECT4I26</v>
      </c>
      <c r="G1630" s="238">
        <f>IFERROR(__xludf.DUMMYFUNCTION("""COMPUTED_VALUE"""),45993.1875)</f>
        <v>45993.1875</v>
      </c>
      <c r="H1630" s="238">
        <f>IFERROR(__xludf.DUMMYFUNCTION("""COMPUTED_VALUE"""),45993.27083333333)</f>
        <v>45993.27083</v>
      </c>
      <c r="I1630" s="237" t="str">
        <f t="shared" si="1"/>
        <v>Fora</v>
      </c>
      <c r="J1630" s="239">
        <v>540.0</v>
      </c>
    </row>
    <row r="1631">
      <c r="A1631" s="234" t="s">
        <v>3325</v>
      </c>
      <c r="B1631" s="234" t="str">
        <f>IFERROR(__xludf.DUMMYFUNCTION("""COMPUTED_VALUE"""),"SoC_BA_Simoes Filho")</f>
        <v>SoC_BA_Simoes Filho</v>
      </c>
      <c r="C1631" s="234" t="str">
        <f>IFERROR(__xludf.DUMMYFUNCTION("""COMPUTED_VALUE"""),"SOC-BA2")</f>
        <v>SOC-BA2</v>
      </c>
      <c r="D1631" s="234"/>
      <c r="E1631" s="237" t="str">
        <f>IFERROR(__xludf.DUMMYFUNCTION("""COMPUTED_VALUE"""),"LT0PC101T6JU1")</f>
        <v>LT0PC101T6JU1</v>
      </c>
      <c r="F1631" s="238" t="str">
        <f>IFERROR(__xludf.DUMMYFUNCTION("""COMPUTED_VALUE"""),"RXZ0C04,SJE8H43")</f>
        <v>RXZ0C04,SJE8H43</v>
      </c>
      <c r="G1631" s="238">
        <f>IFERROR(__xludf.DUMMYFUNCTION("""COMPUTED_VALUE"""),45992.91666666667)</f>
        <v>45992.91667</v>
      </c>
      <c r="H1631" s="238">
        <f>IFERROR(__xludf.DUMMYFUNCTION("""COMPUTED_VALUE"""),45993.29166666667)</f>
        <v>45993.29167</v>
      </c>
      <c r="I1631" s="237" t="str">
        <f t="shared" si="1"/>
        <v>Fora</v>
      </c>
      <c r="J1631" s="239">
        <v>540.0</v>
      </c>
    </row>
    <row r="1632">
      <c r="A1632" s="234" t="s">
        <v>3326</v>
      </c>
      <c r="B1632" s="234" t="str">
        <f>IFERROR(__xludf.DUMMYFUNCTION("""COMPUTED_VALUE"""),"SoC_GO_Goiânia_02")</f>
        <v>SoC_GO_Goiânia_02</v>
      </c>
      <c r="C1632" s="234" t="str">
        <f>IFERROR(__xludf.DUMMYFUNCTION("""COMPUTED_VALUE"""),"SOC-GO2")</f>
        <v>SOC-GO2</v>
      </c>
      <c r="D1632" s="234">
        <f>IFERROR(__xludf.DUMMYFUNCTION("""COMPUTED_VALUE"""),87.0)</f>
        <v>87</v>
      </c>
      <c r="E1632" s="237" t="str">
        <f>IFERROR(__xludf.DUMMYFUNCTION("""COMPUTED_VALUE"""),"LT0PC101T6T71")</f>
        <v>LT0PC101T6T71</v>
      </c>
      <c r="F1632" s="238" t="str">
        <f>IFERROR(__xludf.DUMMYFUNCTION("""COMPUTED_VALUE"""),"GBU0B72,TXR4D30")</f>
        <v>GBU0B72,TXR4D30</v>
      </c>
      <c r="G1632" s="238">
        <f>IFERROR(__xludf.DUMMYFUNCTION("""COMPUTED_VALUE"""),45992.91666666667)</f>
        <v>45992.91667</v>
      </c>
      <c r="H1632" s="238">
        <f>IFERROR(__xludf.DUMMYFUNCTION("""COMPUTED_VALUE"""),45993.29166666667)</f>
        <v>45993.29167</v>
      </c>
      <c r="I1632" s="237" t="str">
        <f t="shared" si="1"/>
        <v>Fora</v>
      </c>
      <c r="J1632" s="239">
        <v>540.0</v>
      </c>
    </row>
    <row r="1633">
      <c r="A1633" s="234" t="s">
        <v>3327</v>
      </c>
      <c r="B1633" s="234" t="str">
        <f>IFERROR(__xludf.DUMMYFUNCTION("""COMPUTED_VALUE"""),"SoC_MG_Betim")</f>
        <v>SoC_MG_Betim</v>
      </c>
      <c r="C1633" s="234" t="str">
        <f>IFERROR(__xludf.DUMMYFUNCTION("""COMPUTED_VALUE"""),"SOC-MG2")</f>
        <v>SOC-MG2</v>
      </c>
      <c r="D1633" s="234">
        <f>IFERROR(__xludf.DUMMYFUNCTION("""COMPUTED_VALUE"""),91.0)</f>
        <v>91</v>
      </c>
      <c r="E1633" s="237" t="str">
        <f>IFERROR(__xludf.DUMMYFUNCTION("""COMPUTED_VALUE"""),"LT0PC101T0BI1")</f>
        <v>LT0PC101T0BI1</v>
      </c>
      <c r="F1633" s="238" t="str">
        <f>IFERROR(__xludf.DUMMYFUNCTION("""COMPUTED_VALUE"""),"FVV1B52,STW1J68")</f>
        <v>FVV1B52,STW1J68</v>
      </c>
      <c r="G1633" s="238">
        <f>IFERROR(__xludf.DUMMYFUNCTION("""COMPUTED_VALUE"""),45992.91666666667)</f>
        <v>45992.91667</v>
      </c>
      <c r="H1633" s="238">
        <f>IFERROR(__xludf.DUMMYFUNCTION("""COMPUTED_VALUE"""),45993.29166666667)</f>
        <v>45993.29167</v>
      </c>
      <c r="I1633" s="237" t="str">
        <f t="shared" si="1"/>
        <v>Fora</v>
      </c>
      <c r="J1633" s="239">
        <v>540.0</v>
      </c>
    </row>
    <row r="1634">
      <c r="A1634" s="234" t="s">
        <v>3328</v>
      </c>
      <c r="B1634" s="234" t="str">
        <f>IFERROR(__xludf.DUMMYFUNCTION("""COMPUTED_VALUE"""),"SoC_MG_Betim")</f>
        <v>SoC_MG_Betim</v>
      </c>
      <c r="C1634" s="234" t="str">
        <f>IFERROR(__xludf.DUMMYFUNCTION("""COMPUTED_VALUE"""),"SOC-MG2")</f>
        <v>SOC-MG2</v>
      </c>
      <c r="D1634" s="234">
        <f>IFERROR(__xludf.DUMMYFUNCTION("""COMPUTED_VALUE"""),48.0)</f>
        <v>48</v>
      </c>
      <c r="E1634" s="237" t="str">
        <f>IFERROR(__xludf.DUMMYFUNCTION("""COMPUTED_VALUE"""),"LT0PC101TA8S1")</f>
        <v>LT0PC101TA8S1</v>
      </c>
      <c r="F1634" s="238" t="str">
        <f>IFERROR(__xludf.DUMMYFUNCTION("""COMPUTED_VALUE"""),"RFE4B95,MLT4098")</f>
        <v>RFE4B95,MLT4098</v>
      </c>
      <c r="G1634" s="238">
        <f>IFERROR(__xludf.DUMMYFUNCTION("""COMPUTED_VALUE"""),45992.91666666667)</f>
        <v>45992.91667</v>
      </c>
      <c r="H1634" s="238">
        <f>IFERROR(__xludf.DUMMYFUNCTION("""COMPUTED_VALUE"""),45993.29166666667)</f>
        <v>45993.29167</v>
      </c>
      <c r="I1634" s="237" t="str">
        <f t="shared" si="1"/>
        <v>Fora</v>
      </c>
      <c r="J1634" s="239">
        <v>540.0</v>
      </c>
    </row>
    <row r="1635">
      <c r="A1635" s="234" t="s">
        <v>3329</v>
      </c>
      <c r="B1635" s="234" t="str">
        <f>IFERROR(__xludf.DUMMYFUNCTION("""COMPUTED_VALUE"""),"SoC_RJ_Duque de Caxias")</f>
        <v>SoC_RJ_Duque de Caxias</v>
      </c>
      <c r="C1635" s="234" t="str">
        <f>IFERROR(__xludf.DUMMYFUNCTION("""COMPUTED_VALUE"""),"SOC-RJ2")</f>
        <v>SOC-RJ2</v>
      </c>
      <c r="D1635" s="234">
        <f>IFERROR(__xludf.DUMMYFUNCTION("""COMPUTED_VALUE"""),100.0)</f>
        <v>100</v>
      </c>
      <c r="E1635" s="237" t="str">
        <f>IFERROR(__xludf.DUMMYFUNCTION("""COMPUTED_VALUE"""),"LT0PC101T2RO2")</f>
        <v>LT0PC101T2RO2</v>
      </c>
      <c r="F1635" s="238" t="str">
        <f>IFERROR(__xludf.DUMMYFUNCTION("""COMPUTED_VALUE"""),"MIE3A76,NFV9C52")</f>
        <v>MIE3A76,NFV9C52</v>
      </c>
      <c r="G1635" s="238">
        <f>IFERROR(__xludf.DUMMYFUNCTION("""COMPUTED_VALUE"""),45992.91666666667)</f>
        <v>45992.91667</v>
      </c>
      <c r="H1635" s="238">
        <f>IFERROR(__xludf.DUMMYFUNCTION("""COMPUTED_VALUE"""),45993.29166666667)</f>
        <v>45993.29167</v>
      </c>
      <c r="I1635" s="237" t="str">
        <f t="shared" si="1"/>
        <v>Fora</v>
      </c>
      <c r="J1635" s="239">
        <v>540.0</v>
      </c>
    </row>
    <row r="1636">
      <c r="A1636" s="234" t="s">
        <v>3330</v>
      </c>
      <c r="B1636" s="234" t="str">
        <f>IFERROR(__xludf.DUMMYFUNCTION("""COMPUTED_VALUE"""),"SoC_RJ_Duque de Caxias")</f>
        <v>SoC_RJ_Duque de Caxias</v>
      </c>
      <c r="C1636" s="234" t="str">
        <f>IFERROR(__xludf.DUMMYFUNCTION("""COMPUTED_VALUE"""),"SOC-RJ2")</f>
        <v>SOC-RJ2</v>
      </c>
      <c r="D1636" s="234">
        <f>IFERROR(__xludf.DUMMYFUNCTION("""COMPUTED_VALUE"""),93.0)</f>
        <v>93</v>
      </c>
      <c r="E1636" s="237" t="str">
        <f>IFERROR(__xludf.DUMMYFUNCTION("""COMPUTED_VALUE"""),"LT0PC101T2RQ3")</f>
        <v>LT0PC101T2RQ3</v>
      </c>
      <c r="F1636" s="238" t="str">
        <f>IFERROR(__xludf.DUMMYFUNCTION("""COMPUTED_VALUE"""),"FXK2E00,NLQ2F75")</f>
        <v>FXK2E00,NLQ2F75</v>
      </c>
      <c r="G1636" s="238">
        <f>IFERROR(__xludf.DUMMYFUNCTION("""COMPUTED_VALUE"""),45992.91666666667)</f>
        <v>45992.91667</v>
      </c>
      <c r="H1636" s="238">
        <f>IFERROR(__xludf.DUMMYFUNCTION("""COMPUTED_VALUE"""),45993.29166666667)</f>
        <v>45993.29167</v>
      </c>
      <c r="I1636" s="237" t="str">
        <f t="shared" si="1"/>
        <v>Fora</v>
      </c>
      <c r="J1636" s="239">
        <v>540.0</v>
      </c>
    </row>
    <row r="1637">
      <c r="A1637" s="234" t="s">
        <v>3331</v>
      </c>
      <c r="B1637" s="234" t="str">
        <f>IFERROR(__xludf.DUMMYFUNCTION("""COMPUTED_VALUE"""),"SoC_SP_Cravinhos")</f>
        <v>SoC_SP_Cravinhos</v>
      </c>
      <c r="C1637" s="234" t="str">
        <f>IFERROR(__xludf.DUMMYFUNCTION("""COMPUTED_VALUE"""),"SOC-SP5")</f>
        <v>SOC-SP5</v>
      </c>
      <c r="D1637" s="234">
        <f>IFERROR(__xludf.DUMMYFUNCTION("""COMPUTED_VALUE"""),94.0)</f>
        <v>94</v>
      </c>
      <c r="E1637" s="237" t="str">
        <f>IFERROR(__xludf.DUMMYFUNCTION("""COMPUTED_VALUE"""),"LT0PC101T0CR2")</f>
        <v>LT0PC101T0CR2</v>
      </c>
      <c r="F1637" s="238" t="str">
        <f>IFERROR(__xludf.DUMMYFUNCTION("""COMPUTED_VALUE"""),"HOF1C75,FHH0320")</f>
        <v>HOF1C75,FHH0320</v>
      </c>
      <c r="G1637" s="238">
        <f>IFERROR(__xludf.DUMMYFUNCTION("""COMPUTED_VALUE"""),45992.91666666667)</f>
        <v>45992.91667</v>
      </c>
      <c r="H1637" s="238">
        <f>IFERROR(__xludf.DUMMYFUNCTION("""COMPUTED_VALUE"""),45993.29166666667)</f>
        <v>45993.29167</v>
      </c>
      <c r="I1637" s="237" t="str">
        <f t="shared" si="1"/>
        <v>Fora</v>
      </c>
      <c r="J1637" s="239">
        <v>539.0000000072177</v>
      </c>
    </row>
    <row r="1638">
      <c r="A1638" s="234" t="s">
        <v>3332</v>
      </c>
      <c r="B1638" s="234" t="str">
        <f>IFERROR(__xludf.DUMMYFUNCTION("""COMPUTED_VALUE"""),"SoC_MG_Betim")</f>
        <v>SoC_MG_Betim</v>
      </c>
      <c r="C1638" s="234" t="str">
        <f>IFERROR(__xludf.DUMMYFUNCTION("""COMPUTED_VALUE"""),"SOC-MG2")</f>
        <v>SOC-MG2</v>
      </c>
      <c r="D1638" s="234">
        <f>IFERROR(__xludf.DUMMYFUNCTION("""COMPUTED_VALUE"""),90.0)</f>
        <v>90</v>
      </c>
      <c r="E1638" s="237" t="str">
        <f>IFERROR(__xludf.DUMMYFUNCTION("""COMPUTED_VALUE"""),"LT0PC101TA8V1")</f>
        <v>LT0PC101TA8V1</v>
      </c>
      <c r="F1638" s="238" t="str">
        <f>IFERROR(__xludf.DUMMYFUNCTION("""COMPUTED_VALUE"""),"PYS7I47,FFW4815")</f>
        <v>PYS7I47,FFW4815</v>
      </c>
      <c r="G1638" s="238">
        <f>IFERROR(__xludf.DUMMYFUNCTION("""COMPUTED_VALUE"""),45992.91736111111)</f>
        <v>45992.91736</v>
      </c>
      <c r="H1638" s="238">
        <f>IFERROR(__xludf.DUMMYFUNCTION("""COMPUTED_VALUE"""),45993.29166666667)</f>
        <v>45993.29167</v>
      </c>
      <c r="I1638" s="237" t="str">
        <f t="shared" si="1"/>
        <v>Fora</v>
      </c>
      <c r="J1638" s="239">
        <v>420.0000000069849</v>
      </c>
    </row>
    <row r="1639">
      <c r="A1639" s="234" t="s">
        <v>3333</v>
      </c>
      <c r="B1639" s="234" t="str">
        <f>IFERROR(__xludf.DUMMYFUNCTION("""COMPUTED_VALUE"""),"SoC_SP_Cravinhos")</f>
        <v>SoC_SP_Cravinhos</v>
      </c>
      <c r="C1639" s="234" t="str">
        <f>IFERROR(__xludf.DUMMYFUNCTION("""COMPUTED_VALUE"""),"SOC-SP5")</f>
        <v>SOC-SP5</v>
      </c>
      <c r="D1639" s="234">
        <f>IFERROR(__xludf.DUMMYFUNCTION("""COMPUTED_VALUE"""),42.0)</f>
        <v>42</v>
      </c>
      <c r="E1639" s="237" t="str">
        <f>IFERROR(__xludf.DUMMYFUNCTION("""COMPUTED_VALUE"""),"LT0PC101T0CP1")</f>
        <v>LT0PC101T0CP1</v>
      </c>
      <c r="F1639" s="238" t="str">
        <f>IFERROR(__xludf.DUMMYFUNCTION("""COMPUTED_VALUE"""),"IWG0J80,KVS1D92")</f>
        <v>IWG0J80,KVS1D92</v>
      </c>
      <c r="G1639" s="238">
        <f>IFERROR(__xludf.DUMMYFUNCTION("""COMPUTED_VALUE"""),45993.0)</f>
        <v>45993</v>
      </c>
      <c r="H1639" s="238">
        <f>IFERROR(__xludf.DUMMYFUNCTION("""COMPUTED_VALUE"""),45993.29166666667)</f>
        <v>45993.29167</v>
      </c>
      <c r="I1639" s="237" t="str">
        <f t="shared" si="1"/>
        <v>Fora</v>
      </c>
      <c r="J1639" s="239">
        <v>240.00000000698492</v>
      </c>
    </row>
    <row r="1640">
      <c r="A1640" s="234" t="s">
        <v>3334</v>
      </c>
      <c r="B1640" s="234" t="str">
        <f>IFERROR(__xludf.DUMMYFUNCTION("""COMPUTED_VALUE"""),"SoC_GO_Goiânia_02")</f>
        <v>SoC_GO_Goiânia_02</v>
      </c>
      <c r="C1640" s="234" t="str">
        <f>IFERROR(__xludf.DUMMYFUNCTION("""COMPUTED_VALUE"""),"SOC-GO2")</f>
        <v>SOC-GO2</v>
      </c>
      <c r="D1640" s="234"/>
      <c r="E1640" s="237" t="str">
        <f>IFERROR(__xludf.DUMMYFUNCTION("""COMPUTED_VALUE"""),"LT1PC201TG731")</f>
        <v>LT1PC201TG731</v>
      </c>
      <c r="F1640" s="238" t="str">
        <f>IFERROR(__xludf.DUMMYFUNCTION("""COMPUTED_VALUE"""),"CVN4642,FUZ7468")</f>
        <v>CVN4642,FUZ7468</v>
      </c>
      <c r="G1640" s="238">
        <f>IFERROR(__xludf.DUMMYFUNCTION("""COMPUTED_VALUE"""),45993.125)</f>
        <v>45993.125</v>
      </c>
      <c r="H1640" s="238">
        <f>IFERROR(__xludf.DUMMYFUNCTION("""COMPUTED_VALUE"""),45993.29166666667)</f>
        <v>45993.29167</v>
      </c>
      <c r="I1640" s="237" t="str">
        <f t="shared" si="1"/>
        <v>Fora</v>
      </c>
      <c r="J1640" s="239">
        <v>120.00000001396984</v>
      </c>
    </row>
    <row r="1641">
      <c r="A1641" s="234" t="s">
        <v>3335</v>
      </c>
      <c r="B1641" s="234" t="str">
        <f>IFERROR(__xludf.DUMMYFUNCTION("""COMPUTED_VALUE"""),"LM Hub_SP_Barueri_01")</f>
        <v>LM Hub_SP_Barueri_01</v>
      </c>
      <c r="C1641" s="234" t="str">
        <f>IFERROR(__xludf.DUMMYFUNCTION("""COMPUTED_VALUE"""),"HUB-LSP-81")</f>
        <v>HUB-LSP-81</v>
      </c>
      <c r="D1641" s="234">
        <f>IFERROR(__xludf.DUMMYFUNCTION("""COMPUTED_VALUE"""),16.0)</f>
        <v>16</v>
      </c>
      <c r="E1641" s="237" t="str">
        <f>IFERROR(__xludf.DUMMYFUNCTION("""COMPUTED_VALUE"""),"LT0PC201T65V1")</f>
        <v>LT0PC201T65V1</v>
      </c>
      <c r="F1641" s="238" t="str">
        <f>IFERROR(__xludf.DUMMYFUNCTION("""COMPUTED_VALUE"""),"OPY9J66")</f>
        <v>OPY9J66</v>
      </c>
      <c r="G1641" s="238">
        <f>IFERROR(__xludf.DUMMYFUNCTION("""COMPUTED_VALUE"""),45993.20833333333)</f>
        <v>45993.20833</v>
      </c>
      <c r="H1641" s="238">
        <f>IFERROR(__xludf.DUMMYFUNCTION("""COMPUTED_VALUE"""),45993.29166666667)</f>
        <v>45993.29167</v>
      </c>
      <c r="I1641" s="237" t="str">
        <f t="shared" si="1"/>
        <v>Fora</v>
      </c>
      <c r="J1641" s="239">
        <v>120.00000001396984</v>
      </c>
    </row>
    <row r="1642">
      <c r="A1642" s="234" t="s">
        <v>3336</v>
      </c>
      <c r="B1642" s="234" t="str">
        <f>IFERROR(__xludf.DUMMYFUNCTION("""COMPUTED_VALUE"""),"LM Hub_SP_Jundiaí")</f>
        <v>LM Hub_SP_Jundiaí</v>
      </c>
      <c r="C1642" s="234" t="str">
        <f>IFERROR(__xludf.DUMMYFUNCTION("""COMPUTED_VALUE"""),"HUB-LSP-100")</f>
        <v>HUB-LSP-100</v>
      </c>
      <c r="D1642" s="234">
        <f>IFERROR(__xludf.DUMMYFUNCTION("""COMPUTED_VALUE"""),5.0)</f>
        <v>5</v>
      </c>
      <c r="E1642" s="237" t="str">
        <f>IFERROR(__xludf.DUMMYFUNCTION("""COMPUTED_VALUE"""),"LT0PC201T7OV1")</f>
        <v>LT0PC201T7OV1</v>
      </c>
      <c r="F1642" s="238" t="str">
        <f>IFERROR(__xludf.DUMMYFUNCTION("""COMPUTED_VALUE"""),"UGN5F59")</f>
        <v>UGN5F59</v>
      </c>
      <c r="G1642" s="238">
        <f>IFERROR(__xludf.DUMMYFUNCTION("""COMPUTED_VALUE"""),45993.20833333333)</f>
        <v>45993.20833</v>
      </c>
      <c r="H1642" s="238">
        <f>IFERROR(__xludf.DUMMYFUNCTION("""COMPUTED_VALUE"""),45993.29166666667)</f>
        <v>45993.29167</v>
      </c>
      <c r="I1642" s="237" t="str">
        <f t="shared" si="1"/>
        <v>Fora</v>
      </c>
      <c r="J1642" s="239">
        <v>120.00000001396984</v>
      </c>
    </row>
    <row r="1643">
      <c r="A1643" s="234" t="s">
        <v>3337</v>
      </c>
      <c r="B1643" s="234" t="str">
        <f>IFERROR(__xludf.DUMMYFUNCTION("""COMPUTED_VALUE"""),"LM Hub_SP_Santos_PraiaGrande_02")</f>
        <v>LM Hub_SP_Santos_PraiaGrande_02</v>
      </c>
      <c r="C1643" s="234" t="str">
        <f>IFERROR(__xludf.DUMMYFUNCTION("""COMPUTED_VALUE"""),"HUB-LSP-63")</f>
        <v>HUB-LSP-63</v>
      </c>
      <c r="D1643" s="234">
        <f>IFERROR(__xludf.DUMMYFUNCTION("""COMPUTED_VALUE"""),25.0)</f>
        <v>25</v>
      </c>
      <c r="E1643" s="237" t="str">
        <f>IFERROR(__xludf.DUMMYFUNCTION("""COMPUTED_VALUE"""),"LT0PC201T1NF1")</f>
        <v>LT0PC201T1NF1</v>
      </c>
      <c r="F1643" s="238" t="str">
        <f>IFERROR(__xludf.DUMMYFUNCTION("""COMPUTED_VALUE"""),"FOZ4671,TIY0B07")</f>
        <v>FOZ4671,TIY0B07</v>
      </c>
      <c r="G1643" s="238">
        <f>IFERROR(__xludf.DUMMYFUNCTION("""COMPUTED_VALUE"""),45993.20833333333)</f>
        <v>45993.20833</v>
      </c>
      <c r="H1643" s="238">
        <f>IFERROR(__xludf.DUMMYFUNCTION("""COMPUTED_VALUE"""),45993.29166666667)</f>
        <v>45993.29167</v>
      </c>
      <c r="I1643" s="237" t="str">
        <f t="shared" si="1"/>
        <v>Fora</v>
      </c>
      <c r="J1643" s="239">
        <v>120.00000001396984</v>
      </c>
    </row>
    <row r="1644">
      <c r="A1644" s="234" t="s">
        <v>3338</v>
      </c>
      <c r="B1644" s="234" t="str">
        <f>IFERROR(__xludf.DUMMYFUNCTION("""COMPUTED_VALUE"""),"SoC_SP_Santana")</f>
        <v>SoC_SP_Santana</v>
      </c>
      <c r="C1644" s="234" t="str">
        <f>IFERROR(__xludf.DUMMYFUNCTION("""COMPUTED_VALUE"""),"SOC-SP2")</f>
        <v>SOC-SP2</v>
      </c>
      <c r="D1644" s="234">
        <f>IFERROR(__xludf.DUMMYFUNCTION("""COMPUTED_VALUE"""),33.0)</f>
        <v>33</v>
      </c>
      <c r="E1644" s="237" t="str">
        <f>IFERROR(__xludf.DUMMYFUNCTION("""COMPUTED_VALUE"""),"LT0PC201T0WK1")</f>
        <v>LT0PC201T0WK1</v>
      </c>
      <c r="F1644" s="238" t="str">
        <f>IFERROR(__xludf.DUMMYFUNCTION("""COMPUTED_VALUE"""),"FOD5C14,CYR3A18")</f>
        <v>FOD5C14,CYR3A18</v>
      </c>
      <c r="G1644" s="238">
        <f>IFERROR(__xludf.DUMMYFUNCTION("""COMPUTED_VALUE"""),45993.20833333333)</f>
        <v>45993.20833</v>
      </c>
      <c r="H1644" s="238">
        <f>IFERROR(__xludf.DUMMYFUNCTION("""COMPUTED_VALUE"""),45993.29166666667)</f>
        <v>45993.29167</v>
      </c>
      <c r="I1644" s="237" t="str">
        <f t="shared" si="1"/>
        <v>Fora</v>
      </c>
      <c r="J1644" s="239">
        <v>119.00000001071021</v>
      </c>
    </row>
    <row r="1645">
      <c r="A1645" s="234" t="s">
        <v>3339</v>
      </c>
      <c r="B1645" s="234" t="str">
        <f>IFERROR(__xludf.DUMMYFUNCTION("""COMPUTED_VALUE"""),"LM Hub_SP_Jurubatuba")</f>
        <v>LM Hub_SP_Jurubatuba</v>
      </c>
      <c r="C1645" s="234" t="str">
        <f>IFERROR(__xludf.DUMMYFUNCTION("""COMPUTED_VALUE"""),"HUB-LSP-16")</f>
        <v>HUB-LSP-16</v>
      </c>
      <c r="D1645" s="234">
        <f>IFERROR(__xludf.DUMMYFUNCTION("""COMPUTED_VALUE"""),21.0)</f>
        <v>21</v>
      </c>
      <c r="E1645" s="237" t="str">
        <f>IFERROR(__xludf.DUMMYFUNCTION("""COMPUTED_VALUE"""),"LT0PC201T1MA1")</f>
        <v>LT0PC201T1MA1</v>
      </c>
      <c r="F1645" s="238" t="str">
        <f>IFERROR(__xludf.DUMMYFUNCTION("""COMPUTED_VALUE"""),"CUA7C61,FPW0F14")</f>
        <v>CUA7C61,FPW0F14</v>
      </c>
      <c r="G1645" s="238">
        <f>IFERROR(__xludf.DUMMYFUNCTION("""COMPUTED_VALUE"""),45993.209027777775)</f>
        <v>45993.20903</v>
      </c>
      <c r="H1645" s="238">
        <f>IFERROR(__xludf.DUMMYFUNCTION("""COMPUTED_VALUE"""),45993.29166666667)</f>
        <v>45993.29167</v>
      </c>
      <c r="I1645" s="237" t="str">
        <f t="shared" si="1"/>
        <v>Fora</v>
      </c>
      <c r="J1645" s="239">
        <v>119.00000001071021</v>
      </c>
    </row>
    <row r="1646">
      <c r="A1646" s="234" t="s">
        <v>3340</v>
      </c>
      <c r="B1646" s="234" t="str">
        <f>IFERROR(__xludf.DUMMYFUNCTION("""COMPUTED_VALUE"""),"LM Hub_SP_Piracicaba")</f>
        <v>LM Hub_SP_Piracicaba</v>
      </c>
      <c r="C1646" s="234" t="str">
        <f>IFERROR(__xludf.DUMMYFUNCTION("""COMPUTED_VALUE"""),"HUB-LSP-62")</f>
        <v>HUB-LSP-62</v>
      </c>
      <c r="D1646" s="234"/>
      <c r="E1646" s="237" t="str">
        <f>IFERROR(__xludf.DUMMYFUNCTION("""COMPUTED_VALUE"""),"LT0PC201TAFA1")</f>
        <v>LT0PC201TAFA1</v>
      </c>
      <c r="F1646" s="238" t="str">
        <f>IFERROR(__xludf.DUMMYFUNCTION("""COMPUTED_VALUE"""),"EWJ1C48")</f>
        <v>EWJ1C48</v>
      </c>
      <c r="G1646" s="238">
        <f>IFERROR(__xludf.DUMMYFUNCTION("""COMPUTED_VALUE"""),45993.209027777775)</f>
        <v>45993.20903</v>
      </c>
      <c r="H1646" s="238">
        <f>IFERROR(__xludf.DUMMYFUNCTION("""COMPUTED_VALUE"""),45993.29166666667)</f>
        <v>45993.29167</v>
      </c>
      <c r="I1646" s="237" t="str">
        <f t="shared" si="1"/>
        <v>Fora</v>
      </c>
      <c r="J1646" s="239">
        <v>119.99999999301508</v>
      </c>
    </row>
    <row r="1647">
      <c r="A1647" s="234" t="s">
        <v>3341</v>
      </c>
      <c r="B1647" s="234" t="str">
        <f>IFERROR(__xludf.DUMMYFUNCTION("""COMPUTED_VALUE"""),"LM Hub_SP_Guarujá")</f>
        <v>LM Hub_SP_Guarujá</v>
      </c>
      <c r="C1647" s="234" t="str">
        <f>IFERROR(__xludf.DUMMYFUNCTION("""COMPUTED_VALUE"""),"HUB-LSP-06")</f>
        <v>HUB-LSP-06</v>
      </c>
      <c r="D1647" s="234">
        <f>IFERROR(__xludf.DUMMYFUNCTION("""COMPUTED_VALUE"""),9.0)</f>
        <v>9</v>
      </c>
      <c r="E1647" s="237" t="str">
        <f>IFERROR(__xludf.DUMMYFUNCTION("""COMPUTED_VALUE"""),"LT0PC201T1MV1")</f>
        <v>LT0PC201T1MV1</v>
      </c>
      <c r="F1647" s="238" t="str">
        <f>IFERROR(__xludf.DUMMYFUNCTION("""COMPUTED_VALUE"""),"DIK3532")</f>
        <v>DIK3532</v>
      </c>
      <c r="G1647" s="238">
        <f>IFERROR(__xludf.DUMMYFUNCTION("""COMPUTED_VALUE"""),45993.22916666667)</f>
        <v>45993.22917</v>
      </c>
      <c r="H1647" s="238">
        <f>IFERROR(__xludf.DUMMYFUNCTION("""COMPUTED_VALUE"""),45993.3125)</f>
        <v>45993.3125</v>
      </c>
      <c r="I1647" s="237" t="str">
        <f t="shared" si="1"/>
        <v>Fora</v>
      </c>
      <c r="J1647" s="239">
        <v>119.99999999301508</v>
      </c>
    </row>
    <row r="1648">
      <c r="A1648" s="234" t="s">
        <v>3342</v>
      </c>
      <c r="B1648" s="234" t="str">
        <f>IFERROR(__xludf.DUMMYFUNCTION("""COMPUTED_VALUE"""),"LM Hub_SP_Itapevi")</f>
        <v>LM Hub_SP_Itapevi</v>
      </c>
      <c r="C1648" s="234" t="str">
        <f>IFERROR(__xludf.DUMMYFUNCTION("""COMPUTED_VALUE"""),"HUB-LSP-41")</f>
        <v>HUB-LSP-41</v>
      </c>
      <c r="D1648" s="234">
        <f>IFERROR(__xludf.DUMMYFUNCTION("""COMPUTED_VALUE"""),13.0)</f>
        <v>13</v>
      </c>
      <c r="E1648" s="237" t="str">
        <f>IFERROR(__xludf.DUMMYFUNCTION("""COMPUTED_VALUE"""),"LT0PC201T0EQ1")</f>
        <v>LT0PC201T0EQ1</v>
      </c>
      <c r="F1648" s="238" t="str">
        <f>IFERROR(__xludf.DUMMYFUNCTION("""COMPUTED_VALUE"""),"DPF6F59")</f>
        <v>DPF6F59</v>
      </c>
      <c r="G1648" s="238">
        <f>IFERROR(__xludf.DUMMYFUNCTION("""COMPUTED_VALUE"""),45993.22916666667)</f>
        <v>45993.22917</v>
      </c>
      <c r="H1648" s="238">
        <f>IFERROR(__xludf.DUMMYFUNCTION("""COMPUTED_VALUE"""),45993.3125)</f>
        <v>45993.3125</v>
      </c>
      <c r="I1648" s="237" t="str">
        <f t="shared" si="1"/>
        <v>Fora</v>
      </c>
      <c r="J1648" s="239">
        <v>119.99999999301508</v>
      </c>
    </row>
    <row r="1649">
      <c r="A1649" s="234" t="s">
        <v>3343</v>
      </c>
      <c r="B1649" s="234" t="str">
        <f>IFERROR(__xludf.DUMMYFUNCTION("""COMPUTED_VALUE"""),"LM Hub_SP_Itaqua_Zimba")</f>
        <v>LM Hub_SP_Itaqua_Zimba</v>
      </c>
      <c r="C1649" s="234" t="str">
        <f>IFERROR(__xludf.DUMMYFUNCTION("""COMPUTED_VALUE"""),"HUB-LSP-74")</f>
        <v>HUB-LSP-74</v>
      </c>
      <c r="D1649" s="234">
        <f>IFERROR(__xludf.DUMMYFUNCTION("""COMPUTED_VALUE"""),26.0)</f>
        <v>26</v>
      </c>
      <c r="E1649" s="237" t="str">
        <f>IFERROR(__xludf.DUMMYFUNCTION("""COMPUTED_VALUE"""),"LT0PC201T1MQ1")</f>
        <v>LT0PC201T1MQ1</v>
      </c>
      <c r="F1649" s="238" t="str">
        <f>IFERROR(__xludf.DUMMYFUNCTION("""COMPUTED_VALUE"""),"GDQ4B07,GGI8F52")</f>
        <v>GDQ4B07,GGI8F52</v>
      </c>
      <c r="G1649" s="238">
        <f>IFERROR(__xludf.DUMMYFUNCTION("""COMPUTED_VALUE"""),45993.22916666667)</f>
        <v>45993.22917</v>
      </c>
      <c r="H1649" s="238">
        <f>IFERROR(__xludf.DUMMYFUNCTION("""COMPUTED_VALUE"""),45993.3125)</f>
        <v>45993.3125</v>
      </c>
      <c r="I1649" s="237" t="str">
        <f t="shared" si="1"/>
        <v>Fora</v>
      </c>
      <c r="J1649" s="239">
        <v>119.99999999301508</v>
      </c>
    </row>
    <row r="1650">
      <c r="A1650" s="234" t="s">
        <v>3344</v>
      </c>
      <c r="B1650" s="234" t="str">
        <f>IFERROR(__xludf.DUMMYFUNCTION("""COMPUTED_VALUE"""),"LM Hub_SP_Santos_Praia Grande")</f>
        <v>LM Hub_SP_Santos_Praia Grande</v>
      </c>
      <c r="C1650" s="234" t="str">
        <f>IFERROR(__xludf.DUMMYFUNCTION("""COMPUTED_VALUE"""),"HUB-LSP-09")</f>
        <v>HUB-LSP-09</v>
      </c>
      <c r="D1650" s="234">
        <f>IFERROR(__xludf.DUMMYFUNCTION("""COMPUTED_VALUE"""),28.0)</f>
        <v>28</v>
      </c>
      <c r="E1650" s="237" t="str">
        <f>IFERROR(__xludf.DUMMYFUNCTION("""COMPUTED_VALUE"""),"LT0PC201T1N01")</f>
        <v>LT0PC201T1N01</v>
      </c>
      <c r="F1650" s="238" t="str">
        <f>IFERROR(__xludf.DUMMYFUNCTION("""COMPUTED_VALUE"""),"GDW1D96")</f>
        <v>GDW1D96</v>
      </c>
      <c r="G1650" s="238">
        <f>IFERROR(__xludf.DUMMYFUNCTION("""COMPUTED_VALUE"""),45993.22916666667)</f>
        <v>45993.22917</v>
      </c>
      <c r="H1650" s="238">
        <f>IFERROR(__xludf.DUMMYFUNCTION("""COMPUTED_VALUE"""),45993.3125)</f>
        <v>45993.3125</v>
      </c>
      <c r="I1650" s="237" t="str">
        <f t="shared" si="1"/>
        <v>Fora</v>
      </c>
      <c r="J1650" s="239">
        <v>119.99999999301508</v>
      </c>
    </row>
    <row r="1651">
      <c r="A1651" s="234" t="s">
        <v>3345</v>
      </c>
      <c r="B1651" s="234" t="str">
        <f>IFERROR(__xludf.DUMMYFUNCTION("""COMPUTED_VALUE"""),"LM Hub_SP_São José dos Campos")</f>
        <v>LM Hub_SP_São José dos Campos</v>
      </c>
      <c r="C1651" s="234" t="str">
        <f>IFERROR(__xludf.DUMMYFUNCTION("""COMPUTED_VALUE"""),"HUB-LSP-04")</f>
        <v>HUB-LSP-04</v>
      </c>
      <c r="D1651" s="234">
        <f>IFERROR(__xludf.DUMMYFUNCTION("""COMPUTED_VALUE"""),19.0)</f>
        <v>19</v>
      </c>
      <c r="E1651" s="237" t="str">
        <f>IFERROR(__xludf.DUMMYFUNCTION("""COMPUTED_VALUE"""),"LT0PC201T1N51")</f>
        <v>LT0PC201T1N51</v>
      </c>
      <c r="F1651" s="238" t="str">
        <f>IFERROR(__xludf.DUMMYFUNCTION("""COMPUTED_VALUE"""),"JBO1I53")</f>
        <v>JBO1I53</v>
      </c>
      <c r="G1651" s="238">
        <f>IFERROR(__xludf.DUMMYFUNCTION("""COMPUTED_VALUE"""),45993.22916666667)</f>
        <v>45993.22917</v>
      </c>
      <c r="H1651" s="238">
        <f>IFERROR(__xludf.DUMMYFUNCTION("""COMPUTED_VALUE"""),45993.3125)</f>
        <v>45993.3125</v>
      </c>
      <c r="I1651" s="237" t="str">
        <f t="shared" si="1"/>
        <v>Fora</v>
      </c>
      <c r="J1651" s="239">
        <v>119.99999999301508</v>
      </c>
    </row>
    <row r="1652">
      <c r="A1652" s="234" t="s">
        <v>3346</v>
      </c>
      <c r="B1652" s="234" t="str">
        <f>IFERROR(__xludf.DUMMYFUNCTION("""COMPUTED_VALUE"""),"LM Hub_SP_São Paulo_Mooca")</f>
        <v>LM Hub_SP_São Paulo_Mooca</v>
      </c>
      <c r="C1652" s="234" t="str">
        <f>IFERROR(__xludf.DUMMYFUNCTION("""COMPUTED_VALUE"""),"HUB-LSP-13")</f>
        <v>HUB-LSP-13</v>
      </c>
      <c r="D1652" s="234">
        <f>IFERROR(__xludf.DUMMYFUNCTION("""COMPUTED_VALUE"""),6.0)</f>
        <v>6</v>
      </c>
      <c r="E1652" s="237" t="str">
        <f>IFERROR(__xludf.DUMMYFUNCTION("""COMPUTED_VALUE"""),"LT0PC201TAJ41")</f>
        <v>LT0PC201TAJ41</v>
      </c>
      <c r="F1652" s="238" t="str">
        <f>IFERROR(__xludf.DUMMYFUNCTION("""COMPUTED_VALUE"""),"PEP9J38")</f>
        <v>PEP9J38</v>
      </c>
      <c r="G1652" s="238">
        <f>IFERROR(__xludf.DUMMYFUNCTION("""COMPUTED_VALUE"""),45993.22916666667)</f>
        <v>45993.22917</v>
      </c>
      <c r="H1652" s="238">
        <f>IFERROR(__xludf.DUMMYFUNCTION("""COMPUTED_VALUE"""),45993.3125)</f>
        <v>45993.3125</v>
      </c>
      <c r="I1652" s="237" t="str">
        <f t="shared" si="1"/>
        <v>Fora</v>
      </c>
      <c r="J1652" s="239">
        <v>479.9999999930151</v>
      </c>
    </row>
    <row r="1653">
      <c r="A1653" s="234" t="s">
        <v>3347</v>
      </c>
      <c r="B1653" s="234" t="str">
        <f>IFERROR(__xludf.DUMMYFUNCTION("""COMPUTED_VALUE"""),"SoC_BA_Simoes Filho")</f>
        <v>SoC_BA_Simoes Filho</v>
      </c>
      <c r="C1653" s="234" t="str">
        <f>IFERROR(__xludf.DUMMYFUNCTION("""COMPUTED_VALUE"""),"SOC-BA2")</f>
        <v>SOC-BA2</v>
      </c>
      <c r="D1653" s="234">
        <f>IFERROR(__xludf.DUMMYFUNCTION("""COMPUTED_VALUE"""),89.0)</f>
        <v>89</v>
      </c>
      <c r="E1653" s="237" t="str">
        <f>IFERROR(__xludf.DUMMYFUNCTION("""COMPUTED_VALUE"""),"LT0PC101T6JW2")</f>
        <v>LT0PC101T6JW2</v>
      </c>
      <c r="F1653" s="238" t="str">
        <f>IFERROR(__xludf.DUMMYFUNCTION("""COMPUTED_VALUE"""),"FCE0H12,TDE5A92")</f>
        <v>FCE0H12,TDE5A92</v>
      </c>
      <c r="G1653" s="238">
        <f>IFERROR(__xludf.DUMMYFUNCTION("""COMPUTED_VALUE"""),45993.0)</f>
        <v>45993</v>
      </c>
      <c r="H1653" s="238">
        <f>IFERROR(__xludf.DUMMYFUNCTION("""COMPUTED_VALUE"""),45993.33333333333)</f>
        <v>45993.33333</v>
      </c>
      <c r="I1653" s="237" t="str">
        <f t="shared" si="1"/>
        <v>Fora</v>
      </c>
      <c r="J1653" s="239">
        <v>360.0</v>
      </c>
    </row>
    <row r="1654">
      <c r="A1654" s="234" t="s">
        <v>3348</v>
      </c>
      <c r="B1654" s="234" t="str">
        <f>IFERROR(__xludf.DUMMYFUNCTION("""COMPUTED_VALUE"""),"SoC_RJ_Duque de Caxias")</f>
        <v>SoC_RJ_Duque de Caxias</v>
      </c>
      <c r="C1654" s="234" t="str">
        <f>IFERROR(__xludf.DUMMYFUNCTION("""COMPUTED_VALUE"""),"SOC-RJ2")</f>
        <v>SOC-RJ2</v>
      </c>
      <c r="D1654" s="234">
        <f>IFERROR(__xludf.DUMMYFUNCTION("""COMPUTED_VALUE"""),93.0)</f>
        <v>93</v>
      </c>
      <c r="E1654" s="237" t="str">
        <f>IFERROR(__xludf.DUMMYFUNCTION("""COMPUTED_VALUE"""),"LT0PC101T2RM1")</f>
        <v>LT0PC101T2RM1</v>
      </c>
      <c r="F1654" s="238" t="str">
        <f>IFERROR(__xludf.DUMMYFUNCTION("""COMPUTED_VALUE"""),"GAT5B53,DBL0A55")</f>
        <v>GAT5B53,DBL0A55</v>
      </c>
      <c r="G1654" s="238">
        <f>IFERROR(__xludf.DUMMYFUNCTION("""COMPUTED_VALUE"""),45993.08333333333)</f>
        <v>45993.08333</v>
      </c>
      <c r="H1654" s="238">
        <f>IFERROR(__xludf.DUMMYFUNCTION("""COMPUTED_VALUE"""),45993.33333333333)</f>
        <v>45993.33333</v>
      </c>
      <c r="I1654" s="237" t="str">
        <f t="shared" si="1"/>
        <v>Fora</v>
      </c>
      <c r="J1654" s="239">
        <v>118.99999998975545</v>
      </c>
    </row>
    <row r="1655">
      <c r="A1655" s="234" t="s">
        <v>3349</v>
      </c>
      <c r="B1655" s="234" t="str">
        <f>IFERROR(__xludf.DUMMYFUNCTION("""COMPUTED_VALUE"""),"LM Hub_SP_São Bernardo do Campo")</f>
        <v>LM Hub_SP_São Bernardo do Campo</v>
      </c>
      <c r="C1655" s="234" t="str">
        <f>IFERROR(__xludf.DUMMYFUNCTION("""COMPUTED_VALUE"""),"HUB-LSP-79")</f>
        <v>HUB-LSP-79</v>
      </c>
      <c r="D1655" s="234">
        <f>IFERROR(__xludf.DUMMYFUNCTION("""COMPUTED_VALUE"""),23.0)</f>
        <v>23</v>
      </c>
      <c r="E1655" s="237" t="str">
        <f>IFERROR(__xludf.DUMMYFUNCTION("""COMPUTED_VALUE"""),"LT0PC201TAEK1")</f>
        <v>LT0PC201TAEK1</v>
      </c>
      <c r="F1655" s="238" t="str">
        <f>IFERROR(__xludf.DUMMYFUNCTION("""COMPUTED_VALUE"""),"FNK8E47,FAM1829")</f>
        <v>FNK8E47,FAM1829</v>
      </c>
      <c r="G1655" s="238">
        <f>IFERROR(__xludf.DUMMYFUNCTION("""COMPUTED_VALUE"""),45993.25069444445)</f>
        <v>45993.25069</v>
      </c>
      <c r="H1655" s="238">
        <f>IFERROR(__xludf.DUMMYFUNCTION("""COMPUTED_VALUE"""),45993.33333333333)</f>
        <v>45993.33333</v>
      </c>
      <c r="I1655" s="237" t="str">
        <f t="shared" si="1"/>
        <v>Fora</v>
      </c>
      <c r="J1655" s="239">
        <v>120.00000001396984</v>
      </c>
    </row>
    <row r="1656">
      <c r="A1656" s="234" t="s">
        <v>3350</v>
      </c>
      <c r="B1656" s="234" t="str">
        <f>IFERROR(__xludf.DUMMYFUNCTION("""COMPUTED_VALUE"""),"LM Hub_SP_Itaqua_Zimba")</f>
        <v>LM Hub_SP_Itaqua_Zimba</v>
      </c>
      <c r="C1656" s="234" t="str">
        <f>IFERROR(__xludf.DUMMYFUNCTION("""COMPUTED_VALUE"""),"HUB-LSP-74")</f>
        <v>HUB-LSP-74</v>
      </c>
      <c r="D1656" s="234">
        <f>IFERROR(__xludf.DUMMYFUNCTION("""COMPUTED_VALUE"""),29.0)</f>
        <v>29</v>
      </c>
      <c r="E1656" s="237" t="str">
        <f>IFERROR(__xludf.DUMMYFUNCTION("""COMPUTED_VALUE"""),"LT0PC201T0FF1")</f>
        <v>LT0PC201T0FF1</v>
      </c>
      <c r="F1656" s="238" t="str">
        <f>IFERROR(__xludf.DUMMYFUNCTION("""COMPUTED_VALUE"""),"FQB9D27,GGI8F52")</f>
        <v>FQB9D27,GGI8F52</v>
      </c>
      <c r="G1656" s="238">
        <f>IFERROR(__xludf.DUMMYFUNCTION("""COMPUTED_VALUE"""),45993.89583333333)</f>
        <v>45993.89583</v>
      </c>
      <c r="H1656" s="238">
        <f>IFERROR(__xludf.DUMMYFUNCTION("""COMPUTED_VALUE"""),45993.97916666667)</f>
        <v>45993.97917</v>
      </c>
      <c r="I1656" s="237" t="str">
        <f t="shared" si="1"/>
        <v>Fora</v>
      </c>
      <c r="J1656" s="239">
        <v>120.00000001396984</v>
      </c>
    </row>
    <row r="1657">
      <c r="A1657" s="234" t="s">
        <v>3351</v>
      </c>
      <c r="B1657" s="234" t="str">
        <f>IFERROR(__xludf.DUMMYFUNCTION("""COMPUTED_VALUE"""),"LM Hub_SP_Jurubatuba")</f>
        <v>LM Hub_SP_Jurubatuba</v>
      </c>
      <c r="C1657" s="234" t="str">
        <f>IFERROR(__xludf.DUMMYFUNCTION("""COMPUTED_VALUE"""),"HUB-LSP-16")</f>
        <v>HUB-LSP-16</v>
      </c>
      <c r="D1657" s="234"/>
      <c r="E1657" s="237" t="str">
        <f>IFERROR(__xludf.DUMMYFUNCTION("""COMPUTED_VALUE"""),"LT0PC201T0EA1")</f>
        <v>LT0PC201T0EA1</v>
      </c>
      <c r="F1657" s="238" t="str">
        <f>IFERROR(__xludf.DUMMYFUNCTION("""COMPUTED_VALUE"""),"MQM6I27,FXB7G01")</f>
        <v>MQM6I27,FXB7G01</v>
      </c>
      <c r="G1657" s="238">
        <f>IFERROR(__xludf.DUMMYFUNCTION("""COMPUTED_VALUE"""),45993.89583333333)</f>
        <v>45993.89583</v>
      </c>
      <c r="H1657" s="238">
        <f>IFERROR(__xludf.DUMMYFUNCTION("""COMPUTED_VALUE"""),45993.97916666667)</f>
        <v>45993.97917</v>
      </c>
      <c r="I1657" s="237" t="str">
        <f t="shared" si="1"/>
        <v>Fora</v>
      </c>
      <c r="J1657" s="239">
        <v>120.00000001396984</v>
      </c>
    </row>
    <row r="1658">
      <c r="A1658" s="234" t="s">
        <v>3352</v>
      </c>
      <c r="B1658" s="234" t="str">
        <f>IFERROR(__xludf.DUMMYFUNCTION("""COMPUTED_VALUE"""),"LM Hub_SP_Mogi das Cruzes_Jund")</f>
        <v>LM Hub_SP_Mogi das Cruzes_Jund</v>
      </c>
      <c r="C1658" s="234" t="str">
        <f>IFERROR(__xludf.DUMMYFUNCTION("""COMPUTED_VALUE"""),"HUB-LSP-78")</f>
        <v>HUB-LSP-78</v>
      </c>
      <c r="D1658" s="234">
        <f>IFERROR(__xludf.DUMMYFUNCTION("""COMPUTED_VALUE"""),44.0)</f>
        <v>44</v>
      </c>
      <c r="E1658" s="237" t="str">
        <f>IFERROR(__xludf.DUMMYFUNCTION("""COMPUTED_VALUE"""),"LT0PC201T3K41")</f>
        <v>LT0PC201T3K41</v>
      </c>
      <c r="F1658" s="238" t="str">
        <f>IFERROR(__xludf.DUMMYFUNCTION("""COMPUTED_VALUE"""),"DTC8058")</f>
        <v>DTC8058</v>
      </c>
      <c r="G1658" s="238">
        <f>IFERROR(__xludf.DUMMYFUNCTION("""COMPUTED_VALUE"""),45993.89583333333)</f>
        <v>45993.89583</v>
      </c>
      <c r="H1658" s="238">
        <f>IFERROR(__xludf.DUMMYFUNCTION("""COMPUTED_VALUE"""),45993.97916666667)</f>
        <v>45993.97917</v>
      </c>
      <c r="I1658" s="237" t="str">
        <f t="shared" si="1"/>
        <v>Fora</v>
      </c>
      <c r="J1658" s="239">
        <v>119.00000001071021</v>
      </c>
    </row>
    <row r="1659">
      <c r="A1659" s="234" t="s">
        <v>3353</v>
      </c>
      <c r="B1659" s="234" t="str">
        <f>IFERROR(__xludf.DUMMYFUNCTION("""COMPUTED_VALUE"""),"LM Hub_SP_Santos_Praia Grande")</f>
        <v>LM Hub_SP_Santos_Praia Grande</v>
      </c>
      <c r="C1659" s="234" t="str">
        <f>IFERROR(__xludf.DUMMYFUNCTION("""COMPUTED_VALUE"""),"HUB-LSP-09")</f>
        <v>HUB-LSP-09</v>
      </c>
      <c r="D1659" s="234"/>
      <c r="E1659" s="237" t="str">
        <f>IFERROR(__xludf.DUMMYFUNCTION("""COMPUTED_VALUE"""),"LT0PC201T0HA1")</f>
        <v>LT0PC201T0HA1</v>
      </c>
      <c r="F1659" s="234"/>
      <c r="G1659" s="238">
        <f>IFERROR(__xludf.DUMMYFUNCTION("""COMPUTED_VALUE"""),45993.896527777775)</f>
        <v>45993.89653</v>
      </c>
      <c r="H1659" s="238">
        <f>IFERROR(__xludf.DUMMYFUNCTION("""COMPUTED_VALUE"""),45993.97916666667)</f>
        <v>45993.97917</v>
      </c>
      <c r="I1659" s="237" t="str">
        <f t="shared" si="1"/>
        <v>Fora</v>
      </c>
      <c r="J1659" s="239">
        <v>119.00000001071021</v>
      </c>
    </row>
    <row r="1660">
      <c r="A1660" s="234" t="s">
        <v>3354</v>
      </c>
      <c r="B1660" s="234" t="str">
        <f>IFERROR(__xludf.DUMMYFUNCTION("""COMPUTED_VALUE"""),"LM Hub_SP_Santos_Praia Grande")</f>
        <v>LM Hub_SP_Santos_Praia Grande</v>
      </c>
      <c r="C1660" s="234" t="str">
        <f>IFERROR(__xludf.DUMMYFUNCTION("""COMPUTED_VALUE"""),"HUB-LSP-09")</f>
        <v>HUB-LSP-09</v>
      </c>
      <c r="D1660" s="234">
        <f>IFERROR(__xludf.DUMMYFUNCTION("""COMPUTED_VALUE"""),32.0)</f>
        <v>32</v>
      </c>
      <c r="E1660" s="237" t="str">
        <f>IFERROR(__xludf.DUMMYFUNCTION("""COMPUTED_VALUE"""),"LT0PC201T0HC2")</f>
        <v>LT0PC201T0HC2</v>
      </c>
      <c r="F1660" s="238" t="str">
        <f>IFERROR(__xludf.DUMMYFUNCTION("""COMPUTED_VALUE"""),"FUZ4C73,TLL9H76")</f>
        <v>FUZ4C73,TLL9H76</v>
      </c>
      <c r="G1660" s="238">
        <f>IFERROR(__xludf.DUMMYFUNCTION("""COMPUTED_VALUE"""),45993.896527777775)</f>
        <v>45993.89653</v>
      </c>
      <c r="H1660" s="238">
        <f>IFERROR(__xludf.DUMMYFUNCTION("""COMPUTED_VALUE"""),45993.97916666667)</f>
        <v>45993.97917</v>
      </c>
      <c r="I1660" s="237" t="str">
        <f t="shared" si="1"/>
        <v>Fora</v>
      </c>
      <c r="J1660" s="239">
        <v>119.00000001071021</v>
      </c>
    </row>
    <row r="1661">
      <c r="A1661" s="234" t="s">
        <v>3355</v>
      </c>
      <c r="B1661" s="234" t="str">
        <f>IFERROR(__xludf.DUMMYFUNCTION("""COMPUTED_VALUE"""),"LM Hub_SP_São José dos Campos")</f>
        <v>LM Hub_SP_São José dos Campos</v>
      </c>
      <c r="C1661" s="234" t="str">
        <f>IFERROR(__xludf.DUMMYFUNCTION("""COMPUTED_VALUE"""),"HUB-LSP-04")</f>
        <v>HUB-LSP-04</v>
      </c>
      <c r="D1661" s="234">
        <f>IFERROR(__xludf.DUMMYFUNCTION("""COMPUTED_VALUE"""),21.0)</f>
        <v>21</v>
      </c>
      <c r="E1661" s="237" t="str">
        <f>IFERROR(__xludf.DUMMYFUNCTION("""COMPUTED_VALUE"""),"LT0PC201TAA51")</f>
        <v>LT0PC201TAA51</v>
      </c>
      <c r="F1661" s="238" t="str">
        <f>IFERROR(__xludf.DUMMYFUNCTION("""COMPUTED_VALUE"""),"TIR7J78")</f>
        <v>TIR7J78</v>
      </c>
      <c r="G1661" s="238">
        <f>IFERROR(__xludf.DUMMYFUNCTION("""COMPUTED_VALUE"""),45993.896527777775)</f>
        <v>45993.89653</v>
      </c>
      <c r="H1661" s="238">
        <f>IFERROR(__xludf.DUMMYFUNCTION("""COMPUTED_VALUE"""),45993.97916666667)</f>
        <v>45993.97917</v>
      </c>
      <c r="I1661" s="237" t="str">
        <f t="shared" si="1"/>
        <v>Fora</v>
      </c>
      <c r="J1661" s="239">
        <v>119.00000001071021</v>
      </c>
    </row>
    <row r="1662">
      <c r="A1662" s="234" t="s">
        <v>3356</v>
      </c>
      <c r="B1662" s="234" t="str">
        <f>IFERROR(__xludf.DUMMYFUNCTION("""COMPUTED_VALUE"""),"LM Hub_SP_São Paulo_Lapa")</f>
        <v>LM Hub_SP_São Paulo_Lapa</v>
      </c>
      <c r="C1662" s="234" t="str">
        <f>IFERROR(__xludf.DUMMYFUNCTION("""COMPUTED_VALUE"""),"HUB-LSP-15")</f>
        <v>HUB-LSP-15</v>
      </c>
      <c r="D1662" s="234">
        <f>IFERROR(__xludf.DUMMYFUNCTION("""COMPUTED_VALUE"""),43.0)</f>
        <v>43</v>
      </c>
      <c r="E1662" s="237" t="str">
        <f>IFERROR(__xludf.DUMMYFUNCTION("""COMPUTED_VALUE"""),"LT0PC201T0E51")</f>
        <v>LT0PC201T0E51</v>
      </c>
      <c r="F1662" s="238" t="str">
        <f>IFERROR(__xludf.DUMMYFUNCTION("""COMPUTED_VALUE"""),"FEQ5G38,DBM6B83")</f>
        <v>FEQ5G38,DBM6B83</v>
      </c>
      <c r="G1662" s="238">
        <f>IFERROR(__xludf.DUMMYFUNCTION("""COMPUTED_VALUE"""),45993.896527777775)</f>
        <v>45993.89653</v>
      </c>
      <c r="H1662" s="238">
        <f>IFERROR(__xludf.DUMMYFUNCTION("""COMPUTED_VALUE"""),45993.97916666667)</f>
        <v>45993.97917</v>
      </c>
      <c r="I1662" s="237" t="str">
        <f t="shared" si="1"/>
        <v>Fora</v>
      </c>
      <c r="J1662" s="239">
        <v>118.00000000745058</v>
      </c>
    </row>
    <row r="1663">
      <c r="A1663" s="234" t="s">
        <v>3357</v>
      </c>
      <c r="B1663" s="234" t="str">
        <f>IFERROR(__xludf.DUMMYFUNCTION("""COMPUTED_VALUE"""),"LM Hub_SP_São José dos Campos")</f>
        <v>LM Hub_SP_São José dos Campos</v>
      </c>
      <c r="C1663" s="234" t="str">
        <f>IFERROR(__xludf.DUMMYFUNCTION("""COMPUTED_VALUE"""),"HUB-LSP-04")</f>
        <v>HUB-LSP-04</v>
      </c>
      <c r="D1663" s="234"/>
      <c r="E1663" s="237" t="str">
        <f>IFERROR(__xludf.DUMMYFUNCTION("""COMPUTED_VALUE"""),"LT0PC201T0I91")</f>
        <v>LT0PC201T0I91</v>
      </c>
      <c r="F1663" s="238" t="str">
        <f>IFERROR(__xludf.DUMMYFUNCTION("""COMPUTED_VALUE"""),"JBO1I53")</f>
        <v>JBO1I53</v>
      </c>
      <c r="G1663" s="238">
        <f>IFERROR(__xludf.DUMMYFUNCTION("""COMPUTED_VALUE"""),45993.89722222222)</f>
        <v>45993.89722</v>
      </c>
      <c r="H1663" s="238">
        <f>IFERROR(__xludf.DUMMYFUNCTION("""COMPUTED_VALUE"""),45993.97916666667)</f>
        <v>45993.97917</v>
      </c>
      <c r="I1663" s="237" t="str">
        <f t="shared" si="1"/>
        <v>Fora</v>
      </c>
      <c r="J1663" s="239">
        <v>60.00000000698492</v>
      </c>
    </row>
    <row r="1664">
      <c r="A1664" s="234" t="s">
        <v>3358</v>
      </c>
      <c r="B1664" s="234" t="str">
        <f>IFERROR(__xludf.DUMMYFUNCTION("""COMPUTED_VALUE"""),"LM Hub_SP_São Paulo_Carandiru")</f>
        <v>LM Hub_SP_São Paulo_Carandiru</v>
      </c>
      <c r="C1664" s="234" t="str">
        <f>IFERROR(__xludf.DUMMYFUNCTION("""COMPUTED_VALUE"""),"HUB-LSP-18")</f>
        <v>HUB-LSP-18</v>
      </c>
      <c r="D1664" s="234">
        <f>IFERROR(__xludf.DUMMYFUNCTION("""COMPUTED_VALUE"""),45.0)</f>
        <v>45</v>
      </c>
      <c r="E1664" s="237" t="str">
        <f>IFERROR(__xludf.DUMMYFUNCTION("""COMPUTED_VALUE"""),"LT1PC201TGLT1")</f>
        <v>LT1PC201TGLT1</v>
      </c>
      <c r="F1664" s="238" t="str">
        <f>IFERROR(__xludf.DUMMYFUNCTION("""COMPUTED_VALUE"""),"EKH0I75")</f>
        <v>EKH0I75</v>
      </c>
      <c r="G1664" s="238">
        <f>IFERROR(__xludf.DUMMYFUNCTION("""COMPUTED_VALUE"""),45993.9375)</f>
        <v>45993.9375</v>
      </c>
      <c r="H1664" s="238">
        <f>IFERROR(__xludf.DUMMYFUNCTION("""COMPUTED_VALUE"""),45993.97916666667)</f>
        <v>45993.97917</v>
      </c>
      <c r="I1664" s="237" t="str">
        <f t="shared" si="1"/>
        <v>Fora</v>
      </c>
      <c r="J1664" s="239">
        <v>117.9999999969732</v>
      </c>
    </row>
    <row r="1665">
      <c r="A1665" s="234" t="s">
        <v>3359</v>
      </c>
      <c r="B1665" s="234" t="str">
        <f>IFERROR(__xludf.DUMMYFUNCTION("""COMPUTED_VALUE"""),"LM Hub_SP_Guarujá")</f>
        <v>LM Hub_SP_Guarujá</v>
      </c>
      <c r="C1665" s="234" t="str">
        <f>IFERROR(__xludf.DUMMYFUNCTION("""COMPUTED_VALUE"""),"HUB-LSP-06")</f>
        <v>HUB-LSP-06</v>
      </c>
      <c r="D1665" s="234">
        <f>IFERROR(__xludf.DUMMYFUNCTION("""COMPUTED_VALUE"""),8.0)</f>
        <v>8</v>
      </c>
      <c r="E1665" s="237" t="str">
        <f>IFERROR(__xludf.DUMMYFUNCTION("""COMPUTED_VALUE"""),"LT0PC201TA9T1")</f>
        <v>LT0PC201TA9T1</v>
      </c>
      <c r="F1665" s="238" t="str">
        <f>IFERROR(__xludf.DUMMYFUNCTION("""COMPUTED_VALUE"""),"PQV0E87")</f>
        <v>PQV0E87</v>
      </c>
      <c r="G1665" s="238">
        <f>IFERROR(__xludf.DUMMYFUNCTION("""COMPUTED_VALUE"""),45993.91736111111)</f>
        <v>45993.91736</v>
      </c>
      <c r="H1665" s="238">
        <f>IFERROR(__xludf.DUMMYFUNCTION("""COMPUTED_VALUE"""),45993.99930555555)</f>
        <v>45993.99931</v>
      </c>
      <c r="I1665" s="237" t="str">
        <f t="shared" si="1"/>
        <v>Fora</v>
      </c>
      <c r="J1665" s="239">
        <v>119.99999999301508</v>
      </c>
    </row>
    <row r="1666">
      <c r="A1666" s="234" t="s">
        <v>3360</v>
      </c>
      <c r="B1666" s="234" t="str">
        <f>IFERROR(__xludf.DUMMYFUNCTION("""COMPUTED_VALUE"""),"LM Hub_RS_Porto Alegre_Floresta")</f>
        <v>LM Hub_RS_Porto Alegre_Floresta</v>
      </c>
      <c r="C1666" s="234" t="str">
        <f>IFERROR(__xludf.DUMMYFUNCTION("""COMPUTED_VALUE"""),"HUB-LRS-03")</f>
        <v>HUB-LRS-03</v>
      </c>
      <c r="D1666" s="234">
        <f>IFERROR(__xludf.DUMMYFUNCTION("""COMPUTED_VALUE"""),27.0)</f>
        <v>27</v>
      </c>
      <c r="E1666" s="237" t="str">
        <f>IFERROR(__xludf.DUMMYFUNCTION("""COMPUTED_VALUE"""),"LT0PC201T7D01")</f>
        <v>LT0PC201T7D01</v>
      </c>
      <c r="F1666" s="238" t="str">
        <f>IFERROR(__xludf.DUMMYFUNCTION("""COMPUTED_VALUE"""),"BCU4D79")</f>
        <v>BCU4D79</v>
      </c>
      <c r="G1666" s="238">
        <f>IFERROR(__xludf.DUMMYFUNCTION("""COMPUTED_VALUE"""),45993.91666666667)</f>
        <v>45993.91667</v>
      </c>
      <c r="H1666" s="238">
        <f>IFERROR(__xludf.DUMMYFUNCTION("""COMPUTED_VALUE"""),45994.0)</f>
        <v>45994</v>
      </c>
      <c r="I1666" s="237" t="str">
        <f t="shared" si="1"/>
        <v>Fora</v>
      </c>
      <c r="J1666" s="239">
        <v>119.99999999301508</v>
      </c>
    </row>
    <row r="1667">
      <c r="A1667" s="234" t="s">
        <v>3361</v>
      </c>
      <c r="B1667" s="234" t="str">
        <f>IFERROR(__xludf.DUMMYFUNCTION("""COMPUTED_VALUE"""),"LM Hub_SP_Guarulhos")</f>
        <v>LM Hub_SP_Guarulhos</v>
      </c>
      <c r="C1667" s="234" t="str">
        <f>IFERROR(__xludf.DUMMYFUNCTION("""COMPUTED_VALUE"""),"HUB-LSP-77")</f>
        <v>HUB-LSP-77</v>
      </c>
      <c r="D1667" s="234">
        <f>IFERROR(__xludf.DUMMYFUNCTION("""COMPUTED_VALUE"""),23.0)</f>
        <v>23</v>
      </c>
      <c r="E1667" s="237" t="str">
        <f>IFERROR(__xludf.DUMMYFUNCTION("""COMPUTED_VALUE"""),"LT0PC201T15O1")</f>
        <v>LT0PC201T15O1</v>
      </c>
      <c r="F1667" s="238" t="str">
        <f>IFERROR(__xludf.DUMMYFUNCTION("""COMPUTED_VALUE"""),"FEB5I21,FRT9A70")</f>
        <v>FEB5I21,FRT9A70</v>
      </c>
      <c r="G1667" s="238">
        <f>IFERROR(__xludf.DUMMYFUNCTION("""COMPUTED_VALUE"""),45993.91666666667)</f>
        <v>45993.91667</v>
      </c>
      <c r="H1667" s="238">
        <f>IFERROR(__xludf.DUMMYFUNCTION("""COMPUTED_VALUE"""),45994.0)</f>
        <v>45994</v>
      </c>
      <c r="I1667" s="237" t="str">
        <f t="shared" si="1"/>
        <v>Fora</v>
      </c>
      <c r="J1667" s="239">
        <v>119.99999999301508</v>
      </c>
    </row>
    <row r="1668">
      <c r="A1668" s="234" t="s">
        <v>3362</v>
      </c>
      <c r="B1668" s="234" t="str">
        <f>IFERROR(__xludf.DUMMYFUNCTION("""COMPUTED_VALUE"""),"LM Hub_SP_Itapevi")</f>
        <v>LM Hub_SP_Itapevi</v>
      </c>
      <c r="C1668" s="234" t="str">
        <f>IFERROR(__xludf.DUMMYFUNCTION("""COMPUTED_VALUE"""),"HUB-LSP-41")</f>
        <v>HUB-LSP-41</v>
      </c>
      <c r="D1668" s="234">
        <f>IFERROR(__xludf.DUMMYFUNCTION("""COMPUTED_VALUE"""),5.0)</f>
        <v>5</v>
      </c>
      <c r="E1668" s="237" t="str">
        <f>IFERROR(__xludf.DUMMYFUNCTION("""COMPUTED_VALUE"""),"LT0PC201T0EX1")</f>
        <v>LT0PC201T0EX1</v>
      </c>
      <c r="F1668" s="238" t="str">
        <f>IFERROR(__xludf.DUMMYFUNCTION("""COMPUTED_VALUE"""),"EPU9B57,ARW8I96")</f>
        <v>EPU9B57,ARW8I96</v>
      </c>
      <c r="G1668" s="238">
        <f>IFERROR(__xludf.DUMMYFUNCTION("""COMPUTED_VALUE"""),45993.91666666667)</f>
        <v>45993.91667</v>
      </c>
      <c r="H1668" s="238">
        <f>IFERROR(__xludf.DUMMYFUNCTION("""COMPUTED_VALUE"""),45994.0)</f>
        <v>45994</v>
      </c>
      <c r="I1668" s="237" t="str">
        <f t="shared" si="1"/>
        <v>Fora</v>
      </c>
      <c r="J1668" s="239">
        <v>119.99999999301508</v>
      </c>
    </row>
    <row r="1669">
      <c r="A1669" s="234" t="s">
        <v>3363</v>
      </c>
      <c r="B1669" s="234" t="str">
        <f>IFERROR(__xludf.DUMMYFUNCTION("""COMPUTED_VALUE"""),"LM Hub_SP_Limeira_Campo Belo")</f>
        <v>LM Hub_SP_Limeira_Campo Belo</v>
      </c>
      <c r="C1669" s="234" t="str">
        <f>IFERROR(__xludf.DUMMYFUNCTION("""COMPUTED_VALUE"""),"HUB-LSP-24")</f>
        <v>HUB-LSP-24</v>
      </c>
      <c r="D1669" s="234">
        <f>IFERROR(__xludf.DUMMYFUNCTION("""COMPUTED_VALUE"""),42.0)</f>
        <v>42</v>
      </c>
      <c r="E1669" s="237" t="str">
        <f>IFERROR(__xludf.DUMMYFUNCTION("""COMPUTED_VALUE"""),"LT0PC201T0HT1")</f>
        <v>LT0PC201T0HT1</v>
      </c>
      <c r="F1669" s="238" t="str">
        <f>IFERROR(__xludf.DUMMYFUNCTION("""COMPUTED_VALUE"""),"STO4D24,SWV4F52")</f>
        <v>STO4D24,SWV4F52</v>
      </c>
      <c r="G1669" s="238">
        <f>IFERROR(__xludf.DUMMYFUNCTION("""COMPUTED_VALUE"""),45993.91666666667)</f>
        <v>45993.91667</v>
      </c>
      <c r="H1669" s="238">
        <f>IFERROR(__xludf.DUMMYFUNCTION("""COMPUTED_VALUE"""),45994.0)</f>
        <v>45994</v>
      </c>
      <c r="I1669" s="237" t="str">
        <f t="shared" si="1"/>
        <v>Fora</v>
      </c>
      <c r="J1669" s="239">
        <v>119.99999999301508</v>
      </c>
    </row>
    <row r="1670">
      <c r="A1670" s="234" t="s">
        <v>3364</v>
      </c>
      <c r="B1670" s="234" t="str">
        <f>IFERROR(__xludf.DUMMYFUNCTION("""COMPUTED_VALUE"""),"LM Hub_SP_Mauá")</f>
        <v>LM Hub_SP_Mauá</v>
      </c>
      <c r="C1670" s="234" t="str">
        <f>IFERROR(__xludf.DUMMYFUNCTION("""COMPUTED_VALUE"""),"HUB-LSP-64")</f>
        <v>HUB-LSP-64</v>
      </c>
      <c r="D1670" s="234">
        <f>IFERROR(__xludf.DUMMYFUNCTION("""COMPUTED_VALUE"""),15.0)</f>
        <v>15</v>
      </c>
      <c r="E1670" s="237" t="str">
        <f>IFERROR(__xludf.DUMMYFUNCTION("""COMPUTED_VALUE"""),"LT0PC201T0F71")</f>
        <v>LT0PC201T0F71</v>
      </c>
      <c r="F1670" s="238" t="str">
        <f>IFERROR(__xludf.DUMMYFUNCTION("""COMPUTED_VALUE"""),"FQF6B98,DTA7802")</f>
        <v>FQF6B98,DTA7802</v>
      </c>
      <c r="G1670" s="238">
        <f>IFERROR(__xludf.DUMMYFUNCTION("""COMPUTED_VALUE"""),45993.91666666667)</f>
        <v>45993.91667</v>
      </c>
      <c r="H1670" s="238">
        <f>IFERROR(__xludf.DUMMYFUNCTION("""COMPUTED_VALUE"""),45994.0)</f>
        <v>45994</v>
      </c>
      <c r="I1670" s="237" t="str">
        <f t="shared" si="1"/>
        <v>Fora</v>
      </c>
      <c r="J1670" s="239">
        <v>119.99999999301508</v>
      </c>
    </row>
    <row r="1671">
      <c r="A1671" s="234" t="s">
        <v>3365</v>
      </c>
      <c r="B1671" s="234" t="str">
        <f>IFERROR(__xludf.DUMMYFUNCTION("""COMPUTED_VALUE"""),"LM Hub_SP_São José do Rio P")</f>
        <v>LM Hub_SP_São José do Rio P</v>
      </c>
      <c r="C1671" s="234" t="str">
        <f>IFERROR(__xludf.DUMMYFUNCTION("""COMPUTED_VALUE"""),"HUB-LSP-27")</f>
        <v>HUB-LSP-27</v>
      </c>
      <c r="D1671" s="234">
        <f>IFERROR(__xludf.DUMMYFUNCTION("""COMPUTED_VALUE"""),41.0)</f>
        <v>41</v>
      </c>
      <c r="E1671" s="237" t="str">
        <f>IFERROR(__xludf.DUMMYFUNCTION("""COMPUTED_VALUE"""),"LT0PC201T4V21")</f>
        <v>LT0PC201T4V21</v>
      </c>
      <c r="F1671" s="238" t="str">
        <f>IFERROR(__xludf.DUMMYFUNCTION("""COMPUTED_VALUE"""),"FPF7962")</f>
        <v>FPF7962</v>
      </c>
      <c r="G1671" s="238">
        <f>IFERROR(__xludf.DUMMYFUNCTION("""COMPUTED_VALUE"""),45993.91666666667)</f>
        <v>45993.91667</v>
      </c>
      <c r="H1671" s="238">
        <f>IFERROR(__xludf.DUMMYFUNCTION("""COMPUTED_VALUE"""),45994.0)</f>
        <v>45994</v>
      </c>
      <c r="I1671" s="237" t="str">
        <f t="shared" si="1"/>
        <v>Fora</v>
      </c>
      <c r="J1671" s="239">
        <v>119.99999999301508</v>
      </c>
    </row>
    <row r="1672">
      <c r="A1672" s="234" t="s">
        <v>3366</v>
      </c>
      <c r="B1672" s="234" t="str">
        <f>IFERROR(__xludf.DUMMYFUNCTION("""COMPUTED_VALUE"""),"SoC_GO_Goiânia_02")</f>
        <v>SoC_GO_Goiânia_02</v>
      </c>
      <c r="C1672" s="234" t="str">
        <f>IFERROR(__xludf.DUMMYFUNCTION("""COMPUTED_VALUE"""),"SOC-GO2")</f>
        <v>SOC-GO2</v>
      </c>
      <c r="D1672" s="234"/>
      <c r="E1672" s="237" t="str">
        <f>IFERROR(__xludf.DUMMYFUNCTION("""COMPUTED_VALUE"""),"LT1PC201TG2V1")</f>
        <v>LT1PC201TG2V1</v>
      </c>
      <c r="F1672" s="238" t="str">
        <f>IFERROR(__xludf.DUMMYFUNCTION("""COMPUTED_VALUE"""),"EVO8J10,DAH8I41")</f>
        <v>EVO8J10,DAH8I41</v>
      </c>
      <c r="G1672" s="238">
        <f>IFERROR(__xludf.DUMMYFUNCTION("""COMPUTED_VALUE"""),45993.91666666667)</f>
        <v>45993.91667</v>
      </c>
      <c r="H1672" s="238">
        <f>IFERROR(__xludf.DUMMYFUNCTION("""COMPUTED_VALUE"""),45994.0)</f>
        <v>45994</v>
      </c>
      <c r="I1672" s="237" t="str">
        <f t="shared" si="1"/>
        <v>Fora</v>
      </c>
      <c r="J1672" s="239">
        <v>119.99999999301508</v>
      </c>
    </row>
    <row r="1673">
      <c r="A1673" s="234" t="s">
        <v>3367</v>
      </c>
      <c r="B1673" s="234" t="str">
        <f>IFERROR(__xludf.DUMMYFUNCTION("""COMPUTED_VALUE"""),"SoC_PE_Jaboatão dos Guararapes")</f>
        <v>SoC_PE_Jaboatão dos Guararapes</v>
      </c>
      <c r="C1673" s="234" t="str">
        <f>IFERROR(__xludf.DUMMYFUNCTION("""COMPUTED_VALUE"""),"SOC-PE2")</f>
        <v>SOC-PE2</v>
      </c>
      <c r="D1673" s="234"/>
      <c r="E1673" s="237" t="str">
        <f>IFERROR(__xludf.DUMMYFUNCTION("""COMPUTED_VALUE"""),"LT1PC201TG2L1")</f>
        <v>LT1PC201TG2L1</v>
      </c>
      <c r="F1673" s="238" t="str">
        <f>IFERROR(__xludf.DUMMYFUNCTION("""COMPUTED_VALUE"""),"FDP4E19,ONJ8402")</f>
        <v>FDP4E19,ONJ8402</v>
      </c>
      <c r="G1673" s="238">
        <f>IFERROR(__xludf.DUMMYFUNCTION("""COMPUTED_VALUE"""),45993.91666666667)</f>
        <v>45993.91667</v>
      </c>
      <c r="H1673" s="238">
        <f>IFERROR(__xludf.DUMMYFUNCTION("""COMPUTED_VALUE"""),45994.0)</f>
        <v>45994</v>
      </c>
      <c r="I1673" s="237" t="str">
        <f t="shared" si="1"/>
        <v>Fora</v>
      </c>
      <c r="J1673" s="239">
        <v>119.99999999301508</v>
      </c>
    </row>
    <row r="1674">
      <c r="A1674" s="234" t="s">
        <v>3368</v>
      </c>
      <c r="B1674" s="234" t="str">
        <f>IFERROR(__xludf.DUMMYFUNCTION("""COMPUTED_VALUE"""),"SoC_SC_Itajaí")</f>
        <v>SoC_SC_Itajaí</v>
      </c>
      <c r="C1674" s="234" t="str">
        <f>IFERROR(__xludf.DUMMYFUNCTION("""COMPUTED_VALUE"""),"SOC-SC1")</f>
        <v>SOC-SC1</v>
      </c>
      <c r="D1674" s="234">
        <f>IFERROR(__xludf.DUMMYFUNCTION("""COMPUTED_VALUE"""),28.0)</f>
        <v>28</v>
      </c>
      <c r="E1674" s="237" t="str">
        <f>IFERROR(__xludf.DUMMYFUNCTION("""COMPUTED_VALUE"""),"LT1PC201TG241")</f>
        <v>LT1PC201TG241</v>
      </c>
      <c r="F1674" s="238" t="str">
        <f>IFERROR(__xludf.DUMMYFUNCTION("""COMPUTED_VALUE"""),"MLG1E18,MLZ5914")</f>
        <v>MLG1E18,MLZ5914</v>
      </c>
      <c r="G1674" s="238">
        <f>IFERROR(__xludf.DUMMYFUNCTION("""COMPUTED_VALUE"""),45993.91666666667)</f>
        <v>45993.91667</v>
      </c>
      <c r="H1674" s="238">
        <f>IFERROR(__xludf.DUMMYFUNCTION("""COMPUTED_VALUE"""),45994.0)</f>
        <v>45994</v>
      </c>
      <c r="I1674" s="237" t="str">
        <f t="shared" si="1"/>
        <v>Fora</v>
      </c>
      <c r="J1674" s="239">
        <v>119.99999999301508</v>
      </c>
    </row>
    <row r="1675">
      <c r="A1675" s="234" t="s">
        <v>3369</v>
      </c>
      <c r="B1675" s="234" t="str">
        <f>IFERROR(__xludf.DUMMYFUNCTION("""COMPUTED_VALUE"""),"SoC_SP_Cravinhos")</f>
        <v>SoC_SP_Cravinhos</v>
      </c>
      <c r="C1675" s="234" t="str">
        <f>IFERROR(__xludf.DUMMYFUNCTION("""COMPUTED_VALUE"""),"SOC-SP5")</f>
        <v>SOC-SP5</v>
      </c>
      <c r="D1675" s="234">
        <f>IFERROR(__xludf.DUMMYFUNCTION("""COMPUTED_VALUE"""),45.0)</f>
        <v>45</v>
      </c>
      <c r="E1675" s="237" t="str">
        <f>IFERROR(__xludf.DUMMYFUNCTION("""COMPUTED_VALUE"""),"LT1PC201TFZS1")</f>
        <v>LT1PC201TFZS1</v>
      </c>
      <c r="F1675" s="238" t="str">
        <f>IFERROR(__xludf.DUMMYFUNCTION("""COMPUTED_VALUE"""),"EJZ8E65,DTE5G24")</f>
        <v>EJZ8E65,DTE5G24</v>
      </c>
      <c r="G1675" s="238">
        <f>IFERROR(__xludf.DUMMYFUNCTION("""COMPUTED_VALUE"""),45993.91666666667)</f>
        <v>45993.91667</v>
      </c>
      <c r="H1675" s="238">
        <f>IFERROR(__xludf.DUMMYFUNCTION("""COMPUTED_VALUE"""),45994.0)</f>
        <v>45994</v>
      </c>
      <c r="I1675" s="237" t="str">
        <f t="shared" si="1"/>
        <v>Fora</v>
      </c>
      <c r="J1675" s="239">
        <v>119.99999999301508</v>
      </c>
    </row>
    <row r="1676">
      <c r="A1676" s="234" t="s">
        <v>3370</v>
      </c>
      <c r="B1676" s="234" t="str">
        <f>IFERROR(__xludf.DUMMYFUNCTION("""COMPUTED_VALUE"""),"SoC_SP_Guarulhos")</f>
        <v>SoC_SP_Guarulhos</v>
      </c>
      <c r="C1676" s="234" t="str">
        <f>IFERROR(__xludf.DUMMYFUNCTION("""COMPUTED_VALUE"""),"SOC-SP6")</f>
        <v>SOC-SP6</v>
      </c>
      <c r="D1676" s="234">
        <f>IFERROR(__xludf.DUMMYFUNCTION("""COMPUTED_VALUE"""),25.0)</f>
        <v>25</v>
      </c>
      <c r="E1676" s="237" t="str">
        <f>IFERROR(__xludf.DUMMYFUNCTION("""COMPUTED_VALUE"""),"LT1PC201TG0A1")</f>
        <v>LT1PC201TG0A1</v>
      </c>
      <c r="F1676" s="238" t="str">
        <f>IFERROR(__xludf.DUMMYFUNCTION("""COMPUTED_VALUE"""),"HEL8635,UGE7G44")</f>
        <v>HEL8635,UGE7G44</v>
      </c>
      <c r="G1676" s="238">
        <f>IFERROR(__xludf.DUMMYFUNCTION("""COMPUTED_VALUE"""),45993.91666666667)</f>
        <v>45993.91667</v>
      </c>
      <c r="H1676" s="238">
        <f>IFERROR(__xludf.DUMMYFUNCTION("""COMPUTED_VALUE"""),45994.0)</f>
        <v>45994</v>
      </c>
      <c r="I1676" s="237" t="str">
        <f t="shared" si="1"/>
        <v>Fora</v>
      </c>
      <c r="J1676" s="239">
        <v>119.00000000023283</v>
      </c>
    </row>
    <row r="1677">
      <c r="A1677" s="234" t="s">
        <v>3371</v>
      </c>
      <c r="B1677" s="234" t="str">
        <f>IFERROR(__xludf.DUMMYFUNCTION("""COMPUTED_VALUE"""),"LM Hub_SP_Artur Alvim")</f>
        <v>LM Hub_SP_Artur Alvim</v>
      </c>
      <c r="C1677" s="234" t="str">
        <f>IFERROR(__xludf.DUMMYFUNCTION("""COMPUTED_VALUE"""),"HUB-LSP-07")</f>
        <v>HUB-LSP-07</v>
      </c>
      <c r="D1677" s="234">
        <f>IFERROR(__xludf.DUMMYFUNCTION("""COMPUTED_VALUE"""),12.0)</f>
        <v>12</v>
      </c>
      <c r="E1677" s="237" t="str">
        <f>IFERROR(__xludf.DUMMYFUNCTION("""COMPUTED_VALUE"""),"LT0PC201T0DR1")</f>
        <v>LT0PC201T0DR1</v>
      </c>
      <c r="F1677" s="238" t="str">
        <f>IFERROR(__xludf.DUMMYFUNCTION("""COMPUTED_VALUE"""),"QPV1A02,ELQ6F04")</f>
        <v>QPV1A02,ELQ6F04</v>
      </c>
      <c r="G1677" s="238">
        <f>IFERROR(__xludf.DUMMYFUNCTION("""COMPUTED_VALUE"""),45993.91736111111)</f>
        <v>45993.91736</v>
      </c>
      <c r="H1677" s="238">
        <f>IFERROR(__xludf.DUMMYFUNCTION("""COMPUTED_VALUE"""),45994.0)</f>
        <v>45994</v>
      </c>
      <c r="I1677" s="237" t="str">
        <f t="shared" si="1"/>
        <v>Fora</v>
      </c>
      <c r="J1677" s="239">
        <v>119.00000000023283</v>
      </c>
    </row>
    <row r="1678">
      <c r="A1678" s="234" t="s">
        <v>3372</v>
      </c>
      <c r="B1678" s="234" t="str">
        <f>IFERROR(__xludf.DUMMYFUNCTION("""COMPUTED_VALUE"""),"LM Hub_SP_Artur Alvim")</f>
        <v>LM Hub_SP_Artur Alvim</v>
      </c>
      <c r="C1678" s="234" t="str">
        <f>IFERROR(__xludf.DUMMYFUNCTION("""COMPUTED_VALUE"""),"HUB-LSP-07")</f>
        <v>HUB-LSP-07</v>
      </c>
      <c r="D1678" s="234">
        <f>IFERROR(__xludf.DUMMYFUNCTION("""COMPUTED_VALUE"""),16.0)</f>
        <v>16</v>
      </c>
      <c r="E1678" s="237" t="str">
        <f>IFERROR(__xludf.DUMMYFUNCTION("""COMPUTED_VALUE"""),"LT0PC201T0DT2")</f>
        <v>LT0PC201T0DT2</v>
      </c>
      <c r="F1678" s="238" t="str">
        <f>IFERROR(__xludf.DUMMYFUNCTION("""COMPUTED_VALUE"""),"EGK6F67,NGX1F13")</f>
        <v>EGK6F67,NGX1F13</v>
      </c>
      <c r="G1678" s="238">
        <f>IFERROR(__xludf.DUMMYFUNCTION("""COMPUTED_VALUE"""),45993.91736111111)</f>
        <v>45993.91736</v>
      </c>
      <c r="H1678" s="238">
        <f>IFERROR(__xludf.DUMMYFUNCTION("""COMPUTED_VALUE"""),45994.0)</f>
        <v>45994</v>
      </c>
      <c r="I1678" s="237" t="str">
        <f t="shared" si="1"/>
        <v>Fora</v>
      </c>
      <c r="J1678" s="239">
        <v>118.00000000745058</v>
      </c>
    </row>
    <row r="1679">
      <c r="A1679" s="234" t="s">
        <v>3373</v>
      </c>
      <c r="B1679" s="234" t="str">
        <f>IFERROR(__xludf.DUMMYFUNCTION("""COMPUTED_VALUE"""),"LM Hub_SP_Barueri_01")</f>
        <v>LM Hub_SP_Barueri_01</v>
      </c>
      <c r="C1679" s="234" t="str">
        <f>IFERROR(__xludf.DUMMYFUNCTION("""COMPUTED_VALUE"""),"HUB-LSP-81")</f>
        <v>HUB-LSP-81</v>
      </c>
      <c r="D1679" s="234">
        <f>IFERROR(__xludf.DUMMYFUNCTION("""COMPUTED_VALUE"""),9.0)</f>
        <v>9</v>
      </c>
      <c r="E1679" s="237" t="str">
        <f>IFERROR(__xludf.DUMMYFUNCTION("""COMPUTED_VALUE"""),"LT0PC201T6621")</f>
        <v>LT0PC201T6621</v>
      </c>
      <c r="F1679" s="238" t="str">
        <f>IFERROR(__xludf.DUMMYFUNCTION("""COMPUTED_VALUE"""),"EJI1I82,BDR3J03")</f>
        <v>EJI1I82,BDR3J03</v>
      </c>
      <c r="G1679" s="238">
        <f>IFERROR(__xludf.DUMMYFUNCTION("""COMPUTED_VALUE"""),45993.91805555555)</f>
        <v>45993.91806</v>
      </c>
      <c r="H1679" s="238">
        <f>IFERROR(__xludf.DUMMYFUNCTION("""COMPUTED_VALUE"""),45994.0)</f>
        <v>45994</v>
      </c>
      <c r="I1679" s="237" t="str">
        <f t="shared" si="1"/>
        <v>Fora</v>
      </c>
      <c r="J1679" s="239">
        <v>118.00000000745058</v>
      </c>
    </row>
    <row r="1680">
      <c r="A1680" s="234" t="s">
        <v>3374</v>
      </c>
      <c r="B1680" s="234" t="str">
        <f>IFERROR(__xludf.DUMMYFUNCTION("""COMPUTED_VALUE"""),"LM Hub_SP_Santo André")</f>
        <v>LM Hub_SP_Santo André</v>
      </c>
      <c r="C1680" s="234" t="str">
        <f>IFERROR(__xludf.DUMMYFUNCTION("""COMPUTED_VALUE"""),"HUB-LSP-93")</f>
        <v>HUB-LSP-93</v>
      </c>
      <c r="D1680" s="234">
        <f>IFERROR(__xludf.DUMMYFUNCTION("""COMPUTED_VALUE"""),24.0)</f>
        <v>24</v>
      </c>
      <c r="E1680" s="237" t="str">
        <f>IFERROR(__xludf.DUMMYFUNCTION("""COMPUTED_VALUE"""),"LT0PC201T3AI1")</f>
        <v>LT0PC201T3AI1</v>
      </c>
      <c r="F1680" s="238" t="str">
        <f>IFERROR(__xludf.DUMMYFUNCTION("""COMPUTED_VALUE"""),"QPH3J14,AXE8E39")</f>
        <v>QPH3J14,AXE8E39</v>
      </c>
      <c r="G1680" s="238">
        <f>IFERROR(__xludf.DUMMYFUNCTION("""COMPUTED_VALUE"""),45993.91805555555)</f>
        <v>45993.91806</v>
      </c>
      <c r="H1680" s="238">
        <f>IFERROR(__xludf.DUMMYFUNCTION("""COMPUTED_VALUE"""),45994.0)</f>
        <v>45994</v>
      </c>
      <c r="I1680" s="237" t="str">
        <f t="shared" si="1"/>
        <v>Fora</v>
      </c>
      <c r="J1680" s="239">
        <v>119.99999999301508</v>
      </c>
    </row>
    <row r="1681">
      <c r="A1681" s="234" t="s">
        <v>3375</v>
      </c>
      <c r="B1681" s="234" t="str">
        <f>IFERROR(__xludf.DUMMYFUNCTION("""COMPUTED_VALUE"""),"LM Hub_SP_Jardim Adriana")</f>
        <v>LM Hub_SP_Jardim Adriana</v>
      </c>
      <c r="C1681" s="234" t="str">
        <f>IFERROR(__xludf.DUMMYFUNCTION("""COMPUTED_VALUE"""),"HUB-LSP-12")</f>
        <v>HUB-LSP-12</v>
      </c>
      <c r="D1681" s="234">
        <f>IFERROR(__xludf.DUMMYFUNCTION("""COMPUTED_VALUE"""),6.0)</f>
        <v>6</v>
      </c>
      <c r="E1681" s="237" t="str">
        <f>IFERROR(__xludf.DUMMYFUNCTION("""COMPUTED_VALUE"""),"LT0PC201T0DW1")</f>
        <v>LT0PC201T0DW1</v>
      </c>
      <c r="F1681" s="238" t="str">
        <f>IFERROR(__xludf.DUMMYFUNCTION("""COMPUTED_VALUE"""),"FNW2D28")</f>
        <v>FNW2D28</v>
      </c>
      <c r="G1681" s="238">
        <f>IFERROR(__xludf.DUMMYFUNCTION("""COMPUTED_VALUE"""),45993.9375)</f>
        <v>45993.9375</v>
      </c>
      <c r="H1681" s="238">
        <f>IFERROR(__xludf.DUMMYFUNCTION("""COMPUTED_VALUE"""),45994.02083333333)</f>
        <v>45994.02083</v>
      </c>
      <c r="I1681" s="237" t="str">
        <f t="shared" si="1"/>
        <v>Fora</v>
      </c>
      <c r="J1681" s="239">
        <v>118.99999998975545</v>
      </c>
    </row>
    <row r="1682">
      <c r="A1682" s="234" t="s">
        <v>3376</v>
      </c>
      <c r="B1682" s="234" t="str">
        <f>IFERROR(__xludf.DUMMYFUNCTION("""COMPUTED_VALUE"""),"LM Hub_SP_Parque Novo Mundo")</f>
        <v>LM Hub_SP_Parque Novo Mundo</v>
      </c>
      <c r="C1682" s="234" t="str">
        <f>IFERROR(__xludf.DUMMYFUNCTION("""COMPUTED_VALUE"""),"HUB-LSP-89")</f>
        <v>HUB-LSP-89</v>
      </c>
      <c r="D1682" s="234">
        <f>IFERROR(__xludf.DUMMYFUNCTION("""COMPUTED_VALUE"""),34.0)</f>
        <v>34</v>
      </c>
      <c r="E1682" s="237" t="str">
        <f>IFERROR(__xludf.DUMMYFUNCTION("""COMPUTED_VALUE"""),"LT0PC201TAHO1")</f>
        <v>LT0PC201TAHO1</v>
      </c>
      <c r="F1682" s="238" t="str">
        <f>IFERROR(__xludf.DUMMYFUNCTION("""COMPUTED_VALUE"""),"FNK8E47,FAM1829")</f>
        <v>FNK8E47,FAM1829</v>
      </c>
      <c r="G1682" s="238">
        <f>IFERROR(__xludf.DUMMYFUNCTION("""COMPUTED_VALUE"""),45993.93819444445)</f>
        <v>45993.93819</v>
      </c>
      <c r="H1682" s="238">
        <f>IFERROR(__xludf.DUMMYFUNCTION("""COMPUTED_VALUE"""),45994.02083333333)</f>
        <v>45994.02083</v>
      </c>
      <c r="I1682" s="237" t="str">
        <f t="shared" si="1"/>
        <v>Fora</v>
      </c>
      <c r="J1682" s="239">
        <v>118.99999998975545</v>
      </c>
    </row>
    <row r="1683">
      <c r="A1683" s="234" t="s">
        <v>3377</v>
      </c>
      <c r="B1683" s="234" t="str">
        <f>IFERROR(__xludf.DUMMYFUNCTION("""COMPUTED_VALUE"""),"LM Hub_SP_Piracicaba")</f>
        <v>LM Hub_SP_Piracicaba</v>
      </c>
      <c r="C1683" s="234" t="str">
        <f>IFERROR(__xludf.DUMMYFUNCTION("""COMPUTED_VALUE"""),"HUB-LSP-62")</f>
        <v>HUB-LSP-62</v>
      </c>
      <c r="D1683" s="234">
        <f>IFERROR(__xludf.DUMMYFUNCTION("""COMPUTED_VALUE"""),28.0)</f>
        <v>28</v>
      </c>
      <c r="E1683" s="237" t="str">
        <f>IFERROR(__xludf.DUMMYFUNCTION("""COMPUTED_VALUE"""),"LT0PC201T1601")</f>
        <v>LT0PC201T1601</v>
      </c>
      <c r="F1683" s="238" t="str">
        <f>IFERROR(__xludf.DUMMYFUNCTION("""COMPUTED_VALUE"""),"EOF4D31,EOF4D32")</f>
        <v>EOF4D31,EOF4D32</v>
      </c>
      <c r="G1683" s="238">
        <f>IFERROR(__xludf.DUMMYFUNCTION("""COMPUTED_VALUE"""),45993.93819444445)</f>
        <v>45993.93819</v>
      </c>
      <c r="H1683" s="238">
        <f>IFERROR(__xludf.DUMMYFUNCTION("""COMPUTED_VALUE"""),45994.02083333333)</f>
        <v>45994.02083</v>
      </c>
      <c r="I1683" s="237" t="str">
        <f t="shared" si="1"/>
        <v>Fora</v>
      </c>
      <c r="J1683" s="239">
        <v>118.99999998975545</v>
      </c>
    </row>
    <row r="1684">
      <c r="A1684" s="234" t="s">
        <v>3378</v>
      </c>
      <c r="B1684" s="234" t="str">
        <f>IFERROR(__xludf.DUMMYFUNCTION("""COMPUTED_VALUE"""),"LM Hub_SP_VilaGuilherme")</f>
        <v>LM Hub_SP_VilaGuilherme</v>
      </c>
      <c r="C1684" s="234" t="str">
        <f>IFERROR(__xludf.DUMMYFUNCTION("""COMPUTED_VALUE"""),"HUB-LSP-68")</f>
        <v>HUB-LSP-68</v>
      </c>
      <c r="D1684" s="234">
        <f>IFERROR(__xludf.DUMMYFUNCTION("""COMPUTED_VALUE"""),13.0)</f>
        <v>13</v>
      </c>
      <c r="E1684" s="237" t="str">
        <f>IFERROR(__xludf.DUMMYFUNCTION("""COMPUTED_VALUE"""),"LT0PC201TA9N1")</f>
        <v>LT0PC201TA9N1</v>
      </c>
      <c r="F1684" s="238" t="str">
        <f>IFERROR(__xludf.DUMMYFUNCTION("""COMPUTED_VALUE"""),"HFD4H27,JXG9745")</f>
        <v>HFD4H27,JXG9745</v>
      </c>
      <c r="G1684" s="238">
        <f>IFERROR(__xludf.DUMMYFUNCTION("""COMPUTED_VALUE"""),45993.93819444445)</f>
        <v>45993.93819</v>
      </c>
      <c r="H1684" s="238">
        <f>IFERROR(__xludf.DUMMYFUNCTION("""COMPUTED_VALUE"""),45994.02083333333)</f>
        <v>45994.02083</v>
      </c>
      <c r="I1684" s="237" t="str">
        <f t="shared" si="1"/>
        <v>Fora</v>
      </c>
      <c r="J1684" s="239">
        <v>117.99999998649582</v>
      </c>
    </row>
    <row r="1685">
      <c r="A1685" s="234" t="s">
        <v>3379</v>
      </c>
      <c r="B1685" s="234" t="str">
        <f>IFERROR(__xludf.DUMMYFUNCTION("""COMPUTED_VALUE"""),"LM Hub_SP_São Paulo_Carandiru")</f>
        <v>LM Hub_SP_São Paulo_Carandiru</v>
      </c>
      <c r="C1685" s="234" t="str">
        <f>IFERROR(__xludf.DUMMYFUNCTION("""COMPUTED_VALUE"""),"HUB-LSP-18")</f>
        <v>HUB-LSP-18</v>
      </c>
      <c r="D1685" s="234"/>
      <c r="E1685" s="237" t="str">
        <f>IFERROR(__xludf.DUMMYFUNCTION("""COMPUTED_VALUE"""),"LT0PC201T0EI1")</f>
        <v>LT0PC201T0EI1</v>
      </c>
      <c r="F1685" s="238" t="str">
        <f>IFERROR(__xludf.DUMMYFUNCTION("""COMPUTED_VALUE"""),"BVT4B34")</f>
        <v>BVT4B34</v>
      </c>
      <c r="G1685" s="238">
        <f>IFERROR(__xludf.DUMMYFUNCTION("""COMPUTED_VALUE"""),45993.93888888889)</f>
        <v>45993.93889</v>
      </c>
      <c r="H1685" s="238">
        <f>IFERROR(__xludf.DUMMYFUNCTION("""COMPUTED_VALUE"""),45994.02083333333)</f>
        <v>45994.02083</v>
      </c>
      <c r="I1685" s="237" t="str">
        <f t="shared" si="1"/>
        <v>Fora</v>
      </c>
      <c r="J1685" s="239">
        <v>117.99999998649582</v>
      </c>
    </row>
    <row r="1686">
      <c r="A1686" s="234" t="s">
        <v>3379</v>
      </c>
      <c r="B1686" s="234" t="str">
        <f>IFERROR(__xludf.DUMMYFUNCTION("""COMPUTED_VALUE"""),"LM Hub_SP_São Paulo_Carandiru")</f>
        <v>LM Hub_SP_São Paulo_Carandiru</v>
      </c>
      <c r="C1686" s="234" t="str">
        <f>IFERROR(__xludf.DUMMYFUNCTION("""COMPUTED_VALUE"""),"HUB-LSP-18")</f>
        <v>HUB-LSP-18</v>
      </c>
      <c r="D1686" s="234"/>
      <c r="E1686" s="237" t="str">
        <f>IFERROR(__xludf.DUMMYFUNCTION("""COMPUTED_VALUE"""),"LT0PC201T0EI1")</f>
        <v>LT0PC201T0EI1</v>
      </c>
      <c r="F1686" s="238" t="str">
        <f>IFERROR(__xludf.DUMMYFUNCTION("""COMPUTED_VALUE"""),"BVT4B34")</f>
        <v>BVT4B34</v>
      </c>
      <c r="G1686" s="238">
        <f>IFERROR(__xludf.DUMMYFUNCTION("""COMPUTED_VALUE"""),45993.93888888889)</f>
        <v>45993.93889</v>
      </c>
      <c r="H1686" s="238">
        <f>IFERROR(__xludf.DUMMYFUNCTION("""COMPUTED_VALUE"""),45994.02083333333)</f>
        <v>45994.02083</v>
      </c>
      <c r="I1686" s="237" t="str">
        <f t="shared" si="1"/>
        <v>Fora</v>
      </c>
      <c r="J1686" s="239">
        <v>117.99999998649582</v>
      </c>
    </row>
    <row r="1687">
      <c r="A1687" s="234" t="s">
        <v>3380</v>
      </c>
      <c r="B1687" s="234" t="str">
        <f>IFERROR(__xludf.DUMMYFUNCTION("""COMPUTED_VALUE"""),"LM Hub_SP_São Paulo_Carandiru")</f>
        <v>LM Hub_SP_São Paulo_Carandiru</v>
      </c>
      <c r="C1687" s="234" t="str">
        <f>IFERROR(__xludf.DUMMYFUNCTION("""COMPUTED_VALUE"""),"HUB-LSP-18")</f>
        <v>HUB-LSP-18</v>
      </c>
      <c r="D1687" s="234"/>
      <c r="E1687" s="237" t="str">
        <f>IFERROR(__xludf.DUMMYFUNCTION("""COMPUTED_VALUE"""),"LT0PC201T0EK2")</f>
        <v>LT0PC201T0EK2</v>
      </c>
      <c r="F1687" s="238" t="str">
        <f>IFERROR(__xludf.DUMMYFUNCTION("""COMPUTED_VALUE"""),"SWA1B76")</f>
        <v>SWA1B76</v>
      </c>
      <c r="G1687" s="238">
        <f>IFERROR(__xludf.DUMMYFUNCTION("""COMPUTED_VALUE"""),45993.93888888889)</f>
        <v>45993.93889</v>
      </c>
      <c r="H1687" s="238">
        <f>IFERROR(__xludf.DUMMYFUNCTION("""COMPUTED_VALUE"""),45994.02083333333)</f>
        <v>45994.02083</v>
      </c>
      <c r="I1687" s="237" t="str">
        <f t="shared" si="1"/>
        <v>Fora</v>
      </c>
      <c r="J1687" s="239">
        <v>120.00000001396984</v>
      </c>
    </row>
    <row r="1688">
      <c r="A1688" s="234" t="s">
        <v>3381</v>
      </c>
      <c r="B1688" s="234" t="str">
        <f>IFERROR(__xludf.DUMMYFUNCTION("""COMPUTED_VALUE"""),"LM Hub_SP_Jundiaí")</f>
        <v>LM Hub_SP_Jundiaí</v>
      </c>
      <c r="C1688" s="234" t="str">
        <f>IFERROR(__xludf.DUMMYFUNCTION("""COMPUTED_VALUE"""),"HUB-LSP-100")</f>
        <v>HUB-LSP-100</v>
      </c>
      <c r="D1688" s="234">
        <f>IFERROR(__xludf.DUMMYFUNCTION("""COMPUTED_VALUE"""),7.0)</f>
        <v>7</v>
      </c>
      <c r="E1688" s="237" t="str">
        <f>IFERROR(__xludf.DUMMYFUNCTION("""COMPUTED_VALUE"""),"LT0PC201T7P21")</f>
        <v>LT0PC201T7P21</v>
      </c>
      <c r="F1688" s="238" t="str">
        <f>IFERROR(__xludf.DUMMYFUNCTION("""COMPUTED_VALUE"""),"TJQ7B36,TKX9A69")</f>
        <v>TJQ7B36,TKX9A69</v>
      </c>
      <c r="G1688" s="238">
        <f>IFERROR(__xludf.DUMMYFUNCTION("""COMPUTED_VALUE"""),45993.95833333333)</f>
        <v>45993.95833</v>
      </c>
      <c r="H1688" s="238">
        <f>IFERROR(__xludf.DUMMYFUNCTION("""COMPUTED_VALUE"""),45994.04166666667)</f>
        <v>45994.04167</v>
      </c>
      <c r="I1688" s="237" t="str">
        <f t="shared" si="1"/>
        <v>Fora</v>
      </c>
      <c r="J1688" s="239">
        <v>120.00000001396984</v>
      </c>
    </row>
    <row r="1689">
      <c r="A1689" s="234" t="s">
        <v>3382</v>
      </c>
      <c r="B1689" s="234" t="str">
        <f>IFERROR(__xludf.DUMMYFUNCTION("""COMPUTED_VALUE"""),"LM Hub_SP_Mogi Mirim")</f>
        <v>LM Hub_SP_Mogi Mirim</v>
      </c>
      <c r="C1689" s="234" t="str">
        <f>IFERROR(__xludf.DUMMYFUNCTION("""COMPUTED_VALUE"""),"HUB-LSP-37")</f>
        <v>HUB-LSP-37</v>
      </c>
      <c r="D1689" s="234">
        <f>IFERROR(__xludf.DUMMYFUNCTION("""COMPUTED_VALUE"""),40.0)</f>
        <v>40</v>
      </c>
      <c r="E1689" s="237" t="str">
        <f>IFERROR(__xludf.DUMMYFUNCTION("""COMPUTED_VALUE"""),"LT0PC201T0IR1")</f>
        <v>LT0PC201T0IR1</v>
      </c>
      <c r="F1689" s="238" t="str">
        <f>IFERROR(__xludf.DUMMYFUNCTION("""COMPUTED_VALUE"""),"FLN0H65,FTJ9A92")</f>
        <v>FLN0H65,FTJ9A92</v>
      </c>
      <c r="G1689" s="238">
        <f>IFERROR(__xludf.DUMMYFUNCTION("""COMPUTED_VALUE"""),45993.95833333333)</f>
        <v>45993.95833</v>
      </c>
      <c r="H1689" s="238">
        <f>IFERROR(__xludf.DUMMYFUNCTION("""COMPUTED_VALUE"""),45994.04166666667)</f>
        <v>45994.04167</v>
      </c>
      <c r="I1689" s="237" t="str">
        <f t="shared" si="1"/>
        <v>Fora</v>
      </c>
      <c r="J1689" s="239">
        <v>120.00000001396984</v>
      </c>
    </row>
    <row r="1690">
      <c r="A1690" s="234" t="s">
        <v>3383</v>
      </c>
      <c r="B1690" s="234" t="str">
        <f>IFERROR(__xludf.DUMMYFUNCTION("""COMPUTED_VALUE"""),"SoC_PR_Curitiba")</f>
        <v>SoC_PR_Curitiba</v>
      </c>
      <c r="C1690" s="234" t="str">
        <f>IFERROR(__xludf.DUMMYFUNCTION("""COMPUTED_VALUE"""),"SOC-PR1")</f>
        <v>SOC-PR1</v>
      </c>
      <c r="D1690" s="234"/>
      <c r="E1690" s="237" t="str">
        <f>IFERROR(__xludf.DUMMYFUNCTION("""COMPUTED_VALUE"""),"LT1PC201TFZQ1")</f>
        <v>LT1PC201TFZQ1</v>
      </c>
      <c r="F1690" s="238" t="str">
        <f>IFERROR(__xludf.DUMMYFUNCTION("""COMPUTED_VALUE"""),"QJS8D77,QHG7I41")</f>
        <v>QJS8D77,QHG7I41</v>
      </c>
      <c r="G1690" s="238">
        <f>IFERROR(__xludf.DUMMYFUNCTION("""COMPUTED_VALUE"""),45993.95833333333)</f>
        <v>45993.95833</v>
      </c>
      <c r="H1690" s="238">
        <f>IFERROR(__xludf.DUMMYFUNCTION("""COMPUTED_VALUE"""),45994.04166666667)</f>
        <v>45994.04167</v>
      </c>
      <c r="I1690" s="237" t="str">
        <f t="shared" si="1"/>
        <v>Fora</v>
      </c>
      <c r="J1690" s="239">
        <v>120.00000001396984</v>
      </c>
    </row>
    <row r="1691">
      <c r="A1691" s="234" t="s">
        <v>3384</v>
      </c>
      <c r="B1691" s="234" t="str">
        <f>IFERROR(__xludf.DUMMYFUNCTION("""COMPUTED_VALUE"""),"SoC_RJ_Duque de Caxias")</f>
        <v>SoC_RJ_Duque de Caxias</v>
      </c>
      <c r="C1691" s="234" t="str">
        <f>IFERROR(__xludf.DUMMYFUNCTION("""COMPUTED_VALUE"""),"SOC-RJ2")</f>
        <v>SOC-RJ2</v>
      </c>
      <c r="D1691" s="234">
        <f>IFERROR(__xludf.DUMMYFUNCTION("""COMPUTED_VALUE"""),49.0)</f>
        <v>49</v>
      </c>
      <c r="E1691" s="237" t="str">
        <f>IFERROR(__xludf.DUMMYFUNCTION("""COMPUTED_VALUE"""),"LT1PC201TG0Y1")</f>
        <v>LT1PC201TG0Y1</v>
      </c>
      <c r="F1691" s="238" t="str">
        <f>IFERROR(__xludf.DUMMYFUNCTION("""COMPUTED_VALUE"""),"FOT0I16,ECM7I88")</f>
        <v>FOT0I16,ECM7I88</v>
      </c>
      <c r="G1691" s="238">
        <f>IFERROR(__xludf.DUMMYFUNCTION("""COMPUTED_VALUE"""),45993.95833333333)</f>
        <v>45993.95833</v>
      </c>
      <c r="H1691" s="238">
        <f>IFERROR(__xludf.DUMMYFUNCTION("""COMPUTED_VALUE"""),45994.04166666667)</f>
        <v>45994.04167</v>
      </c>
      <c r="I1691" s="237" t="str">
        <f t="shared" si="1"/>
        <v>Fora</v>
      </c>
      <c r="J1691" s="239">
        <v>120.00000001396984</v>
      </c>
    </row>
    <row r="1692">
      <c r="A1692" s="234" t="s">
        <v>3385</v>
      </c>
      <c r="B1692" s="234" t="str">
        <f>IFERROR(__xludf.DUMMYFUNCTION("""COMPUTED_VALUE"""),"SoC_SP_Louveira")</f>
        <v>SoC_SP_Louveira</v>
      </c>
      <c r="C1692" s="234" t="str">
        <f>IFERROR(__xludf.DUMMYFUNCTION("""COMPUTED_VALUE"""),"SOC-SP7")</f>
        <v>SOC-SP7</v>
      </c>
      <c r="D1692" s="234">
        <f>IFERROR(__xludf.DUMMYFUNCTION("""COMPUTED_VALUE"""),33.0)</f>
        <v>33</v>
      </c>
      <c r="E1692" s="237" t="str">
        <f>IFERROR(__xludf.DUMMYFUNCTION("""COMPUTED_VALUE"""),"LT1PC201TGJ51")</f>
        <v>LT1PC201TGJ51</v>
      </c>
      <c r="F1692" s="238" t="str">
        <f>IFERROR(__xludf.DUMMYFUNCTION("""COMPUTED_VALUE"""),"EJY6I98,DJE1615")</f>
        <v>EJY6I98,DJE1615</v>
      </c>
      <c r="G1692" s="238">
        <f>IFERROR(__xludf.DUMMYFUNCTION("""COMPUTED_VALUE"""),45993.95833333333)</f>
        <v>45993.95833</v>
      </c>
      <c r="H1692" s="238">
        <f>IFERROR(__xludf.DUMMYFUNCTION("""COMPUTED_VALUE"""),45994.04166666667)</f>
        <v>45994.04167</v>
      </c>
      <c r="I1692" s="237" t="str">
        <f t="shared" si="1"/>
        <v>Fora</v>
      </c>
      <c r="J1692" s="239">
        <v>119.99999999301508</v>
      </c>
    </row>
    <row r="1693">
      <c r="A1693" s="234" t="s">
        <v>3386</v>
      </c>
      <c r="B1693" s="234" t="str">
        <f>IFERROR(__xludf.DUMMYFUNCTION("""COMPUTED_VALUE"""),"LM Hub_SP_Araraquara")</f>
        <v>LM Hub_SP_Araraquara</v>
      </c>
      <c r="C1693" s="234" t="str">
        <f>IFERROR(__xludf.DUMMYFUNCTION("""COMPUTED_VALUE"""),"HUB-LSP-29")</f>
        <v>HUB-LSP-29</v>
      </c>
      <c r="D1693" s="234">
        <f>IFERROR(__xludf.DUMMYFUNCTION("""COMPUTED_VALUE"""),38.0)</f>
        <v>38</v>
      </c>
      <c r="E1693" s="237" t="str">
        <f>IFERROR(__xludf.DUMMYFUNCTION("""COMPUTED_VALUE"""),"LT0PC201T0IW1")</f>
        <v>LT0PC201T0IW1</v>
      </c>
      <c r="F1693" s="238" t="str">
        <f>IFERROR(__xludf.DUMMYFUNCTION("""COMPUTED_VALUE"""),"EWJ2H21")</f>
        <v>EWJ2H21</v>
      </c>
      <c r="G1693" s="238">
        <f>IFERROR(__xludf.DUMMYFUNCTION("""COMPUTED_VALUE"""),45993.97916666667)</f>
        <v>45993.97917</v>
      </c>
      <c r="H1693" s="238">
        <f>IFERROR(__xludf.DUMMYFUNCTION("""COMPUTED_VALUE"""),45994.0625)</f>
        <v>45994.0625</v>
      </c>
      <c r="I1693" s="237" t="str">
        <f t="shared" si="1"/>
        <v>Fora</v>
      </c>
      <c r="J1693" s="239">
        <v>119.99999999301508</v>
      </c>
    </row>
    <row r="1694">
      <c r="A1694" s="234" t="s">
        <v>3387</v>
      </c>
      <c r="B1694" s="234" t="str">
        <f>IFERROR(__xludf.DUMMYFUNCTION("""COMPUTED_VALUE"""),"LM Hub_SP_Atibaia_Ponte_Alta")</f>
        <v>LM Hub_SP_Atibaia_Ponte_Alta</v>
      </c>
      <c r="C1694" s="234" t="str">
        <f>IFERROR(__xludf.DUMMYFUNCTION("""COMPUTED_VALUE"""),"HUB-LSP-87")</f>
        <v>HUB-LSP-87</v>
      </c>
      <c r="D1694" s="234">
        <f>IFERROR(__xludf.DUMMYFUNCTION("""COMPUTED_VALUE"""),5.0)</f>
        <v>5</v>
      </c>
      <c r="E1694" s="237" t="str">
        <f>IFERROR(__xludf.DUMMYFUNCTION("""COMPUTED_VALUE"""),"LT0PC201T4QI1")</f>
        <v>LT0PC201T4QI1</v>
      </c>
      <c r="F1694" s="238" t="str">
        <f>IFERROR(__xludf.DUMMYFUNCTION("""COMPUTED_VALUE"""),"FME7F94,FWK4H07")</f>
        <v>FME7F94,FWK4H07</v>
      </c>
      <c r="G1694" s="238">
        <f>IFERROR(__xludf.DUMMYFUNCTION("""COMPUTED_VALUE"""),45993.97916666667)</f>
        <v>45993.97917</v>
      </c>
      <c r="H1694" s="238">
        <f>IFERROR(__xludf.DUMMYFUNCTION("""COMPUTED_VALUE"""),45994.0625)</f>
        <v>45994.0625</v>
      </c>
      <c r="I1694" s="237" t="str">
        <f t="shared" si="1"/>
        <v>Fora</v>
      </c>
      <c r="J1694" s="239">
        <v>119.99999999301508</v>
      </c>
    </row>
    <row r="1695">
      <c r="A1695" s="234" t="s">
        <v>3388</v>
      </c>
      <c r="B1695" s="234" t="str">
        <f>IFERROR(__xludf.DUMMYFUNCTION("""COMPUTED_VALUE"""),"LM Hub_SP_Várzea Paulista")</f>
        <v>LM Hub_SP_Várzea Paulista</v>
      </c>
      <c r="C1695" s="234" t="str">
        <f>IFERROR(__xludf.DUMMYFUNCTION("""COMPUTED_VALUE"""),"HUB-LSP-61")</f>
        <v>HUB-LSP-61</v>
      </c>
      <c r="D1695" s="234">
        <f>IFERROR(__xludf.DUMMYFUNCTION("""COMPUTED_VALUE"""),46.0)</f>
        <v>46</v>
      </c>
      <c r="E1695" s="237" t="str">
        <f>IFERROR(__xludf.DUMMYFUNCTION("""COMPUTED_VALUE"""),"LT0PC201T0I31")</f>
        <v>LT0PC201T0I31</v>
      </c>
      <c r="F1695" s="238" t="str">
        <f>IFERROR(__xludf.DUMMYFUNCTION("""COMPUTED_VALUE"""),"RNE2H82,OVJ7491")</f>
        <v>RNE2H82,OVJ7491</v>
      </c>
      <c r="G1695" s="238">
        <f>IFERROR(__xludf.DUMMYFUNCTION("""COMPUTED_VALUE"""),45993.97916666667)</f>
        <v>45993.97917</v>
      </c>
      <c r="H1695" s="238">
        <f>IFERROR(__xludf.DUMMYFUNCTION("""COMPUTED_VALUE"""),45994.0625)</f>
        <v>45994.0625</v>
      </c>
      <c r="I1695" s="237" t="str">
        <f t="shared" si="1"/>
        <v>Fora</v>
      </c>
      <c r="J1695" s="239">
        <v>119.99999999301508</v>
      </c>
    </row>
    <row r="1696">
      <c r="A1696" s="234" t="s">
        <v>3389</v>
      </c>
      <c r="B1696" s="234" t="str">
        <f>IFERROR(__xludf.DUMMYFUNCTION("""COMPUTED_VALUE"""),"SoC_PE_Jaboatão dos Guararapes")</f>
        <v>SoC_PE_Jaboatão dos Guararapes</v>
      </c>
      <c r="C1696" s="234" t="str">
        <f>IFERROR(__xludf.DUMMYFUNCTION("""COMPUTED_VALUE"""),"SOC-PE2")</f>
        <v>SOC-PE2</v>
      </c>
      <c r="D1696" s="234">
        <f>IFERROR(__xludf.DUMMYFUNCTION("""COMPUTED_VALUE"""),22.0)</f>
        <v>22</v>
      </c>
      <c r="E1696" s="237" t="str">
        <f>IFERROR(__xludf.DUMMYFUNCTION("""COMPUTED_VALUE"""),"LT0PC301T6FG1")</f>
        <v>LT0PC301T6FG1</v>
      </c>
      <c r="F1696" s="238" t="str">
        <f>IFERROR(__xludf.DUMMYFUNCTION("""COMPUTED_VALUE"""),"HIJ0420,HEH0420")</f>
        <v>HIJ0420,HEH0420</v>
      </c>
      <c r="G1696" s="238">
        <f>IFERROR(__xludf.DUMMYFUNCTION("""COMPUTED_VALUE"""),45994.0)</f>
        <v>45994</v>
      </c>
      <c r="H1696" s="238">
        <f>IFERROR(__xludf.DUMMYFUNCTION("""COMPUTED_VALUE"""),45994.08333333333)</f>
        <v>45994.08333</v>
      </c>
      <c r="I1696" s="237" t="str">
        <f t="shared" si="1"/>
        <v>Fora</v>
      </c>
      <c r="J1696" s="239">
        <v>119.99999999301508</v>
      </c>
    </row>
    <row r="1697">
      <c r="A1697" s="234" t="s">
        <v>3390</v>
      </c>
      <c r="B1697" s="234" t="str">
        <f>IFERROR(__xludf.DUMMYFUNCTION("""COMPUTED_VALUE"""),"SoC_PR_Curitiba")</f>
        <v>SoC_PR_Curitiba</v>
      </c>
      <c r="C1697" s="234" t="str">
        <f>IFERROR(__xludf.DUMMYFUNCTION("""COMPUTED_VALUE"""),"SOC-PR1")</f>
        <v>SOC-PR1</v>
      </c>
      <c r="D1697" s="234"/>
      <c r="E1697" s="237" t="str">
        <f>IFERROR(__xludf.DUMMYFUNCTION("""COMPUTED_VALUE"""),"LT0PC301T0BR1")</f>
        <v>LT0PC301T0BR1</v>
      </c>
      <c r="F1697" s="238" t="str">
        <f>IFERROR(__xludf.DUMMYFUNCTION("""COMPUTED_VALUE"""),"TAU9G38,RXU2A83")</f>
        <v>TAU9G38,RXU2A83</v>
      </c>
      <c r="G1697" s="238">
        <f>IFERROR(__xludf.DUMMYFUNCTION("""COMPUTED_VALUE"""),45994.0)</f>
        <v>45994</v>
      </c>
      <c r="H1697" s="238">
        <f>IFERROR(__xludf.DUMMYFUNCTION("""COMPUTED_VALUE"""),45994.08333333333)</f>
        <v>45994.08333</v>
      </c>
      <c r="I1697" s="237" t="str">
        <f t="shared" si="1"/>
        <v>Fora</v>
      </c>
      <c r="J1697" s="239">
        <v>119.99999999301508</v>
      </c>
    </row>
    <row r="1698">
      <c r="A1698" s="234" t="s">
        <v>3391</v>
      </c>
      <c r="B1698" s="234" t="str">
        <f>IFERROR(__xludf.DUMMYFUNCTION("""COMPUTED_VALUE"""),"SoC_SP_Louveira")</f>
        <v>SoC_SP_Louveira</v>
      </c>
      <c r="C1698" s="234" t="str">
        <f>IFERROR(__xludf.DUMMYFUNCTION("""COMPUTED_VALUE"""),"SOC-SP7")</f>
        <v>SOC-SP7</v>
      </c>
      <c r="D1698" s="234">
        <f>IFERROR(__xludf.DUMMYFUNCTION("""COMPUTED_VALUE"""),35.0)</f>
        <v>35</v>
      </c>
      <c r="E1698" s="237" t="str">
        <f>IFERROR(__xludf.DUMMYFUNCTION("""COMPUTED_VALUE"""),"LT0PC301T0D31")</f>
        <v>LT0PC301T0D31</v>
      </c>
      <c r="F1698" s="238" t="str">
        <f>IFERROR(__xludf.DUMMYFUNCTION("""COMPUTED_VALUE"""),"SWX3E45,DVS4J05")</f>
        <v>SWX3E45,DVS4J05</v>
      </c>
      <c r="G1698" s="238">
        <f>IFERROR(__xludf.DUMMYFUNCTION("""COMPUTED_VALUE"""),45994.0)</f>
        <v>45994</v>
      </c>
      <c r="H1698" s="238">
        <f>IFERROR(__xludf.DUMMYFUNCTION("""COMPUTED_VALUE"""),45994.08333333333)</f>
        <v>45994.08333</v>
      </c>
      <c r="I1698" s="237" t="str">
        <f t="shared" si="1"/>
        <v>Fora</v>
      </c>
      <c r="J1698" s="239">
        <v>120.00000001396984</v>
      </c>
    </row>
    <row r="1699">
      <c r="A1699" s="234" t="s">
        <v>3392</v>
      </c>
      <c r="B1699" s="234" t="str">
        <f>IFERROR(__xludf.DUMMYFUNCTION("""COMPUTED_VALUE"""),"LM Hub_MG_Varginha_Fausto")</f>
        <v>LM Hub_MG_Varginha_Fausto</v>
      </c>
      <c r="C1699" s="234" t="str">
        <f>IFERROR(__xludf.DUMMYFUNCTION("""COMPUTED_VALUE"""),"HUB-LMG-45")</f>
        <v>HUB-LMG-45</v>
      </c>
      <c r="D1699" s="234">
        <f>IFERROR(__xludf.DUMMYFUNCTION("""COMPUTED_VALUE"""),12.0)</f>
        <v>12</v>
      </c>
      <c r="E1699" s="237" t="str">
        <f>IFERROR(__xludf.DUMMYFUNCTION("""COMPUTED_VALUE"""),"LT0PC301T65M1")</f>
        <v>LT0PC301T65M1</v>
      </c>
      <c r="F1699" s="238" t="str">
        <f>IFERROR(__xludf.DUMMYFUNCTION("""COMPUTED_VALUE"""),"ERA8F85")</f>
        <v>ERA8F85</v>
      </c>
      <c r="G1699" s="238">
        <f>IFERROR(__xludf.DUMMYFUNCTION("""COMPUTED_VALUE"""),45994.02083333333)</f>
        <v>45994.02083</v>
      </c>
      <c r="H1699" s="238">
        <f>IFERROR(__xludf.DUMMYFUNCTION("""COMPUTED_VALUE"""),45994.10416666667)</f>
        <v>45994.10417</v>
      </c>
      <c r="I1699" s="237" t="str">
        <f t="shared" si="1"/>
        <v>Fora</v>
      </c>
      <c r="J1699" s="239">
        <v>119.99999999301508</v>
      </c>
    </row>
    <row r="1700">
      <c r="A1700" s="234" t="s">
        <v>3393</v>
      </c>
      <c r="B1700" s="234" t="str">
        <f>IFERROR(__xludf.DUMMYFUNCTION("""COMPUTED_VALUE"""),"SoC_BA_Simoes Filho")</f>
        <v>SoC_BA_Simoes Filho</v>
      </c>
      <c r="C1700" s="234" t="str">
        <f>IFERROR(__xludf.DUMMYFUNCTION("""COMPUTED_VALUE"""),"SOC-BA2")</f>
        <v>SOC-BA2</v>
      </c>
      <c r="D1700" s="234"/>
      <c r="E1700" s="237" t="str">
        <f>IFERROR(__xludf.DUMMYFUNCTION("""COMPUTED_VALUE"""),"LT1PC301TGJK1")</f>
        <v>LT1PC301TGJK1</v>
      </c>
      <c r="F1700" s="238" t="str">
        <f>IFERROR(__xludf.DUMMYFUNCTION("""COMPUTED_VALUE"""),"ENM9G81,SXI5I19")</f>
        <v>ENM9G81,SXI5I19</v>
      </c>
      <c r="G1700" s="238">
        <f>IFERROR(__xludf.DUMMYFUNCTION("""COMPUTED_VALUE"""),45994.04166666667)</f>
        <v>45994.04167</v>
      </c>
      <c r="H1700" s="238">
        <f>IFERROR(__xludf.DUMMYFUNCTION("""COMPUTED_VALUE"""),45994.125)</f>
        <v>45994.125</v>
      </c>
      <c r="I1700" s="237" t="str">
        <f t="shared" si="1"/>
        <v>Fora</v>
      </c>
      <c r="J1700" s="239">
        <v>119.99999999301508</v>
      </c>
    </row>
    <row r="1701">
      <c r="A1701" s="234" t="s">
        <v>3394</v>
      </c>
      <c r="B1701" s="234" t="str">
        <f>IFERROR(__xludf.DUMMYFUNCTION("""COMPUTED_VALUE"""),"SoC_RJ_Duque de Caxias")</f>
        <v>SoC_RJ_Duque de Caxias</v>
      </c>
      <c r="C1701" s="234" t="str">
        <f>IFERROR(__xludf.DUMMYFUNCTION("""COMPUTED_VALUE"""),"SOC-RJ2")</f>
        <v>SOC-RJ2</v>
      </c>
      <c r="D1701" s="234">
        <f>IFERROR(__xludf.DUMMYFUNCTION("""COMPUTED_VALUE"""),6.0)</f>
        <v>6</v>
      </c>
      <c r="E1701" s="237" t="str">
        <f>IFERROR(__xludf.DUMMYFUNCTION("""COMPUTED_VALUE"""),"LT1PC301TGJB1")</f>
        <v>LT1PC301TGJB1</v>
      </c>
      <c r="F1701" s="238" t="str">
        <f>IFERROR(__xludf.DUMMYFUNCTION("""COMPUTED_VALUE"""),"BZF4B42,ATP5H78")</f>
        <v>BZF4B42,ATP5H78</v>
      </c>
      <c r="G1701" s="238">
        <f>IFERROR(__xludf.DUMMYFUNCTION("""COMPUTED_VALUE"""),45994.04166666667)</f>
        <v>45994.04167</v>
      </c>
      <c r="H1701" s="238">
        <f>IFERROR(__xludf.DUMMYFUNCTION("""COMPUTED_VALUE"""),45994.125)</f>
        <v>45994.125</v>
      </c>
      <c r="I1701" s="237" t="str">
        <f t="shared" si="1"/>
        <v>Fora</v>
      </c>
      <c r="J1701" s="239">
        <v>540.0</v>
      </c>
    </row>
    <row r="1702">
      <c r="A1702" s="234" t="s">
        <v>3395</v>
      </c>
      <c r="B1702" s="234" t="str">
        <f>IFERROR(__xludf.DUMMYFUNCTION("""COMPUTED_VALUE"""),"SoC_SP_Cravinhos")</f>
        <v>SoC_SP_Cravinhos</v>
      </c>
      <c r="C1702" s="234" t="str">
        <f>IFERROR(__xludf.DUMMYFUNCTION("""COMPUTED_VALUE"""),"SOC-SP5")</f>
        <v>SOC-SP5</v>
      </c>
      <c r="D1702" s="234">
        <f>IFERROR(__xludf.DUMMYFUNCTION("""COMPUTED_VALUE"""),94.0)</f>
        <v>94</v>
      </c>
      <c r="E1702" s="237" t="str">
        <f>IFERROR(__xludf.DUMMYFUNCTION("""COMPUTED_VALUE"""),"LT0PC201T0C92")</f>
        <v>LT0PC201T0C92</v>
      </c>
      <c r="F1702" s="238" t="str">
        <f>IFERROR(__xludf.DUMMYFUNCTION("""COMPUTED_VALUE"""),"FST5E90,FFW3E68")</f>
        <v>FST5E90,FFW3E68</v>
      </c>
      <c r="G1702" s="238">
        <f>IFERROR(__xludf.DUMMYFUNCTION("""COMPUTED_VALUE"""),45993.79166666667)</f>
        <v>45993.79167</v>
      </c>
      <c r="H1702" s="238">
        <f>IFERROR(__xludf.DUMMYFUNCTION("""COMPUTED_VALUE"""),45994.16666666667)</f>
        <v>45994.16667</v>
      </c>
      <c r="I1702" s="237" t="str">
        <f t="shared" si="1"/>
        <v>Fora</v>
      </c>
      <c r="J1702" s="239">
        <v>120.00000001396984</v>
      </c>
    </row>
    <row r="1703">
      <c r="A1703" s="234" t="s">
        <v>3396</v>
      </c>
      <c r="B1703" s="234" t="str">
        <f>IFERROR(__xludf.DUMMYFUNCTION("""COMPUTED_VALUE"""),"LM Hub_SP_Tatuí")</f>
        <v>LM Hub_SP_Tatuí</v>
      </c>
      <c r="C1703" s="234" t="str">
        <f>IFERROR(__xludf.DUMMYFUNCTION("""COMPUTED_VALUE"""),"HUB-LSP-51")</f>
        <v>HUB-LSP-51</v>
      </c>
      <c r="D1703" s="234">
        <f>IFERROR(__xludf.DUMMYFUNCTION("""COMPUTED_VALUE"""),13.0)</f>
        <v>13</v>
      </c>
      <c r="E1703" s="237" t="str">
        <f>IFERROR(__xludf.DUMMYFUNCTION("""COMPUTED_VALUE"""),"LT0PC301T0FP1")</f>
        <v>LT0PC301T0FP1</v>
      </c>
      <c r="F1703" s="238" t="str">
        <f>IFERROR(__xludf.DUMMYFUNCTION("""COMPUTED_VALUE"""),"SWR6H23,FTZ4B35")</f>
        <v>SWR6H23,FTZ4B35</v>
      </c>
      <c r="G1703" s="238">
        <f>IFERROR(__xludf.DUMMYFUNCTION("""COMPUTED_VALUE"""),45994.08333333333)</f>
        <v>45994.08333</v>
      </c>
      <c r="H1703" s="238">
        <f>IFERROR(__xludf.DUMMYFUNCTION("""COMPUTED_VALUE"""),45994.16666666667)</f>
        <v>45994.16667</v>
      </c>
      <c r="I1703" s="237" t="str">
        <f t="shared" si="1"/>
        <v>Fora</v>
      </c>
      <c r="J1703" s="239">
        <v>120.00000001396984</v>
      </c>
    </row>
    <row r="1704">
      <c r="A1704" s="234" t="s">
        <v>3397</v>
      </c>
      <c r="B1704" s="234" t="str">
        <f>IFERROR(__xludf.DUMMYFUNCTION("""COMPUTED_VALUE"""),"SoC_RS_Gravataí_02")</f>
        <v>SoC_RS_Gravataí_02</v>
      </c>
      <c r="C1704" s="234" t="str">
        <f>IFERROR(__xludf.DUMMYFUNCTION("""COMPUTED_VALUE"""),"SOC-RS2")</f>
        <v>SOC-RS2</v>
      </c>
      <c r="D1704" s="234">
        <f>IFERROR(__xludf.DUMMYFUNCTION("""COMPUTED_VALUE"""),24.0)</f>
        <v>24</v>
      </c>
      <c r="E1704" s="237" t="str">
        <f>IFERROR(__xludf.DUMMYFUNCTION("""COMPUTED_VALUE"""),"LT0PC301T6V71")</f>
        <v>LT0PC301T6V71</v>
      </c>
      <c r="F1704" s="234" t="str">
        <f>IFERROR(__xludf.DUMMYFUNCTION("""COMPUTED_VALUE"""),"QSY5D29,TLP6A02")</f>
        <v>QSY5D29,TLP6A02</v>
      </c>
      <c r="G1704" s="238">
        <f>IFERROR(__xludf.DUMMYFUNCTION("""COMPUTED_VALUE"""),45994.08333333333)</f>
        <v>45994.08333</v>
      </c>
      <c r="H1704" s="238">
        <f>IFERROR(__xludf.DUMMYFUNCTION("""COMPUTED_VALUE"""),45994.16666666667)</f>
        <v>45994.16667</v>
      </c>
      <c r="I1704" s="237" t="str">
        <f t="shared" si="1"/>
        <v>Fora</v>
      </c>
      <c r="J1704" s="239">
        <v>120.00000001396984</v>
      </c>
    </row>
    <row r="1705">
      <c r="A1705" s="234" t="s">
        <v>3398</v>
      </c>
      <c r="B1705" s="234" t="str">
        <f>IFERROR(__xludf.DUMMYFUNCTION("""COMPUTED_VALUE"""),"SoC_SC_Itajaí")</f>
        <v>SoC_SC_Itajaí</v>
      </c>
      <c r="C1705" s="234" t="str">
        <f>IFERROR(__xludf.DUMMYFUNCTION("""COMPUTED_VALUE"""),"SOC-SC1")</f>
        <v>SOC-SC1</v>
      </c>
      <c r="D1705" s="234">
        <f>IFERROR(__xludf.DUMMYFUNCTION("""COMPUTED_VALUE"""),29.0)</f>
        <v>29</v>
      </c>
      <c r="E1705" s="237" t="str">
        <f>IFERROR(__xludf.DUMMYFUNCTION("""COMPUTED_VALUE"""),"LT0PC301T5HZ1")</f>
        <v>LT0PC301T5HZ1</v>
      </c>
      <c r="F1705" s="238" t="str">
        <f>IFERROR(__xludf.DUMMYFUNCTION("""COMPUTED_VALUE"""),"MKV0A76,RYV8I27")</f>
        <v>MKV0A76,RYV8I27</v>
      </c>
      <c r="G1705" s="238">
        <f>IFERROR(__xludf.DUMMYFUNCTION("""COMPUTED_VALUE"""),45994.08333333333)</f>
        <v>45994.08333</v>
      </c>
      <c r="H1705" s="238">
        <f>IFERROR(__xludf.DUMMYFUNCTION("""COMPUTED_VALUE"""),45994.16666666667)</f>
        <v>45994.16667</v>
      </c>
      <c r="I1705" s="237" t="str">
        <f t="shared" si="1"/>
        <v>Fora</v>
      </c>
      <c r="J1705" s="239">
        <v>119.99999999301508</v>
      </c>
    </row>
    <row r="1706">
      <c r="A1706" s="234" t="s">
        <v>3399</v>
      </c>
      <c r="B1706" s="234" t="str">
        <f>IFERROR(__xludf.DUMMYFUNCTION("""COMPUTED_VALUE"""),"LM Hub_SP_Itapetininga")</f>
        <v>LM Hub_SP_Itapetininga</v>
      </c>
      <c r="C1706" s="234" t="str">
        <f>IFERROR(__xludf.DUMMYFUNCTION("""COMPUTED_VALUE"""),"HUB-LSP-53")</f>
        <v>HUB-LSP-53</v>
      </c>
      <c r="D1706" s="234">
        <f>IFERROR(__xludf.DUMMYFUNCTION("""COMPUTED_VALUE"""),39.0)</f>
        <v>39</v>
      </c>
      <c r="E1706" s="237" t="str">
        <f>IFERROR(__xludf.DUMMYFUNCTION("""COMPUTED_VALUE"""),"LT0PC301T0FK1")</f>
        <v>LT0PC301T0FK1</v>
      </c>
      <c r="F1706" s="238" t="str">
        <f>IFERROR(__xludf.DUMMYFUNCTION("""COMPUTED_VALUE"""),"FLQ1E34,FLQ1E30")</f>
        <v>FLQ1E34,FLQ1E30</v>
      </c>
      <c r="G1706" s="238">
        <f>IFERROR(__xludf.DUMMYFUNCTION("""COMPUTED_VALUE"""),45994.10416666667)</f>
        <v>45994.10417</v>
      </c>
      <c r="H1706" s="238">
        <f>IFERROR(__xludf.DUMMYFUNCTION("""COMPUTED_VALUE"""),45994.1875)</f>
        <v>45994.1875</v>
      </c>
      <c r="I1706" s="237" t="str">
        <f t="shared" si="1"/>
        <v>Fora</v>
      </c>
      <c r="J1706" s="239">
        <v>119.99999999301508</v>
      </c>
    </row>
    <row r="1707">
      <c r="A1707" s="234" t="s">
        <v>3400</v>
      </c>
      <c r="B1707" s="234" t="str">
        <f>IFERROR(__xludf.DUMMYFUNCTION("""COMPUTED_VALUE"""),"LM Hub_SP_São Carlos")</f>
        <v>LM Hub_SP_São Carlos</v>
      </c>
      <c r="C1707" s="234" t="str">
        <f>IFERROR(__xludf.DUMMYFUNCTION("""COMPUTED_VALUE"""),"HUB-LSP-31")</f>
        <v>HUB-LSP-31</v>
      </c>
      <c r="D1707" s="234">
        <f>IFERROR(__xludf.DUMMYFUNCTION("""COMPUTED_VALUE"""),35.0)</f>
        <v>35</v>
      </c>
      <c r="E1707" s="237" t="str">
        <f>IFERROR(__xludf.DUMMYFUNCTION("""COMPUTED_VALUE"""),"LT0PC301T0IF1")</f>
        <v>LT0PC301T0IF1</v>
      </c>
      <c r="F1707" s="238" t="str">
        <f>IFERROR(__xludf.DUMMYFUNCTION("""COMPUTED_VALUE"""),"FZQ1I50")</f>
        <v>FZQ1I50</v>
      </c>
      <c r="G1707" s="238">
        <f>IFERROR(__xludf.DUMMYFUNCTION("""COMPUTED_VALUE"""),45994.10416666667)</f>
        <v>45994.10417</v>
      </c>
      <c r="H1707" s="238">
        <f>IFERROR(__xludf.DUMMYFUNCTION("""COMPUTED_VALUE"""),45994.1875)</f>
        <v>45994.1875</v>
      </c>
      <c r="I1707" s="237" t="str">
        <f t="shared" si="1"/>
        <v>Fora</v>
      </c>
      <c r="J1707" s="239">
        <v>119.99999999301508</v>
      </c>
    </row>
    <row r="1708">
      <c r="A1708" s="234" t="s">
        <v>3401</v>
      </c>
      <c r="B1708" s="234" t="str">
        <f>IFERROR(__xludf.DUMMYFUNCTION("""COMPUTED_VALUE"""),"LM Hub_SP_Itapeva")</f>
        <v>LM Hub_SP_Itapeva</v>
      </c>
      <c r="C1708" s="234" t="str">
        <f>IFERROR(__xludf.DUMMYFUNCTION("""COMPUTED_VALUE"""),"HUB-LSP-39")</f>
        <v>HUB-LSP-39</v>
      </c>
      <c r="D1708" s="234">
        <f>IFERROR(__xludf.DUMMYFUNCTION("""COMPUTED_VALUE"""),6.0)</f>
        <v>6</v>
      </c>
      <c r="E1708" s="237" t="str">
        <f>IFERROR(__xludf.DUMMYFUNCTION("""COMPUTED_VALUE"""),"LT0PC301T0FU1")</f>
        <v>LT0PC301T0FU1</v>
      </c>
      <c r="F1708" s="238" t="str">
        <f>IFERROR(__xludf.DUMMYFUNCTION("""COMPUTED_VALUE"""),"DTC3E38")</f>
        <v>DTC3E38</v>
      </c>
      <c r="G1708" s="238">
        <f>IFERROR(__xludf.DUMMYFUNCTION("""COMPUTED_VALUE"""),45994.125)</f>
        <v>45994.125</v>
      </c>
      <c r="H1708" s="238">
        <f>IFERROR(__xludf.DUMMYFUNCTION("""COMPUTED_VALUE"""),45994.20833333333)</f>
        <v>45994.20833</v>
      </c>
      <c r="I1708" s="237" t="str">
        <f t="shared" si="1"/>
        <v>Fora</v>
      </c>
      <c r="J1708" s="239">
        <v>119.99999999301508</v>
      </c>
    </row>
    <row r="1709">
      <c r="A1709" s="234" t="s">
        <v>3402</v>
      </c>
      <c r="B1709" s="234" t="str">
        <f>IFERROR(__xludf.DUMMYFUNCTION("""COMPUTED_VALUE"""),"LM Hub_SP_Sumaré_Nova Veneza_1")</f>
        <v>LM Hub_SP_Sumaré_Nova Veneza_1</v>
      </c>
      <c r="C1709" s="234" t="str">
        <f>IFERROR(__xludf.DUMMYFUNCTION("""COMPUTED_VALUE"""),"HUB-LSP-88")</f>
        <v>HUB-LSP-88</v>
      </c>
      <c r="D1709" s="234">
        <f>IFERROR(__xludf.DUMMYFUNCTION("""COMPUTED_VALUE"""),37.0)</f>
        <v>37</v>
      </c>
      <c r="E1709" s="237" t="str">
        <f>IFERROR(__xludf.DUMMYFUNCTION("""COMPUTED_VALUE"""),"LT0PC301T61X1")</f>
        <v>LT0PC301T61X1</v>
      </c>
      <c r="F1709" s="238" t="str">
        <f>IFERROR(__xludf.DUMMYFUNCTION("""COMPUTED_VALUE"""),"QXU3D20")</f>
        <v>QXU3D20</v>
      </c>
      <c r="G1709" s="238">
        <f>IFERROR(__xludf.DUMMYFUNCTION("""COMPUTED_VALUE"""),45994.125)</f>
        <v>45994.125</v>
      </c>
      <c r="H1709" s="238">
        <f>IFERROR(__xludf.DUMMYFUNCTION("""COMPUTED_VALUE"""),45994.20833333333)</f>
        <v>45994.20833</v>
      </c>
      <c r="I1709" s="237" t="str">
        <f t="shared" si="1"/>
        <v>Fora</v>
      </c>
      <c r="J1709" s="239">
        <v>119.99999999301508</v>
      </c>
    </row>
    <row r="1710">
      <c r="A1710" s="234" t="s">
        <v>3403</v>
      </c>
      <c r="B1710" s="234" t="str">
        <f>IFERROR(__xludf.DUMMYFUNCTION("""COMPUTED_VALUE"""),"SoC_RS_Gravataí_02")</f>
        <v>SoC_RS_Gravataí_02</v>
      </c>
      <c r="C1710" s="234" t="str">
        <f>IFERROR(__xludf.DUMMYFUNCTION("""COMPUTED_VALUE"""),"SOC-RS2")</f>
        <v>SOC-RS2</v>
      </c>
      <c r="D1710" s="234">
        <f>IFERROR(__xludf.DUMMYFUNCTION("""COMPUTED_VALUE"""),25.0)</f>
        <v>25</v>
      </c>
      <c r="E1710" s="237" t="str">
        <f>IFERROR(__xludf.DUMMYFUNCTION("""COMPUTED_VALUE"""),"LT1PC301TGJM1")</f>
        <v>LT1PC301TGJM1</v>
      </c>
      <c r="F1710" s="234" t="str">
        <f>IFERROR(__xludf.DUMMYFUNCTION("""COMPUTED_VALUE"""),"DAJ4J82")</f>
        <v>DAJ4J82</v>
      </c>
      <c r="G1710" s="238">
        <f>IFERROR(__xludf.DUMMYFUNCTION("""COMPUTED_VALUE"""),45994.125)</f>
        <v>45994.125</v>
      </c>
      <c r="H1710" s="238">
        <f>IFERROR(__xludf.DUMMYFUNCTION("""COMPUTED_VALUE"""),45994.20833333333)</f>
        <v>45994.20833</v>
      </c>
      <c r="I1710" s="237" t="str">
        <f t="shared" si="1"/>
        <v>Fora</v>
      </c>
      <c r="J1710" s="239">
        <v>119.99999999301508</v>
      </c>
    </row>
    <row r="1711">
      <c r="A1711" s="234" t="s">
        <v>3404</v>
      </c>
      <c r="B1711" s="234" t="str">
        <f>IFERROR(__xludf.DUMMYFUNCTION("""COMPUTED_VALUE"""),"SoC_SC_Itajaí")</f>
        <v>SoC_SC_Itajaí</v>
      </c>
      <c r="C1711" s="234" t="str">
        <f>IFERROR(__xludf.DUMMYFUNCTION("""COMPUTED_VALUE"""),"SOC-SC1")</f>
        <v>SOC-SC1</v>
      </c>
      <c r="D1711" s="234">
        <f>IFERROR(__xludf.DUMMYFUNCTION("""COMPUTED_VALUE"""),27.0)</f>
        <v>27</v>
      </c>
      <c r="E1711" s="237" t="str">
        <f>IFERROR(__xludf.DUMMYFUNCTION("""COMPUTED_VALUE"""),"LT1PC301TGJN1")</f>
        <v>LT1PC301TGJN1</v>
      </c>
      <c r="F1711" s="238" t="str">
        <f>IFERROR(__xludf.DUMMYFUNCTION("""COMPUTED_VALUE"""),"MJI3860,REB2E97")</f>
        <v>MJI3860,REB2E97</v>
      </c>
      <c r="G1711" s="238">
        <f>IFERROR(__xludf.DUMMYFUNCTION("""COMPUTED_VALUE"""),45994.125)</f>
        <v>45994.125</v>
      </c>
      <c r="H1711" s="238">
        <f>IFERROR(__xludf.DUMMYFUNCTION("""COMPUTED_VALUE"""),45994.20833333333)</f>
        <v>45994.20833</v>
      </c>
      <c r="I1711" s="237" t="str">
        <f t="shared" si="1"/>
        <v>Fora</v>
      </c>
      <c r="J1711" s="239">
        <v>119.99999999301508</v>
      </c>
    </row>
    <row r="1712">
      <c r="A1712" s="234" t="s">
        <v>3405</v>
      </c>
      <c r="B1712" s="234" t="str">
        <f>IFERROR(__xludf.DUMMYFUNCTION("""COMPUTED_VALUE"""),"SoC_SP_Louveira")</f>
        <v>SoC_SP_Louveira</v>
      </c>
      <c r="C1712" s="234" t="str">
        <f>IFERROR(__xludf.DUMMYFUNCTION("""COMPUTED_VALUE"""),"SOC-SP7")</f>
        <v>SOC-SP7</v>
      </c>
      <c r="D1712" s="234"/>
      <c r="E1712" s="237" t="str">
        <f>IFERROR(__xludf.DUMMYFUNCTION("""COMPUTED_VALUE"""),"LT1PC301TGJ61")</f>
        <v>LT1PC301TGJ61</v>
      </c>
      <c r="F1712" s="238" t="str">
        <f>IFERROR(__xludf.DUMMYFUNCTION("""COMPUTED_VALUE"""),"JFQ5C47,EFU7H37")</f>
        <v>JFQ5C47,EFU7H37</v>
      </c>
      <c r="G1712" s="238">
        <f>IFERROR(__xludf.DUMMYFUNCTION("""COMPUTED_VALUE"""),45994.125)</f>
        <v>45994.125</v>
      </c>
      <c r="H1712" s="238">
        <f>IFERROR(__xludf.DUMMYFUNCTION("""COMPUTED_VALUE"""),45994.20833333333)</f>
        <v>45994.20833</v>
      </c>
      <c r="I1712" s="237" t="str">
        <f t="shared" si="1"/>
        <v>Fora</v>
      </c>
      <c r="J1712" s="239">
        <v>120.00000001396984</v>
      </c>
    </row>
    <row r="1713">
      <c r="A1713" s="234" t="s">
        <v>3406</v>
      </c>
      <c r="B1713" s="234" t="str">
        <f>IFERROR(__xludf.DUMMYFUNCTION("""COMPUTED_VALUE"""),"LM Hub_SP_Campinas_São Martinho")</f>
        <v>LM Hub_SP_Campinas_São Martinho</v>
      </c>
      <c r="C1713" s="234" t="str">
        <f>IFERROR(__xludf.DUMMYFUNCTION("""COMPUTED_VALUE"""),"HUB-LSP-19")</f>
        <v>HUB-LSP-19</v>
      </c>
      <c r="D1713" s="234">
        <f>IFERROR(__xludf.DUMMYFUNCTION("""COMPUTED_VALUE"""),17.0)</f>
        <v>17</v>
      </c>
      <c r="E1713" s="237" t="str">
        <f>IFERROR(__xludf.DUMMYFUNCTION("""COMPUTED_VALUE"""),"LT0PC301T0JA1")</f>
        <v>LT0PC301T0JA1</v>
      </c>
      <c r="F1713" s="238" t="str">
        <f>IFERROR(__xludf.DUMMYFUNCTION("""COMPUTED_VALUE"""),"OKQ5H03,FJP9A36")</f>
        <v>OKQ5H03,FJP9A36</v>
      </c>
      <c r="G1713" s="238">
        <f>IFERROR(__xludf.DUMMYFUNCTION("""COMPUTED_VALUE"""),45994.14583333333)</f>
        <v>45994.14583</v>
      </c>
      <c r="H1713" s="238">
        <f>IFERROR(__xludf.DUMMYFUNCTION("""COMPUTED_VALUE"""),45994.22916666667)</f>
        <v>45994.22917</v>
      </c>
      <c r="I1713" s="237" t="str">
        <f t="shared" si="1"/>
        <v>Fora</v>
      </c>
      <c r="J1713" s="239">
        <v>120.00000001396984</v>
      </c>
    </row>
    <row r="1714">
      <c r="A1714" s="234" t="s">
        <v>3407</v>
      </c>
      <c r="B1714" s="234" t="str">
        <f>IFERROR(__xludf.DUMMYFUNCTION("""COMPUTED_VALUE"""),"LM Hub_SP_Mogi Mirim")</f>
        <v>LM Hub_SP_Mogi Mirim</v>
      </c>
      <c r="C1714" s="234" t="str">
        <f>IFERROR(__xludf.DUMMYFUNCTION("""COMPUTED_VALUE"""),"HUB-LSP-37")</f>
        <v>HUB-LSP-37</v>
      </c>
      <c r="D1714" s="234">
        <f>IFERROR(__xludf.DUMMYFUNCTION("""COMPUTED_VALUE"""),40.0)</f>
        <v>40</v>
      </c>
      <c r="E1714" s="237" t="str">
        <f>IFERROR(__xludf.DUMMYFUNCTION("""COMPUTED_VALUE"""),"LT0PC301T0IM1")</f>
        <v>LT0PC301T0IM1</v>
      </c>
      <c r="F1714" s="238" t="str">
        <f>IFERROR(__xludf.DUMMYFUNCTION("""COMPUTED_VALUE"""),"TLE4D84")</f>
        <v>TLE4D84</v>
      </c>
      <c r="G1714" s="238">
        <f>IFERROR(__xludf.DUMMYFUNCTION("""COMPUTED_VALUE"""),45994.14583333333)</f>
        <v>45994.14583</v>
      </c>
      <c r="H1714" s="238">
        <f>IFERROR(__xludf.DUMMYFUNCTION("""COMPUTED_VALUE"""),45994.22916666667)</f>
        <v>45994.22917</v>
      </c>
      <c r="I1714" s="237" t="str">
        <f t="shared" si="1"/>
        <v>Fora</v>
      </c>
      <c r="J1714" s="239">
        <v>120.00000001396984</v>
      </c>
    </row>
    <row r="1715">
      <c r="A1715" s="234" t="s">
        <v>3408</v>
      </c>
      <c r="B1715" s="234" t="str">
        <f>IFERROR(__xludf.DUMMYFUNCTION("""COMPUTED_VALUE"""),"LM Hub_SP_Osasco_02")</f>
        <v>LM Hub_SP_Osasco_02</v>
      </c>
      <c r="C1715" s="234" t="str">
        <f>IFERROR(__xludf.DUMMYFUNCTION("""COMPUTED_VALUE"""),"HUB-LSP-60")</f>
        <v>HUB-LSP-60</v>
      </c>
      <c r="D1715" s="234">
        <f>IFERROR(__xludf.DUMMYFUNCTION("""COMPUTED_VALUE"""),23.0)</f>
        <v>23</v>
      </c>
      <c r="E1715" s="237" t="str">
        <f>IFERROR(__xludf.DUMMYFUNCTION("""COMPUTED_VALUE"""),"LT0PC301T1MH1")</f>
        <v>LT0PC301T1MH1</v>
      </c>
      <c r="F1715" s="234" t="str">
        <f>IFERROR(__xludf.DUMMYFUNCTION("""COMPUTED_VALUE"""),"PCW9A46")</f>
        <v>PCW9A46</v>
      </c>
      <c r="G1715" s="238">
        <f>IFERROR(__xludf.DUMMYFUNCTION("""COMPUTED_VALUE"""),45994.14583333333)</f>
        <v>45994.14583</v>
      </c>
      <c r="H1715" s="238">
        <f>IFERROR(__xludf.DUMMYFUNCTION("""COMPUTED_VALUE"""),45994.22916666667)</f>
        <v>45994.22917</v>
      </c>
      <c r="I1715" s="237" t="str">
        <f t="shared" si="1"/>
        <v>Fora</v>
      </c>
      <c r="J1715" s="239">
        <v>119.00000001071021</v>
      </c>
    </row>
    <row r="1716">
      <c r="A1716" s="234" t="s">
        <v>3409</v>
      </c>
      <c r="B1716" s="234" t="str">
        <f>IFERROR(__xludf.DUMMYFUNCTION("""COMPUTED_VALUE"""),"LM Hub_SP_Sorocaba_Região Norte")</f>
        <v>LM Hub_SP_Sorocaba_Região Norte</v>
      </c>
      <c r="C1716" s="234" t="str">
        <f>IFERROR(__xludf.DUMMYFUNCTION("""COMPUTED_VALUE"""),"HUB-LSP-10")</f>
        <v>HUB-LSP-10</v>
      </c>
      <c r="D1716" s="234">
        <f>IFERROR(__xludf.DUMMYFUNCTION("""COMPUTED_VALUE"""),14.0)</f>
        <v>14</v>
      </c>
      <c r="E1716" s="237" t="str">
        <f>IFERROR(__xludf.DUMMYFUNCTION("""COMPUTED_VALUE"""),"LT0PC301T0HH1")</f>
        <v>LT0PC301T0HH1</v>
      </c>
      <c r="F1716" s="238" t="str">
        <f>IFERROR(__xludf.DUMMYFUNCTION("""COMPUTED_VALUE"""),"NFW3H03,CYN6J16")</f>
        <v>NFW3H03,CYN6J16</v>
      </c>
      <c r="G1716" s="238">
        <f>IFERROR(__xludf.DUMMYFUNCTION("""COMPUTED_VALUE"""),45994.146527777775)</f>
        <v>45994.14653</v>
      </c>
      <c r="H1716" s="238">
        <f>IFERROR(__xludf.DUMMYFUNCTION("""COMPUTED_VALUE"""),45994.22916666667)</f>
        <v>45994.22917</v>
      </c>
      <c r="I1716" s="237" t="str">
        <f t="shared" si="1"/>
        <v>Fora</v>
      </c>
      <c r="J1716" s="239">
        <v>420.0000000069849</v>
      </c>
    </row>
    <row r="1717">
      <c r="A1717" s="234" t="s">
        <v>3410</v>
      </c>
      <c r="B1717" s="234" t="str">
        <f>IFERROR(__xludf.DUMMYFUNCTION("""COMPUTED_VALUE"""),"SoC_BA_Simoes Filho")</f>
        <v>SoC_BA_Simoes Filho</v>
      </c>
      <c r="C1717" s="234" t="str">
        <f>IFERROR(__xludf.DUMMYFUNCTION("""COMPUTED_VALUE"""),"SOC-BA2")</f>
        <v>SOC-BA2</v>
      </c>
      <c r="D1717" s="234">
        <f>IFERROR(__xludf.DUMMYFUNCTION("""COMPUTED_VALUE"""),88.0)</f>
        <v>88</v>
      </c>
      <c r="E1717" s="237" t="str">
        <f>IFERROR(__xludf.DUMMYFUNCTION("""COMPUTED_VALUE"""),"LT1PC201TGJJ1")</f>
        <v>LT1PC201TGJJ1</v>
      </c>
      <c r="F1717" s="238" t="str">
        <f>IFERROR(__xludf.DUMMYFUNCTION("""COMPUTED_VALUE"""),"ENM9G81,SXI5I19")</f>
        <v>ENM9G81,SXI5I19</v>
      </c>
      <c r="G1717" s="238">
        <f>IFERROR(__xludf.DUMMYFUNCTION("""COMPUTED_VALUE"""),45993.95833333333)</f>
        <v>45993.95833</v>
      </c>
      <c r="H1717" s="238">
        <f>IFERROR(__xludf.DUMMYFUNCTION("""COMPUTED_VALUE"""),45994.25)</f>
        <v>45994.25</v>
      </c>
      <c r="I1717" s="237" t="str">
        <f t="shared" si="1"/>
        <v>Fora</v>
      </c>
      <c r="J1717" s="239">
        <v>420.0000000069849</v>
      </c>
    </row>
    <row r="1718">
      <c r="A1718" s="234" t="s">
        <v>3411</v>
      </c>
      <c r="B1718" s="234" t="str">
        <f>IFERROR(__xludf.DUMMYFUNCTION("""COMPUTED_VALUE"""),"SoC_MG_Betim")</f>
        <v>SoC_MG_Betim</v>
      </c>
      <c r="C1718" s="234" t="str">
        <f>IFERROR(__xludf.DUMMYFUNCTION("""COMPUTED_VALUE"""),"SOC-MG2")</f>
        <v>SOC-MG2</v>
      </c>
      <c r="D1718" s="234">
        <f>IFERROR(__xludf.DUMMYFUNCTION("""COMPUTED_VALUE"""),91.0)</f>
        <v>91</v>
      </c>
      <c r="E1718" s="237" t="str">
        <f>IFERROR(__xludf.DUMMYFUNCTION("""COMPUTED_VALUE"""),"LT1PC201TGJF1")</f>
        <v>LT1PC201TGJF1</v>
      </c>
      <c r="F1718" s="238" t="str">
        <f>IFERROR(__xludf.DUMMYFUNCTION("""COMPUTED_VALUE"""),"DUM0C50,TKC6A82")</f>
        <v>DUM0C50,TKC6A82</v>
      </c>
      <c r="G1718" s="238">
        <f>IFERROR(__xludf.DUMMYFUNCTION("""COMPUTED_VALUE"""),45993.95833333333)</f>
        <v>45993.95833</v>
      </c>
      <c r="H1718" s="238">
        <f>IFERROR(__xludf.DUMMYFUNCTION("""COMPUTED_VALUE"""),45994.25)</f>
        <v>45994.25</v>
      </c>
      <c r="I1718" s="237" t="str">
        <f t="shared" si="1"/>
        <v>Fora</v>
      </c>
      <c r="J1718" s="239">
        <v>360.0</v>
      </c>
    </row>
    <row r="1719">
      <c r="A1719" s="234" t="s">
        <v>3412</v>
      </c>
      <c r="B1719" s="234" t="str">
        <f>IFERROR(__xludf.DUMMYFUNCTION("""COMPUTED_VALUE"""),"SoC_SP_Cravinhos")</f>
        <v>SoC_SP_Cravinhos</v>
      </c>
      <c r="C1719" s="234" t="str">
        <f>IFERROR(__xludf.DUMMYFUNCTION("""COMPUTED_VALUE"""),"SOC-SP5")</f>
        <v>SOC-SP5</v>
      </c>
      <c r="D1719" s="234">
        <f>IFERROR(__xludf.DUMMYFUNCTION("""COMPUTED_VALUE"""),48.0)</f>
        <v>48</v>
      </c>
      <c r="E1719" s="237" t="str">
        <f>IFERROR(__xludf.DUMMYFUNCTION("""COMPUTED_VALUE"""),"LT1PC201TGJ71")</f>
        <v>LT1PC201TGJ71</v>
      </c>
      <c r="F1719" s="238" t="str">
        <f>IFERROR(__xludf.DUMMYFUNCTION("""COMPUTED_VALUE"""),"HJZ0E23,DTA7E58")</f>
        <v>HJZ0E23,DTA7E58</v>
      </c>
      <c r="G1719" s="238">
        <f>IFERROR(__xludf.DUMMYFUNCTION("""COMPUTED_VALUE"""),45994.0)</f>
        <v>45994</v>
      </c>
      <c r="H1719" s="238">
        <f>IFERROR(__xludf.DUMMYFUNCTION("""COMPUTED_VALUE"""),45994.25)</f>
        <v>45994.25</v>
      </c>
      <c r="I1719" s="237" t="str">
        <f t="shared" si="1"/>
        <v>Fora</v>
      </c>
      <c r="J1719" s="239">
        <v>119.99999999301508</v>
      </c>
    </row>
    <row r="1720">
      <c r="A1720" s="234" t="s">
        <v>3413</v>
      </c>
      <c r="B1720" s="234" t="str">
        <f>IFERROR(__xludf.DUMMYFUNCTION("""COMPUTED_VALUE"""),"LM Hub_ES_Viana")</f>
        <v>LM Hub_ES_Viana</v>
      </c>
      <c r="C1720" s="234" t="str">
        <f>IFERROR(__xludf.DUMMYFUNCTION("""COMPUTED_VALUE"""),"HUB-LES-09")</f>
        <v>HUB-LES-09</v>
      </c>
      <c r="D1720" s="234">
        <f>IFERROR(__xludf.DUMMYFUNCTION("""COMPUTED_VALUE"""),28.0)</f>
        <v>28</v>
      </c>
      <c r="E1720" s="237" t="str">
        <f>IFERROR(__xludf.DUMMYFUNCTION("""COMPUTED_VALUE"""),"LT0PC301T4WI1")</f>
        <v>LT0PC301T4WI1</v>
      </c>
      <c r="F1720" s="238" t="str">
        <f>IFERROR(__xludf.DUMMYFUNCTION("""COMPUTED_VALUE"""),"FIV1H06")</f>
        <v>FIV1H06</v>
      </c>
      <c r="G1720" s="238">
        <f>IFERROR(__xludf.DUMMYFUNCTION("""COMPUTED_VALUE"""),45994.16666666667)</f>
        <v>45994.16667</v>
      </c>
      <c r="H1720" s="238">
        <f>IFERROR(__xludf.DUMMYFUNCTION("""COMPUTED_VALUE"""),45994.25)</f>
        <v>45994.25</v>
      </c>
      <c r="I1720" s="237" t="str">
        <f t="shared" si="1"/>
        <v>Fora</v>
      </c>
      <c r="J1720" s="239">
        <v>119.99999999301508</v>
      </c>
    </row>
    <row r="1721">
      <c r="A1721" s="234" t="s">
        <v>3414</v>
      </c>
      <c r="B1721" s="234" t="str">
        <f>IFERROR(__xludf.DUMMYFUNCTION("""COMPUTED_VALUE"""),"LM Hub_SP_Guaratinguetá")</f>
        <v>LM Hub_SP_Guaratinguetá</v>
      </c>
      <c r="C1721" s="234" t="str">
        <f>IFERROR(__xludf.DUMMYFUNCTION("""COMPUTED_VALUE"""),"HUB-LSP-33")</f>
        <v>HUB-LSP-33</v>
      </c>
      <c r="D1721" s="234">
        <f>IFERROR(__xludf.DUMMYFUNCTION("""COMPUTED_VALUE"""),16.0)</f>
        <v>16</v>
      </c>
      <c r="E1721" s="237" t="str">
        <f>IFERROR(__xludf.DUMMYFUNCTION("""COMPUTED_VALUE"""),"LT0PC301T0GM1")</f>
        <v>LT0PC301T0GM1</v>
      </c>
      <c r="F1721" s="238" t="str">
        <f>IFERROR(__xludf.DUMMYFUNCTION("""COMPUTED_VALUE"""),"EKH3880")</f>
        <v>EKH3880</v>
      </c>
      <c r="G1721" s="238">
        <f>IFERROR(__xludf.DUMMYFUNCTION("""COMPUTED_VALUE"""),45994.16666666667)</f>
        <v>45994.16667</v>
      </c>
      <c r="H1721" s="238">
        <f>IFERROR(__xludf.DUMMYFUNCTION("""COMPUTED_VALUE"""),45994.25)</f>
        <v>45994.25</v>
      </c>
      <c r="I1721" s="237" t="str">
        <f t="shared" si="1"/>
        <v>Fora</v>
      </c>
      <c r="J1721" s="239">
        <v>119.99999999301508</v>
      </c>
    </row>
    <row r="1722">
      <c r="A1722" s="234" t="s">
        <v>3415</v>
      </c>
      <c r="B1722" s="234" t="str">
        <f>IFERROR(__xludf.DUMMYFUNCTION("""COMPUTED_VALUE"""),"LM Hub_SP_Limeira_Campo Belo")</f>
        <v>LM Hub_SP_Limeira_Campo Belo</v>
      </c>
      <c r="C1722" s="234" t="str">
        <f>IFERROR(__xludf.DUMMYFUNCTION("""COMPUTED_VALUE"""),"HUB-LSP-24")</f>
        <v>HUB-LSP-24</v>
      </c>
      <c r="D1722" s="234">
        <f>IFERROR(__xludf.DUMMYFUNCTION("""COMPUTED_VALUE"""),43.0)</f>
        <v>43</v>
      </c>
      <c r="E1722" s="237" t="str">
        <f>IFERROR(__xludf.DUMMYFUNCTION("""COMPUTED_VALUE"""),"LT0PC301T0HO1")</f>
        <v>LT0PC301T0HO1</v>
      </c>
      <c r="F1722" s="238" t="str">
        <f>IFERROR(__xludf.DUMMYFUNCTION("""COMPUTED_VALUE"""),"UGN5A07")</f>
        <v>UGN5A07</v>
      </c>
      <c r="G1722" s="238">
        <f>IFERROR(__xludf.DUMMYFUNCTION("""COMPUTED_VALUE"""),45994.16666666667)</f>
        <v>45994.16667</v>
      </c>
      <c r="H1722" s="238">
        <f>IFERROR(__xludf.DUMMYFUNCTION("""COMPUTED_VALUE"""),45994.25)</f>
        <v>45994.25</v>
      </c>
      <c r="I1722" s="237" t="str">
        <f t="shared" si="1"/>
        <v>Fora</v>
      </c>
      <c r="J1722" s="239">
        <v>119.99999999301508</v>
      </c>
    </row>
    <row r="1723">
      <c r="A1723" s="234" t="s">
        <v>3416</v>
      </c>
      <c r="B1723" s="234" t="str">
        <f>IFERROR(__xludf.DUMMYFUNCTION("""COMPUTED_VALUE"""),"LM Hub_SP_Registro")</f>
        <v>LM Hub_SP_Registro</v>
      </c>
      <c r="C1723" s="234" t="str">
        <f>IFERROR(__xludf.DUMMYFUNCTION("""COMPUTED_VALUE"""),"HUB-LSP-40")</f>
        <v>HUB-LSP-40</v>
      </c>
      <c r="D1723" s="234">
        <f>IFERROR(__xludf.DUMMYFUNCTION("""COMPUTED_VALUE"""),5.0)</f>
        <v>5</v>
      </c>
      <c r="E1723" s="237" t="str">
        <f>IFERROR(__xludf.DUMMYFUNCTION("""COMPUTED_VALUE"""),"LT0PC301T0GB1")</f>
        <v>LT0PC301T0GB1</v>
      </c>
      <c r="F1723" s="238" t="str">
        <f>IFERROR(__xludf.DUMMYFUNCTION("""COMPUTED_VALUE"""),"FSV9B90")</f>
        <v>FSV9B90</v>
      </c>
      <c r="G1723" s="238">
        <f>IFERROR(__xludf.DUMMYFUNCTION("""COMPUTED_VALUE"""),45994.16666666667)</f>
        <v>45994.16667</v>
      </c>
      <c r="H1723" s="238">
        <f>IFERROR(__xludf.DUMMYFUNCTION("""COMPUTED_VALUE"""),45994.25)</f>
        <v>45994.25</v>
      </c>
      <c r="I1723" s="237" t="str">
        <f t="shared" si="1"/>
        <v>Fora</v>
      </c>
      <c r="J1723" s="239">
        <v>119.99999999301508</v>
      </c>
    </row>
    <row r="1724">
      <c r="A1724" s="234" t="s">
        <v>3417</v>
      </c>
      <c r="B1724" s="234" t="str">
        <f>IFERROR(__xludf.DUMMYFUNCTION("""COMPUTED_VALUE"""),"LM Hub_SP_Várzea Paulista")</f>
        <v>LM Hub_SP_Várzea Paulista</v>
      </c>
      <c r="C1724" s="234" t="str">
        <f>IFERROR(__xludf.DUMMYFUNCTION("""COMPUTED_VALUE"""),"HUB-LSP-61")</f>
        <v>HUB-LSP-61</v>
      </c>
      <c r="D1724" s="234">
        <f>IFERROR(__xludf.DUMMYFUNCTION("""COMPUTED_VALUE"""),47.0)</f>
        <v>47</v>
      </c>
      <c r="E1724" s="237" t="str">
        <f>IFERROR(__xludf.DUMMYFUNCTION("""COMPUTED_VALUE"""),"LT0PC301T0HY1")</f>
        <v>LT0PC301T0HY1</v>
      </c>
      <c r="F1724" s="238" t="str">
        <f>IFERROR(__xludf.DUMMYFUNCTION("""COMPUTED_VALUE"""),"HNQ8267")</f>
        <v>HNQ8267</v>
      </c>
      <c r="G1724" s="238">
        <f>IFERROR(__xludf.DUMMYFUNCTION("""COMPUTED_VALUE"""),45994.16666666667)</f>
        <v>45994.16667</v>
      </c>
      <c r="H1724" s="238">
        <f>IFERROR(__xludf.DUMMYFUNCTION("""COMPUTED_VALUE"""),45994.25)</f>
        <v>45994.25</v>
      </c>
      <c r="I1724" s="237" t="str">
        <f t="shared" si="1"/>
        <v>Fora</v>
      </c>
      <c r="J1724" s="239">
        <v>119.99999999301508</v>
      </c>
    </row>
    <row r="1725">
      <c r="A1725" s="234" t="s">
        <v>3418</v>
      </c>
      <c r="B1725" s="234" t="str">
        <f>IFERROR(__xludf.DUMMYFUNCTION("""COMPUTED_VALUE"""),"SoC_MG_Betim")</f>
        <v>SoC_MG_Betim</v>
      </c>
      <c r="C1725" s="234" t="str">
        <f>IFERROR(__xludf.DUMMYFUNCTION("""COMPUTED_VALUE"""),"SOC-MG2")</f>
        <v>SOC-MG2</v>
      </c>
      <c r="D1725" s="234">
        <f>IFERROR(__xludf.DUMMYFUNCTION("""COMPUTED_VALUE"""),50.0)</f>
        <v>50</v>
      </c>
      <c r="E1725" s="237" t="str">
        <f>IFERROR(__xludf.DUMMYFUNCTION("""COMPUTED_VALUE"""),"LT1PC301TGJH1")</f>
        <v>LT1PC301TGJH1</v>
      </c>
      <c r="F1725" s="238" t="str">
        <f>IFERROR(__xludf.DUMMYFUNCTION("""COMPUTED_VALUE"""),"DPS6J99,EQU1H83")</f>
        <v>DPS6J99,EQU1H83</v>
      </c>
      <c r="G1725" s="238">
        <f>IFERROR(__xludf.DUMMYFUNCTION("""COMPUTED_VALUE"""),45994.16666666667)</f>
        <v>45994.16667</v>
      </c>
      <c r="H1725" s="238">
        <f>IFERROR(__xludf.DUMMYFUNCTION("""COMPUTED_VALUE"""),45994.25)</f>
        <v>45994.25</v>
      </c>
      <c r="I1725" s="237" t="str">
        <f t="shared" si="1"/>
        <v>Fora</v>
      </c>
      <c r="J1725" s="239">
        <v>119.99999999301508</v>
      </c>
    </row>
    <row r="1726">
      <c r="A1726" s="234" t="s">
        <v>3419</v>
      </c>
      <c r="B1726" s="234" t="str">
        <f>IFERROR(__xludf.DUMMYFUNCTION("""COMPUTED_VALUE"""),"SoC_PE_Jaboatão dos Guararapes")</f>
        <v>SoC_PE_Jaboatão dos Guararapes</v>
      </c>
      <c r="C1726" s="234" t="str">
        <f>IFERROR(__xludf.DUMMYFUNCTION("""COMPUTED_VALUE"""),"SOC-PE2")</f>
        <v>SOC-PE2</v>
      </c>
      <c r="D1726" s="234">
        <f>IFERROR(__xludf.DUMMYFUNCTION("""COMPUTED_VALUE"""),26.0)</f>
        <v>26</v>
      </c>
      <c r="E1726" s="237" t="str">
        <f>IFERROR(__xludf.DUMMYFUNCTION("""COMPUTED_VALUE"""),"LT0PC301T6FM1")</f>
        <v>LT0PC301T6FM1</v>
      </c>
      <c r="F1726" s="238" t="str">
        <f>IFERROR(__xludf.DUMMYFUNCTION("""COMPUTED_VALUE"""),"QIP7B23,QJB9906")</f>
        <v>QIP7B23,QJB9906</v>
      </c>
      <c r="G1726" s="238">
        <f>IFERROR(__xludf.DUMMYFUNCTION("""COMPUTED_VALUE"""),45994.16666666667)</f>
        <v>45994.16667</v>
      </c>
      <c r="H1726" s="238">
        <f>IFERROR(__xludf.DUMMYFUNCTION("""COMPUTED_VALUE"""),45994.25)</f>
        <v>45994.25</v>
      </c>
      <c r="I1726" s="237" t="str">
        <f t="shared" si="1"/>
        <v>Fora</v>
      </c>
      <c r="J1726" s="239">
        <v>119.99999999301508</v>
      </c>
    </row>
    <row r="1727">
      <c r="A1727" s="234" t="s">
        <v>3420</v>
      </c>
      <c r="B1727" s="234" t="str">
        <f>IFERROR(__xludf.DUMMYFUNCTION("""COMPUTED_VALUE"""),"SoC_PE_Jaboatão dos Guararapes")</f>
        <v>SoC_PE_Jaboatão dos Guararapes</v>
      </c>
      <c r="C1727" s="234" t="str">
        <f>IFERROR(__xludf.DUMMYFUNCTION("""COMPUTED_VALUE"""),"SOC-PE2")</f>
        <v>SOC-PE2</v>
      </c>
      <c r="D1727" s="234"/>
      <c r="E1727" s="237" t="str">
        <f>IFERROR(__xludf.DUMMYFUNCTION("""COMPUTED_VALUE"""),"LT1PC301TGJI1")</f>
        <v>LT1PC301TGJI1</v>
      </c>
      <c r="F1727" s="238" t="str">
        <f>IFERROR(__xludf.DUMMYFUNCTION("""COMPUTED_VALUE"""),"FDP4E19")</f>
        <v>FDP4E19</v>
      </c>
      <c r="G1727" s="238">
        <f>IFERROR(__xludf.DUMMYFUNCTION("""COMPUTED_VALUE"""),45994.16666666667)</f>
        <v>45994.16667</v>
      </c>
      <c r="H1727" s="238">
        <f>IFERROR(__xludf.DUMMYFUNCTION("""COMPUTED_VALUE"""),45994.25)</f>
        <v>45994.25</v>
      </c>
      <c r="I1727" s="237" t="str">
        <f t="shared" si="1"/>
        <v>Fora</v>
      </c>
      <c r="J1727" s="239">
        <v>119.99999999301508</v>
      </c>
    </row>
    <row r="1728">
      <c r="A1728" s="234" t="s">
        <v>3421</v>
      </c>
      <c r="B1728" s="234" t="str">
        <f>IFERROR(__xludf.DUMMYFUNCTION("""COMPUTED_VALUE"""),"SoC_RJ_Duque de Caxias")</f>
        <v>SoC_RJ_Duque de Caxias</v>
      </c>
      <c r="C1728" s="234" t="str">
        <f>IFERROR(__xludf.DUMMYFUNCTION("""COMPUTED_VALUE"""),"SOC-RJ2")</f>
        <v>SOC-RJ2</v>
      </c>
      <c r="D1728" s="234"/>
      <c r="E1728" s="237" t="str">
        <f>IFERROR(__xludf.DUMMYFUNCTION("""COMPUTED_VALUE"""),"LT1PC301TGJD1")</f>
        <v>LT1PC301TGJD1</v>
      </c>
      <c r="F1728" s="238" t="str">
        <f>IFERROR(__xludf.DUMMYFUNCTION("""COMPUTED_VALUE"""),"-")</f>
        <v>-</v>
      </c>
      <c r="G1728" s="238">
        <f>IFERROR(__xludf.DUMMYFUNCTION("""COMPUTED_VALUE"""),45994.16666666667)</f>
        <v>45994.16667</v>
      </c>
      <c r="H1728" s="238">
        <f>IFERROR(__xludf.DUMMYFUNCTION("""COMPUTED_VALUE"""),45994.25)</f>
        <v>45994.25</v>
      </c>
      <c r="I1728" s="237" t="str">
        <f t="shared" si="1"/>
        <v>Fora</v>
      </c>
      <c r="J1728" s="239">
        <v>119.99999999301508</v>
      </c>
    </row>
    <row r="1729">
      <c r="A1729" s="234" t="s">
        <v>3422</v>
      </c>
      <c r="B1729" s="234" t="str">
        <f>IFERROR(__xludf.DUMMYFUNCTION("""COMPUTED_VALUE"""),"SoC_RS_Gravataí_02")</f>
        <v>SoC_RS_Gravataí_02</v>
      </c>
      <c r="C1729" s="234" t="str">
        <f>IFERROR(__xludf.DUMMYFUNCTION("""COMPUTED_VALUE"""),"SOC-RS2")</f>
        <v>SOC-RS2</v>
      </c>
      <c r="D1729" s="234">
        <f>IFERROR(__xludf.DUMMYFUNCTION("""COMPUTED_VALUE"""),24.0)</f>
        <v>24</v>
      </c>
      <c r="E1729" s="237" t="str">
        <f>IFERROR(__xludf.DUMMYFUNCTION("""COMPUTED_VALUE"""),"LT0PC301T6VC1")</f>
        <v>LT0PC301T6VC1</v>
      </c>
      <c r="F1729" s="238" t="str">
        <f>IFERROR(__xludf.DUMMYFUNCTION("""COMPUTED_VALUE"""),"TOJ1B42,TOJ4A79")</f>
        <v>TOJ1B42,TOJ4A79</v>
      </c>
      <c r="G1729" s="238">
        <f>IFERROR(__xludf.DUMMYFUNCTION("""COMPUTED_VALUE"""),45994.16666666667)</f>
        <v>45994.16667</v>
      </c>
      <c r="H1729" s="238">
        <f>IFERROR(__xludf.DUMMYFUNCTION("""COMPUTED_VALUE"""),45994.25)</f>
        <v>45994.25</v>
      </c>
      <c r="I1729" s="237" t="str">
        <f t="shared" si="1"/>
        <v>Fora</v>
      </c>
      <c r="J1729" s="239">
        <v>119.99999999301508</v>
      </c>
    </row>
    <row r="1730">
      <c r="A1730" s="234" t="s">
        <v>3423</v>
      </c>
      <c r="B1730" s="234" t="str">
        <f>IFERROR(__xludf.DUMMYFUNCTION("""COMPUTED_VALUE"""),"LM Hub_SP_Atibaia_Ponte_Alta")</f>
        <v>LM Hub_SP_Atibaia_Ponte_Alta</v>
      </c>
      <c r="C1730" s="234" t="str">
        <f>IFERROR(__xludf.DUMMYFUNCTION("""COMPUTED_VALUE"""),"HUB-LSP-87")</f>
        <v>HUB-LSP-87</v>
      </c>
      <c r="D1730" s="234">
        <f>IFERROR(__xludf.DUMMYFUNCTION("""COMPUTED_VALUE"""),12.0)</f>
        <v>12</v>
      </c>
      <c r="E1730" s="237" t="str">
        <f>IFERROR(__xludf.DUMMYFUNCTION("""COMPUTED_VALUE"""),"LT0PC301T4QD1")</f>
        <v>LT0PC301T4QD1</v>
      </c>
      <c r="F1730" s="238" t="str">
        <f>IFERROR(__xludf.DUMMYFUNCTION("""COMPUTED_VALUE"""),"BZV6J05")</f>
        <v>BZV6J05</v>
      </c>
      <c r="G1730" s="238">
        <f>IFERROR(__xludf.DUMMYFUNCTION("""COMPUTED_VALUE"""),45994.1875)</f>
        <v>45994.1875</v>
      </c>
      <c r="H1730" s="238">
        <f>IFERROR(__xludf.DUMMYFUNCTION("""COMPUTED_VALUE"""),45994.27083333333)</f>
        <v>45994.27083</v>
      </c>
      <c r="I1730" s="237" t="str">
        <f t="shared" si="1"/>
        <v>Fora</v>
      </c>
      <c r="J1730" s="239">
        <v>119.99999999301508</v>
      </c>
    </row>
    <row r="1731">
      <c r="A1731" s="234" t="s">
        <v>3424</v>
      </c>
      <c r="B1731" s="234" t="str">
        <f>IFERROR(__xludf.DUMMYFUNCTION("""COMPUTED_VALUE"""),"LM Hub_SP_Embu das Artes")</f>
        <v>LM Hub_SP_Embu das Artes</v>
      </c>
      <c r="C1731" s="234" t="str">
        <f>IFERROR(__xludf.DUMMYFUNCTION("""COMPUTED_VALUE"""),"HUB-LSP-36")</f>
        <v>HUB-LSP-36</v>
      </c>
      <c r="D1731" s="234">
        <f>IFERROR(__xludf.DUMMYFUNCTION("""COMPUTED_VALUE"""),35.0)</f>
        <v>35</v>
      </c>
      <c r="E1731" s="237" t="str">
        <f>IFERROR(__xludf.DUMMYFUNCTION("""COMPUTED_VALUE"""),"LT0PC301T1NL1")</f>
        <v>LT0PC301T1NL1</v>
      </c>
      <c r="F1731" s="238" t="str">
        <f>IFERROR(__xludf.DUMMYFUNCTION("""COMPUTED_VALUE"""),"FWF3044")</f>
        <v>FWF3044</v>
      </c>
      <c r="G1731" s="238">
        <f>IFERROR(__xludf.DUMMYFUNCTION("""COMPUTED_VALUE"""),45994.1875)</f>
        <v>45994.1875</v>
      </c>
      <c r="H1731" s="238">
        <f>IFERROR(__xludf.DUMMYFUNCTION("""COMPUTED_VALUE"""),45994.27083333333)</f>
        <v>45994.27083</v>
      </c>
      <c r="I1731" s="237" t="str">
        <f t="shared" si="1"/>
        <v>Fora</v>
      </c>
      <c r="J1731" s="239">
        <v>119.99999999301508</v>
      </c>
    </row>
    <row r="1732">
      <c r="A1732" s="234" t="s">
        <v>3425</v>
      </c>
      <c r="B1732" s="234" t="str">
        <f>IFERROR(__xludf.DUMMYFUNCTION("""COMPUTED_VALUE"""),"LM Hub_SP_Taubaté")</f>
        <v>LM Hub_SP_Taubaté</v>
      </c>
      <c r="C1732" s="234" t="str">
        <f>IFERROR(__xludf.DUMMYFUNCTION("""COMPUTED_VALUE"""),"HUB-LSP-08")</f>
        <v>HUB-LSP-08</v>
      </c>
      <c r="D1732" s="234">
        <f>IFERROR(__xludf.DUMMYFUNCTION("""COMPUTED_VALUE"""),18.0)</f>
        <v>18</v>
      </c>
      <c r="E1732" s="237" t="str">
        <f>IFERROR(__xludf.DUMMYFUNCTION("""COMPUTED_VALUE"""),"LT0PC301T0GX1")</f>
        <v>LT0PC301T0GX1</v>
      </c>
      <c r="F1732" s="238" t="str">
        <f>IFERROR(__xludf.DUMMYFUNCTION("""COMPUTED_VALUE"""),"ECT4I26")</f>
        <v>ECT4I26</v>
      </c>
      <c r="G1732" s="238">
        <f>IFERROR(__xludf.DUMMYFUNCTION("""COMPUTED_VALUE"""),45994.1875)</f>
        <v>45994.1875</v>
      </c>
      <c r="H1732" s="238">
        <f>IFERROR(__xludf.DUMMYFUNCTION("""COMPUTED_VALUE"""),45994.27083333333)</f>
        <v>45994.27083</v>
      </c>
      <c r="I1732" s="237" t="str">
        <f t="shared" si="1"/>
        <v>Fora</v>
      </c>
      <c r="J1732" s="239">
        <v>540.0</v>
      </c>
    </row>
    <row r="1733">
      <c r="A1733" s="234" t="s">
        <v>3426</v>
      </c>
      <c r="B1733" s="234" t="str">
        <f>IFERROR(__xludf.DUMMYFUNCTION("""COMPUTED_VALUE"""),"SoC_BA_Simoes Filho")</f>
        <v>SoC_BA_Simoes Filho</v>
      </c>
      <c r="C1733" s="234" t="str">
        <f>IFERROR(__xludf.DUMMYFUNCTION("""COMPUTED_VALUE"""),"SOC-BA2")</f>
        <v>SOC-BA2</v>
      </c>
      <c r="D1733" s="234"/>
      <c r="E1733" s="237" t="str">
        <f>IFERROR(__xludf.DUMMYFUNCTION("""COMPUTED_VALUE"""),"LT0PC201T6JY1")</f>
        <v>LT0PC201T6JY1</v>
      </c>
      <c r="F1733" s="238" t="str">
        <f>IFERROR(__xludf.DUMMYFUNCTION("""COMPUTED_VALUE"""),"GDI8E82,TDS7B08")</f>
        <v>GDI8E82,TDS7B08</v>
      </c>
      <c r="G1733" s="238">
        <f>IFERROR(__xludf.DUMMYFUNCTION("""COMPUTED_VALUE"""),45993.91666666667)</f>
        <v>45993.91667</v>
      </c>
      <c r="H1733" s="238">
        <f>IFERROR(__xludf.DUMMYFUNCTION("""COMPUTED_VALUE"""),45994.29166666667)</f>
        <v>45994.29167</v>
      </c>
      <c r="I1733" s="237" t="str">
        <f t="shared" si="1"/>
        <v>Fora</v>
      </c>
      <c r="J1733" s="239">
        <v>540.0</v>
      </c>
    </row>
    <row r="1734">
      <c r="A1734" s="234" t="s">
        <v>3427</v>
      </c>
      <c r="B1734" s="234" t="str">
        <f>IFERROR(__xludf.DUMMYFUNCTION("""COMPUTED_VALUE"""),"SoC_BA_Simoes Filho")</f>
        <v>SoC_BA_Simoes Filho</v>
      </c>
      <c r="C1734" s="234" t="str">
        <f>IFERROR(__xludf.DUMMYFUNCTION("""COMPUTED_VALUE"""),"SOC-BA2")</f>
        <v>SOC-BA2</v>
      </c>
      <c r="D1734" s="234">
        <f>IFERROR(__xludf.DUMMYFUNCTION("""COMPUTED_VALUE"""),89.0)</f>
        <v>89</v>
      </c>
      <c r="E1734" s="237" t="str">
        <f>IFERROR(__xludf.DUMMYFUNCTION("""COMPUTED_VALUE"""),"LT0PC201T6K02")</f>
        <v>LT0PC201T6K02</v>
      </c>
      <c r="F1734" s="238" t="str">
        <f>IFERROR(__xludf.DUMMYFUNCTION("""COMPUTED_VALUE"""),"FXT1D22,SHH0J80")</f>
        <v>FXT1D22,SHH0J80</v>
      </c>
      <c r="G1734" s="238">
        <f>IFERROR(__xludf.DUMMYFUNCTION("""COMPUTED_VALUE"""),45993.91666666667)</f>
        <v>45993.91667</v>
      </c>
      <c r="H1734" s="238">
        <f>IFERROR(__xludf.DUMMYFUNCTION("""COMPUTED_VALUE"""),45994.29166666667)</f>
        <v>45994.29167</v>
      </c>
      <c r="I1734" s="237" t="str">
        <f t="shared" si="1"/>
        <v>Fora</v>
      </c>
      <c r="J1734" s="239">
        <v>540.0</v>
      </c>
    </row>
    <row r="1735">
      <c r="A1735" s="234" t="s">
        <v>3428</v>
      </c>
      <c r="B1735" s="234" t="str">
        <f>IFERROR(__xludf.DUMMYFUNCTION("""COMPUTED_VALUE"""),"SoC_GO_Goiânia_02")</f>
        <v>SoC_GO_Goiânia_02</v>
      </c>
      <c r="C1735" s="234" t="str">
        <f>IFERROR(__xludf.DUMMYFUNCTION("""COMPUTED_VALUE"""),"SOC-GO2")</f>
        <v>SOC-GO2</v>
      </c>
      <c r="D1735" s="234">
        <f>IFERROR(__xludf.DUMMYFUNCTION("""COMPUTED_VALUE"""),87.0)</f>
        <v>87</v>
      </c>
      <c r="E1735" s="237" t="str">
        <f>IFERROR(__xludf.DUMMYFUNCTION("""COMPUTED_VALUE"""),"LT0PC201T6T61")</f>
        <v>LT0PC201T6T61</v>
      </c>
      <c r="F1735" s="238" t="str">
        <f>IFERROR(__xludf.DUMMYFUNCTION("""COMPUTED_VALUE"""),"AWX4J27,CQH1363")</f>
        <v>AWX4J27,CQH1363</v>
      </c>
      <c r="G1735" s="238">
        <f>IFERROR(__xludf.DUMMYFUNCTION("""COMPUTED_VALUE"""),45993.91666666667)</f>
        <v>45993.91667</v>
      </c>
      <c r="H1735" s="238">
        <f>IFERROR(__xludf.DUMMYFUNCTION("""COMPUTED_VALUE"""),45994.29166666667)</f>
        <v>45994.29167</v>
      </c>
      <c r="I1735" s="237" t="str">
        <f t="shared" si="1"/>
        <v>Fora</v>
      </c>
      <c r="J1735" s="239">
        <v>540.0</v>
      </c>
    </row>
    <row r="1736">
      <c r="A1736" s="234" t="s">
        <v>3429</v>
      </c>
      <c r="B1736" s="234" t="str">
        <f>IFERROR(__xludf.DUMMYFUNCTION("""COMPUTED_VALUE"""),"SoC_GO_Goiânia_02")</f>
        <v>SoC_GO_Goiânia_02</v>
      </c>
      <c r="C1736" s="234" t="str">
        <f>IFERROR(__xludf.DUMMYFUNCTION("""COMPUTED_VALUE"""),"SOC-GO2")</f>
        <v>SOC-GO2</v>
      </c>
      <c r="D1736" s="234">
        <f>IFERROR(__xludf.DUMMYFUNCTION("""COMPUTED_VALUE"""),87.0)</f>
        <v>87</v>
      </c>
      <c r="E1736" s="237" t="str">
        <f>IFERROR(__xludf.DUMMYFUNCTION("""COMPUTED_VALUE"""),"LT0PC201T6T82")</f>
        <v>LT0PC201T6T82</v>
      </c>
      <c r="F1736" s="238" t="str">
        <f>IFERROR(__xludf.DUMMYFUNCTION("""COMPUTED_VALUE"""),"CSK6C46,CQH1363")</f>
        <v>CSK6C46,CQH1363</v>
      </c>
      <c r="G1736" s="238">
        <f>IFERROR(__xludf.DUMMYFUNCTION("""COMPUTED_VALUE"""),45993.91666666667)</f>
        <v>45993.91667</v>
      </c>
      <c r="H1736" s="238">
        <f>IFERROR(__xludf.DUMMYFUNCTION("""COMPUTED_VALUE"""),45994.29166666667)</f>
        <v>45994.29167</v>
      </c>
      <c r="I1736" s="237" t="str">
        <f t="shared" si="1"/>
        <v>Fora</v>
      </c>
      <c r="J1736" s="239">
        <v>540.0</v>
      </c>
    </row>
    <row r="1737">
      <c r="A1737" s="234" t="s">
        <v>3430</v>
      </c>
      <c r="B1737" s="234" t="str">
        <f>IFERROR(__xludf.DUMMYFUNCTION("""COMPUTED_VALUE"""),"SoC_MG_Betim")</f>
        <v>SoC_MG_Betim</v>
      </c>
      <c r="C1737" s="234" t="str">
        <f>IFERROR(__xludf.DUMMYFUNCTION("""COMPUTED_VALUE"""),"SOC-MG2")</f>
        <v>SOC-MG2</v>
      </c>
      <c r="D1737" s="234">
        <f>IFERROR(__xludf.DUMMYFUNCTION("""COMPUTED_VALUE"""),91.0)</f>
        <v>91</v>
      </c>
      <c r="E1737" s="237" t="str">
        <f>IFERROR(__xludf.DUMMYFUNCTION("""COMPUTED_VALUE"""),"LT0PC201T0BK1")</f>
        <v>LT0PC201T0BK1</v>
      </c>
      <c r="F1737" s="238" t="str">
        <f>IFERROR(__xludf.DUMMYFUNCTION("""COMPUTED_VALUE"""),"SWU6I91,DTC7026")</f>
        <v>SWU6I91,DTC7026</v>
      </c>
      <c r="G1737" s="238">
        <f>IFERROR(__xludf.DUMMYFUNCTION("""COMPUTED_VALUE"""),45993.91666666667)</f>
        <v>45993.91667</v>
      </c>
      <c r="H1737" s="238">
        <f>IFERROR(__xludf.DUMMYFUNCTION("""COMPUTED_VALUE"""),45994.29166666667)</f>
        <v>45994.29167</v>
      </c>
      <c r="I1737" s="237" t="str">
        <f t="shared" si="1"/>
        <v>Fora</v>
      </c>
      <c r="J1737" s="239">
        <v>540.0</v>
      </c>
    </row>
    <row r="1738">
      <c r="A1738" s="234" t="s">
        <v>3431</v>
      </c>
      <c r="B1738" s="234" t="str">
        <f>IFERROR(__xludf.DUMMYFUNCTION("""COMPUTED_VALUE"""),"SoC_SP_Cravinhos")</f>
        <v>SoC_SP_Cravinhos</v>
      </c>
      <c r="C1738" s="234" t="str">
        <f>IFERROR(__xludf.DUMMYFUNCTION("""COMPUTED_VALUE"""),"SOC-SP5")</f>
        <v>SOC-SP5</v>
      </c>
      <c r="D1738" s="234">
        <f>IFERROR(__xludf.DUMMYFUNCTION("""COMPUTED_VALUE"""),94.0)</f>
        <v>94</v>
      </c>
      <c r="E1738" s="237" t="str">
        <f>IFERROR(__xludf.DUMMYFUNCTION("""COMPUTED_VALUE"""),"LT0PC201T0CS1")</f>
        <v>LT0PC201T0CS1</v>
      </c>
      <c r="F1738" s="238" t="str">
        <f>IFERROR(__xludf.DUMMYFUNCTION("""COMPUTED_VALUE"""),"EWJ0F90,LVB1J28")</f>
        <v>EWJ0F90,LVB1J28</v>
      </c>
      <c r="G1738" s="238">
        <f>IFERROR(__xludf.DUMMYFUNCTION("""COMPUTED_VALUE"""),45993.91666666667)</f>
        <v>45993.91667</v>
      </c>
      <c r="H1738" s="238">
        <f>IFERROR(__xludf.DUMMYFUNCTION("""COMPUTED_VALUE"""),45994.29166666667)</f>
        <v>45994.29167</v>
      </c>
      <c r="I1738" s="237" t="str">
        <f t="shared" si="1"/>
        <v>Fora</v>
      </c>
      <c r="J1738" s="239">
        <v>540.0</v>
      </c>
    </row>
    <row r="1739">
      <c r="A1739" s="234" t="s">
        <v>3432</v>
      </c>
      <c r="B1739" s="234" t="str">
        <f>IFERROR(__xludf.DUMMYFUNCTION("""COMPUTED_VALUE"""),"SoC_SP_Cravinhos")</f>
        <v>SoC_SP_Cravinhos</v>
      </c>
      <c r="C1739" s="234" t="str">
        <f>IFERROR(__xludf.DUMMYFUNCTION("""COMPUTED_VALUE"""),"SOC-SP5")</f>
        <v>SOC-SP5</v>
      </c>
      <c r="D1739" s="234">
        <f>IFERROR(__xludf.DUMMYFUNCTION("""COMPUTED_VALUE"""),8.0)</f>
        <v>8</v>
      </c>
      <c r="E1739" s="237" t="str">
        <f>IFERROR(__xludf.DUMMYFUNCTION("""COMPUTED_VALUE"""),"LT0PC201T0CU2")</f>
        <v>LT0PC201T0CU2</v>
      </c>
      <c r="F1739" s="238" t="str">
        <f>IFERROR(__xludf.DUMMYFUNCTION("""COMPUTED_VALUE"""),"FEK3A22,EWJ2318")</f>
        <v>FEK3A22,EWJ2318</v>
      </c>
      <c r="G1739" s="238">
        <f>IFERROR(__xludf.DUMMYFUNCTION("""COMPUTED_VALUE"""),45993.91666666667)</f>
        <v>45993.91667</v>
      </c>
      <c r="H1739" s="238">
        <f>IFERROR(__xludf.DUMMYFUNCTION("""COMPUTED_VALUE"""),45994.29166666667)</f>
        <v>45994.29167</v>
      </c>
      <c r="I1739" s="237" t="str">
        <f t="shared" si="1"/>
        <v>Fora</v>
      </c>
      <c r="J1739" s="239">
        <v>539.0000000072177</v>
      </c>
    </row>
    <row r="1740">
      <c r="A1740" s="234" t="s">
        <v>3433</v>
      </c>
      <c r="B1740" s="234" t="str">
        <f>IFERROR(__xludf.DUMMYFUNCTION("""COMPUTED_VALUE"""),"SoC_MG_Betim")</f>
        <v>SoC_MG_Betim</v>
      </c>
      <c r="C1740" s="234" t="str">
        <f>IFERROR(__xludf.DUMMYFUNCTION("""COMPUTED_VALUE"""),"SOC-MG2")</f>
        <v>SOC-MG2</v>
      </c>
      <c r="D1740" s="234">
        <f>IFERROR(__xludf.DUMMYFUNCTION("""COMPUTED_VALUE"""),48.0)</f>
        <v>48</v>
      </c>
      <c r="E1740" s="237" t="str">
        <f>IFERROR(__xludf.DUMMYFUNCTION("""COMPUTED_VALUE"""),"LT0PC201TA8U1")</f>
        <v>LT0PC201TA8U1</v>
      </c>
      <c r="F1740" s="238" t="str">
        <f>IFERROR(__xludf.DUMMYFUNCTION("""COMPUTED_VALUE"""),"DPF1E65,EWJ1I10")</f>
        <v>DPF1E65,EWJ1I10</v>
      </c>
      <c r="G1740" s="238">
        <f>IFERROR(__xludf.DUMMYFUNCTION("""COMPUTED_VALUE"""),45993.91736111111)</f>
        <v>45993.91736</v>
      </c>
      <c r="H1740" s="238">
        <f>IFERROR(__xludf.DUMMYFUNCTION("""COMPUTED_VALUE"""),45994.29166666667)</f>
        <v>45994.29167</v>
      </c>
      <c r="I1740" s="237" t="str">
        <f t="shared" si="1"/>
        <v>Fora</v>
      </c>
      <c r="J1740" s="239">
        <v>538.0000000144355</v>
      </c>
    </row>
    <row r="1741">
      <c r="A1741" s="234" t="s">
        <v>3434</v>
      </c>
      <c r="B1741" s="234" t="str">
        <f>IFERROR(__xludf.DUMMYFUNCTION("""COMPUTED_VALUE"""),"SoC_RJ_Duque de Caxias")</f>
        <v>SoC_RJ_Duque de Caxias</v>
      </c>
      <c r="C1741" s="234" t="str">
        <f>IFERROR(__xludf.DUMMYFUNCTION("""COMPUTED_VALUE"""),"SOC-RJ2")</f>
        <v>SOC-RJ2</v>
      </c>
      <c r="D1741" s="234">
        <f>IFERROR(__xludf.DUMMYFUNCTION("""COMPUTED_VALUE"""),92.0)</f>
        <v>92</v>
      </c>
      <c r="E1741" s="237" t="str">
        <f>IFERROR(__xludf.DUMMYFUNCTION("""COMPUTED_VALUE"""),"LT0PC201T2S21")</f>
        <v>LT0PC201T2S21</v>
      </c>
      <c r="F1741" s="238" t="str">
        <f>IFERROR(__xludf.DUMMYFUNCTION("""COMPUTED_VALUE"""),"BAN7E12,QIZ2A83")</f>
        <v>BAN7E12,QIZ2A83</v>
      </c>
      <c r="G1741" s="238">
        <f>IFERROR(__xludf.DUMMYFUNCTION("""COMPUTED_VALUE"""),45993.91805555555)</f>
        <v>45993.91806</v>
      </c>
      <c r="H1741" s="238">
        <f>IFERROR(__xludf.DUMMYFUNCTION("""COMPUTED_VALUE"""),45994.29166666667)</f>
        <v>45994.29167</v>
      </c>
      <c r="I1741" s="237" t="str">
        <f t="shared" si="1"/>
        <v>Fora</v>
      </c>
      <c r="J1741" s="239">
        <v>538.0000000144355</v>
      </c>
    </row>
    <row r="1742">
      <c r="A1742" s="234" t="s">
        <v>3435</v>
      </c>
      <c r="B1742" s="234" t="str">
        <f>IFERROR(__xludf.DUMMYFUNCTION("""COMPUTED_VALUE"""),"SoC_RJ_Duque de Caxias")</f>
        <v>SoC_RJ_Duque de Caxias</v>
      </c>
      <c r="C1742" s="234" t="str">
        <f>IFERROR(__xludf.DUMMYFUNCTION("""COMPUTED_VALUE"""),"SOC-RJ2")</f>
        <v>SOC-RJ2</v>
      </c>
      <c r="D1742" s="234">
        <f>IFERROR(__xludf.DUMMYFUNCTION("""COMPUTED_VALUE"""),93.0)</f>
        <v>93</v>
      </c>
      <c r="E1742" s="237" t="str">
        <f>IFERROR(__xludf.DUMMYFUNCTION("""COMPUTED_VALUE"""),"LT0PC201T2S42")</f>
        <v>LT0PC201T2S42</v>
      </c>
      <c r="F1742" s="238" t="str">
        <f>IFERROR(__xludf.DUMMYFUNCTION("""COMPUTED_VALUE"""),"UDR9D90,GKF1D06")</f>
        <v>UDR9D90,GKF1D06</v>
      </c>
      <c r="G1742" s="238">
        <f>IFERROR(__xludf.DUMMYFUNCTION("""COMPUTED_VALUE"""),45993.91805555555)</f>
        <v>45993.91806</v>
      </c>
      <c r="H1742" s="238">
        <f>IFERROR(__xludf.DUMMYFUNCTION("""COMPUTED_VALUE"""),45994.29166666667)</f>
        <v>45994.29167</v>
      </c>
      <c r="I1742" s="237" t="str">
        <f t="shared" si="1"/>
        <v>Fora</v>
      </c>
      <c r="J1742" s="239">
        <v>538.0000000144355</v>
      </c>
    </row>
    <row r="1743">
      <c r="A1743" s="234" t="s">
        <v>3436</v>
      </c>
      <c r="B1743" s="234" t="str">
        <f>IFERROR(__xludf.DUMMYFUNCTION("""COMPUTED_VALUE"""),"SoC_RJ_Duque de Caxias")</f>
        <v>SoC_RJ_Duque de Caxias</v>
      </c>
      <c r="C1743" s="234" t="str">
        <f>IFERROR(__xludf.DUMMYFUNCTION("""COMPUTED_VALUE"""),"SOC-RJ2")</f>
        <v>SOC-RJ2</v>
      </c>
      <c r="D1743" s="234">
        <f>IFERROR(__xludf.DUMMYFUNCTION("""COMPUTED_VALUE"""),92.0)</f>
        <v>92</v>
      </c>
      <c r="E1743" s="237" t="str">
        <f>IFERROR(__xludf.DUMMYFUNCTION("""COMPUTED_VALUE"""),"LT0PC201T2S63")</f>
        <v>LT0PC201T2S63</v>
      </c>
      <c r="F1743" s="238" t="str">
        <f>IFERROR(__xludf.DUMMYFUNCTION("""COMPUTED_VALUE"""),"MIE3A76,NFV9C52")</f>
        <v>MIE3A76,NFV9C52</v>
      </c>
      <c r="G1743" s="238">
        <f>IFERROR(__xludf.DUMMYFUNCTION("""COMPUTED_VALUE"""),45993.91805555555)</f>
        <v>45993.91806</v>
      </c>
      <c r="H1743" s="238">
        <f>IFERROR(__xludf.DUMMYFUNCTION("""COMPUTED_VALUE"""),45994.29166666667)</f>
        <v>45994.29167</v>
      </c>
      <c r="I1743" s="237" t="str">
        <f t="shared" si="1"/>
        <v>Fora</v>
      </c>
      <c r="J1743" s="239">
        <v>120.00000001396984</v>
      </c>
    </row>
    <row r="1744">
      <c r="A1744" s="234" t="s">
        <v>3437</v>
      </c>
      <c r="B1744" s="234" t="str">
        <f>IFERROR(__xludf.DUMMYFUNCTION("""COMPUTED_VALUE"""),"LM Hub_SP_Barueri_01")</f>
        <v>LM Hub_SP_Barueri_01</v>
      </c>
      <c r="C1744" s="234" t="str">
        <f>IFERROR(__xludf.DUMMYFUNCTION("""COMPUTED_VALUE"""),"HUB-LSP-81")</f>
        <v>HUB-LSP-81</v>
      </c>
      <c r="D1744" s="234">
        <f>IFERROR(__xludf.DUMMYFUNCTION("""COMPUTED_VALUE"""),13.0)</f>
        <v>13</v>
      </c>
      <c r="E1744" s="237" t="str">
        <f>IFERROR(__xludf.DUMMYFUNCTION("""COMPUTED_VALUE"""),"LT0PC301T65W1")</f>
        <v>LT0PC301T65W1</v>
      </c>
      <c r="F1744" s="238" t="str">
        <f>IFERROR(__xludf.DUMMYFUNCTION("""COMPUTED_VALUE"""),"OPY9J66")</f>
        <v>OPY9J66</v>
      </c>
      <c r="G1744" s="238">
        <f>IFERROR(__xludf.DUMMYFUNCTION("""COMPUTED_VALUE"""),45994.20833333333)</f>
        <v>45994.20833</v>
      </c>
      <c r="H1744" s="238">
        <f>IFERROR(__xludf.DUMMYFUNCTION("""COMPUTED_VALUE"""),45994.29166666667)</f>
        <v>45994.29167</v>
      </c>
      <c r="I1744" s="237" t="str">
        <f t="shared" si="1"/>
        <v>Fora</v>
      </c>
      <c r="J1744" s="239">
        <v>120.00000001396984</v>
      </c>
    </row>
    <row r="1745">
      <c r="A1745" s="234" t="s">
        <v>3438</v>
      </c>
      <c r="B1745" s="234" t="str">
        <f>IFERROR(__xludf.DUMMYFUNCTION("""COMPUTED_VALUE"""),"LM Hub_SP_Jundiaí")</f>
        <v>LM Hub_SP_Jundiaí</v>
      </c>
      <c r="C1745" s="234" t="str">
        <f>IFERROR(__xludf.DUMMYFUNCTION("""COMPUTED_VALUE"""),"HUB-LSP-100")</f>
        <v>HUB-LSP-100</v>
      </c>
      <c r="D1745" s="234">
        <f>IFERROR(__xludf.DUMMYFUNCTION("""COMPUTED_VALUE"""),6.0)</f>
        <v>6</v>
      </c>
      <c r="E1745" s="237" t="str">
        <f>IFERROR(__xludf.DUMMYFUNCTION("""COMPUTED_VALUE"""),"LT0PC301T7OX1")</f>
        <v>LT0PC301T7OX1</v>
      </c>
      <c r="F1745" s="238" t="str">
        <f>IFERROR(__xludf.DUMMYFUNCTION("""COMPUTED_VALUE"""),"PCX0H26")</f>
        <v>PCX0H26</v>
      </c>
      <c r="G1745" s="238">
        <f>IFERROR(__xludf.DUMMYFUNCTION("""COMPUTED_VALUE"""),45994.20833333333)</f>
        <v>45994.20833</v>
      </c>
      <c r="H1745" s="238">
        <f>IFERROR(__xludf.DUMMYFUNCTION("""COMPUTED_VALUE"""),45994.29166666667)</f>
        <v>45994.29167</v>
      </c>
      <c r="I1745" s="237" t="str">
        <f t="shared" si="1"/>
        <v>Fora</v>
      </c>
      <c r="J1745" s="239">
        <v>120.00000001396984</v>
      </c>
    </row>
    <row r="1746">
      <c r="A1746" s="234" t="s">
        <v>3439</v>
      </c>
      <c r="B1746" s="234" t="str">
        <f>IFERROR(__xludf.DUMMYFUNCTION("""COMPUTED_VALUE"""),"LM Hub_SP_Santos_PraiaGrande_02")</f>
        <v>LM Hub_SP_Santos_PraiaGrande_02</v>
      </c>
      <c r="C1746" s="234" t="str">
        <f>IFERROR(__xludf.DUMMYFUNCTION("""COMPUTED_VALUE"""),"HUB-LSP-63")</f>
        <v>HUB-LSP-63</v>
      </c>
      <c r="D1746" s="234"/>
      <c r="E1746" s="237" t="str">
        <f>IFERROR(__xludf.DUMMYFUNCTION("""COMPUTED_VALUE"""),"LT0PC301T1NG1")</f>
        <v>LT0PC301T1NG1</v>
      </c>
      <c r="F1746" s="238" t="str">
        <f>IFERROR(__xludf.DUMMYFUNCTION("""COMPUTED_VALUE"""),"-")</f>
        <v>-</v>
      </c>
      <c r="G1746" s="238">
        <f>IFERROR(__xludf.DUMMYFUNCTION("""COMPUTED_VALUE"""),45994.20833333333)</f>
        <v>45994.20833</v>
      </c>
      <c r="H1746" s="238">
        <f>IFERROR(__xludf.DUMMYFUNCTION("""COMPUTED_VALUE"""),45994.29166666667)</f>
        <v>45994.29167</v>
      </c>
      <c r="I1746" s="237" t="str">
        <f t="shared" si="1"/>
        <v>Fora</v>
      </c>
      <c r="J1746" s="239">
        <v>120.00000001396984</v>
      </c>
    </row>
    <row r="1747">
      <c r="A1747" s="234" t="s">
        <v>3440</v>
      </c>
      <c r="B1747" s="234" t="str">
        <f>IFERROR(__xludf.DUMMYFUNCTION("""COMPUTED_VALUE"""),"SoC_BA_Simoes Filho")</f>
        <v>SoC_BA_Simoes Filho</v>
      </c>
      <c r="C1747" s="234" t="str">
        <f>IFERROR(__xludf.DUMMYFUNCTION("""COMPUTED_VALUE"""),"SOC-BA2")</f>
        <v>SOC-BA2</v>
      </c>
      <c r="D1747" s="234">
        <f>IFERROR(__xludf.DUMMYFUNCTION("""COMPUTED_VALUE"""),46.0)</f>
        <v>46</v>
      </c>
      <c r="E1747" s="237" t="str">
        <f>IFERROR(__xludf.DUMMYFUNCTION("""COMPUTED_VALUE"""),"LT1PC301TGJL1")</f>
        <v>LT1PC301TGJL1</v>
      </c>
      <c r="F1747" s="238" t="str">
        <f>IFERROR(__xludf.DUMMYFUNCTION("""COMPUTED_VALUE"""),"QHE1105,RXO5I85")</f>
        <v>QHE1105,RXO5I85</v>
      </c>
      <c r="G1747" s="238">
        <f>IFERROR(__xludf.DUMMYFUNCTION("""COMPUTED_VALUE"""),45994.20833333333)</f>
        <v>45994.20833</v>
      </c>
      <c r="H1747" s="238">
        <f>IFERROR(__xludf.DUMMYFUNCTION("""COMPUTED_VALUE"""),45994.29166666667)</f>
        <v>45994.29167</v>
      </c>
      <c r="I1747" s="237" t="str">
        <f t="shared" si="1"/>
        <v>Fora</v>
      </c>
      <c r="J1747" s="239">
        <v>120.00000001396984</v>
      </c>
    </row>
    <row r="1748">
      <c r="A1748" s="234" t="s">
        <v>3441</v>
      </c>
      <c r="B1748" s="234" t="str">
        <f>IFERROR(__xludf.DUMMYFUNCTION("""COMPUTED_VALUE"""),"SoC_SP_Santana")</f>
        <v>SoC_SP_Santana</v>
      </c>
      <c r="C1748" s="234" t="str">
        <f>IFERROR(__xludf.DUMMYFUNCTION("""COMPUTED_VALUE"""),"SOC-SP2")</f>
        <v>SOC-SP2</v>
      </c>
      <c r="D1748" s="234">
        <f>IFERROR(__xludf.DUMMYFUNCTION("""COMPUTED_VALUE"""),33.0)</f>
        <v>33</v>
      </c>
      <c r="E1748" s="237" t="str">
        <f>IFERROR(__xludf.DUMMYFUNCTION("""COMPUTED_VALUE"""),"LT0PC301T0WL1")</f>
        <v>LT0PC301T0WL1</v>
      </c>
      <c r="F1748" s="238" t="str">
        <f>IFERROR(__xludf.DUMMYFUNCTION("""COMPUTED_VALUE"""),"CUC8286,JXB4390")</f>
        <v>CUC8286,JXB4390</v>
      </c>
      <c r="G1748" s="238">
        <f>IFERROR(__xludf.DUMMYFUNCTION("""COMPUTED_VALUE"""),45994.20833333333)</f>
        <v>45994.20833</v>
      </c>
      <c r="H1748" s="238">
        <f>IFERROR(__xludf.DUMMYFUNCTION("""COMPUTED_VALUE"""),45994.29166666667)</f>
        <v>45994.29167</v>
      </c>
      <c r="I1748" s="237" t="str">
        <f t="shared" si="1"/>
        <v>Fora</v>
      </c>
      <c r="J1748" s="239">
        <v>119.00000001071021</v>
      </c>
    </row>
    <row r="1749">
      <c r="A1749" s="234" t="s">
        <v>3442</v>
      </c>
      <c r="B1749" s="234" t="str">
        <f>IFERROR(__xludf.DUMMYFUNCTION("""COMPUTED_VALUE"""),"LM Hub_SP_Jurubatuba")</f>
        <v>LM Hub_SP_Jurubatuba</v>
      </c>
      <c r="C1749" s="234" t="str">
        <f>IFERROR(__xludf.DUMMYFUNCTION("""COMPUTED_VALUE"""),"HUB-LSP-16")</f>
        <v>HUB-LSP-16</v>
      </c>
      <c r="D1749" s="234">
        <f>IFERROR(__xludf.DUMMYFUNCTION("""COMPUTED_VALUE"""),19.0)</f>
        <v>19</v>
      </c>
      <c r="E1749" s="237" t="str">
        <f>IFERROR(__xludf.DUMMYFUNCTION("""COMPUTED_VALUE"""),"LT0PC301T1MB1")</f>
        <v>LT0PC301T1MB1</v>
      </c>
      <c r="F1749" s="238" t="str">
        <f>IFERROR(__xludf.DUMMYFUNCTION("""COMPUTED_VALUE"""),"MQM6I27,FXB7G01")</f>
        <v>MQM6I27,FXB7G01</v>
      </c>
      <c r="G1749" s="238">
        <f>IFERROR(__xludf.DUMMYFUNCTION("""COMPUTED_VALUE"""),45994.209027777775)</f>
        <v>45994.20903</v>
      </c>
      <c r="H1749" s="238">
        <f>IFERROR(__xludf.DUMMYFUNCTION("""COMPUTED_VALUE"""),45994.29166666667)</f>
        <v>45994.29167</v>
      </c>
      <c r="I1749" s="237" t="str">
        <f t="shared" si="1"/>
        <v>Fora</v>
      </c>
      <c r="J1749" s="239">
        <v>119.00000001071021</v>
      </c>
    </row>
    <row r="1750">
      <c r="A1750" s="234" t="s">
        <v>3443</v>
      </c>
      <c r="B1750" s="234" t="str">
        <f>IFERROR(__xludf.DUMMYFUNCTION("""COMPUTED_VALUE"""),"LM Hub_SP_Piracicaba")</f>
        <v>LM Hub_SP_Piracicaba</v>
      </c>
      <c r="C1750" s="234" t="str">
        <f>IFERROR(__xludf.DUMMYFUNCTION("""COMPUTED_VALUE"""),"HUB-LSP-62")</f>
        <v>HUB-LSP-62</v>
      </c>
      <c r="D1750" s="234"/>
      <c r="E1750" s="237" t="str">
        <f>IFERROR(__xludf.DUMMYFUNCTION("""COMPUTED_VALUE"""),"LT0PC301TAFB1")</f>
        <v>LT0PC301TAFB1</v>
      </c>
      <c r="F1750" s="238" t="str">
        <f>IFERROR(__xludf.DUMMYFUNCTION("""COMPUTED_VALUE"""),"EWJ1C48")</f>
        <v>EWJ1C48</v>
      </c>
      <c r="G1750" s="238">
        <f>IFERROR(__xludf.DUMMYFUNCTION("""COMPUTED_VALUE"""),45994.209027777775)</f>
        <v>45994.20903</v>
      </c>
      <c r="H1750" s="238">
        <f>IFERROR(__xludf.DUMMYFUNCTION("""COMPUTED_VALUE"""),45994.29166666667)</f>
        <v>45994.29167</v>
      </c>
      <c r="I1750" s="237" t="str">
        <f t="shared" si="1"/>
        <v>Fora</v>
      </c>
      <c r="J1750" s="239">
        <v>119.99999999301508</v>
      </c>
    </row>
    <row r="1751">
      <c r="A1751" s="234" t="s">
        <v>3444</v>
      </c>
      <c r="B1751" s="234" t="str">
        <f>IFERROR(__xludf.DUMMYFUNCTION("""COMPUTED_VALUE"""),"LM Hub_SP_Guarujá")</f>
        <v>LM Hub_SP_Guarujá</v>
      </c>
      <c r="C1751" s="234" t="str">
        <f>IFERROR(__xludf.DUMMYFUNCTION("""COMPUTED_VALUE"""),"HUB-LSP-06")</f>
        <v>HUB-LSP-06</v>
      </c>
      <c r="D1751" s="234">
        <f>IFERROR(__xludf.DUMMYFUNCTION("""COMPUTED_VALUE"""),9.0)</f>
        <v>9</v>
      </c>
      <c r="E1751" s="237" t="str">
        <f>IFERROR(__xludf.DUMMYFUNCTION("""COMPUTED_VALUE"""),"LT0PC301T1MW1")</f>
        <v>LT0PC301T1MW1</v>
      </c>
      <c r="F1751" s="238" t="str">
        <f>IFERROR(__xludf.DUMMYFUNCTION("""COMPUTED_VALUE"""),"TJN5H17")</f>
        <v>TJN5H17</v>
      </c>
      <c r="G1751" s="238">
        <f>IFERROR(__xludf.DUMMYFUNCTION("""COMPUTED_VALUE"""),45994.22916666667)</f>
        <v>45994.22917</v>
      </c>
      <c r="H1751" s="238">
        <f>IFERROR(__xludf.DUMMYFUNCTION("""COMPUTED_VALUE"""),45994.3125)</f>
        <v>45994.3125</v>
      </c>
      <c r="I1751" s="237" t="str">
        <f t="shared" si="1"/>
        <v>Fora</v>
      </c>
      <c r="J1751" s="239">
        <v>119.99999999301508</v>
      </c>
    </row>
    <row r="1752">
      <c r="A1752" s="234" t="s">
        <v>3445</v>
      </c>
      <c r="B1752" s="234" t="str">
        <f>IFERROR(__xludf.DUMMYFUNCTION("""COMPUTED_VALUE"""),"LM Hub_SP_Itapevi")</f>
        <v>LM Hub_SP_Itapevi</v>
      </c>
      <c r="C1752" s="234" t="str">
        <f>IFERROR(__xludf.DUMMYFUNCTION("""COMPUTED_VALUE"""),"HUB-LSP-41")</f>
        <v>HUB-LSP-41</v>
      </c>
      <c r="D1752" s="234">
        <f>IFERROR(__xludf.DUMMYFUNCTION("""COMPUTED_VALUE"""),7.0)</f>
        <v>7</v>
      </c>
      <c r="E1752" s="237" t="str">
        <f>IFERROR(__xludf.DUMMYFUNCTION("""COMPUTED_VALUE"""),"LT0PC301T0ES1")</f>
        <v>LT0PC301T0ES1</v>
      </c>
      <c r="F1752" s="238" t="str">
        <f>IFERROR(__xludf.DUMMYFUNCTION("""COMPUTED_VALUE"""),"DPF6F59")</f>
        <v>DPF6F59</v>
      </c>
      <c r="G1752" s="238">
        <f>IFERROR(__xludf.DUMMYFUNCTION("""COMPUTED_VALUE"""),45994.22916666667)</f>
        <v>45994.22917</v>
      </c>
      <c r="H1752" s="238">
        <f>IFERROR(__xludf.DUMMYFUNCTION("""COMPUTED_VALUE"""),45994.3125)</f>
        <v>45994.3125</v>
      </c>
      <c r="I1752" s="237" t="str">
        <f t="shared" si="1"/>
        <v>Fora</v>
      </c>
      <c r="J1752" s="239">
        <v>119.99999999301508</v>
      </c>
    </row>
    <row r="1753">
      <c r="A1753" s="234" t="s">
        <v>3446</v>
      </c>
      <c r="B1753" s="234" t="str">
        <f>IFERROR(__xludf.DUMMYFUNCTION("""COMPUTED_VALUE"""),"LM Hub_SP_Itaqua_Zimba")</f>
        <v>LM Hub_SP_Itaqua_Zimba</v>
      </c>
      <c r="C1753" s="234" t="str">
        <f>IFERROR(__xludf.DUMMYFUNCTION("""COMPUTED_VALUE"""),"HUB-LSP-74")</f>
        <v>HUB-LSP-74</v>
      </c>
      <c r="D1753" s="234">
        <f>IFERROR(__xludf.DUMMYFUNCTION("""COMPUTED_VALUE"""),14.0)</f>
        <v>14</v>
      </c>
      <c r="E1753" s="237" t="str">
        <f>IFERROR(__xludf.DUMMYFUNCTION("""COMPUTED_VALUE"""),"LT0PC301T1MR1")</f>
        <v>LT0PC301T1MR1</v>
      </c>
      <c r="F1753" s="234" t="str">
        <f>IFERROR(__xludf.DUMMYFUNCTION("""COMPUTED_VALUE"""),"RCA4J36")</f>
        <v>RCA4J36</v>
      </c>
      <c r="G1753" s="238">
        <f>IFERROR(__xludf.DUMMYFUNCTION("""COMPUTED_VALUE"""),45994.22916666667)</f>
        <v>45994.22917</v>
      </c>
      <c r="H1753" s="238">
        <f>IFERROR(__xludf.DUMMYFUNCTION("""COMPUTED_VALUE"""),45994.3125)</f>
        <v>45994.3125</v>
      </c>
      <c r="I1753" s="237" t="str">
        <f t="shared" si="1"/>
        <v>Fora</v>
      </c>
      <c r="J1753" s="239">
        <v>119.99999999301508</v>
      </c>
    </row>
    <row r="1754">
      <c r="A1754" s="234" t="s">
        <v>3447</v>
      </c>
      <c r="B1754" s="234" t="str">
        <f>IFERROR(__xludf.DUMMYFUNCTION("""COMPUTED_VALUE"""),"LM Hub_SP_Santos_Praia Grande")</f>
        <v>LM Hub_SP_Santos_Praia Grande</v>
      </c>
      <c r="C1754" s="234" t="str">
        <f>IFERROR(__xludf.DUMMYFUNCTION("""COMPUTED_VALUE"""),"HUB-LSP-09")</f>
        <v>HUB-LSP-09</v>
      </c>
      <c r="D1754" s="234">
        <f>IFERROR(__xludf.DUMMYFUNCTION("""COMPUTED_VALUE"""),29.0)</f>
        <v>29</v>
      </c>
      <c r="E1754" s="237" t="str">
        <f>IFERROR(__xludf.DUMMYFUNCTION("""COMPUTED_VALUE"""),"LT0PC301T1N11")</f>
        <v>LT0PC301T1N11</v>
      </c>
      <c r="F1754" s="238" t="str">
        <f>IFERROR(__xludf.DUMMYFUNCTION("""COMPUTED_VALUE"""),"GDW1D96")</f>
        <v>GDW1D96</v>
      </c>
      <c r="G1754" s="238">
        <f>IFERROR(__xludf.DUMMYFUNCTION("""COMPUTED_VALUE"""),45994.22916666667)</f>
        <v>45994.22917</v>
      </c>
      <c r="H1754" s="238">
        <f>IFERROR(__xludf.DUMMYFUNCTION("""COMPUTED_VALUE"""),45994.3125)</f>
        <v>45994.3125</v>
      </c>
      <c r="I1754" s="237" t="str">
        <f t="shared" si="1"/>
        <v>Fora</v>
      </c>
      <c r="J1754" s="239">
        <v>119.99999999301508</v>
      </c>
    </row>
    <row r="1755">
      <c r="A1755" s="234" t="s">
        <v>3448</v>
      </c>
      <c r="B1755" s="234" t="str">
        <f>IFERROR(__xludf.DUMMYFUNCTION("""COMPUTED_VALUE"""),"LM Hub_SP_São José dos Campos")</f>
        <v>LM Hub_SP_São José dos Campos</v>
      </c>
      <c r="C1755" s="234" t="str">
        <f>IFERROR(__xludf.DUMMYFUNCTION("""COMPUTED_VALUE"""),"HUB-LSP-04")</f>
        <v>HUB-LSP-04</v>
      </c>
      <c r="D1755" s="234">
        <f>IFERROR(__xludf.DUMMYFUNCTION("""COMPUTED_VALUE"""),21.0)</f>
        <v>21</v>
      </c>
      <c r="E1755" s="237" t="str">
        <f>IFERROR(__xludf.DUMMYFUNCTION("""COMPUTED_VALUE"""),"LT0PC301T1N61")</f>
        <v>LT0PC301T1N61</v>
      </c>
      <c r="F1755" s="238" t="str">
        <f>IFERROR(__xludf.DUMMYFUNCTION("""COMPUTED_VALUE"""),"PRI3H29")</f>
        <v>PRI3H29</v>
      </c>
      <c r="G1755" s="238">
        <f>IFERROR(__xludf.DUMMYFUNCTION("""COMPUTED_VALUE"""),45994.22916666667)</f>
        <v>45994.22917</v>
      </c>
      <c r="H1755" s="238">
        <f>IFERROR(__xludf.DUMMYFUNCTION("""COMPUTED_VALUE"""),45994.3125)</f>
        <v>45994.3125</v>
      </c>
      <c r="I1755" s="237" t="str">
        <f t="shared" si="1"/>
        <v>Fora</v>
      </c>
      <c r="J1755" s="239">
        <v>119.99999999301508</v>
      </c>
    </row>
    <row r="1756">
      <c r="A1756" s="234" t="s">
        <v>3449</v>
      </c>
      <c r="B1756" s="234" t="str">
        <f>IFERROR(__xludf.DUMMYFUNCTION("""COMPUTED_VALUE"""),"LM Hub_SP_São Paulo_Mooca")</f>
        <v>LM Hub_SP_São Paulo_Mooca</v>
      </c>
      <c r="C1756" s="234" t="str">
        <f>IFERROR(__xludf.DUMMYFUNCTION("""COMPUTED_VALUE"""),"HUB-LSP-13")</f>
        <v>HUB-LSP-13</v>
      </c>
      <c r="D1756" s="234">
        <f>IFERROR(__xludf.DUMMYFUNCTION("""COMPUTED_VALUE"""),5.0)</f>
        <v>5</v>
      </c>
      <c r="E1756" s="237" t="str">
        <f>IFERROR(__xludf.DUMMYFUNCTION("""COMPUTED_VALUE"""),"LT0PC301TAJ51")</f>
        <v>LT0PC301TAJ51</v>
      </c>
      <c r="F1756" s="238" t="str">
        <f>IFERROR(__xludf.DUMMYFUNCTION("""COMPUTED_VALUE"""),"PEP9J38")</f>
        <v>PEP9J38</v>
      </c>
      <c r="G1756" s="238">
        <f>IFERROR(__xludf.DUMMYFUNCTION("""COMPUTED_VALUE"""),45994.22916666667)</f>
        <v>45994.22917</v>
      </c>
      <c r="H1756" s="238">
        <f>IFERROR(__xludf.DUMMYFUNCTION("""COMPUTED_VALUE"""),45994.3125)</f>
        <v>45994.3125</v>
      </c>
      <c r="I1756" s="237" t="str">
        <f t="shared" si="1"/>
        <v>Fora</v>
      </c>
      <c r="J1756" s="239">
        <v>119.99999999301508</v>
      </c>
    </row>
    <row r="1757">
      <c r="A1757" s="234" t="s">
        <v>3450</v>
      </c>
      <c r="B1757" s="234" t="str">
        <f>IFERROR(__xludf.DUMMYFUNCTION("""COMPUTED_VALUE"""),"SoC_RS_Gravataí_02")</f>
        <v>SoC_RS_Gravataí_02</v>
      </c>
      <c r="C1757" s="234" t="str">
        <f>IFERROR(__xludf.DUMMYFUNCTION("""COMPUTED_VALUE"""),"SOC-RS2")</f>
        <v>SOC-RS2</v>
      </c>
      <c r="D1757" s="234"/>
      <c r="E1757" s="237" t="str">
        <f>IFERROR(__xludf.DUMMYFUNCTION("""COMPUTED_VALUE"""),"LT1PC201TG2Z1")</f>
        <v>LT1PC201TG2Z1</v>
      </c>
      <c r="F1757" s="238" t="str">
        <f>IFERROR(__xludf.DUMMYFUNCTION("""COMPUTED_VALUE"""),"DAJ4J82,STA8F56")</f>
        <v>DAJ4J82,STA8F56</v>
      </c>
      <c r="G1757" s="238">
        <f>IFERROR(__xludf.DUMMYFUNCTION("""COMPUTED_VALUE"""),45994.22916666667)</f>
        <v>45994.22917</v>
      </c>
      <c r="H1757" s="238">
        <f>IFERROR(__xludf.DUMMYFUNCTION("""COMPUTED_VALUE"""),45994.3125)</f>
        <v>45994.3125</v>
      </c>
      <c r="I1757" s="237" t="str">
        <f t="shared" si="1"/>
        <v>Fora</v>
      </c>
      <c r="J1757" s="239">
        <v>419.99999998603016</v>
      </c>
    </row>
    <row r="1758">
      <c r="A1758" s="234" t="s">
        <v>3451</v>
      </c>
      <c r="B1758" s="234" t="str">
        <f>IFERROR(__xludf.DUMMYFUNCTION("""COMPUTED_VALUE"""),"SoC_SP_Cravinhos")</f>
        <v>SoC_SP_Cravinhos</v>
      </c>
      <c r="C1758" s="234" t="str">
        <f>IFERROR(__xludf.DUMMYFUNCTION("""COMPUTED_VALUE"""),"SOC-SP5")</f>
        <v>SOC-SP5</v>
      </c>
      <c r="D1758" s="234">
        <f>IFERROR(__xludf.DUMMYFUNCTION("""COMPUTED_VALUE"""),45.0)</f>
        <v>45</v>
      </c>
      <c r="E1758" s="237" t="str">
        <f>IFERROR(__xludf.DUMMYFUNCTION("""COMPUTED_VALUE"""),"LT1PC301TGJ91")</f>
        <v>LT1PC301TGJ91</v>
      </c>
      <c r="F1758" s="238" t="str">
        <f>IFERROR(__xludf.DUMMYFUNCTION("""COMPUTED_VALUE"""),"ITA3I00,IQA5A56")</f>
        <v>ITA3I00,IQA5A56</v>
      </c>
      <c r="G1758" s="238">
        <f>IFERROR(__xludf.DUMMYFUNCTION("""COMPUTED_VALUE"""),45994.04166666667)</f>
        <v>45994.04167</v>
      </c>
      <c r="H1758" s="238">
        <f>IFERROR(__xludf.DUMMYFUNCTION("""COMPUTED_VALUE"""),45994.33333333333)</f>
        <v>45994.33333</v>
      </c>
      <c r="I1758" s="237" t="str">
        <f t="shared" si="1"/>
        <v>Fora</v>
      </c>
      <c r="J1758" s="239">
        <v>360.0</v>
      </c>
    </row>
    <row r="1759">
      <c r="A1759" s="234" t="s">
        <v>3452</v>
      </c>
      <c r="B1759" s="234" t="str">
        <f>IFERROR(__xludf.DUMMYFUNCTION("""COMPUTED_VALUE"""),"SoC_RJ_Duque de Caxias")</f>
        <v>SoC_RJ_Duque de Caxias</v>
      </c>
      <c r="C1759" s="234" t="str">
        <f>IFERROR(__xludf.DUMMYFUNCTION("""COMPUTED_VALUE"""),"SOC-RJ2")</f>
        <v>SOC-RJ2</v>
      </c>
      <c r="D1759" s="234">
        <f>IFERROR(__xludf.DUMMYFUNCTION("""COMPUTED_VALUE"""),93.0)</f>
        <v>93</v>
      </c>
      <c r="E1759" s="237" t="str">
        <f>IFERROR(__xludf.DUMMYFUNCTION("""COMPUTED_VALUE"""),"LT0PC201T2S84")</f>
        <v>LT0PC201T2S84</v>
      </c>
      <c r="F1759" s="238" t="str">
        <f>IFERROR(__xludf.DUMMYFUNCTION("""COMPUTED_VALUE"""),"EJW5F77,MQF1293")</f>
        <v>EJW5F77,MQF1293</v>
      </c>
      <c r="G1759" s="238">
        <f>IFERROR(__xludf.DUMMYFUNCTION("""COMPUTED_VALUE"""),45994.08333333333)</f>
        <v>45994.08333</v>
      </c>
      <c r="H1759" s="238">
        <f>IFERROR(__xludf.DUMMYFUNCTION("""COMPUTED_VALUE"""),45994.33333333333)</f>
        <v>45994.33333</v>
      </c>
      <c r="I1759" s="237" t="str">
        <f t="shared" si="1"/>
        <v>Fora</v>
      </c>
      <c r="J1759" s="239">
        <v>119.99999999301508</v>
      </c>
    </row>
    <row r="1760">
      <c r="A1760" s="234" t="s">
        <v>3453</v>
      </c>
      <c r="B1760" s="234" t="str">
        <f>IFERROR(__xludf.DUMMYFUNCTION("""COMPUTED_VALUE"""),"SoC_SP_Louveira")</f>
        <v>SoC_SP_Louveira</v>
      </c>
      <c r="C1760" s="234" t="str">
        <f>IFERROR(__xludf.DUMMYFUNCTION("""COMPUTED_VALUE"""),"SOC-SP7")</f>
        <v>SOC-SP7</v>
      </c>
      <c r="D1760" s="234"/>
      <c r="E1760" s="237" t="str">
        <f>IFERROR(__xludf.DUMMYFUNCTION("""COMPUTED_VALUE"""),"LT0PC301T0D81")</f>
        <v>LT0PC301T0D81</v>
      </c>
      <c r="F1760" s="238" t="str">
        <f>IFERROR(__xludf.DUMMYFUNCTION("""COMPUTED_VALUE"""),"STT8D25,SVN1E68")</f>
        <v>STT8D25,SVN1E68</v>
      </c>
      <c r="G1760" s="238">
        <f>IFERROR(__xludf.DUMMYFUNCTION("""COMPUTED_VALUE"""),45994.25)</f>
        <v>45994.25</v>
      </c>
      <c r="H1760" s="238">
        <f>IFERROR(__xludf.DUMMYFUNCTION("""COMPUTED_VALUE"""),45994.33333333333)</f>
        <v>45994.33333</v>
      </c>
      <c r="I1760" s="237" t="str">
        <f t="shared" si="1"/>
        <v>Fora</v>
      </c>
      <c r="J1760" s="239">
        <v>420.0000000069849</v>
      </c>
    </row>
    <row r="1761">
      <c r="A1761" s="234" t="s">
        <v>3454</v>
      </c>
      <c r="B1761" s="234" t="str">
        <f>IFERROR(__xludf.DUMMYFUNCTION("""COMPUTED_VALUE"""),"SoC_MG_Betim")</f>
        <v>SoC_MG_Betim</v>
      </c>
      <c r="C1761" s="234" t="str">
        <f>IFERROR(__xludf.DUMMYFUNCTION("""COMPUTED_VALUE"""),"SOC-MG2")</f>
        <v>SOC-MG2</v>
      </c>
      <c r="D1761" s="234">
        <f>IFERROR(__xludf.DUMMYFUNCTION("""COMPUTED_VALUE"""),49.0)</f>
        <v>49</v>
      </c>
      <c r="E1761" s="237" t="str">
        <f>IFERROR(__xludf.DUMMYFUNCTION("""COMPUTED_VALUE"""),"LT1PC301TGJG1")</f>
        <v>LT1PC301TGJG1</v>
      </c>
      <c r="F1761" s="238" t="str">
        <f>IFERROR(__xludf.DUMMYFUNCTION("""COMPUTED_VALUE"""),"JDA4J37,AXN3D32")</f>
        <v>JDA4J37,AXN3D32</v>
      </c>
      <c r="G1761" s="238">
        <f>IFERROR(__xludf.DUMMYFUNCTION("""COMPUTED_VALUE"""),45994.08333333333)</f>
        <v>45994.08333</v>
      </c>
      <c r="H1761" s="238">
        <f>IFERROR(__xludf.DUMMYFUNCTION("""COMPUTED_VALUE"""),45994.375)</f>
        <v>45994.375</v>
      </c>
      <c r="I1761" s="237" t="str">
        <f t="shared" si="1"/>
        <v>Fora</v>
      </c>
      <c r="J1761" s="239">
        <v>420.0000000069849</v>
      </c>
    </row>
    <row r="1762">
      <c r="A1762" s="234" t="s">
        <v>3455</v>
      </c>
      <c r="B1762" s="234" t="str">
        <f>IFERROR(__xludf.DUMMYFUNCTION("""COMPUTED_VALUE"""),"SoC_RJ_Duque de Caxias")</f>
        <v>SoC_RJ_Duque de Caxias</v>
      </c>
      <c r="C1762" s="234" t="str">
        <f>IFERROR(__xludf.DUMMYFUNCTION("""COMPUTED_VALUE"""),"SOC-RJ2")</f>
        <v>SOC-RJ2</v>
      </c>
      <c r="D1762" s="234">
        <f>IFERROR(__xludf.DUMMYFUNCTION("""COMPUTED_VALUE"""),8.0)</f>
        <v>8</v>
      </c>
      <c r="E1762" s="237" t="str">
        <f>IFERROR(__xludf.DUMMYFUNCTION("""COMPUTED_VALUE"""),"LT1PC301TGJC1")</f>
        <v>LT1PC301TGJC1</v>
      </c>
      <c r="F1762" s="238" t="str">
        <f>IFERROR(__xludf.DUMMYFUNCTION("""COMPUTED_VALUE"""),"EJV4D00,STP0D65")</f>
        <v>EJV4D00,STP0D65</v>
      </c>
      <c r="G1762" s="238">
        <f>IFERROR(__xludf.DUMMYFUNCTION("""COMPUTED_VALUE"""),45994.125)</f>
        <v>45994.125</v>
      </c>
      <c r="H1762" s="238">
        <f>IFERROR(__xludf.DUMMYFUNCTION("""COMPUTED_VALUE"""),45994.41666666667)</f>
        <v>45994.41667</v>
      </c>
      <c r="I1762" s="237" t="str">
        <f t="shared" si="1"/>
        <v>Fora</v>
      </c>
      <c r="J1762" s="239">
        <v>419.99999998603016</v>
      </c>
    </row>
    <row r="1763">
      <c r="A1763" s="234" t="s">
        <v>3456</v>
      </c>
      <c r="B1763" s="234" t="str">
        <f>IFERROR(__xludf.DUMMYFUNCTION("""COMPUTED_VALUE"""),"SoC_GO_Goiânia_02")</f>
        <v>SoC_GO_Goiânia_02</v>
      </c>
      <c r="C1763" s="234" t="str">
        <f>IFERROR(__xludf.DUMMYFUNCTION("""COMPUTED_VALUE"""),"SOC-GO2")</f>
        <v>SOC-GO2</v>
      </c>
      <c r="D1763" s="234">
        <f>IFERROR(__xludf.DUMMYFUNCTION("""COMPUTED_VALUE"""),87.0)</f>
        <v>87</v>
      </c>
      <c r="E1763" s="237" t="str">
        <f>IFERROR(__xludf.DUMMYFUNCTION("""COMPUTED_VALUE"""),"LT1PC301TGJO1")</f>
        <v>LT1PC301TGJO1</v>
      </c>
      <c r="F1763" s="238" t="str">
        <f>IFERROR(__xludf.DUMMYFUNCTION("""COMPUTED_VALUE"""),"IQR6F66,FGE9I79")</f>
        <v>IQR6F66,FGE9I79</v>
      </c>
      <c r="G1763" s="238">
        <f>IFERROR(__xludf.DUMMYFUNCTION("""COMPUTED_VALUE"""),45994.16666666667)</f>
        <v>45994.16667</v>
      </c>
      <c r="H1763" s="238">
        <f>IFERROR(__xludf.DUMMYFUNCTION("""COMPUTED_VALUE"""),45994.45833333333)</f>
        <v>45994.45833</v>
      </c>
      <c r="I1763" s="237" t="str">
        <f t="shared" si="1"/>
        <v>Fora</v>
      </c>
      <c r="J1763" s="239">
        <v>540.0</v>
      </c>
    </row>
    <row r="1764">
      <c r="A1764" s="234" t="s">
        <v>3457</v>
      </c>
      <c r="B1764" s="234" t="str">
        <f>IFERROR(__xludf.DUMMYFUNCTION("""COMPUTED_VALUE"""),"SoC_SP_Cravinhos")</f>
        <v>SoC_SP_Cravinhos</v>
      </c>
      <c r="C1764" s="234" t="str">
        <f>IFERROR(__xludf.DUMMYFUNCTION("""COMPUTED_VALUE"""),"SOC-SP5")</f>
        <v>SOC-SP5</v>
      </c>
      <c r="D1764" s="234" t="str">
        <f>IFERROR(__xludf.DUMMYFUNCTION("""COMPUTED_VALUE"""),"95/41")</f>
        <v>95/41</v>
      </c>
      <c r="E1764" s="237" t="str">
        <f>IFERROR(__xludf.DUMMYFUNCTION("""COMPUTED_VALUE"""),"LT0PC301T0CH1")</f>
        <v>LT0PC301T0CH1</v>
      </c>
      <c r="F1764" s="238" t="str">
        <f>IFERROR(__xludf.DUMMYFUNCTION("""COMPUTED_VALUE"""),"IZV5G00,TBL5F97")</f>
        <v>IZV5G00,TBL5F97</v>
      </c>
      <c r="G1764" s="238">
        <f>IFERROR(__xludf.DUMMYFUNCTION("""COMPUTED_VALUE"""),45994.58333333333)</f>
        <v>45994.58333</v>
      </c>
      <c r="H1764" s="238">
        <f>IFERROR(__xludf.DUMMYFUNCTION("""COMPUTED_VALUE"""),45994.95833333333)</f>
        <v>45994.95833</v>
      </c>
      <c r="I1764" s="237" t="str">
        <f t="shared" si="1"/>
        <v>Fora</v>
      </c>
      <c r="J1764" s="239">
        <v>120.00000001396984</v>
      </c>
    </row>
    <row r="1765">
      <c r="A1765" s="234" t="s">
        <v>3458</v>
      </c>
      <c r="B1765" s="234" t="str">
        <f>IFERROR(__xludf.DUMMYFUNCTION("""COMPUTED_VALUE"""),"LM Hub_SP_Mogi das Cruzes_Jund")</f>
        <v>LM Hub_SP_Mogi das Cruzes_Jund</v>
      </c>
      <c r="C1765" s="234" t="str">
        <f>IFERROR(__xludf.DUMMYFUNCTION("""COMPUTED_VALUE"""),"HUB-LSP-78")</f>
        <v>HUB-LSP-78</v>
      </c>
      <c r="D1765" s="234">
        <f>IFERROR(__xludf.DUMMYFUNCTION("""COMPUTED_VALUE"""),44.0)</f>
        <v>44</v>
      </c>
      <c r="E1765" s="237" t="str">
        <f>IFERROR(__xludf.DUMMYFUNCTION("""COMPUTED_VALUE"""),"LT0PC301T3K51")</f>
        <v>LT0PC301T3K51</v>
      </c>
      <c r="F1765" s="238" t="str">
        <f>IFERROR(__xludf.DUMMYFUNCTION("""COMPUTED_VALUE"""),"DTC8058")</f>
        <v>DTC8058</v>
      </c>
      <c r="G1765" s="238">
        <f>IFERROR(__xludf.DUMMYFUNCTION("""COMPUTED_VALUE"""),45994.89583333333)</f>
        <v>45994.89583</v>
      </c>
      <c r="H1765" s="238">
        <f>IFERROR(__xludf.DUMMYFUNCTION("""COMPUTED_VALUE"""),45994.97916666667)</f>
        <v>45994.97917</v>
      </c>
      <c r="I1765" s="237" t="str">
        <f t="shared" si="1"/>
        <v>Fora</v>
      </c>
      <c r="J1765" s="239">
        <v>120.00000001396984</v>
      </c>
    </row>
    <row r="1766">
      <c r="A1766" s="234" t="s">
        <v>3459</v>
      </c>
      <c r="B1766" s="234" t="str">
        <f>IFERROR(__xludf.DUMMYFUNCTION("""COMPUTED_VALUE"""),"LM Hub_SP_São Paulo_Lapa")</f>
        <v>LM Hub_SP_São Paulo_Lapa</v>
      </c>
      <c r="C1766" s="234" t="str">
        <f>IFERROR(__xludf.DUMMYFUNCTION("""COMPUTED_VALUE"""),"HUB-LSP-15")</f>
        <v>HUB-LSP-15</v>
      </c>
      <c r="D1766" s="234">
        <f>IFERROR(__xludf.DUMMYFUNCTION("""COMPUTED_VALUE"""),43.0)</f>
        <v>43</v>
      </c>
      <c r="E1766" s="237" t="str">
        <f>IFERROR(__xludf.DUMMYFUNCTION("""COMPUTED_VALUE"""),"LT0PC301TA9D1")</f>
        <v>LT0PC301TA9D1</v>
      </c>
      <c r="F1766" s="238" t="str">
        <f>IFERROR(__xludf.DUMMYFUNCTION("""COMPUTED_VALUE"""),"GBE0G47,FJP5G21")</f>
        <v>GBE0G47,FJP5G21</v>
      </c>
      <c r="G1766" s="238">
        <f>IFERROR(__xludf.DUMMYFUNCTION("""COMPUTED_VALUE"""),45994.89583333333)</f>
        <v>45994.89583</v>
      </c>
      <c r="H1766" s="238">
        <f>IFERROR(__xludf.DUMMYFUNCTION("""COMPUTED_VALUE"""),45994.97916666667)</f>
        <v>45994.97917</v>
      </c>
      <c r="I1766" s="237" t="str">
        <f t="shared" si="1"/>
        <v>Fora</v>
      </c>
      <c r="J1766" s="239">
        <v>119.00000001071021</v>
      </c>
    </row>
    <row r="1767">
      <c r="A1767" s="234" t="s">
        <v>3460</v>
      </c>
      <c r="B1767" s="234" t="str">
        <f>IFERROR(__xludf.DUMMYFUNCTION("""COMPUTED_VALUE"""),"LM Hub_SP_Itaqua_Zimba")</f>
        <v>LM Hub_SP_Itaqua_Zimba</v>
      </c>
      <c r="C1767" s="234" t="str">
        <f>IFERROR(__xludf.DUMMYFUNCTION("""COMPUTED_VALUE"""),"HUB-LSP-74")</f>
        <v>HUB-LSP-74</v>
      </c>
      <c r="D1767" s="234"/>
      <c r="E1767" s="237" t="str">
        <f>IFERROR(__xludf.DUMMYFUNCTION("""COMPUTED_VALUE"""),"LT0PC301TA9S1")</f>
        <v>LT0PC301TA9S1</v>
      </c>
      <c r="F1767" s="238" t="str">
        <f>IFERROR(__xludf.DUMMYFUNCTION("""COMPUTED_VALUE"""),"EWU1141,DTB5875")</f>
        <v>EWU1141,DTB5875</v>
      </c>
      <c r="G1767" s="238">
        <f>IFERROR(__xludf.DUMMYFUNCTION("""COMPUTED_VALUE"""),45994.896527777775)</f>
        <v>45994.89653</v>
      </c>
      <c r="H1767" s="238">
        <f>IFERROR(__xludf.DUMMYFUNCTION("""COMPUTED_VALUE"""),45994.97916666667)</f>
        <v>45994.97917</v>
      </c>
      <c r="I1767" s="237" t="str">
        <f t="shared" si="1"/>
        <v>Fora</v>
      </c>
      <c r="J1767" s="239">
        <v>119.00000001071021</v>
      </c>
    </row>
    <row r="1768">
      <c r="A1768" s="234" t="s">
        <v>3461</v>
      </c>
      <c r="B1768" s="234" t="str">
        <f>IFERROR(__xludf.DUMMYFUNCTION("""COMPUTED_VALUE"""),"LM Hub_SP_Santos_Praia Grande")</f>
        <v>LM Hub_SP_Santos_Praia Grande</v>
      </c>
      <c r="C1768" s="234" t="str">
        <f>IFERROR(__xludf.DUMMYFUNCTION("""COMPUTED_VALUE"""),"HUB-LSP-09")</f>
        <v>HUB-LSP-09</v>
      </c>
      <c r="D1768" s="234"/>
      <c r="E1768" s="237" t="str">
        <f>IFERROR(__xludf.DUMMYFUNCTION("""COMPUTED_VALUE"""),"LT0PC301T0HD2")</f>
        <v>LT0PC301T0HD2</v>
      </c>
      <c r="F1768" s="238" t="str">
        <f>IFERROR(__xludf.DUMMYFUNCTION("""COMPUTED_VALUE"""),"SWB9E77,DTE2503")</f>
        <v>SWB9E77,DTE2503</v>
      </c>
      <c r="G1768" s="238">
        <f>IFERROR(__xludf.DUMMYFUNCTION("""COMPUTED_VALUE"""),45994.896527777775)</f>
        <v>45994.89653</v>
      </c>
      <c r="H1768" s="238">
        <f>IFERROR(__xludf.DUMMYFUNCTION("""COMPUTED_VALUE"""),45994.97916666667)</f>
        <v>45994.97917</v>
      </c>
      <c r="I1768" s="237" t="str">
        <f t="shared" si="1"/>
        <v>Fora</v>
      </c>
      <c r="J1768" s="239">
        <v>119.00000001071021</v>
      </c>
    </row>
    <row r="1769">
      <c r="A1769" s="234" t="s">
        <v>3462</v>
      </c>
      <c r="B1769" s="234" t="str">
        <f>IFERROR(__xludf.DUMMYFUNCTION("""COMPUTED_VALUE"""),"LM Hub_SP_Santos_Praia Grande")</f>
        <v>LM Hub_SP_Santos_Praia Grande</v>
      </c>
      <c r="C1769" s="234" t="str">
        <f>IFERROR(__xludf.DUMMYFUNCTION("""COMPUTED_VALUE"""),"HUB-LSP-09")</f>
        <v>HUB-LSP-09</v>
      </c>
      <c r="D1769" s="234">
        <f>IFERROR(__xludf.DUMMYFUNCTION("""COMPUTED_VALUE"""),29.0)</f>
        <v>29</v>
      </c>
      <c r="E1769" s="237" t="str">
        <f>IFERROR(__xludf.DUMMYFUNCTION("""COMPUTED_VALUE"""),"LT0PC301T0HB1")</f>
        <v>LT0PC301T0HB1</v>
      </c>
      <c r="F1769" s="238" t="str">
        <f>IFERROR(__xludf.DUMMYFUNCTION("""COMPUTED_VALUE"""),"FUZ4C73,TLL9H76")</f>
        <v>FUZ4C73,TLL9H76</v>
      </c>
      <c r="G1769" s="238">
        <f>IFERROR(__xludf.DUMMYFUNCTION("""COMPUTED_VALUE"""),45994.896527777775)</f>
        <v>45994.89653</v>
      </c>
      <c r="H1769" s="238">
        <f>IFERROR(__xludf.DUMMYFUNCTION("""COMPUTED_VALUE"""),45994.97916666667)</f>
        <v>45994.97917</v>
      </c>
      <c r="I1769" s="237" t="str">
        <f t="shared" si="1"/>
        <v>Fora</v>
      </c>
      <c r="J1769" s="239">
        <v>119.00000001071021</v>
      </c>
    </row>
    <row r="1770">
      <c r="A1770" s="234" t="s">
        <v>3463</v>
      </c>
      <c r="B1770" s="234" t="str">
        <f>IFERROR(__xludf.DUMMYFUNCTION("""COMPUTED_VALUE"""),"LM Hub_SP_São José dos Campos")</f>
        <v>LM Hub_SP_São José dos Campos</v>
      </c>
      <c r="C1770" s="234" t="str">
        <f>IFERROR(__xludf.DUMMYFUNCTION("""COMPUTED_VALUE"""),"HUB-LSP-04")</f>
        <v>HUB-LSP-04</v>
      </c>
      <c r="D1770" s="234">
        <f>IFERROR(__xludf.DUMMYFUNCTION("""COMPUTED_VALUE"""),26.0)</f>
        <v>26</v>
      </c>
      <c r="E1770" s="237" t="str">
        <f>IFERROR(__xludf.DUMMYFUNCTION("""COMPUTED_VALUE"""),"LT0PC301TAA61")</f>
        <v>LT0PC301TAA61</v>
      </c>
      <c r="F1770" s="238" t="str">
        <f>IFERROR(__xludf.DUMMYFUNCTION("""COMPUTED_VALUE"""),"TIR7J78")</f>
        <v>TIR7J78</v>
      </c>
      <c r="G1770" s="238">
        <f>IFERROR(__xludf.DUMMYFUNCTION("""COMPUTED_VALUE"""),45994.896527777775)</f>
        <v>45994.89653</v>
      </c>
      <c r="H1770" s="238">
        <f>IFERROR(__xludf.DUMMYFUNCTION("""COMPUTED_VALUE"""),45994.97916666667)</f>
        <v>45994.97917</v>
      </c>
      <c r="I1770" s="237" t="str">
        <f t="shared" si="1"/>
        <v>Fora</v>
      </c>
      <c r="J1770" s="239">
        <v>118.00000000745058</v>
      </c>
    </row>
    <row r="1771">
      <c r="A1771" s="234" t="s">
        <v>3464</v>
      </c>
      <c r="B1771" s="234" t="str">
        <f>IFERROR(__xludf.DUMMYFUNCTION("""COMPUTED_VALUE"""),"LM Hub_SP_São José dos Campos")</f>
        <v>LM Hub_SP_São José dos Campos</v>
      </c>
      <c r="C1771" s="234" t="str">
        <f>IFERROR(__xludf.DUMMYFUNCTION("""COMPUTED_VALUE"""),"HUB-LSP-04")</f>
        <v>HUB-LSP-04</v>
      </c>
      <c r="D1771" s="234">
        <f>IFERROR(__xludf.DUMMYFUNCTION("""COMPUTED_VALUE"""),25.0)</f>
        <v>25</v>
      </c>
      <c r="E1771" s="237" t="str">
        <f>IFERROR(__xludf.DUMMYFUNCTION("""COMPUTED_VALUE"""),"LT0PC301T0IA1")</f>
        <v>LT0PC301T0IA1</v>
      </c>
      <c r="F1771" s="238" t="str">
        <f>IFERROR(__xludf.DUMMYFUNCTION("""COMPUTED_VALUE"""),"JBO1I53")</f>
        <v>JBO1I53</v>
      </c>
      <c r="G1771" s="238">
        <f>IFERROR(__xludf.DUMMYFUNCTION("""COMPUTED_VALUE"""),45994.89722222222)</f>
        <v>45994.89722</v>
      </c>
      <c r="H1771" s="238">
        <f>IFERROR(__xludf.DUMMYFUNCTION("""COMPUTED_VALUE"""),45994.97916666667)</f>
        <v>45994.97917</v>
      </c>
      <c r="I1771" s="237" t="str">
        <f t="shared" si="1"/>
        <v>Fora</v>
      </c>
      <c r="J1771" s="239">
        <v>117.9999999969732</v>
      </c>
    </row>
    <row r="1772">
      <c r="A1772" s="234" t="s">
        <v>3465</v>
      </c>
      <c r="B1772" s="234" t="str">
        <f>IFERROR(__xludf.DUMMYFUNCTION("""COMPUTED_VALUE"""),"LM Hub_SP_Guarujá")</f>
        <v>LM Hub_SP_Guarujá</v>
      </c>
      <c r="C1772" s="234" t="str">
        <f>IFERROR(__xludf.DUMMYFUNCTION("""COMPUTED_VALUE"""),"HUB-LSP-06")</f>
        <v>HUB-LSP-06</v>
      </c>
      <c r="D1772" s="234">
        <f>IFERROR(__xludf.DUMMYFUNCTION("""COMPUTED_VALUE"""),7.0)</f>
        <v>7</v>
      </c>
      <c r="E1772" s="237" t="str">
        <f>IFERROR(__xludf.DUMMYFUNCTION("""COMPUTED_VALUE"""),"LT0PC301TA9U1")</f>
        <v>LT0PC301TA9U1</v>
      </c>
      <c r="F1772" s="238" t="str">
        <f>IFERROR(__xludf.DUMMYFUNCTION("""COMPUTED_VALUE"""),"PQV0E87")</f>
        <v>PQV0E87</v>
      </c>
      <c r="G1772" s="238">
        <f>IFERROR(__xludf.DUMMYFUNCTION("""COMPUTED_VALUE"""),45994.91736111111)</f>
        <v>45994.91736</v>
      </c>
      <c r="H1772" s="238">
        <f>IFERROR(__xludf.DUMMYFUNCTION("""COMPUTED_VALUE"""),45994.99930555555)</f>
        <v>45994.99931</v>
      </c>
      <c r="I1772" s="237" t="str">
        <f t="shared" si="1"/>
        <v>Fora</v>
      </c>
      <c r="J1772" s="239">
        <v>119.99999999301508</v>
      </c>
    </row>
    <row r="1773">
      <c r="A1773" s="234" t="s">
        <v>3466</v>
      </c>
      <c r="B1773" s="234" t="str">
        <f>IFERROR(__xludf.DUMMYFUNCTION("""COMPUTED_VALUE"""),"LM Hub_RS_Porto Alegre_Floresta")</f>
        <v>LM Hub_RS_Porto Alegre_Floresta</v>
      </c>
      <c r="C1773" s="234" t="str">
        <f>IFERROR(__xludf.DUMMYFUNCTION("""COMPUTED_VALUE"""),"HUB-LRS-03")</f>
        <v>HUB-LRS-03</v>
      </c>
      <c r="D1773" s="234">
        <f>IFERROR(__xludf.DUMMYFUNCTION("""COMPUTED_VALUE"""),27.0)</f>
        <v>27</v>
      </c>
      <c r="E1773" s="237" t="str">
        <f>IFERROR(__xludf.DUMMYFUNCTION("""COMPUTED_VALUE"""),"LT0PC301T7D11")</f>
        <v>LT0PC301T7D11</v>
      </c>
      <c r="F1773" s="238" t="str">
        <f>IFERROR(__xludf.DUMMYFUNCTION("""COMPUTED_VALUE"""),"QJO3D10")</f>
        <v>QJO3D10</v>
      </c>
      <c r="G1773" s="238">
        <f>IFERROR(__xludf.DUMMYFUNCTION("""COMPUTED_VALUE"""),45994.91666666667)</f>
        <v>45994.91667</v>
      </c>
      <c r="H1773" s="238">
        <f>IFERROR(__xludf.DUMMYFUNCTION("""COMPUTED_VALUE"""),45995.0)</f>
        <v>45995</v>
      </c>
      <c r="I1773" s="237" t="str">
        <f t="shared" si="1"/>
        <v>Fora</v>
      </c>
      <c r="J1773" s="239">
        <v>119.99999999301508</v>
      </c>
    </row>
    <row r="1774">
      <c r="A1774" s="234" t="s">
        <v>3467</v>
      </c>
      <c r="B1774" s="234" t="str">
        <f>IFERROR(__xludf.DUMMYFUNCTION("""COMPUTED_VALUE"""),"LM Hub_SP_Guarulhos")</f>
        <v>LM Hub_SP_Guarulhos</v>
      </c>
      <c r="C1774" s="234" t="str">
        <f>IFERROR(__xludf.DUMMYFUNCTION("""COMPUTED_VALUE"""),"HUB-LSP-77")</f>
        <v>HUB-LSP-77</v>
      </c>
      <c r="D1774" s="234">
        <f>IFERROR(__xludf.DUMMYFUNCTION("""COMPUTED_VALUE"""),23.0)</f>
        <v>23</v>
      </c>
      <c r="E1774" s="237" t="str">
        <f>IFERROR(__xludf.DUMMYFUNCTION("""COMPUTED_VALUE"""),"LT0PC301T15P1")</f>
        <v>LT0PC301T15P1</v>
      </c>
      <c r="F1774" s="238" t="str">
        <f>IFERROR(__xludf.DUMMYFUNCTION("""COMPUTED_VALUE"""),"FEB5I21,FRT9A70")</f>
        <v>FEB5I21,FRT9A70</v>
      </c>
      <c r="G1774" s="238">
        <f>IFERROR(__xludf.DUMMYFUNCTION("""COMPUTED_VALUE"""),45994.91666666667)</f>
        <v>45994.91667</v>
      </c>
      <c r="H1774" s="238">
        <f>IFERROR(__xludf.DUMMYFUNCTION("""COMPUTED_VALUE"""),45995.0)</f>
        <v>45995</v>
      </c>
      <c r="I1774" s="237" t="str">
        <f t="shared" si="1"/>
        <v>Fora</v>
      </c>
      <c r="J1774" s="239">
        <v>119.99999999301508</v>
      </c>
    </row>
    <row r="1775">
      <c r="A1775" s="234" t="s">
        <v>3468</v>
      </c>
      <c r="B1775" s="234" t="str">
        <f>IFERROR(__xludf.DUMMYFUNCTION("""COMPUTED_VALUE"""),"LM Hub_SP_Itapevi")</f>
        <v>LM Hub_SP_Itapevi</v>
      </c>
      <c r="C1775" s="234" t="str">
        <f>IFERROR(__xludf.DUMMYFUNCTION("""COMPUTED_VALUE"""),"HUB-LSP-41")</f>
        <v>HUB-LSP-41</v>
      </c>
      <c r="D1775" s="234">
        <f>IFERROR(__xludf.DUMMYFUNCTION("""COMPUTED_VALUE"""),14.0)</f>
        <v>14</v>
      </c>
      <c r="E1775" s="237" t="str">
        <f>IFERROR(__xludf.DUMMYFUNCTION("""COMPUTED_VALUE"""),"LT0PC301T0EY1")</f>
        <v>LT0PC301T0EY1</v>
      </c>
      <c r="F1775" s="238" t="str">
        <f>IFERROR(__xludf.DUMMYFUNCTION("""COMPUTED_VALUE"""),"EPU9B57,ARW8I96")</f>
        <v>EPU9B57,ARW8I96</v>
      </c>
      <c r="G1775" s="238">
        <f>IFERROR(__xludf.DUMMYFUNCTION("""COMPUTED_VALUE"""),45994.91666666667)</f>
        <v>45994.91667</v>
      </c>
      <c r="H1775" s="238">
        <f>IFERROR(__xludf.DUMMYFUNCTION("""COMPUTED_VALUE"""),45995.0)</f>
        <v>45995</v>
      </c>
      <c r="I1775" s="237" t="str">
        <f t="shared" si="1"/>
        <v>Fora</v>
      </c>
      <c r="J1775" s="239">
        <v>119.99999999301508</v>
      </c>
    </row>
    <row r="1776">
      <c r="A1776" s="234" t="s">
        <v>3469</v>
      </c>
      <c r="B1776" s="234" t="str">
        <f>IFERROR(__xludf.DUMMYFUNCTION("""COMPUTED_VALUE"""),"LM Hub_SP_Limeira_Campo Belo")</f>
        <v>LM Hub_SP_Limeira_Campo Belo</v>
      </c>
      <c r="C1776" s="234" t="str">
        <f>IFERROR(__xludf.DUMMYFUNCTION("""COMPUTED_VALUE"""),"HUB-LSP-24")</f>
        <v>HUB-LSP-24</v>
      </c>
      <c r="D1776" s="234">
        <f>IFERROR(__xludf.DUMMYFUNCTION("""COMPUTED_VALUE"""),38.0)</f>
        <v>38</v>
      </c>
      <c r="E1776" s="237" t="str">
        <f>IFERROR(__xludf.DUMMYFUNCTION("""COMPUTED_VALUE"""),"LT0PC301T0HU1")</f>
        <v>LT0PC301T0HU1</v>
      </c>
      <c r="F1776" s="238" t="str">
        <f>IFERROR(__xludf.DUMMYFUNCTION("""COMPUTED_VALUE"""),"SVM9H44,GDU4H95")</f>
        <v>SVM9H44,GDU4H95</v>
      </c>
      <c r="G1776" s="238">
        <f>IFERROR(__xludf.DUMMYFUNCTION("""COMPUTED_VALUE"""),45994.91666666667)</f>
        <v>45994.91667</v>
      </c>
      <c r="H1776" s="238">
        <f>IFERROR(__xludf.DUMMYFUNCTION("""COMPUTED_VALUE"""),45995.0)</f>
        <v>45995</v>
      </c>
      <c r="I1776" s="237" t="str">
        <f t="shared" si="1"/>
        <v>Fora</v>
      </c>
      <c r="J1776" s="239">
        <v>119.99999999301508</v>
      </c>
    </row>
    <row r="1777">
      <c r="A1777" s="234" t="s">
        <v>3470</v>
      </c>
      <c r="B1777" s="234" t="str">
        <f>IFERROR(__xludf.DUMMYFUNCTION("""COMPUTED_VALUE"""),"LM Hub_SP_Mauá")</f>
        <v>LM Hub_SP_Mauá</v>
      </c>
      <c r="C1777" s="234" t="str">
        <f>IFERROR(__xludf.DUMMYFUNCTION("""COMPUTED_VALUE"""),"HUB-LSP-64")</f>
        <v>HUB-LSP-64</v>
      </c>
      <c r="D1777" s="234">
        <f>IFERROR(__xludf.DUMMYFUNCTION("""COMPUTED_VALUE"""),12.0)</f>
        <v>12</v>
      </c>
      <c r="E1777" s="237" t="str">
        <f>IFERROR(__xludf.DUMMYFUNCTION("""COMPUTED_VALUE"""),"LT0PC301T0F81")</f>
        <v>LT0PC301T0F81</v>
      </c>
      <c r="F1777" s="238" t="str">
        <f>IFERROR(__xludf.DUMMYFUNCTION("""COMPUTED_VALUE"""),"FQF6B98,DTA7802")</f>
        <v>FQF6B98,DTA7802</v>
      </c>
      <c r="G1777" s="238">
        <f>IFERROR(__xludf.DUMMYFUNCTION("""COMPUTED_VALUE"""),45994.91666666667)</f>
        <v>45994.91667</v>
      </c>
      <c r="H1777" s="238">
        <f>IFERROR(__xludf.DUMMYFUNCTION("""COMPUTED_VALUE"""),45995.0)</f>
        <v>45995</v>
      </c>
      <c r="I1777" s="237" t="str">
        <f t="shared" si="1"/>
        <v>Fora</v>
      </c>
      <c r="J1777" s="239">
        <v>119.99999999301508</v>
      </c>
    </row>
    <row r="1778">
      <c r="A1778" s="234" t="s">
        <v>3471</v>
      </c>
      <c r="B1778" s="234" t="str">
        <f>IFERROR(__xludf.DUMMYFUNCTION("""COMPUTED_VALUE"""),"LM Hub_SP_São José do Rio P")</f>
        <v>LM Hub_SP_São José do Rio P</v>
      </c>
      <c r="C1778" s="234" t="str">
        <f>IFERROR(__xludf.DUMMYFUNCTION("""COMPUTED_VALUE"""),"HUB-LSP-27")</f>
        <v>HUB-LSP-27</v>
      </c>
      <c r="D1778" s="234">
        <f>IFERROR(__xludf.DUMMYFUNCTION("""COMPUTED_VALUE"""),41.0)</f>
        <v>41</v>
      </c>
      <c r="E1778" s="237" t="str">
        <f>IFERROR(__xludf.DUMMYFUNCTION("""COMPUTED_VALUE"""),"LT0PC301T4V31")</f>
        <v>LT0PC301T4V31</v>
      </c>
      <c r="F1778" s="238" t="str">
        <f>IFERROR(__xludf.DUMMYFUNCTION("""COMPUTED_VALUE"""),"RYF5D99")</f>
        <v>RYF5D99</v>
      </c>
      <c r="G1778" s="238">
        <f>IFERROR(__xludf.DUMMYFUNCTION("""COMPUTED_VALUE"""),45994.91666666667)</f>
        <v>45994.91667</v>
      </c>
      <c r="H1778" s="238">
        <f>IFERROR(__xludf.DUMMYFUNCTION("""COMPUTED_VALUE"""),45995.0)</f>
        <v>45995</v>
      </c>
      <c r="I1778" s="237" t="str">
        <f t="shared" si="1"/>
        <v>Fora</v>
      </c>
      <c r="J1778" s="239">
        <v>119.99999999301508</v>
      </c>
    </row>
    <row r="1779">
      <c r="A1779" s="234" t="s">
        <v>3472</v>
      </c>
      <c r="B1779" s="234" t="str">
        <f>IFERROR(__xludf.DUMMYFUNCTION("""COMPUTED_VALUE"""),"SoC_GO_Goiânia_02")</f>
        <v>SoC_GO_Goiânia_02</v>
      </c>
      <c r="C1779" s="234" t="str">
        <f>IFERROR(__xludf.DUMMYFUNCTION("""COMPUTED_VALUE"""),"SOC-GO2")</f>
        <v>SOC-GO2</v>
      </c>
      <c r="D1779" s="234">
        <f>IFERROR(__xludf.DUMMYFUNCTION("""COMPUTED_VALUE"""),15.0)</f>
        <v>15</v>
      </c>
      <c r="E1779" s="237" t="str">
        <f>IFERROR(__xludf.DUMMYFUNCTION("""COMPUTED_VALUE"""),"LT1PC301THCE1")</f>
        <v>LT1PC301THCE1</v>
      </c>
      <c r="F1779" s="238" t="str">
        <f>IFERROR(__xludf.DUMMYFUNCTION("""COMPUTED_VALUE"""),"IWA0J80,TPO4D87")</f>
        <v>IWA0J80,TPO4D87</v>
      </c>
      <c r="G1779" s="238">
        <f>IFERROR(__xludf.DUMMYFUNCTION("""COMPUTED_VALUE"""),45994.91666666667)</f>
        <v>45994.91667</v>
      </c>
      <c r="H1779" s="238">
        <f>IFERROR(__xludf.DUMMYFUNCTION("""COMPUTED_VALUE"""),45995.0)</f>
        <v>45995</v>
      </c>
      <c r="I1779" s="237" t="str">
        <f t="shared" si="1"/>
        <v>Fora</v>
      </c>
      <c r="J1779" s="239">
        <v>119.99999999301508</v>
      </c>
    </row>
    <row r="1780">
      <c r="A1780" s="234" t="s">
        <v>3473</v>
      </c>
      <c r="B1780" s="234" t="str">
        <f>IFERROR(__xludf.DUMMYFUNCTION("""COMPUTED_VALUE"""),"SoC_SC_Itajaí")</f>
        <v>SoC_SC_Itajaí</v>
      </c>
      <c r="C1780" s="234" t="str">
        <f>IFERROR(__xludf.DUMMYFUNCTION("""COMPUTED_VALUE"""),"SOC-SC1")</f>
        <v>SOC-SC1</v>
      </c>
      <c r="D1780" s="234">
        <f>IFERROR(__xludf.DUMMYFUNCTION("""COMPUTED_VALUE"""),22.0)</f>
        <v>22</v>
      </c>
      <c r="E1780" s="237" t="str">
        <f>IFERROR(__xludf.DUMMYFUNCTION("""COMPUTED_VALUE"""),"LT1PC301THCD1")</f>
        <v>LT1PC301THCD1</v>
      </c>
      <c r="F1780" s="238" t="str">
        <f>IFERROR(__xludf.DUMMYFUNCTION("""COMPUTED_VALUE"""),"RLM8F06,GIC3H35")</f>
        <v>RLM8F06,GIC3H35</v>
      </c>
      <c r="G1780" s="238">
        <f>IFERROR(__xludf.DUMMYFUNCTION("""COMPUTED_VALUE"""),45994.91666666667)</f>
        <v>45994.91667</v>
      </c>
      <c r="H1780" s="238">
        <f>IFERROR(__xludf.DUMMYFUNCTION("""COMPUTED_VALUE"""),45995.0)</f>
        <v>45995</v>
      </c>
      <c r="I1780" s="237" t="str">
        <f t="shared" si="1"/>
        <v>Fora</v>
      </c>
      <c r="J1780" s="239">
        <v>119.00000000023283</v>
      </c>
    </row>
    <row r="1781">
      <c r="A1781" s="234" t="s">
        <v>3474</v>
      </c>
      <c r="B1781" s="234" t="str">
        <f>IFERROR(__xludf.DUMMYFUNCTION("""COMPUTED_VALUE"""),"LM Hub_SP_Artur Alvim")</f>
        <v>LM Hub_SP_Artur Alvim</v>
      </c>
      <c r="C1781" s="234" t="str">
        <f>IFERROR(__xludf.DUMMYFUNCTION("""COMPUTED_VALUE"""),"HUB-LSP-07")</f>
        <v>HUB-LSP-07</v>
      </c>
      <c r="D1781" s="234"/>
      <c r="E1781" s="237" t="str">
        <f>IFERROR(__xludf.DUMMYFUNCTION("""COMPUTED_VALUE"""),"LT0PC301T0DS1")</f>
        <v>LT0PC301T0DS1</v>
      </c>
      <c r="F1781" s="238" t="str">
        <f>IFERROR(__xludf.DUMMYFUNCTION("""COMPUTED_VALUE"""),"EGK6F67,NGX1F13")</f>
        <v>EGK6F67,NGX1F13</v>
      </c>
      <c r="G1781" s="238">
        <f>IFERROR(__xludf.DUMMYFUNCTION("""COMPUTED_VALUE"""),45994.91736111111)</f>
        <v>45994.91736</v>
      </c>
      <c r="H1781" s="238">
        <f>IFERROR(__xludf.DUMMYFUNCTION("""COMPUTED_VALUE"""),45995.0)</f>
        <v>45995</v>
      </c>
      <c r="I1781" s="237" t="str">
        <f t="shared" si="1"/>
        <v>Fora</v>
      </c>
      <c r="J1781" s="239">
        <v>118.00000000745058</v>
      </c>
    </row>
    <row r="1782">
      <c r="A1782" s="234" t="s">
        <v>3475</v>
      </c>
      <c r="B1782" s="234" t="str">
        <f>IFERROR(__xludf.DUMMYFUNCTION("""COMPUTED_VALUE"""),"LM Hub_SP_Barueri_01")</f>
        <v>LM Hub_SP_Barueri_01</v>
      </c>
      <c r="C1782" s="234" t="str">
        <f>IFERROR(__xludf.DUMMYFUNCTION("""COMPUTED_VALUE"""),"HUB-LSP-81")</f>
        <v>HUB-LSP-81</v>
      </c>
      <c r="D1782" s="234">
        <f>IFERROR(__xludf.DUMMYFUNCTION("""COMPUTED_VALUE"""),5.0)</f>
        <v>5</v>
      </c>
      <c r="E1782" s="237" t="str">
        <f>IFERROR(__xludf.DUMMYFUNCTION("""COMPUTED_VALUE"""),"LT0PC301T6631")</f>
        <v>LT0PC301T6631</v>
      </c>
      <c r="F1782" s="238" t="str">
        <f>IFERROR(__xludf.DUMMYFUNCTION("""COMPUTED_VALUE"""),"GDQ4B07,GGI8F52")</f>
        <v>GDQ4B07,GGI8F52</v>
      </c>
      <c r="G1782" s="238">
        <f>IFERROR(__xludf.DUMMYFUNCTION("""COMPUTED_VALUE"""),45994.91805555555)</f>
        <v>45994.91806</v>
      </c>
      <c r="H1782" s="238">
        <f>IFERROR(__xludf.DUMMYFUNCTION("""COMPUTED_VALUE"""),45995.0)</f>
        <v>45995</v>
      </c>
      <c r="I1782" s="237" t="str">
        <f t="shared" si="1"/>
        <v>Fora</v>
      </c>
      <c r="J1782" s="239">
        <v>118.00000000745058</v>
      </c>
    </row>
    <row r="1783">
      <c r="A1783" s="234" t="s">
        <v>3476</v>
      </c>
      <c r="B1783" s="234" t="str">
        <f>IFERROR(__xludf.DUMMYFUNCTION("""COMPUTED_VALUE"""),"LM Hub_SP_Santo André")</f>
        <v>LM Hub_SP_Santo André</v>
      </c>
      <c r="C1783" s="234" t="str">
        <f>IFERROR(__xludf.DUMMYFUNCTION("""COMPUTED_VALUE"""),"HUB-LSP-93")</f>
        <v>HUB-LSP-93</v>
      </c>
      <c r="D1783" s="234">
        <f>IFERROR(__xludf.DUMMYFUNCTION("""COMPUTED_VALUE"""),21.0)</f>
        <v>21</v>
      </c>
      <c r="E1783" s="237" t="str">
        <f>IFERROR(__xludf.DUMMYFUNCTION("""COMPUTED_VALUE"""),"LT0PC301T3AJ1")</f>
        <v>LT0PC301T3AJ1</v>
      </c>
      <c r="F1783" s="238" t="str">
        <f>IFERROR(__xludf.DUMMYFUNCTION("""COMPUTED_VALUE"""),"QPH3J14,AXE8E39")</f>
        <v>QPH3J14,AXE8E39</v>
      </c>
      <c r="G1783" s="238">
        <f>IFERROR(__xludf.DUMMYFUNCTION("""COMPUTED_VALUE"""),45994.91805555555)</f>
        <v>45994.91806</v>
      </c>
      <c r="H1783" s="238">
        <f>IFERROR(__xludf.DUMMYFUNCTION("""COMPUTED_VALUE"""),45995.0)</f>
        <v>45995</v>
      </c>
      <c r="I1783" s="237" t="str">
        <f t="shared" si="1"/>
        <v>Fora</v>
      </c>
      <c r="J1783" s="239">
        <v>119.99999999301508</v>
      </c>
    </row>
    <row r="1784">
      <c r="A1784" s="234" t="s">
        <v>3477</v>
      </c>
      <c r="B1784" s="234" t="str">
        <f>IFERROR(__xludf.DUMMYFUNCTION("""COMPUTED_VALUE"""),"LM Hub_SP_Jardim Adriana")</f>
        <v>LM Hub_SP_Jardim Adriana</v>
      </c>
      <c r="C1784" s="234" t="str">
        <f>IFERROR(__xludf.DUMMYFUNCTION("""COMPUTED_VALUE"""),"HUB-LSP-12")</f>
        <v>HUB-LSP-12</v>
      </c>
      <c r="D1784" s="234">
        <f>IFERROR(__xludf.DUMMYFUNCTION("""COMPUTED_VALUE"""),8.0)</f>
        <v>8</v>
      </c>
      <c r="E1784" s="237" t="str">
        <f>IFERROR(__xludf.DUMMYFUNCTION("""COMPUTED_VALUE"""),"LT0PC301T0DX1")</f>
        <v>LT0PC301T0DX1</v>
      </c>
      <c r="F1784" s="238" t="str">
        <f>IFERROR(__xludf.DUMMYFUNCTION("""COMPUTED_VALUE"""),"FNW2D28")</f>
        <v>FNW2D28</v>
      </c>
      <c r="G1784" s="238">
        <f>IFERROR(__xludf.DUMMYFUNCTION("""COMPUTED_VALUE"""),45994.9375)</f>
        <v>45994.9375</v>
      </c>
      <c r="H1784" s="238">
        <f>IFERROR(__xludf.DUMMYFUNCTION("""COMPUTED_VALUE"""),45995.02083333333)</f>
        <v>45995.02083</v>
      </c>
      <c r="I1784" s="237" t="str">
        <f t="shared" si="1"/>
        <v>Fora</v>
      </c>
      <c r="J1784" s="239">
        <v>118.99999998975545</v>
      </c>
    </row>
    <row r="1785">
      <c r="A1785" s="234" t="s">
        <v>3478</v>
      </c>
      <c r="B1785" s="234" t="str">
        <f>IFERROR(__xludf.DUMMYFUNCTION("""COMPUTED_VALUE"""),"LM Hub_SP_Parque Novo Mundo")</f>
        <v>LM Hub_SP_Parque Novo Mundo</v>
      </c>
      <c r="C1785" s="234" t="str">
        <f>IFERROR(__xludf.DUMMYFUNCTION("""COMPUTED_VALUE"""),"HUB-LSP-89")</f>
        <v>HUB-LSP-89</v>
      </c>
      <c r="D1785" s="234">
        <f>IFERROR(__xludf.DUMMYFUNCTION("""COMPUTED_VALUE"""),34.0)</f>
        <v>34</v>
      </c>
      <c r="E1785" s="237" t="str">
        <f>IFERROR(__xludf.DUMMYFUNCTION("""COMPUTED_VALUE"""),"LT0PC301TAHP1")</f>
        <v>LT0PC301TAHP1</v>
      </c>
      <c r="F1785" s="238" t="str">
        <f>IFERROR(__xludf.DUMMYFUNCTION("""COMPUTED_VALUE"""),"FNK8E47,FAM1829")</f>
        <v>FNK8E47,FAM1829</v>
      </c>
      <c r="G1785" s="238">
        <f>IFERROR(__xludf.DUMMYFUNCTION("""COMPUTED_VALUE"""),45994.93819444445)</f>
        <v>45994.93819</v>
      </c>
      <c r="H1785" s="238">
        <f>IFERROR(__xludf.DUMMYFUNCTION("""COMPUTED_VALUE"""),45995.02083333333)</f>
        <v>45995.02083</v>
      </c>
      <c r="I1785" s="237" t="str">
        <f t="shared" si="1"/>
        <v>Fora</v>
      </c>
      <c r="J1785" s="239">
        <v>118.99999998975545</v>
      </c>
    </row>
    <row r="1786">
      <c r="A1786" s="234" t="s">
        <v>3479</v>
      </c>
      <c r="B1786" s="234" t="str">
        <f>IFERROR(__xludf.DUMMYFUNCTION("""COMPUTED_VALUE"""),"LM Hub_SP_Piracicaba")</f>
        <v>LM Hub_SP_Piracicaba</v>
      </c>
      <c r="C1786" s="234" t="str">
        <f>IFERROR(__xludf.DUMMYFUNCTION("""COMPUTED_VALUE"""),"HUB-LSP-62")</f>
        <v>HUB-LSP-62</v>
      </c>
      <c r="D1786" s="234">
        <f>IFERROR(__xludf.DUMMYFUNCTION("""COMPUTED_VALUE"""),32.0)</f>
        <v>32</v>
      </c>
      <c r="E1786" s="237" t="str">
        <f>IFERROR(__xludf.DUMMYFUNCTION("""COMPUTED_VALUE"""),"LT0PC301T1611")</f>
        <v>LT0PC301T1611</v>
      </c>
      <c r="F1786" s="238" t="str">
        <f>IFERROR(__xludf.DUMMYFUNCTION("""COMPUTED_VALUE"""),"EOF4D32,ABC0123")</f>
        <v>EOF4D32,ABC0123</v>
      </c>
      <c r="G1786" s="238">
        <f>IFERROR(__xludf.DUMMYFUNCTION("""COMPUTED_VALUE"""),45994.93819444445)</f>
        <v>45994.93819</v>
      </c>
      <c r="H1786" s="238">
        <f>IFERROR(__xludf.DUMMYFUNCTION("""COMPUTED_VALUE"""),45995.02083333333)</f>
        <v>45995.02083</v>
      </c>
      <c r="I1786" s="237" t="str">
        <f t="shared" si="1"/>
        <v>Fora</v>
      </c>
      <c r="J1786" s="239">
        <v>118.99999998975545</v>
      </c>
    </row>
    <row r="1787">
      <c r="A1787" s="234" t="s">
        <v>3480</v>
      </c>
      <c r="B1787" s="234" t="str">
        <f>IFERROR(__xludf.DUMMYFUNCTION("""COMPUTED_VALUE"""),"LM Hub_SP_São Paulo_Carandiru")</f>
        <v>LM Hub_SP_São Paulo_Carandiru</v>
      </c>
      <c r="C1787" s="234" t="str">
        <f>IFERROR(__xludf.DUMMYFUNCTION("""COMPUTED_VALUE"""),"HUB-LSP-18")</f>
        <v>HUB-LSP-18</v>
      </c>
      <c r="D1787" s="234">
        <f>IFERROR(__xludf.DUMMYFUNCTION("""COMPUTED_VALUE"""),33.0)</f>
        <v>33</v>
      </c>
      <c r="E1787" s="237" t="str">
        <f>IFERROR(__xludf.DUMMYFUNCTION("""COMPUTED_VALUE"""),"LT0PC301T0EE1")</f>
        <v>LT0PC301T0EE1</v>
      </c>
      <c r="F1787" s="238" t="str">
        <f>IFERROR(__xludf.DUMMYFUNCTION("""COMPUTED_VALUE"""),"EKH0I75")</f>
        <v>EKH0I75</v>
      </c>
      <c r="G1787" s="238">
        <f>IFERROR(__xludf.DUMMYFUNCTION("""COMPUTED_VALUE"""),45994.93819444445)</f>
        <v>45994.93819</v>
      </c>
      <c r="H1787" s="238">
        <f>IFERROR(__xludf.DUMMYFUNCTION("""COMPUTED_VALUE"""),45995.02083333333)</f>
        <v>45995.02083</v>
      </c>
      <c r="I1787" s="237" t="str">
        <f t="shared" si="1"/>
        <v>Fora</v>
      </c>
      <c r="J1787" s="239">
        <v>118.99999998975545</v>
      </c>
    </row>
    <row r="1788">
      <c r="A1788" s="234" t="s">
        <v>3481</v>
      </c>
      <c r="B1788" s="234" t="str">
        <f>IFERROR(__xludf.DUMMYFUNCTION("""COMPUTED_VALUE"""),"LM Hub_SP_VilaGuilherme")</f>
        <v>LM Hub_SP_VilaGuilherme</v>
      </c>
      <c r="C1788" s="234" t="str">
        <f>IFERROR(__xludf.DUMMYFUNCTION("""COMPUTED_VALUE"""),"HUB-LSP-68")</f>
        <v>HUB-LSP-68</v>
      </c>
      <c r="D1788" s="234">
        <f>IFERROR(__xludf.DUMMYFUNCTION("""COMPUTED_VALUE"""),13.0)</f>
        <v>13</v>
      </c>
      <c r="E1788" s="237" t="str">
        <f>IFERROR(__xludf.DUMMYFUNCTION("""COMPUTED_VALUE"""),"LT0PC301TA9O1")</f>
        <v>LT0PC301TA9O1</v>
      </c>
      <c r="F1788" s="238" t="str">
        <f>IFERROR(__xludf.DUMMYFUNCTION("""COMPUTED_VALUE"""),"HFD4H27,JXG9745")</f>
        <v>HFD4H27,JXG9745</v>
      </c>
      <c r="G1788" s="238">
        <f>IFERROR(__xludf.DUMMYFUNCTION("""COMPUTED_VALUE"""),45994.93819444445)</f>
        <v>45994.93819</v>
      </c>
      <c r="H1788" s="238">
        <f>IFERROR(__xludf.DUMMYFUNCTION("""COMPUTED_VALUE"""),45995.02083333333)</f>
        <v>45995.02083</v>
      </c>
      <c r="I1788" s="237" t="str">
        <f t="shared" si="1"/>
        <v>Fora</v>
      </c>
      <c r="J1788" s="239">
        <v>120.00000001396984</v>
      </c>
    </row>
    <row r="1789">
      <c r="A1789" s="234" t="s">
        <v>3482</v>
      </c>
      <c r="B1789" s="234" t="str">
        <f>IFERROR(__xludf.DUMMYFUNCTION("""COMPUTED_VALUE"""),"LM Hub_SP_Jundiaí")</f>
        <v>LM Hub_SP_Jundiaí</v>
      </c>
      <c r="C1789" s="234" t="str">
        <f>IFERROR(__xludf.DUMMYFUNCTION("""COMPUTED_VALUE"""),"HUB-LSP-100")</f>
        <v>HUB-LSP-100</v>
      </c>
      <c r="D1789" s="234">
        <f>IFERROR(__xludf.DUMMYFUNCTION("""COMPUTED_VALUE"""),9.0)</f>
        <v>9</v>
      </c>
      <c r="E1789" s="237" t="str">
        <f>IFERROR(__xludf.DUMMYFUNCTION("""COMPUTED_VALUE"""),"LT0PC301T7P31")</f>
        <v>LT0PC301T7P31</v>
      </c>
      <c r="F1789" s="238" t="str">
        <f>IFERROR(__xludf.DUMMYFUNCTION("""COMPUTED_VALUE"""),"TLV0E90,GGU5E98")</f>
        <v>TLV0E90,GGU5E98</v>
      </c>
      <c r="G1789" s="238">
        <f>IFERROR(__xludf.DUMMYFUNCTION("""COMPUTED_VALUE"""),45994.95833333333)</f>
        <v>45994.95833</v>
      </c>
      <c r="H1789" s="238">
        <f>IFERROR(__xludf.DUMMYFUNCTION("""COMPUTED_VALUE"""),45995.04166666667)</f>
        <v>45995.04167</v>
      </c>
      <c r="I1789" s="237" t="str">
        <f t="shared" si="1"/>
        <v>Fora</v>
      </c>
      <c r="J1789" s="239">
        <v>120.00000001396984</v>
      </c>
    </row>
    <row r="1790">
      <c r="A1790" s="234" t="s">
        <v>3483</v>
      </c>
      <c r="B1790" s="234" t="str">
        <f>IFERROR(__xludf.DUMMYFUNCTION("""COMPUTED_VALUE"""),"LM Hub_SP_Mogi Mirim")</f>
        <v>LM Hub_SP_Mogi Mirim</v>
      </c>
      <c r="C1790" s="234" t="str">
        <f>IFERROR(__xludf.DUMMYFUNCTION("""COMPUTED_VALUE"""),"HUB-LSP-37")</f>
        <v>HUB-LSP-37</v>
      </c>
      <c r="D1790" s="234">
        <f>IFERROR(__xludf.DUMMYFUNCTION("""COMPUTED_VALUE"""),42.0)</f>
        <v>42</v>
      </c>
      <c r="E1790" s="237" t="str">
        <f>IFERROR(__xludf.DUMMYFUNCTION("""COMPUTED_VALUE"""),"LT0PC301T0IS1")</f>
        <v>LT0PC301T0IS1</v>
      </c>
      <c r="F1790" s="238" t="str">
        <f>IFERROR(__xludf.DUMMYFUNCTION("""COMPUTED_VALUE"""),"FLN0H65,FTJ9A92")</f>
        <v>FLN0H65,FTJ9A92</v>
      </c>
      <c r="G1790" s="238">
        <f>IFERROR(__xludf.DUMMYFUNCTION("""COMPUTED_VALUE"""),45994.95833333333)</f>
        <v>45994.95833</v>
      </c>
      <c r="H1790" s="238">
        <f>IFERROR(__xludf.DUMMYFUNCTION("""COMPUTED_VALUE"""),45995.04166666667)</f>
        <v>45995.04167</v>
      </c>
      <c r="I1790" s="237" t="str">
        <f t="shared" si="1"/>
        <v>Fora</v>
      </c>
      <c r="J1790" s="239">
        <v>119.99999999301508</v>
      </c>
    </row>
    <row r="1791">
      <c r="A1791" s="234" t="s">
        <v>3484</v>
      </c>
      <c r="B1791" s="234" t="str">
        <f>IFERROR(__xludf.DUMMYFUNCTION("""COMPUTED_VALUE"""),"LM Hub_SP_Araraquara")</f>
        <v>LM Hub_SP_Araraquara</v>
      </c>
      <c r="C1791" s="234" t="str">
        <f>IFERROR(__xludf.DUMMYFUNCTION("""COMPUTED_VALUE"""),"HUB-LSP-29")</f>
        <v>HUB-LSP-29</v>
      </c>
      <c r="D1791" s="234">
        <f>IFERROR(__xludf.DUMMYFUNCTION("""COMPUTED_VALUE"""),48.0)</f>
        <v>48</v>
      </c>
      <c r="E1791" s="237" t="str">
        <f>IFERROR(__xludf.DUMMYFUNCTION("""COMPUTED_VALUE"""),"LT0PC301T0IX1")</f>
        <v>LT0PC301T0IX1</v>
      </c>
      <c r="F1791" s="238" t="str">
        <f>IFERROR(__xludf.DUMMYFUNCTION("""COMPUTED_VALUE"""),"EWJ2H21")</f>
        <v>EWJ2H21</v>
      </c>
      <c r="G1791" s="238">
        <f>IFERROR(__xludf.DUMMYFUNCTION("""COMPUTED_VALUE"""),45994.97916666667)</f>
        <v>45994.97917</v>
      </c>
      <c r="H1791" s="238">
        <f>IFERROR(__xludf.DUMMYFUNCTION("""COMPUTED_VALUE"""),45995.0625)</f>
        <v>45995.0625</v>
      </c>
      <c r="I1791" s="237" t="str">
        <f t="shared" si="1"/>
        <v>Fora</v>
      </c>
      <c r="J1791" s="239">
        <v>119.99999999301508</v>
      </c>
    </row>
    <row r="1792">
      <c r="A1792" s="234" t="s">
        <v>3485</v>
      </c>
      <c r="B1792" s="234" t="str">
        <f>IFERROR(__xludf.DUMMYFUNCTION("""COMPUTED_VALUE"""),"LM Hub_SP_Atibaia_Ponte_Alta")</f>
        <v>LM Hub_SP_Atibaia_Ponte_Alta</v>
      </c>
      <c r="C1792" s="234" t="str">
        <f>IFERROR(__xludf.DUMMYFUNCTION("""COMPUTED_VALUE"""),"HUB-LSP-87")</f>
        <v>HUB-LSP-87</v>
      </c>
      <c r="D1792" s="234"/>
      <c r="E1792" s="237" t="str">
        <f>IFERROR(__xludf.DUMMYFUNCTION("""COMPUTED_VALUE"""),"LT0PC301T4QJ1")</f>
        <v>LT0PC301T4QJ1</v>
      </c>
      <c r="F1792" s="238" t="str">
        <f>IFERROR(__xludf.DUMMYFUNCTION("""COMPUTED_VALUE"""),"EWJ4D08,FKP4J44")</f>
        <v>EWJ4D08,FKP4J44</v>
      </c>
      <c r="G1792" s="238">
        <f>IFERROR(__xludf.DUMMYFUNCTION("""COMPUTED_VALUE"""),45994.97916666667)</f>
        <v>45994.97917</v>
      </c>
      <c r="H1792" s="238">
        <f>IFERROR(__xludf.DUMMYFUNCTION("""COMPUTED_VALUE"""),45995.0625)</f>
        <v>45995.0625</v>
      </c>
      <c r="I1792" s="237" t="str">
        <f t="shared" si="1"/>
        <v>Fora</v>
      </c>
      <c r="J1792" s="239">
        <v>119.99999999301508</v>
      </c>
    </row>
    <row r="1793">
      <c r="A1793" s="234" t="s">
        <v>3486</v>
      </c>
      <c r="B1793" s="234" t="str">
        <f>IFERROR(__xludf.DUMMYFUNCTION("""COMPUTED_VALUE"""),"LM Hub_SP_Várzea Paulista")</f>
        <v>LM Hub_SP_Várzea Paulista</v>
      </c>
      <c r="C1793" s="234" t="str">
        <f>IFERROR(__xludf.DUMMYFUNCTION("""COMPUTED_VALUE"""),"HUB-LSP-61")</f>
        <v>HUB-LSP-61</v>
      </c>
      <c r="D1793" s="234">
        <f>IFERROR(__xludf.DUMMYFUNCTION("""COMPUTED_VALUE"""),45.0)</f>
        <v>45</v>
      </c>
      <c r="E1793" s="237" t="str">
        <f>IFERROR(__xludf.DUMMYFUNCTION("""COMPUTED_VALUE"""),"LT0PC301T0I41")</f>
        <v>LT0PC301T0I41</v>
      </c>
      <c r="F1793" s="238" t="str">
        <f>IFERROR(__xludf.DUMMYFUNCTION("""COMPUTED_VALUE"""),"RNE2H82,OVJ7491")</f>
        <v>RNE2H82,OVJ7491</v>
      </c>
      <c r="G1793" s="238">
        <f>IFERROR(__xludf.DUMMYFUNCTION("""COMPUTED_VALUE"""),45994.97916666667)</f>
        <v>45994.97917</v>
      </c>
      <c r="H1793" s="238">
        <f>IFERROR(__xludf.DUMMYFUNCTION("""COMPUTED_VALUE"""),45995.0625)</f>
        <v>45995.0625</v>
      </c>
      <c r="I1793" s="237" t="str">
        <f t="shared" si="1"/>
        <v>Fora</v>
      </c>
      <c r="J1793" s="239">
        <v>119.99999999301508</v>
      </c>
    </row>
    <row r="1794">
      <c r="A1794" s="234" t="s">
        <v>3487</v>
      </c>
      <c r="B1794" s="234" t="str">
        <f>IFERROR(__xludf.DUMMYFUNCTION("""COMPUTED_VALUE"""),"SoC_PE_Jaboatão dos Guararapes")</f>
        <v>SoC_PE_Jaboatão dos Guararapes</v>
      </c>
      <c r="C1794" s="234" t="str">
        <f>IFERROR(__xludf.DUMMYFUNCTION("""COMPUTED_VALUE"""),"SOC-PE2")</f>
        <v>SOC-PE2</v>
      </c>
      <c r="D1794" s="234">
        <f>IFERROR(__xludf.DUMMYFUNCTION("""COMPUTED_VALUE"""),24.0)</f>
        <v>24</v>
      </c>
      <c r="E1794" s="237" t="str">
        <f>IFERROR(__xludf.DUMMYFUNCTION("""COMPUTED_VALUE"""),"LT0PC401T6FH1")</f>
        <v>LT0PC401T6FH1</v>
      </c>
      <c r="F1794" s="238" t="str">
        <f>IFERROR(__xludf.DUMMYFUNCTION("""COMPUTED_VALUE"""),"IXY0E12,PZK6I57")</f>
        <v>IXY0E12,PZK6I57</v>
      </c>
      <c r="G1794" s="238">
        <f>IFERROR(__xludf.DUMMYFUNCTION("""COMPUTED_VALUE"""),45995.0)</f>
        <v>45995</v>
      </c>
      <c r="H1794" s="238">
        <f>IFERROR(__xludf.DUMMYFUNCTION("""COMPUTED_VALUE"""),45995.08333333333)</f>
        <v>45995.08333</v>
      </c>
      <c r="I1794" s="237" t="str">
        <f t="shared" si="1"/>
        <v>Fora</v>
      </c>
      <c r="J1794" s="239">
        <v>119.99999999301508</v>
      </c>
    </row>
    <row r="1795">
      <c r="A1795" s="234" t="s">
        <v>3488</v>
      </c>
      <c r="B1795" s="234" t="str">
        <f>IFERROR(__xludf.DUMMYFUNCTION("""COMPUTED_VALUE"""),"SoC_PR_Curitiba")</f>
        <v>SoC_PR_Curitiba</v>
      </c>
      <c r="C1795" s="234" t="str">
        <f>IFERROR(__xludf.DUMMYFUNCTION("""COMPUTED_VALUE"""),"SOC-PR1")</f>
        <v>SOC-PR1</v>
      </c>
      <c r="D1795" s="234">
        <f>IFERROR(__xludf.DUMMYFUNCTION("""COMPUTED_VALUE"""),39.0)</f>
        <v>39</v>
      </c>
      <c r="E1795" s="237" t="str">
        <f>IFERROR(__xludf.DUMMYFUNCTION("""COMPUTED_VALUE"""),"LT0PC401T0BS1")</f>
        <v>LT0PC401T0BS1</v>
      </c>
      <c r="F1795" s="238" t="str">
        <f>IFERROR(__xludf.DUMMYFUNCTION("""COMPUTED_VALUE"""),"SXM8D72,RXR9F56")</f>
        <v>SXM8D72,RXR9F56</v>
      </c>
      <c r="G1795" s="238">
        <f>IFERROR(__xludf.DUMMYFUNCTION("""COMPUTED_VALUE"""),45995.0)</f>
        <v>45995</v>
      </c>
      <c r="H1795" s="238">
        <f>IFERROR(__xludf.DUMMYFUNCTION("""COMPUTED_VALUE"""),45995.08333333333)</f>
        <v>45995.08333</v>
      </c>
      <c r="I1795" s="237" t="str">
        <f t="shared" si="1"/>
        <v>Fora</v>
      </c>
      <c r="J1795" s="239">
        <v>119.99999999301508</v>
      </c>
    </row>
    <row r="1796">
      <c r="A1796" s="234" t="s">
        <v>3489</v>
      </c>
      <c r="B1796" s="234" t="str">
        <f>IFERROR(__xludf.DUMMYFUNCTION("""COMPUTED_VALUE"""),"SoC_RS_Gravataí_02")</f>
        <v>SoC_RS_Gravataí_02</v>
      </c>
      <c r="C1796" s="234" t="str">
        <f>IFERROR(__xludf.DUMMYFUNCTION("""COMPUTED_VALUE"""),"SOC-RS2")</f>
        <v>SOC-RS2</v>
      </c>
      <c r="D1796" s="234">
        <f>IFERROR(__xludf.DUMMYFUNCTION("""COMPUTED_VALUE"""),28.0)</f>
        <v>28</v>
      </c>
      <c r="E1796" s="237" t="str">
        <f>IFERROR(__xludf.DUMMYFUNCTION("""COMPUTED_VALUE"""),"LT0PC401T6V81")</f>
        <v>LT0PC401T6V81</v>
      </c>
      <c r="F1796" s="238" t="str">
        <f>IFERROR(__xludf.DUMMYFUNCTION("""COMPUTED_VALUE"""),"JDE1F59,BAW1I35")</f>
        <v>JDE1F59,BAW1I35</v>
      </c>
      <c r="G1796" s="238">
        <f>IFERROR(__xludf.DUMMYFUNCTION("""COMPUTED_VALUE"""),45995.0)</f>
        <v>45995</v>
      </c>
      <c r="H1796" s="238">
        <f>IFERROR(__xludf.DUMMYFUNCTION("""COMPUTED_VALUE"""),45995.08333333333)</f>
        <v>45995.08333</v>
      </c>
      <c r="I1796" s="237" t="str">
        <f t="shared" si="1"/>
        <v>Fora</v>
      </c>
      <c r="J1796" s="239">
        <v>119.99999999301508</v>
      </c>
    </row>
    <row r="1797">
      <c r="A1797" s="234" t="s">
        <v>3490</v>
      </c>
      <c r="B1797" s="234" t="str">
        <f>IFERROR(__xludf.DUMMYFUNCTION("""COMPUTED_VALUE"""),"SoC_SC_Itajaí")</f>
        <v>SoC_SC_Itajaí</v>
      </c>
      <c r="C1797" s="234" t="str">
        <f>IFERROR(__xludf.DUMMYFUNCTION("""COMPUTED_VALUE"""),"SOC-SC1")</f>
        <v>SOC-SC1</v>
      </c>
      <c r="D1797" s="234">
        <f>IFERROR(__xludf.DUMMYFUNCTION("""COMPUTED_VALUE"""),26.0)</f>
        <v>26</v>
      </c>
      <c r="E1797" s="237" t="str">
        <f>IFERROR(__xludf.DUMMYFUNCTION("""COMPUTED_VALUE"""),"LT0PC401T5I01")</f>
        <v>LT0PC401T5I01</v>
      </c>
      <c r="F1797" s="238" t="str">
        <f>IFERROR(__xludf.DUMMYFUNCTION("""COMPUTED_VALUE"""),"FDB0I10,TBJ8G26")</f>
        <v>FDB0I10,TBJ8G26</v>
      </c>
      <c r="G1797" s="238">
        <f>IFERROR(__xludf.DUMMYFUNCTION("""COMPUTED_VALUE"""),45995.0)</f>
        <v>45995</v>
      </c>
      <c r="H1797" s="238">
        <f>IFERROR(__xludf.DUMMYFUNCTION("""COMPUTED_VALUE"""),45995.08333333333)</f>
        <v>45995.08333</v>
      </c>
      <c r="I1797" s="237" t="str">
        <f t="shared" si="1"/>
        <v>Fora</v>
      </c>
      <c r="J1797" s="239">
        <v>119.99999999301508</v>
      </c>
    </row>
    <row r="1798">
      <c r="A1798" s="234" t="s">
        <v>3491</v>
      </c>
      <c r="B1798" s="234" t="str">
        <f>IFERROR(__xludf.DUMMYFUNCTION("""COMPUTED_VALUE"""),"SoC_SP_Louveira")</f>
        <v>SoC_SP_Louveira</v>
      </c>
      <c r="C1798" s="234" t="str">
        <f>IFERROR(__xludf.DUMMYFUNCTION("""COMPUTED_VALUE"""),"SOC-SP7")</f>
        <v>SOC-SP7</v>
      </c>
      <c r="D1798" s="234">
        <f>IFERROR(__xludf.DUMMYFUNCTION("""COMPUTED_VALUE"""),32.0)</f>
        <v>32</v>
      </c>
      <c r="E1798" s="237" t="str">
        <f>IFERROR(__xludf.DUMMYFUNCTION("""COMPUTED_VALUE"""),"LT0PC401T0D41")</f>
        <v>LT0PC401T0D41</v>
      </c>
      <c r="F1798" s="238" t="str">
        <f>IFERROR(__xludf.DUMMYFUNCTION("""COMPUTED_VALUE"""),"FWI2F57,UDF4J25")</f>
        <v>FWI2F57,UDF4J25</v>
      </c>
      <c r="G1798" s="238">
        <f>IFERROR(__xludf.DUMMYFUNCTION("""COMPUTED_VALUE"""),45995.0)</f>
        <v>45995</v>
      </c>
      <c r="H1798" s="238">
        <f>IFERROR(__xludf.DUMMYFUNCTION("""COMPUTED_VALUE"""),45995.08333333333)</f>
        <v>45995.08333</v>
      </c>
      <c r="I1798" s="237" t="str">
        <f t="shared" si="1"/>
        <v>Fora</v>
      </c>
      <c r="J1798" s="239">
        <v>120.00000001396984</v>
      </c>
    </row>
    <row r="1799">
      <c r="A1799" s="234" t="s">
        <v>3492</v>
      </c>
      <c r="B1799" s="234" t="str">
        <f>IFERROR(__xludf.DUMMYFUNCTION("""COMPUTED_VALUE"""),"LM Hub_MG_Varginha_Fausto")</f>
        <v>LM Hub_MG_Varginha_Fausto</v>
      </c>
      <c r="C1799" s="234" t="str">
        <f>IFERROR(__xludf.DUMMYFUNCTION("""COMPUTED_VALUE"""),"HUB-LMG-45")</f>
        <v>HUB-LMG-45</v>
      </c>
      <c r="D1799" s="234">
        <f>IFERROR(__xludf.DUMMYFUNCTION("""COMPUTED_VALUE"""),15.0)</f>
        <v>15</v>
      </c>
      <c r="E1799" s="237" t="str">
        <f>IFERROR(__xludf.DUMMYFUNCTION("""COMPUTED_VALUE"""),"LT0PC401T65N1")</f>
        <v>LT0PC401T65N1</v>
      </c>
      <c r="F1799" s="238" t="str">
        <f>IFERROR(__xludf.DUMMYFUNCTION("""COMPUTED_VALUE"""),"EZP2D49")</f>
        <v>EZP2D49</v>
      </c>
      <c r="G1799" s="238">
        <f>IFERROR(__xludf.DUMMYFUNCTION("""COMPUTED_VALUE"""),45995.02083333333)</f>
        <v>45995.02083</v>
      </c>
      <c r="H1799" s="238">
        <f>IFERROR(__xludf.DUMMYFUNCTION("""COMPUTED_VALUE"""),45995.10416666667)</f>
        <v>45995.10417</v>
      </c>
      <c r="I1799" s="237" t="str">
        <f t="shared" si="1"/>
        <v>Fora</v>
      </c>
      <c r="J1799" s="239">
        <v>119.99999999301508</v>
      </c>
    </row>
    <row r="1800">
      <c r="A1800" s="234" t="s">
        <v>3493</v>
      </c>
      <c r="B1800" s="234" t="str">
        <f>IFERROR(__xludf.DUMMYFUNCTION("""COMPUTED_VALUE"""),"SoC_MG_Betim")</f>
        <v>SoC_MG_Betim</v>
      </c>
      <c r="C1800" s="234" t="str">
        <f>IFERROR(__xludf.DUMMYFUNCTION("""COMPUTED_VALUE"""),"SOC-MG2")</f>
        <v>SOC-MG2</v>
      </c>
      <c r="D1800" s="234">
        <f>IFERROR(__xludf.DUMMYFUNCTION("""COMPUTED_VALUE"""),46.0)</f>
        <v>46</v>
      </c>
      <c r="E1800" s="237" t="str">
        <f>IFERROR(__xludf.DUMMYFUNCTION("""COMPUTED_VALUE"""),"LT1PC401THC51")</f>
        <v>LT1PC401THC51</v>
      </c>
      <c r="F1800" s="238" t="str">
        <f>IFERROR(__xludf.DUMMYFUNCTION("""COMPUTED_VALUE"""),"FOB0E14,FDC9I47")</f>
        <v>FOB0E14,FDC9I47</v>
      </c>
      <c r="G1800" s="238">
        <f>IFERROR(__xludf.DUMMYFUNCTION("""COMPUTED_VALUE"""),45995.04166666667)</f>
        <v>45995.04167</v>
      </c>
      <c r="H1800" s="238">
        <f>IFERROR(__xludf.DUMMYFUNCTION("""COMPUTED_VALUE"""),45995.125)</f>
        <v>45995.125</v>
      </c>
      <c r="I1800" s="237" t="str">
        <f t="shared" si="1"/>
        <v>Fora</v>
      </c>
      <c r="J1800" s="239">
        <v>119.99999999301508</v>
      </c>
    </row>
    <row r="1801">
      <c r="A1801" s="234" t="s">
        <v>3494</v>
      </c>
      <c r="B1801" s="234" t="str">
        <f>IFERROR(__xludf.DUMMYFUNCTION("""COMPUTED_VALUE"""),"SoC_RS_Gravataí_02")</f>
        <v>SoC_RS_Gravataí_02</v>
      </c>
      <c r="C1801" s="234" t="str">
        <f>IFERROR(__xludf.DUMMYFUNCTION("""COMPUTED_VALUE"""),"SOC-RS2")</f>
        <v>SOC-RS2</v>
      </c>
      <c r="D1801" s="234">
        <f>IFERROR(__xludf.DUMMYFUNCTION("""COMPUTED_VALUE"""),29.0)</f>
        <v>29</v>
      </c>
      <c r="E1801" s="237" t="str">
        <f>IFERROR(__xludf.DUMMYFUNCTION("""COMPUTED_VALUE"""),"LT1PC401THCC1")</f>
        <v>LT1PC401THCC1</v>
      </c>
      <c r="F1801" s="238" t="str">
        <f>IFERROR(__xludf.DUMMYFUNCTION("""COMPUTED_VALUE"""),"IYV3I12,JDF7J33")</f>
        <v>IYV3I12,JDF7J33</v>
      </c>
      <c r="G1801" s="238">
        <f>IFERROR(__xludf.DUMMYFUNCTION("""COMPUTED_VALUE"""),45995.04166666667)</f>
        <v>45995.04167</v>
      </c>
      <c r="H1801" s="238">
        <f>IFERROR(__xludf.DUMMYFUNCTION("""COMPUTED_VALUE"""),45995.125)</f>
        <v>45995.125</v>
      </c>
      <c r="I1801" s="237" t="str">
        <f t="shared" si="1"/>
        <v>Fora</v>
      </c>
      <c r="J1801" s="239">
        <v>119.99999999301508</v>
      </c>
    </row>
    <row r="1802">
      <c r="A1802" s="234" t="s">
        <v>3495</v>
      </c>
      <c r="B1802" s="234" t="str">
        <f>IFERROR(__xludf.DUMMYFUNCTION("""COMPUTED_VALUE"""),"SoC_SP_Louveira")</f>
        <v>SoC_SP_Louveira</v>
      </c>
      <c r="C1802" s="234" t="str">
        <f>IFERROR(__xludf.DUMMYFUNCTION("""COMPUTED_VALUE"""),"SOC-SP7")</f>
        <v>SOC-SP7</v>
      </c>
      <c r="D1802" s="234">
        <f>IFERROR(__xludf.DUMMYFUNCTION("""COMPUTED_VALUE"""),33.0)</f>
        <v>33</v>
      </c>
      <c r="E1802" s="237" t="str">
        <f>IFERROR(__xludf.DUMMYFUNCTION("""COMPUTED_VALUE"""),"LT1PC401THBV1")</f>
        <v>LT1PC401THBV1</v>
      </c>
      <c r="F1802" s="238" t="str">
        <f>IFERROR(__xludf.DUMMYFUNCTION("""COMPUTED_VALUE"""),"NOJ7I40,HWD5A18")</f>
        <v>NOJ7I40,HWD5A18</v>
      </c>
      <c r="G1802" s="238">
        <f>IFERROR(__xludf.DUMMYFUNCTION("""COMPUTED_VALUE"""),45995.04166666667)</f>
        <v>45995.04167</v>
      </c>
      <c r="H1802" s="238">
        <f>IFERROR(__xludf.DUMMYFUNCTION("""COMPUTED_VALUE"""),45995.125)</f>
        <v>45995.125</v>
      </c>
      <c r="I1802" s="237" t="str">
        <f t="shared" si="1"/>
        <v>Fora</v>
      </c>
      <c r="J1802" s="239">
        <v>540.0</v>
      </c>
    </row>
    <row r="1803">
      <c r="A1803" s="234" t="s">
        <v>3496</v>
      </c>
      <c r="B1803" s="234" t="str">
        <f>IFERROR(__xludf.DUMMYFUNCTION("""COMPUTED_VALUE"""),"SoC_GO_Goiânia_02")</f>
        <v>SoC_GO_Goiânia_02</v>
      </c>
      <c r="C1803" s="234" t="str">
        <f>IFERROR(__xludf.DUMMYFUNCTION("""COMPUTED_VALUE"""),"SOC-GO2")</f>
        <v>SOC-GO2</v>
      </c>
      <c r="D1803" s="234">
        <f>IFERROR(__xludf.DUMMYFUNCTION("""COMPUTED_VALUE"""),87.0)</f>
        <v>87</v>
      </c>
      <c r="E1803" s="237" t="str">
        <f>IFERROR(__xludf.DUMMYFUNCTION("""COMPUTED_VALUE"""),"LT0PC301T6SZ1")</f>
        <v>LT0PC301T6SZ1</v>
      </c>
      <c r="F1803" s="238" t="str">
        <f>IFERROR(__xludf.DUMMYFUNCTION("""COMPUTED_VALUE"""),"GIM5J15,GCN0F89")</f>
        <v>GIM5J15,GCN0F89</v>
      </c>
      <c r="G1803" s="238">
        <f>IFERROR(__xludf.DUMMYFUNCTION("""COMPUTED_VALUE"""),45994.79166666667)</f>
        <v>45994.79167</v>
      </c>
      <c r="H1803" s="238">
        <f>IFERROR(__xludf.DUMMYFUNCTION("""COMPUTED_VALUE"""),45995.16666666667)</f>
        <v>45995.16667</v>
      </c>
      <c r="I1803" s="237" t="str">
        <f t="shared" si="1"/>
        <v>Fora</v>
      </c>
      <c r="J1803" s="239">
        <v>539.0000000072177</v>
      </c>
    </row>
    <row r="1804">
      <c r="A1804" s="234" t="s">
        <v>3497</v>
      </c>
      <c r="B1804" s="234" t="str">
        <f>IFERROR(__xludf.DUMMYFUNCTION("""COMPUTED_VALUE"""),"SoC_RJ_Duque de Caxias")</f>
        <v>SoC_RJ_Duque de Caxias</v>
      </c>
      <c r="C1804" s="234" t="str">
        <f>IFERROR(__xludf.DUMMYFUNCTION("""COMPUTED_VALUE"""),"SOC-RJ2")</f>
        <v>SOC-RJ2</v>
      </c>
      <c r="D1804" s="234">
        <f>IFERROR(__xludf.DUMMYFUNCTION("""COMPUTED_VALUE"""),96.0)</f>
        <v>96</v>
      </c>
      <c r="E1804" s="237" t="str">
        <f>IFERROR(__xludf.DUMMYFUNCTION("""COMPUTED_VALUE"""),"LT0PC301T2RP3")</f>
        <v>LT0PC301T2RP3</v>
      </c>
      <c r="F1804" s="238" t="str">
        <f>IFERROR(__xludf.DUMMYFUNCTION("""COMPUTED_VALUE"""),"QST0E50,UDS4D73")</f>
        <v>QST0E50,UDS4D73</v>
      </c>
      <c r="G1804" s="238">
        <f>IFERROR(__xludf.DUMMYFUNCTION("""COMPUTED_VALUE"""),45994.79236111111)</f>
        <v>45994.79236</v>
      </c>
      <c r="H1804" s="238">
        <f>IFERROR(__xludf.DUMMYFUNCTION("""COMPUTED_VALUE"""),45995.16666666667)</f>
        <v>45995.16667</v>
      </c>
      <c r="I1804" s="237" t="str">
        <f t="shared" si="1"/>
        <v>Fora</v>
      </c>
      <c r="J1804" s="239">
        <v>420.0000000069849</v>
      </c>
    </row>
    <row r="1805">
      <c r="A1805" s="234" t="s">
        <v>3498</v>
      </c>
      <c r="B1805" s="234" t="str">
        <f>IFERROR(__xludf.DUMMYFUNCTION("""COMPUTED_VALUE"""),"SoC_RJ_Duque de Caxias")</f>
        <v>SoC_RJ_Duque de Caxias</v>
      </c>
      <c r="C1805" s="234" t="str">
        <f>IFERROR(__xludf.DUMMYFUNCTION("""COMPUTED_VALUE"""),"SOC-RJ2")</f>
        <v>SOC-RJ2</v>
      </c>
      <c r="D1805" s="234">
        <f>IFERROR(__xludf.DUMMYFUNCTION("""COMPUTED_VALUE"""),98.0)</f>
        <v>98</v>
      </c>
      <c r="E1805" s="237" t="str">
        <f>IFERROR(__xludf.DUMMYFUNCTION("""COMPUTED_VALUE"""),"LT0PC301T2RN2")</f>
        <v>LT0PC301T2RN2</v>
      </c>
      <c r="F1805" s="238" t="str">
        <f>IFERROR(__xludf.DUMMYFUNCTION("""COMPUTED_VALUE"""),"DPC2J62,GXM8E60")</f>
        <v>DPC2J62,GXM8E60</v>
      </c>
      <c r="G1805" s="238">
        <f>IFERROR(__xludf.DUMMYFUNCTION("""COMPUTED_VALUE"""),45994.875)</f>
        <v>45994.875</v>
      </c>
      <c r="H1805" s="238">
        <f>IFERROR(__xludf.DUMMYFUNCTION("""COMPUTED_VALUE"""),45995.16666666667)</f>
        <v>45995.16667</v>
      </c>
      <c r="I1805" s="237" t="str">
        <f t="shared" si="1"/>
        <v>Fora</v>
      </c>
      <c r="J1805" s="239">
        <v>120.00000001396984</v>
      </c>
    </row>
    <row r="1806">
      <c r="A1806" s="234" t="s">
        <v>3499</v>
      </c>
      <c r="B1806" s="234" t="str">
        <f>IFERROR(__xludf.DUMMYFUNCTION("""COMPUTED_VALUE"""),"LM Hub_SP_Tatuí")</f>
        <v>LM Hub_SP_Tatuí</v>
      </c>
      <c r="C1806" s="234" t="str">
        <f>IFERROR(__xludf.DUMMYFUNCTION("""COMPUTED_VALUE"""),"HUB-LSP-51")</f>
        <v>HUB-LSP-51</v>
      </c>
      <c r="D1806" s="234">
        <f>IFERROR(__xludf.DUMMYFUNCTION("""COMPUTED_VALUE"""),12.0)</f>
        <v>12</v>
      </c>
      <c r="E1806" s="237" t="str">
        <f>IFERROR(__xludf.DUMMYFUNCTION("""COMPUTED_VALUE"""),"LT0PC401T0FQ1")</f>
        <v>LT0PC401T0FQ1</v>
      </c>
      <c r="F1806" s="238" t="str">
        <f>IFERROR(__xludf.DUMMYFUNCTION("""COMPUTED_VALUE"""),"SWR6H23,FTZ4B35")</f>
        <v>SWR6H23,FTZ4B35</v>
      </c>
      <c r="G1806" s="238">
        <f>IFERROR(__xludf.DUMMYFUNCTION("""COMPUTED_VALUE"""),45995.08333333333)</f>
        <v>45995.08333</v>
      </c>
      <c r="H1806" s="238">
        <f>IFERROR(__xludf.DUMMYFUNCTION("""COMPUTED_VALUE"""),45995.16666666667)</f>
        <v>45995.16667</v>
      </c>
      <c r="I1806" s="237" t="str">
        <f t="shared" si="1"/>
        <v>Fora</v>
      </c>
      <c r="J1806" s="239">
        <v>120.00000001396984</v>
      </c>
    </row>
    <row r="1807">
      <c r="A1807" s="234" t="s">
        <v>3500</v>
      </c>
      <c r="B1807" s="234" t="str">
        <f>IFERROR(__xludf.DUMMYFUNCTION("""COMPUTED_VALUE"""),"SoC_GO_Goiânia_02")</f>
        <v>SoC_GO_Goiânia_02</v>
      </c>
      <c r="C1807" s="234" t="str">
        <f>IFERROR(__xludf.DUMMYFUNCTION("""COMPUTED_VALUE"""),"SOC-GO2")</f>
        <v>SOC-GO2</v>
      </c>
      <c r="D1807" s="234"/>
      <c r="E1807" s="237" t="str">
        <f>IFERROR(__xludf.DUMMYFUNCTION("""COMPUTED_VALUE"""),"LT1PC401THCF1")</f>
        <v>LT1PC401THCF1</v>
      </c>
      <c r="F1807" s="238" t="str">
        <f>IFERROR(__xludf.DUMMYFUNCTION("""COMPUTED_VALUE"""),"MQL7E82,NGT3J12")</f>
        <v>MQL7E82,NGT3J12</v>
      </c>
      <c r="G1807" s="238">
        <f>IFERROR(__xludf.DUMMYFUNCTION("""COMPUTED_VALUE"""),45995.08333333333)</f>
        <v>45995.08333</v>
      </c>
      <c r="H1807" s="238">
        <f>IFERROR(__xludf.DUMMYFUNCTION("""COMPUTED_VALUE"""),45995.16666666667)</f>
        <v>45995.16667</v>
      </c>
      <c r="I1807" s="237" t="str">
        <f t="shared" si="1"/>
        <v>Fora</v>
      </c>
      <c r="J1807" s="239">
        <v>120.00000001396984</v>
      </c>
    </row>
    <row r="1808">
      <c r="A1808" s="234" t="s">
        <v>3501</v>
      </c>
      <c r="B1808" s="234" t="str">
        <f>IFERROR(__xludf.DUMMYFUNCTION("""COMPUTED_VALUE"""),"SoC_PR_Curitiba")</f>
        <v>SoC_PR_Curitiba</v>
      </c>
      <c r="C1808" s="234" t="str">
        <f>IFERROR(__xludf.DUMMYFUNCTION("""COMPUTED_VALUE"""),"SOC-PR1")</f>
        <v>SOC-PR1</v>
      </c>
      <c r="D1808" s="234">
        <f>IFERROR(__xludf.DUMMYFUNCTION("""COMPUTED_VALUE"""),40.0)</f>
        <v>40</v>
      </c>
      <c r="E1808" s="237" t="str">
        <f>IFERROR(__xludf.DUMMYFUNCTION("""COMPUTED_VALUE"""),"LT1PC401THC61")</f>
        <v>LT1PC401THC61</v>
      </c>
      <c r="F1808" s="238" t="str">
        <f>IFERROR(__xludf.DUMMYFUNCTION("""COMPUTED_VALUE"""),"TAO4G33,TLW4A87")</f>
        <v>TAO4G33,TLW4A87</v>
      </c>
      <c r="G1808" s="238">
        <f>IFERROR(__xludf.DUMMYFUNCTION("""COMPUTED_VALUE"""),45995.08333333333)</f>
        <v>45995.08333</v>
      </c>
      <c r="H1808" s="238">
        <f>IFERROR(__xludf.DUMMYFUNCTION("""COMPUTED_VALUE"""),45995.16666666667)</f>
        <v>45995.16667</v>
      </c>
      <c r="I1808" s="237" t="str">
        <f t="shared" si="1"/>
        <v>Fora</v>
      </c>
      <c r="J1808" s="239">
        <v>119.99999999301508</v>
      </c>
    </row>
    <row r="1809">
      <c r="A1809" s="234" t="s">
        <v>3502</v>
      </c>
      <c r="B1809" s="234" t="str">
        <f>IFERROR(__xludf.DUMMYFUNCTION("""COMPUTED_VALUE"""),"LM Hub_SP_Itapetininga")</f>
        <v>LM Hub_SP_Itapetininga</v>
      </c>
      <c r="C1809" s="234" t="str">
        <f>IFERROR(__xludf.DUMMYFUNCTION("""COMPUTED_VALUE"""),"HUB-LSP-53")</f>
        <v>HUB-LSP-53</v>
      </c>
      <c r="D1809" s="234">
        <f>IFERROR(__xludf.DUMMYFUNCTION("""COMPUTED_VALUE"""),45.0)</f>
        <v>45</v>
      </c>
      <c r="E1809" s="237" t="str">
        <f>IFERROR(__xludf.DUMMYFUNCTION("""COMPUTED_VALUE"""),"LT0PC401T0FL1")</f>
        <v>LT0PC401T0FL1</v>
      </c>
      <c r="F1809" s="238" t="str">
        <f>IFERROR(__xludf.DUMMYFUNCTION("""COMPUTED_VALUE"""),"FLQ1E34,FLQ1E30")</f>
        <v>FLQ1E34,FLQ1E30</v>
      </c>
      <c r="G1809" s="238">
        <f>IFERROR(__xludf.DUMMYFUNCTION("""COMPUTED_VALUE"""),45995.10416666667)</f>
        <v>45995.10417</v>
      </c>
      <c r="H1809" s="238">
        <f>IFERROR(__xludf.DUMMYFUNCTION("""COMPUTED_VALUE"""),45995.1875)</f>
        <v>45995.1875</v>
      </c>
      <c r="I1809" s="237" t="str">
        <f t="shared" si="1"/>
        <v>Fora</v>
      </c>
      <c r="J1809" s="239">
        <v>119.99999999301508</v>
      </c>
    </row>
    <row r="1810">
      <c r="A1810" s="234" t="s">
        <v>3503</v>
      </c>
      <c r="B1810" s="234" t="str">
        <f>IFERROR(__xludf.DUMMYFUNCTION("""COMPUTED_VALUE"""),"LM Hub_SP_São Carlos")</f>
        <v>LM Hub_SP_São Carlos</v>
      </c>
      <c r="C1810" s="234" t="str">
        <f>IFERROR(__xludf.DUMMYFUNCTION("""COMPUTED_VALUE"""),"HUB-LSP-31")</f>
        <v>HUB-LSP-31</v>
      </c>
      <c r="D1810" s="234">
        <f>IFERROR(__xludf.DUMMYFUNCTION("""COMPUTED_VALUE"""),37.0)</f>
        <v>37</v>
      </c>
      <c r="E1810" s="237" t="str">
        <f>IFERROR(__xludf.DUMMYFUNCTION("""COMPUTED_VALUE"""),"LT0PC401T0IG1")</f>
        <v>LT0PC401T0IG1</v>
      </c>
      <c r="F1810" s="238" t="str">
        <f>IFERROR(__xludf.DUMMYFUNCTION("""COMPUTED_VALUE"""),"MYP2D33")</f>
        <v>MYP2D33</v>
      </c>
      <c r="G1810" s="238">
        <f>IFERROR(__xludf.DUMMYFUNCTION("""COMPUTED_VALUE"""),45995.10416666667)</f>
        <v>45995.10417</v>
      </c>
      <c r="H1810" s="238">
        <f>IFERROR(__xludf.DUMMYFUNCTION("""COMPUTED_VALUE"""),45995.1875)</f>
        <v>45995.1875</v>
      </c>
      <c r="I1810" s="237" t="str">
        <f t="shared" si="1"/>
        <v>Fora</v>
      </c>
      <c r="J1810" s="239">
        <v>119.99999999301508</v>
      </c>
    </row>
    <row r="1811">
      <c r="A1811" s="234" t="s">
        <v>3504</v>
      </c>
      <c r="B1811" s="234" t="str">
        <f>IFERROR(__xludf.DUMMYFUNCTION("""COMPUTED_VALUE"""),"LM Hub_SP_Itapeva")</f>
        <v>LM Hub_SP_Itapeva</v>
      </c>
      <c r="C1811" s="234" t="str">
        <f>IFERROR(__xludf.DUMMYFUNCTION("""COMPUTED_VALUE"""),"HUB-LSP-39")</f>
        <v>HUB-LSP-39</v>
      </c>
      <c r="D1811" s="234">
        <f>IFERROR(__xludf.DUMMYFUNCTION("""COMPUTED_VALUE"""),6.0)</f>
        <v>6</v>
      </c>
      <c r="E1811" s="237" t="str">
        <f>IFERROR(__xludf.DUMMYFUNCTION("""COMPUTED_VALUE"""),"LT0PC401T0FV1")</f>
        <v>LT0PC401T0FV1</v>
      </c>
      <c r="F1811" s="238" t="str">
        <f>IFERROR(__xludf.DUMMYFUNCTION("""COMPUTED_VALUE"""),"DTC3E38")</f>
        <v>DTC3E38</v>
      </c>
      <c r="G1811" s="238">
        <f>IFERROR(__xludf.DUMMYFUNCTION("""COMPUTED_VALUE"""),45995.125)</f>
        <v>45995.125</v>
      </c>
      <c r="H1811" s="238">
        <f>IFERROR(__xludf.DUMMYFUNCTION("""COMPUTED_VALUE"""),45995.20833333333)</f>
        <v>45995.20833</v>
      </c>
      <c r="I1811" s="237" t="str">
        <f t="shared" si="1"/>
        <v>Fora</v>
      </c>
      <c r="J1811" s="239">
        <v>119.99999999301508</v>
      </c>
    </row>
    <row r="1812">
      <c r="A1812" s="234" t="s">
        <v>3505</v>
      </c>
      <c r="B1812" s="234" t="str">
        <f>IFERROR(__xludf.DUMMYFUNCTION("""COMPUTED_VALUE"""),"LM Hub_SP_Sumaré_Nova Veneza_1")</f>
        <v>LM Hub_SP_Sumaré_Nova Veneza_1</v>
      </c>
      <c r="C1812" s="234" t="str">
        <f>IFERROR(__xludf.DUMMYFUNCTION("""COMPUTED_VALUE"""),"HUB-LSP-88")</f>
        <v>HUB-LSP-88</v>
      </c>
      <c r="D1812" s="234">
        <f>IFERROR(__xludf.DUMMYFUNCTION("""COMPUTED_VALUE"""),44.0)</f>
        <v>44</v>
      </c>
      <c r="E1812" s="237" t="str">
        <f>IFERROR(__xludf.DUMMYFUNCTION("""COMPUTED_VALUE"""),"LT0PC401T61Y1")</f>
        <v>LT0PC401T61Y1</v>
      </c>
      <c r="F1812" s="238" t="str">
        <f>IFERROR(__xludf.DUMMYFUNCTION("""COMPUTED_VALUE"""),"SXV9E83")</f>
        <v>SXV9E83</v>
      </c>
      <c r="G1812" s="238">
        <f>IFERROR(__xludf.DUMMYFUNCTION("""COMPUTED_VALUE"""),45995.125)</f>
        <v>45995.125</v>
      </c>
      <c r="H1812" s="238">
        <f>IFERROR(__xludf.DUMMYFUNCTION("""COMPUTED_VALUE"""),45995.20833333333)</f>
        <v>45995.20833</v>
      </c>
      <c r="I1812" s="237" t="str">
        <f t="shared" si="1"/>
        <v>Fora</v>
      </c>
      <c r="J1812" s="239">
        <v>119.99999999301508</v>
      </c>
    </row>
    <row r="1813">
      <c r="A1813" s="234" t="s">
        <v>3506</v>
      </c>
      <c r="B1813" s="234" t="str">
        <f>IFERROR(__xludf.DUMMYFUNCTION("""COMPUTED_VALUE"""),"SoC_PE_Jaboatão dos Guararapes")</f>
        <v>SoC_PE_Jaboatão dos Guararapes</v>
      </c>
      <c r="C1813" s="234" t="str">
        <f>IFERROR(__xludf.DUMMYFUNCTION("""COMPUTED_VALUE"""),"SOC-PE2")</f>
        <v>SOC-PE2</v>
      </c>
      <c r="D1813" s="234">
        <f>IFERROR(__xludf.DUMMYFUNCTION("""COMPUTED_VALUE"""),25.0)</f>
        <v>25</v>
      </c>
      <c r="E1813" s="237" t="str">
        <f>IFERROR(__xludf.DUMMYFUNCTION("""COMPUTED_VALUE"""),"LT1PC401THC91")</f>
        <v>LT1PC401THC91</v>
      </c>
      <c r="F1813" s="238" t="str">
        <f>IFERROR(__xludf.DUMMYFUNCTION("""COMPUTED_VALUE"""),"KXA7C13,JRN0G33")</f>
        <v>KXA7C13,JRN0G33</v>
      </c>
      <c r="G1813" s="238">
        <f>IFERROR(__xludf.DUMMYFUNCTION("""COMPUTED_VALUE"""),45995.125)</f>
        <v>45995.125</v>
      </c>
      <c r="H1813" s="238">
        <f>IFERROR(__xludf.DUMMYFUNCTION("""COMPUTED_VALUE"""),45995.20833333333)</f>
        <v>45995.20833</v>
      </c>
      <c r="I1813" s="237" t="str">
        <f t="shared" si="1"/>
        <v>Fora</v>
      </c>
      <c r="J1813" s="239">
        <v>119.99999999301508</v>
      </c>
    </row>
    <row r="1814">
      <c r="A1814" s="234" t="s">
        <v>3507</v>
      </c>
      <c r="B1814" s="234" t="str">
        <f>IFERROR(__xludf.DUMMYFUNCTION("""COMPUTED_VALUE"""),"SoC_SP_Guarulhos")</f>
        <v>SoC_SP_Guarulhos</v>
      </c>
      <c r="C1814" s="234" t="str">
        <f>IFERROR(__xludf.DUMMYFUNCTION("""COMPUTED_VALUE"""),"SOC-SP6")</f>
        <v>SOC-SP6</v>
      </c>
      <c r="D1814" s="234">
        <f>IFERROR(__xludf.DUMMYFUNCTION("""COMPUTED_VALUE"""),22.0)</f>
        <v>22</v>
      </c>
      <c r="E1814" s="237" t="str">
        <f>IFERROR(__xludf.DUMMYFUNCTION("""COMPUTED_VALUE"""),"LT1PC401THBZ1")</f>
        <v>LT1PC401THBZ1</v>
      </c>
      <c r="F1814" s="238" t="str">
        <f>IFERROR(__xludf.DUMMYFUNCTION("""COMPUTED_VALUE"""),"ODE7J96,UGA3J93")</f>
        <v>ODE7J96,UGA3J93</v>
      </c>
      <c r="G1814" s="238">
        <f>IFERROR(__xludf.DUMMYFUNCTION("""COMPUTED_VALUE"""),45995.125)</f>
        <v>45995.125</v>
      </c>
      <c r="H1814" s="238">
        <f>IFERROR(__xludf.DUMMYFUNCTION("""COMPUTED_VALUE"""),45995.20833333333)</f>
        <v>45995.20833</v>
      </c>
      <c r="I1814" s="237" t="str">
        <f t="shared" si="1"/>
        <v>Fora</v>
      </c>
      <c r="J1814" s="239">
        <v>119.99999999301508</v>
      </c>
    </row>
    <row r="1815">
      <c r="A1815" s="234" t="s">
        <v>3508</v>
      </c>
      <c r="B1815" s="234" t="str">
        <f>IFERROR(__xludf.DUMMYFUNCTION("""COMPUTED_VALUE"""),"SoC_SP_Louveira")</f>
        <v>SoC_SP_Louveira</v>
      </c>
      <c r="C1815" s="234" t="str">
        <f>IFERROR(__xludf.DUMMYFUNCTION("""COMPUTED_VALUE"""),"SOC-SP7")</f>
        <v>SOC-SP7</v>
      </c>
      <c r="D1815" s="234"/>
      <c r="E1815" s="237" t="str">
        <f>IFERROR(__xludf.DUMMYFUNCTION("""COMPUTED_VALUE"""),"LT1PC401THBW1")</f>
        <v>LT1PC401THBW1</v>
      </c>
      <c r="F1815" s="238" t="str">
        <f>IFERROR(__xludf.DUMMYFUNCTION("""COMPUTED_VALUE"""),"BBX6D70,ADZ0C99")</f>
        <v>BBX6D70,ADZ0C99</v>
      </c>
      <c r="G1815" s="238">
        <f>IFERROR(__xludf.DUMMYFUNCTION("""COMPUTED_VALUE"""),45995.125)</f>
        <v>45995.125</v>
      </c>
      <c r="H1815" s="238">
        <f>IFERROR(__xludf.DUMMYFUNCTION("""COMPUTED_VALUE"""),45995.20833333333)</f>
        <v>45995.20833</v>
      </c>
      <c r="I1815" s="237" t="str">
        <f t="shared" si="1"/>
        <v>Fora</v>
      </c>
      <c r="J1815" s="239">
        <v>120.00000001396984</v>
      </c>
    </row>
    <row r="1816">
      <c r="A1816" s="234" t="s">
        <v>3509</v>
      </c>
      <c r="B1816" s="234" t="str">
        <f>IFERROR(__xludf.DUMMYFUNCTION("""COMPUTED_VALUE"""),"LM Hub_SP_Campinas_São Martinho")</f>
        <v>LM Hub_SP_Campinas_São Martinho</v>
      </c>
      <c r="C1816" s="234" t="str">
        <f>IFERROR(__xludf.DUMMYFUNCTION("""COMPUTED_VALUE"""),"HUB-LSP-19")</f>
        <v>HUB-LSP-19</v>
      </c>
      <c r="D1816" s="234">
        <f>IFERROR(__xludf.DUMMYFUNCTION("""COMPUTED_VALUE"""),15.0)</f>
        <v>15</v>
      </c>
      <c r="E1816" s="237" t="str">
        <f>IFERROR(__xludf.DUMMYFUNCTION("""COMPUTED_VALUE"""),"LT0PC401T0JB1")</f>
        <v>LT0PC401T0JB1</v>
      </c>
      <c r="F1816" s="238" t="str">
        <f>IFERROR(__xludf.DUMMYFUNCTION("""COMPUTED_VALUE"""),"CUC8286,JXB4390")</f>
        <v>CUC8286,JXB4390</v>
      </c>
      <c r="G1816" s="238">
        <f>IFERROR(__xludf.DUMMYFUNCTION("""COMPUTED_VALUE"""),45995.14583333333)</f>
        <v>45995.14583</v>
      </c>
      <c r="H1816" s="238">
        <f>IFERROR(__xludf.DUMMYFUNCTION("""COMPUTED_VALUE"""),45995.22916666667)</f>
        <v>45995.22917</v>
      </c>
      <c r="I1816" s="237" t="str">
        <f t="shared" si="1"/>
        <v>Fora</v>
      </c>
      <c r="J1816" s="239">
        <v>120.00000001396984</v>
      </c>
    </row>
    <row r="1817">
      <c r="A1817" s="234" t="s">
        <v>3510</v>
      </c>
      <c r="B1817" s="234" t="str">
        <f>IFERROR(__xludf.DUMMYFUNCTION("""COMPUTED_VALUE"""),"LM Hub_SP_Mogi Mirim")</f>
        <v>LM Hub_SP_Mogi Mirim</v>
      </c>
      <c r="C1817" s="234" t="str">
        <f>IFERROR(__xludf.DUMMYFUNCTION("""COMPUTED_VALUE"""),"HUB-LSP-37")</f>
        <v>HUB-LSP-37</v>
      </c>
      <c r="D1817" s="234">
        <f>IFERROR(__xludf.DUMMYFUNCTION("""COMPUTED_VALUE"""),34.0)</f>
        <v>34</v>
      </c>
      <c r="E1817" s="237" t="str">
        <f>IFERROR(__xludf.DUMMYFUNCTION("""COMPUTED_VALUE"""),"LT0PC401T0IN1")</f>
        <v>LT0PC401T0IN1</v>
      </c>
      <c r="F1817" s="238" t="str">
        <f>IFERROR(__xludf.DUMMYFUNCTION("""COMPUTED_VALUE"""),"TLE4D84")</f>
        <v>TLE4D84</v>
      </c>
      <c r="G1817" s="238">
        <f>IFERROR(__xludf.DUMMYFUNCTION("""COMPUTED_VALUE"""),45995.14583333333)</f>
        <v>45995.14583</v>
      </c>
      <c r="H1817" s="238">
        <f>IFERROR(__xludf.DUMMYFUNCTION("""COMPUTED_VALUE"""),45995.22916666667)</f>
        <v>45995.22917</v>
      </c>
      <c r="I1817" s="237" t="str">
        <f t="shared" si="1"/>
        <v>Fora</v>
      </c>
      <c r="J1817" s="239">
        <v>120.00000001396984</v>
      </c>
    </row>
    <row r="1818">
      <c r="A1818" s="234" t="s">
        <v>3511</v>
      </c>
      <c r="B1818" s="234" t="str">
        <f>IFERROR(__xludf.DUMMYFUNCTION("""COMPUTED_VALUE"""),"LM Hub_SP_Osasco_02")</f>
        <v>LM Hub_SP_Osasco_02</v>
      </c>
      <c r="C1818" s="234" t="str">
        <f>IFERROR(__xludf.DUMMYFUNCTION("""COMPUTED_VALUE"""),"HUB-LSP-60")</f>
        <v>HUB-LSP-60</v>
      </c>
      <c r="D1818" s="234">
        <f>IFERROR(__xludf.DUMMYFUNCTION("""COMPUTED_VALUE"""),21.0)</f>
        <v>21</v>
      </c>
      <c r="E1818" s="237" t="str">
        <f>IFERROR(__xludf.DUMMYFUNCTION("""COMPUTED_VALUE"""),"LT0PC401T1MI1")</f>
        <v>LT0PC401T1MI1</v>
      </c>
      <c r="F1818" s="238" t="str">
        <f>IFERROR(__xludf.DUMMYFUNCTION("""COMPUTED_VALUE"""),"TIT6G09,SWC1F85")</f>
        <v>TIT6G09,SWC1F85</v>
      </c>
      <c r="G1818" s="238">
        <f>IFERROR(__xludf.DUMMYFUNCTION("""COMPUTED_VALUE"""),45995.14583333333)</f>
        <v>45995.14583</v>
      </c>
      <c r="H1818" s="238">
        <f>IFERROR(__xludf.DUMMYFUNCTION("""COMPUTED_VALUE"""),45995.22916666667)</f>
        <v>45995.22917</v>
      </c>
      <c r="I1818" s="237" t="str">
        <f t="shared" si="1"/>
        <v>Fora</v>
      </c>
      <c r="J1818" s="239">
        <v>120.00000001396984</v>
      </c>
    </row>
    <row r="1819">
      <c r="A1819" s="234" t="s">
        <v>3512</v>
      </c>
      <c r="B1819" s="234" t="str">
        <f>IFERROR(__xludf.DUMMYFUNCTION("""COMPUTED_VALUE"""),"LM Hub_SP_Sorocaba_Região Norte")</f>
        <v>LM Hub_SP_Sorocaba_Região Norte</v>
      </c>
      <c r="C1819" s="234" t="str">
        <f>IFERROR(__xludf.DUMMYFUNCTION("""COMPUTED_VALUE"""),"HUB-LSP-10")</f>
        <v>HUB-LSP-10</v>
      </c>
      <c r="D1819" s="234">
        <f>IFERROR(__xludf.DUMMYFUNCTION("""COMPUTED_VALUE"""),19.0)</f>
        <v>19</v>
      </c>
      <c r="E1819" s="237" t="str">
        <f>IFERROR(__xludf.DUMMYFUNCTION("""COMPUTED_VALUE"""),"LT0PC401T0HE1")</f>
        <v>LT0PC401T0HE1</v>
      </c>
      <c r="F1819" s="238" t="str">
        <f>IFERROR(__xludf.DUMMYFUNCTION("""COMPUTED_VALUE"""),"GHJ3E37,OUU8J45")</f>
        <v>GHJ3E37,OUU8J45</v>
      </c>
      <c r="G1819" s="238">
        <f>IFERROR(__xludf.DUMMYFUNCTION("""COMPUTED_VALUE"""),45995.14583333333)</f>
        <v>45995.14583</v>
      </c>
      <c r="H1819" s="238">
        <f>IFERROR(__xludf.DUMMYFUNCTION("""COMPUTED_VALUE"""),45995.22916666667)</f>
        <v>45995.22917</v>
      </c>
      <c r="I1819" s="237" t="str">
        <f t="shared" si="1"/>
        <v>Fora</v>
      </c>
      <c r="J1819" s="239">
        <v>120.00000001396984</v>
      </c>
    </row>
    <row r="1820">
      <c r="A1820" s="234" t="s">
        <v>3513</v>
      </c>
      <c r="B1820" s="234" t="str">
        <f>IFERROR(__xludf.DUMMYFUNCTION("""COMPUTED_VALUE"""),"LM Hub_SP_Sorocaba_Região Norte")</f>
        <v>LM Hub_SP_Sorocaba_Região Norte</v>
      </c>
      <c r="C1820" s="234" t="str">
        <f>IFERROR(__xludf.DUMMYFUNCTION("""COMPUTED_VALUE"""),"HUB-LSP-10")</f>
        <v>HUB-LSP-10</v>
      </c>
      <c r="D1820" s="234"/>
      <c r="E1820" s="237" t="str">
        <f>IFERROR(__xludf.DUMMYFUNCTION("""COMPUTED_VALUE"""),"LT0PC401T0HG2")</f>
        <v>LT0PC401T0HG2</v>
      </c>
      <c r="F1820" s="238" t="str">
        <f>IFERROR(__xludf.DUMMYFUNCTION("""COMPUTED_VALUE"""),"GHJ3E37,OUU8J45")</f>
        <v>GHJ3E37,OUU8J45</v>
      </c>
      <c r="G1820" s="238">
        <f>IFERROR(__xludf.DUMMYFUNCTION("""COMPUTED_VALUE"""),45995.14583333333)</f>
        <v>45995.14583</v>
      </c>
      <c r="H1820" s="238">
        <f>IFERROR(__xludf.DUMMYFUNCTION("""COMPUTED_VALUE"""),45995.22916666667)</f>
        <v>45995.22917</v>
      </c>
      <c r="I1820" s="237" t="str">
        <f t="shared" si="1"/>
        <v>Fora</v>
      </c>
      <c r="J1820" s="239">
        <v>600.0000000069849</v>
      </c>
    </row>
    <row r="1821">
      <c r="A1821" s="234" t="s">
        <v>3514</v>
      </c>
      <c r="B1821" s="234" t="str">
        <f>IFERROR(__xludf.DUMMYFUNCTION("""COMPUTED_VALUE"""),"SoC_MG_Betim")</f>
        <v>SoC_MG_Betim</v>
      </c>
      <c r="C1821" s="234" t="str">
        <f>IFERROR(__xludf.DUMMYFUNCTION("""COMPUTED_VALUE"""),"SOC-MG2")</f>
        <v>SOC-MG2</v>
      </c>
      <c r="D1821" s="234">
        <f>IFERROR(__xludf.DUMMYFUNCTION("""COMPUTED_VALUE"""),91.0)</f>
        <v>91</v>
      </c>
      <c r="E1821" s="237" t="str">
        <f>IFERROR(__xludf.DUMMYFUNCTION("""COMPUTED_VALUE"""),"LT0PC301T0B01")</f>
        <v>LT0PC301T0B01</v>
      </c>
      <c r="F1821" s="238" t="str">
        <f>IFERROR(__xludf.DUMMYFUNCTION("""COMPUTED_VALUE"""),"SUK7E04,GBX1009")</f>
        <v>SUK7E04,GBX1009</v>
      </c>
      <c r="G1821" s="238">
        <f>IFERROR(__xludf.DUMMYFUNCTION("""COMPUTED_VALUE"""),45994.83333333333)</f>
        <v>45994.83333</v>
      </c>
      <c r="H1821" s="238">
        <f>IFERROR(__xludf.DUMMYFUNCTION("""COMPUTED_VALUE"""),45995.25)</f>
        <v>45995.25</v>
      </c>
      <c r="I1821" s="237" t="str">
        <f t="shared" si="1"/>
        <v>Fora</v>
      </c>
      <c r="J1821" s="239">
        <v>540.0</v>
      </c>
    </row>
    <row r="1822">
      <c r="A1822" s="234" t="s">
        <v>3515</v>
      </c>
      <c r="B1822" s="234" t="str">
        <f>IFERROR(__xludf.DUMMYFUNCTION("""COMPUTED_VALUE"""),"SoC_MG_Betim")</f>
        <v>SoC_MG_Betim</v>
      </c>
      <c r="C1822" s="234" t="str">
        <f>IFERROR(__xludf.DUMMYFUNCTION("""COMPUTED_VALUE"""),"SOC-MG2")</f>
        <v>SOC-MG2</v>
      </c>
      <c r="D1822" s="234">
        <f>IFERROR(__xludf.DUMMYFUNCTION("""COMPUTED_VALUE"""),90.0)</f>
        <v>90</v>
      </c>
      <c r="E1822" s="237" t="str">
        <f>IFERROR(__xludf.DUMMYFUNCTION("""COMPUTED_VALUE"""),"LT0PC301T0BM1")</f>
        <v>LT0PC301T0BM1</v>
      </c>
      <c r="F1822" s="238" t="str">
        <f>IFERROR(__xludf.DUMMYFUNCTION("""COMPUTED_VALUE"""),"STO4D24,SWV4F52")</f>
        <v>STO4D24,SWV4F52</v>
      </c>
      <c r="G1822" s="238">
        <f>IFERROR(__xludf.DUMMYFUNCTION("""COMPUTED_VALUE"""),45994.875)</f>
        <v>45994.875</v>
      </c>
      <c r="H1822" s="238">
        <f>IFERROR(__xludf.DUMMYFUNCTION("""COMPUTED_VALUE"""),45995.25)</f>
        <v>45995.25</v>
      </c>
      <c r="I1822" s="237" t="str">
        <f t="shared" si="1"/>
        <v>Fora</v>
      </c>
      <c r="J1822" s="239">
        <v>420.0000000069849</v>
      </c>
    </row>
    <row r="1823">
      <c r="A1823" s="234" t="s">
        <v>3516</v>
      </c>
      <c r="B1823" s="234" t="str">
        <f>IFERROR(__xludf.DUMMYFUNCTION("""COMPUTED_VALUE"""),"SoC_MG_Betim")</f>
        <v>SoC_MG_Betim</v>
      </c>
      <c r="C1823" s="234" t="str">
        <f>IFERROR(__xludf.DUMMYFUNCTION("""COMPUTED_VALUE"""),"SOC-MG2")</f>
        <v>SOC-MG2</v>
      </c>
      <c r="D1823" s="234"/>
      <c r="E1823" s="237" t="str">
        <f>IFERROR(__xludf.DUMMYFUNCTION("""COMPUTED_VALUE"""),"LT1PC301THC41")</f>
        <v>LT1PC301THC41</v>
      </c>
      <c r="F1823" s="238" t="str">
        <f>IFERROR(__xludf.DUMMYFUNCTION("""COMPUTED_VALUE"""),"RJY4I24,BJR9H62")</f>
        <v>RJY4I24,BJR9H62</v>
      </c>
      <c r="G1823" s="238">
        <f>IFERROR(__xludf.DUMMYFUNCTION("""COMPUTED_VALUE"""),45994.95833333333)</f>
        <v>45994.95833</v>
      </c>
      <c r="H1823" s="238">
        <f>IFERROR(__xludf.DUMMYFUNCTION("""COMPUTED_VALUE"""),45995.25)</f>
        <v>45995.25</v>
      </c>
      <c r="I1823" s="237" t="str">
        <f t="shared" si="1"/>
        <v>Fora</v>
      </c>
      <c r="J1823" s="239">
        <v>420.0000000069849</v>
      </c>
    </row>
    <row r="1824">
      <c r="A1824" s="234" t="s">
        <v>3517</v>
      </c>
      <c r="B1824" s="234" t="str">
        <f>IFERROR(__xludf.DUMMYFUNCTION("""COMPUTED_VALUE"""),"SoC_SP_Cravinhos")</f>
        <v>SoC_SP_Cravinhos</v>
      </c>
      <c r="C1824" s="234" t="str">
        <f>IFERROR(__xludf.DUMMYFUNCTION("""COMPUTED_VALUE"""),"SOC-SP5")</f>
        <v>SOC-SP5</v>
      </c>
      <c r="D1824" s="234">
        <f>IFERROR(__xludf.DUMMYFUNCTION("""COMPUTED_VALUE"""),94.0)</f>
        <v>94</v>
      </c>
      <c r="E1824" s="237" t="str">
        <f>IFERROR(__xludf.DUMMYFUNCTION("""COMPUTED_VALUE"""),"LT1PC301THBX1")</f>
        <v>LT1PC301THBX1</v>
      </c>
      <c r="F1824" s="238" t="str">
        <f>IFERROR(__xludf.DUMMYFUNCTION("""COMPUTED_VALUE"""),"CUB4G63,FJP9A82")</f>
        <v>CUB4G63,FJP9A82</v>
      </c>
      <c r="G1824" s="238">
        <f>IFERROR(__xludf.DUMMYFUNCTION("""COMPUTED_VALUE"""),45994.95833333333)</f>
        <v>45994.95833</v>
      </c>
      <c r="H1824" s="238">
        <f>IFERROR(__xludf.DUMMYFUNCTION("""COMPUTED_VALUE"""),45995.25)</f>
        <v>45995.25</v>
      </c>
      <c r="I1824" s="237" t="str">
        <f t="shared" si="1"/>
        <v>Fora</v>
      </c>
      <c r="J1824" s="239">
        <v>119.99999999301508</v>
      </c>
    </row>
    <row r="1825">
      <c r="A1825" s="234" t="s">
        <v>3518</v>
      </c>
      <c r="B1825" s="234" t="str">
        <f>IFERROR(__xludf.DUMMYFUNCTION("""COMPUTED_VALUE"""),"LM Hub_ES_Viana")</f>
        <v>LM Hub_ES_Viana</v>
      </c>
      <c r="C1825" s="234" t="str">
        <f>IFERROR(__xludf.DUMMYFUNCTION("""COMPUTED_VALUE"""),"HUB-LES-09")</f>
        <v>HUB-LES-09</v>
      </c>
      <c r="D1825" s="234">
        <f>IFERROR(__xludf.DUMMYFUNCTION("""COMPUTED_VALUE"""),27.0)</f>
        <v>27</v>
      </c>
      <c r="E1825" s="237" t="str">
        <f>IFERROR(__xludf.DUMMYFUNCTION("""COMPUTED_VALUE"""),"LT0PC401T4WJ1")</f>
        <v>LT0PC401T4WJ1</v>
      </c>
      <c r="F1825" s="238" t="str">
        <f>IFERROR(__xludf.DUMMYFUNCTION("""COMPUTED_VALUE"""),"SFW8C57")</f>
        <v>SFW8C57</v>
      </c>
      <c r="G1825" s="238">
        <f>IFERROR(__xludf.DUMMYFUNCTION("""COMPUTED_VALUE"""),45995.16666666667)</f>
        <v>45995.16667</v>
      </c>
      <c r="H1825" s="238">
        <f>IFERROR(__xludf.DUMMYFUNCTION("""COMPUTED_VALUE"""),45995.25)</f>
        <v>45995.25</v>
      </c>
      <c r="I1825" s="237" t="str">
        <f t="shared" si="1"/>
        <v>Fora</v>
      </c>
      <c r="J1825" s="239">
        <v>119.99999999301508</v>
      </c>
    </row>
    <row r="1826">
      <c r="A1826" s="234" t="s">
        <v>3519</v>
      </c>
      <c r="B1826" s="234" t="str">
        <f>IFERROR(__xludf.DUMMYFUNCTION("""COMPUTED_VALUE"""),"LM Hub_SP_Guaratinguetá")</f>
        <v>LM Hub_SP_Guaratinguetá</v>
      </c>
      <c r="C1826" s="234" t="str">
        <f>IFERROR(__xludf.DUMMYFUNCTION("""COMPUTED_VALUE"""),"HUB-LSP-33")</f>
        <v>HUB-LSP-33</v>
      </c>
      <c r="D1826" s="234">
        <f>IFERROR(__xludf.DUMMYFUNCTION("""COMPUTED_VALUE"""),16.0)</f>
        <v>16</v>
      </c>
      <c r="E1826" s="237" t="str">
        <f>IFERROR(__xludf.DUMMYFUNCTION("""COMPUTED_VALUE"""),"LT0PC401T0GN1")</f>
        <v>LT0PC401T0GN1</v>
      </c>
      <c r="F1826" s="238" t="str">
        <f>IFERROR(__xludf.DUMMYFUNCTION("""COMPUTED_VALUE"""),"EKH3880")</f>
        <v>EKH3880</v>
      </c>
      <c r="G1826" s="238">
        <f>IFERROR(__xludf.DUMMYFUNCTION("""COMPUTED_VALUE"""),45995.16666666667)</f>
        <v>45995.16667</v>
      </c>
      <c r="H1826" s="238">
        <f>IFERROR(__xludf.DUMMYFUNCTION("""COMPUTED_VALUE"""),45995.25)</f>
        <v>45995.25</v>
      </c>
      <c r="I1826" s="237" t="str">
        <f t="shared" si="1"/>
        <v>Fora</v>
      </c>
      <c r="J1826" s="239">
        <v>119.99999999301508</v>
      </c>
    </row>
    <row r="1827">
      <c r="A1827" s="234" t="s">
        <v>3520</v>
      </c>
      <c r="B1827" s="234" t="str">
        <f>IFERROR(__xludf.DUMMYFUNCTION("""COMPUTED_VALUE"""),"LM Hub_SP_Limeira_Campo Belo")</f>
        <v>LM Hub_SP_Limeira_Campo Belo</v>
      </c>
      <c r="C1827" s="234" t="str">
        <f>IFERROR(__xludf.DUMMYFUNCTION("""COMPUTED_VALUE"""),"HUB-LSP-24")</f>
        <v>HUB-LSP-24</v>
      </c>
      <c r="D1827" s="234">
        <f>IFERROR(__xludf.DUMMYFUNCTION("""COMPUTED_VALUE"""),39.0)</f>
        <v>39</v>
      </c>
      <c r="E1827" s="237" t="str">
        <f>IFERROR(__xludf.DUMMYFUNCTION("""COMPUTED_VALUE"""),"LT0PC401T0HP1")</f>
        <v>LT0PC401T0HP1</v>
      </c>
      <c r="F1827" s="238" t="str">
        <f>IFERROR(__xludf.DUMMYFUNCTION("""COMPUTED_VALUE"""),"FLO1G76")</f>
        <v>FLO1G76</v>
      </c>
      <c r="G1827" s="238">
        <f>IFERROR(__xludf.DUMMYFUNCTION("""COMPUTED_VALUE"""),45995.16666666667)</f>
        <v>45995.16667</v>
      </c>
      <c r="H1827" s="238">
        <f>IFERROR(__xludf.DUMMYFUNCTION("""COMPUTED_VALUE"""),45995.25)</f>
        <v>45995.25</v>
      </c>
      <c r="I1827" s="237" t="str">
        <f t="shared" si="1"/>
        <v>Fora</v>
      </c>
      <c r="J1827" s="239">
        <v>119.99999999301508</v>
      </c>
    </row>
    <row r="1828">
      <c r="A1828" s="234" t="s">
        <v>3521</v>
      </c>
      <c r="B1828" s="234" t="str">
        <f>IFERROR(__xludf.DUMMYFUNCTION("""COMPUTED_VALUE"""),"LM Hub_SP_Registro")</f>
        <v>LM Hub_SP_Registro</v>
      </c>
      <c r="C1828" s="234" t="str">
        <f>IFERROR(__xludf.DUMMYFUNCTION("""COMPUTED_VALUE"""),"HUB-LSP-40")</f>
        <v>HUB-LSP-40</v>
      </c>
      <c r="D1828" s="234">
        <f>IFERROR(__xludf.DUMMYFUNCTION("""COMPUTED_VALUE"""),5.0)</f>
        <v>5</v>
      </c>
      <c r="E1828" s="237" t="str">
        <f>IFERROR(__xludf.DUMMYFUNCTION("""COMPUTED_VALUE"""),"LT0PC401T0GC1")</f>
        <v>LT0PC401T0GC1</v>
      </c>
      <c r="F1828" s="238" t="str">
        <f>IFERROR(__xludf.DUMMYFUNCTION("""COMPUTED_VALUE"""),"SHY4B72")</f>
        <v>SHY4B72</v>
      </c>
      <c r="G1828" s="238">
        <f>IFERROR(__xludf.DUMMYFUNCTION("""COMPUTED_VALUE"""),45995.16666666667)</f>
        <v>45995.16667</v>
      </c>
      <c r="H1828" s="238">
        <f>IFERROR(__xludf.DUMMYFUNCTION("""COMPUTED_VALUE"""),45995.25)</f>
        <v>45995.25</v>
      </c>
      <c r="I1828" s="237" t="str">
        <f t="shared" si="1"/>
        <v>Fora</v>
      </c>
      <c r="J1828" s="239">
        <v>119.99999999301508</v>
      </c>
    </row>
    <row r="1829">
      <c r="A1829" s="234" t="s">
        <v>3522</v>
      </c>
      <c r="B1829" s="234" t="str">
        <f>IFERROR(__xludf.DUMMYFUNCTION("""COMPUTED_VALUE"""),"LM Hub_SP_Várzea Paulista")</f>
        <v>LM Hub_SP_Várzea Paulista</v>
      </c>
      <c r="C1829" s="234" t="str">
        <f>IFERROR(__xludf.DUMMYFUNCTION("""COMPUTED_VALUE"""),"HUB-LSP-61")</f>
        <v>HUB-LSP-61</v>
      </c>
      <c r="D1829" s="234">
        <f>IFERROR(__xludf.DUMMYFUNCTION("""COMPUTED_VALUE"""),48.0)</f>
        <v>48</v>
      </c>
      <c r="E1829" s="237" t="str">
        <f>IFERROR(__xludf.DUMMYFUNCTION("""COMPUTED_VALUE"""),"LT0PC401T0HZ1")</f>
        <v>LT0PC401T0HZ1</v>
      </c>
      <c r="F1829" s="238" t="str">
        <f>IFERROR(__xludf.DUMMYFUNCTION("""COMPUTED_VALUE"""),"HNQ8267")</f>
        <v>HNQ8267</v>
      </c>
      <c r="G1829" s="238">
        <f>IFERROR(__xludf.DUMMYFUNCTION("""COMPUTED_VALUE"""),45995.16666666667)</f>
        <v>45995.16667</v>
      </c>
      <c r="H1829" s="238">
        <f>IFERROR(__xludf.DUMMYFUNCTION("""COMPUTED_VALUE"""),45995.25)</f>
        <v>45995.25</v>
      </c>
      <c r="I1829" s="237" t="str">
        <f t="shared" si="1"/>
        <v>Fora</v>
      </c>
      <c r="J1829" s="239">
        <v>119.99999999301508</v>
      </c>
    </row>
    <row r="1830">
      <c r="A1830" s="234" t="s">
        <v>3523</v>
      </c>
      <c r="B1830" s="234" t="str">
        <f>IFERROR(__xludf.DUMMYFUNCTION("""COMPUTED_VALUE"""),"SoC_BA_Simoes Filho")</f>
        <v>SoC_BA_Simoes Filho</v>
      </c>
      <c r="C1830" s="234" t="str">
        <f>IFERROR(__xludf.DUMMYFUNCTION("""COMPUTED_VALUE"""),"SOC-BA2")</f>
        <v>SOC-BA2</v>
      </c>
      <c r="D1830" s="234">
        <f>IFERROR(__xludf.DUMMYFUNCTION("""COMPUTED_VALUE"""),49.0)</f>
        <v>49</v>
      </c>
      <c r="E1830" s="237" t="str">
        <f>IFERROR(__xludf.DUMMYFUNCTION("""COMPUTED_VALUE"""),"LT1PC401THCB1")</f>
        <v>LT1PC401THCB1</v>
      </c>
      <c r="F1830" s="238" t="str">
        <f>IFERROR(__xludf.DUMMYFUNCTION("""COMPUTED_VALUE"""),"RYG4G90,SXS3G37")</f>
        <v>RYG4G90,SXS3G37</v>
      </c>
      <c r="G1830" s="238">
        <f>IFERROR(__xludf.DUMMYFUNCTION("""COMPUTED_VALUE"""),45995.16666666667)</f>
        <v>45995.16667</v>
      </c>
      <c r="H1830" s="238">
        <f>IFERROR(__xludf.DUMMYFUNCTION("""COMPUTED_VALUE"""),45995.25)</f>
        <v>45995.25</v>
      </c>
      <c r="I1830" s="237" t="str">
        <f t="shared" si="1"/>
        <v>Fora</v>
      </c>
      <c r="J1830" s="239">
        <v>119.99999999301508</v>
      </c>
    </row>
    <row r="1831">
      <c r="A1831" s="234" t="s">
        <v>3524</v>
      </c>
      <c r="B1831" s="234" t="str">
        <f>IFERROR(__xludf.DUMMYFUNCTION("""COMPUTED_VALUE"""),"SoC_PE_Jaboatão dos Guararapes")</f>
        <v>SoC_PE_Jaboatão dos Guararapes</v>
      </c>
      <c r="C1831" s="234" t="str">
        <f>IFERROR(__xludf.DUMMYFUNCTION("""COMPUTED_VALUE"""),"SOC-PE2")</f>
        <v>SOC-PE2</v>
      </c>
      <c r="D1831" s="234">
        <f>IFERROR(__xludf.DUMMYFUNCTION("""COMPUTED_VALUE"""),17.0)</f>
        <v>17</v>
      </c>
      <c r="E1831" s="237" t="str">
        <f>IFERROR(__xludf.DUMMYFUNCTION("""COMPUTED_VALUE"""),"LT0PC401T6FN1")</f>
        <v>LT0PC401T6FN1</v>
      </c>
      <c r="F1831" s="238" t="str">
        <f>IFERROR(__xludf.DUMMYFUNCTION("""COMPUTED_VALUE"""),"IRP6529,DBL9E82")</f>
        <v>IRP6529,DBL9E82</v>
      </c>
      <c r="G1831" s="238">
        <f>IFERROR(__xludf.DUMMYFUNCTION("""COMPUTED_VALUE"""),45995.16666666667)</f>
        <v>45995.16667</v>
      </c>
      <c r="H1831" s="238">
        <f>IFERROR(__xludf.DUMMYFUNCTION("""COMPUTED_VALUE"""),45995.25)</f>
        <v>45995.25</v>
      </c>
      <c r="I1831" s="237" t="str">
        <f t="shared" si="1"/>
        <v>Fora</v>
      </c>
      <c r="J1831" s="239">
        <v>119.99999999301508</v>
      </c>
    </row>
    <row r="1832">
      <c r="A1832" s="234" t="s">
        <v>3525</v>
      </c>
      <c r="B1832" s="234" t="str">
        <f>IFERROR(__xludf.DUMMYFUNCTION("""COMPUTED_VALUE"""),"SoC_PR_Curitiba")</f>
        <v>SoC_PR_Curitiba</v>
      </c>
      <c r="C1832" s="234" t="str">
        <f>IFERROR(__xludf.DUMMYFUNCTION("""COMPUTED_VALUE"""),"SOC-PR1")</f>
        <v>SOC-PR1</v>
      </c>
      <c r="D1832" s="234">
        <f>IFERROR(__xludf.DUMMYFUNCTION("""COMPUTED_VALUE"""),12.0)</f>
        <v>12</v>
      </c>
      <c r="E1832" s="237" t="str">
        <f>IFERROR(__xludf.DUMMYFUNCTION("""COMPUTED_VALUE"""),"LT0PC401T0BV1")</f>
        <v>LT0PC401T0BV1</v>
      </c>
      <c r="F1832" s="234" t="str">
        <f>IFERROR(__xludf.DUMMYFUNCTION("""COMPUTED_VALUE"""),"MLG9J90")</f>
        <v>MLG9J90</v>
      </c>
      <c r="G1832" s="238">
        <f>IFERROR(__xludf.DUMMYFUNCTION("""COMPUTED_VALUE"""),45995.16666666667)</f>
        <v>45995.16667</v>
      </c>
      <c r="H1832" s="238">
        <f>IFERROR(__xludf.DUMMYFUNCTION("""COMPUTED_VALUE"""),45995.25)</f>
        <v>45995.25</v>
      </c>
      <c r="I1832" s="237" t="str">
        <f t="shared" si="1"/>
        <v>Fora</v>
      </c>
      <c r="J1832" s="239">
        <v>119.99999999301508</v>
      </c>
    </row>
    <row r="1833">
      <c r="A1833" s="234" t="s">
        <v>3526</v>
      </c>
      <c r="B1833" s="234" t="str">
        <f>IFERROR(__xludf.DUMMYFUNCTION("""COMPUTED_VALUE"""),"SoC_RS_Gravataí_02")</f>
        <v>SoC_RS_Gravataí_02</v>
      </c>
      <c r="C1833" s="234" t="str">
        <f>IFERROR(__xludf.DUMMYFUNCTION("""COMPUTED_VALUE"""),"SOC-RS2")</f>
        <v>SOC-RS2</v>
      </c>
      <c r="D1833" s="234">
        <f>IFERROR(__xludf.DUMMYFUNCTION("""COMPUTED_VALUE"""),28.0)</f>
        <v>28</v>
      </c>
      <c r="E1833" s="237" t="str">
        <f>IFERROR(__xludf.DUMMYFUNCTION("""COMPUTED_VALUE"""),"LT0PC401T6VD1")</f>
        <v>LT0PC401T6VD1</v>
      </c>
      <c r="F1833" s="238" t="str">
        <f>IFERROR(__xludf.DUMMYFUNCTION("""COMPUTED_VALUE"""),"DPB7G81,SXA6F13")</f>
        <v>DPB7G81,SXA6F13</v>
      </c>
      <c r="G1833" s="238">
        <f>IFERROR(__xludf.DUMMYFUNCTION("""COMPUTED_VALUE"""),45995.16666666667)</f>
        <v>45995.16667</v>
      </c>
      <c r="H1833" s="238">
        <f>IFERROR(__xludf.DUMMYFUNCTION("""COMPUTED_VALUE"""),45995.25)</f>
        <v>45995.25</v>
      </c>
      <c r="I1833" s="237" t="str">
        <f t="shared" si="1"/>
        <v>Fora</v>
      </c>
      <c r="J1833" s="239">
        <v>119.99999999301508</v>
      </c>
    </row>
    <row r="1834">
      <c r="A1834" s="234" t="s">
        <v>3526</v>
      </c>
      <c r="B1834" s="234" t="str">
        <f>IFERROR(__xludf.DUMMYFUNCTION("""COMPUTED_VALUE"""),"SoC_RS_Gravataí_02")</f>
        <v>SoC_RS_Gravataí_02</v>
      </c>
      <c r="C1834" s="234" t="str">
        <f>IFERROR(__xludf.DUMMYFUNCTION("""COMPUTED_VALUE"""),"SOC-RS2")</f>
        <v>SOC-RS2</v>
      </c>
      <c r="D1834" s="234">
        <f>IFERROR(__xludf.DUMMYFUNCTION("""COMPUTED_VALUE"""),28.0)</f>
        <v>28</v>
      </c>
      <c r="E1834" s="237" t="str">
        <f>IFERROR(__xludf.DUMMYFUNCTION("""COMPUTED_VALUE"""),"LT0PC401T6VD1")</f>
        <v>LT0PC401T6VD1</v>
      </c>
      <c r="F1834" s="238" t="str">
        <f>IFERROR(__xludf.DUMMYFUNCTION("""COMPUTED_VALUE"""),"DPB7G81,SXA6F13")</f>
        <v>DPB7G81,SXA6F13</v>
      </c>
      <c r="G1834" s="238">
        <f>IFERROR(__xludf.DUMMYFUNCTION("""COMPUTED_VALUE"""),45995.16666666667)</f>
        <v>45995.16667</v>
      </c>
      <c r="H1834" s="238">
        <f>IFERROR(__xludf.DUMMYFUNCTION("""COMPUTED_VALUE"""),45995.25)</f>
        <v>45995.25</v>
      </c>
      <c r="I1834" s="237" t="str">
        <f t="shared" si="1"/>
        <v>Fora</v>
      </c>
      <c r="J1834" s="239">
        <v>119.99999999301508</v>
      </c>
    </row>
    <row r="1835">
      <c r="A1835" s="234" t="s">
        <v>3526</v>
      </c>
      <c r="B1835" s="234" t="str">
        <f>IFERROR(__xludf.DUMMYFUNCTION("""COMPUTED_VALUE"""),"SoC_RS_Gravataí_02")</f>
        <v>SoC_RS_Gravataí_02</v>
      </c>
      <c r="C1835" s="234" t="str">
        <f>IFERROR(__xludf.DUMMYFUNCTION("""COMPUTED_VALUE"""),"SOC-RS2")</f>
        <v>SOC-RS2</v>
      </c>
      <c r="D1835" s="234">
        <f>IFERROR(__xludf.DUMMYFUNCTION("""COMPUTED_VALUE"""),28.0)</f>
        <v>28</v>
      </c>
      <c r="E1835" s="237" t="str">
        <f>IFERROR(__xludf.DUMMYFUNCTION("""COMPUTED_VALUE"""),"LT0PC401T6VD1")</f>
        <v>LT0PC401T6VD1</v>
      </c>
      <c r="F1835" s="238" t="str">
        <f>IFERROR(__xludf.DUMMYFUNCTION("""COMPUTED_VALUE"""),"DPB7G81,SXA6F13")</f>
        <v>DPB7G81,SXA6F13</v>
      </c>
      <c r="G1835" s="238">
        <f>IFERROR(__xludf.DUMMYFUNCTION("""COMPUTED_VALUE"""),45995.16666666667)</f>
        <v>45995.16667</v>
      </c>
      <c r="H1835" s="238">
        <f>IFERROR(__xludf.DUMMYFUNCTION("""COMPUTED_VALUE"""),45995.25)</f>
        <v>45995.25</v>
      </c>
      <c r="I1835" s="237" t="str">
        <f t="shared" si="1"/>
        <v>Fora</v>
      </c>
      <c r="J1835" s="239">
        <v>119.99999999301508</v>
      </c>
    </row>
    <row r="1836">
      <c r="A1836" s="234" t="s">
        <v>3527</v>
      </c>
      <c r="B1836" s="234" t="str">
        <f>IFERROR(__xludf.DUMMYFUNCTION("""COMPUTED_VALUE"""),"LM Hub_SP_Atibaia_Ponte_Alta")</f>
        <v>LM Hub_SP_Atibaia_Ponte_Alta</v>
      </c>
      <c r="C1836" s="234" t="str">
        <f>IFERROR(__xludf.DUMMYFUNCTION("""COMPUTED_VALUE"""),"HUB-LSP-87")</f>
        <v>HUB-LSP-87</v>
      </c>
      <c r="D1836" s="234">
        <f>IFERROR(__xludf.DUMMYFUNCTION("""COMPUTED_VALUE"""),13.0)</f>
        <v>13</v>
      </c>
      <c r="E1836" s="237" t="str">
        <f>IFERROR(__xludf.DUMMYFUNCTION("""COMPUTED_VALUE"""),"LT0PC401T4QE1")</f>
        <v>LT0PC401T4QE1</v>
      </c>
      <c r="F1836" s="238" t="str">
        <f>IFERROR(__xludf.DUMMYFUNCTION("""COMPUTED_VALUE"""),"TBX6C27")</f>
        <v>TBX6C27</v>
      </c>
      <c r="G1836" s="238">
        <f>IFERROR(__xludf.DUMMYFUNCTION("""COMPUTED_VALUE"""),45995.1875)</f>
        <v>45995.1875</v>
      </c>
      <c r="H1836" s="238">
        <f>IFERROR(__xludf.DUMMYFUNCTION("""COMPUTED_VALUE"""),45995.27083333333)</f>
        <v>45995.27083</v>
      </c>
      <c r="I1836" s="237" t="str">
        <f t="shared" si="1"/>
        <v>Fora</v>
      </c>
      <c r="J1836" s="239">
        <v>119.99999999301508</v>
      </c>
    </row>
    <row r="1837">
      <c r="A1837" s="234" t="s">
        <v>3528</v>
      </c>
      <c r="B1837" s="234" t="str">
        <f>IFERROR(__xludf.DUMMYFUNCTION("""COMPUTED_VALUE"""),"LM Hub_SP_Embu das Artes")</f>
        <v>LM Hub_SP_Embu das Artes</v>
      </c>
      <c r="C1837" s="234" t="str">
        <f>IFERROR(__xludf.DUMMYFUNCTION("""COMPUTED_VALUE"""),"HUB-LSP-36")</f>
        <v>HUB-LSP-36</v>
      </c>
      <c r="D1837" s="234">
        <f>IFERROR(__xludf.DUMMYFUNCTION("""COMPUTED_VALUE"""),33.0)</f>
        <v>33</v>
      </c>
      <c r="E1837" s="237" t="str">
        <f>IFERROR(__xludf.DUMMYFUNCTION("""COMPUTED_VALUE"""),"LT0PC401T1NM1")</f>
        <v>LT0PC401T1NM1</v>
      </c>
      <c r="F1837" s="238" t="str">
        <f>IFERROR(__xludf.DUMMYFUNCTION("""COMPUTED_VALUE"""),"BCH4F78")</f>
        <v>BCH4F78</v>
      </c>
      <c r="G1837" s="238">
        <f>IFERROR(__xludf.DUMMYFUNCTION("""COMPUTED_VALUE"""),45995.1875)</f>
        <v>45995.1875</v>
      </c>
      <c r="H1837" s="238">
        <f>IFERROR(__xludf.DUMMYFUNCTION("""COMPUTED_VALUE"""),45995.27083333333)</f>
        <v>45995.27083</v>
      </c>
      <c r="I1837" s="237" t="str">
        <f t="shared" si="1"/>
        <v>Fora</v>
      </c>
      <c r="J1837" s="239">
        <v>119.99999999301508</v>
      </c>
    </row>
    <row r="1838">
      <c r="A1838" s="234" t="s">
        <v>3529</v>
      </c>
      <c r="B1838" s="234" t="str">
        <f>IFERROR(__xludf.DUMMYFUNCTION("""COMPUTED_VALUE"""),"LM Hub_SP_Taubaté")</f>
        <v>LM Hub_SP_Taubaté</v>
      </c>
      <c r="C1838" s="234" t="str">
        <f>IFERROR(__xludf.DUMMYFUNCTION("""COMPUTED_VALUE"""),"HUB-LSP-08")</f>
        <v>HUB-LSP-08</v>
      </c>
      <c r="D1838" s="234">
        <f>IFERROR(__xludf.DUMMYFUNCTION("""COMPUTED_VALUE"""),20.0)</f>
        <v>20</v>
      </c>
      <c r="E1838" s="237" t="str">
        <f>IFERROR(__xludf.DUMMYFUNCTION("""COMPUTED_VALUE"""),"LT0PC401T0GY1")</f>
        <v>LT0PC401T0GY1</v>
      </c>
      <c r="F1838" s="238" t="str">
        <f>IFERROR(__xludf.DUMMYFUNCTION("""COMPUTED_VALUE"""),"ECT4I26")</f>
        <v>ECT4I26</v>
      </c>
      <c r="G1838" s="238">
        <f>IFERROR(__xludf.DUMMYFUNCTION("""COMPUTED_VALUE"""),45995.1875)</f>
        <v>45995.1875</v>
      </c>
      <c r="H1838" s="238">
        <f>IFERROR(__xludf.DUMMYFUNCTION("""COMPUTED_VALUE"""),45995.27083333333)</f>
        <v>45995.27083</v>
      </c>
      <c r="I1838" s="237" t="str">
        <f t="shared" si="1"/>
        <v>Fora</v>
      </c>
      <c r="J1838" s="239">
        <v>540.0</v>
      </c>
    </row>
    <row r="1839">
      <c r="A1839" s="234" t="s">
        <v>3530</v>
      </c>
      <c r="B1839" s="234" t="str">
        <f>IFERROR(__xludf.DUMMYFUNCTION("""COMPUTED_VALUE"""),"SoC_GO_Goiânia_02")</f>
        <v>SoC_GO_Goiânia_02</v>
      </c>
      <c r="C1839" s="234" t="str">
        <f>IFERROR(__xludf.DUMMYFUNCTION("""COMPUTED_VALUE"""),"SOC-GO2")</f>
        <v>SOC-GO2</v>
      </c>
      <c r="D1839" s="234">
        <f>IFERROR(__xludf.DUMMYFUNCTION("""COMPUTED_VALUE"""),87.0)</f>
        <v>87</v>
      </c>
      <c r="E1839" s="237" t="str">
        <f>IFERROR(__xludf.DUMMYFUNCTION("""COMPUTED_VALUE"""),"LT0PC301T6TA1")</f>
        <v>LT0PC301T6TA1</v>
      </c>
      <c r="F1839" s="238" t="str">
        <f>IFERROR(__xludf.DUMMYFUNCTION("""COMPUTED_VALUE"""),"EOE6F71,FJP7A39")</f>
        <v>EOE6F71,FJP7A39</v>
      </c>
      <c r="G1839" s="238">
        <f>IFERROR(__xludf.DUMMYFUNCTION("""COMPUTED_VALUE"""),45994.91666666667)</f>
        <v>45994.91667</v>
      </c>
      <c r="H1839" s="238">
        <f>IFERROR(__xludf.DUMMYFUNCTION("""COMPUTED_VALUE"""),45995.29166666667)</f>
        <v>45995.29167</v>
      </c>
      <c r="I1839" s="237" t="str">
        <f t="shared" si="1"/>
        <v>Fora</v>
      </c>
      <c r="J1839" s="239">
        <v>540.0</v>
      </c>
    </row>
    <row r="1840">
      <c r="A1840" s="234" t="s">
        <v>3531</v>
      </c>
      <c r="B1840" s="234" t="str">
        <f>IFERROR(__xludf.DUMMYFUNCTION("""COMPUTED_VALUE"""),"SoC_RJ_Duque de Caxias")</f>
        <v>SoC_RJ_Duque de Caxias</v>
      </c>
      <c r="C1840" s="234" t="str">
        <f>IFERROR(__xludf.DUMMYFUNCTION("""COMPUTED_VALUE"""),"SOC-RJ2")</f>
        <v>SOC-RJ2</v>
      </c>
      <c r="D1840" s="234">
        <f>IFERROR(__xludf.DUMMYFUNCTION("""COMPUTED_VALUE"""),96.0)</f>
        <v>96</v>
      </c>
      <c r="E1840" s="237" t="str">
        <f>IFERROR(__xludf.DUMMYFUNCTION("""COMPUTED_VALUE"""),"LT0PC301T2RS1")</f>
        <v>LT0PC301T2RS1</v>
      </c>
      <c r="F1840" s="238" t="str">
        <f>IFERROR(__xludf.DUMMYFUNCTION("""COMPUTED_VALUE"""),"MLO0H90,GIJ0E53")</f>
        <v>MLO0H90,GIJ0E53</v>
      </c>
      <c r="G1840" s="238">
        <f>IFERROR(__xludf.DUMMYFUNCTION("""COMPUTED_VALUE"""),45994.91666666667)</f>
        <v>45994.91667</v>
      </c>
      <c r="H1840" s="238">
        <f>IFERROR(__xludf.DUMMYFUNCTION("""COMPUTED_VALUE"""),45995.29166666667)</f>
        <v>45995.29167</v>
      </c>
      <c r="I1840" s="237" t="str">
        <f t="shared" si="1"/>
        <v>Fora</v>
      </c>
      <c r="J1840" s="239">
        <v>540.0</v>
      </c>
    </row>
    <row r="1841">
      <c r="A1841" s="234" t="s">
        <v>3532</v>
      </c>
      <c r="B1841" s="234" t="str">
        <f>IFERROR(__xludf.DUMMYFUNCTION("""COMPUTED_VALUE"""),"SoC_SP_Cravinhos")</f>
        <v>SoC_SP_Cravinhos</v>
      </c>
      <c r="C1841" s="234" t="str">
        <f>IFERROR(__xludf.DUMMYFUNCTION("""COMPUTED_VALUE"""),"SOC-SP5")</f>
        <v>SOC-SP5</v>
      </c>
      <c r="D1841" s="234">
        <f>IFERROR(__xludf.DUMMYFUNCTION("""COMPUTED_VALUE"""),94.0)</f>
        <v>94</v>
      </c>
      <c r="E1841" s="237" t="str">
        <f>IFERROR(__xludf.DUMMYFUNCTION("""COMPUTED_VALUE"""),"LT0PC301T0CV2")</f>
        <v>LT0PC301T0CV2</v>
      </c>
      <c r="F1841" s="238" t="str">
        <f>IFERROR(__xludf.DUMMYFUNCTION("""COMPUTED_VALUE"""),"FWO6J88,MFS8G34")</f>
        <v>FWO6J88,MFS8G34</v>
      </c>
      <c r="G1841" s="238">
        <f>IFERROR(__xludf.DUMMYFUNCTION("""COMPUTED_VALUE"""),45994.91666666667)</f>
        <v>45994.91667</v>
      </c>
      <c r="H1841" s="238">
        <f>IFERROR(__xludf.DUMMYFUNCTION("""COMPUTED_VALUE"""),45995.29166666667)</f>
        <v>45995.29167</v>
      </c>
      <c r="I1841" s="237" t="str">
        <f t="shared" si="1"/>
        <v>Fora</v>
      </c>
      <c r="J1841" s="239">
        <v>537.0000000111759</v>
      </c>
    </row>
    <row r="1842">
      <c r="A1842" s="234" t="s">
        <v>3533</v>
      </c>
      <c r="B1842" s="234" t="str">
        <f>IFERROR(__xludf.DUMMYFUNCTION("""COMPUTED_VALUE"""),"SoC_MG_Betim")</f>
        <v>SoC_MG_Betim</v>
      </c>
      <c r="C1842" s="234" t="str">
        <f>IFERROR(__xludf.DUMMYFUNCTION("""COMPUTED_VALUE"""),"SOC-MG2")</f>
        <v>SOC-MG2</v>
      </c>
      <c r="D1842" s="234">
        <f>IFERROR(__xludf.DUMMYFUNCTION("""COMPUTED_VALUE"""),91.0)</f>
        <v>91</v>
      </c>
      <c r="E1842" s="237" t="str">
        <f>IFERROR(__xludf.DUMMYFUNCTION("""COMPUTED_VALUE"""),"LT0PC301T0BO2")</f>
        <v>LT0PC301T0BO2</v>
      </c>
      <c r="F1842" s="238" t="str">
        <f>IFERROR(__xludf.DUMMYFUNCTION("""COMPUTED_VALUE"""),"FGU5I81,JXA7D06")</f>
        <v>FGU5I81,JXA7D06</v>
      </c>
      <c r="G1842" s="238">
        <f>IFERROR(__xludf.DUMMYFUNCTION("""COMPUTED_VALUE"""),45994.91875)</f>
        <v>45994.91875</v>
      </c>
      <c r="H1842" s="238">
        <f>IFERROR(__xludf.DUMMYFUNCTION("""COMPUTED_VALUE"""),45995.29166666667)</f>
        <v>45995.29167</v>
      </c>
      <c r="I1842" s="237" t="str">
        <f t="shared" si="1"/>
        <v>Fora</v>
      </c>
      <c r="J1842" s="239">
        <v>420.0000000069849</v>
      </c>
    </row>
    <row r="1843">
      <c r="A1843" s="234" t="s">
        <v>3534</v>
      </c>
      <c r="B1843" s="234" t="str">
        <f>IFERROR(__xludf.DUMMYFUNCTION("""COMPUTED_VALUE"""),"SoC_BA_Simoes Filho")</f>
        <v>SoC_BA_Simoes Filho</v>
      </c>
      <c r="C1843" s="234" t="str">
        <f>IFERROR(__xludf.DUMMYFUNCTION("""COMPUTED_VALUE"""),"SOC-BA2")</f>
        <v>SOC-BA2</v>
      </c>
      <c r="D1843" s="234">
        <f>IFERROR(__xludf.DUMMYFUNCTION("""COMPUTED_VALUE"""),47.0)</f>
        <v>47</v>
      </c>
      <c r="E1843" s="237" t="str">
        <f>IFERROR(__xludf.DUMMYFUNCTION("""COMPUTED_VALUE"""),"LT1PC401THCA1")</f>
        <v>LT1PC401THCA1</v>
      </c>
      <c r="F1843" s="238" t="str">
        <f>IFERROR(__xludf.DUMMYFUNCTION("""COMPUTED_VALUE"""),"SXQ3E49,SXM7I41")</f>
        <v>SXQ3E49,SXM7I41</v>
      </c>
      <c r="G1843" s="238">
        <f>IFERROR(__xludf.DUMMYFUNCTION("""COMPUTED_VALUE"""),45995.0)</f>
        <v>45995</v>
      </c>
      <c r="H1843" s="238">
        <f>IFERROR(__xludf.DUMMYFUNCTION("""COMPUTED_VALUE"""),45995.29166666667)</f>
        <v>45995.29167</v>
      </c>
      <c r="I1843" s="237" t="str">
        <f t="shared" si="1"/>
        <v>Fora</v>
      </c>
      <c r="J1843" s="239">
        <v>360.0</v>
      </c>
    </row>
    <row r="1844">
      <c r="A1844" s="234" t="s">
        <v>3535</v>
      </c>
      <c r="B1844" s="234" t="str">
        <f>IFERROR(__xludf.DUMMYFUNCTION("""COMPUTED_VALUE"""),"SoC_BA_Simoes Filho")</f>
        <v>SoC_BA_Simoes Filho</v>
      </c>
      <c r="C1844" s="234" t="str">
        <f>IFERROR(__xludf.DUMMYFUNCTION("""COMPUTED_VALUE"""),"SOC-BA2")</f>
        <v>SOC-BA2</v>
      </c>
      <c r="D1844" s="234">
        <f>IFERROR(__xludf.DUMMYFUNCTION("""COMPUTED_VALUE"""),88.0)</f>
        <v>88</v>
      </c>
      <c r="E1844" s="237" t="str">
        <f>IFERROR(__xludf.DUMMYFUNCTION("""COMPUTED_VALUE"""),"LT0PC301T6K12")</f>
        <v>LT0PC301T6K12</v>
      </c>
      <c r="F1844" s="238" t="str">
        <f>IFERROR(__xludf.DUMMYFUNCTION("""COMPUTED_VALUE"""),"TCT8H84,SYY0D22")</f>
        <v>TCT8H84,SYY0D22</v>
      </c>
      <c r="G1844" s="238">
        <f>IFERROR(__xludf.DUMMYFUNCTION("""COMPUTED_VALUE"""),45995.04166666667)</f>
        <v>45995.04167</v>
      </c>
      <c r="H1844" s="238">
        <f>IFERROR(__xludf.DUMMYFUNCTION("""COMPUTED_VALUE"""),45995.29166666667)</f>
        <v>45995.29167</v>
      </c>
      <c r="I1844" s="237" t="str">
        <f t="shared" si="1"/>
        <v>Fora</v>
      </c>
      <c r="J1844" s="239">
        <v>300.00000001396984</v>
      </c>
    </row>
    <row r="1845">
      <c r="A1845" s="234" t="s">
        <v>3536</v>
      </c>
      <c r="B1845" s="234" t="str">
        <f>IFERROR(__xludf.DUMMYFUNCTION("""COMPUTED_VALUE"""),"SoC_GO_Goiânia_02")</f>
        <v>SoC_GO_Goiânia_02</v>
      </c>
      <c r="C1845" s="234" t="str">
        <f>IFERROR(__xludf.DUMMYFUNCTION("""COMPUTED_VALUE"""),"SOC-GO2")</f>
        <v>SOC-GO2</v>
      </c>
      <c r="D1845" s="234">
        <f>IFERROR(__xludf.DUMMYFUNCTION("""COMPUTED_VALUE"""),42.0)</f>
        <v>42</v>
      </c>
      <c r="E1845" s="237" t="str">
        <f>IFERROR(__xludf.DUMMYFUNCTION("""COMPUTED_VALUE"""),"LT0PC301T6TC2")</f>
        <v>LT0PC301T6TC2</v>
      </c>
      <c r="F1845" s="238" t="str">
        <f>IFERROR(__xludf.DUMMYFUNCTION("""COMPUTED_VALUE"""),"FXX5566,FJP5G11")</f>
        <v>FXX5566,FJP5G11</v>
      </c>
      <c r="G1845" s="238">
        <f>IFERROR(__xludf.DUMMYFUNCTION("""COMPUTED_VALUE"""),45995.08333333333)</f>
        <v>45995.08333</v>
      </c>
      <c r="H1845" s="238">
        <f>IFERROR(__xludf.DUMMYFUNCTION("""COMPUTED_VALUE"""),45995.29166666667)</f>
        <v>45995.29167</v>
      </c>
      <c r="I1845" s="237" t="str">
        <f t="shared" si="1"/>
        <v>Fora</v>
      </c>
      <c r="J1845" s="239">
        <v>120.00000001396984</v>
      </c>
    </row>
    <row r="1846">
      <c r="A1846" s="234" t="s">
        <v>3537</v>
      </c>
      <c r="B1846" s="234" t="str">
        <f>IFERROR(__xludf.DUMMYFUNCTION("""COMPUTED_VALUE"""),"LM Hub_SP_Barueri_01")</f>
        <v>LM Hub_SP_Barueri_01</v>
      </c>
      <c r="C1846" s="234" t="str">
        <f>IFERROR(__xludf.DUMMYFUNCTION("""COMPUTED_VALUE"""),"HUB-LSP-81")</f>
        <v>HUB-LSP-81</v>
      </c>
      <c r="D1846" s="234">
        <f>IFERROR(__xludf.DUMMYFUNCTION("""COMPUTED_VALUE"""),9.0)</f>
        <v>9</v>
      </c>
      <c r="E1846" s="237" t="str">
        <f>IFERROR(__xludf.DUMMYFUNCTION("""COMPUTED_VALUE"""),"LT0PC401T65X1")</f>
        <v>LT0PC401T65X1</v>
      </c>
      <c r="F1846" s="238" t="str">
        <f>IFERROR(__xludf.DUMMYFUNCTION("""COMPUTED_VALUE"""),"OPY9J66")</f>
        <v>OPY9J66</v>
      </c>
      <c r="G1846" s="238">
        <f>IFERROR(__xludf.DUMMYFUNCTION("""COMPUTED_VALUE"""),45995.20833333333)</f>
        <v>45995.20833</v>
      </c>
      <c r="H1846" s="238">
        <f>IFERROR(__xludf.DUMMYFUNCTION("""COMPUTED_VALUE"""),45995.29166666667)</f>
        <v>45995.29167</v>
      </c>
      <c r="I1846" s="237" t="str">
        <f t="shared" si="1"/>
        <v>Fora</v>
      </c>
      <c r="J1846" s="239">
        <v>120.00000001396984</v>
      </c>
    </row>
    <row r="1847">
      <c r="A1847" s="234" t="s">
        <v>3538</v>
      </c>
      <c r="B1847" s="234" t="str">
        <f>IFERROR(__xludf.DUMMYFUNCTION("""COMPUTED_VALUE"""),"LM Hub_SP_Jundiaí")</f>
        <v>LM Hub_SP_Jundiaí</v>
      </c>
      <c r="C1847" s="234" t="str">
        <f>IFERROR(__xludf.DUMMYFUNCTION("""COMPUTED_VALUE"""),"HUB-LSP-100")</f>
        <v>HUB-LSP-100</v>
      </c>
      <c r="D1847" s="234">
        <f>IFERROR(__xludf.DUMMYFUNCTION("""COMPUTED_VALUE"""),7.0)</f>
        <v>7</v>
      </c>
      <c r="E1847" s="237" t="str">
        <f>IFERROR(__xludf.DUMMYFUNCTION("""COMPUTED_VALUE"""),"LT0PC401T7OY1")</f>
        <v>LT0PC401T7OY1</v>
      </c>
      <c r="F1847" s="238" t="str">
        <f>IFERROR(__xludf.DUMMYFUNCTION("""COMPUTED_VALUE"""),"PCW9A46")</f>
        <v>PCW9A46</v>
      </c>
      <c r="G1847" s="238">
        <f>IFERROR(__xludf.DUMMYFUNCTION("""COMPUTED_VALUE"""),45995.20833333333)</f>
        <v>45995.20833</v>
      </c>
      <c r="H1847" s="238">
        <f>IFERROR(__xludf.DUMMYFUNCTION("""COMPUTED_VALUE"""),45995.29166666667)</f>
        <v>45995.29167</v>
      </c>
      <c r="I1847" s="237" t="str">
        <f t="shared" si="1"/>
        <v>Fora</v>
      </c>
      <c r="J1847" s="239">
        <v>120.00000001396984</v>
      </c>
    </row>
    <row r="1848">
      <c r="A1848" s="234" t="s">
        <v>3539</v>
      </c>
      <c r="B1848" s="234" t="str">
        <f>IFERROR(__xludf.DUMMYFUNCTION("""COMPUTED_VALUE"""),"LM Hub_SP_Piracicaba")</f>
        <v>LM Hub_SP_Piracicaba</v>
      </c>
      <c r="C1848" s="234" t="str">
        <f>IFERROR(__xludf.DUMMYFUNCTION("""COMPUTED_VALUE"""),"HUB-LSP-62")</f>
        <v>HUB-LSP-62</v>
      </c>
      <c r="D1848" s="234"/>
      <c r="E1848" s="237" t="str">
        <f>IFERROR(__xludf.DUMMYFUNCTION("""COMPUTED_VALUE"""),"LT0PC401T15T1")</f>
        <v>LT0PC401T15T1</v>
      </c>
      <c r="F1848" s="238" t="str">
        <f>IFERROR(__xludf.DUMMYFUNCTION("""COMPUTED_VALUE"""),"OMY3I62")</f>
        <v>OMY3I62</v>
      </c>
      <c r="G1848" s="238">
        <f>IFERROR(__xludf.DUMMYFUNCTION("""COMPUTED_VALUE"""),45995.20833333333)</f>
        <v>45995.20833</v>
      </c>
      <c r="H1848" s="238">
        <f>IFERROR(__xludf.DUMMYFUNCTION("""COMPUTED_VALUE"""),45995.29166666667)</f>
        <v>45995.29167</v>
      </c>
      <c r="I1848" s="237" t="str">
        <f t="shared" si="1"/>
        <v>Fora</v>
      </c>
      <c r="J1848" s="239">
        <v>120.00000001396984</v>
      </c>
    </row>
    <row r="1849">
      <c r="A1849" s="234" t="s">
        <v>3540</v>
      </c>
      <c r="B1849" s="234" t="str">
        <f>IFERROR(__xludf.DUMMYFUNCTION("""COMPUTED_VALUE"""),"LM Hub_SP_Santos_PraiaGrande_02")</f>
        <v>LM Hub_SP_Santos_PraiaGrande_02</v>
      </c>
      <c r="C1849" s="234" t="str">
        <f>IFERROR(__xludf.DUMMYFUNCTION("""COMPUTED_VALUE"""),"HUB-LSP-63")</f>
        <v>HUB-LSP-63</v>
      </c>
      <c r="D1849" s="234">
        <f>IFERROR(__xludf.DUMMYFUNCTION("""COMPUTED_VALUE"""),25.0)</f>
        <v>25</v>
      </c>
      <c r="E1849" s="237" t="str">
        <f>IFERROR(__xludf.DUMMYFUNCTION("""COMPUTED_VALUE"""),"LT0PC401T1NH1")</f>
        <v>LT0PC401T1NH1</v>
      </c>
      <c r="F1849" s="238" t="str">
        <f>IFERROR(__xludf.DUMMYFUNCTION("""COMPUTED_VALUE"""),"FNY6B26,FZQ3G24")</f>
        <v>FNY6B26,FZQ3G24</v>
      </c>
      <c r="G1849" s="238">
        <f>IFERROR(__xludf.DUMMYFUNCTION("""COMPUTED_VALUE"""),45995.20833333333)</f>
        <v>45995.20833</v>
      </c>
      <c r="H1849" s="238">
        <f>IFERROR(__xludf.DUMMYFUNCTION("""COMPUTED_VALUE"""),45995.29166666667)</f>
        <v>45995.29167</v>
      </c>
      <c r="I1849" s="237" t="str">
        <f t="shared" si="1"/>
        <v>Fora</v>
      </c>
      <c r="J1849" s="239">
        <v>120.00000001396984</v>
      </c>
    </row>
    <row r="1850">
      <c r="A1850" s="234" t="s">
        <v>3541</v>
      </c>
      <c r="B1850" s="234" t="str">
        <f>IFERROR(__xludf.DUMMYFUNCTION("""COMPUTED_VALUE"""),"SoC_SP_Santana")</f>
        <v>SoC_SP_Santana</v>
      </c>
      <c r="C1850" s="234" t="str">
        <f>IFERROR(__xludf.DUMMYFUNCTION("""COMPUTED_VALUE"""),"SOC-SP2")</f>
        <v>SOC-SP2</v>
      </c>
      <c r="D1850" s="234">
        <f>IFERROR(__xludf.DUMMYFUNCTION("""COMPUTED_VALUE"""),32.0)</f>
        <v>32</v>
      </c>
      <c r="E1850" s="237" t="str">
        <f>IFERROR(__xludf.DUMMYFUNCTION("""COMPUTED_VALUE"""),"LT0PC401T0WM1")</f>
        <v>LT0PC401T0WM1</v>
      </c>
      <c r="F1850" s="238" t="str">
        <f>IFERROR(__xludf.DUMMYFUNCTION("""COMPUTED_VALUE"""),"FCT6F34,EOB8J55")</f>
        <v>FCT6F34,EOB8J55</v>
      </c>
      <c r="G1850" s="238">
        <f>IFERROR(__xludf.DUMMYFUNCTION("""COMPUTED_VALUE"""),45995.20833333333)</f>
        <v>45995.20833</v>
      </c>
      <c r="H1850" s="238">
        <f>IFERROR(__xludf.DUMMYFUNCTION("""COMPUTED_VALUE"""),45995.29166666667)</f>
        <v>45995.29167</v>
      </c>
      <c r="I1850" s="237" t="str">
        <f t="shared" si="1"/>
        <v>Fora</v>
      </c>
      <c r="J1850" s="239">
        <v>119.00000001071021</v>
      </c>
    </row>
    <row r="1851">
      <c r="A1851" s="234" t="s">
        <v>3542</v>
      </c>
      <c r="B1851" s="234" t="str">
        <f>IFERROR(__xludf.DUMMYFUNCTION("""COMPUTED_VALUE"""),"LM Hub_SP_Jurubatuba")</f>
        <v>LM Hub_SP_Jurubatuba</v>
      </c>
      <c r="C1851" s="234" t="str">
        <f>IFERROR(__xludf.DUMMYFUNCTION("""COMPUTED_VALUE"""),"HUB-LSP-16")</f>
        <v>HUB-LSP-16</v>
      </c>
      <c r="D1851" s="234">
        <f>IFERROR(__xludf.DUMMYFUNCTION("""COMPUTED_VALUE"""),18.0)</f>
        <v>18</v>
      </c>
      <c r="E1851" s="237" t="str">
        <f>IFERROR(__xludf.DUMMYFUNCTION("""COMPUTED_VALUE"""),"LT0PC401T1MC1")</f>
        <v>LT0PC401T1MC1</v>
      </c>
      <c r="F1851" s="238" t="str">
        <f>IFERROR(__xludf.DUMMYFUNCTION("""COMPUTED_VALUE"""),"CUA7C61,FPW0F14")</f>
        <v>CUA7C61,FPW0F14</v>
      </c>
      <c r="G1851" s="238">
        <f>IFERROR(__xludf.DUMMYFUNCTION("""COMPUTED_VALUE"""),45995.209027777775)</f>
        <v>45995.20903</v>
      </c>
      <c r="H1851" s="238">
        <f>IFERROR(__xludf.DUMMYFUNCTION("""COMPUTED_VALUE"""),45995.29166666667)</f>
        <v>45995.29167</v>
      </c>
      <c r="I1851" s="237" t="str">
        <f t="shared" si="1"/>
        <v>Fora</v>
      </c>
      <c r="J1851" s="239">
        <v>119.99999999301508</v>
      </c>
    </row>
    <row r="1852">
      <c r="A1852" s="234" t="s">
        <v>3543</v>
      </c>
      <c r="B1852" s="234" t="str">
        <f>IFERROR(__xludf.DUMMYFUNCTION("""COMPUTED_VALUE"""),"LM Hub_SP_Guarujá")</f>
        <v>LM Hub_SP_Guarujá</v>
      </c>
      <c r="C1852" s="234" t="str">
        <f>IFERROR(__xludf.DUMMYFUNCTION("""COMPUTED_VALUE"""),"HUB-LSP-06")</f>
        <v>HUB-LSP-06</v>
      </c>
      <c r="D1852" s="234">
        <f>IFERROR(__xludf.DUMMYFUNCTION("""COMPUTED_VALUE"""),14.0)</f>
        <v>14</v>
      </c>
      <c r="E1852" s="237" t="str">
        <f>IFERROR(__xludf.DUMMYFUNCTION("""COMPUTED_VALUE"""),"LT0PC401T1MX1")</f>
        <v>LT0PC401T1MX1</v>
      </c>
      <c r="F1852" s="238" t="str">
        <f>IFERROR(__xludf.DUMMYFUNCTION("""COMPUTED_VALUE"""),"TJN5H17")</f>
        <v>TJN5H17</v>
      </c>
      <c r="G1852" s="238">
        <f>IFERROR(__xludf.DUMMYFUNCTION("""COMPUTED_VALUE"""),45995.22916666667)</f>
        <v>45995.22917</v>
      </c>
      <c r="H1852" s="238">
        <f>IFERROR(__xludf.DUMMYFUNCTION("""COMPUTED_VALUE"""),45995.3125)</f>
        <v>45995.3125</v>
      </c>
      <c r="I1852" s="237" t="str">
        <f t="shared" si="1"/>
        <v>Fora</v>
      </c>
      <c r="J1852" s="239">
        <v>119.99999999301508</v>
      </c>
    </row>
    <row r="1853">
      <c r="A1853" s="234" t="s">
        <v>3544</v>
      </c>
      <c r="B1853" s="234" t="str">
        <f>IFERROR(__xludf.DUMMYFUNCTION("""COMPUTED_VALUE"""),"LM Hub_SP_Itapevi")</f>
        <v>LM Hub_SP_Itapevi</v>
      </c>
      <c r="C1853" s="234" t="str">
        <f>IFERROR(__xludf.DUMMYFUNCTION("""COMPUTED_VALUE"""),"HUB-LSP-41")</f>
        <v>HUB-LSP-41</v>
      </c>
      <c r="D1853" s="234"/>
      <c r="E1853" s="237" t="str">
        <f>IFERROR(__xludf.DUMMYFUNCTION("""COMPUTED_VALUE"""),"LT0PC401T0ET1")</f>
        <v>LT0PC401T0ET1</v>
      </c>
      <c r="F1853" s="238" t="str">
        <f>IFERROR(__xludf.DUMMYFUNCTION("""COMPUTED_VALUE"""),"DPF6F59")</f>
        <v>DPF6F59</v>
      </c>
      <c r="G1853" s="238">
        <f>IFERROR(__xludf.DUMMYFUNCTION("""COMPUTED_VALUE"""),45995.22916666667)</f>
        <v>45995.22917</v>
      </c>
      <c r="H1853" s="238">
        <f>IFERROR(__xludf.DUMMYFUNCTION("""COMPUTED_VALUE"""),45995.3125)</f>
        <v>45995.3125</v>
      </c>
      <c r="I1853" s="237" t="str">
        <f t="shared" si="1"/>
        <v>Fora</v>
      </c>
      <c r="J1853" s="239">
        <v>119.99999999301508</v>
      </c>
    </row>
    <row r="1854">
      <c r="A1854" s="234" t="s">
        <v>3545</v>
      </c>
      <c r="B1854" s="234" t="str">
        <f>IFERROR(__xludf.DUMMYFUNCTION("""COMPUTED_VALUE"""),"LM Hub_SP_Itaqua_Zimba")</f>
        <v>LM Hub_SP_Itaqua_Zimba</v>
      </c>
      <c r="C1854" s="234" t="str">
        <f>IFERROR(__xludf.DUMMYFUNCTION("""COMPUTED_VALUE"""),"HUB-LSP-74")</f>
        <v>HUB-LSP-74</v>
      </c>
      <c r="D1854" s="234">
        <f>IFERROR(__xludf.DUMMYFUNCTION("""COMPUTED_VALUE"""),23.0)</f>
        <v>23</v>
      </c>
      <c r="E1854" s="237" t="str">
        <f>IFERROR(__xludf.DUMMYFUNCTION("""COMPUTED_VALUE"""),"LT0PC401T1MS1")</f>
        <v>LT0PC401T1MS1</v>
      </c>
      <c r="F1854" s="238" t="str">
        <f>IFERROR(__xludf.DUMMYFUNCTION("""COMPUTED_VALUE"""),"DVS7801,JSM0573")</f>
        <v>DVS7801,JSM0573</v>
      </c>
      <c r="G1854" s="238">
        <f>IFERROR(__xludf.DUMMYFUNCTION("""COMPUTED_VALUE"""),45995.22916666667)</f>
        <v>45995.22917</v>
      </c>
      <c r="H1854" s="238">
        <f>IFERROR(__xludf.DUMMYFUNCTION("""COMPUTED_VALUE"""),45995.3125)</f>
        <v>45995.3125</v>
      </c>
      <c r="I1854" s="237" t="str">
        <f t="shared" si="1"/>
        <v>Fora</v>
      </c>
      <c r="J1854" s="239">
        <v>119.99999999301508</v>
      </c>
    </row>
    <row r="1855">
      <c r="A1855" s="234" t="s">
        <v>3546</v>
      </c>
      <c r="B1855" s="234" t="str">
        <f>IFERROR(__xludf.DUMMYFUNCTION("""COMPUTED_VALUE"""),"LM Hub_SP_Santos_Praia Grande")</f>
        <v>LM Hub_SP_Santos_Praia Grande</v>
      </c>
      <c r="C1855" s="234" t="str">
        <f>IFERROR(__xludf.DUMMYFUNCTION("""COMPUTED_VALUE"""),"HUB-LSP-09")</f>
        <v>HUB-LSP-09</v>
      </c>
      <c r="D1855" s="234">
        <f>IFERROR(__xludf.DUMMYFUNCTION("""COMPUTED_VALUE"""),29.0)</f>
        <v>29</v>
      </c>
      <c r="E1855" s="237" t="str">
        <f>IFERROR(__xludf.DUMMYFUNCTION("""COMPUTED_VALUE"""),"LT0PC401T1N41")</f>
        <v>LT0PC401T1N41</v>
      </c>
      <c r="F1855" s="238" t="str">
        <f>IFERROR(__xludf.DUMMYFUNCTION("""COMPUTED_VALUE"""),"GDW1D96")</f>
        <v>GDW1D96</v>
      </c>
      <c r="G1855" s="238">
        <f>IFERROR(__xludf.DUMMYFUNCTION("""COMPUTED_VALUE"""),45995.22916666667)</f>
        <v>45995.22917</v>
      </c>
      <c r="H1855" s="238">
        <f>IFERROR(__xludf.DUMMYFUNCTION("""COMPUTED_VALUE"""),45995.3125)</f>
        <v>45995.3125</v>
      </c>
      <c r="I1855" s="237" t="str">
        <f t="shared" si="1"/>
        <v>Fora</v>
      </c>
      <c r="J1855" s="239">
        <v>119.99999999301508</v>
      </c>
    </row>
    <row r="1856">
      <c r="A1856" s="234" t="s">
        <v>3547</v>
      </c>
      <c r="B1856" s="234" t="str">
        <f>IFERROR(__xludf.DUMMYFUNCTION("""COMPUTED_VALUE"""),"LM Hub_SP_São José dos Campos")</f>
        <v>LM Hub_SP_São José dos Campos</v>
      </c>
      <c r="C1856" s="234" t="str">
        <f>IFERROR(__xludf.DUMMYFUNCTION("""COMPUTED_VALUE"""),"HUB-LSP-04")</f>
        <v>HUB-LSP-04</v>
      </c>
      <c r="D1856" s="234">
        <f>IFERROR(__xludf.DUMMYFUNCTION("""COMPUTED_VALUE"""),24.0)</f>
        <v>24</v>
      </c>
      <c r="E1856" s="237" t="str">
        <f>IFERROR(__xludf.DUMMYFUNCTION("""COMPUTED_VALUE"""),"LT0PC401T1N71")</f>
        <v>LT0PC401T1N71</v>
      </c>
      <c r="F1856" s="238" t="str">
        <f>IFERROR(__xludf.DUMMYFUNCTION("""COMPUTED_VALUE"""),"ENU3E65")</f>
        <v>ENU3E65</v>
      </c>
      <c r="G1856" s="238">
        <f>IFERROR(__xludf.DUMMYFUNCTION("""COMPUTED_VALUE"""),45995.22916666667)</f>
        <v>45995.22917</v>
      </c>
      <c r="H1856" s="238">
        <f>IFERROR(__xludf.DUMMYFUNCTION("""COMPUTED_VALUE"""),45995.3125)</f>
        <v>45995.3125</v>
      </c>
      <c r="I1856" s="237" t="str">
        <f t="shared" si="1"/>
        <v>Fora</v>
      </c>
      <c r="J1856" s="239">
        <v>119.99999999301508</v>
      </c>
    </row>
    <row r="1857">
      <c r="A1857" s="234" t="s">
        <v>3548</v>
      </c>
      <c r="B1857" s="234" t="str">
        <f>IFERROR(__xludf.DUMMYFUNCTION("""COMPUTED_VALUE"""),"LM Hub_SP_São Paulo_Mooca")</f>
        <v>LM Hub_SP_São Paulo_Mooca</v>
      </c>
      <c r="C1857" s="234" t="str">
        <f>IFERROR(__xludf.DUMMYFUNCTION("""COMPUTED_VALUE"""),"HUB-LSP-13")</f>
        <v>HUB-LSP-13</v>
      </c>
      <c r="D1857" s="234"/>
      <c r="E1857" s="237" t="str">
        <f>IFERROR(__xludf.DUMMYFUNCTION("""COMPUTED_VALUE"""),"LT0PC401TAJ61")</f>
        <v>LT0PC401TAJ61</v>
      </c>
      <c r="F1857" s="238" t="str">
        <f>IFERROR(__xludf.DUMMYFUNCTION("""COMPUTED_VALUE"""),"PEP9J38")</f>
        <v>PEP9J38</v>
      </c>
      <c r="G1857" s="238">
        <f>IFERROR(__xludf.DUMMYFUNCTION("""COMPUTED_VALUE"""),45995.22916666667)</f>
        <v>45995.22917</v>
      </c>
      <c r="H1857" s="238">
        <f>IFERROR(__xludf.DUMMYFUNCTION("""COMPUTED_VALUE"""),45995.3125)</f>
        <v>45995.3125</v>
      </c>
      <c r="I1857" s="237" t="str">
        <f t="shared" si="1"/>
        <v>Fora</v>
      </c>
      <c r="J1857" s="239">
        <v>119.99999999301508</v>
      </c>
    </row>
    <row r="1858">
      <c r="A1858" s="234" t="s">
        <v>3549</v>
      </c>
      <c r="B1858" s="234" t="str">
        <f>IFERROR(__xludf.DUMMYFUNCTION("""COMPUTED_VALUE"""),"SoC_SC_Itajaí")</f>
        <v>SoC_SC_Itajaí</v>
      </c>
      <c r="C1858" s="234" t="str">
        <f>IFERROR(__xludf.DUMMYFUNCTION("""COMPUTED_VALUE"""),"SOC-SC1")</f>
        <v>SOC-SC1</v>
      </c>
      <c r="D1858" s="234">
        <f>IFERROR(__xludf.DUMMYFUNCTION("""COMPUTED_VALUE"""),26.0)</f>
        <v>26</v>
      </c>
      <c r="E1858" s="237" t="str">
        <f>IFERROR(__xludf.DUMMYFUNCTION("""COMPUTED_VALUE"""),"LT1PC401THOG1")</f>
        <v>LT1PC401THOG1</v>
      </c>
      <c r="F1858" s="238" t="str">
        <f>IFERROR(__xludf.DUMMYFUNCTION("""COMPUTED_VALUE"""),"RXK5I21,MLH9085")</f>
        <v>RXK5I21,MLH9085</v>
      </c>
      <c r="G1858" s="238">
        <f>IFERROR(__xludf.DUMMYFUNCTION("""COMPUTED_VALUE"""),45995.29166666667)</f>
        <v>45995.29167</v>
      </c>
      <c r="H1858" s="238">
        <f>IFERROR(__xludf.DUMMYFUNCTION("""COMPUTED_VALUE"""),45995.375)</f>
        <v>45995.375</v>
      </c>
      <c r="I1858" s="237" t="str">
        <f t="shared" si="1"/>
        <v>Fora</v>
      </c>
      <c r="J1858" s="239">
        <v>299.9999999930151</v>
      </c>
    </row>
    <row r="1859">
      <c r="A1859" s="234" t="s">
        <v>3550</v>
      </c>
      <c r="B1859" s="234" t="str">
        <f>IFERROR(__xludf.DUMMYFUNCTION("""COMPUTED_VALUE"""),"SoC_SP_Cravinhos")</f>
        <v>SoC_SP_Cravinhos</v>
      </c>
      <c r="C1859" s="234" t="str">
        <f>IFERROR(__xludf.DUMMYFUNCTION("""COMPUTED_VALUE"""),"SOC-SP5")</f>
        <v>SOC-SP5</v>
      </c>
      <c r="D1859" s="234"/>
      <c r="E1859" s="237" t="str">
        <f>IFERROR(__xludf.DUMMYFUNCTION("""COMPUTED_VALUE"""),"LT0PC301T0CT1")</f>
        <v>LT0PC301T0CT1</v>
      </c>
      <c r="F1859" s="238" t="str">
        <f>IFERROR(__xludf.DUMMYFUNCTION("""COMPUTED_VALUE"""),"TIV8C68,ADI9G66")</f>
        <v>TIV8C68,ADI9G66</v>
      </c>
      <c r="G1859" s="238">
        <f>IFERROR(__xludf.DUMMYFUNCTION("""COMPUTED_VALUE"""),45995.22916666667)</f>
        <v>45995.22917</v>
      </c>
      <c r="H1859" s="238">
        <f>IFERROR(__xludf.DUMMYFUNCTION("""COMPUTED_VALUE"""),45995.4375)</f>
        <v>45995.4375</v>
      </c>
      <c r="I1859" s="237" t="str">
        <f t="shared" si="1"/>
        <v>Fora</v>
      </c>
      <c r="J1859" s="239">
        <v>540.0</v>
      </c>
    </row>
    <row r="1860">
      <c r="A1860" s="234" t="s">
        <v>3551</v>
      </c>
      <c r="B1860" s="234" t="str">
        <f>IFERROR(__xludf.DUMMYFUNCTION("""COMPUTED_VALUE"""),"SoC_RJ_Duque de Caxias")</f>
        <v>SoC_RJ_Duque de Caxias</v>
      </c>
      <c r="C1860" s="234" t="str">
        <f>IFERROR(__xludf.DUMMYFUNCTION("""COMPUTED_VALUE"""),"SOC-RJ2")</f>
        <v>SOC-RJ2</v>
      </c>
      <c r="D1860" s="234"/>
      <c r="E1860" s="237" t="str">
        <f>IFERROR(__xludf.DUMMYFUNCTION("""COMPUTED_VALUE"""),"LT0PC301T2RW3")</f>
        <v>LT0PC301T2RW3</v>
      </c>
      <c r="F1860" s="238" t="str">
        <f>IFERROR(__xludf.DUMMYFUNCTION("""COMPUTED_VALUE"""),"DPB7A93,EZL3A04")</f>
        <v>DPB7A93,EZL3A04</v>
      </c>
      <c r="G1860" s="238">
        <f>IFERROR(__xludf.DUMMYFUNCTION("""COMPUTED_VALUE"""),45995.25)</f>
        <v>45995.25</v>
      </c>
      <c r="H1860" s="238">
        <f>IFERROR(__xludf.DUMMYFUNCTION("""COMPUTED_VALUE"""),45995.625)</f>
        <v>45995.625</v>
      </c>
      <c r="I1860" s="237" t="str">
        <f t="shared" si="1"/>
        <v>Fora</v>
      </c>
      <c r="J1860" s="239">
        <v>720.0</v>
      </c>
    </row>
    <row r="1861">
      <c r="A1861" s="234" t="s">
        <v>3552</v>
      </c>
      <c r="B1861" s="234" t="str">
        <f>IFERROR(__xludf.DUMMYFUNCTION("""COMPUTED_VALUE"""),"SoC_MG_Betim")</f>
        <v>SoC_MG_Betim</v>
      </c>
      <c r="C1861" s="234" t="str">
        <f>IFERROR(__xludf.DUMMYFUNCTION("""COMPUTED_VALUE"""),"SOC-MG2")</f>
        <v>SOC-MG2</v>
      </c>
      <c r="D1861" s="234"/>
      <c r="E1861" s="237" t="str">
        <f>IFERROR(__xludf.DUMMYFUNCTION("""COMPUTED_VALUE"""),"LT1PC401THMM1")</f>
        <v>LT1PC401THMM1</v>
      </c>
      <c r="F1861" s="238" t="str">
        <f>IFERROR(__xludf.DUMMYFUNCTION("""COMPUTED_VALUE"""),"GBR4G52,GIY7A58")</f>
        <v>GBR4G52,GIY7A58</v>
      </c>
      <c r="G1861" s="238">
        <f>IFERROR(__xludf.DUMMYFUNCTION("""COMPUTED_VALUE"""),45995.16666666667)</f>
        <v>45995.16667</v>
      </c>
      <c r="H1861" s="238">
        <f>IFERROR(__xludf.DUMMYFUNCTION("""COMPUTED_VALUE"""),45995.66666666667)</f>
        <v>45995.66667</v>
      </c>
      <c r="I1861" s="237" t="str">
        <f t="shared" si="1"/>
        <v>Fora</v>
      </c>
      <c r="J1861" s="239">
        <v>60.00000000698492</v>
      </c>
    </row>
    <row r="1862">
      <c r="A1862" s="234" t="s">
        <v>3553</v>
      </c>
      <c r="B1862" s="234" t="str">
        <f>IFERROR(__xludf.DUMMYFUNCTION("""COMPUTED_VALUE"""),"LM_Hub_SP_Registro")</f>
        <v>LM_Hub_SP_Registro</v>
      </c>
      <c r="C1862" s="234" t="str">
        <f>IFERROR(__xludf.DUMMYFUNCTION("""COMPUTED_VALUE"""),"HUB-LSP-40")</f>
        <v>HUB-LSP-40</v>
      </c>
      <c r="D1862" s="234">
        <f>IFERROR(__xludf.DUMMYFUNCTION("""COMPUTED_VALUE"""),9.0)</f>
        <v>9</v>
      </c>
      <c r="E1862" s="237" t="str">
        <f>IFERROR(__xludf.DUMMYFUNCTION("""COMPUTED_VALUE"""),"LT0PC401T0GH1")</f>
        <v>LT0PC401T0GH1</v>
      </c>
      <c r="F1862" s="238" t="str">
        <f>IFERROR(__xludf.DUMMYFUNCTION("""COMPUTED_VALUE"""),"OGD9J54")</f>
        <v>OGD9J54</v>
      </c>
      <c r="G1862" s="238">
        <f>IFERROR(__xludf.DUMMYFUNCTION("""COMPUTED_VALUE"""),45995.875)</f>
        <v>45995.875</v>
      </c>
      <c r="H1862" s="238">
        <f>IFERROR(__xludf.DUMMYFUNCTION("""COMPUTED_VALUE"""),45995.91666666667)</f>
        <v>45995.91667</v>
      </c>
      <c r="I1862" s="237" t="str">
        <f t="shared" si="1"/>
        <v>Fora</v>
      </c>
      <c r="J1862" s="239">
        <v>120.00000001396984</v>
      </c>
    </row>
    <row r="1863">
      <c r="A1863" s="234" t="s">
        <v>3554</v>
      </c>
      <c r="B1863" s="234" t="str">
        <f>IFERROR(__xludf.DUMMYFUNCTION("""COMPUTED_VALUE"""),"LM Hub_SP_Itaqua_Zimba")</f>
        <v>LM Hub_SP_Itaqua_Zimba</v>
      </c>
      <c r="C1863" s="234" t="str">
        <f>IFERROR(__xludf.DUMMYFUNCTION("""COMPUTED_VALUE"""),"HUB-LSP-74")</f>
        <v>HUB-LSP-74</v>
      </c>
      <c r="D1863" s="234">
        <f>IFERROR(__xludf.DUMMYFUNCTION("""COMPUTED_VALUE"""),12.0)</f>
        <v>12</v>
      </c>
      <c r="E1863" s="237" t="str">
        <f>IFERROR(__xludf.DUMMYFUNCTION("""COMPUTED_VALUE"""),"LT0PC401T0FG1")</f>
        <v>LT0PC401T0FG1</v>
      </c>
      <c r="F1863" s="238" t="str">
        <f>IFERROR(__xludf.DUMMYFUNCTION("""COMPUTED_VALUE"""),"SUQ5C99,TLD5B82")</f>
        <v>SUQ5C99,TLD5B82</v>
      </c>
      <c r="G1863" s="238">
        <f>IFERROR(__xludf.DUMMYFUNCTION("""COMPUTED_VALUE"""),45995.89583333333)</f>
        <v>45995.89583</v>
      </c>
      <c r="H1863" s="238">
        <f>IFERROR(__xludf.DUMMYFUNCTION("""COMPUTED_VALUE"""),45995.97916666667)</f>
        <v>45995.97917</v>
      </c>
      <c r="I1863" s="237" t="str">
        <f t="shared" si="1"/>
        <v>Fora</v>
      </c>
      <c r="J1863" s="239">
        <v>120.00000001396984</v>
      </c>
    </row>
    <row r="1864">
      <c r="A1864" s="234" t="s">
        <v>3555</v>
      </c>
      <c r="B1864" s="234" t="str">
        <f>IFERROR(__xludf.DUMMYFUNCTION("""COMPUTED_VALUE"""),"LM Hub_SP_Jurubatuba")</f>
        <v>LM Hub_SP_Jurubatuba</v>
      </c>
      <c r="C1864" s="234" t="str">
        <f>IFERROR(__xludf.DUMMYFUNCTION("""COMPUTED_VALUE"""),"HUB-LSP-16")</f>
        <v>HUB-LSP-16</v>
      </c>
      <c r="D1864" s="234">
        <f>IFERROR(__xludf.DUMMYFUNCTION("""COMPUTED_VALUE"""),25.0)</f>
        <v>25</v>
      </c>
      <c r="E1864" s="237" t="str">
        <f>IFERROR(__xludf.DUMMYFUNCTION("""COMPUTED_VALUE"""),"LT0PC401T0EC1")</f>
        <v>LT0PC401T0EC1</v>
      </c>
      <c r="F1864" s="238" t="str">
        <f>IFERROR(__xludf.DUMMYFUNCTION("""COMPUTED_VALUE"""),"CUA7C61")</f>
        <v>CUA7C61</v>
      </c>
      <c r="G1864" s="238">
        <f>IFERROR(__xludf.DUMMYFUNCTION("""COMPUTED_VALUE"""),45995.89583333333)</f>
        <v>45995.89583</v>
      </c>
      <c r="H1864" s="238">
        <f>IFERROR(__xludf.DUMMYFUNCTION("""COMPUTED_VALUE"""),45995.97916666667)</f>
        <v>45995.97917</v>
      </c>
      <c r="I1864" s="237" t="str">
        <f t="shared" si="1"/>
        <v>Fora</v>
      </c>
      <c r="J1864" s="239">
        <v>120.00000001396984</v>
      </c>
    </row>
    <row r="1865">
      <c r="A1865" s="234" t="s">
        <v>3556</v>
      </c>
      <c r="B1865" s="234" t="str">
        <f>IFERROR(__xludf.DUMMYFUNCTION("""COMPUTED_VALUE"""),"LM Hub_SP_Santos_Praia Grande")</f>
        <v>LM Hub_SP_Santos_Praia Grande</v>
      </c>
      <c r="C1865" s="234" t="str">
        <f>IFERROR(__xludf.DUMMYFUNCTION("""COMPUTED_VALUE"""),"HUB-LSP-09")</f>
        <v>HUB-LSP-09</v>
      </c>
      <c r="D1865" s="234">
        <f>IFERROR(__xludf.DUMMYFUNCTION("""COMPUTED_VALUE"""),26.0)</f>
        <v>26</v>
      </c>
      <c r="E1865" s="237" t="str">
        <f>IFERROR(__xludf.DUMMYFUNCTION("""COMPUTED_VALUE"""),"LT0PC401T0H71")</f>
        <v>LT0PC401T0H71</v>
      </c>
      <c r="F1865" s="238" t="str">
        <f>IFERROR(__xludf.DUMMYFUNCTION("""COMPUTED_VALUE"""),"FUZ4C73,TLL9H76")</f>
        <v>FUZ4C73,TLL9H76</v>
      </c>
      <c r="G1865" s="238">
        <f>IFERROR(__xludf.DUMMYFUNCTION("""COMPUTED_VALUE"""),45995.89583333333)</f>
        <v>45995.89583</v>
      </c>
      <c r="H1865" s="238">
        <f>IFERROR(__xludf.DUMMYFUNCTION("""COMPUTED_VALUE"""),45995.97916666667)</f>
        <v>45995.97917</v>
      </c>
      <c r="I1865" s="237" t="str">
        <f t="shared" si="1"/>
        <v>Fora</v>
      </c>
      <c r="J1865" s="239">
        <v>120.00000001396984</v>
      </c>
    </row>
    <row r="1866">
      <c r="A1866" s="234" t="s">
        <v>3557</v>
      </c>
      <c r="B1866" s="234" t="str">
        <f>IFERROR(__xludf.DUMMYFUNCTION("""COMPUTED_VALUE"""),"LM Hub_SP_São Paulo_Lapa")</f>
        <v>LM Hub_SP_São Paulo_Lapa</v>
      </c>
      <c r="C1866" s="234" t="str">
        <f>IFERROR(__xludf.DUMMYFUNCTION("""COMPUTED_VALUE"""),"HUB-LSP-15")</f>
        <v>HUB-LSP-15</v>
      </c>
      <c r="D1866" s="234">
        <f>IFERROR(__xludf.DUMMYFUNCTION("""COMPUTED_VALUE"""),46.0)</f>
        <v>46</v>
      </c>
      <c r="E1866" s="237" t="str">
        <f>IFERROR(__xludf.DUMMYFUNCTION("""COMPUTED_VALUE"""),"LT0PC401TA9E1")</f>
        <v>LT0PC401TA9E1</v>
      </c>
      <c r="F1866" s="238" t="str">
        <f>IFERROR(__xludf.DUMMYFUNCTION("""COMPUTED_VALUE"""),"JCP2F42,EFW4A01")</f>
        <v>JCP2F42,EFW4A01</v>
      </c>
      <c r="G1866" s="238">
        <f>IFERROR(__xludf.DUMMYFUNCTION("""COMPUTED_VALUE"""),45995.89583333333)</f>
        <v>45995.89583</v>
      </c>
      <c r="H1866" s="238">
        <f>IFERROR(__xludf.DUMMYFUNCTION("""COMPUTED_VALUE"""),45995.97916666667)</f>
        <v>45995.97917</v>
      </c>
      <c r="I1866" s="237" t="str">
        <f t="shared" si="1"/>
        <v>Fora</v>
      </c>
      <c r="J1866" s="239">
        <v>119.00000001071021</v>
      </c>
    </row>
    <row r="1867">
      <c r="A1867" s="234" t="s">
        <v>3558</v>
      </c>
      <c r="B1867" s="234" t="str">
        <f>IFERROR(__xludf.DUMMYFUNCTION("""COMPUTED_VALUE"""),"LM Hub_SP_Jurubatuba")</f>
        <v>LM Hub_SP_Jurubatuba</v>
      </c>
      <c r="C1867" s="234" t="str">
        <f>IFERROR(__xludf.DUMMYFUNCTION("""COMPUTED_VALUE"""),"HUB-LSP-16")</f>
        <v>HUB-LSP-16</v>
      </c>
      <c r="D1867" s="234">
        <f>IFERROR(__xludf.DUMMYFUNCTION("""COMPUTED_VALUE"""),24.0)</f>
        <v>24</v>
      </c>
      <c r="E1867" s="237" t="str">
        <f>IFERROR(__xludf.DUMMYFUNCTION("""COMPUTED_VALUE"""),"LT0PC401TA9I1")</f>
        <v>LT0PC401TA9I1</v>
      </c>
      <c r="F1867" s="238" t="str">
        <f>IFERROR(__xludf.DUMMYFUNCTION("""COMPUTED_VALUE"""),"DTD4722")</f>
        <v>DTD4722</v>
      </c>
      <c r="G1867" s="238">
        <f>IFERROR(__xludf.DUMMYFUNCTION("""COMPUTED_VALUE"""),45995.896527777775)</f>
        <v>45995.89653</v>
      </c>
      <c r="H1867" s="238">
        <f>IFERROR(__xludf.DUMMYFUNCTION("""COMPUTED_VALUE"""),45995.97916666667)</f>
        <v>45995.97917</v>
      </c>
      <c r="I1867" s="237" t="str">
        <f t="shared" si="1"/>
        <v>Fora</v>
      </c>
      <c r="J1867" s="239">
        <v>119.00000001071021</v>
      </c>
    </row>
    <row r="1868">
      <c r="A1868" s="234" t="s">
        <v>3559</v>
      </c>
      <c r="B1868" s="234" t="str">
        <f>IFERROR(__xludf.DUMMYFUNCTION("""COMPUTED_VALUE"""),"LM Hub_SP_São José dos Campos")</f>
        <v>LM Hub_SP_São José dos Campos</v>
      </c>
      <c r="C1868" s="234" t="str">
        <f>IFERROR(__xludf.DUMMYFUNCTION("""COMPUTED_VALUE"""),"HUB-LSP-04")</f>
        <v>HUB-LSP-04</v>
      </c>
      <c r="D1868" s="234">
        <f>IFERROR(__xludf.DUMMYFUNCTION("""COMPUTED_VALUE"""),27.0)</f>
        <v>27</v>
      </c>
      <c r="E1868" s="237" t="str">
        <f>IFERROR(__xludf.DUMMYFUNCTION("""COMPUTED_VALUE"""),"LT0PC401TAA71")</f>
        <v>LT0PC401TAA71</v>
      </c>
      <c r="F1868" s="238" t="str">
        <f>IFERROR(__xludf.DUMMYFUNCTION("""COMPUTED_VALUE"""),"TIR7J78")</f>
        <v>TIR7J78</v>
      </c>
      <c r="G1868" s="238">
        <f>IFERROR(__xludf.DUMMYFUNCTION("""COMPUTED_VALUE"""),45995.896527777775)</f>
        <v>45995.89653</v>
      </c>
      <c r="H1868" s="238">
        <f>IFERROR(__xludf.DUMMYFUNCTION("""COMPUTED_VALUE"""),45995.97916666667)</f>
        <v>45995.97917</v>
      </c>
      <c r="I1868" s="237" t="str">
        <f t="shared" si="1"/>
        <v>Fora</v>
      </c>
      <c r="J1868" s="239">
        <v>118.00000000745058</v>
      </c>
    </row>
    <row r="1869">
      <c r="A1869" s="234" t="s">
        <v>3560</v>
      </c>
      <c r="B1869" s="234" t="str">
        <f>IFERROR(__xludf.DUMMYFUNCTION("""COMPUTED_VALUE"""),"LM Hub_SP_São José dos Campos")</f>
        <v>LM Hub_SP_São José dos Campos</v>
      </c>
      <c r="C1869" s="234" t="str">
        <f>IFERROR(__xludf.DUMMYFUNCTION("""COMPUTED_VALUE"""),"HUB-LSP-04")</f>
        <v>HUB-LSP-04</v>
      </c>
      <c r="D1869" s="234"/>
      <c r="E1869" s="237" t="str">
        <f>IFERROR(__xludf.DUMMYFUNCTION("""COMPUTED_VALUE"""),"LT0PC401T0IB1")</f>
        <v>LT0PC401T0IB1</v>
      </c>
      <c r="F1869" s="238" t="str">
        <f>IFERROR(__xludf.DUMMYFUNCTION("""COMPUTED_VALUE"""),"JBO1I53")</f>
        <v>JBO1I53</v>
      </c>
      <c r="G1869" s="238">
        <f>IFERROR(__xludf.DUMMYFUNCTION("""COMPUTED_VALUE"""),45995.89722222222)</f>
        <v>45995.89722</v>
      </c>
      <c r="H1869" s="238">
        <f>IFERROR(__xludf.DUMMYFUNCTION("""COMPUTED_VALUE"""),45995.97916666667)</f>
        <v>45995.97917</v>
      </c>
      <c r="I1869" s="237" t="str">
        <f t="shared" si="1"/>
        <v>Fora</v>
      </c>
      <c r="J1869" s="239">
        <v>117.9999999969732</v>
      </c>
    </row>
    <row r="1870">
      <c r="A1870" s="234" t="s">
        <v>3561</v>
      </c>
      <c r="B1870" s="234" t="str">
        <f>IFERROR(__xludf.DUMMYFUNCTION("""COMPUTED_VALUE"""),"LM Hub_SP_Guarujá")</f>
        <v>LM Hub_SP_Guarujá</v>
      </c>
      <c r="C1870" s="234" t="str">
        <f>IFERROR(__xludf.DUMMYFUNCTION("""COMPUTED_VALUE"""),"HUB-LSP-06")</f>
        <v>HUB-LSP-06</v>
      </c>
      <c r="D1870" s="234">
        <f>IFERROR(__xludf.DUMMYFUNCTION("""COMPUTED_VALUE"""),7.0)</f>
        <v>7</v>
      </c>
      <c r="E1870" s="237" t="str">
        <f>IFERROR(__xludf.DUMMYFUNCTION("""COMPUTED_VALUE"""),"LT0PC401TA9V1")</f>
        <v>LT0PC401TA9V1</v>
      </c>
      <c r="F1870" s="238" t="str">
        <f>IFERROR(__xludf.DUMMYFUNCTION("""COMPUTED_VALUE"""),"PQV0E87")</f>
        <v>PQV0E87</v>
      </c>
      <c r="G1870" s="238">
        <f>IFERROR(__xludf.DUMMYFUNCTION("""COMPUTED_VALUE"""),45995.91736111111)</f>
        <v>45995.91736</v>
      </c>
      <c r="H1870" s="238">
        <f>IFERROR(__xludf.DUMMYFUNCTION("""COMPUTED_VALUE"""),45995.99930555555)</f>
        <v>45995.99931</v>
      </c>
      <c r="I1870" s="237" t="str">
        <f t="shared" si="1"/>
        <v>Fora</v>
      </c>
      <c r="J1870" s="239">
        <v>240.00000000698492</v>
      </c>
    </row>
    <row r="1871">
      <c r="A1871" s="234" t="s">
        <v>3562</v>
      </c>
      <c r="B1871" s="234" t="str">
        <f>IFERROR(__xludf.DUMMYFUNCTION("""COMPUTED_VALUE"""),"SoC_PE_Jaboatão dos Guararapes")</f>
        <v>SoC_PE_Jaboatão dos Guararapes</v>
      </c>
      <c r="C1871" s="234" t="str">
        <f>IFERROR(__xludf.DUMMYFUNCTION("""COMPUTED_VALUE"""),"SOC-PE2")</f>
        <v>SOC-PE2</v>
      </c>
      <c r="D1871" s="234">
        <f>IFERROR(__xludf.DUMMYFUNCTION("""COMPUTED_VALUE"""),29.0)</f>
        <v>29</v>
      </c>
      <c r="E1871" s="237" t="str">
        <f>IFERROR(__xludf.DUMMYFUNCTION("""COMPUTED_VALUE"""),"LT1PC401THOV1")</f>
        <v>LT1PC401THOV1</v>
      </c>
      <c r="F1871" s="238" t="str">
        <f>IFERROR(__xludf.DUMMYFUNCTION("""COMPUTED_VALUE"""),"EJW2D05,JVS9939")</f>
        <v>EJW2D05,JVS9939</v>
      </c>
      <c r="G1871" s="238">
        <f>IFERROR(__xludf.DUMMYFUNCTION("""COMPUTED_VALUE"""),45995.83333333333)</f>
        <v>45995.83333</v>
      </c>
      <c r="H1871" s="238">
        <f>IFERROR(__xludf.DUMMYFUNCTION("""COMPUTED_VALUE"""),45996.0)</f>
        <v>45996</v>
      </c>
      <c r="I1871" s="237" t="str">
        <f t="shared" si="1"/>
        <v>Fora</v>
      </c>
      <c r="J1871" s="239">
        <v>119.99999999301508</v>
      </c>
    </row>
    <row r="1872">
      <c r="A1872" s="234" t="s">
        <v>3563</v>
      </c>
      <c r="B1872" s="234" t="str">
        <f>IFERROR(__xludf.DUMMYFUNCTION("""COMPUTED_VALUE"""),"LM Hub_RS_Porto Alegre_Floresta")</f>
        <v>LM Hub_RS_Porto Alegre_Floresta</v>
      </c>
      <c r="C1872" s="234" t="str">
        <f>IFERROR(__xludf.DUMMYFUNCTION("""COMPUTED_VALUE"""),"HUB-LRS-03")</f>
        <v>HUB-LRS-03</v>
      </c>
      <c r="D1872" s="234">
        <f>IFERROR(__xludf.DUMMYFUNCTION("""COMPUTED_VALUE"""),17.0)</f>
        <v>17</v>
      </c>
      <c r="E1872" s="237" t="str">
        <f>IFERROR(__xludf.DUMMYFUNCTION("""COMPUTED_VALUE"""),"LT0PC401T7D21")</f>
        <v>LT0PC401T7D21</v>
      </c>
      <c r="F1872" s="238" t="str">
        <f>IFERROR(__xludf.DUMMYFUNCTION("""COMPUTED_VALUE"""),"TIS3G34")</f>
        <v>TIS3G34</v>
      </c>
      <c r="G1872" s="238">
        <f>IFERROR(__xludf.DUMMYFUNCTION("""COMPUTED_VALUE"""),45995.91666666667)</f>
        <v>45995.91667</v>
      </c>
      <c r="H1872" s="238">
        <f>IFERROR(__xludf.DUMMYFUNCTION("""COMPUTED_VALUE"""),45996.0)</f>
        <v>45996</v>
      </c>
      <c r="I1872" s="237" t="str">
        <f t="shared" si="1"/>
        <v>Fora</v>
      </c>
      <c r="J1872" s="239">
        <v>119.99999999301508</v>
      </c>
    </row>
    <row r="1873">
      <c r="A1873" s="234" t="s">
        <v>3564</v>
      </c>
      <c r="B1873" s="234" t="str">
        <f>IFERROR(__xludf.DUMMYFUNCTION("""COMPUTED_VALUE"""),"LM Hub_SP_Artur Alvim")</f>
        <v>LM Hub_SP_Artur Alvim</v>
      </c>
      <c r="C1873" s="234" t="str">
        <f>IFERROR(__xludf.DUMMYFUNCTION("""COMPUTED_VALUE"""),"HUB-LSP-07")</f>
        <v>HUB-LSP-07</v>
      </c>
      <c r="D1873" s="234">
        <f>IFERROR(__xludf.DUMMYFUNCTION("""COMPUTED_VALUE"""),13.0)</f>
        <v>13</v>
      </c>
      <c r="E1873" s="237" t="str">
        <f>IFERROR(__xludf.DUMMYFUNCTION("""COMPUTED_VALUE"""),"LT0PC401T0DP1")</f>
        <v>LT0PC401T0DP1</v>
      </c>
      <c r="F1873" s="238" t="str">
        <f>IFERROR(__xludf.DUMMYFUNCTION("""COMPUTED_VALUE"""),"CUA8366,BWS2717")</f>
        <v>CUA8366,BWS2717</v>
      </c>
      <c r="G1873" s="238">
        <f>IFERROR(__xludf.DUMMYFUNCTION("""COMPUTED_VALUE"""),45995.91666666667)</f>
        <v>45995.91667</v>
      </c>
      <c r="H1873" s="238">
        <f>IFERROR(__xludf.DUMMYFUNCTION("""COMPUTED_VALUE"""),45996.0)</f>
        <v>45996</v>
      </c>
      <c r="I1873" s="237" t="str">
        <f t="shared" si="1"/>
        <v>Fora</v>
      </c>
      <c r="J1873" s="239">
        <v>119.99999999301508</v>
      </c>
    </row>
    <row r="1874">
      <c r="A1874" s="234" t="s">
        <v>3565</v>
      </c>
      <c r="B1874" s="234" t="str">
        <f>IFERROR(__xludf.DUMMYFUNCTION("""COMPUTED_VALUE"""),"LM Hub_SP_Guarulhos")</f>
        <v>LM Hub_SP_Guarulhos</v>
      </c>
      <c r="C1874" s="234" t="str">
        <f>IFERROR(__xludf.DUMMYFUNCTION("""COMPUTED_VALUE"""),"HUB-LSP-77")</f>
        <v>HUB-LSP-77</v>
      </c>
      <c r="D1874" s="234">
        <f>IFERROR(__xludf.DUMMYFUNCTION("""COMPUTED_VALUE"""),23.0)</f>
        <v>23</v>
      </c>
      <c r="E1874" s="237" t="str">
        <f>IFERROR(__xludf.DUMMYFUNCTION("""COMPUTED_VALUE"""),"LT0PC401T15Q1")</f>
        <v>LT0PC401T15Q1</v>
      </c>
      <c r="F1874" s="238" t="str">
        <f>IFERROR(__xludf.DUMMYFUNCTION("""COMPUTED_VALUE"""),"FEB5I21,FRT9A70")</f>
        <v>FEB5I21,FRT9A70</v>
      </c>
      <c r="G1874" s="238">
        <f>IFERROR(__xludf.DUMMYFUNCTION("""COMPUTED_VALUE"""),45995.91666666667)</f>
        <v>45995.91667</v>
      </c>
      <c r="H1874" s="238">
        <f>IFERROR(__xludf.DUMMYFUNCTION("""COMPUTED_VALUE"""),45996.0)</f>
        <v>45996</v>
      </c>
      <c r="I1874" s="237" t="str">
        <f t="shared" si="1"/>
        <v>Fora</v>
      </c>
      <c r="J1874" s="239">
        <v>119.99999999301508</v>
      </c>
    </row>
    <row r="1875">
      <c r="A1875" s="234" t="s">
        <v>3566</v>
      </c>
      <c r="B1875" s="234" t="str">
        <f>IFERROR(__xludf.DUMMYFUNCTION("""COMPUTED_VALUE"""),"LM Hub_SP_Limeira_Campo Belo")</f>
        <v>LM Hub_SP_Limeira_Campo Belo</v>
      </c>
      <c r="C1875" s="234" t="str">
        <f>IFERROR(__xludf.DUMMYFUNCTION("""COMPUTED_VALUE"""),"HUB-LSP-24")</f>
        <v>HUB-LSP-24</v>
      </c>
      <c r="D1875" s="234">
        <f>IFERROR(__xludf.DUMMYFUNCTION("""COMPUTED_VALUE"""),36.0)</f>
        <v>36</v>
      </c>
      <c r="E1875" s="237" t="str">
        <f>IFERROR(__xludf.DUMMYFUNCTION("""COMPUTED_VALUE"""),"LT0PC401T0HV1")</f>
        <v>LT0PC401T0HV1</v>
      </c>
      <c r="F1875" s="238" t="str">
        <f>IFERROR(__xludf.DUMMYFUNCTION("""COMPUTED_VALUE"""),"GFM6E44,AOF2G51")</f>
        <v>GFM6E44,AOF2G51</v>
      </c>
      <c r="G1875" s="238">
        <f>IFERROR(__xludf.DUMMYFUNCTION("""COMPUTED_VALUE"""),45995.91666666667)</f>
        <v>45995.91667</v>
      </c>
      <c r="H1875" s="238">
        <f>IFERROR(__xludf.DUMMYFUNCTION("""COMPUTED_VALUE"""),45996.0)</f>
        <v>45996</v>
      </c>
      <c r="I1875" s="237" t="str">
        <f t="shared" si="1"/>
        <v>Fora</v>
      </c>
      <c r="J1875" s="239">
        <v>119.99999999301508</v>
      </c>
    </row>
    <row r="1876">
      <c r="A1876" s="234" t="s">
        <v>3567</v>
      </c>
      <c r="B1876" s="234" t="str">
        <f>IFERROR(__xludf.DUMMYFUNCTION("""COMPUTED_VALUE"""),"LM Hub_SP_Mauá")</f>
        <v>LM Hub_SP_Mauá</v>
      </c>
      <c r="C1876" s="234" t="str">
        <f>IFERROR(__xludf.DUMMYFUNCTION("""COMPUTED_VALUE"""),"HUB-LSP-64")</f>
        <v>HUB-LSP-64</v>
      </c>
      <c r="D1876" s="234">
        <f>IFERROR(__xludf.DUMMYFUNCTION("""COMPUTED_VALUE"""),14.0)</f>
        <v>14</v>
      </c>
      <c r="E1876" s="237" t="str">
        <f>IFERROR(__xludf.DUMMYFUNCTION("""COMPUTED_VALUE"""),"LT0PC401T0FA1")</f>
        <v>LT0PC401T0FA1</v>
      </c>
      <c r="F1876" s="238" t="str">
        <f>IFERROR(__xludf.DUMMYFUNCTION("""COMPUTED_VALUE"""),"FQF6B98,DTA7802")</f>
        <v>FQF6B98,DTA7802</v>
      </c>
      <c r="G1876" s="238">
        <f>IFERROR(__xludf.DUMMYFUNCTION("""COMPUTED_VALUE"""),45995.91666666667)</f>
        <v>45995.91667</v>
      </c>
      <c r="H1876" s="238">
        <f>IFERROR(__xludf.DUMMYFUNCTION("""COMPUTED_VALUE"""),45996.0)</f>
        <v>45996</v>
      </c>
      <c r="I1876" s="237" t="str">
        <f t="shared" si="1"/>
        <v>Fora</v>
      </c>
      <c r="J1876" s="239">
        <v>119.99999999301508</v>
      </c>
    </row>
    <row r="1877">
      <c r="A1877" s="234" t="s">
        <v>3568</v>
      </c>
      <c r="B1877" s="234" t="str">
        <f>IFERROR(__xludf.DUMMYFUNCTION("""COMPUTED_VALUE"""),"LM Hub_SP_São José do Rio P")</f>
        <v>LM Hub_SP_São José do Rio P</v>
      </c>
      <c r="C1877" s="234" t="str">
        <f>IFERROR(__xludf.DUMMYFUNCTION("""COMPUTED_VALUE"""),"HUB-LSP-27")</f>
        <v>HUB-LSP-27</v>
      </c>
      <c r="D1877" s="234">
        <f>IFERROR(__xludf.DUMMYFUNCTION("""COMPUTED_VALUE"""),43.0)</f>
        <v>43</v>
      </c>
      <c r="E1877" s="237" t="str">
        <f>IFERROR(__xludf.DUMMYFUNCTION("""COMPUTED_VALUE"""),"LT0PC401T4V41")</f>
        <v>LT0PC401T4V41</v>
      </c>
      <c r="F1877" s="238" t="str">
        <f>IFERROR(__xludf.DUMMYFUNCTION("""COMPUTED_VALUE"""),"RYF5D99")</f>
        <v>RYF5D99</v>
      </c>
      <c r="G1877" s="238">
        <f>IFERROR(__xludf.DUMMYFUNCTION("""COMPUTED_VALUE"""),45995.91666666667)</f>
        <v>45995.91667</v>
      </c>
      <c r="H1877" s="238">
        <f>IFERROR(__xludf.DUMMYFUNCTION("""COMPUTED_VALUE"""),45996.0)</f>
        <v>45996</v>
      </c>
      <c r="I1877" s="237" t="str">
        <f t="shared" si="1"/>
        <v>Fora</v>
      </c>
      <c r="J1877" s="239">
        <v>119.99999999301508</v>
      </c>
    </row>
    <row r="1878">
      <c r="A1878" s="234" t="s">
        <v>3569</v>
      </c>
      <c r="B1878" s="234" t="str">
        <f>IFERROR(__xludf.DUMMYFUNCTION("""COMPUTED_VALUE"""),"SoC_PE_Jaboatão dos Guararapes")</f>
        <v>SoC_PE_Jaboatão dos Guararapes</v>
      </c>
      <c r="C1878" s="234" t="str">
        <f>IFERROR(__xludf.DUMMYFUNCTION("""COMPUTED_VALUE"""),"SOC-PE2")</f>
        <v>SOC-PE2</v>
      </c>
      <c r="D1878" s="234">
        <f>IFERROR(__xludf.DUMMYFUNCTION("""COMPUTED_VALUE"""),33.0)</f>
        <v>33</v>
      </c>
      <c r="E1878" s="237" t="str">
        <f>IFERROR(__xludf.DUMMYFUNCTION("""COMPUTED_VALUE"""),"LT1PC401TJF11")</f>
        <v>LT1PC401TJF11</v>
      </c>
      <c r="F1878" s="238" t="str">
        <f>IFERROR(__xludf.DUMMYFUNCTION("""COMPUTED_VALUE"""),"AXT6H48,APK3G54")</f>
        <v>AXT6H48,APK3G54</v>
      </c>
      <c r="G1878" s="238">
        <f>IFERROR(__xludf.DUMMYFUNCTION("""COMPUTED_VALUE"""),45995.91666666667)</f>
        <v>45995.91667</v>
      </c>
      <c r="H1878" s="238">
        <f>IFERROR(__xludf.DUMMYFUNCTION("""COMPUTED_VALUE"""),45996.0)</f>
        <v>45996</v>
      </c>
      <c r="I1878" s="237" t="str">
        <f t="shared" si="1"/>
        <v>Fora</v>
      </c>
      <c r="J1878" s="239">
        <v>119.00000000023283</v>
      </c>
    </row>
    <row r="1879">
      <c r="A1879" s="234" t="s">
        <v>3570</v>
      </c>
      <c r="B1879" s="234" t="str">
        <f>IFERROR(__xludf.DUMMYFUNCTION("""COMPUTED_VALUE"""),"LM Hub_SP_Barueri_01")</f>
        <v>LM Hub_SP_Barueri_01</v>
      </c>
      <c r="C1879" s="234" t="str">
        <f>IFERROR(__xludf.DUMMYFUNCTION("""COMPUTED_VALUE"""),"HUB-LSP-81")</f>
        <v>HUB-LSP-81</v>
      </c>
      <c r="D1879" s="234">
        <f>IFERROR(__xludf.DUMMYFUNCTION("""COMPUTED_VALUE"""),5.0)</f>
        <v>5</v>
      </c>
      <c r="E1879" s="237" t="str">
        <f>IFERROR(__xludf.DUMMYFUNCTION("""COMPUTED_VALUE"""),"LT0PC401TBGE1")</f>
        <v>LT0PC401TBGE1</v>
      </c>
      <c r="F1879" s="238" t="str">
        <f>IFERROR(__xludf.DUMMYFUNCTION("""COMPUTED_VALUE"""),"NZI9C32")</f>
        <v>NZI9C32</v>
      </c>
      <c r="G1879" s="238">
        <f>IFERROR(__xludf.DUMMYFUNCTION("""COMPUTED_VALUE"""),45995.91736111111)</f>
        <v>45995.91736</v>
      </c>
      <c r="H1879" s="238">
        <f>IFERROR(__xludf.DUMMYFUNCTION("""COMPUTED_VALUE"""),45996.0)</f>
        <v>45996</v>
      </c>
      <c r="I1879" s="237" t="str">
        <f t="shared" si="1"/>
        <v>Fora</v>
      </c>
      <c r="J1879" s="239">
        <v>119.00000000023283</v>
      </c>
    </row>
    <row r="1880">
      <c r="A1880" s="234" t="s">
        <v>3571</v>
      </c>
      <c r="B1880" s="234" t="str">
        <f>IFERROR(__xludf.DUMMYFUNCTION("""COMPUTED_VALUE"""),"LM Hub_SP_Itapevi")</f>
        <v>LM Hub_SP_Itapevi</v>
      </c>
      <c r="C1880" s="234" t="str">
        <f>IFERROR(__xludf.DUMMYFUNCTION("""COMPUTED_VALUE"""),"HUB-LSP-41")</f>
        <v>HUB-LSP-41</v>
      </c>
      <c r="D1880" s="234">
        <f>IFERROR(__xludf.DUMMYFUNCTION("""COMPUTED_VALUE"""),15.0)</f>
        <v>15</v>
      </c>
      <c r="E1880" s="237" t="str">
        <f>IFERROR(__xludf.DUMMYFUNCTION("""COMPUTED_VALUE"""),"LT0PC401TA9L1")</f>
        <v>LT0PC401TA9L1</v>
      </c>
      <c r="F1880" s="238" t="str">
        <f>IFERROR(__xludf.DUMMYFUNCTION("""COMPUTED_VALUE"""),"FYQ5533")</f>
        <v>FYQ5533</v>
      </c>
      <c r="G1880" s="238">
        <f>IFERROR(__xludf.DUMMYFUNCTION("""COMPUTED_VALUE"""),45995.91736111111)</f>
        <v>45995.91736</v>
      </c>
      <c r="H1880" s="238">
        <f>IFERROR(__xludf.DUMMYFUNCTION("""COMPUTED_VALUE"""),45996.0)</f>
        <v>45996</v>
      </c>
      <c r="I1880" s="237" t="str">
        <f t="shared" si="1"/>
        <v>Fora</v>
      </c>
      <c r="J1880" s="239">
        <v>118.00000000745058</v>
      </c>
    </row>
    <row r="1881">
      <c r="A1881" s="234" t="s">
        <v>3572</v>
      </c>
      <c r="B1881" s="234" t="str">
        <f>IFERROR(__xludf.DUMMYFUNCTION("""COMPUTED_VALUE"""),"LM Hub_SP_Santo André")</f>
        <v>LM Hub_SP_Santo André</v>
      </c>
      <c r="C1881" s="234" t="str">
        <f>IFERROR(__xludf.DUMMYFUNCTION("""COMPUTED_VALUE"""),"HUB-LSP-93")</f>
        <v>HUB-LSP-93</v>
      </c>
      <c r="D1881" s="234">
        <f>IFERROR(__xludf.DUMMYFUNCTION("""COMPUTED_VALUE"""),21.0)</f>
        <v>21</v>
      </c>
      <c r="E1881" s="237" t="str">
        <f>IFERROR(__xludf.DUMMYFUNCTION("""COMPUTED_VALUE"""),"LT0PC401T3AK1")</f>
        <v>LT0PC401T3AK1</v>
      </c>
      <c r="F1881" s="238" t="str">
        <f>IFERROR(__xludf.DUMMYFUNCTION("""COMPUTED_VALUE"""),"QPH3J14")</f>
        <v>QPH3J14</v>
      </c>
      <c r="G1881" s="238">
        <f>IFERROR(__xludf.DUMMYFUNCTION("""COMPUTED_VALUE"""),45995.91805555555)</f>
        <v>45995.91806</v>
      </c>
      <c r="H1881" s="238">
        <f>IFERROR(__xludf.DUMMYFUNCTION("""COMPUTED_VALUE"""),45996.0)</f>
        <v>45996</v>
      </c>
      <c r="I1881" s="237" t="str">
        <f t="shared" si="1"/>
        <v>Fora</v>
      </c>
      <c r="J1881" s="239">
        <v>119.99999999301508</v>
      </c>
    </row>
    <row r="1882">
      <c r="A1882" s="234" t="s">
        <v>3573</v>
      </c>
      <c r="B1882" s="234" t="str">
        <f>IFERROR(__xludf.DUMMYFUNCTION("""COMPUTED_VALUE"""),"LM Hub_SP_Jardim Adriana")</f>
        <v>LM Hub_SP_Jardim Adriana</v>
      </c>
      <c r="C1882" s="234" t="str">
        <f>IFERROR(__xludf.DUMMYFUNCTION("""COMPUTED_VALUE"""),"HUB-LSP-12")</f>
        <v>HUB-LSP-12</v>
      </c>
      <c r="D1882" s="234">
        <f>IFERROR(__xludf.DUMMYFUNCTION("""COMPUTED_VALUE"""),6.0)</f>
        <v>6</v>
      </c>
      <c r="E1882" s="237" t="str">
        <f>IFERROR(__xludf.DUMMYFUNCTION("""COMPUTED_VALUE"""),"LT0PC401T0DY1")</f>
        <v>LT0PC401T0DY1</v>
      </c>
      <c r="F1882" s="238" t="str">
        <f>IFERROR(__xludf.DUMMYFUNCTION("""COMPUTED_VALUE"""),"FNW2D28")</f>
        <v>FNW2D28</v>
      </c>
      <c r="G1882" s="238">
        <f>IFERROR(__xludf.DUMMYFUNCTION("""COMPUTED_VALUE"""),45995.9375)</f>
        <v>45995.9375</v>
      </c>
      <c r="H1882" s="238">
        <f>IFERROR(__xludf.DUMMYFUNCTION("""COMPUTED_VALUE"""),45996.02083333333)</f>
        <v>45996.02083</v>
      </c>
      <c r="I1882" s="237" t="str">
        <f t="shared" si="1"/>
        <v>Fora</v>
      </c>
      <c r="J1882" s="239">
        <v>119.99999999301508</v>
      </c>
    </row>
    <row r="1883">
      <c r="A1883" s="234" t="s">
        <v>3574</v>
      </c>
      <c r="B1883" s="234" t="str">
        <f>IFERROR(__xludf.DUMMYFUNCTION("""COMPUTED_VALUE"""),"LM Hub_SP_Piracicaba")</f>
        <v>LM Hub_SP_Piracicaba</v>
      </c>
      <c r="C1883" s="234" t="str">
        <f>IFERROR(__xludf.DUMMYFUNCTION("""COMPUTED_VALUE"""),"HUB-LSP-62")</f>
        <v>HUB-LSP-62</v>
      </c>
      <c r="D1883" s="234">
        <f>IFERROR(__xludf.DUMMYFUNCTION("""COMPUTED_VALUE"""),22.0)</f>
        <v>22</v>
      </c>
      <c r="E1883" s="237" t="str">
        <f>IFERROR(__xludf.DUMMYFUNCTION("""COMPUTED_VALUE"""),"LT0PC401T15X1")</f>
        <v>LT0PC401T15X1</v>
      </c>
      <c r="F1883" s="238" t="str">
        <f>IFERROR(__xludf.DUMMYFUNCTION("""COMPUTED_VALUE"""),"EOF4D32")</f>
        <v>EOF4D32</v>
      </c>
      <c r="G1883" s="238">
        <f>IFERROR(__xludf.DUMMYFUNCTION("""COMPUTED_VALUE"""),45995.9375)</f>
        <v>45995.9375</v>
      </c>
      <c r="H1883" s="238">
        <f>IFERROR(__xludf.DUMMYFUNCTION("""COMPUTED_VALUE"""),45996.02083333333)</f>
        <v>45996.02083</v>
      </c>
      <c r="I1883" s="237" t="str">
        <f t="shared" si="1"/>
        <v>Fora</v>
      </c>
      <c r="J1883" s="239">
        <v>118.99999998975545</v>
      </c>
    </row>
    <row r="1884">
      <c r="A1884" s="234" t="s">
        <v>3575</v>
      </c>
      <c r="B1884" s="234" t="str">
        <f>IFERROR(__xludf.DUMMYFUNCTION("""COMPUTED_VALUE"""),"LM Hub_SP_Parque Novo Mundo")</f>
        <v>LM Hub_SP_Parque Novo Mundo</v>
      </c>
      <c r="C1884" s="234" t="str">
        <f>IFERROR(__xludf.DUMMYFUNCTION("""COMPUTED_VALUE"""),"HUB-LSP-89")</f>
        <v>HUB-LSP-89</v>
      </c>
      <c r="D1884" s="234">
        <f>IFERROR(__xludf.DUMMYFUNCTION("""COMPUTED_VALUE"""),37.0)</f>
        <v>37</v>
      </c>
      <c r="E1884" s="237" t="str">
        <f>IFERROR(__xludf.DUMMYFUNCTION("""COMPUTED_VALUE"""),"LT0PC401TAHQ1")</f>
        <v>LT0PC401TAHQ1</v>
      </c>
      <c r="F1884" s="238" t="str">
        <f>IFERROR(__xludf.DUMMYFUNCTION("""COMPUTED_VALUE"""),"FNK8E47,FAM1829")</f>
        <v>FNK8E47,FAM1829</v>
      </c>
      <c r="G1884" s="238">
        <f>IFERROR(__xludf.DUMMYFUNCTION("""COMPUTED_VALUE"""),45995.93819444445)</f>
        <v>45995.93819</v>
      </c>
      <c r="H1884" s="238">
        <f>IFERROR(__xludf.DUMMYFUNCTION("""COMPUTED_VALUE"""),45996.02083333333)</f>
        <v>45996.02083</v>
      </c>
      <c r="I1884" s="237" t="str">
        <f t="shared" si="1"/>
        <v>Fora</v>
      </c>
      <c r="J1884" s="239">
        <v>118.99999998975545</v>
      </c>
    </row>
    <row r="1885">
      <c r="A1885" s="234" t="s">
        <v>3576</v>
      </c>
      <c r="B1885" s="234" t="str">
        <f>IFERROR(__xludf.DUMMYFUNCTION("""COMPUTED_VALUE"""),"LM Hub_SP_São Paulo_Carandiru")</f>
        <v>LM Hub_SP_São Paulo_Carandiru</v>
      </c>
      <c r="C1885" s="234" t="str">
        <f>IFERROR(__xludf.DUMMYFUNCTION("""COMPUTED_VALUE"""),"HUB-LSP-18")</f>
        <v>HUB-LSP-18</v>
      </c>
      <c r="D1885" s="234">
        <f>IFERROR(__xludf.DUMMYFUNCTION("""COMPUTED_VALUE"""),35.0)</f>
        <v>35</v>
      </c>
      <c r="E1885" s="237" t="str">
        <f>IFERROR(__xludf.DUMMYFUNCTION("""COMPUTED_VALUE"""),"LT0PC401T0EF1")</f>
        <v>LT0PC401T0EF1</v>
      </c>
      <c r="F1885" s="238" t="str">
        <f>IFERROR(__xludf.DUMMYFUNCTION("""COMPUTED_VALUE"""),"EKH0I75")</f>
        <v>EKH0I75</v>
      </c>
      <c r="G1885" s="238">
        <f>IFERROR(__xludf.DUMMYFUNCTION("""COMPUTED_VALUE"""),45995.93819444445)</f>
        <v>45995.93819</v>
      </c>
      <c r="H1885" s="238">
        <f>IFERROR(__xludf.DUMMYFUNCTION("""COMPUTED_VALUE"""),45996.02083333333)</f>
        <v>45996.02083</v>
      </c>
      <c r="I1885" s="237" t="str">
        <f t="shared" si="1"/>
        <v>Fora</v>
      </c>
      <c r="J1885" s="239">
        <v>118.99999998975545</v>
      </c>
    </row>
    <row r="1886">
      <c r="A1886" s="234" t="s">
        <v>3577</v>
      </c>
      <c r="B1886" s="234" t="str">
        <f>IFERROR(__xludf.DUMMYFUNCTION("""COMPUTED_VALUE"""),"LM Hub_SP_VilaGuilherme")</f>
        <v>LM Hub_SP_VilaGuilherme</v>
      </c>
      <c r="C1886" s="234" t="str">
        <f>IFERROR(__xludf.DUMMYFUNCTION("""COMPUTED_VALUE"""),"HUB-LSP-68")</f>
        <v>HUB-LSP-68</v>
      </c>
      <c r="D1886" s="234">
        <f>IFERROR(__xludf.DUMMYFUNCTION("""COMPUTED_VALUE"""),16.0)</f>
        <v>16</v>
      </c>
      <c r="E1886" s="237" t="str">
        <f>IFERROR(__xludf.DUMMYFUNCTION("""COMPUTED_VALUE"""),"LT0PC401TA9P1")</f>
        <v>LT0PC401TA9P1</v>
      </c>
      <c r="F1886" s="238" t="str">
        <f>IFERROR(__xludf.DUMMYFUNCTION("""COMPUTED_VALUE"""),"HFD4H27,JXG9745")</f>
        <v>HFD4H27,JXG9745</v>
      </c>
      <c r="G1886" s="238">
        <f>IFERROR(__xludf.DUMMYFUNCTION("""COMPUTED_VALUE"""),45995.93819444445)</f>
        <v>45995.93819</v>
      </c>
      <c r="H1886" s="238">
        <f>IFERROR(__xludf.DUMMYFUNCTION("""COMPUTED_VALUE"""),45996.02083333333)</f>
        <v>45996.02083</v>
      </c>
      <c r="I1886" s="237" t="str">
        <f t="shared" si="1"/>
        <v>Fora</v>
      </c>
      <c r="J1886" s="239">
        <v>120.00000001396984</v>
      </c>
    </row>
    <row r="1887">
      <c r="A1887" s="234" t="s">
        <v>3578</v>
      </c>
      <c r="B1887" s="234" t="str">
        <f>IFERROR(__xludf.DUMMYFUNCTION("""COMPUTED_VALUE"""),"LM Hub_SP_Mogi Mirim")</f>
        <v>LM Hub_SP_Mogi Mirim</v>
      </c>
      <c r="C1887" s="234" t="str">
        <f>IFERROR(__xludf.DUMMYFUNCTION("""COMPUTED_VALUE"""),"HUB-LSP-37")</f>
        <v>HUB-LSP-37</v>
      </c>
      <c r="D1887" s="234">
        <f>IFERROR(__xludf.DUMMYFUNCTION("""COMPUTED_VALUE"""),42.0)</f>
        <v>42</v>
      </c>
      <c r="E1887" s="237" t="str">
        <f>IFERROR(__xludf.DUMMYFUNCTION("""COMPUTED_VALUE"""),"LT0PC401T0IT1")</f>
        <v>LT0PC401T0IT1</v>
      </c>
      <c r="F1887" s="238" t="str">
        <f>IFERROR(__xludf.DUMMYFUNCTION("""COMPUTED_VALUE"""),"FLN0H65,FTJ9A92")</f>
        <v>FLN0H65,FTJ9A92</v>
      </c>
      <c r="G1887" s="238">
        <f>IFERROR(__xludf.DUMMYFUNCTION("""COMPUTED_VALUE"""),45995.95833333333)</f>
        <v>45995.95833</v>
      </c>
      <c r="H1887" s="238">
        <f>IFERROR(__xludf.DUMMYFUNCTION("""COMPUTED_VALUE"""),45996.04166666667)</f>
        <v>45996.04167</v>
      </c>
      <c r="I1887" s="237" t="str">
        <f t="shared" si="1"/>
        <v>Fora</v>
      </c>
      <c r="J1887" s="239">
        <v>120.00000001396984</v>
      </c>
    </row>
    <row r="1888">
      <c r="A1888" s="234" t="s">
        <v>3579</v>
      </c>
      <c r="B1888" s="234" t="str">
        <f>IFERROR(__xludf.DUMMYFUNCTION("""COMPUTED_VALUE"""),"SoC_RS_Gravataí_02")</f>
        <v>SoC_RS_Gravataí_02</v>
      </c>
      <c r="C1888" s="234" t="str">
        <f>IFERROR(__xludf.DUMMYFUNCTION("""COMPUTED_VALUE"""),"SOC-RS2")</f>
        <v>SOC-RS2</v>
      </c>
      <c r="D1888" s="234">
        <f>IFERROR(__xludf.DUMMYFUNCTION("""COMPUTED_VALUE"""),28.0)</f>
        <v>28</v>
      </c>
      <c r="E1888" s="237" t="str">
        <f>IFERROR(__xludf.DUMMYFUNCTION("""COMPUTED_VALUE"""),"LT1PC401THPD1")</f>
        <v>LT1PC401THPD1</v>
      </c>
      <c r="F1888" s="238" t="str">
        <f>IFERROR(__xludf.DUMMYFUNCTION("""COMPUTED_VALUE"""),"EZU3G84,EJV8B79")</f>
        <v>EZU3G84,EJV8B79</v>
      </c>
      <c r="G1888" s="238">
        <f>IFERROR(__xludf.DUMMYFUNCTION("""COMPUTED_VALUE"""),45995.95833333333)</f>
        <v>45995.95833</v>
      </c>
      <c r="H1888" s="238">
        <f>IFERROR(__xludf.DUMMYFUNCTION("""COMPUTED_VALUE"""),45996.04166666667)</f>
        <v>45996.04167</v>
      </c>
      <c r="I1888" s="237" t="str">
        <f t="shared" si="1"/>
        <v>Fora</v>
      </c>
      <c r="J1888" s="239">
        <v>119.00000001071021</v>
      </c>
    </row>
    <row r="1889">
      <c r="A1889" s="234" t="s">
        <v>3580</v>
      </c>
      <c r="B1889" s="234" t="str">
        <f>IFERROR(__xludf.DUMMYFUNCTION("""COMPUTED_VALUE"""),"LM Hub_SP_Jundiaí")</f>
        <v>LM Hub_SP_Jundiaí</v>
      </c>
      <c r="C1889" s="234" t="str">
        <f>IFERROR(__xludf.DUMMYFUNCTION("""COMPUTED_VALUE"""),"HUB-LSP-100")</f>
        <v>HUB-LSP-100</v>
      </c>
      <c r="D1889" s="234">
        <f>IFERROR(__xludf.DUMMYFUNCTION("""COMPUTED_VALUE"""),8.0)</f>
        <v>8</v>
      </c>
      <c r="E1889" s="237" t="str">
        <f>IFERROR(__xludf.DUMMYFUNCTION("""COMPUTED_VALUE"""),"LT0PC401T7P51")</f>
        <v>LT0PC401T7P51</v>
      </c>
      <c r="F1889" s="238" t="str">
        <f>IFERROR(__xludf.DUMMYFUNCTION("""COMPUTED_VALUE"""),"BZV6J05")</f>
        <v>BZV6J05</v>
      </c>
      <c r="G1889" s="238">
        <f>IFERROR(__xludf.DUMMYFUNCTION("""COMPUTED_VALUE"""),45995.959027777775)</f>
        <v>45995.95903</v>
      </c>
      <c r="H1889" s="238">
        <f>IFERROR(__xludf.DUMMYFUNCTION("""COMPUTED_VALUE"""),45996.04166666667)</f>
        <v>45996.04167</v>
      </c>
      <c r="I1889" s="237" t="str">
        <f t="shared" si="1"/>
        <v>Fora</v>
      </c>
      <c r="J1889" s="239">
        <v>119.99999999301508</v>
      </c>
    </row>
    <row r="1890">
      <c r="A1890" s="234" t="s">
        <v>3581</v>
      </c>
      <c r="B1890" s="234" t="str">
        <f>IFERROR(__xludf.DUMMYFUNCTION("""COMPUTED_VALUE"""),"LM Hub_SP_Araraquara")</f>
        <v>LM Hub_SP_Araraquara</v>
      </c>
      <c r="C1890" s="234" t="str">
        <f>IFERROR(__xludf.DUMMYFUNCTION("""COMPUTED_VALUE"""),"HUB-LSP-29")</f>
        <v>HUB-LSP-29</v>
      </c>
      <c r="D1890" s="234">
        <f>IFERROR(__xludf.DUMMYFUNCTION("""COMPUTED_VALUE"""),44.0)</f>
        <v>44</v>
      </c>
      <c r="E1890" s="237" t="str">
        <f>IFERROR(__xludf.DUMMYFUNCTION("""COMPUTED_VALUE"""),"LT0PC401T0IY1")</f>
        <v>LT0PC401T0IY1</v>
      </c>
      <c r="F1890" s="238" t="str">
        <f>IFERROR(__xludf.DUMMYFUNCTION("""COMPUTED_VALUE"""),"EWJ2H21")</f>
        <v>EWJ2H21</v>
      </c>
      <c r="G1890" s="238">
        <f>IFERROR(__xludf.DUMMYFUNCTION("""COMPUTED_VALUE"""),45995.97916666667)</f>
        <v>45995.97917</v>
      </c>
      <c r="H1890" s="238">
        <f>IFERROR(__xludf.DUMMYFUNCTION("""COMPUTED_VALUE"""),45996.0625)</f>
        <v>45996.0625</v>
      </c>
      <c r="I1890" s="237" t="str">
        <f t="shared" si="1"/>
        <v>Fora</v>
      </c>
      <c r="J1890" s="239">
        <v>119.99999999301508</v>
      </c>
    </row>
    <row r="1891">
      <c r="A1891" s="234" t="s">
        <v>3582</v>
      </c>
      <c r="B1891" s="234" t="str">
        <f>IFERROR(__xludf.DUMMYFUNCTION("""COMPUTED_VALUE"""),"LM Hub_SP_Várzea Paulista")</f>
        <v>LM Hub_SP_Várzea Paulista</v>
      </c>
      <c r="C1891" s="234" t="str">
        <f>IFERROR(__xludf.DUMMYFUNCTION("""COMPUTED_VALUE"""),"HUB-LSP-61")</f>
        <v>HUB-LSP-61</v>
      </c>
      <c r="D1891" s="234">
        <f>IFERROR(__xludf.DUMMYFUNCTION("""COMPUTED_VALUE"""),45.0)</f>
        <v>45</v>
      </c>
      <c r="E1891" s="237" t="str">
        <f>IFERROR(__xludf.DUMMYFUNCTION("""COMPUTED_VALUE"""),"LT0PC401T0I51")</f>
        <v>LT0PC401T0I51</v>
      </c>
      <c r="F1891" s="238" t="str">
        <f>IFERROR(__xludf.DUMMYFUNCTION("""COMPUTED_VALUE"""),"ODE8A12,GJO3B75")</f>
        <v>ODE8A12,GJO3B75</v>
      </c>
      <c r="G1891" s="238">
        <f>IFERROR(__xludf.DUMMYFUNCTION("""COMPUTED_VALUE"""),45995.97916666667)</f>
        <v>45995.97917</v>
      </c>
      <c r="H1891" s="238">
        <f>IFERROR(__xludf.DUMMYFUNCTION("""COMPUTED_VALUE"""),45996.0625)</f>
        <v>45996.0625</v>
      </c>
      <c r="I1891" s="237" t="str">
        <f t="shared" si="1"/>
        <v>Fora</v>
      </c>
      <c r="J1891" s="239">
        <v>119.00000000023283</v>
      </c>
    </row>
    <row r="1892">
      <c r="A1892" s="234" t="s">
        <v>3583</v>
      </c>
      <c r="B1892" s="234" t="str">
        <f>IFERROR(__xludf.DUMMYFUNCTION("""COMPUTED_VALUE"""),"LM Hub_SP_Atibaia_Ponte_Alta")</f>
        <v>LM Hub_SP_Atibaia_Ponte_Alta</v>
      </c>
      <c r="C1892" s="234" t="str">
        <f>IFERROR(__xludf.DUMMYFUNCTION("""COMPUTED_VALUE"""),"HUB-LSP-87")</f>
        <v>HUB-LSP-87</v>
      </c>
      <c r="D1892" s="234">
        <f>IFERROR(__xludf.DUMMYFUNCTION("""COMPUTED_VALUE"""),9.0)</f>
        <v>9</v>
      </c>
      <c r="E1892" s="237" t="str">
        <f>IFERROR(__xludf.DUMMYFUNCTION("""COMPUTED_VALUE"""),"LT0PC401T4QK1")</f>
        <v>LT0PC401T4QK1</v>
      </c>
      <c r="F1892" s="238" t="str">
        <f>IFERROR(__xludf.DUMMYFUNCTION("""COMPUTED_VALUE"""),"PCW9A46")</f>
        <v>PCW9A46</v>
      </c>
      <c r="G1892" s="238">
        <f>IFERROR(__xludf.DUMMYFUNCTION("""COMPUTED_VALUE"""),45995.97986111111)</f>
        <v>45995.97986</v>
      </c>
      <c r="H1892" s="238">
        <f>IFERROR(__xludf.DUMMYFUNCTION("""COMPUTED_VALUE"""),45996.0625)</f>
        <v>45996.0625</v>
      </c>
      <c r="I1892" s="237" t="str">
        <f t="shared" si="1"/>
        <v>Fora</v>
      </c>
      <c r="J1892" s="239">
        <v>119.99999999301508</v>
      </c>
    </row>
    <row r="1893">
      <c r="A1893" s="234" t="s">
        <v>3584</v>
      </c>
      <c r="B1893" s="234" t="str">
        <f>IFERROR(__xludf.DUMMYFUNCTION("""COMPUTED_VALUE"""),"SoC_PE_Jaboatão dos Guararapes")</f>
        <v>SoC_PE_Jaboatão dos Guararapes</v>
      </c>
      <c r="C1893" s="234" t="str">
        <f>IFERROR(__xludf.DUMMYFUNCTION("""COMPUTED_VALUE"""),"SOC-PE2")</f>
        <v>SOC-PE2</v>
      </c>
      <c r="D1893" s="234">
        <f>IFERROR(__xludf.DUMMYFUNCTION("""COMPUTED_VALUE"""),26.0)</f>
        <v>26</v>
      </c>
      <c r="E1893" s="237" t="str">
        <f>IFERROR(__xludf.DUMMYFUNCTION("""COMPUTED_VALUE"""),"LT0PC501T6FI1")</f>
        <v>LT0PC501T6FI1</v>
      </c>
      <c r="F1893" s="238" t="str">
        <f>IFERROR(__xludf.DUMMYFUNCTION("""COMPUTED_VALUE"""),"OKJ8B74,CLH4A64")</f>
        <v>OKJ8B74,CLH4A64</v>
      </c>
      <c r="G1893" s="238">
        <f>IFERROR(__xludf.DUMMYFUNCTION("""COMPUTED_VALUE"""),45996.0)</f>
        <v>45996</v>
      </c>
      <c r="H1893" s="238">
        <f>IFERROR(__xludf.DUMMYFUNCTION("""COMPUTED_VALUE"""),45996.08333333333)</f>
        <v>45996.08333</v>
      </c>
      <c r="I1893" s="237" t="str">
        <f t="shared" si="1"/>
        <v>Fora</v>
      </c>
      <c r="J1893" s="239">
        <v>119.99999999301508</v>
      </c>
    </row>
    <row r="1894">
      <c r="A1894" s="234" t="s">
        <v>3585</v>
      </c>
      <c r="B1894" s="234" t="str">
        <f>IFERROR(__xludf.DUMMYFUNCTION("""COMPUTED_VALUE"""),"SoC_PR_Curitiba")</f>
        <v>SoC_PR_Curitiba</v>
      </c>
      <c r="C1894" s="234" t="str">
        <f>IFERROR(__xludf.DUMMYFUNCTION("""COMPUTED_VALUE"""),"SOC-PR1")</f>
        <v>SOC-PR1</v>
      </c>
      <c r="D1894" s="234"/>
      <c r="E1894" s="237" t="str">
        <f>IFERROR(__xludf.DUMMYFUNCTION("""COMPUTED_VALUE"""),"LT0PC501T0BT1")</f>
        <v>LT0PC501T0BT1</v>
      </c>
      <c r="F1894" s="238" t="str">
        <f>IFERROR(__xludf.DUMMYFUNCTION("""COMPUTED_VALUE"""),"MLG9J90")</f>
        <v>MLG9J90</v>
      </c>
      <c r="G1894" s="238">
        <f>IFERROR(__xludf.DUMMYFUNCTION("""COMPUTED_VALUE"""),45996.0)</f>
        <v>45996</v>
      </c>
      <c r="H1894" s="238">
        <f>IFERROR(__xludf.DUMMYFUNCTION("""COMPUTED_VALUE"""),45996.08333333333)</f>
        <v>45996.08333</v>
      </c>
      <c r="I1894" s="237" t="str">
        <f t="shared" si="1"/>
        <v>Fora</v>
      </c>
      <c r="J1894" s="239">
        <v>119.99999999301508</v>
      </c>
    </row>
    <row r="1895">
      <c r="A1895" s="234" t="s">
        <v>3586</v>
      </c>
      <c r="B1895" s="234" t="str">
        <f>IFERROR(__xludf.DUMMYFUNCTION("""COMPUTED_VALUE"""),"SoC_RS_Gravataí_02")</f>
        <v>SoC_RS_Gravataí_02</v>
      </c>
      <c r="C1895" s="234" t="str">
        <f>IFERROR(__xludf.DUMMYFUNCTION("""COMPUTED_VALUE"""),"SOC-RS2")</f>
        <v>SOC-RS2</v>
      </c>
      <c r="D1895" s="234">
        <f>IFERROR(__xludf.DUMMYFUNCTION("""COMPUTED_VALUE"""),34.0)</f>
        <v>34</v>
      </c>
      <c r="E1895" s="237" t="str">
        <f>IFERROR(__xludf.DUMMYFUNCTION("""COMPUTED_VALUE"""),"LT0PC501T6V91")</f>
        <v>LT0PC501T6V91</v>
      </c>
      <c r="F1895" s="238" t="str">
        <f>IFERROR(__xludf.DUMMYFUNCTION("""COMPUTED_VALUE"""),"TQS0C16,JCW3H67")</f>
        <v>TQS0C16,JCW3H67</v>
      </c>
      <c r="G1895" s="238">
        <f>IFERROR(__xludf.DUMMYFUNCTION("""COMPUTED_VALUE"""),45996.0)</f>
        <v>45996</v>
      </c>
      <c r="H1895" s="238">
        <f>IFERROR(__xludf.DUMMYFUNCTION("""COMPUTED_VALUE"""),45996.08333333333)</f>
        <v>45996.08333</v>
      </c>
      <c r="I1895" s="237" t="str">
        <f t="shared" si="1"/>
        <v>Fora</v>
      </c>
      <c r="J1895" s="239">
        <v>119.99999999301508</v>
      </c>
    </row>
    <row r="1896">
      <c r="A1896" s="234" t="s">
        <v>3587</v>
      </c>
      <c r="B1896" s="234" t="str">
        <f>IFERROR(__xludf.DUMMYFUNCTION("""COMPUTED_VALUE"""),"SoC_SC_Itajaí")</f>
        <v>SoC_SC_Itajaí</v>
      </c>
      <c r="C1896" s="234" t="str">
        <f>IFERROR(__xludf.DUMMYFUNCTION("""COMPUTED_VALUE"""),"SOC-SC1")</f>
        <v>SOC-SC1</v>
      </c>
      <c r="D1896" s="234">
        <f>IFERROR(__xludf.DUMMYFUNCTION("""COMPUTED_VALUE"""),27.0)</f>
        <v>27</v>
      </c>
      <c r="E1896" s="237" t="str">
        <f>IFERROR(__xludf.DUMMYFUNCTION("""COMPUTED_VALUE"""),"LT0PC501T5I11")</f>
        <v>LT0PC501T5I11</v>
      </c>
      <c r="F1896" s="238" t="str">
        <f>IFERROR(__xludf.DUMMYFUNCTION("""COMPUTED_VALUE"""),"MJI3860,REB2E97")</f>
        <v>MJI3860,REB2E97</v>
      </c>
      <c r="G1896" s="238">
        <f>IFERROR(__xludf.DUMMYFUNCTION("""COMPUTED_VALUE"""),45996.0)</f>
        <v>45996</v>
      </c>
      <c r="H1896" s="238">
        <f>IFERROR(__xludf.DUMMYFUNCTION("""COMPUTED_VALUE"""),45996.08333333333)</f>
        <v>45996.08333</v>
      </c>
      <c r="I1896" s="237" t="str">
        <f t="shared" si="1"/>
        <v>Fora</v>
      </c>
      <c r="J1896" s="239">
        <v>119.99999999301508</v>
      </c>
    </row>
    <row r="1897">
      <c r="A1897" s="234" t="s">
        <v>3588</v>
      </c>
      <c r="B1897" s="234" t="str">
        <f>IFERROR(__xludf.DUMMYFUNCTION("""COMPUTED_VALUE"""),"SoC_SP_Louveira")</f>
        <v>SoC_SP_Louveira</v>
      </c>
      <c r="C1897" s="234" t="str">
        <f>IFERROR(__xludf.DUMMYFUNCTION("""COMPUTED_VALUE"""),"SOC-SP7")</f>
        <v>SOC-SP7</v>
      </c>
      <c r="D1897" s="234">
        <f>IFERROR(__xludf.DUMMYFUNCTION("""COMPUTED_VALUE"""),32.0)</f>
        <v>32</v>
      </c>
      <c r="E1897" s="237" t="str">
        <f>IFERROR(__xludf.DUMMYFUNCTION("""COMPUTED_VALUE"""),"LT0PC501T0D51")</f>
        <v>LT0PC501T0D51</v>
      </c>
      <c r="F1897" s="238" t="str">
        <f>IFERROR(__xludf.DUMMYFUNCTION("""COMPUTED_VALUE"""),"SWH0E90,TAX1I63")</f>
        <v>SWH0E90,TAX1I63</v>
      </c>
      <c r="G1897" s="238">
        <f>IFERROR(__xludf.DUMMYFUNCTION("""COMPUTED_VALUE"""),45996.0)</f>
        <v>45996</v>
      </c>
      <c r="H1897" s="238">
        <f>IFERROR(__xludf.DUMMYFUNCTION("""COMPUTED_VALUE"""),45996.08333333333)</f>
        <v>45996.08333</v>
      </c>
      <c r="I1897" s="237" t="str">
        <f t="shared" si="1"/>
        <v>Fora</v>
      </c>
      <c r="J1897" s="239">
        <v>120.00000001396984</v>
      </c>
    </row>
    <row r="1898">
      <c r="A1898" s="234" t="s">
        <v>3589</v>
      </c>
      <c r="B1898" s="234" t="str">
        <f>IFERROR(__xludf.DUMMYFUNCTION("""COMPUTED_VALUE"""),"LM Hub_MG_Varginha_Fausto")</f>
        <v>LM Hub_MG_Varginha_Fausto</v>
      </c>
      <c r="C1898" s="234" t="str">
        <f>IFERROR(__xludf.DUMMYFUNCTION("""COMPUTED_VALUE"""),"HUB-LMG-45")</f>
        <v>HUB-LMG-45</v>
      </c>
      <c r="D1898" s="234">
        <f>IFERROR(__xludf.DUMMYFUNCTION("""COMPUTED_VALUE"""),18.0)</f>
        <v>18</v>
      </c>
      <c r="E1898" s="237" t="str">
        <f>IFERROR(__xludf.DUMMYFUNCTION("""COMPUTED_VALUE"""),"LT0PC501T65O1")</f>
        <v>LT0PC501T65O1</v>
      </c>
      <c r="F1898" s="238" t="str">
        <f>IFERROR(__xludf.DUMMYFUNCTION("""COMPUTED_VALUE"""),"EZP2D49")</f>
        <v>EZP2D49</v>
      </c>
      <c r="G1898" s="238">
        <f>IFERROR(__xludf.DUMMYFUNCTION("""COMPUTED_VALUE"""),45996.02083333333)</f>
        <v>45996.02083</v>
      </c>
      <c r="H1898" s="238">
        <f>IFERROR(__xludf.DUMMYFUNCTION("""COMPUTED_VALUE"""),45996.10416666667)</f>
        <v>45996.10417</v>
      </c>
      <c r="I1898" s="237" t="str">
        <f t="shared" si="1"/>
        <v>Fora</v>
      </c>
      <c r="J1898" s="239">
        <v>120.00000001396984</v>
      </c>
    </row>
    <row r="1899">
      <c r="A1899" s="234" t="s">
        <v>3590</v>
      </c>
      <c r="B1899" s="234" t="str">
        <f>IFERROR(__xludf.DUMMYFUNCTION("""COMPUTED_VALUE"""),"LM Hub_SP_Tatuí")</f>
        <v>LM Hub_SP_Tatuí</v>
      </c>
      <c r="C1899" s="234" t="str">
        <f>IFERROR(__xludf.DUMMYFUNCTION("""COMPUTED_VALUE"""),"HUB-LSP-51")</f>
        <v>HUB-LSP-51</v>
      </c>
      <c r="D1899" s="234">
        <f>IFERROR(__xludf.DUMMYFUNCTION("""COMPUTED_VALUE"""),13.0)</f>
        <v>13</v>
      </c>
      <c r="E1899" s="237" t="str">
        <f>IFERROR(__xludf.DUMMYFUNCTION("""COMPUTED_VALUE"""),"LT0PC501T0FR1")</f>
        <v>LT0PC501T0FR1</v>
      </c>
      <c r="F1899" s="238" t="str">
        <f>IFERROR(__xludf.DUMMYFUNCTION("""COMPUTED_VALUE"""),"SWR6H23,FTZ4B35")</f>
        <v>SWR6H23,FTZ4B35</v>
      </c>
      <c r="G1899" s="238">
        <f>IFERROR(__xludf.DUMMYFUNCTION("""COMPUTED_VALUE"""),45996.08333333333)</f>
        <v>45996.08333</v>
      </c>
      <c r="H1899" s="238">
        <f>IFERROR(__xludf.DUMMYFUNCTION("""COMPUTED_VALUE"""),45996.16666666667)</f>
        <v>45996.16667</v>
      </c>
      <c r="I1899" s="237" t="str">
        <f t="shared" si="1"/>
        <v>Fora</v>
      </c>
      <c r="J1899" s="239">
        <v>120.00000001396984</v>
      </c>
    </row>
    <row r="1900">
      <c r="A1900" s="234" t="s">
        <v>3591</v>
      </c>
      <c r="B1900" s="234" t="str">
        <f>IFERROR(__xludf.DUMMYFUNCTION("""COMPUTED_VALUE"""),"SoC_PE_Jaboatão dos Guararapes")</f>
        <v>SoC_PE_Jaboatão dos Guararapes</v>
      </c>
      <c r="C1900" s="234" t="str">
        <f>IFERROR(__xludf.DUMMYFUNCTION("""COMPUTED_VALUE"""),"SOC-PE2")</f>
        <v>SOC-PE2</v>
      </c>
      <c r="D1900" s="234">
        <f>IFERROR(__xludf.DUMMYFUNCTION("""COMPUTED_VALUE"""),25.0)</f>
        <v>25</v>
      </c>
      <c r="E1900" s="237" t="str">
        <f>IFERROR(__xludf.DUMMYFUNCTION("""COMPUTED_VALUE"""),"LT1PC501THOS1")</f>
        <v>LT1PC501THOS1</v>
      </c>
      <c r="F1900" s="238" t="str">
        <f>IFERROR(__xludf.DUMMYFUNCTION("""COMPUTED_VALUE"""),"DTE8B66,GFJ1E01")</f>
        <v>DTE8B66,GFJ1E01</v>
      </c>
      <c r="G1900" s="238">
        <f>IFERROR(__xludf.DUMMYFUNCTION("""COMPUTED_VALUE"""),45996.08333333333)</f>
        <v>45996.08333</v>
      </c>
      <c r="H1900" s="238">
        <f>IFERROR(__xludf.DUMMYFUNCTION("""COMPUTED_VALUE"""),45996.16666666667)</f>
        <v>45996.16667</v>
      </c>
      <c r="I1900" s="237" t="str">
        <f t="shared" si="1"/>
        <v>Fora</v>
      </c>
      <c r="J1900" s="239">
        <v>119.99999999301508</v>
      </c>
    </row>
    <row r="1901">
      <c r="A1901" s="234" t="s">
        <v>3592</v>
      </c>
      <c r="B1901" s="234" t="str">
        <f>IFERROR(__xludf.DUMMYFUNCTION("""COMPUTED_VALUE"""),"LM Hub_SP_Itapetininga")</f>
        <v>LM Hub_SP_Itapetininga</v>
      </c>
      <c r="C1901" s="234" t="str">
        <f>IFERROR(__xludf.DUMMYFUNCTION("""COMPUTED_VALUE"""),"HUB-LSP-53")</f>
        <v>HUB-LSP-53</v>
      </c>
      <c r="D1901" s="234">
        <f>IFERROR(__xludf.DUMMYFUNCTION("""COMPUTED_VALUE"""),46.0)</f>
        <v>46</v>
      </c>
      <c r="E1901" s="237" t="str">
        <f>IFERROR(__xludf.DUMMYFUNCTION("""COMPUTED_VALUE"""),"LT0PC501T0FM1")</f>
        <v>LT0PC501T0FM1</v>
      </c>
      <c r="F1901" s="238" t="str">
        <f>IFERROR(__xludf.DUMMYFUNCTION("""COMPUTED_VALUE"""),"FLQ1E34,FLQ1E30")</f>
        <v>FLQ1E34,FLQ1E30</v>
      </c>
      <c r="G1901" s="238">
        <f>IFERROR(__xludf.DUMMYFUNCTION("""COMPUTED_VALUE"""),45996.10416666667)</f>
        <v>45996.10417</v>
      </c>
      <c r="H1901" s="238">
        <f>IFERROR(__xludf.DUMMYFUNCTION("""COMPUTED_VALUE"""),45996.1875)</f>
        <v>45996.1875</v>
      </c>
      <c r="I1901" s="237" t="str">
        <f t="shared" si="1"/>
        <v>Fora</v>
      </c>
      <c r="J1901" s="239">
        <v>119.99999999301508</v>
      </c>
    </row>
    <row r="1902">
      <c r="A1902" s="234" t="s">
        <v>3593</v>
      </c>
      <c r="B1902" s="234" t="str">
        <f>IFERROR(__xludf.DUMMYFUNCTION("""COMPUTED_VALUE"""),"LM Hub_SP_São Carlos")</f>
        <v>LM Hub_SP_São Carlos</v>
      </c>
      <c r="C1902" s="234" t="str">
        <f>IFERROR(__xludf.DUMMYFUNCTION("""COMPUTED_VALUE"""),"HUB-LSP-31")</f>
        <v>HUB-LSP-31</v>
      </c>
      <c r="D1902" s="234">
        <f>IFERROR(__xludf.DUMMYFUNCTION("""COMPUTED_VALUE"""),39.0)</f>
        <v>39</v>
      </c>
      <c r="E1902" s="237" t="str">
        <f>IFERROR(__xludf.DUMMYFUNCTION("""COMPUTED_VALUE"""),"LT0PC501T0IH1")</f>
        <v>LT0PC501T0IH1</v>
      </c>
      <c r="F1902" s="238" t="str">
        <f>IFERROR(__xludf.DUMMYFUNCTION("""COMPUTED_VALUE"""),"FZQ1I50")</f>
        <v>FZQ1I50</v>
      </c>
      <c r="G1902" s="238">
        <f>IFERROR(__xludf.DUMMYFUNCTION("""COMPUTED_VALUE"""),45996.10416666667)</f>
        <v>45996.10417</v>
      </c>
      <c r="H1902" s="238">
        <f>IFERROR(__xludf.DUMMYFUNCTION("""COMPUTED_VALUE"""),45996.1875)</f>
        <v>45996.1875</v>
      </c>
      <c r="I1902" s="237" t="str">
        <f t="shared" si="1"/>
        <v>Fora</v>
      </c>
      <c r="J1902" s="239">
        <v>538.9999999967404</v>
      </c>
    </row>
    <row r="1903">
      <c r="A1903" s="234" t="s">
        <v>3594</v>
      </c>
      <c r="B1903" s="234" t="str">
        <f>IFERROR(__xludf.DUMMYFUNCTION("""COMPUTED_VALUE"""),"SoC_GO_Goiânia_02")</f>
        <v>SoC_GO_Goiânia_02</v>
      </c>
      <c r="C1903" s="234" t="str">
        <f>IFERROR(__xludf.DUMMYFUNCTION("""COMPUTED_VALUE"""),"SOC-GO2")</f>
        <v>SOC-GO2</v>
      </c>
      <c r="D1903" s="234">
        <f>IFERROR(__xludf.DUMMYFUNCTION("""COMPUTED_VALUE"""),86.0)</f>
        <v>86</v>
      </c>
      <c r="E1903" s="237" t="str">
        <f>IFERROR(__xludf.DUMMYFUNCTION("""COMPUTED_VALUE"""),"LT0PC401T6T21")</f>
        <v>LT0PC401T6T21</v>
      </c>
      <c r="F1903" s="238" t="str">
        <f>IFERROR(__xludf.DUMMYFUNCTION("""COMPUTED_VALUE"""),"GVJ3J98")</f>
        <v>GVJ3J98</v>
      </c>
      <c r="G1903" s="238">
        <f>IFERROR(__xludf.DUMMYFUNCTION("""COMPUTED_VALUE"""),45995.834027777775)</f>
        <v>45995.83403</v>
      </c>
      <c r="H1903" s="238">
        <f>IFERROR(__xludf.DUMMYFUNCTION("""COMPUTED_VALUE"""),45996.20833333333)</f>
        <v>45996.20833</v>
      </c>
      <c r="I1903" s="237" t="str">
        <f t="shared" si="1"/>
        <v>Fora</v>
      </c>
      <c r="J1903" s="239">
        <v>119.99999999301508</v>
      </c>
    </row>
    <row r="1904">
      <c r="A1904" s="234" t="s">
        <v>3595</v>
      </c>
      <c r="B1904" s="234" t="str">
        <f>IFERROR(__xludf.DUMMYFUNCTION("""COMPUTED_VALUE"""),"LM Hub_SP_Itapeva")</f>
        <v>LM Hub_SP_Itapeva</v>
      </c>
      <c r="C1904" s="234" t="str">
        <f>IFERROR(__xludf.DUMMYFUNCTION("""COMPUTED_VALUE"""),"HUB-LSP-39")</f>
        <v>HUB-LSP-39</v>
      </c>
      <c r="D1904" s="234">
        <f>IFERROR(__xludf.DUMMYFUNCTION("""COMPUTED_VALUE"""),7.0)</f>
        <v>7</v>
      </c>
      <c r="E1904" s="237" t="str">
        <f>IFERROR(__xludf.DUMMYFUNCTION("""COMPUTED_VALUE"""),"LT0PC501T0FW1")</f>
        <v>LT0PC501T0FW1</v>
      </c>
      <c r="F1904" s="238" t="str">
        <f>IFERROR(__xludf.DUMMYFUNCTION("""COMPUTED_VALUE"""),"DTC3E38")</f>
        <v>DTC3E38</v>
      </c>
      <c r="G1904" s="238">
        <f>IFERROR(__xludf.DUMMYFUNCTION("""COMPUTED_VALUE"""),45996.125)</f>
        <v>45996.125</v>
      </c>
      <c r="H1904" s="238">
        <f>IFERROR(__xludf.DUMMYFUNCTION("""COMPUTED_VALUE"""),45996.20833333333)</f>
        <v>45996.20833</v>
      </c>
      <c r="I1904" s="237" t="str">
        <f t="shared" si="1"/>
        <v>Fora</v>
      </c>
      <c r="J1904" s="239">
        <v>119.99999999301508</v>
      </c>
    </row>
    <row r="1905">
      <c r="A1905" s="234" t="s">
        <v>3596</v>
      </c>
      <c r="B1905" s="234" t="str">
        <f>IFERROR(__xludf.DUMMYFUNCTION("""COMPUTED_VALUE"""),"LM Hub_SP_Sumaré_Nova Veneza_1")</f>
        <v>LM Hub_SP_Sumaré_Nova Veneza_1</v>
      </c>
      <c r="C1905" s="234" t="str">
        <f>IFERROR(__xludf.DUMMYFUNCTION("""COMPUTED_VALUE"""),"HUB-LSP-88")</f>
        <v>HUB-LSP-88</v>
      </c>
      <c r="D1905" s="234">
        <f>IFERROR(__xludf.DUMMYFUNCTION("""COMPUTED_VALUE"""),40.0)</f>
        <v>40</v>
      </c>
      <c r="E1905" s="237" t="str">
        <f>IFERROR(__xludf.DUMMYFUNCTION("""COMPUTED_VALUE"""),"LT0PC501T61Z1")</f>
        <v>LT0PC501T61Z1</v>
      </c>
      <c r="F1905" s="238" t="str">
        <f>IFERROR(__xludf.DUMMYFUNCTION("""COMPUTED_VALUE"""),"QXU3D20")</f>
        <v>QXU3D20</v>
      </c>
      <c r="G1905" s="238">
        <f>IFERROR(__xludf.DUMMYFUNCTION("""COMPUTED_VALUE"""),45996.125)</f>
        <v>45996.125</v>
      </c>
      <c r="H1905" s="238">
        <f>IFERROR(__xludf.DUMMYFUNCTION("""COMPUTED_VALUE"""),45996.20833333333)</f>
        <v>45996.20833</v>
      </c>
      <c r="I1905" s="237" t="str">
        <f t="shared" si="1"/>
        <v>Fora</v>
      </c>
      <c r="J1905" s="239">
        <v>120.00000001396984</v>
      </c>
    </row>
    <row r="1906">
      <c r="A1906" s="234" t="s">
        <v>3597</v>
      </c>
      <c r="B1906" s="234" t="str">
        <f>IFERROR(__xludf.DUMMYFUNCTION("""COMPUTED_VALUE"""),"LM Hub_SP_Campinas_São Martinho")</f>
        <v>LM Hub_SP_Campinas_São Martinho</v>
      </c>
      <c r="C1906" s="234" t="str">
        <f>IFERROR(__xludf.DUMMYFUNCTION("""COMPUTED_VALUE"""),"HUB-LSP-19")</f>
        <v>HUB-LSP-19</v>
      </c>
      <c r="D1906" s="234">
        <f>IFERROR(__xludf.DUMMYFUNCTION("""COMPUTED_VALUE"""),14.0)</f>
        <v>14</v>
      </c>
      <c r="E1906" s="237" t="str">
        <f>IFERROR(__xludf.DUMMYFUNCTION("""COMPUTED_VALUE"""),"LT0PC501T0JC1")</f>
        <v>LT0PC501T0JC1</v>
      </c>
      <c r="F1906" s="238" t="str">
        <f>IFERROR(__xludf.DUMMYFUNCTION("""COMPUTED_VALUE"""),"OKQ5H03,FJP9A36")</f>
        <v>OKQ5H03,FJP9A36</v>
      </c>
      <c r="G1906" s="238">
        <f>IFERROR(__xludf.DUMMYFUNCTION("""COMPUTED_VALUE"""),45996.14583333333)</f>
        <v>45996.14583</v>
      </c>
      <c r="H1906" s="238">
        <f>IFERROR(__xludf.DUMMYFUNCTION("""COMPUTED_VALUE"""),45996.22916666667)</f>
        <v>45996.22917</v>
      </c>
      <c r="I1906" s="237" t="str">
        <f t="shared" si="1"/>
        <v>Fora</v>
      </c>
      <c r="J1906" s="239">
        <v>120.00000001396984</v>
      </c>
    </row>
    <row r="1907">
      <c r="A1907" s="234" t="s">
        <v>3598</v>
      </c>
      <c r="B1907" s="234" t="str">
        <f>IFERROR(__xludf.DUMMYFUNCTION("""COMPUTED_VALUE"""),"LM Hub_SP_Mogi Mirim")</f>
        <v>LM Hub_SP_Mogi Mirim</v>
      </c>
      <c r="C1907" s="234" t="str">
        <f>IFERROR(__xludf.DUMMYFUNCTION("""COMPUTED_VALUE"""),"HUB-LSP-37")</f>
        <v>HUB-LSP-37</v>
      </c>
      <c r="D1907" s="234">
        <f>IFERROR(__xludf.DUMMYFUNCTION("""COMPUTED_VALUE"""),38.0)</f>
        <v>38</v>
      </c>
      <c r="E1907" s="237" t="str">
        <f>IFERROR(__xludf.DUMMYFUNCTION("""COMPUTED_VALUE"""),"LT0PC501T0IO1")</f>
        <v>LT0PC501T0IO1</v>
      </c>
      <c r="F1907" s="238" t="str">
        <f>IFERROR(__xludf.DUMMYFUNCTION("""COMPUTED_VALUE"""),"TLE4D84")</f>
        <v>TLE4D84</v>
      </c>
      <c r="G1907" s="238">
        <f>IFERROR(__xludf.DUMMYFUNCTION("""COMPUTED_VALUE"""),45996.14583333333)</f>
        <v>45996.14583</v>
      </c>
      <c r="H1907" s="238">
        <f>IFERROR(__xludf.DUMMYFUNCTION("""COMPUTED_VALUE"""),45996.22916666667)</f>
        <v>45996.22917</v>
      </c>
      <c r="I1907" s="237" t="str">
        <f t="shared" si="1"/>
        <v>Fora</v>
      </c>
      <c r="J1907" s="239">
        <v>120.00000001396984</v>
      </c>
    </row>
    <row r="1908">
      <c r="A1908" s="234" t="s">
        <v>3599</v>
      </c>
      <c r="B1908" s="234" t="str">
        <f>IFERROR(__xludf.DUMMYFUNCTION("""COMPUTED_VALUE"""),"LM Hub_SP_Osasco_02")</f>
        <v>LM Hub_SP_Osasco_02</v>
      </c>
      <c r="C1908" s="234" t="str">
        <f>IFERROR(__xludf.DUMMYFUNCTION("""COMPUTED_VALUE"""),"HUB-LSP-60")</f>
        <v>HUB-LSP-60</v>
      </c>
      <c r="D1908" s="234">
        <f>IFERROR(__xludf.DUMMYFUNCTION("""COMPUTED_VALUE"""),28.0)</f>
        <v>28</v>
      </c>
      <c r="E1908" s="237" t="str">
        <f>IFERROR(__xludf.DUMMYFUNCTION("""COMPUTED_VALUE"""),"LT0PC501T1MJ1")</f>
        <v>LT0PC501T1MJ1</v>
      </c>
      <c r="F1908" s="238" t="str">
        <f>IFERROR(__xludf.DUMMYFUNCTION("""COMPUTED_VALUE"""),"TLV0E90,GGU5E98")</f>
        <v>TLV0E90,GGU5E98</v>
      </c>
      <c r="G1908" s="238">
        <f>IFERROR(__xludf.DUMMYFUNCTION("""COMPUTED_VALUE"""),45996.14583333333)</f>
        <v>45996.14583</v>
      </c>
      <c r="H1908" s="238">
        <f>IFERROR(__xludf.DUMMYFUNCTION("""COMPUTED_VALUE"""),45996.22916666667)</f>
        <v>45996.22917</v>
      </c>
      <c r="I1908" s="237" t="str">
        <f t="shared" si="1"/>
        <v>Fora</v>
      </c>
      <c r="J1908" s="239">
        <v>119.00000001071021</v>
      </c>
    </row>
    <row r="1909">
      <c r="A1909" s="234" t="s">
        <v>3600</v>
      </c>
      <c r="B1909" s="234" t="str">
        <f>IFERROR(__xludf.DUMMYFUNCTION("""COMPUTED_VALUE"""),"LM Hub_SP_Sorocaba_Região Norte")</f>
        <v>LM Hub_SP_Sorocaba_Região Norte</v>
      </c>
      <c r="C1909" s="234" t="str">
        <f>IFERROR(__xludf.DUMMYFUNCTION("""COMPUTED_VALUE"""),"HUB-LSP-10")</f>
        <v>HUB-LSP-10</v>
      </c>
      <c r="D1909" s="234">
        <f>IFERROR(__xludf.DUMMYFUNCTION("""COMPUTED_VALUE"""),15.0)</f>
        <v>15</v>
      </c>
      <c r="E1909" s="237" t="str">
        <f>IFERROR(__xludf.DUMMYFUNCTION("""COMPUTED_VALUE"""),"LT0PC501T0HI1")</f>
        <v>LT0PC501T0HI1</v>
      </c>
      <c r="F1909" s="238" t="str">
        <f>IFERROR(__xludf.DUMMYFUNCTION("""COMPUTED_VALUE"""),"NFW3H03,CYN6J16")</f>
        <v>NFW3H03,CYN6J16</v>
      </c>
      <c r="G1909" s="238">
        <f>IFERROR(__xludf.DUMMYFUNCTION("""COMPUTED_VALUE"""),45996.146527777775)</f>
        <v>45996.14653</v>
      </c>
      <c r="H1909" s="238">
        <f>IFERROR(__xludf.DUMMYFUNCTION("""COMPUTED_VALUE"""),45996.22916666667)</f>
        <v>45996.22917</v>
      </c>
      <c r="I1909" s="237" t="str">
        <f t="shared" si="1"/>
        <v>Fora</v>
      </c>
      <c r="J1909" s="239">
        <v>538.9999999967404</v>
      </c>
    </row>
    <row r="1910">
      <c r="A1910" s="234" t="s">
        <v>3601</v>
      </c>
      <c r="B1910" s="234" t="str">
        <f>IFERROR(__xludf.DUMMYFUNCTION("""COMPUTED_VALUE"""),"SoC_GO_Goiânia_02")</f>
        <v>SoC_GO_Goiânia_02</v>
      </c>
      <c r="C1910" s="234" t="str">
        <f>IFERROR(__xludf.DUMMYFUNCTION("""COMPUTED_VALUE"""),"SOC-GO2")</f>
        <v>SOC-GO2</v>
      </c>
      <c r="D1910" s="234">
        <f>IFERROR(__xludf.DUMMYFUNCTION("""COMPUTED_VALUE"""),87.0)</f>
        <v>87</v>
      </c>
      <c r="E1910" s="237" t="str">
        <f>IFERROR(__xludf.DUMMYFUNCTION("""COMPUTED_VALUE"""),"LT0PC401T6T52")</f>
        <v>LT0PC401T6T52</v>
      </c>
      <c r="F1910" s="238" t="str">
        <f>IFERROR(__xludf.DUMMYFUNCTION("""COMPUTED_VALUE"""),"GVJ3J98,FCW7H19")</f>
        <v>GVJ3J98,FCW7H19</v>
      </c>
      <c r="G1910" s="238">
        <f>IFERROR(__xludf.DUMMYFUNCTION("""COMPUTED_VALUE"""),45995.87569444445)</f>
        <v>45995.87569</v>
      </c>
      <c r="H1910" s="238">
        <f>IFERROR(__xludf.DUMMYFUNCTION("""COMPUTED_VALUE"""),45996.25)</f>
        <v>45996.25</v>
      </c>
      <c r="I1910" s="237" t="str">
        <f t="shared" si="1"/>
        <v>Fora</v>
      </c>
      <c r="J1910" s="239">
        <v>119.99999999301508</v>
      </c>
    </row>
    <row r="1911">
      <c r="A1911" s="234" t="s">
        <v>3602</v>
      </c>
      <c r="B1911" s="234" t="str">
        <f>IFERROR(__xludf.DUMMYFUNCTION("""COMPUTED_VALUE"""),"LM Hub_ES_Viana")</f>
        <v>LM Hub_ES_Viana</v>
      </c>
      <c r="C1911" s="234" t="str">
        <f>IFERROR(__xludf.DUMMYFUNCTION("""COMPUTED_VALUE"""),"HUB-LES-09")</f>
        <v>HUB-LES-09</v>
      </c>
      <c r="D1911" s="234">
        <f>IFERROR(__xludf.DUMMYFUNCTION("""COMPUTED_VALUE"""),29.0)</f>
        <v>29</v>
      </c>
      <c r="E1911" s="237" t="str">
        <f>IFERROR(__xludf.DUMMYFUNCTION("""COMPUTED_VALUE"""),"LT0PC501T4WK1")</f>
        <v>LT0PC501T4WK1</v>
      </c>
      <c r="F1911" s="238" t="str">
        <f>IFERROR(__xludf.DUMMYFUNCTION("""COMPUTED_VALUE"""),"SFW8C57")</f>
        <v>SFW8C57</v>
      </c>
      <c r="G1911" s="238">
        <f>IFERROR(__xludf.DUMMYFUNCTION("""COMPUTED_VALUE"""),45996.16666666667)</f>
        <v>45996.16667</v>
      </c>
      <c r="H1911" s="238">
        <f>IFERROR(__xludf.DUMMYFUNCTION("""COMPUTED_VALUE"""),45996.25)</f>
        <v>45996.25</v>
      </c>
      <c r="I1911" s="237" t="str">
        <f t="shared" si="1"/>
        <v>Fora</v>
      </c>
      <c r="J1911" s="239">
        <v>119.99999999301508</v>
      </c>
    </row>
    <row r="1912">
      <c r="A1912" s="234" t="s">
        <v>3603</v>
      </c>
      <c r="B1912" s="234" t="str">
        <f>IFERROR(__xludf.DUMMYFUNCTION("""COMPUTED_VALUE"""),"LM Hub_SP_Guaratinguetá")</f>
        <v>LM Hub_SP_Guaratinguetá</v>
      </c>
      <c r="C1912" s="234" t="str">
        <f>IFERROR(__xludf.DUMMYFUNCTION("""COMPUTED_VALUE"""),"HUB-LSP-33")</f>
        <v>HUB-LSP-33</v>
      </c>
      <c r="D1912" s="234">
        <f>IFERROR(__xludf.DUMMYFUNCTION("""COMPUTED_VALUE"""),16.0)</f>
        <v>16</v>
      </c>
      <c r="E1912" s="237" t="str">
        <f>IFERROR(__xludf.DUMMYFUNCTION("""COMPUTED_VALUE"""),"LT0PC501T0GP1")</f>
        <v>LT0PC501T0GP1</v>
      </c>
      <c r="F1912" s="238" t="str">
        <f>IFERROR(__xludf.DUMMYFUNCTION("""COMPUTED_VALUE"""),"EKH3880")</f>
        <v>EKH3880</v>
      </c>
      <c r="G1912" s="238">
        <f>IFERROR(__xludf.DUMMYFUNCTION("""COMPUTED_VALUE"""),45996.16666666667)</f>
        <v>45996.16667</v>
      </c>
      <c r="H1912" s="238">
        <f>IFERROR(__xludf.DUMMYFUNCTION("""COMPUTED_VALUE"""),45996.25)</f>
        <v>45996.25</v>
      </c>
      <c r="I1912" s="237" t="str">
        <f t="shared" si="1"/>
        <v>Fora</v>
      </c>
      <c r="J1912" s="239">
        <v>119.99999999301508</v>
      </c>
    </row>
    <row r="1913">
      <c r="A1913" s="234" t="s">
        <v>3604</v>
      </c>
      <c r="B1913" s="234" t="str">
        <f>IFERROR(__xludf.DUMMYFUNCTION("""COMPUTED_VALUE"""),"LM Hub_SP_Limeira_Campo Belo")</f>
        <v>LM Hub_SP_Limeira_Campo Belo</v>
      </c>
      <c r="C1913" s="234" t="str">
        <f>IFERROR(__xludf.DUMMYFUNCTION("""COMPUTED_VALUE"""),"HUB-LSP-24")</f>
        <v>HUB-LSP-24</v>
      </c>
      <c r="D1913" s="234">
        <f>IFERROR(__xludf.DUMMYFUNCTION("""COMPUTED_VALUE"""),36.0)</f>
        <v>36</v>
      </c>
      <c r="E1913" s="237" t="str">
        <f>IFERROR(__xludf.DUMMYFUNCTION("""COMPUTED_VALUE"""),"LT0PC501T0HQ1")</f>
        <v>LT0PC501T0HQ1</v>
      </c>
      <c r="F1913" s="238" t="str">
        <f>IFERROR(__xludf.DUMMYFUNCTION("""COMPUTED_VALUE"""),"FLO1G76")</f>
        <v>FLO1G76</v>
      </c>
      <c r="G1913" s="238">
        <f>IFERROR(__xludf.DUMMYFUNCTION("""COMPUTED_VALUE"""),45996.16666666667)</f>
        <v>45996.16667</v>
      </c>
      <c r="H1913" s="238">
        <f>IFERROR(__xludf.DUMMYFUNCTION("""COMPUTED_VALUE"""),45996.25)</f>
        <v>45996.25</v>
      </c>
      <c r="I1913" s="237" t="str">
        <f t="shared" si="1"/>
        <v>Fora</v>
      </c>
      <c r="J1913" s="239">
        <v>119.99999999301508</v>
      </c>
    </row>
    <row r="1914">
      <c r="A1914" s="234" t="s">
        <v>3605</v>
      </c>
      <c r="B1914" s="234" t="str">
        <f>IFERROR(__xludf.DUMMYFUNCTION("""COMPUTED_VALUE"""),"LM Hub_SP_Várzea Paulista")</f>
        <v>LM Hub_SP_Várzea Paulista</v>
      </c>
      <c r="C1914" s="234" t="str">
        <f>IFERROR(__xludf.DUMMYFUNCTION("""COMPUTED_VALUE"""),"HUB-LSP-61")</f>
        <v>HUB-LSP-61</v>
      </c>
      <c r="D1914" s="234">
        <f>IFERROR(__xludf.DUMMYFUNCTION("""COMPUTED_VALUE"""),49.0)</f>
        <v>49</v>
      </c>
      <c r="E1914" s="237" t="str">
        <f>IFERROR(__xludf.DUMMYFUNCTION("""COMPUTED_VALUE"""),"LT0PC501T0I01")</f>
        <v>LT0PC501T0I01</v>
      </c>
      <c r="F1914" s="238" t="str">
        <f>IFERROR(__xludf.DUMMYFUNCTION("""COMPUTED_VALUE"""),"HNQ8267")</f>
        <v>HNQ8267</v>
      </c>
      <c r="G1914" s="238">
        <f>IFERROR(__xludf.DUMMYFUNCTION("""COMPUTED_VALUE"""),45996.16666666667)</f>
        <v>45996.16667</v>
      </c>
      <c r="H1914" s="238">
        <f>IFERROR(__xludf.DUMMYFUNCTION("""COMPUTED_VALUE"""),45996.25)</f>
        <v>45996.25</v>
      </c>
      <c r="I1914" s="237" t="str">
        <f t="shared" si="1"/>
        <v>Fora</v>
      </c>
      <c r="J1914" s="239">
        <v>119.99999999301508</v>
      </c>
    </row>
    <row r="1915">
      <c r="A1915" s="234" t="s">
        <v>3606</v>
      </c>
      <c r="B1915" s="234" t="str">
        <f>IFERROR(__xludf.DUMMYFUNCTION("""COMPUTED_VALUE"""),"LM_Hub_SP_Registro")</f>
        <v>LM_Hub_SP_Registro</v>
      </c>
      <c r="C1915" s="234" t="str">
        <f>IFERROR(__xludf.DUMMYFUNCTION("""COMPUTED_VALUE"""),"HUB-LSP-40")</f>
        <v>HUB-LSP-40</v>
      </c>
      <c r="D1915" s="234">
        <f>IFERROR(__xludf.DUMMYFUNCTION("""COMPUTED_VALUE"""),6.0)</f>
        <v>6</v>
      </c>
      <c r="E1915" s="237" t="str">
        <f>IFERROR(__xludf.DUMMYFUNCTION("""COMPUTED_VALUE"""),"LT0PC501T0GD1")</f>
        <v>LT0PC501T0GD1</v>
      </c>
      <c r="F1915" s="238" t="str">
        <f>IFERROR(__xludf.DUMMYFUNCTION("""COMPUTED_VALUE"""),"FSV9B90")</f>
        <v>FSV9B90</v>
      </c>
      <c r="G1915" s="238">
        <f>IFERROR(__xludf.DUMMYFUNCTION("""COMPUTED_VALUE"""),45996.16666666667)</f>
        <v>45996.16667</v>
      </c>
      <c r="H1915" s="238">
        <f>IFERROR(__xludf.DUMMYFUNCTION("""COMPUTED_VALUE"""),45996.25)</f>
        <v>45996.25</v>
      </c>
      <c r="I1915" s="237" t="str">
        <f t="shared" si="1"/>
        <v>Fora</v>
      </c>
      <c r="J1915" s="239">
        <v>119.99999999301508</v>
      </c>
    </row>
    <row r="1916">
      <c r="A1916" s="234" t="s">
        <v>3607</v>
      </c>
      <c r="B1916" s="234" t="str">
        <f>IFERROR(__xludf.DUMMYFUNCTION("""COMPUTED_VALUE"""),"SoC_RS_Gravataí_02")</f>
        <v>SoC_RS_Gravataí_02</v>
      </c>
      <c r="C1916" s="234" t="str">
        <f>IFERROR(__xludf.DUMMYFUNCTION("""COMPUTED_VALUE"""),"SOC-RS2")</f>
        <v>SOC-RS2</v>
      </c>
      <c r="D1916" s="234">
        <f>IFERROR(__xludf.DUMMYFUNCTION("""COMPUTED_VALUE"""),27.0)</f>
        <v>27</v>
      </c>
      <c r="E1916" s="237" t="str">
        <f>IFERROR(__xludf.DUMMYFUNCTION("""COMPUTED_VALUE"""),"LT0PC501T6VE1")</f>
        <v>LT0PC501T6VE1</v>
      </c>
      <c r="F1916" s="238" t="str">
        <f>IFERROR(__xludf.DUMMYFUNCTION("""COMPUTED_VALUE"""),"OVJ9C24,BYP8D62")</f>
        <v>OVJ9C24,BYP8D62</v>
      </c>
      <c r="G1916" s="238">
        <f>IFERROR(__xludf.DUMMYFUNCTION("""COMPUTED_VALUE"""),45996.16666666667)</f>
        <v>45996.16667</v>
      </c>
      <c r="H1916" s="238">
        <f>IFERROR(__xludf.DUMMYFUNCTION("""COMPUTED_VALUE"""),45996.25)</f>
        <v>45996.25</v>
      </c>
      <c r="I1916" s="237" t="str">
        <f t="shared" si="1"/>
        <v>Fora</v>
      </c>
      <c r="J1916" s="239">
        <v>119.99999999301508</v>
      </c>
    </row>
    <row r="1917">
      <c r="A1917" s="234" t="s">
        <v>3608</v>
      </c>
      <c r="B1917" s="234" t="str">
        <f>IFERROR(__xludf.DUMMYFUNCTION("""COMPUTED_VALUE"""),"LM Hub_SP_Atibaia_Ponte_Alta")</f>
        <v>LM Hub_SP_Atibaia_Ponte_Alta</v>
      </c>
      <c r="C1917" s="234" t="str">
        <f>IFERROR(__xludf.DUMMYFUNCTION("""COMPUTED_VALUE"""),"HUB-LSP-87")</f>
        <v>HUB-LSP-87</v>
      </c>
      <c r="D1917" s="234">
        <f>IFERROR(__xludf.DUMMYFUNCTION("""COMPUTED_VALUE"""),12.0)</f>
        <v>12</v>
      </c>
      <c r="E1917" s="237" t="str">
        <f>IFERROR(__xludf.DUMMYFUNCTION("""COMPUTED_VALUE"""),"LT0PC501T4QF1")</f>
        <v>LT0PC501T4QF1</v>
      </c>
      <c r="F1917" s="238" t="str">
        <f>IFERROR(__xludf.DUMMYFUNCTION("""COMPUTED_VALUE"""),"UGN5F59")</f>
        <v>UGN5F59</v>
      </c>
      <c r="G1917" s="238">
        <f>IFERROR(__xludf.DUMMYFUNCTION("""COMPUTED_VALUE"""),45996.1875)</f>
        <v>45996.1875</v>
      </c>
      <c r="H1917" s="238">
        <f>IFERROR(__xludf.DUMMYFUNCTION("""COMPUTED_VALUE"""),45996.27083333333)</f>
        <v>45996.27083</v>
      </c>
      <c r="I1917" s="237" t="str">
        <f t="shared" si="1"/>
        <v>Fora</v>
      </c>
      <c r="J1917" s="239">
        <v>119.99999999301508</v>
      </c>
    </row>
    <row r="1918">
      <c r="A1918" s="234" t="s">
        <v>3609</v>
      </c>
      <c r="B1918" s="234" t="str">
        <f>IFERROR(__xludf.DUMMYFUNCTION("""COMPUTED_VALUE"""),"LM Hub_SP_Embu das Artes")</f>
        <v>LM Hub_SP_Embu das Artes</v>
      </c>
      <c r="C1918" s="234" t="str">
        <f>IFERROR(__xludf.DUMMYFUNCTION("""COMPUTED_VALUE"""),"HUB-LSP-36")</f>
        <v>HUB-LSP-36</v>
      </c>
      <c r="D1918" s="234">
        <f>IFERROR(__xludf.DUMMYFUNCTION("""COMPUTED_VALUE"""),34.0)</f>
        <v>34</v>
      </c>
      <c r="E1918" s="237" t="str">
        <f>IFERROR(__xludf.DUMMYFUNCTION("""COMPUTED_VALUE"""),"LT0PC501T1NN1")</f>
        <v>LT0PC501T1NN1</v>
      </c>
      <c r="F1918" s="238" t="str">
        <f>IFERROR(__xludf.DUMMYFUNCTION("""COMPUTED_VALUE"""),"RCA4J36")</f>
        <v>RCA4J36</v>
      </c>
      <c r="G1918" s="238">
        <f>IFERROR(__xludf.DUMMYFUNCTION("""COMPUTED_VALUE"""),45996.1875)</f>
        <v>45996.1875</v>
      </c>
      <c r="H1918" s="238">
        <f>IFERROR(__xludf.DUMMYFUNCTION("""COMPUTED_VALUE"""),45996.27083333333)</f>
        <v>45996.27083</v>
      </c>
      <c r="I1918" s="237" t="str">
        <f t="shared" si="1"/>
        <v>Fora</v>
      </c>
      <c r="J1918" s="239">
        <v>119.99999999301508</v>
      </c>
    </row>
    <row r="1919">
      <c r="A1919" s="234" t="s">
        <v>3610</v>
      </c>
      <c r="B1919" s="234" t="str">
        <f>IFERROR(__xludf.DUMMYFUNCTION("""COMPUTED_VALUE"""),"LM Hub_SP_Taubaté")</f>
        <v>LM Hub_SP_Taubaté</v>
      </c>
      <c r="C1919" s="234" t="str">
        <f>IFERROR(__xludf.DUMMYFUNCTION("""COMPUTED_VALUE"""),"HUB-LSP-08")</f>
        <v>HUB-LSP-08</v>
      </c>
      <c r="D1919" s="234">
        <f>IFERROR(__xludf.DUMMYFUNCTION("""COMPUTED_VALUE"""),8.0)</f>
        <v>8</v>
      </c>
      <c r="E1919" s="237" t="str">
        <f>IFERROR(__xludf.DUMMYFUNCTION("""COMPUTED_VALUE"""),"LT0PC501T0GZ1")</f>
        <v>LT0PC501T0GZ1</v>
      </c>
      <c r="F1919" s="238" t="str">
        <f>IFERROR(__xludf.DUMMYFUNCTION("""COMPUTED_VALUE"""),"ECT4I26")</f>
        <v>ECT4I26</v>
      </c>
      <c r="G1919" s="238">
        <f>IFERROR(__xludf.DUMMYFUNCTION("""COMPUTED_VALUE"""),45996.1875)</f>
        <v>45996.1875</v>
      </c>
      <c r="H1919" s="238">
        <f>IFERROR(__xludf.DUMMYFUNCTION("""COMPUTED_VALUE"""),45996.27083333333)</f>
        <v>45996.27083</v>
      </c>
      <c r="I1919" s="237" t="str">
        <f t="shared" si="1"/>
        <v>Fora</v>
      </c>
      <c r="J1919" s="239">
        <v>540.0</v>
      </c>
    </row>
    <row r="1920">
      <c r="A1920" s="234" t="s">
        <v>3611</v>
      </c>
      <c r="B1920" s="234" t="str">
        <f>IFERROR(__xludf.DUMMYFUNCTION("""COMPUTED_VALUE"""),"SoC_BA_Simoes Filho")</f>
        <v>SoC_BA_Simoes Filho</v>
      </c>
      <c r="C1920" s="234" t="str">
        <f>IFERROR(__xludf.DUMMYFUNCTION("""COMPUTED_VALUE"""),"SOC-BA2")</f>
        <v>SOC-BA2</v>
      </c>
      <c r="D1920" s="234">
        <f>IFERROR(__xludf.DUMMYFUNCTION("""COMPUTED_VALUE"""),89.0)</f>
        <v>89</v>
      </c>
      <c r="E1920" s="237" t="str">
        <f>IFERROR(__xludf.DUMMYFUNCTION("""COMPUTED_VALUE"""),"LT0PC401T6K21")</f>
        <v>LT0PC401T6K21</v>
      </c>
      <c r="F1920" s="238" t="str">
        <f>IFERROR(__xludf.DUMMYFUNCTION("""COMPUTED_VALUE"""),"ELU0H20,TEW0A65")</f>
        <v>ELU0H20,TEW0A65</v>
      </c>
      <c r="G1920" s="238">
        <f>IFERROR(__xludf.DUMMYFUNCTION("""COMPUTED_VALUE"""),45995.91666666667)</f>
        <v>45995.91667</v>
      </c>
      <c r="H1920" s="238">
        <f>IFERROR(__xludf.DUMMYFUNCTION("""COMPUTED_VALUE"""),45996.29166666667)</f>
        <v>45996.29167</v>
      </c>
      <c r="I1920" s="237" t="str">
        <f t="shared" si="1"/>
        <v>Fora</v>
      </c>
      <c r="J1920" s="239">
        <v>540.0</v>
      </c>
    </row>
    <row r="1921">
      <c r="A1921" s="234" t="s">
        <v>3612</v>
      </c>
      <c r="B1921" s="234" t="str">
        <f>IFERROR(__xludf.DUMMYFUNCTION("""COMPUTED_VALUE"""),"SoC_BA_Simoes Filho")</f>
        <v>SoC_BA_Simoes Filho</v>
      </c>
      <c r="C1921" s="234" t="str">
        <f>IFERROR(__xludf.DUMMYFUNCTION("""COMPUTED_VALUE"""),"SOC-BA2")</f>
        <v>SOC-BA2</v>
      </c>
      <c r="D1921" s="234">
        <f>IFERROR(__xludf.DUMMYFUNCTION("""COMPUTED_VALUE"""),88.0)</f>
        <v>88</v>
      </c>
      <c r="E1921" s="237" t="str">
        <f>IFERROR(__xludf.DUMMYFUNCTION("""COMPUTED_VALUE"""),"LT1PC401THP21")</f>
        <v>LT1PC401THP21</v>
      </c>
      <c r="F1921" s="238" t="str">
        <f>IFERROR(__xludf.DUMMYFUNCTION("""COMPUTED_VALUE"""),"RYP4B60,RYX0D03")</f>
        <v>RYP4B60,RYX0D03</v>
      </c>
      <c r="G1921" s="238">
        <f>IFERROR(__xludf.DUMMYFUNCTION("""COMPUTED_VALUE"""),45995.91666666667)</f>
        <v>45995.91667</v>
      </c>
      <c r="H1921" s="238">
        <f>IFERROR(__xludf.DUMMYFUNCTION("""COMPUTED_VALUE"""),45996.29166666667)</f>
        <v>45996.29167</v>
      </c>
      <c r="I1921" s="237" t="str">
        <f t="shared" si="1"/>
        <v>Fora</v>
      </c>
      <c r="J1921" s="239">
        <v>540.0</v>
      </c>
    </row>
    <row r="1922">
      <c r="A1922" s="234" t="s">
        <v>3613</v>
      </c>
      <c r="B1922" s="234" t="str">
        <f>IFERROR(__xludf.DUMMYFUNCTION("""COMPUTED_VALUE"""),"SoC_GO_Goiânia_02")</f>
        <v>SoC_GO_Goiânia_02</v>
      </c>
      <c r="C1922" s="234" t="str">
        <f>IFERROR(__xludf.DUMMYFUNCTION("""COMPUTED_VALUE"""),"SOC-GO2")</f>
        <v>SOC-GO2</v>
      </c>
      <c r="D1922" s="234"/>
      <c r="E1922" s="237" t="str">
        <f>IFERROR(__xludf.DUMMYFUNCTION("""COMPUTED_VALUE"""),"LT0PC401T6TD2")</f>
        <v>LT0PC401T6TD2</v>
      </c>
      <c r="F1922" s="238" t="str">
        <f>IFERROR(__xludf.DUMMYFUNCTION("""COMPUTED_VALUE"""),"FVS7J52")</f>
        <v>FVS7J52</v>
      </c>
      <c r="G1922" s="238">
        <f>IFERROR(__xludf.DUMMYFUNCTION("""COMPUTED_VALUE"""),45995.91666666667)</f>
        <v>45995.91667</v>
      </c>
      <c r="H1922" s="238">
        <f>IFERROR(__xludf.DUMMYFUNCTION("""COMPUTED_VALUE"""),45996.29166666667)</f>
        <v>45996.29167</v>
      </c>
      <c r="I1922" s="237" t="str">
        <f t="shared" si="1"/>
        <v>Fora</v>
      </c>
      <c r="J1922" s="239">
        <v>540.0</v>
      </c>
    </row>
    <row r="1923">
      <c r="A1923" s="234" t="s">
        <v>3614</v>
      </c>
      <c r="B1923" s="234" t="str">
        <f>IFERROR(__xludf.DUMMYFUNCTION("""COMPUTED_VALUE"""),"SoC_GO_Goiânia_02")</f>
        <v>SoC_GO_Goiânia_02</v>
      </c>
      <c r="C1923" s="234" t="str">
        <f>IFERROR(__xludf.DUMMYFUNCTION("""COMPUTED_VALUE"""),"SOC-GO2")</f>
        <v>SOC-GO2</v>
      </c>
      <c r="D1923" s="234"/>
      <c r="E1923" s="237" t="str">
        <f>IFERROR(__xludf.DUMMYFUNCTION("""COMPUTED_VALUE"""),"LT1PC401THP81")</f>
        <v>LT1PC401THP81</v>
      </c>
      <c r="F1923" s="238" t="str">
        <f>IFERROR(__xludf.DUMMYFUNCTION("""COMPUTED_VALUE"""),"ANX9H28")</f>
        <v>ANX9H28</v>
      </c>
      <c r="G1923" s="238">
        <f>IFERROR(__xludf.DUMMYFUNCTION("""COMPUTED_VALUE"""),45995.91666666667)</f>
        <v>45995.91667</v>
      </c>
      <c r="H1923" s="238">
        <f>IFERROR(__xludf.DUMMYFUNCTION("""COMPUTED_VALUE"""),45996.29166666667)</f>
        <v>45996.29167</v>
      </c>
      <c r="I1923" s="237" t="str">
        <f t="shared" si="1"/>
        <v>Fora</v>
      </c>
      <c r="J1923" s="239">
        <v>540.0</v>
      </c>
    </row>
    <row r="1924">
      <c r="A1924" s="234" t="s">
        <v>3615</v>
      </c>
      <c r="B1924" s="234" t="str">
        <f>IFERROR(__xludf.DUMMYFUNCTION("""COMPUTED_VALUE"""),"SoC_GO_Goiânia_02")</f>
        <v>SoC_GO_Goiânia_02</v>
      </c>
      <c r="C1924" s="234" t="str">
        <f>IFERROR(__xludf.DUMMYFUNCTION("""COMPUTED_VALUE"""),"SOC-GO2")</f>
        <v>SOC-GO2</v>
      </c>
      <c r="D1924" s="234"/>
      <c r="E1924" s="237" t="str">
        <f>IFERROR(__xludf.DUMMYFUNCTION("""COMPUTED_VALUE"""),"LT0PC401T6TB1")</f>
        <v>LT0PC401T6TB1</v>
      </c>
      <c r="F1924" s="238" t="str">
        <f>IFERROR(__xludf.DUMMYFUNCTION("""COMPUTED_VALUE"""),"OMY8G07")</f>
        <v>OMY8G07</v>
      </c>
      <c r="G1924" s="238">
        <f>IFERROR(__xludf.DUMMYFUNCTION("""COMPUTED_VALUE"""),45995.91666666667)</f>
        <v>45995.91667</v>
      </c>
      <c r="H1924" s="238">
        <f>IFERROR(__xludf.DUMMYFUNCTION("""COMPUTED_VALUE"""),45996.29166666667)</f>
        <v>45996.29167</v>
      </c>
      <c r="I1924" s="237" t="str">
        <f t="shared" si="1"/>
        <v>Fora</v>
      </c>
      <c r="J1924" s="239">
        <v>540.0</v>
      </c>
    </row>
    <row r="1925">
      <c r="A1925" s="234" t="s">
        <v>3616</v>
      </c>
      <c r="B1925" s="234" t="str">
        <f>IFERROR(__xludf.DUMMYFUNCTION("""COMPUTED_VALUE"""),"SoC_SP_Cravinhos")</f>
        <v>SoC_SP_Cravinhos</v>
      </c>
      <c r="C1925" s="234" t="str">
        <f>IFERROR(__xludf.DUMMYFUNCTION("""COMPUTED_VALUE"""),"SOC-SP5")</f>
        <v>SOC-SP5</v>
      </c>
      <c r="D1925" s="234">
        <f>IFERROR(__xludf.DUMMYFUNCTION("""COMPUTED_VALUE"""),94.0)</f>
        <v>94</v>
      </c>
      <c r="E1925" s="237" t="str">
        <f>IFERROR(__xludf.DUMMYFUNCTION("""COMPUTED_VALUE"""),"LT0PC401T0CM2")</f>
        <v>LT0PC401T0CM2</v>
      </c>
      <c r="F1925" s="238" t="str">
        <f>IFERROR(__xludf.DUMMYFUNCTION("""COMPUTED_VALUE"""),"NJH3878,GAF3B80")</f>
        <v>NJH3878,GAF3B80</v>
      </c>
      <c r="G1925" s="238">
        <f>IFERROR(__xludf.DUMMYFUNCTION("""COMPUTED_VALUE"""),45995.91666666667)</f>
        <v>45995.91667</v>
      </c>
      <c r="H1925" s="238">
        <f>IFERROR(__xludf.DUMMYFUNCTION("""COMPUTED_VALUE"""),45996.29166666667)</f>
        <v>45996.29167</v>
      </c>
      <c r="I1925" s="237" t="str">
        <f t="shared" si="1"/>
        <v>Fora</v>
      </c>
      <c r="J1925" s="239">
        <v>539.0000000072177</v>
      </c>
    </row>
    <row r="1926">
      <c r="A1926" s="234" t="s">
        <v>3617</v>
      </c>
      <c r="B1926" s="234" t="str">
        <f>IFERROR(__xludf.DUMMYFUNCTION("""COMPUTED_VALUE"""),"SoC_RJ_Duque de Caxias")</f>
        <v>SoC_RJ_Duque de Caxias</v>
      </c>
      <c r="C1926" s="234" t="str">
        <f>IFERROR(__xludf.DUMMYFUNCTION("""COMPUTED_VALUE"""),"SOC-RJ2")</f>
        <v>SOC-RJ2</v>
      </c>
      <c r="D1926" s="234"/>
      <c r="E1926" s="237" t="str">
        <f>IFERROR(__xludf.DUMMYFUNCTION("""COMPUTED_VALUE"""),"LT0PC401T2RZ1")</f>
        <v>LT0PC401T2RZ1</v>
      </c>
      <c r="F1926" s="238" t="str">
        <f>IFERROR(__xludf.DUMMYFUNCTION("""COMPUTED_VALUE"""),"LMZ8E48,FZI5J64")</f>
        <v>LMZ8E48,FZI5J64</v>
      </c>
      <c r="G1926" s="238">
        <f>IFERROR(__xludf.DUMMYFUNCTION("""COMPUTED_VALUE"""),45995.91736111111)</f>
        <v>45995.91736</v>
      </c>
      <c r="H1926" s="238">
        <f>IFERROR(__xludf.DUMMYFUNCTION("""COMPUTED_VALUE"""),45996.29166666667)</f>
        <v>45996.29167</v>
      </c>
      <c r="I1926" s="237" t="str">
        <f t="shared" si="1"/>
        <v>Fora</v>
      </c>
      <c r="J1926" s="239">
        <v>539.0000000072177</v>
      </c>
    </row>
    <row r="1927">
      <c r="A1927" s="234" t="s">
        <v>3618</v>
      </c>
      <c r="B1927" s="234" t="str">
        <f>IFERROR(__xludf.DUMMYFUNCTION("""COMPUTED_VALUE"""),"SoC_RJ_Duque de Caxias")</f>
        <v>SoC_RJ_Duque de Caxias</v>
      </c>
      <c r="C1927" s="234" t="str">
        <f>IFERROR(__xludf.DUMMYFUNCTION("""COMPUTED_VALUE"""),"SOC-RJ2")</f>
        <v>SOC-RJ2</v>
      </c>
      <c r="D1927" s="234">
        <f>IFERROR(__xludf.DUMMYFUNCTION("""COMPUTED_VALUE"""),96.0)</f>
        <v>96</v>
      </c>
      <c r="E1927" s="237" t="str">
        <f>IFERROR(__xludf.DUMMYFUNCTION("""COMPUTED_VALUE"""),"LT0PC401T2S02")</f>
        <v>LT0PC401T2S02</v>
      </c>
      <c r="F1927" s="238" t="str">
        <f>IFERROR(__xludf.DUMMYFUNCTION("""COMPUTED_VALUE"""),"MAR6J89,NUN8J32")</f>
        <v>MAR6J89,NUN8J32</v>
      </c>
      <c r="G1927" s="238">
        <f>IFERROR(__xludf.DUMMYFUNCTION("""COMPUTED_VALUE"""),45995.91736111111)</f>
        <v>45995.91736</v>
      </c>
      <c r="H1927" s="238">
        <f>IFERROR(__xludf.DUMMYFUNCTION("""COMPUTED_VALUE"""),45996.29166666667)</f>
        <v>45996.29167</v>
      </c>
      <c r="I1927" s="237" t="str">
        <f t="shared" si="1"/>
        <v>Fora</v>
      </c>
      <c r="J1927" s="239">
        <v>538.0000000144355</v>
      </c>
    </row>
    <row r="1928">
      <c r="A1928" s="234" t="s">
        <v>3619</v>
      </c>
      <c r="B1928" s="234" t="str">
        <f>IFERROR(__xludf.DUMMYFUNCTION("""COMPUTED_VALUE"""),"SoC_SP_Cravinhos")</f>
        <v>SoC_SP_Cravinhos</v>
      </c>
      <c r="C1928" s="234" t="str">
        <f>IFERROR(__xludf.DUMMYFUNCTION("""COMPUTED_VALUE"""),"SOC-SP5")</f>
        <v>SOC-SP5</v>
      </c>
      <c r="D1928" s="234">
        <f>IFERROR(__xludf.DUMMYFUNCTION("""COMPUTED_VALUE"""),95.0)</f>
        <v>95</v>
      </c>
      <c r="E1928" s="237" t="str">
        <f>IFERROR(__xludf.DUMMYFUNCTION("""COMPUTED_VALUE"""),"LT0PC401T0D01")</f>
        <v>LT0PC401T0D01</v>
      </c>
      <c r="F1928" s="238" t="str">
        <f>IFERROR(__xludf.DUMMYFUNCTION("""COMPUTED_VALUE"""),"ENE0B35,KRQ9G49")</f>
        <v>ENE0B35,KRQ9G49</v>
      </c>
      <c r="G1928" s="238">
        <f>IFERROR(__xludf.DUMMYFUNCTION("""COMPUTED_VALUE"""),45995.91805555555)</f>
        <v>45995.91806</v>
      </c>
      <c r="H1928" s="238">
        <f>IFERROR(__xludf.DUMMYFUNCTION("""COMPUTED_VALUE"""),45996.29166666667)</f>
        <v>45996.29167</v>
      </c>
      <c r="I1928" s="237" t="str">
        <f t="shared" si="1"/>
        <v>Fora</v>
      </c>
      <c r="J1928" s="239">
        <v>537.0000000111759</v>
      </c>
    </row>
    <row r="1929">
      <c r="A1929" s="234" t="s">
        <v>3620</v>
      </c>
      <c r="B1929" s="234" t="str">
        <f>IFERROR(__xludf.DUMMYFUNCTION("""COMPUTED_VALUE"""),"SoC_MG_Betim")</f>
        <v>SoC_MG_Betim</v>
      </c>
      <c r="C1929" s="234" t="str">
        <f>IFERROR(__xludf.DUMMYFUNCTION("""COMPUTED_VALUE"""),"SOC-MG2")</f>
        <v>SOC-MG2</v>
      </c>
      <c r="D1929" s="234"/>
      <c r="E1929" s="237" t="str">
        <f>IFERROR(__xludf.DUMMYFUNCTION("""COMPUTED_VALUE"""),"LT0PC401T0BN1")</f>
        <v>LT0PC401T0BN1</v>
      </c>
      <c r="F1929" s="238" t="str">
        <f>IFERROR(__xludf.DUMMYFUNCTION("""COMPUTED_VALUE"""),"LLC5H34")</f>
        <v>LLC5H34</v>
      </c>
      <c r="G1929" s="238">
        <f>IFERROR(__xludf.DUMMYFUNCTION("""COMPUTED_VALUE"""),45995.91875)</f>
        <v>45995.91875</v>
      </c>
      <c r="H1929" s="238">
        <f>IFERROR(__xludf.DUMMYFUNCTION("""COMPUTED_VALUE"""),45996.29166666667)</f>
        <v>45996.29167</v>
      </c>
      <c r="I1929" s="237" t="str">
        <f t="shared" si="1"/>
        <v>Fora</v>
      </c>
      <c r="J1929" s="239">
        <v>537.0000000111759</v>
      </c>
    </row>
    <row r="1930">
      <c r="A1930" s="234" t="s">
        <v>3621</v>
      </c>
      <c r="B1930" s="234" t="str">
        <f>IFERROR(__xludf.DUMMYFUNCTION("""COMPUTED_VALUE"""),"SoC_MG_Betim")</f>
        <v>SoC_MG_Betim</v>
      </c>
      <c r="C1930" s="234" t="str">
        <f>IFERROR(__xludf.DUMMYFUNCTION("""COMPUTED_VALUE"""),"SOC-MG2")</f>
        <v>SOC-MG2</v>
      </c>
      <c r="D1930" s="234">
        <f>IFERROR(__xludf.DUMMYFUNCTION("""COMPUTED_VALUE"""),91.0)</f>
        <v>91</v>
      </c>
      <c r="E1930" s="237" t="str">
        <f>IFERROR(__xludf.DUMMYFUNCTION("""COMPUTED_VALUE"""),"LT0PC401T0BP2")</f>
        <v>LT0PC401T0BP2</v>
      </c>
      <c r="F1930" s="238" t="str">
        <f>IFERROR(__xludf.DUMMYFUNCTION("""COMPUTED_VALUE"""),"ESU3H82,UDQ3B86")</f>
        <v>ESU3H82,UDQ3B86</v>
      </c>
      <c r="G1930" s="238">
        <f>IFERROR(__xludf.DUMMYFUNCTION("""COMPUTED_VALUE"""),45995.91875)</f>
        <v>45995.91875</v>
      </c>
      <c r="H1930" s="238">
        <f>IFERROR(__xludf.DUMMYFUNCTION("""COMPUTED_VALUE"""),45996.29166666667)</f>
        <v>45996.29167</v>
      </c>
      <c r="I1930" s="237" t="str">
        <f t="shared" si="1"/>
        <v>Fora</v>
      </c>
      <c r="J1930" s="239">
        <v>120.00000001396984</v>
      </c>
    </row>
    <row r="1931">
      <c r="A1931" s="234" t="s">
        <v>3622</v>
      </c>
      <c r="B1931" s="234" t="str">
        <f>IFERROR(__xludf.DUMMYFUNCTION("""COMPUTED_VALUE"""),"LM Hub_SP_Barueri_01")</f>
        <v>LM Hub_SP_Barueri_01</v>
      </c>
      <c r="C1931" s="234" t="str">
        <f>IFERROR(__xludf.DUMMYFUNCTION("""COMPUTED_VALUE"""),"HUB-LSP-81")</f>
        <v>HUB-LSP-81</v>
      </c>
      <c r="D1931" s="234">
        <f>IFERROR(__xludf.DUMMYFUNCTION("""COMPUTED_VALUE"""),5.0)</f>
        <v>5</v>
      </c>
      <c r="E1931" s="237" t="str">
        <f>IFERROR(__xludf.DUMMYFUNCTION("""COMPUTED_VALUE"""),"LT0PC501T65Y1")</f>
        <v>LT0PC501T65Y1</v>
      </c>
      <c r="F1931" s="238" t="str">
        <f>IFERROR(__xludf.DUMMYFUNCTION("""COMPUTED_VALUE"""),"OPY9J66")</f>
        <v>OPY9J66</v>
      </c>
      <c r="G1931" s="238">
        <f>IFERROR(__xludf.DUMMYFUNCTION("""COMPUTED_VALUE"""),45996.20833333333)</f>
        <v>45996.20833</v>
      </c>
      <c r="H1931" s="238">
        <f>IFERROR(__xludf.DUMMYFUNCTION("""COMPUTED_VALUE"""),45996.29166666667)</f>
        <v>45996.29167</v>
      </c>
      <c r="I1931" s="237" t="str">
        <f t="shared" si="1"/>
        <v>Fora</v>
      </c>
      <c r="J1931" s="239">
        <v>120.00000001396984</v>
      </c>
    </row>
    <row r="1932">
      <c r="A1932" s="234" t="s">
        <v>3623</v>
      </c>
      <c r="B1932" s="234" t="str">
        <f>IFERROR(__xludf.DUMMYFUNCTION("""COMPUTED_VALUE"""),"LM Hub_SP_Jundiaí")</f>
        <v>LM Hub_SP_Jundiaí</v>
      </c>
      <c r="C1932" s="234" t="str">
        <f>IFERROR(__xludf.DUMMYFUNCTION("""COMPUTED_VALUE"""),"HUB-LSP-100")</f>
        <v>HUB-LSP-100</v>
      </c>
      <c r="D1932" s="234">
        <f>IFERROR(__xludf.DUMMYFUNCTION("""COMPUTED_VALUE"""),13.0)</f>
        <v>13</v>
      </c>
      <c r="E1932" s="237" t="str">
        <f>IFERROR(__xludf.DUMMYFUNCTION("""COMPUTED_VALUE"""),"LT0PC501T7OZ1")</f>
        <v>LT0PC501T7OZ1</v>
      </c>
      <c r="F1932" s="238" t="str">
        <f>IFERROR(__xludf.DUMMYFUNCTION("""COMPUTED_VALUE"""),"UGN4B10")</f>
        <v>UGN4B10</v>
      </c>
      <c r="G1932" s="238">
        <f>IFERROR(__xludf.DUMMYFUNCTION("""COMPUTED_VALUE"""),45996.20833333333)</f>
        <v>45996.20833</v>
      </c>
      <c r="H1932" s="238">
        <f>IFERROR(__xludf.DUMMYFUNCTION("""COMPUTED_VALUE"""),45996.29166666667)</f>
        <v>45996.29167</v>
      </c>
      <c r="I1932" s="237" t="str">
        <f t="shared" si="1"/>
        <v>Fora</v>
      </c>
      <c r="J1932" s="239">
        <v>120.00000001396984</v>
      </c>
    </row>
    <row r="1933">
      <c r="A1933" s="234" t="s">
        <v>3624</v>
      </c>
      <c r="B1933" s="234" t="str">
        <f>IFERROR(__xludf.DUMMYFUNCTION("""COMPUTED_VALUE"""),"LM Hub_SP_Jurubatuba")</f>
        <v>LM Hub_SP_Jurubatuba</v>
      </c>
      <c r="C1933" s="234" t="str">
        <f>IFERROR(__xludf.DUMMYFUNCTION("""COMPUTED_VALUE"""),"HUB-LSP-16")</f>
        <v>HUB-LSP-16</v>
      </c>
      <c r="D1933" s="234"/>
      <c r="E1933" s="237" t="str">
        <f>IFERROR(__xludf.DUMMYFUNCTION("""COMPUTED_VALUE"""),"LT0PC501T1M81")</f>
        <v>LT0PC501T1M81</v>
      </c>
      <c r="F1933" s="238" t="str">
        <f>IFERROR(__xludf.DUMMYFUNCTION("""COMPUTED_VALUE"""),"EZZ6I71")</f>
        <v>EZZ6I71</v>
      </c>
      <c r="G1933" s="238">
        <f>IFERROR(__xludf.DUMMYFUNCTION("""COMPUTED_VALUE"""),45996.20833333333)</f>
        <v>45996.20833</v>
      </c>
      <c r="H1933" s="238">
        <f>IFERROR(__xludf.DUMMYFUNCTION("""COMPUTED_VALUE"""),45996.29166666667)</f>
        <v>45996.29167</v>
      </c>
      <c r="I1933" s="237" t="str">
        <f t="shared" si="1"/>
        <v>Fora</v>
      </c>
      <c r="J1933" s="239">
        <v>120.00000001396984</v>
      </c>
    </row>
    <row r="1934">
      <c r="A1934" s="234" t="s">
        <v>3625</v>
      </c>
      <c r="B1934" s="234" t="str">
        <f>IFERROR(__xludf.DUMMYFUNCTION("""COMPUTED_VALUE"""),"LM Hub_SP_Piracicaba")</f>
        <v>LM Hub_SP_Piracicaba</v>
      </c>
      <c r="C1934" s="234" t="str">
        <f>IFERROR(__xludf.DUMMYFUNCTION("""COMPUTED_VALUE"""),"HUB-LSP-62")</f>
        <v>HUB-LSP-62</v>
      </c>
      <c r="D1934" s="234">
        <f>IFERROR(__xludf.DUMMYFUNCTION("""COMPUTED_VALUE"""),23.0)</f>
        <v>23</v>
      </c>
      <c r="E1934" s="237" t="str">
        <f>IFERROR(__xludf.DUMMYFUNCTION("""COMPUTED_VALUE"""),"LT0PC501T15U1")</f>
        <v>LT0PC501T15U1</v>
      </c>
      <c r="F1934" s="238" t="str">
        <f>IFERROR(__xludf.DUMMYFUNCTION("""COMPUTED_VALUE"""),"BYP9A96")</f>
        <v>BYP9A96</v>
      </c>
      <c r="G1934" s="238">
        <f>IFERROR(__xludf.DUMMYFUNCTION("""COMPUTED_VALUE"""),45996.20833333333)</f>
        <v>45996.20833</v>
      </c>
      <c r="H1934" s="238">
        <f>IFERROR(__xludf.DUMMYFUNCTION("""COMPUTED_VALUE"""),45996.29166666667)</f>
        <v>45996.29167</v>
      </c>
      <c r="I1934" s="237" t="str">
        <f t="shared" si="1"/>
        <v>Fora</v>
      </c>
      <c r="J1934" s="239">
        <v>120.00000001396984</v>
      </c>
    </row>
    <row r="1935">
      <c r="A1935" s="234" t="s">
        <v>3626</v>
      </c>
      <c r="B1935" s="234" t="str">
        <f>IFERROR(__xludf.DUMMYFUNCTION("""COMPUTED_VALUE"""),"LM Hub_SP_Santos_PraiaGrande_02")</f>
        <v>LM Hub_SP_Santos_PraiaGrande_02</v>
      </c>
      <c r="C1935" s="234" t="str">
        <f>IFERROR(__xludf.DUMMYFUNCTION("""COMPUTED_VALUE"""),"HUB-LSP-63")</f>
        <v>HUB-LSP-63</v>
      </c>
      <c r="D1935" s="234">
        <f>IFERROR(__xludf.DUMMYFUNCTION("""COMPUTED_VALUE"""),25.0)</f>
        <v>25</v>
      </c>
      <c r="E1935" s="237" t="str">
        <f>IFERROR(__xludf.DUMMYFUNCTION("""COMPUTED_VALUE"""),"LT0PC501T1NI1")</f>
        <v>LT0PC501T1NI1</v>
      </c>
      <c r="F1935" s="238" t="str">
        <f>IFERROR(__xludf.DUMMYFUNCTION("""COMPUTED_VALUE"""),"GEJ6E62,TLV2A95")</f>
        <v>GEJ6E62,TLV2A95</v>
      </c>
      <c r="G1935" s="238">
        <f>IFERROR(__xludf.DUMMYFUNCTION("""COMPUTED_VALUE"""),45996.20833333333)</f>
        <v>45996.20833</v>
      </c>
      <c r="H1935" s="238">
        <f>IFERROR(__xludf.DUMMYFUNCTION("""COMPUTED_VALUE"""),45996.29166666667)</f>
        <v>45996.29167</v>
      </c>
      <c r="I1935" s="237" t="str">
        <f t="shared" si="1"/>
        <v>Fora</v>
      </c>
      <c r="J1935" s="239">
        <v>120.00000001396984</v>
      </c>
    </row>
    <row r="1936">
      <c r="A1936" s="234" t="s">
        <v>3627</v>
      </c>
      <c r="B1936" s="234" t="str">
        <f>IFERROR(__xludf.DUMMYFUNCTION("""COMPUTED_VALUE"""),"SoC_SP_Santana")</f>
        <v>SoC_SP_Santana</v>
      </c>
      <c r="C1936" s="234" t="str">
        <f>IFERROR(__xludf.DUMMYFUNCTION("""COMPUTED_VALUE"""),"SOC-SP2")</f>
        <v>SOC-SP2</v>
      </c>
      <c r="D1936" s="234">
        <f>IFERROR(__xludf.DUMMYFUNCTION("""COMPUTED_VALUE"""),32.0)</f>
        <v>32</v>
      </c>
      <c r="E1936" s="237" t="str">
        <f>IFERROR(__xludf.DUMMYFUNCTION("""COMPUTED_VALUE"""),"LT0PC501T0WN1")</f>
        <v>LT0PC501T0WN1</v>
      </c>
      <c r="F1936" s="238" t="str">
        <f>IFERROR(__xludf.DUMMYFUNCTION("""COMPUTED_VALUE"""),"CUC8286,JXB4390")</f>
        <v>CUC8286,JXB4390</v>
      </c>
      <c r="G1936" s="238">
        <f>IFERROR(__xludf.DUMMYFUNCTION("""COMPUTED_VALUE"""),45996.20833333333)</f>
        <v>45996.20833</v>
      </c>
      <c r="H1936" s="238">
        <f>IFERROR(__xludf.DUMMYFUNCTION("""COMPUTED_VALUE"""),45996.29166666667)</f>
        <v>45996.29167</v>
      </c>
      <c r="I1936" s="237" t="str">
        <f t="shared" si="1"/>
        <v>Fora</v>
      </c>
      <c r="J1936" s="239">
        <v>119.00000001071021</v>
      </c>
    </row>
    <row r="1937">
      <c r="A1937" s="234" t="s">
        <v>3628</v>
      </c>
      <c r="B1937" s="234" t="str">
        <f>IFERROR(__xludf.DUMMYFUNCTION("""COMPUTED_VALUE"""),"LM Hub_SP_Jurubatuba")</f>
        <v>LM Hub_SP_Jurubatuba</v>
      </c>
      <c r="C1937" s="234" t="str">
        <f>IFERROR(__xludf.DUMMYFUNCTION("""COMPUTED_VALUE"""),"HUB-LSP-16")</f>
        <v>HUB-LSP-16</v>
      </c>
      <c r="D1937" s="234">
        <f>IFERROR(__xludf.DUMMYFUNCTION("""COMPUTED_VALUE"""),21.0)</f>
        <v>21</v>
      </c>
      <c r="E1937" s="237" t="str">
        <f>IFERROR(__xludf.DUMMYFUNCTION("""COMPUTED_VALUE"""),"LT0PC501T1MD1")</f>
        <v>LT0PC501T1MD1</v>
      </c>
      <c r="F1937" s="238" t="str">
        <f>IFERROR(__xludf.DUMMYFUNCTION("""COMPUTED_VALUE"""),"CUA7C61,FPW0F14")</f>
        <v>CUA7C61,FPW0F14</v>
      </c>
      <c r="G1937" s="238">
        <f>IFERROR(__xludf.DUMMYFUNCTION("""COMPUTED_VALUE"""),45996.209027777775)</f>
        <v>45996.20903</v>
      </c>
      <c r="H1937" s="238">
        <f>IFERROR(__xludf.DUMMYFUNCTION("""COMPUTED_VALUE"""),45996.29166666667)</f>
        <v>45996.29167</v>
      </c>
      <c r="I1937" s="237" t="str">
        <f t="shared" si="1"/>
        <v>Fora</v>
      </c>
      <c r="J1937" s="239">
        <v>119.99999999301508</v>
      </c>
    </row>
    <row r="1938">
      <c r="A1938" s="234" t="s">
        <v>3629</v>
      </c>
      <c r="B1938" s="234" t="str">
        <f>IFERROR(__xludf.DUMMYFUNCTION("""COMPUTED_VALUE"""),"LM Hub_SP_Guarujá")</f>
        <v>LM Hub_SP_Guarujá</v>
      </c>
      <c r="C1938" s="234" t="str">
        <f>IFERROR(__xludf.DUMMYFUNCTION("""COMPUTED_VALUE"""),"HUB-LSP-06")</f>
        <v>HUB-LSP-06</v>
      </c>
      <c r="D1938" s="234">
        <f>IFERROR(__xludf.DUMMYFUNCTION("""COMPUTED_VALUE"""),9.0)</f>
        <v>9</v>
      </c>
      <c r="E1938" s="237" t="str">
        <f>IFERROR(__xludf.DUMMYFUNCTION("""COMPUTED_VALUE"""),"LT0PC501T1MY1")</f>
        <v>LT0PC501T1MY1</v>
      </c>
      <c r="F1938" s="238" t="str">
        <f>IFERROR(__xludf.DUMMYFUNCTION("""COMPUTED_VALUE"""),"TJN5H17")</f>
        <v>TJN5H17</v>
      </c>
      <c r="G1938" s="238">
        <f>IFERROR(__xludf.DUMMYFUNCTION("""COMPUTED_VALUE"""),45996.22916666667)</f>
        <v>45996.22917</v>
      </c>
      <c r="H1938" s="238">
        <f>IFERROR(__xludf.DUMMYFUNCTION("""COMPUTED_VALUE"""),45996.3125)</f>
        <v>45996.3125</v>
      </c>
      <c r="I1938" s="237" t="str">
        <f t="shared" si="1"/>
        <v>Fora</v>
      </c>
      <c r="J1938" s="239">
        <v>119.99999999301508</v>
      </c>
    </row>
    <row r="1939">
      <c r="A1939" s="234" t="s">
        <v>3630</v>
      </c>
      <c r="B1939" s="234" t="str">
        <f>IFERROR(__xludf.DUMMYFUNCTION("""COMPUTED_VALUE"""),"LM Hub_SP_Itapevi")</f>
        <v>LM Hub_SP_Itapevi</v>
      </c>
      <c r="C1939" s="234" t="str">
        <f>IFERROR(__xludf.DUMMYFUNCTION("""COMPUTED_VALUE"""),"HUB-LSP-41")</f>
        <v>HUB-LSP-41</v>
      </c>
      <c r="D1939" s="234">
        <f>IFERROR(__xludf.DUMMYFUNCTION("""COMPUTED_VALUE"""),7.0)</f>
        <v>7</v>
      </c>
      <c r="E1939" s="237" t="str">
        <f>IFERROR(__xludf.DUMMYFUNCTION("""COMPUTED_VALUE"""),"LT0PC501T0EU1")</f>
        <v>LT0PC501T0EU1</v>
      </c>
      <c r="F1939" s="238" t="str">
        <f>IFERROR(__xludf.DUMMYFUNCTION("""COMPUTED_VALUE"""),"DPF6F59")</f>
        <v>DPF6F59</v>
      </c>
      <c r="G1939" s="238">
        <f>IFERROR(__xludf.DUMMYFUNCTION("""COMPUTED_VALUE"""),45996.22916666667)</f>
        <v>45996.22917</v>
      </c>
      <c r="H1939" s="238">
        <f>IFERROR(__xludf.DUMMYFUNCTION("""COMPUTED_VALUE"""),45996.3125)</f>
        <v>45996.3125</v>
      </c>
      <c r="I1939" s="237" t="str">
        <f t="shared" si="1"/>
        <v>Fora</v>
      </c>
      <c r="J1939" s="239">
        <v>119.99999999301508</v>
      </c>
    </row>
    <row r="1940">
      <c r="A1940" s="234" t="s">
        <v>3631</v>
      </c>
      <c r="B1940" s="234" t="str">
        <f>IFERROR(__xludf.DUMMYFUNCTION("""COMPUTED_VALUE"""),"LM Hub_SP_Itaqua_Zimba")</f>
        <v>LM Hub_SP_Itaqua_Zimba</v>
      </c>
      <c r="C1940" s="234" t="str">
        <f>IFERROR(__xludf.DUMMYFUNCTION("""COMPUTED_VALUE"""),"HUB-LSP-74")</f>
        <v>HUB-LSP-74</v>
      </c>
      <c r="D1940" s="234"/>
      <c r="E1940" s="237" t="str">
        <f>IFERROR(__xludf.DUMMYFUNCTION("""COMPUTED_VALUE"""),"LT0PC501T1MT1")</f>
        <v>LT0PC501T1MT1</v>
      </c>
      <c r="F1940" s="238" t="str">
        <f>IFERROR(__xludf.DUMMYFUNCTION("""COMPUTED_VALUE"""),"RCA4J36,TLX4F84")</f>
        <v>RCA4J36,TLX4F84</v>
      </c>
      <c r="G1940" s="238">
        <f>IFERROR(__xludf.DUMMYFUNCTION("""COMPUTED_VALUE"""),45996.22916666667)</f>
        <v>45996.22917</v>
      </c>
      <c r="H1940" s="238">
        <f>IFERROR(__xludf.DUMMYFUNCTION("""COMPUTED_VALUE"""),45996.3125)</f>
        <v>45996.3125</v>
      </c>
      <c r="I1940" s="237" t="str">
        <f t="shared" si="1"/>
        <v>Fora</v>
      </c>
      <c r="J1940" s="239">
        <v>119.99999999301508</v>
      </c>
    </row>
    <row r="1941">
      <c r="A1941" s="234" t="s">
        <v>3632</v>
      </c>
      <c r="B1941" s="234" t="str">
        <f>IFERROR(__xludf.DUMMYFUNCTION("""COMPUTED_VALUE"""),"LM Hub_SP_Santos_Praia Grande")</f>
        <v>LM Hub_SP_Santos_Praia Grande</v>
      </c>
      <c r="C1941" s="234" t="str">
        <f>IFERROR(__xludf.DUMMYFUNCTION("""COMPUTED_VALUE"""),"HUB-LSP-09")</f>
        <v>HUB-LSP-09</v>
      </c>
      <c r="D1941" s="234">
        <f>IFERROR(__xludf.DUMMYFUNCTION("""COMPUTED_VALUE"""),24.0)</f>
        <v>24</v>
      </c>
      <c r="E1941" s="237" t="str">
        <f>IFERROR(__xludf.DUMMYFUNCTION("""COMPUTED_VALUE"""),"LT0PC501T1N21")</f>
        <v>LT0PC501T1N21</v>
      </c>
      <c r="F1941" s="238" t="str">
        <f>IFERROR(__xludf.DUMMYFUNCTION("""COMPUTED_VALUE"""),"GDW1D96")</f>
        <v>GDW1D96</v>
      </c>
      <c r="G1941" s="238">
        <f>IFERROR(__xludf.DUMMYFUNCTION("""COMPUTED_VALUE"""),45996.22916666667)</f>
        <v>45996.22917</v>
      </c>
      <c r="H1941" s="238">
        <f>IFERROR(__xludf.DUMMYFUNCTION("""COMPUTED_VALUE"""),45996.3125)</f>
        <v>45996.3125</v>
      </c>
      <c r="I1941" s="237" t="str">
        <f t="shared" si="1"/>
        <v>Fora</v>
      </c>
      <c r="J1941" s="239">
        <v>119.99999999301508</v>
      </c>
    </row>
    <row r="1942">
      <c r="A1942" s="234" t="s">
        <v>3633</v>
      </c>
      <c r="B1942" s="234" t="str">
        <f>IFERROR(__xludf.DUMMYFUNCTION("""COMPUTED_VALUE"""),"LM Hub_SP_São José dos Campos")</f>
        <v>LM Hub_SP_São José dos Campos</v>
      </c>
      <c r="C1942" s="234" t="str">
        <f>IFERROR(__xludf.DUMMYFUNCTION("""COMPUTED_VALUE"""),"HUB-LSP-04")</f>
        <v>HUB-LSP-04</v>
      </c>
      <c r="D1942" s="234">
        <f>IFERROR(__xludf.DUMMYFUNCTION("""COMPUTED_VALUE"""),17.0)</f>
        <v>17</v>
      </c>
      <c r="E1942" s="237" t="str">
        <f>IFERROR(__xludf.DUMMYFUNCTION("""COMPUTED_VALUE"""),"LT0PC501T1N81")</f>
        <v>LT0PC501T1N81</v>
      </c>
      <c r="F1942" s="238" t="str">
        <f>IFERROR(__xludf.DUMMYFUNCTION("""COMPUTED_VALUE"""),"JBO1I53")</f>
        <v>JBO1I53</v>
      </c>
      <c r="G1942" s="238">
        <f>IFERROR(__xludf.DUMMYFUNCTION("""COMPUTED_VALUE"""),45996.22916666667)</f>
        <v>45996.22917</v>
      </c>
      <c r="H1942" s="238">
        <f>IFERROR(__xludf.DUMMYFUNCTION("""COMPUTED_VALUE"""),45996.3125)</f>
        <v>45996.3125</v>
      </c>
      <c r="I1942" s="237" t="str">
        <f t="shared" si="1"/>
        <v>Fora</v>
      </c>
      <c r="J1942" s="239">
        <v>119.99999999301508</v>
      </c>
    </row>
    <row r="1943">
      <c r="A1943" s="234" t="s">
        <v>3634</v>
      </c>
      <c r="B1943" s="234" t="str">
        <f>IFERROR(__xludf.DUMMYFUNCTION("""COMPUTED_VALUE"""),"LM Hub_SP_São Paulo_Mooca")</f>
        <v>LM Hub_SP_São Paulo_Mooca</v>
      </c>
      <c r="C1943" s="234" t="str">
        <f>IFERROR(__xludf.DUMMYFUNCTION("""COMPUTED_VALUE"""),"HUB-LSP-13")</f>
        <v>HUB-LSP-13</v>
      </c>
      <c r="D1943" s="234">
        <f>IFERROR(__xludf.DUMMYFUNCTION("""COMPUTED_VALUE"""),15.0)</f>
        <v>15</v>
      </c>
      <c r="E1943" s="237" t="str">
        <f>IFERROR(__xludf.DUMMYFUNCTION("""COMPUTED_VALUE"""),"LT0PC501TAJ71")</f>
        <v>LT0PC501TAJ71</v>
      </c>
      <c r="F1943" s="238" t="str">
        <f>IFERROR(__xludf.DUMMYFUNCTION("""COMPUTED_VALUE"""),"PEP9J38")</f>
        <v>PEP9J38</v>
      </c>
      <c r="G1943" s="238">
        <f>IFERROR(__xludf.DUMMYFUNCTION("""COMPUTED_VALUE"""),45996.22916666667)</f>
        <v>45996.22917</v>
      </c>
      <c r="H1943" s="238">
        <f>IFERROR(__xludf.DUMMYFUNCTION("""COMPUTED_VALUE"""),45996.3125)</f>
        <v>45996.3125</v>
      </c>
      <c r="I1943" s="237" t="str">
        <f t="shared" si="1"/>
        <v>Fora</v>
      </c>
      <c r="J1943" s="239">
        <v>419.99999998603016</v>
      </c>
    </row>
    <row r="1944">
      <c r="A1944" s="234" t="s">
        <v>3635</v>
      </c>
      <c r="B1944" s="234" t="str">
        <f>IFERROR(__xludf.DUMMYFUNCTION("""COMPUTED_VALUE"""),"SoC_BA_Simoes Filho")</f>
        <v>SoC_BA_Simoes Filho</v>
      </c>
      <c r="C1944" s="234" t="str">
        <f>IFERROR(__xludf.DUMMYFUNCTION("""COMPUTED_VALUE"""),"SOC-BA2")</f>
        <v>SOC-BA2</v>
      </c>
      <c r="D1944" s="234">
        <f>IFERROR(__xludf.DUMMYFUNCTION("""COMPUTED_VALUE"""),47.0)</f>
        <v>47</v>
      </c>
      <c r="E1944" s="237" t="str">
        <f>IFERROR(__xludf.DUMMYFUNCTION("""COMPUTED_VALUE"""),"LT1PC501TI8G1")</f>
        <v>LT1PC501TI8G1</v>
      </c>
      <c r="F1944" s="238" t="str">
        <f>IFERROR(__xludf.DUMMYFUNCTION("""COMPUTED_VALUE"""),"IZE9E34,IXT2270")</f>
        <v>IZE9E34,IXT2270</v>
      </c>
      <c r="G1944" s="238">
        <f>IFERROR(__xludf.DUMMYFUNCTION("""COMPUTED_VALUE"""),45996.04166666667)</f>
        <v>45996.04167</v>
      </c>
      <c r="H1944" s="238">
        <f>IFERROR(__xludf.DUMMYFUNCTION("""COMPUTED_VALUE"""),45996.33333333333)</f>
        <v>45996.33333</v>
      </c>
      <c r="I1944" s="237" t="str">
        <f t="shared" si="1"/>
        <v>Fora</v>
      </c>
      <c r="J1944" s="239">
        <v>419.99999998603016</v>
      </c>
    </row>
    <row r="1945">
      <c r="A1945" s="234" t="s">
        <v>3636</v>
      </c>
      <c r="B1945" s="234" t="str">
        <f>IFERROR(__xludf.DUMMYFUNCTION("""COMPUTED_VALUE"""),"SoC_GO_Goiânia_02")</f>
        <v>SoC_GO_Goiânia_02</v>
      </c>
      <c r="C1945" s="234" t="str">
        <f>IFERROR(__xludf.DUMMYFUNCTION("""COMPUTED_VALUE"""),"SOC-GO2")</f>
        <v>SOC-GO2</v>
      </c>
      <c r="D1945" s="234">
        <f>IFERROR(__xludf.DUMMYFUNCTION("""COMPUTED_VALUE"""),87.0)</f>
        <v>87</v>
      </c>
      <c r="E1945" s="237" t="str">
        <f>IFERROR(__xludf.DUMMYFUNCTION("""COMPUTED_VALUE"""),"LT0PC401T6SS1")</f>
        <v>LT0PC401T6SS1</v>
      </c>
      <c r="F1945" s="238" t="str">
        <f>IFERROR(__xludf.DUMMYFUNCTION("""COMPUTED_VALUE"""),"FTZ1D15,EZL7J23")</f>
        <v>FTZ1D15,EZL7J23</v>
      </c>
      <c r="G1945" s="238">
        <f>IFERROR(__xludf.DUMMYFUNCTION("""COMPUTED_VALUE"""),45996.04166666667)</f>
        <v>45996.04167</v>
      </c>
      <c r="H1945" s="238">
        <f>IFERROR(__xludf.DUMMYFUNCTION("""COMPUTED_VALUE"""),45996.33333333333)</f>
        <v>45996.33333</v>
      </c>
      <c r="I1945" s="237" t="str">
        <f t="shared" si="1"/>
        <v>Fora</v>
      </c>
      <c r="J1945" s="239">
        <v>540.0</v>
      </c>
    </row>
    <row r="1946">
      <c r="A1946" s="234" t="s">
        <v>3637</v>
      </c>
      <c r="B1946" s="234" t="str">
        <f>IFERROR(__xludf.DUMMYFUNCTION("""COMPUTED_VALUE"""),"SoC_BA_Simoes Filho")</f>
        <v>SoC_BA_Simoes Filho</v>
      </c>
      <c r="C1946" s="234" t="str">
        <f>IFERROR(__xludf.DUMMYFUNCTION("""COMPUTED_VALUE"""),"SOC-BA2")</f>
        <v>SOC-BA2</v>
      </c>
      <c r="D1946" s="234">
        <f>IFERROR(__xludf.DUMMYFUNCTION("""COMPUTED_VALUE"""),48.0)</f>
        <v>48</v>
      </c>
      <c r="E1946" s="237" t="str">
        <f>IFERROR(__xludf.DUMMYFUNCTION("""COMPUTED_VALUE"""),"LT0PC401T6K42")</f>
        <v>LT0PC401T6K42</v>
      </c>
      <c r="F1946" s="238" t="str">
        <f>IFERROR(__xludf.DUMMYFUNCTION("""COMPUTED_VALUE"""),"DIO9B01,TDW9H04")</f>
        <v>DIO9B01,TDW9H04</v>
      </c>
      <c r="G1946" s="238">
        <f>IFERROR(__xludf.DUMMYFUNCTION("""COMPUTED_VALUE"""),45996.0)</f>
        <v>45996</v>
      </c>
      <c r="H1946" s="238">
        <f>IFERROR(__xludf.DUMMYFUNCTION("""COMPUTED_VALUE"""),45996.375)</f>
        <v>45996.375</v>
      </c>
      <c r="I1946" s="237" t="str">
        <f t="shared" si="1"/>
        <v>Fora</v>
      </c>
      <c r="J1946" s="239">
        <v>540.0</v>
      </c>
    </row>
    <row r="1947">
      <c r="A1947" s="234" t="s">
        <v>3638</v>
      </c>
      <c r="B1947" s="234" t="str">
        <f>IFERROR(__xludf.DUMMYFUNCTION("""COMPUTED_VALUE"""),"SoC_RJ_Duque de Caxias")</f>
        <v>SoC_RJ_Duque de Caxias</v>
      </c>
      <c r="C1947" s="234" t="str">
        <f>IFERROR(__xludf.DUMMYFUNCTION("""COMPUTED_VALUE"""),"SOC-RJ2")</f>
        <v>SOC-RJ2</v>
      </c>
      <c r="D1947" s="234">
        <f>IFERROR(__xludf.DUMMYFUNCTION("""COMPUTED_VALUE"""),96.0)</f>
        <v>96</v>
      </c>
      <c r="E1947" s="237" t="str">
        <f>IFERROR(__xludf.DUMMYFUNCTION("""COMPUTED_VALUE"""),"LT1PC501TI7Y1")</f>
        <v>LT1PC501TI7Y1</v>
      </c>
      <c r="F1947" s="238" t="str">
        <f>IFERROR(__xludf.DUMMYFUNCTION("""COMPUTED_VALUE"""),"EPU6B00,UFF0H10")</f>
        <v>EPU6B00,UFF0H10</v>
      </c>
      <c r="G1947" s="238">
        <f>IFERROR(__xludf.DUMMYFUNCTION("""COMPUTED_VALUE"""),45996.04166666667)</f>
        <v>45996.04167</v>
      </c>
      <c r="H1947" s="238">
        <f>IFERROR(__xludf.DUMMYFUNCTION("""COMPUTED_VALUE"""),45996.41666666667)</f>
        <v>45996.41667</v>
      </c>
      <c r="I1947" s="237" t="str">
        <f t="shared" si="1"/>
        <v>Fora</v>
      </c>
      <c r="J1947" s="239">
        <v>480.00000001396984</v>
      </c>
    </row>
    <row r="1948">
      <c r="A1948" s="234" t="s">
        <v>3639</v>
      </c>
      <c r="B1948" s="234" t="str">
        <f>IFERROR(__xludf.DUMMYFUNCTION("""COMPUTED_VALUE"""),"SoC_BA_Simoes Filho")</f>
        <v>SoC_BA_Simoes Filho</v>
      </c>
      <c r="C1948" s="234" t="str">
        <f>IFERROR(__xludf.DUMMYFUNCTION("""COMPUTED_VALUE"""),"SOC-BA2")</f>
        <v>SOC-BA2</v>
      </c>
      <c r="D1948" s="234"/>
      <c r="E1948" s="237" t="str">
        <f>IFERROR(__xludf.DUMMYFUNCTION("""COMPUTED_VALUE"""),"LT1PC501TI821")</f>
        <v>LT1PC501TI821</v>
      </c>
      <c r="F1948" s="238" t="str">
        <f>IFERROR(__xludf.DUMMYFUNCTION("""COMPUTED_VALUE"""),"QIX2J45,SXS1A00")</f>
        <v>QIX2J45,SXS1A00</v>
      </c>
      <c r="G1948" s="238">
        <f>IFERROR(__xludf.DUMMYFUNCTION("""COMPUTED_VALUE"""),45996.08333333333)</f>
        <v>45996.08333</v>
      </c>
      <c r="H1948" s="238">
        <f>IFERROR(__xludf.DUMMYFUNCTION("""COMPUTED_VALUE"""),45996.41666666667)</f>
        <v>45996.41667</v>
      </c>
      <c r="I1948" s="237" t="str">
        <f t="shared" si="1"/>
        <v>Fora</v>
      </c>
      <c r="J1948" s="239">
        <v>480.00000001396984</v>
      </c>
    </row>
    <row r="1949">
      <c r="A1949" s="234" t="s">
        <v>3640</v>
      </c>
      <c r="B1949" s="234" t="str">
        <f>IFERROR(__xludf.DUMMYFUNCTION("""COMPUTED_VALUE"""),"SoC_MG_Betim")</f>
        <v>SoC_MG_Betim</v>
      </c>
      <c r="C1949" s="234" t="str">
        <f>IFERROR(__xludf.DUMMYFUNCTION("""COMPUTED_VALUE"""),"SOC-MG2")</f>
        <v>SOC-MG2</v>
      </c>
      <c r="D1949" s="234">
        <f>IFERROR(__xludf.DUMMYFUNCTION("""COMPUTED_VALUE"""),90.0)</f>
        <v>90</v>
      </c>
      <c r="E1949" s="237" t="str">
        <f>IFERROR(__xludf.DUMMYFUNCTION("""COMPUTED_VALUE"""),"LT1PC501TI801")</f>
        <v>LT1PC501TI801</v>
      </c>
      <c r="F1949" s="238" t="str">
        <f>IFERROR(__xludf.DUMMYFUNCTION("""COMPUTED_VALUE"""),"DPS6J99,EQU1H83")</f>
        <v>DPS6J99,EQU1H83</v>
      </c>
      <c r="G1949" s="238">
        <f>IFERROR(__xludf.DUMMYFUNCTION("""COMPUTED_VALUE"""),45996.08333333333)</f>
        <v>45996.08333</v>
      </c>
      <c r="H1949" s="238">
        <f>IFERROR(__xludf.DUMMYFUNCTION("""COMPUTED_VALUE"""),45996.41666666667)</f>
        <v>45996.41667</v>
      </c>
      <c r="I1949" s="237" t="str">
        <f t="shared" si="1"/>
        <v>Fora</v>
      </c>
      <c r="J1949" s="239">
        <v>479.9999999930151</v>
      </c>
    </row>
    <row r="1950">
      <c r="A1950" s="234" t="s">
        <v>3641</v>
      </c>
      <c r="B1950" s="234" t="str">
        <f>IFERROR(__xludf.DUMMYFUNCTION("""COMPUTED_VALUE"""),"SoC_BA_Simoes Filho")</f>
        <v>SoC_BA_Simoes Filho</v>
      </c>
      <c r="C1950" s="234" t="str">
        <f>IFERROR(__xludf.DUMMYFUNCTION("""COMPUTED_VALUE"""),"SOC-BA2")</f>
        <v>SOC-BA2</v>
      </c>
      <c r="D1950" s="234"/>
      <c r="E1950" s="237" t="str">
        <f>IFERROR(__xludf.DUMMYFUNCTION("""COMPUTED_VALUE"""),"LT1PC501TIDS1")</f>
        <v>LT1PC501TIDS1</v>
      </c>
      <c r="F1950" s="238" t="str">
        <f>IFERROR(__xludf.DUMMYFUNCTION("""COMPUTED_VALUE"""),"RYO4I80,RXU7G95")</f>
        <v>RYO4I80,RXU7G95</v>
      </c>
      <c r="G1950" s="238">
        <f>IFERROR(__xludf.DUMMYFUNCTION("""COMPUTED_VALUE"""),45996.125)</f>
        <v>45996.125</v>
      </c>
      <c r="H1950" s="238">
        <f>IFERROR(__xludf.DUMMYFUNCTION("""COMPUTED_VALUE"""),45996.45833333333)</f>
        <v>45996.45833</v>
      </c>
      <c r="I1950" s="237" t="str">
        <f t="shared" si="1"/>
        <v>Fora</v>
      </c>
      <c r="J1950" s="239">
        <v>360.0</v>
      </c>
    </row>
    <row r="1951">
      <c r="A1951" s="234" t="s">
        <v>3642</v>
      </c>
      <c r="B1951" s="234" t="str">
        <f>IFERROR(__xludf.DUMMYFUNCTION("""COMPUTED_VALUE"""),"SoC_PR_Curitiba")</f>
        <v>SoC_PR_Curitiba</v>
      </c>
      <c r="C1951" s="234" t="str">
        <f>IFERROR(__xludf.DUMMYFUNCTION("""COMPUTED_VALUE"""),"SOC-PR1")</f>
        <v>SOC-PR1</v>
      </c>
      <c r="D1951" s="234">
        <f>IFERROR(__xludf.DUMMYFUNCTION("""COMPUTED_VALUE"""),49.0)</f>
        <v>49</v>
      </c>
      <c r="E1951" s="237" t="str">
        <f>IFERROR(__xludf.DUMMYFUNCTION("""COMPUTED_VALUE"""),"LT1PC401TIE11")</f>
        <v>LT1PC401TIE11</v>
      </c>
      <c r="F1951" s="238" t="str">
        <f>IFERROR(__xludf.DUMMYFUNCTION("""COMPUTED_VALUE"""),"MLG9J90,UFZ1D02")</f>
        <v>MLG9J90,UFZ1D02</v>
      </c>
      <c r="G1951" s="238">
        <f>IFERROR(__xludf.DUMMYFUNCTION("""COMPUTED_VALUE"""),45996.23611111111)</f>
        <v>45996.23611</v>
      </c>
      <c r="H1951" s="238">
        <f>IFERROR(__xludf.DUMMYFUNCTION("""COMPUTED_VALUE"""),45996.48611111111)</f>
        <v>45996.48611</v>
      </c>
      <c r="I1951" s="237" t="str">
        <f t="shared" si="1"/>
        <v>Fora</v>
      </c>
      <c r="J1951" s="239">
        <v>540.0</v>
      </c>
    </row>
    <row r="1952">
      <c r="A1952" s="234" t="s">
        <v>3643</v>
      </c>
      <c r="B1952" s="234" t="str">
        <f>IFERROR(__xludf.DUMMYFUNCTION("""COMPUTED_VALUE"""),"SoC_BA_Simoes Filho")</f>
        <v>SoC_BA_Simoes Filho</v>
      </c>
      <c r="C1952" s="234" t="str">
        <f>IFERROR(__xludf.DUMMYFUNCTION("""COMPUTED_VALUE"""),"SOC-BA2")</f>
        <v>SOC-BA2</v>
      </c>
      <c r="D1952" s="234"/>
      <c r="E1952" s="237" t="str">
        <f>IFERROR(__xludf.DUMMYFUNCTION("""COMPUTED_VALUE"""),"LT1PC501TI8A1")</f>
        <v>LT1PC501TI8A1</v>
      </c>
      <c r="F1952" s="234"/>
      <c r="G1952" s="238">
        <f>IFERROR(__xludf.DUMMYFUNCTION("""COMPUTED_VALUE"""),45996.125)</f>
        <v>45996.125</v>
      </c>
      <c r="H1952" s="238">
        <f>IFERROR(__xludf.DUMMYFUNCTION("""COMPUTED_VALUE"""),45996.5)</f>
        <v>45996.5</v>
      </c>
      <c r="I1952" s="237" t="str">
        <f t="shared" si="1"/>
        <v>Fora</v>
      </c>
      <c r="J1952" s="239">
        <v>540.0</v>
      </c>
    </row>
    <row r="1953">
      <c r="A1953" s="234" t="s">
        <v>3644</v>
      </c>
      <c r="B1953" s="234" t="str">
        <f>IFERROR(__xludf.DUMMYFUNCTION("""COMPUTED_VALUE"""),"SoC_GO_Goiânia_02")</f>
        <v>SoC_GO_Goiânia_02</v>
      </c>
      <c r="C1953" s="234" t="str">
        <f>IFERROR(__xludf.DUMMYFUNCTION("""COMPUTED_VALUE"""),"SOC-GO2")</f>
        <v>SOC-GO2</v>
      </c>
      <c r="D1953" s="234"/>
      <c r="E1953" s="237" t="str">
        <f>IFERROR(__xludf.DUMMYFUNCTION("""COMPUTED_VALUE"""),"LT1PC501TI8H1")</f>
        <v>LT1PC501TI8H1</v>
      </c>
      <c r="F1953" s="238" t="str">
        <f>IFERROR(__xludf.DUMMYFUNCTION("""COMPUTED_VALUE"""),"-")</f>
        <v>-</v>
      </c>
      <c r="G1953" s="238">
        <f>IFERROR(__xludf.DUMMYFUNCTION("""COMPUTED_VALUE"""),45996.125)</f>
        <v>45996.125</v>
      </c>
      <c r="H1953" s="238">
        <f>IFERROR(__xludf.DUMMYFUNCTION("""COMPUTED_VALUE"""),45996.5)</f>
        <v>45996.5</v>
      </c>
      <c r="I1953" s="237" t="str">
        <f t="shared" si="1"/>
        <v>Fora</v>
      </c>
      <c r="J1953" s="239">
        <v>540.0</v>
      </c>
    </row>
    <row r="1954">
      <c r="A1954" s="234" t="s">
        <v>3645</v>
      </c>
      <c r="B1954" s="234" t="str">
        <f>IFERROR(__xludf.DUMMYFUNCTION("""COMPUTED_VALUE"""),"SoC_GO_Goiânia_02")</f>
        <v>SoC_GO_Goiânia_02</v>
      </c>
      <c r="C1954" s="234" t="str">
        <f>IFERROR(__xludf.DUMMYFUNCTION("""COMPUTED_VALUE"""),"SOC-GO2")</f>
        <v>SOC-GO2</v>
      </c>
      <c r="D1954" s="234">
        <f>IFERROR(__xludf.DUMMYFUNCTION("""COMPUTED_VALUE"""),86.0)</f>
        <v>86</v>
      </c>
      <c r="E1954" s="237" t="str">
        <f>IFERROR(__xludf.DUMMYFUNCTION("""COMPUTED_VALUE"""),"LT1PC501TI841")</f>
        <v>LT1PC501TI841</v>
      </c>
      <c r="F1954" s="238" t="str">
        <f>IFERROR(__xludf.DUMMYFUNCTION("""COMPUTED_VALUE"""),"RFD3G51,EFW6D40")</f>
        <v>RFD3G51,EFW6D40</v>
      </c>
      <c r="G1954" s="238">
        <f>IFERROR(__xludf.DUMMYFUNCTION("""COMPUTED_VALUE"""),45996.125)</f>
        <v>45996.125</v>
      </c>
      <c r="H1954" s="238">
        <f>IFERROR(__xludf.DUMMYFUNCTION("""COMPUTED_VALUE"""),45996.5)</f>
        <v>45996.5</v>
      </c>
      <c r="I1954" s="237" t="str">
        <f t="shared" si="1"/>
        <v>Fora</v>
      </c>
      <c r="J1954" s="239">
        <v>540.0</v>
      </c>
    </row>
    <row r="1955">
      <c r="A1955" s="234" t="s">
        <v>3646</v>
      </c>
      <c r="B1955" s="234" t="str">
        <f>IFERROR(__xludf.DUMMYFUNCTION("""COMPUTED_VALUE"""),"SoC_RJ_Duque de Caxias")</f>
        <v>SoC_RJ_Duque de Caxias</v>
      </c>
      <c r="C1955" s="234" t="str">
        <f>IFERROR(__xludf.DUMMYFUNCTION("""COMPUTED_VALUE"""),"SOC-RJ2")</f>
        <v>SOC-RJ2</v>
      </c>
      <c r="D1955" s="234">
        <f>IFERROR(__xludf.DUMMYFUNCTION("""COMPUTED_VALUE"""),97.0)</f>
        <v>97</v>
      </c>
      <c r="E1955" s="237" t="str">
        <f>IFERROR(__xludf.DUMMYFUNCTION("""COMPUTED_VALUE"""),"LT1PC501TI881")</f>
        <v>LT1PC501TI881</v>
      </c>
      <c r="F1955" s="238" t="str">
        <f>IFERROR(__xludf.DUMMYFUNCTION("""COMPUTED_VALUE"""),"IQS6G15,CYB9F64")</f>
        <v>IQS6G15,CYB9F64</v>
      </c>
      <c r="G1955" s="238">
        <f>IFERROR(__xludf.DUMMYFUNCTION("""COMPUTED_VALUE"""),45996.125)</f>
        <v>45996.125</v>
      </c>
      <c r="H1955" s="238">
        <f>IFERROR(__xludf.DUMMYFUNCTION("""COMPUTED_VALUE"""),45996.5)</f>
        <v>45996.5</v>
      </c>
      <c r="I1955" s="237" t="str">
        <f t="shared" si="1"/>
        <v>Fora</v>
      </c>
      <c r="J1955" s="239">
        <v>479.9999999930151</v>
      </c>
    </row>
    <row r="1956">
      <c r="A1956" s="234" t="s">
        <v>3647</v>
      </c>
      <c r="B1956" s="234" t="str">
        <f>IFERROR(__xludf.DUMMYFUNCTION("""COMPUTED_VALUE"""),"SoC_SP_Cravinhos")</f>
        <v>SoC_SP_Cravinhos</v>
      </c>
      <c r="C1956" s="234" t="str">
        <f>IFERROR(__xludf.DUMMYFUNCTION("""COMPUTED_VALUE"""),"SOC-SP5")</f>
        <v>SOC-SP5</v>
      </c>
      <c r="D1956" s="234">
        <f>IFERROR(__xludf.DUMMYFUNCTION("""COMPUTED_VALUE"""),46.0)</f>
        <v>46</v>
      </c>
      <c r="E1956" s="237" t="str">
        <f>IFERROR(__xludf.DUMMYFUNCTION("""COMPUTED_VALUE"""),"LT0PC401TA911")</f>
        <v>LT0PC401TA911</v>
      </c>
      <c r="F1956" s="238" t="str">
        <f>IFERROR(__xludf.DUMMYFUNCTION("""COMPUTED_VALUE"""),"ARW6H90,DBL9F03")</f>
        <v>ARW6H90,DBL9F03</v>
      </c>
      <c r="G1956" s="238">
        <f>IFERROR(__xludf.DUMMYFUNCTION("""COMPUTED_VALUE"""),45996.16666666667)</f>
        <v>45996.16667</v>
      </c>
      <c r="H1956" s="238">
        <f>IFERROR(__xludf.DUMMYFUNCTION("""COMPUTED_VALUE"""),45996.5)</f>
        <v>45996.5</v>
      </c>
      <c r="I1956" s="237" t="str">
        <f t="shared" si="1"/>
        <v>Fora</v>
      </c>
      <c r="J1956" s="239">
        <v>540.0</v>
      </c>
    </row>
    <row r="1957">
      <c r="A1957" s="234" t="s">
        <v>3648</v>
      </c>
      <c r="B1957" s="234" t="str">
        <f>IFERROR(__xludf.DUMMYFUNCTION("""COMPUTED_VALUE"""),"SoC_BA_Simoes Filho")</f>
        <v>SoC_BA_Simoes Filho</v>
      </c>
      <c r="C1957" s="234" t="str">
        <f>IFERROR(__xludf.DUMMYFUNCTION("""COMPUTED_VALUE"""),"SOC-BA2")</f>
        <v>SOC-BA2</v>
      </c>
      <c r="D1957" s="234"/>
      <c r="E1957" s="237" t="str">
        <f>IFERROR(__xludf.DUMMYFUNCTION("""COMPUTED_VALUE"""),"LT1PC501TI831")</f>
        <v>LT1PC501TI831</v>
      </c>
      <c r="F1957" s="234"/>
      <c r="G1957" s="238">
        <f>IFERROR(__xludf.DUMMYFUNCTION("""COMPUTED_VALUE"""),45996.16666666667)</f>
        <v>45996.16667</v>
      </c>
      <c r="H1957" s="238">
        <f>IFERROR(__xludf.DUMMYFUNCTION("""COMPUTED_VALUE"""),45996.54166666667)</f>
        <v>45996.54167</v>
      </c>
      <c r="I1957" s="237" t="str">
        <f t="shared" si="1"/>
        <v>Fora</v>
      </c>
      <c r="J1957" s="239">
        <v>119.99999999301508</v>
      </c>
    </row>
    <row r="1958">
      <c r="A1958" s="234" t="s">
        <v>3649</v>
      </c>
      <c r="B1958" s="234" t="str">
        <f>IFERROR(__xludf.DUMMYFUNCTION("""COMPUTED_VALUE"""),"LM Hub_MG_Belo Horizonte_02")</f>
        <v>LM Hub_MG_Belo Horizonte_02</v>
      </c>
      <c r="C1958" s="234" t="str">
        <f>IFERROR(__xludf.DUMMYFUNCTION("""COMPUTED_VALUE"""),"HUB-LMG-50")</f>
        <v>HUB-LMG-50</v>
      </c>
      <c r="D1958" s="234">
        <f>IFERROR(__xludf.DUMMYFUNCTION("""COMPUTED_VALUE"""),18.0)</f>
        <v>18</v>
      </c>
      <c r="E1958" s="237" t="str">
        <f>IFERROR(__xludf.DUMMYFUNCTION("""COMPUTED_VALUE"""),"LT0PC501T4WG1")</f>
        <v>LT0PC501T4WG1</v>
      </c>
      <c r="F1958" s="238" t="str">
        <f>IFERROR(__xludf.DUMMYFUNCTION("""COMPUTED_VALUE"""),"HEK9A35")</f>
        <v>HEK9A35</v>
      </c>
      <c r="G1958" s="238">
        <f>IFERROR(__xludf.DUMMYFUNCTION("""COMPUTED_VALUE"""),45996.85416666667)</f>
        <v>45996.85417</v>
      </c>
      <c r="H1958" s="238">
        <f>IFERROR(__xludf.DUMMYFUNCTION("""COMPUTED_VALUE"""),45996.9375)</f>
        <v>45996.9375</v>
      </c>
      <c r="I1958" s="237" t="str">
        <f t="shared" si="1"/>
        <v>Fora</v>
      </c>
      <c r="J1958" s="239">
        <v>119.99999999301508</v>
      </c>
    </row>
    <row r="1959">
      <c r="A1959" s="234" t="s">
        <v>3650</v>
      </c>
      <c r="B1959" s="234" t="str">
        <f>IFERROR(__xludf.DUMMYFUNCTION("""COMPUTED_VALUE"""),"SoC_SP_Cravinhos")</f>
        <v>SoC_SP_Cravinhos</v>
      </c>
      <c r="C1959" s="234" t="str">
        <f>IFERROR(__xludf.DUMMYFUNCTION("""COMPUTED_VALUE"""),"SOC-SP5")</f>
        <v>SOC-SP5</v>
      </c>
      <c r="D1959" s="234">
        <f>IFERROR(__xludf.DUMMYFUNCTION("""COMPUTED_VALUE"""),48.0)</f>
        <v>48</v>
      </c>
      <c r="E1959" s="237" t="str">
        <f>IFERROR(__xludf.DUMMYFUNCTION("""COMPUTED_VALUE"""),"LT0PC501T0CW1")</f>
        <v>LT0PC501T0CW1</v>
      </c>
      <c r="F1959" s="238" t="str">
        <f>IFERROR(__xludf.DUMMYFUNCTION("""COMPUTED_VALUE"""),"GKI8F28,IPI7C15")</f>
        <v>GKI8F28,IPI7C15</v>
      </c>
      <c r="G1959" s="238">
        <f>IFERROR(__xludf.DUMMYFUNCTION("""COMPUTED_VALUE"""),45996.875)</f>
        <v>45996.875</v>
      </c>
      <c r="H1959" s="238">
        <f>IFERROR(__xludf.DUMMYFUNCTION("""COMPUTED_VALUE"""),45996.95833333333)</f>
        <v>45996.95833</v>
      </c>
      <c r="I1959" s="237" t="str">
        <f t="shared" si="1"/>
        <v>Fora</v>
      </c>
      <c r="J1959" s="239">
        <v>120.00000001396984</v>
      </c>
    </row>
    <row r="1960">
      <c r="A1960" s="234" t="s">
        <v>3651</v>
      </c>
      <c r="B1960" s="234" t="str">
        <f>IFERROR(__xludf.DUMMYFUNCTION("""COMPUTED_VALUE"""),"LM Hub_SP_Itaqua_Zimba")</f>
        <v>LM Hub_SP_Itaqua_Zimba</v>
      </c>
      <c r="C1960" s="234" t="str">
        <f>IFERROR(__xludf.DUMMYFUNCTION("""COMPUTED_VALUE"""),"HUB-LSP-74")</f>
        <v>HUB-LSP-74</v>
      </c>
      <c r="D1960" s="234">
        <f>IFERROR(__xludf.DUMMYFUNCTION("""COMPUTED_VALUE"""),33.0)</f>
        <v>33</v>
      </c>
      <c r="E1960" s="237" t="str">
        <f>IFERROR(__xludf.DUMMYFUNCTION("""COMPUTED_VALUE"""),"LT0PC501T0FH1")</f>
        <v>LT0PC501T0FH1</v>
      </c>
      <c r="F1960" s="238" t="str">
        <f>IFERROR(__xludf.DUMMYFUNCTION("""COMPUTED_VALUE"""),"SUQ5C99")</f>
        <v>SUQ5C99</v>
      </c>
      <c r="G1960" s="238">
        <f>IFERROR(__xludf.DUMMYFUNCTION("""COMPUTED_VALUE"""),45996.89583333333)</f>
        <v>45996.89583</v>
      </c>
      <c r="H1960" s="238">
        <f>IFERROR(__xludf.DUMMYFUNCTION("""COMPUTED_VALUE"""),45996.97916666667)</f>
        <v>45996.97917</v>
      </c>
      <c r="I1960" s="237" t="str">
        <f t="shared" si="1"/>
        <v>Fora</v>
      </c>
      <c r="J1960" s="239">
        <v>120.00000001396984</v>
      </c>
    </row>
    <row r="1961">
      <c r="A1961" s="234" t="s">
        <v>3652</v>
      </c>
      <c r="B1961" s="234" t="str">
        <f>IFERROR(__xludf.DUMMYFUNCTION("""COMPUTED_VALUE"""),"LM Hub_SP_Santos_Praia Grande")</f>
        <v>LM Hub_SP_Santos_Praia Grande</v>
      </c>
      <c r="C1961" s="234" t="str">
        <f>IFERROR(__xludf.DUMMYFUNCTION("""COMPUTED_VALUE"""),"HUB-LSP-09")</f>
        <v>HUB-LSP-09</v>
      </c>
      <c r="D1961" s="234">
        <f>IFERROR(__xludf.DUMMYFUNCTION("""COMPUTED_VALUE"""),32.0)</f>
        <v>32</v>
      </c>
      <c r="E1961" s="237" t="str">
        <f>IFERROR(__xludf.DUMMYFUNCTION("""COMPUTED_VALUE"""),"LT0PC501T0H81")</f>
        <v>LT0PC501T0H81</v>
      </c>
      <c r="F1961" s="238" t="str">
        <f>IFERROR(__xludf.DUMMYFUNCTION("""COMPUTED_VALUE"""),"FUZ4C73,TLL9H76")</f>
        <v>FUZ4C73,TLL9H76</v>
      </c>
      <c r="G1961" s="238">
        <f>IFERROR(__xludf.DUMMYFUNCTION("""COMPUTED_VALUE"""),45996.89583333333)</f>
        <v>45996.89583</v>
      </c>
      <c r="H1961" s="238">
        <f>IFERROR(__xludf.DUMMYFUNCTION("""COMPUTED_VALUE"""),45996.97916666667)</f>
        <v>45996.97917</v>
      </c>
      <c r="I1961" s="237" t="str">
        <f t="shared" si="1"/>
        <v>Fora</v>
      </c>
      <c r="J1961" s="239">
        <v>119.00000001071021</v>
      </c>
    </row>
    <row r="1962">
      <c r="A1962" s="234" t="s">
        <v>3653</v>
      </c>
      <c r="B1962" s="234" t="str">
        <f>IFERROR(__xludf.DUMMYFUNCTION("""COMPUTED_VALUE"""),"LM Hub_SP_Jurubatuba")</f>
        <v>LM Hub_SP_Jurubatuba</v>
      </c>
      <c r="C1962" s="234" t="str">
        <f>IFERROR(__xludf.DUMMYFUNCTION("""COMPUTED_VALUE"""),"HUB-LSP-16")</f>
        <v>HUB-LSP-16</v>
      </c>
      <c r="D1962" s="234">
        <f>IFERROR(__xludf.DUMMYFUNCTION("""COMPUTED_VALUE"""),8.0)</f>
        <v>8</v>
      </c>
      <c r="E1962" s="237" t="str">
        <f>IFERROR(__xludf.DUMMYFUNCTION("""COMPUTED_VALUE"""),"LT0PC501TA9J1")</f>
        <v>LT0PC501TA9J1</v>
      </c>
      <c r="F1962" s="238" t="str">
        <f>IFERROR(__xludf.DUMMYFUNCTION("""COMPUTED_VALUE"""),"DTD4722")</f>
        <v>DTD4722</v>
      </c>
      <c r="G1962" s="238">
        <f>IFERROR(__xludf.DUMMYFUNCTION("""COMPUTED_VALUE"""),45996.896527777775)</f>
        <v>45996.89653</v>
      </c>
      <c r="H1962" s="238">
        <f>IFERROR(__xludf.DUMMYFUNCTION("""COMPUTED_VALUE"""),45996.97916666667)</f>
        <v>45996.97917</v>
      </c>
      <c r="I1962" s="237" t="str">
        <f t="shared" si="1"/>
        <v>Fora</v>
      </c>
      <c r="J1962" s="239">
        <v>119.00000001071021</v>
      </c>
    </row>
    <row r="1963">
      <c r="A1963" s="234" t="s">
        <v>3654</v>
      </c>
      <c r="B1963" s="234" t="str">
        <f>IFERROR(__xludf.DUMMYFUNCTION("""COMPUTED_VALUE"""),"LM Hub_SP_São José dos Campos")</f>
        <v>LM Hub_SP_São José dos Campos</v>
      </c>
      <c r="C1963" s="234" t="str">
        <f>IFERROR(__xludf.DUMMYFUNCTION("""COMPUTED_VALUE"""),"HUB-LSP-04")</f>
        <v>HUB-LSP-04</v>
      </c>
      <c r="D1963" s="234">
        <f>IFERROR(__xludf.DUMMYFUNCTION("""COMPUTED_VALUE"""),27.0)</f>
        <v>27</v>
      </c>
      <c r="E1963" s="237" t="str">
        <f>IFERROR(__xludf.DUMMYFUNCTION("""COMPUTED_VALUE"""),"LT0PC501TAA81")</f>
        <v>LT0PC501TAA81</v>
      </c>
      <c r="F1963" s="238" t="str">
        <f>IFERROR(__xludf.DUMMYFUNCTION("""COMPUTED_VALUE"""),"TIR7J78")</f>
        <v>TIR7J78</v>
      </c>
      <c r="G1963" s="238">
        <f>IFERROR(__xludf.DUMMYFUNCTION("""COMPUTED_VALUE"""),45996.896527777775)</f>
        <v>45996.89653</v>
      </c>
      <c r="H1963" s="238">
        <f>IFERROR(__xludf.DUMMYFUNCTION("""COMPUTED_VALUE"""),45996.97916666667)</f>
        <v>45996.97917</v>
      </c>
      <c r="I1963" s="237" t="str">
        <f t="shared" si="1"/>
        <v>Fora</v>
      </c>
      <c r="J1963" s="239">
        <v>119.00000001071021</v>
      </c>
    </row>
    <row r="1964">
      <c r="A1964" s="234" t="s">
        <v>3655</v>
      </c>
      <c r="B1964" s="234" t="str">
        <f>IFERROR(__xludf.DUMMYFUNCTION("""COMPUTED_VALUE"""),"LM Hub_SP_São Paulo_Lapa")</f>
        <v>LM Hub_SP_São Paulo_Lapa</v>
      </c>
      <c r="C1964" s="234" t="str">
        <f>IFERROR(__xludf.DUMMYFUNCTION("""COMPUTED_VALUE"""),"HUB-LSP-15")</f>
        <v>HUB-LSP-15</v>
      </c>
      <c r="D1964" s="234">
        <f>IFERROR(__xludf.DUMMYFUNCTION("""COMPUTED_VALUE"""),42.0)</f>
        <v>42</v>
      </c>
      <c r="E1964" s="237" t="str">
        <f>IFERROR(__xludf.DUMMYFUNCTION("""COMPUTED_VALUE"""),"LT0PC501T0E61")</f>
        <v>LT0PC501T0E61</v>
      </c>
      <c r="F1964" s="238" t="str">
        <f>IFERROR(__xludf.DUMMYFUNCTION("""COMPUTED_VALUE"""),"FEQ5G38,DBM6B83")</f>
        <v>FEQ5G38,DBM6B83</v>
      </c>
      <c r="G1964" s="238">
        <f>IFERROR(__xludf.DUMMYFUNCTION("""COMPUTED_VALUE"""),45996.896527777775)</f>
        <v>45996.89653</v>
      </c>
      <c r="H1964" s="238">
        <f>IFERROR(__xludf.DUMMYFUNCTION("""COMPUTED_VALUE"""),45996.97916666667)</f>
        <v>45996.97917</v>
      </c>
      <c r="I1964" s="237" t="str">
        <f t="shared" si="1"/>
        <v>Fora</v>
      </c>
      <c r="J1964" s="239">
        <v>118.00000000745058</v>
      </c>
    </row>
    <row r="1965">
      <c r="A1965" s="234" t="s">
        <v>3656</v>
      </c>
      <c r="B1965" s="234" t="str">
        <f>IFERROR(__xludf.DUMMYFUNCTION("""COMPUTED_VALUE"""),"LM Hub_SP_São José dos Campos")</f>
        <v>LM Hub_SP_São José dos Campos</v>
      </c>
      <c r="C1965" s="234" t="str">
        <f>IFERROR(__xludf.DUMMYFUNCTION("""COMPUTED_VALUE"""),"HUB-LSP-04")</f>
        <v>HUB-LSP-04</v>
      </c>
      <c r="D1965" s="234">
        <f>IFERROR(__xludf.DUMMYFUNCTION("""COMPUTED_VALUE"""),16.0)</f>
        <v>16</v>
      </c>
      <c r="E1965" s="237" t="str">
        <f>IFERROR(__xludf.DUMMYFUNCTION("""COMPUTED_VALUE"""),"LT0PC501T0IC1")</f>
        <v>LT0PC501T0IC1</v>
      </c>
      <c r="F1965" s="238" t="str">
        <f>IFERROR(__xludf.DUMMYFUNCTION("""COMPUTED_VALUE"""),"BZV6J05")</f>
        <v>BZV6J05</v>
      </c>
      <c r="G1965" s="238">
        <f>IFERROR(__xludf.DUMMYFUNCTION("""COMPUTED_VALUE"""),45996.89722222222)</f>
        <v>45996.89722</v>
      </c>
      <c r="H1965" s="238">
        <f>IFERROR(__xludf.DUMMYFUNCTION("""COMPUTED_VALUE"""),45996.97916666667)</f>
        <v>45996.97917</v>
      </c>
      <c r="I1965" s="237" t="str">
        <f t="shared" si="1"/>
        <v>Fora</v>
      </c>
      <c r="J1965" s="239">
        <v>117.9999999969732</v>
      </c>
    </row>
    <row r="1966">
      <c r="A1966" s="234" t="s">
        <v>3657</v>
      </c>
      <c r="B1966" s="234" t="str">
        <f>IFERROR(__xludf.DUMMYFUNCTION("""COMPUTED_VALUE"""),"LM Hub_SP_Guarujá")</f>
        <v>LM Hub_SP_Guarujá</v>
      </c>
      <c r="C1966" s="234" t="str">
        <f>IFERROR(__xludf.DUMMYFUNCTION("""COMPUTED_VALUE"""),"HUB-LSP-06")</f>
        <v>HUB-LSP-06</v>
      </c>
      <c r="D1966" s="234">
        <f>IFERROR(__xludf.DUMMYFUNCTION("""COMPUTED_VALUE"""),7.0)</f>
        <v>7</v>
      </c>
      <c r="E1966" s="237" t="str">
        <f>IFERROR(__xludf.DUMMYFUNCTION("""COMPUTED_VALUE"""),"LT0PC501TA9W1")</f>
        <v>LT0PC501TA9W1</v>
      </c>
      <c r="F1966" s="238" t="str">
        <f>IFERROR(__xludf.DUMMYFUNCTION("""COMPUTED_VALUE"""),"PQV0E87")</f>
        <v>PQV0E87</v>
      </c>
      <c r="G1966" s="238">
        <f>IFERROR(__xludf.DUMMYFUNCTION("""COMPUTED_VALUE"""),45996.91736111111)</f>
        <v>45996.91736</v>
      </c>
      <c r="H1966" s="238">
        <f>IFERROR(__xludf.DUMMYFUNCTION("""COMPUTED_VALUE"""),45996.99930555555)</f>
        <v>45996.99931</v>
      </c>
      <c r="I1966" s="237" t="str">
        <f t="shared" si="1"/>
        <v>Fora</v>
      </c>
      <c r="J1966" s="239">
        <v>119.99999999301508</v>
      </c>
    </row>
    <row r="1967">
      <c r="A1967" s="234" t="s">
        <v>3658</v>
      </c>
      <c r="B1967" s="234" t="str">
        <f>IFERROR(__xludf.DUMMYFUNCTION("""COMPUTED_VALUE"""),"LM Hub_SP_Artur Alvim")</f>
        <v>LM Hub_SP_Artur Alvim</v>
      </c>
      <c r="C1967" s="234" t="str">
        <f>IFERROR(__xludf.DUMMYFUNCTION("""COMPUTED_VALUE"""),"HUB-LSP-07")</f>
        <v>HUB-LSP-07</v>
      </c>
      <c r="D1967" s="234">
        <f>IFERROR(__xludf.DUMMYFUNCTION("""COMPUTED_VALUE"""),17.0)</f>
        <v>17</v>
      </c>
      <c r="E1967" s="237" t="str">
        <f>IFERROR(__xludf.DUMMYFUNCTION("""COMPUTED_VALUE"""),"LT0PC501T0DQ1")</f>
        <v>LT0PC501T0DQ1</v>
      </c>
      <c r="F1967" s="238" t="str">
        <f>IFERROR(__xludf.DUMMYFUNCTION("""COMPUTED_VALUE"""),"EBS3J90,JXA3594")</f>
        <v>EBS3J90,JXA3594</v>
      </c>
      <c r="G1967" s="238">
        <f>IFERROR(__xludf.DUMMYFUNCTION("""COMPUTED_VALUE"""),45996.91666666667)</f>
        <v>45996.91667</v>
      </c>
      <c r="H1967" s="238">
        <f>IFERROR(__xludf.DUMMYFUNCTION("""COMPUTED_VALUE"""),45997.0)</f>
        <v>45997</v>
      </c>
      <c r="I1967" s="237" t="str">
        <f t="shared" si="1"/>
        <v>Fora</v>
      </c>
      <c r="J1967" s="239">
        <v>119.99999999301508</v>
      </c>
    </row>
    <row r="1968">
      <c r="A1968" s="234" t="s">
        <v>3659</v>
      </c>
      <c r="B1968" s="234" t="str">
        <f>IFERROR(__xludf.DUMMYFUNCTION("""COMPUTED_VALUE"""),"LM Hub_SP_Guarulhos")</f>
        <v>LM Hub_SP_Guarulhos</v>
      </c>
      <c r="C1968" s="234" t="str">
        <f>IFERROR(__xludf.DUMMYFUNCTION("""COMPUTED_VALUE"""),"HUB-LSP-77")</f>
        <v>HUB-LSP-77</v>
      </c>
      <c r="D1968" s="234">
        <f>IFERROR(__xludf.DUMMYFUNCTION("""COMPUTED_VALUE"""),21.0)</f>
        <v>21</v>
      </c>
      <c r="E1968" s="237" t="str">
        <f>IFERROR(__xludf.DUMMYFUNCTION("""COMPUTED_VALUE"""),"LT0PC501T15R1")</f>
        <v>LT0PC501T15R1</v>
      </c>
      <c r="F1968" s="238" t="str">
        <f>IFERROR(__xludf.DUMMYFUNCTION("""COMPUTED_VALUE"""),"PRB0D29,NKH4A83")</f>
        <v>PRB0D29,NKH4A83</v>
      </c>
      <c r="G1968" s="238">
        <f>IFERROR(__xludf.DUMMYFUNCTION("""COMPUTED_VALUE"""),45996.91666666667)</f>
        <v>45996.91667</v>
      </c>
      <c r="H1968" s="238">
        <f>IFERROR(__xludf.DUMMYFUNCTION("""COMPUTED_VALUE"""),45997.0)</f>
        <v>45997</v>
      </c>
      <c r="I1968" s="237" t="str">
        <f t="shared" si="1"/>
        <v>Fora</v>
      </c>
      <c r="J1968" s="239">
        <v>119.99999999301508</v>
      </c>
    </row>
    <row r="1969">
      <c r="A1969" s="234" t="s">
        <v>3660</v>
      </c>
      <c r="B1969" s="234" t="str">
        <f>IFERROR(__xludf.DUMMYFUNCTION("""COMPUTED_VALUE"""),"LM Hub_SP_Limeira_Campo Belo")</f>
        <v>LM Hub_SP_Limeira_Campo Belo</v>
      </c>
      <c r="C1969" s="234" t="str">
        <f>IFERROR(__xludf.DUMMYFUNCTION("""COMPUTED_VALUE"""),"HUB-LSP-24")</f>
        <v>HUB-LSP-24</v>
      </c>
      <c r="D1969" s="234">
        <f>IFERROR(__xludf.DUMMYFUNCTION("""COMPUTED_VALUE"""),38.0)</f>
        <v>38</v>
      </c>
      <c r="E1969" s="237" t="str">
        <f>IFERROR(__xludf.DUMMYFUNCTION("""COMPUTED_VALUE"""),"LT0PC501T0HW1")</f>
        <v>LT0PC501T0HW1</v>
      </c>
      <c r="F1969" s="238" t="str">
        <f>IFERROR(__xludf.DUMMYFUNCTION("""COMPUTED_VALUE"""),"FCA3E37,FGJ9H71")</f>
        <v>FCA3E37,FGJ9H71</v>
      </c>
      <c r="G1969" s="238">
        <f>IFERROR(__xludf.DUMMYFUNCTION("""COMPUTED_VALUE"""),45996.91666666667)</f>
        <v>45996.91667</v>
      </c>
      <c r="H1969" s="238">
        <f>IFERROR(__xludf.DUMMYFUNCTION("""COMPUTED_VALUE"""),45997.0)</f>
        <v>45997</v>
      </c>
      <c r="I1969" s="237" t="str">
        <f t="shared" si="1"/>
        <v>Fora</v>
      </c>
      <c r="J1969" s="239">
        <v>119.99999999301508</v>
      </c>
    </row>
    <row r="1970">
      <c r="A1970" s="234" t="s">
        <v>3661</v>
      </c>
      <c r="B1970" s="234" t="str">
        <f>IFERROR(__xludf.DUMMYFUNCTION("""COMPUTED_VALUE"""),"LM Hub_SP_Mauá")</f>
        <v>LM Hub_SP_Mauá</v>
      </c>
      <c r="C1970" s="234" t="str">
        <f>IFERROR(__xludf.DUMMYFUNCTION("""COMPUTED_VALUE"""),"HUB-LSP-64")</f>
        <v>HUB-LSP-64</v>
      </c>
      <c r="D1970" s="234">
        <f>IFERROR(__xludf.DUMMYFUNCTION("""COMPUTED_VALUE"""),22.0)</f>
        <v>22</v>
      </c>
      <c r="E1970" s="237" t="str">
        <f>IFERROR(__xludf.DUMMYFUNCTION("""COMPUTED_VALUE"""),"LT0PC501T0F91")</f>
        <v>LT0PC501T0F91</v>
      </c>
      <c r="F1970" s="238" t="str">
        <f>IFERROR(__xludf.DUMMYFUNCTION("""COMPUTED_VALUE"""),"FQF6B98,DTA7802")</f>
        <v>FQF6B98,DTA7802</v>
      </c>
      <c r="G1970" s="238">
        <f>IFERROR(__xludf.DUMMYFUNCTION("""COMPUTED_VALUE"""),45996.91666666667)</f>
        <v>45996.91667</v>
      </c>
      <c r="H1970" s="238">
        <f>IFERROR(__xludf.DUMMYFUNCTION("""COMPUTED_VALUE"""),45997.0)</f>
        <v>45997</v>
      </c>
      <c r="I1970" s="237" t="str">
        <f t="shared" si="1"/>
        <v>Fora</v>
      </c>
      <c r="J1970" s="239">
        <v>119.99999999301508</v>
      </c>
    </row>
    <row r="1971">
      <c r="A1971" s="234" t="s">
        <v>3662</v>
      </c>
      <c r="B1971" s="234" t="str">
        <f>IFERROR(__xludf.DUMMYFUNCTION("""COMPUTED_VALUE"""),"LM Hub_SP_São José do Rio P")</f>
        <v>LM Hub_SP_São José do Rio P</v>
      </c>
      <c r="C1971" s="234" t="str">
        <f>IFERROR(__xludf.DUMMYFUNCTION("""COMPUTED_VALUE"""),"HUB-LSP-27")</f>
        <v>HUB-LSP-27</v>
      </c>
      <c r="D1971" s="234">
        <f>IFERROR(__xludf.DUMMYFUNCTION("""COMPUTED_VALUE"""),41.0)</f>
        <v>41</v>
      </c>
      <c r="E1971" s="237" t="str">
        <f>IFERROR(__xludf.DUMMYFUNCTION("""COMPUTED_VALUE"""),"LT0PC501T4V51")</f>
        <v>LT0PC501T4V51</v>
      </c>
      <c r="F1971" s="238" t="str">
        <f>IFERROR(__xludf.DUMMYFUNCTION("""COMPUTED_VALUE"""),"RYF5D99")</f>
        <v>RYF5D99</v>
      </c>
      <c r="G1971" s="238">
        <f>IFERROR(__xludf.DUMMYFUNCTION("""COMPUTED_VALUE"""),45996.91666666667)</f>
        <v>45996.91667</v>
      </c>
      <c r="H1971" s="238">
        <f>IFERROR(__xludf.DUMMYFUNCTION("""COMPUTED_VALUE"""),45997.0)</f>
        <v>45997</v>
      </c>
      <c r="I1971" s="237" t="str">
        <f t="shared" si="1"/>
        <v>Fora</v>
      </c>
      <c r="J1971" s="239">
        <v>119.99999999301508</v>
      </c>
    </row>
    <row r="1972">
      <c r="A1972" s="234" t="s">
        <v>3663</v>
      </c>
      <c r="B1972" s="234" t="str">
        <f>IFERROR(__xludf.DUMMYFUNCTION("""COMPUTED_VALUE"""),"SoC_BA_Simoes Filho")</f>
        <v>SoC_BA_Simoes Filho</v>
      </c>
      <c r="C1972" s="234" t="str">
        <f>IFERROR(__xludf.DUMMYFUNCTION("""COMPUTED_VALUE"""),"SOC-BA2")</f>
        <v>SOC-BA2</v>
      </c>
      <c r="D1972" s="234" t="str">
        <f>IFERROR(__xludf.DUMMYFUNCTION("""COMPUTED_VALUE"""),"49/89")</f>
        <v>49/89</v>
      </c>
      <c r="E1972" s="237" t="str">
        <f>IFERROR(__xludf.DUMMYFUNCTION("""COMPUTED_VALUE"""),"LT1PC501TJJZ1")</f>
        <v>LT1PC501TJJZ1</v>
      </c>
      <c r="F1972" s="238" t="str">
        <f>IFERROR(__xludf.DUMMYFUNCTION("""COMPUTED_VALUE"""),"RYS2A45,RLH8I30")</f>
        <v>RYS2A45,RLH8I30</v>
      </c>
      <c r="G1972" s="238">
        <f>IFERROR(__xludf.DUMMYFUNCTION("""COMPUTED_VALUE"""),45996.91666666667)</f>
        <v>45996.91667</v>
      </c>
      <c r="H1972" s="238">
        <f>IFERROR(__xludf.DUMMYFUNCTION("""COMPUTED_VALUE"""),45997.0)</f>
        <v>45997</v>
      </c>
      <c r="I1972" s="237" t="str">
        <f t="shared" si="1"/>
        <v>Fora</v>
      </c>
      <c r="J1972" s="239">
        <v>119.00000000023283</v>
      </c>
    </row>
    <row r="1973">
      <c r="A1973" s="234" t="s">
        <v>3664</v>
      </c>
      <c r="B1973" s="234" t="str">
        <f>IFERROR(__xludf.DUMMYFUNCTION("""COMPUTED_VALUE"""),"LM Hub_SP_Itapevi")</f>
        <v>LM Hub_SP_Itapevi</v>
      </c>
      <c r="C1973" s="234" t="str">
        <f>IFERROR(__xludf.DUMMYFUNCTION("""COMPUTED_VALUE"""),"HUB-LSP-41")</f>
        <v>HUB-LSP-41</v>
      </c>
      <c r="D1973" s="234">
        <f>IFERROR(__xludf.DUMMYFUNCTION("""COMPUTED_VALUE"""),5.0)</f>
        <v>5</v>
      </c>
      <c r="E1973" s="237" t="str">
        <f>IFERROR(__xludf.DUMMYFUNCTION("""COMPUTED_VALUE"""),"LT0PC501TA9M1")</f>
        <v>LT0PC501TA9M1</v>
      </c>
      <c r="F1973" s="238" t="str">
        <f>IFERROR(__xludf.DUMMYFUNCTION("""COMPUTED_VALUE"""),"FYQ5533")</f>
        <v>FYQ5533</v>
      </c>
      <c r="G1973" s="238">
        <f>IFERROR(__xludf.DUMMYFUNCTION("""COMPUTED_VALUE"""),45996.91736111111)</f>
        <v>45996.91736</v>
      </c>
      <c r="H1973" s="238">
        <f>IFERROR(__xludf.DUMMYFUNCTION("""COMPUTED_VALUE"""),45997.0)</f>
        <v>45997</v>
      </c>
      <c r="I1973" s="237" t="str">
        <f t="shared" si="1"/>
        <v>Fora</v>
      </c>
      <c r="J1973" s="239">
        <v>118.00000000745058</v>
      </c>
    </row>
    <row r="1974">
      <c r="A1974" s="234" t="s">
        <v>3665</v>
      </c>
      <c r="B1974" s="234" t="str">
        <f>IFERROR(__xludf.DUMMYFUNCTION("""COMPUTED_VALUE"""),"LM Hub_SP_Barueri_01")</f>
        <v>LM Hub_SP_Barueri_01</v>
      </c>
      <c r="C1974" s="234" t="str">
        <f>IFERROR(__xludf.DUMMYFUNCTION("""COMPUTED_VALUE"""),"HUB-LSP-81")</f>
        <v>HUB-LSP-81</v>
      </c>
      <c r="D1974" s="234">
        <f>IFERROR(__xludf.DUMMYFUNCTION("""COMPUTED_VALUE"""),14.0)</f>
        <v>14</v>
      </c>
      <c r="E1974" s="237" t="str">
        <f>IFERROR(__xludf.DUMMYFUNCTION("""COMPUTED_VALUE"""),"LT0PC501T6641")</f>
        <v>LT0PC501T6641</v>
      </c>
      <c r="F1974" s="238" t="str">
        <f>IFERROR(__xludf.DUMMYFUNCTION("""COMPUTED_VALUE"""),"TIZ8A99,TLG4I97")</f>
        <v>TIZ8A99,TLG4I97</v>
      </c>
      <c r="G1974" s="238">
        <f>IFERROR(__xludf.DUMMYFUNCTION("""COMPUTED_VALUE"""),45996.91805555555)</f>
        <v>45996.91806</v>
      </c>
      <c r="H1974" s="238">
        <f>IFERROR(__xludf.DUMMYFUNCTION("""COMPUTED_VALUE"""),45997.0)</f>
        <v>45997</v>
      </c>
      <c r="I1974" s="237" t="str">
        <f t="shared" si="1"/>
        <v>Fora</v>
      </c>
      <c r="J1974" s="239">
        <v>118.00000000745058</v>
      </c>
    </row>
    <row r="1975">
      <c r="A1975" s="234" t="s">
        <v>3666</v>
      </c>
      <c r="B1975" s="234" t="str">
        <f>IFERROR(__xludf.DUMMYFUNCTION("""COMPUTED_VALUE"""),"LM Hub_SP_Santo André")</f>
        <v>LM Hub_SP_Santo André</v>
      </c>
      <c r="C1975" s="234" t="str">
        <f>IFERROR(__xludf.DUMMYFUNCTION("""COMPUTED_VALUE"""),"HUB-LSP-93")</f>
        <v>HUB-LSP-93</v>
      </c>
      <c r="D1975" s="234">
        <f>IFERROR(__xludf.DUMMYFUNCTION("""COMPUTED_VALUE"""),23.0)</f>
        <v>23</v>
      </c>
      <c r="E1975" s="237" t="str">
        <f>IFERROR(__xludf.DUMMYFUNCTION("""COMPUTED_VALUE"""),"LT0PC501T3AL1")</f>
        <v>LT0PC501T3AL1</v>
      </c>
      <c r="F1975" s="238" t="str">
        <f>IFERROR(__xludf.DUMMYFUNCTION("""COMPUTED_VALUE"""),"QPH3J14")</f>
        <v>QPH3J14</v>
      </c>
      <c r="G1975" s="238">
        <f>IFERROR(__xludf.DUMMYFUNCTION("""COMPUTED_VALUE"""),45996.91805555555)</f>
        <v>45996.91806</v>
      </c>
      <c r="H1975" s="238">
        <f>IFERROR(__xludf.DUMMYFUNCTION("""COMPUTED_VALUE"""),45997.0)</f>
        <v>45997</v>
      </c>
      <c r="I1975" s="237" t="str">
        <f t="shared" si="1"/>
        <v>Fora</v>
      </c>
      <c r="J1975" s="239">
        <v>119.99999999301508</v>
      </c>
    </row>
    <row r="1976">
      <c r="A1976" s="234" t="s">
        <v>3667</v>
      </c>
      <c r="B1976" s="234" t="str">
        <f>IFERROR(__xludf.DUMMYFUNCTION("""COMPUTED_VALUE"""),"LM Hub_SP_Jardim Adriana")</f>
        <v>LM Hub_SP_Jardim Adriana</v>
      </c>
      <c r="C1976" s="234" t="str">
        <f>IFERROR(__xludf.DUMMYFUNCTION("""COMPUTED_VALUE"""),"HUB-LSP-12")</f>
        <v>HUB-LSP-12</v>
      </c>
      <c r="D1976" s="234">
        <f>IFERROR(__xludf.DUMMYFUNCTION("""COMPUTED_VALUE"""),9.0)</f>
        <v>9</v>
      </c>
      <c r="E1976" s="237" t="str">
        <f>IFERROR(__xludf.DUMMYFUNCTION("""COMPUTED_VALUE"""),"LT0PC501T0DZ1")</f>
        <v>LT0PC501T0DZ1</v>
      </c>
      <c r="F1976" s="238" t="str">
        <f>IFERROR(__xludf.DUMMYFUNCTION("""COMPUTED_VALUE"""),"CUA4J46")</f>
        <v>CUA4J46</v>
      </c>
      <c r="G1976" s="238">
        <f>IFERROR(__xludf.DUMMYFUNCTION("""COMPUTED_VALUE"""),45996.9375)</f>
        <v>45996.9375</v>
      </c>
      <c r="H1976" s="238">
        <f>IFERROR(__xludf.DUMMYFUNCTION("""COMPUTED_VALUE"""),45997.02083333333)</f>
        <v>45997.02083</v>
      </c>
      <c r="I1976" s="237" t="str">
        <f t="shared" si="1"/>
        <v>Fora</v>
      </c>
      <c r="J1976" s="239">
        <v>119.99999999301508</v>
      </c>
    </row>
    <row r="1977">
      <c r="A1977" s="234" t="s">
        <v>3668</v>
      </c>
      <c r="B1977" s="234" t="str">
        <f>IFERROR(__xludf.DUMMYFUNCTION("""COMPUTED_VALUE"""),"LM Hub_SP_Piracicaba")</f>
        <v>LM Hub_SP_Piracicaba</v>
      </c>
      <c r="C1977" s="234" t="str">
        <f>IFERROR(__xludf.DUMMYFUNCTION("""COMPUTED_VALUE"""),"HUB-LSP-62")</f>
        <v>HUB-LSP-62</v>
      </c>
      <c r="D1977" s="234">
        <f>IFERROR(__xludf.DUMMYFUNCTION("""COMPUTED_VALUE"""),28.0)</f>
        <v>28</v>
      </c>
      <c r="E1977" s="237" t="str">
        <f>IFERROR(__xludf.DUMMYFUNCTION("""COMPUTED_VALUE"""),"LT0PC501T15Y1")</f>
        <v>LT0PC501T15Y1</v>
      </c>
      <c r="F1977" s="238" t="str">
        <f>IFERROR(__xludf.DUMMYFUNCTION("""COMPUTED_VALUE"""),"EOF4D32")</f>
        <v>EOF4D32</v>
      </c>
      <c r="G1977" s="238">
        <f>IFERROR(__xludf.DUMMYFUNCTION("""COMPUTED_VALUE"""),45996.9375)</f>
        <v>45996.9375</v>
      </c>
      <c r="H1977" s="238">
        <f>IFERROR(__xludf.DUMMYFUNCTION("""COMPUTED_VALUE"""),45997.02083333333)</f>
        <v>45997.02083</v>
      </c>
      <c r="I1977" s="237" t="str">
        <f t="shared" si="1"/>
        <v>Fora</v>
      </c>
      <c r="J1977" s="239">
        <v>118.99999998975545</v>
      </c>
    </row>
    <row r="1978">
      <c r="A1978" s="234" t="s">
        <v>3669</v>
      </c>
      <c r="B1978" s="234" t="str">
        <f>IFERROR(__xludf.DUMMYFUNCTION("""COMPUTED_VALUE"""),"LM Hub_SP_Parque Novo Mundo")</f>
        <v>LM Hub_SP_Parque Novo Mundo</v>
      </c>
      <c r="C1978" s="234" t="str">
        <f>IFERROR(__xludf.DUMMYFUNCTION("""COMPUTED_VALUE"""),"HUB-LSP-89")</f>
        <v>HUB-LSP-89</v>
      </c>
      <c r="D1978" s="234">
        <f>IFERROR(__xludf.DUMMYFUNCTION("""COMPUTED_VALUE"""),29.0)</f>
        <v>29</v>
      </c>
      <c r="E1978" s="237" t="str">
        <f>IFERROR(__xludf.DUMMYFUNCTION("""COMPUTED_VALUE"""),"LT0PC501TAHR1")</f>
        <v>LT0PC501TAHR1</v>
      </c>
      <c r="F1978" s="238" t="str">
        <f>IFERROR(__xludf.DUMMYFUNCTION("""COMPUTED_VALUE"""),"FNK8E47,FAM1829")</f>
        <v>FNK8E47,FAM1829</v>
      </c>
      <c r="G1978" s="238">
        <f>IFERROR(__xludf.DUMMYFUNCTION("""COMPUTED_VALUE"""),45996.93819444445)</f>
        <v>45996.93819</v>
      </c>
      <c r="H1978" s="238">
        <f>IFERROR(__xludf.DUMMYFUNCTION("""COMPUTED_VALUE"""),45997.02083333333)</f>
        <v>45997.02083</v>
      </c>
      <c r="I1978" s="237" t="str">
        <f t="shared" si="1"/>
        <v>Fora</v>
      </c>
      <c r="J1978" s="239">
        <v>118.99999998975545</v>
      </c>
    </row>
    <row r="1979">
      <c r="A1979" s="234" t="s">
        <v>3670</v>
      </c>
      <c r="B1979" s="234" t="str">
        <f>IFERROR(__xludf.DUMMYFUNCTION("""COMPUTED_VALUE"""),"LM Hub_SP_São Paulo_Carandiru")</f>
        <v>LM Hub_SP_São Paulo_Carandiru</v>
      </c>
      <c r="C1979" s="234" t="str">
        <f>IFERROR(__xludf.DUMMYFUNCTION("""COMPUTED_VALUE"""),"HUB-LSP-18")</f>
        <v>HUB-LSP-18</v>
      </c>
      <c r="D1979" s="234">
        <f>IFERROR(__xludf.DUMMYFUNCTION("""COMPUTED_VALUE"""),35.0)</f>
        <v>35</v>
      </c>
      <c r="E1979" s="237" t="str">
        <f>IFERROR(__xludf.DUMMYFUNCTION("""COMPUTED_VALUE"""),"LT0PC501T0EG1")</f>
        <v>LT0PC501T0EG1</v>
      </c>
      <c r="F1979" s="238" t="str">
        <f>IFERROR(__xludf.DUMMYFUNCTION("""COMPUTED_VALUE"""),"EKH0I75")</f>
        <v>EKH0I75</v>
      </c>
      <c r="G1979" s="238">
        <f>IFERROR(__xludf.DUMMYFUNCTION("""COMPUTED_VALUE"""),45996.93819444445)</f>
        <v>45996.93819</v>
      </c>
      <c r="H1979" s="238">
        <f>IFERROR(__xludf.DUMMYFUNCTION("""COMPUTED_VALUE"""),45997.02083333333)</f>
        <v>45997.02083</v>
      </c>
      <c r="I1979" s="237" t="str">
        <f t="shared" si="1"/>
        <v>Fora</v>
      </c>
      <c r="J1979" s="239">
        <v>118.99999998975545</v>
      </c>
    </row>
    <row r="1980">
      <c r="A1980" s="234" t="s">
        <v>3671</v>
      </c>
      <c r="B1980" s="234" t="str">
        <f>IFERROR(__xludf.DUMMYFUNCTION("""COMPUTED_VALUE"""),"LM Hub_SP_VilaGuilherme")</f>
        <v>LM Hub_SP_VilaGuilherme</v>
      </c>
      <c r="C1980" s="234" t="str">
        <f>IFERROR(__xludf.DUMMYFUNCTION("""COMPUTED_VALUE"""),"HUB-LSP-68")</f>
        <v>HUB-LSP-68</v>
      </c>
      <c r="D1980" s="234">
        <f>IFERROR(__xludf.DUMMYFUNCTION("""COMPUTED_VALUE"""),16.0)</f>
        <v>16</v>
      </c>
      <c r="E1980" s="237" t="str">
        <f>IFERROR(__xludf.DUMMYFUNCTION("""COMPUTED_VALUE"""),"LT0PC501TA9Q1")</f>
        <v>LT0PC501TA9Q1</v>
      </c>
      <c r="F1980" s="238" t="str">
        <f>IFERROR(__xludf.DUMMYFUNCTION("""COMPUTED_VALUE"""),"HFD4H27")</f>
        <v>HFD4H27</v>
      </c>
      <c r="G1980" s="238">
        <f>IFERROR(__xludf.DUMMYFUNCTION("""COMPUTED_VALUE"""),45996.93819444445)</f>
        <v>45996.93819</v>
      </c>
      <c r="H1980" s="238">
        <f>IFERROR(__xludf.DUMMYFUNCTION("""COMPUTED_VALUE"""),45997.02083333333)</f>
        <v>45997.02083</v>
      </c>
      <c r="I1980" s="237" t="str">
        <f t="shared" si="1"/>
        <v>Fora</v>
      </c>
      <c r="J1980" s="239">
        <v>120.00000001396984</v>
      </c>
    </row>
    <row r="1981">
      <c r="A1981" s="234" t="s">
        <v>3672</v>
      </c>
      <c r="B1981" s="234" t="str">
        <f>IFERROR(__xludf.DUMMYFUNCTION("""COMPUTED_VALUE"""),"LM Hub_SP_Jundiaí")</f>
        <v>LM Hub_SP_Jundiaí</v>
      </c>
      <c r="C1981" s="234" t="str">
        <f>IFERROR(__xludf.DUMMYFUNCTION("""COMPUTED_VALUE"""),"HUB-LSP-100")</f>
        <v>HUB-LSP-100</v>
      </c>
      <c r="D1981" s="234">
        <f>IFERROR(__xludf.DUMMYFUNCTION("""COMPUTED_VALUE"""),6.0)</f>
        <v>6</v>
      </c>
      <c r="E1981" s="237" t="str">
        <f>IFERROR(__xludf.DUMMYFUNCTION("""COMPUTED_VALUE"""),"LT0PC501T7P41")</f>
        <v>LT0PC501T7P41</v>
      </c>
      <c r="F1981" s="238" t="str">
        <f>IFERROR(__xludf.DUMMYFUNCTION("""COMPUTED_VALUE"""),"TLV0E90,GGU5E98")</f>
        <v>TLV0E90,GGU5E98</v>
      </c>
      <c r="G1981" s="238">
        <f>IFERROR(__xludf.DUMMYFUNCTION("""COMPUTED_VALUE"""),45996.95833333333)</f>
        <v>45996.95833</v>
      </c>
      <c r="H1981" s="238">
        <f>IFERROR(__xludf.DUMMYFUNCTION("""COMPUTED_VALUE"""),45997.04166666667)</f>
        <v>45997.04167</v>
      </c>
      <c r="I1981" s="237" t="str">
        <f t="shared" si="1"/>
        <v>Fora</v>
      </c>
      <c r="J1981" s="239">
        <v>120.00000001396984</v>
      </c>
    </row>
    <row r="1982">
      <c r="A1982" s="234" t="s">
        <v>3673</v>
      </c>
      <c r="B1982" s="234" t="str">
        <f>IFERROR(__xludf.DUMMYFUNCTION("""COMPUTED_VALUE"""),"LM Hub_SP_Mogi Mirim")</f>
        <v>LM Hub_SP_Mogi Mirim</v>
      </c>
      <c r="C1982" s="234" t="str">
        <f>IFERROR(__xludf.DUMMYFUNCTION("""COMPUTED_VALUE"""),"HUB-LSP-37")</f>
        <v>HUB-LSP-37</v>
      </c>
      <c r="D1982" s="234">
        <f>IFERROR(__xludf.DUMMYFUNCTION("""COMPUTED_VALUE"""),40.0)</f>
        <v>40</v>
      </c>
      <c r="E1982" s="237" t="str">
        <f>IFERROR(__xludf.DUMMYFUNCTION("""COMPUTED_VALUE"""),"LT0PC501T0IU1")</f>
        <v>LT0PC501T0IU1</v>
      </c>
      <c r="F1982" s="238" t="str">
        <f>IFERROR(__xludf.DUMMYFUNCTION("""COMPUTED_VALUE"""),"FLN0H65,FTJ9A92")</f>
        <v>FLN0H65,FTJ9A92</v>
      </c>
      <c r="G1982" s="238">
        <f>IFERROR(__xludf.DUMMYFUNCTION("""COMPUTED_VALUE"""),45996.95833333333)</f>
        <v>45996.95833</v>
      </c>
      <c r="H1982" s="238">
        <f>IFERROR(__xludf.DUMMYFUNCTION("""COMPUTED_VALUE"""),45997.04166666667)</f>
        <v>45997.04167</v>
      </c>
      <c r="I1982" s="237" t="str">
        <f t="shared" si="1"/>
        <v>Fora</v>
      </c>
      <c r="J1982" s="239">
        <v>119.99999999301508</v>
      </c>
    </row>
    <row r="1983">
      <c r="A1983" s="234" t="s">
        <v>3674</v>
      </c>
      <c r="B1983" s="234" t="str">
        <f>IFERROR(__xludf.DUMMYFUNCTION("""COMPUTED_VALUE"""),"LM Hub_SP_Araraquara")</f>
        <v>LM Hub_SP_Araraquara</v>
      </c>
      <c r="C1983" s="234" t="str">
        <f>IFERROR(__xludf.DUMMYFUNCTION("""COMPUTED_VALUE"""),"HUB-LSP-29")</f>
        <v>HUB-LSP-29</v>
      </c>
      <c r="D1983" s="234">
        <f>IFERROR(__xludf.DUMMYFUNCTION("""COMPUTED_VALUE"""),44.0)</f>
        <v>44</v>
      </c>
      <c r="E1983" s="237" t="str">
        <f>IFERROR(__xludf.DUMMYFUNCTION("""COMPUTED_VALUE"""),"LT0PC501T0IZ1")</f>
        <v>LT0PC501T0IZ1</v>
      </c>
      <c r="F1983" s="238" t="str">
        <f>IFERROR(__xludf.DUMMYFUNCTION("""COMPUTED_VALUE"""),"EWJ2H21")</f>
        <v>EWJ2H21</v>
      </c>
      <c r="G1983" s="238">
        <f>IFERROR(__xludf.DUMMYFUNCTION("""COMPUTED_VALUE"""),45996.97916666667)</f>
        <v>45996.97917</v>
      </c>
      <c r="H1983" s="238">
        <f>IFERROR(__xludf.DUMMYFUNCTION("""COMPUTED_VALUE"""),45997.0625)</f>
        <v>45997.0625</v>
      </c>
      <c r="I1983" s="237" t="str">
        <f t="shared" si="1"/>
        <v>Fora</v>
      </c>
      <c r="J1983" s="239">
        <v>119.99999999301508</v>
      </c>
    </row>
    <row r="1984">
      <c r="A1984" s="234" t="s">
        <v>3675</v>
      </c>
      <c r="B1984" s="234" t="str">
        <f>IFERROR(__xludf.DUMMYFUNCTION("""COMPUTED_VALUE"""),"LM Hub_SP_Várzea Paulista")</f>
        <v>LM Hub_SP_Várzea Paulista</v>
      </c>
      <c r="C1984" s="234" t="str">
        <f>IFERROR(__xludf.DUMMYFUNCTION("""COMPUTED_VALUE"""),"HUB-LSP-61")</f>
        <v>HUB-LSP-61</v>
      </c>
      <c r="D1984" s="234">
        <f>IFERROR(__xludf.DUMMYFUNCTION("""COMPUTED_VALUE"""),45.0)</f>
        <v>45</v>
      </c>
      <c r="E1984" s="237" t="str">
        <f>IFERROR(__xludf.DUMMYFUNCTION("""COMPUTED_VALUE"""),"LT0PC501T0I61")</f>
        <v>LT0PC501T0I61</v>
      </c>
      <c r="F1984" s="238" t="str">
        <f>IFERROR(__xludf.DUMMYFUNCTION("""COMPUTED_VALUE"""),"ODE8A12,GJO3B75")</f>
        <v>ODE8A12,GJO3B75</v>
      </c>
      <c r="G1984" s="238">
        <f>IFERROR(__xludf.DUMMYFUNCTION("""COMPUTED_VALUE"""),45996.97916666667)</f>
        <v>45996.97917</v>
      </c>
      <c r="H1984" s="238">
        <f>IFERROR(__xludf.DUMMYFUNCTION("""COMPUTED_VALUE"""),45997.0625)</f>
        <v>45997.0625</v>
      </c>
      <c r="I1984" s="237" t="str">
        <f t="shared" si="1"/>
        <v>Fora</v>
      </c>
      <c r="J1984" s="239">
        <v>119.00000000023283</v>
      </c>
    </row>
    <row r="1985">
      <c r="A1985" s="234" t="s">
        <v>3676</v>
      </c>
      <c r="B1985" s="234" t="str">
        <f>IFERROR(__xludf.DUMMYFUNCTION("""COMPUTED_VALUE"""),"LM Hub_SP_Atibaia_Ponte_Alta")</f>
        <v>LM Hub_SP_Atibaia_Ponte_Alta</v>
      </c>
      <c r="C1985" s="234" t="str">
        <f>IFERROR(__xludf.DUMMYFUNCTION("""COMPUTED_VALUE"""),"HUB-LSP-87")</f>
        <v>HUB-LSP-87</v>
      </c>
      <c r="D1985" s="234">
        <f>IFERROR(__xludf.DUMMYFUNCTION("""COMPUTED_VALUE"""),8.0)</f>
        <v>8</v>
      </c>
      <c r="E1985" s="237" t="str">
        <f>IFERROR(__xludf.DUMMYFUNCTION("""COMPUTED_VALUE"""),"LT0PC501T4QL1")</f>
        <v>LT0PC501T4QL1</v>
      </c>
      <c r="F1985" s="238" t="str">
        <f>IFERROR(__xludf.DUMMYFUNCTION("""COMPUTED_VALUE"""),"PCW9A46")</f>
        <v>PCW9A46</v>
      </c>
      <c r="G1985" s="238">
        <f>IFERROR(__xludf.DUMMYFUNCTION("""COMPUTED_VALUE"""),45996.97986111111)</f>
        <v>45996.97986</v>
      </c>
      <c r="H1985" s="238">
        <f>IFERROR(__xludf.DUMMYFUNCTION("""COMPUTED_VALUE"""),45997.0625)</f>
        <v>45997.0625</v>
      </c>
      <c r="I1985" s="237" t="str">
        <f t="shared" si="1"/>
        <v>Fora</v>
      </c>
      <c r="J1985" s="239">
        <v>599.9999999860302</v>
      </c>
    </row>
    <row r="1986">
      <c r="A1986" s="234" t="s">
        <v>3677</v>
      </c>
      <c r="B1986" s="234" t="str">
        <f>IFERROR(__xludf.DUMMYFUNCTION("""COMPUTED_VALUE"""),"SoC_GO_Goiânia_02")</f>
        <v>SoC_GO_Goiânia_02</v>
      </c>
      <c r="C1986" s="234" t="str">
        <f>IFERROR(__xludf.DUMMYFUNCTION("""COMPUTED_VALUE"""),"SOC-GO2")</f>
        <v>SOC-GO2</v>
      </c>
      <c r="D1986" s="234">
        <f>IFERROR(__xludf.DUMMYFUNCTION("""COMPUTED_VALUE"""),87.0)</f>
        <v>87</v>
      </c>
      <c r="E1986" s="237" t="str">
        <f>IFERROR(__xludf.DUMMYFUNCTION("""COMPUTED_VALUE"""),"LT0PC501T6SX2")</f>
        <v>LT0PC501T6SX2</v>
      </c>
      <c r="F1986" s="238" t="str">
        <f>IFERROR(__xludf.DUMMYFUNCTION("""COMPUTED_VALUE"""),"AWX4J27")</f>
        <v>AWX4J27</v>
      </c>
      <c r="G1986" s="238">
        <f>IFERROR(__xludf.DUMMYFUNCTION("""COMPUTED_VALUE"""),45996.66666666667)</f>
        <v>45996.66667</v>
      </c>
      <c r="H1986" s="238">
        <f>IFERROR(__xludf.DUMMYFUNCTION("""COMPUTED_VALUE"""),45997.08333333333)</f>
        <v>45997.08333</v>
      </c>
      <c r="I1986" s="237" t="str">
        <f t="shared" si="1"/>
        <v>Fora</v>
      </c>
      <c r="J1986" s="239">
        <v>119.99999999301508</v>
      </c>
    </row>
    <row r="1987">
      <c r="A1987" s="234" t="s">
        <v>3678</v>
      </c>
      <c r="B1987" s="234" t="str">
        <f>IFERROR(__xludf.DUMMYFUNCTION("""COMPUTED_VALUE"""),"SoC_PE_Jaboatão dos Guararapes")</f>
        <v>SoC_PE_Jaboatão dos Guararapes</v>
      </c>
      <c r="C1987" s="234" t="str">
        <f>IFERROR(__xludf.DUMMYFUNCTION("""COMPUTED_VALUE"""),"SOC-PE2")</f>
        <v>SOC-PE2</v>
      </c>
      <c r="D1987" s="234">
        <f>IFERROR(__xludf.DUMMYFUNCTION("""COMPUTED_VALUE"""),26.0)</f>
        <v>26</v>
      </c>
      <c r="E1987" s="237" t="str">
        <f>IFERROR(__xludf.DUMMYFUNCTION("""COMPUTED_VALUE"""),"LT0PC601T6FJ1")</f>
        <v>LT0PC601T6FJ1</v>
      </c>
      <c r="F1987" s="238" t="str">
        <f>IFERROR(__xludf.DUMMYFUNCTION("""COMPUTED_VALUE"""),"FDZ0J65,BEQ3E27")</f>
        <v>FDZ0J65,BEQ3E27</v>
      </c>
      <c r="G1987" s="238">
        <f>IFERROR(__xludf.DUMMYFUNCTION("""COMPUTED_VALUE"""),45997.0)</f>
        <v>45997</v>
      </c>
      <c r="H1987" s="238">
        <f>IFERROR(__xludf.DUMMYFUNCTION("""COMPUTED_VALUE"""),45997.08333333333)</f>
        <v>45997.08333</v>
      </c>
      <c r="I1987" s="237" t="str">
        <f t="shared" si="1"/>
        <v>Fora</v>
      </c>
      <c r="J1987" s="239">
        <v>119.99999999301508</v>
      </c>
    </row>
    <row r="1988">
      <c r="A1988" s="234" t="s">
        <v>3679</v>
      </c>
      <c r="B1988" s="234" t="str">
        <f>IFERROR(__xludf.DUMMYFUNCTION("""COMPUTED_VALUE"""),"SoC_PR_Curitiba")</f>
        <v>SoC_PR_Curitiba</v>
      </c>
      <c r="C1988" s="234" t="str">
        <f>IFERROR(__xludf.DUMMYFUNCTION("""COMPUTED_VALUE"""),"SOC-PR1")</f>
        <v>SOC-PR1</v>
      </c>
      <c r="D1988" s="234">
        <f>IFERROR(__xludf.DUMMYFUNCTION("""COMPUTED_VALUE"""),46.0)</f>
        <v>46</v>
      </c>
      <c r="E1988" s="237" t="str">
        <f>IFERROR(__xludf.DUMMYFUNCTION("""COMPUTED_VALUE"""),"LT0PC601T0BU1")</f>
        <v>LT0PC601T0BU1</v>
      </c>
      <c r="F1988" s="238" t="str">
        <f>IFERROR(__xludf.DUMMYFUNCTION("""COMPUTED_VALUE"""),"TJR4G15,UDO1A50")</f>
        <v>TJR4G15,UDO1A50</v>
      </c>
      <c r="G1988" s="238">
        <f>IFERROR(__xludf.DUMMYFUNCTION("""COMPUTED_VALUE"""),45997.0)</f>
        <v>45997</v>
      </c>
      <c r="H1988" s="238">
        <f>IFERROR(__xludf.DUMMYFUNCTION("""COMPUTED_VALUE"""),45997.08333333333)</f>
        <v>45997.08333</v>
      </c>
      <c r="I1988" s="237" t="str">
        <f t="shared" si="1"/>
        <v>Fora</v>
      </c>
      <c r="J1988" s="239">
        <v>119.99999999301508</v>
      </c>
    </row>
    <row r="1989">
      <c r="A1989" s="234" t="s">
        <v>3680</v>
      </c>
      <c r="B1989" s="234" t="str">
        <f>IFERROR(__xludf.DUMMYFUNCTION("""COMPUTED_VALUE"""),"SoC_RS_Gravataí_02")</f>
        <v>SoC_RS_Gravataí_02</v>
      </c>
      <c r="C1989" s="234" t="str">
        <f>IFERROR(__xludf.DUMMYFUNCTION("""COMPUTED_VALUE"""),"SOC-RS2")</f>
        <v>SOC-RS2</v>
      </c>
      <c r="D1989" s="234">
        <f>IFERROR(__xludf.DUMMYFUNCTION("""COMPUTED_VALUE"""),23.0)</f>
        <v>23</v>
      </c>
      <c r="E1989" s="237" t="str">
        <f>IFERROR(__xludf.DUMMYFUNCTION("""COMPUTED_VALUE"""),"LT0PC601T6VA1")</f>
        <v>LT0PC601T6VA1</v>
      </c>
      <c r="F1989" s="238" t="str">
        <f>IFERROR(__xludf.DUMMYFUNCTION("""COMPUTED_VALUE"""),"FDB0H67,MEP5E03")</f>
        <v>FDB0H67,MEP5E03</v>
      </c>
      <c r="G1989" s="238">
        <f>IFERROR(__xludf.DUMMYFUNCTION("""COMPUTED_VALUE"""),45997.0)</f>
        <v>45997</v>
      </c>
      <c r="H1989" s="238">
        <f>IFERROR(__xludf.DUMMYFUNCTION("""COMPUTED_VALUE"""),45997.08333333333)</f>
        <v>45997.08333</v>
      </c>
      <c r="I1989" s="237" t="str">
        <f t="shared" si="1"/>
        <v>Fora</v>
      </c>
      <c r="J1989" s="239">
        <v>119.99999999301508</v>
      </c>
    </row>
    <row r="1990">
      <c r="A1990" s="234" t="s">
        <v>3681</v>
      </c>
      <c r="B1990" s="234" t="str">
        <f>IFERROR(__xludf.DUMMYFUNCTION("""COMPUTED_VALUE"""),"SoC_SC_Itajaí")</f>
        <v>SoC_SC_Itajaí</v>
      </c>
      <c r="C1990" s="234" t="str">
        <f>IFERROR(__xludf.DUMMYFUNCTION("""COMPUTED_VALUE"""),"SOC-SC1")</f>
        <v>SOC-SC1</v>
      </c>
      <c r="D1990" s="234">
        <f>IFERROR(__xludf.DUMMYFUNCTION("""COMPUTED_VALUE"""),15.0)</f>
        <v>15</v>
      </c>
      <c r="E1990" s="237" t="str">
        <f>IFERROR(__xludf.DUMMYFUNCTION("""COMPUTED_VALUE"""),"LT0PC601T5I21")</f>
        <v>LT0PC601T5I21</v>
      </c>
      <c r="F1990" s="238" t="str">
        <f>IFERROR(__xludf.DUMMYFUNCTION("""COMPUTED_VALUE"""),"OPN3H95,IPN8J87")</f>
        <v>OPN3H95,IPN8J87</v>
      </c>
      <c r="G1990" s="238">
        <f>IFERROR(__xludf.DUMMYFUNCTION("""COMPUTED_VALUE"""),45997.0)</f>
        <v>45997</v>
      </c>
      <c r="H1990" s="238">
        <f>IFERROR(__xludf.DUMMYFUNCTION("""COMPUTED_VALUE"""),45997.08333333333)</f>
        <v>45997.08333</v>
      </c>
      <c r="I1990" s="237" t="str">
        <f t="shared" si="1"/>
        <v>Fora</v>
      </c>
      <c r="J1990" s="239">
        <v>119.99999999301508</v>
      </c>
    </row>
    <row r="1991">
      <c r="A1991" s="234" t="s">
        <v>3682</v>
      </c>
      <c r="B1991" s="234" t="str">
        <f>IFERROR(__xludf.DUMMYFUNCTION("""COMPUTED_VALUE"""),"SoC_SP_Louveira")</f>
        <v>SoC_SP_Louveira</v>
      </c>
      <c r="C1991" s="234" t="str">
        <f>IFERROR(__xludf.DUMMYFUNCTION("""COMPUTED_VALUE"""),"SOC-SP7")</f>
        <v>SOC-SP7</v>
      </c>
      <c r="D1991" s="234"/>
      <c r="E1991" s="237" t="str">
        <f>IFERROR(__xludf.DUMMYFUNCTION("""COMPUTED_VALUE"""),"LT0PC601T0D61")</f>
        <v>LT0PC601T0D61</v>
      </c>
      <c r="F1991" s="238" t="str">
        <f>IFERROR(__xludf.DUMMYFUNCTION("""COMPUTED_VALUE"""),"FWE9D62")</f>
        <v>FWE9D62</v>
      </c>
      <c r="G1991" s="238">
        <f>IFERROR(__xludf.DUMMYFUNCTION("""COMPUTED_VALUE"""),45997.0)</f>
        <v>45997</v>
      </c>
      <c r="H1991" s="238">
        <f>IFERROR(__xludf.DUMMYFUNCTION("""COMPUTED_VALUE"""),45997.08333333333)</f>
        <v>45997.08333</v>
      </c>
      <c r="I1991" s="237" t="str">
        <f t="shared" si="1"/>
        <v>Fora</v>
      </c>
      <c r="J1991" s="239">
        <v>120.00000001396984</v>
      </c>
    </row>
    <row r="1992">
      <c r="A1992" s="234" t="s">
        <v>3683</v>
      </c>
      <c r="B1992" s="234" t="str">
        <f>IFERROR(__xludf.DUMMYFUNCTION("""COMPUTED_VALUE"""),"LM Hub_MG_Varginha_Fausto")</f>
        <v>LM Hub_MG_Varginha_Fausto</v>
      </c>
      <c r="C1992" s="234" t="str">
        <f>IFERROR(__xludf.DUMMYFUNCTION("""COMPUTED_VALUE"""),"HUB-LMG-45")</f>
        <v>HUB-LMG-45</v>
      </c>
      <c r="D1992" s="234">
        <f>IFERROR(__xludf.DUMMYFUNCTION("""COMPUTED_VALUE"""),13.0)</f>
        <v>13</v>
      </c>
      <c r="E1992" s="237" t="str">
        <f>IFERROR(__xludf.DUMMYFUNCTION("""COMPUTED_VALUE"""),"LT0PC601T65P1")</f>
        <v>LT0PC601T65P1</v>
      </c>
      <c r="F1992" s="238" t="str">
        <f>IFERROR(__xludf.DUMMYFUNCTION("""COMPUTED_VALUE"""),"SVZ3D32")</f>
        <v>SVZ3D32</v>
      </c>
      <c r="G1992" s="238">
        <f>IFERROR(__xludf.DUMMYFUNCTION("""COMPUTED_VALUE"""),45997.02083333333)</f>
        <v>45997.02083</v>
      </c>
      <c r="H1992" s="238">
        <f>IFERROR(__xludf.DUMMYFUNCTION("""COMPUTED_VALUE"""),45997.10416666667)</f>
        <v>45997.10417</v>
      </c>
      <c r="I1992" s="237" t="str">
        <f t="shared" si="1"/>
        <v>Fora</v>
      </c>
      <c r="J1992" s="239">
        <v>120.00000001396984</v>
      </c>
    </row>
    <row r="1993">
      <c r="A1993" s="234" t="s">
        <v>3684</v>
      </c>
      <c r="B1993" s="234" t="str">
        <f>IFERROR(__xludf.DUMMYFUNCTION("""COMPUTED_VALUE"""),"LM Hub_SP_Tatuí")</f>
        <v>LM Hub_SP_Tatuí</v>
      </c>
      <c r="C1993" s="234" t="str">
        <f>IFERROR(__xludf.DUMMYFUNCTION("""COMPUTED_VALUE"""),"HUB-LSP-51")</f>
        <v>HUB-LSP-51</v>
      </c>
      <c r="D1993" s="234">
        <f>IFERROR(__xludf.DUMMYFUNCTION("""COMPUTED_VALUE"""),12.0)</f>
        <v>12</v>
      </c>
      <c r="E1993" s="237" t="str">
        <f>IFERROR(__xludf.DUMMYFUNCTION("""COMPUTED_VALUE"""),"LT0PC601T0FS1")</f>
        <v>LT0PC601T0FS1</v>
      </c>
      <c r="F1993" s="238" t="str">
        <f>IFERROR(__xludf.DUMMYFUNCTION("""COMPUTED_VALUE"""),"SWR6H23,FTZ4B35")</f>
        <v>SWR6H23,FTZ4B35</v>
      </c>
      <c r="G1993" s="238">
        <f>IFERROR(__xludf.DUMMYFUNCTION("""COMPUTED_VALUE"""),45997.08333333333)</f>
        <v>45997.08333</v>
      </c>
      <c r="H1993" s="238">
        <f>IFERROR(__xludf.DUMMYFUNCTION("""COMPUTED_VALUE"""),45997.16666666667)</f>
        <v>45997.16667</v>
      </c>
      <c r="I1993" s="237" t="str">
        <f t="shared" si="1"/>
        <v>Fora</v>
      </c>
      <c r="J1993" s="239">
        <v>120.00000001396984</v>
      </c>
    </row>
    <row r="1994">
      <c r="A1994" s="234" t="s">
        <v>3685</v>
      </c>
      <c r="B1994" s="234" t="str">
        <f>IFERROR(__xludf.DUMMYFUNCTION("""COMPUTED_VALUE"""),"SoC_RS_Gravataí_02")</f>
        <v>SoC_RS_Gravataí_02</v>
      </c>
      <c r="C1994" s="234" t="str">
        <f>IFERROR(__xludf.DUMMYFUNCTION("""COMPUTED_VALUE"""),"SOC-RS2")</f>
        <v>SOC-RS2</v>
      </c>
      <c r="D1994" s="234"/>
      <c r="E1994" s="237" t="str">
        <f>IFERROR(__xludf.DUMMYFUNCTION("""COMPUTED_VALUE"""),"LT1PC601TJK41")</f>
        <v>LT1PC601TJK41</v>
      </c>
      <c r="F1994" s="238" t="str">
        <f>IFERROR(__xludf.DUMMYFUNCTION("""COMPUTED_VALUE"""),"EKU1J69,ELQ0H53")</f>
        <v>EKU1J69,ELQ0H53</v>
      </c>
      <c r="G1994" s="238">
        <f>IFERROR(__xludf.DUMMYFUNCTION("""COMPUTED_VALUE"""),45997.08333333333)</f>
        <v>45997.08333</v>
      </c>
      <c r="H1994" s="238">
        <f>IFERROR(__xludf.DUMMYFUNCTION("""COMPUTED_VALUE"""),45997.16666666667)</f>
        <v>45997.16667</v>
      </c>
      <c r="I1994" s="237" t="str">
        <f t="shared" si="1"/>
        <v>Fora</v>
      </c>
      <c r="J1994" s="239">
        <v>119.99999999301508</v>
      </c>
    </row>
    <row r="1995">
      <c r="A1995" s="234" t="s">
        <v>3686</v>
      </c>
      <c r="B1995" s="234" t="str">
        <f>IFERROR(__xludf.DUMMYFUNCTION("""COMPUTED_VALUE"""),"LM Hub_SP_Itapetininga")</f>
        <v>LM Hub_SP_Itapetininga</v>
      </c>
      <c r="C1995" s="234" t="str">
        <f>IFERROR(__xludf.DUMMYFUNCTION("""COMPUTED_VALUE"""),"HUB-LSP-53")</f>
        <v>HUB-LSP-53</v>
      </c>
      <c r="D1995" s="234">
        <f>IFERROR(__xludf.DUMMYFUNCTION("""COMPUTED_VALUE"""),38.0)</f>
        <v>38</v>
      </c>
      <c r="E1995" s="237" t="str">
        <f>IFERROR(__xludf.DUMMYFUNCTION("""COMPUTED_VALUE"""),"LT0PC601T0FN1")</f>
        <v>LT0PC601T0FN1</v>
      </c>
      <c r="F1995" s="238" t="str">
        <f>IFERROR(__xludf.DUMMYFUNCTION("""COMPUTED_VALUE"""),"FLQ1E34,FLQ1E30")</f>
        <v>FLQ1E34,FLQ1E30</v>
      </c>
      <c r="G1995" s="238">
        <f>IFERROR(__xludf.DUMMYFUNCTION("""COMPUTED_VALUE"""),45997.10416666667)</f>
        <v>45997.10417</v>
      </c>
      <c r="H1995" s="238">
        <f>IFERROR(__xludf.DUMMYFUNCTION("""COMPUTED_VALUE"""),45997.1875)</f>
        <v>45997.1875</v>
      </c>
      <c r="I1995" s="237" t="str">
        <f t="shared" si="1"/>
        <v>Fora</v>
      </c>
      <c r="J1995" s="239">
        <v>119.99999999301508</v>
      </c>
    </row>
    <row r="1996">
      <c r="A1996" s="234" t="s">
        <v>3687</v>
      </c>
      <c r="B1996" s="234" t="str">
        <f>IFERROR(__xludf.DUMMYFUNCTION("""COMPUTED_VALUE"""),"LM Hub_SP_São Carlos")</f>
        <v>LM Hub_SP_São Carlos</v>
      </c>
      <c r="C1996" s="234" t="str">
        <f>IFERROR(__xludf.DUMMYFUNCTION("""COMPUTED_VALUE"""),"HUB-LSP-31")</f>
        <v>HUB-LSP-31</v>
      </c>
      <c r="D1996" s="234">
        <f>IFERROR(__xludf.DUMMYFUNCTION("""COMPUTED_VALUE"""),34.0)</f>
        <v>34</v>
      </c>
      <c r="E1996" s="237" t="str">
        <f>IFERROR(__xludf.DUMMYFUNCTION("""COMPUTED_VALUE"""),"LT0PC601T0II1")</f>
        <v>LT0PC601T0II1</v>
      </c>
      <c r="F1996" s="238" t="str">
        <f>IFERROR(__xludf.DUMMYFUNCTION("""COMPUTED_VALUE"""),"FZQ1I50")</f>
        <v>FZQ1I50</v>
      </c>
      <c r="G1996" s="238">
        <f>IFERROR(__xludf.DUMMYFUNCTION("""COMPUTED_VALUE"""),45997.10416666667)</f>
        <v>45997.10417</v>
      </c>
      <c r="H1996" s="238">
        <f>IFERROR(__xludf.DUMMYFUNCTION("""COMPUTED_VALUE"""),45997.1875)</f>
        <v>45997.1875</v>
      </c>
      <c r="I1996" s="237" t="str">
        <f t="shared" si="1"/>
        <v>Fora</v>
      </c>
      <c r="J1996" s="239">
        <v>419.99999998603016</v>
      </c>
    </row>
    <row r="1997">
      <c r="A1997" s="234" t="s">
        <v>3688</v>
      </c>
      <c r="B1997" s="234" t="str">
        <f>IFERROR(__xludf.DUMMYFUNCTION("""COMPUTED_VALUE"""),"SoC_RJ_Duque de Caxias")</f>
        <v>SoC_RJ_Duque de Caxias</v>
      </c>
      <c r="C1997" s="234" t="str">
        <f>IFERROR(__xludf.DUMMYFUNCTION("""COMPUTED_VALUE"""),"SOC-RJ2")</f>
        <v>SOC-RJ2</v>
      </c>
      <c r="D1997" s="234">
        <f>IFERROR(__xludf.DUMMYFUNCTION("""COMPUTED_VALUE"""),96.0)</f>
        <v>96</v>
      </c>
      <c r="E1997" s="237" t="str">
        <f>IFERROR(__xludf.DUMMYFUNCTION("""COMPUTED_VALUE"""),"LT0PC501T2RC3")</f>
        <v>LT0PC501T2RC3</v>
      </c>
      <c r="F1997" s="238" t="str">
        <f>IFERROR(__xludf.DUMMYFUNCTION("""COMPUTED_VALUE"""),"OLE2G02,NFC1G78")</f>
        <v>OLE2G02,NFC1G78</v>
      </c>
      <c r="G1997" s="238">
        <f>IFERROR(__xludf.DUMMYFUNCTION("""COMPUTED_VALUE"""),45996.91666666667)</f>
        <v>45996.91667</v>
      </c>
      <c r="H1997" s="238">
        <f>IFERROR(__xludf.DUMMYFUNCTION("""COMPUTED_VALUE"""),45997.20833333333)</f>
        <v>45997.20833</v>
      </c>
      <c r="I1997" s="237" t="str">
        <f t="shared" si="1"/>
        <v>Fora</v>
      </c>
      <c r="J1997" s="239">
        <v>239.99999998603016</v>
      </c>
    </row>
    <row r="1998">
      <c r="A1998" s="234" t="s">
        <v>3689</v>
      </c>
      <c r="B1998" s="234" t="str">
        <f>IFERROR(__xludf.DUMMYFUNCTION("""COMPUTED_VALUE"""),"SoC_RJ_Duque de Caxias")</f>
        <v>SoC_RJ_Duque de Caxias</v>
      </c>
      <c r="C1998" s="234" t="str">
        <f>IFERROR(__xludf.DUMMYFUNCTION("""COMPUTED_VALUE"""),"SOC-RJ2")</f>
        <v>SOC-RJ2</v>
      </c>
      <c r="D1998" s="234">
        <f>IFERROR(__xludf.DUMMYFUNCTION("""COMPUTED_VALUE"""),49.0)</f>
        <v>49</v>
      </c>
      <c r="E1998" s="237" t="str">
        <f>IFERROR(__xludf.DUMMYFUNCTION("""COMPUTED_VALUE"""),"LT0PC501T2S12")</f>
        <v>LT0PC501T2S12</v>
      </c>
      <c r="F1998" s="238" t="str">
        <f>IFERROR(__xludf.DUMMYFUNCTION("""COMPUTED_VALUE"""),"ODM5D47,QIG2D94")</f>
        <v>ODM5D47,QIG2D94</v>
      </c>
      <c r="G1998" s="238">
        <f>IFERROR(__xludf.DUMMYFUNCTION("""COMPUTED_VALUE"""),45997.04166666667)</f>
        <v>45997.04167</v>
      </c>
      <c r="H1998" s="238">
        <f>IFERROR(__xludf.DUMMYFUNCTION("""COMPUTED_VALUE"""),45997.20833333333)</f>
        <v>45997.20833</v>
      </c>
      <c r="I1998" s="237" t="str">
        <f t="shared" si="1"/>
        <v>Fora</v>
      </c>
      <c r="J1998" s="239">
        <v>119.99999999301508</v>
      </c>
    </row>
    <row r="1999">
      <c r="A1999" s="234" t="s">
        <v>3690</v>
      </c>
      <c r="B1999" s="234" t="str">
        <f>IFERROR(__xludf.DUMMYFUNCTION("""COMPUTED_VALUE"""),"LM Hub_SP_Itapeva")</f>
        <v>LM Hub_SP_Itapeva</v>
      </c>
      <c r="C1999" s="234" t="str">
        <f>IFERROR(__xludf.DUMMYFUNCTION("""COMPUTED_VALUE"""),"HUB-LSP-39")</f>
        <v>HUB-LSP-39</v>
      </c>
      <c r="D1999" s="234">
        <f>IFERROR(__xludf.DUMMYFUNCTION("""COMPUTED_VALUE"""),6.0)</f>
        <v>6</v>
      </c>
      <c r="E1999" s="237" t="str">
        <f>IFERROR(__xludf.DUMMYFUNCTION("""COMPUTED_VALUE"""),"LT0PC601T0FX1")</f>
        <v>LT0PC601T0FX1</v>
      </c>
      <c r="F1999" s="238" t="str">
        <f>IFERROR(__xludf.DUMMYFUNCTION("""COMPUTED_VALUE"""),"DTC3E38")</f>
        <v>DTC3E38</v>
      </c>
      <c r="G1999" s="238">
        <f>IFERROR(__xludf.DUMMYFUNCTION("""COMPUTED_VALUE"""),45997.125)</f>
        <v>45997.125</v>
      </c>
      <c r="H1999" s="238">
        <f>IFERROR(__xludf.DUMMYFUNCTION("""COMPUTED_VALUE"""),45997.20833333333)</f>
        <v>45997.20833</v>
      </c>
      <c r="I1999" s="237" t="str">
        <f t="shared" si="1"/>
        <v>Fora</v>
      </c>
      <c r="J1999" s="239">
        <v>119.99999999301508</v>
      </c>
    </row>
    <row r="2000">
      <c r="A2000" s="234" t="s">
        <v>3691</v>
      </c>
      <c r="B2000" s="234" t="str">
        <f>IFERROR(__xludf.DUMMYFUNCTION("""COMPUTED_VALUE"""),"LM Hub_SP_Sumaré_Nova Veneza_1")</f>
        <v>LM Hub_SP_Sumaré_Nova Veneza_1</v>
      </c>
      <c r="C2000" s="234" t="str">
        <f>IFERROR(__xludf.DUMMYFUNCTION("""COMPUTED_VALUE"""),"HUB-LSP-88")</f>
        <v>HUB-LSP-88</v>
      </c>
      <c r="D2000" s="234">
        <f>IFERROR(__xludf.DUMMYFUNCTION("""COMPUTED_VALUE"""),42.0)</f>
        <v>42</v>
      </c>
      <c r="E2000" s="237" t="str">
        <f>IFERROR(__xludf.DUMMYFUNCTION("""COMPUTED_VALUE"""),"LT0PC601T6201")</f>
        <v>LT0PC601T6201</v>
      </c>
      <c r="F2000" s="238" t="str">
        <f>IFERROR(__xludf.DUMMYFUNCTION("""COMPUTED_VALUE"""),"QXU3D20")</f>
        <v>QXU3D20</v>
      </c>
      <c r="G2000" s="238">
        <f>IFERROR(__xludf.DUMMYFUNCTION("""COMPUTED_VALUE"""),45997.125)</f>
        <v>45997.125</v>
      </c>
      <c r="H2000" s="238">
        <f>IFERROR(__xludf.DUMMYFUNCTION("""COMPUTED_VALUE"""),45997.20833333333)</f>
        <v>45997.20833</v>
      </c>
      <c r="I2000" s="237" t="str">
        <f t="shared" si="1"/>
        <v>Fora</v>
      </c>
      <c r="J2000" s="239">
        <v>119.99999999301508</v>
      </c>
    </row>
    <row r="2001">
      <c r="A2001" s="234" t="s">
        <v>3692</v>
      </c>
      <c r="B2001" s="234" t="str">
        <f>IFERROR(__xludf.DUMMYFUNCTION("""COMPUTED_VALUE"""),"SoC_SP_Guarulhos")</f>
        <v>SoC_SP_Guarulhos</v>
      </c>
      <c r="C2001" s="234" t="str">
        <f>IFERROR(__xludf.DUMMYFUNCTION("""COMPUTED_VALUE"""),"SOC-SP6")</f>
        <v>SOC-SP6</v>
      </c>
      <c r="D2001" s="234">
        <f>IFERROR(__xludf.DUMMYFUNCTION("""COMPUTED_VALUE"""),28.0)</f>
        <v>28</v>
      </c>
      <c r="E2001" s="237" t="str">
        <f>IFERROR(__xludf.DUMMYFUNCTION("""COMPUTED_VALUE"""),"LT1PC601TXZA1")</f>
        <v>LT1PC601TXZA1</v>
      </c>
      <c r="F2001" s="238" t="str">
        <f>IFERROR(__xludf.DUMMYFUNCTION("""COMPUTED_VALUE"""),"EPU9B57,ARW8I96")</f>
        <v>EPU9B57,ARW8I96</v>
      </c>
      <c r="G2001" s="238">
        <f>IFERROR(__xludf.DUMMYFUNCTION("""COMPUTED_VALUE"""),45997.125)</f>
        <v>45997.125</v>
      </c>
      <c r="H2001" s="238">
        <f>IFERROR(__xludf.DUMMYFUNCTION("""COMPUTED_VALUE"""),45997.20833333333)</f>
        <v>45997.20833</v>
      </c>
      <c r="I2001" s="237" t="str">
        <f t="shared" si="1"/>
        <v>Fora</v>
      </c>
      <c r="J2001" s="239">
        <v>120.00000001396984</v>
      </c>
    </row>
    <row r="2002">
      <c r="A2002" s="234" t="s">
        <v>3693</v>
      </c>
      <c r="B2002" s="234" t="str">
        <f>IFERROR(__xludf.DUMMYFUNCTION("""COMPUTED_VALUE"""),"LM Hub_SP_Campinas_São Martinho")</f>
        <v>LM Hub_SP_Campinas_São Martinho</v>
      </c>
      <c r="C2002" s="234" t="str">
        <f>IFERROR(__xludf.DUMMYFUNCTION("""COMPUTED_VALUE"""),"HUB-LSP-19")</f>
        <v>HUB-LSP-19</v>
      </c>
      <c r="D2002" s="234"/>
      <c r="E2002" s="237" t="str">
        <f>IFERROR(__xludf.DUMMYFUNCTION("""COMPUTED_VALUE"""),"LT0PC601T0JD1")</f>
        <v>LT0PC601T0JD1</v>
      </c>
      <c r="F2002" s="234" t="str">
        <f>IFERROR(__xludf.DUMMYFUNCTION("""COMPUTED_VALUE"""),"FCT6F34")</f>
        <v>FCT6F34</v>
      </c>
      <c r="G2002" s="238">
        <f>IFERROR(__xludf.DUMMYFUNCTION("""COMPUTED_VALUE"""),45997.14583333333)</f>
        <v>45997.14583</v>
      </c>
      <c r="H2002" s="238">
        <f>IFERROR(__xludf.DUMMYFUNCTION("""COMPUTED_VALUE"""),45997.22916666667)</f>
        <v>45997.22917</v>
      </c>
      <c r="I2002" s="237" t="str">
        <f t="shared" si="1"/>
        <v>Fora</v>
      </c>
      <c r="J2002" s="239">
        <v>120.00000001396984</v>
      </c>
    </row>
    <row r="2003">
      <c r="A2003" s="234" t="s">
        <v>3694</v>
      </c>
      <c r="B2003" s="234" t="str">
        <f>IFERROR(__xludf.DUMMYFUNCTION("""COMPUTED_VALUE"""),"LM Hub_SP_Mogi Mirim")</f>
        <v>LM Hub_SP_Mogi Mirim</v>
      </c>
      <c r="C2003" s="234" t="str">
        <f>IFERROR(__xludf.DUMMYFUNCTION("""COMPUTED_VALUE"""),"HUB-LSP-37")</f>
        <v>HUB-LSP-37</v>
      </c>
      <c r="D2003" s="234">
        <f>IFERROR(__xludf.DUMMYFUNCTION("""COMPUTED_VALUE"""),40.0)</f>
        <v>40</v>
      </c>
      <c r="E2003" s="237" t="str">
        <f>IFERROR(__xludf.DUMMYFUNCTION("""COMPUTED_VALUE"""),"LT0PC601T0IP1")</f>
        <v>LT0PC601T0IP1</v>
      </c>
      <c r="F2003" s="238" t="str">
        <f>IFERROR(__xludf.DUMMYFUNCTION("""COMPUTED_VALUE"""),"TLE4D84")</f>
        <v>TLE4D84</v>
      </c>
      <c r="G2003" s="238">
        <f>IFERROR(__xludf.DUMMYFUNCTION("""COMPUTED_VALUE"""),45997.14583333333)</f>
        <v>45997.14583</v>
      </c>
      <c r="H2003" s="238">
        <f>IFERROR(__xludf.DUMMYFUNCTION("""COMPUTED_VALUE"""),45997.22916666667)</f>
        <v>45997.22917</v>
      </c>
      <c r="I2003" s="237" t="str">
        <f t="shared" si="1"/>
        <v>Fora</v>
      </c>
      <c r="J2003" s="239">
        <v>120.00000001396984</v>
      </c>
    </row>
    <row r="2004">
      <c r="A2004" s="234" t="s">
        <v>3695</v>
      </c>
      <c r="B2004" s="234" t="str">
        <f>IFERROR(__xludf.DUMMYFUNCTION("""COMPUTED_VALUE"""),"LM Hub_SP_Osasco_02")</f>
        <v>LM Hub_SP_Osasco_02</v>
      </c>
      <c r="C2004" s="234" t="str">
        <f>IFERROR(__xludf.DUMMYFUNCTION("""COMPUTED_VALUE"""),"HUB-LSP-60")</f>
        <v>HUB-LSP-60</v>
      </c>
      <c r="D2004" s="234">
        <f>IFERROR(__xludf.DUMMYFUNCTION("""COMPUTED_VALUE"""),27.0)</f>
        <v>27</v>
      </c>
      <c r="E2004" s="237" t="str">
        <f>IFERROR(__xludf.DUMMYFUNCTION("""COMPUTED_VALUE"""),"LT0PC601T1MK1")</f>
        <v>LT0PC601T1MK1</v>
      </c>
      <c r="F2004" s="238" t="str">
        <f>IFERROR(__xludf.DUMMYFUNCTION("""COMPUTED_VALUE"""),"TBQ8J66,FTI1A22")</f>
        <v>TBQ8J66,FTI1A22</v>
      </c>
      <c r="G2004" s="238">
        <f>IFERROR(__xludf.DUMMYFUNCTION("""COMPUTED_VALUE"""),45997.14583333333)</f>
        <v>45997.14583</v>
      </c>
      <c r="H2004" s="238">
        <f>IFERROR(__xludf.DUMMYFUNCTION("""COMPUTED_VALUE"""),45997.22916666667)</f>
        <v>45997.22917</v>
      </c>
      <c r="I2004" s="237" t="str">
        <f t="shared" si="1"/>
        <v>Fora</v>
      </c>
      <c r="J2004" s="239">
        <v>119.00000001071021</v>
      </c>
    </row>
    <row r="2005">
      <c r="A2005" s="234" t="s">
        <v>3696</v>
      </c>
      <c r="B2005" s="234" t="str">
        <f>IFERROR(__xludf.DUMMYFUNCTION("""COMPUTED_VALUE"""),"LM Hub_SP_Sorocaba_Região Norte")</f>
        <v>LM Hub_SP_Sorocaba_Região Norte</v>
      </c>
      <c r="C2005" s="234" t="str">
        <f>IFERROR(__xludf.DUMMYFUNCTION("""COMPUTED_VALUE"""),"HUB-LSP-10")</f>
        <v>HUB-LSP-10</v>
      </c>
      <c r="D2005" s="234">
        <f>IFERROR(__xludf.DUMMYFUNCTION("""COMPUTED_VALUE"""),18.0)</f>
        <v>18</v>
      </c>
      <c r="E2005" s="237" t="str">
        <f>IFERROR(__xludf.DUMMYFUNCTION("""COMPUTED_VALUE"""),"LT0PC601T0HJ1")</f>
        <v>LT0PC601T0HJ1</v>
      </c>
      <c r="F2005" s="238" t="str">
        <f>IFERROR(__xludf.DUMMYFUNCTION("""COMPUTED_VALUE"""),"GHJ3E37,OUU8J45")</f>
        <v>GHJ3E37,OUU8J45</v>
      </c>
      <c r="G2005" s="238">
        <f>IFERROR(__xludf.DUMMYFUNCTION("""COMPUTED_VALUE"""),45997.146527777775)</f>
        <v>45997.14653</v>
      </c>
      <c r="H2005" s="238">
        <f>IFERROR(__xludf.DUMMYFUNCTION("""COMPUTED_VALUE"""),45997.22916666667)</f>
        <v>45997.22917</v>
      </c>
      <c r="I2005" s="237" t="str">
        <f t="shared" si="1"/>
        <v>Fora</v>
      </c>
      <c r="J2005" s="239">
        <v>119.99999999301508</v>
      </c>
    </row>
    <row r="2006">
      <c r="A2006" s="234" t="s">
        <v>3697</v>
      </c>
      <c r="B2006" s="234" t="str">
        <f>IFERROR(__xludf.DUMMYFUNCTION("""COMPUTED_VALUE"""),"LM Hub_SP_Guaratinguetá")</f>
        <v>LM Hub_SP_Guaratinguetá</v>
      </c>
      <c r="C2006" s="234" t="str">
        <f>IFERROR(__xludf.DUMMYFUNCTION("""COMPUTED_VALUE"""),"HUB-LSP-33")</f>
        <v>HUB-LSP-33</v>
      </c>
      <c r="D2006" s="234">
        <f>IFERROR(__xludf.DUMMYFUNCTION("""COMPUTED_VALUE"""),15.0)</f>
        <v>15</v>
      </c>
      <c r="E2006" s="237" t="str">
        <f>IFERROR(__xludf.DUMMYFUNCTION("""COMPUTED_VALUE"""),"LT0PC601T0GO1")</f>
        <v>LT0PC601T0GO1</v>
      </c>
      <c r="F2006" s="238" t="str">
        <f>IFERROR(__xludf.DUMMYFUNCTION("""COMPUTED_VALUE"""),"EKH3880")</f>
        <v>EKH3880</v>
      </c>
      <c r="G2006" s="238">
        <f>IFERROR(__xludf.DUMMYFUNCTION("""COMPUTED_VALUE"""),45997.16666666667)</f>
        <v>45997.16667</v>
      </c>
      <c r="H2006" s="238">
        <f>IFERROR(__xludf.DUMMYFUNCTION("""COMPUTED_VALUE"""),45997.25)</f>
        <v>45997.25</v>
      </c>
      <c r="I2006" s="237" t="str">
        <f t="shared" si="1"/>
        <v>Fora</v>
      </c>
      <c r="J2006" s="239">
        <v>119.99999999301508</v>
      </c>
    </row>
    <row r="2007">
      <c r="A2007" s="234" t="s">
        <v>3698</v>
      </c>
      <c r="B2007" s="234" t="str">
        <f>IFERROR(__xludf.DUMMYFUNCTION("""COMPUTED_VALUE"""),"LM Hub_SP_Limeira_Campo Belo")</f>
        <v>LM Hub_SP_Limeira_Campo Belo</v>
      </c>
      <c r="C2007" s="234" t="str">
        <f>IFERROR(__xludf.DUMMYFUNCTION("""COMPUTED_VALUE"""),"HUB-LSP-24")</f>
        <v>HUB-LSP-24</v>
      </c>
      <c r="D2007" s="234">
        <f>IFERROR(__xludf.DUMMYFUNCTION("""COMPUTED_VALUE"""),39.0)</f>
        <v>39</v>
      </c>
      <c r="E2007" s="237" t="str">
        <f>IFERROR(__xludf.DUMMYFUNCTION("""COMPUTED_VALUE"""),"LT0PC601T0HR1")</f>
        <v>LT0PC601T0HR1</v>
      </c>
      <c r="F2007" s="238" t="str">
        <f>IFERROR(__xludf.DUMMYFUNCTION("""COMPUTED_VALUE"""),"FLO1G76")</f>
        <v>FLO1G76</v>
      </c>
      <c r="G2007" s="238">
        <f>IFERROR(__xludf.DUMMYFUNCTION("""COMPUTED_VALUE"""),45997.16666666667)</f>
        <v>45997.16667</v>
      </c>
      <c r="H2007" s="238">
        <f>IFERROR(__xludf.DUMMYFUNCTION("""COMPUTED_VALUE"""),45997.25)</f>
        <v>45997.25</v>
      </c>
      <c r="I2007" s="237" t="str">
        <f t="shared" si="1"/>
        <v>Fora</v>
      </c>
      <c r="J2007" s="239">
        <v>119.99999999301508</v>
      </c>
    </row>
    <row r="2008">
      <c r="A2008" s="234" t="s">
        <v>3699</v>
      </c>
      <c r="B2008" s="234" t="str">
        <f>IFERROR(__xludf.DUMMYFUNCTION("""COMPUTED_VALUE"""),"LM Hub_SP_Várzea Paulista")</f>
        <v>LM Hub_SP_Várzea Paulista</v>
      </c>
      <c r="C2008" s="234" t="str">
        <f>IFERROR(__xludf.DUMMYFUNCTION("""COMPUTED_VALUE"""),"HUB-LSP-61")</f>
        <v>HUB-LSP-61</v>
      </c>
      <c r="D2008" s="234">
        <f>IFERROR(__xludf.DUMMYFUNCTION("""COMPUTED_VALUE"""),48.0)</f>
        <v>48</v>
      </c>
      <c r="E2008" s="237" t="str">
        <f>IFERROR(__xludf.DUMMYFUNCTION("""COMPUTED_VALUE"""),"LT0PC601T0I11")</f>
        <v>LT0PC601T0I11</v>
      </c>
      <c r="F2008" s="238" t="str">
        <f>IFERROR(__xludf.DUMMYFUNCTION("""COMPUTED_VALUE"""),"HNQ8267")</f>
        <v>HNQ8267</v>
      </c>
      <c r="G2008" s="238">
        <f>IFERROR(__xludf.DUMMYFUNCTION("""COMPUTED_VALUE"""),45997.16666666667)</f>
        <v>45997.16667</v>
      </c>
      <c r="H2008" s="238">
        <f>IFERROR(__xludf.DUMMYFUNCTION("""COMPUTED_VALUE"""),45997.25)</f>
        <v>45997.25</v>
      </c>
      <c r="I2008" s="237" t="str">
        <f t="shared" si="1"/>
        <v>Fora</v>
      </c>
      <c r="J2008" s="239">
        <v>119.99999999301508</v>
      </c>
    </row>
    <row r="2009">
      <c r="A2009" s="234" t="s">
        <v>3700</v>
      </c>
      <c r="B2009" s="234" t="str">
        <f>IFERROR(__xludf.DUMMYFUNCTION("""COMPUTED_VALUE"""),"LM_Hub_SP_Registro")</f>
        <v>LM_Hub_SP_Registro</v>
      </c>
      <c r="C2009" s="234" t="str">
        <f>IFERROR(__xludf.DUMMYFUNCTION("""COMPUTED_VALUE"""),"HUB-LSP-40")</f>
        <v>HUB-LSP-40</v>
      </c>
      <c r="D2009" s="234">
        <f>IFERROR(__xludf.DUMMYFUNCTION("""COMPUTED_VALUE"""),7.0)</f>
        <v>7</v>
      </c>
      <c r="E2009" s="237" t="str">
        <f>IFERROR(__xludf.DUMMYFUNCTION("""COMPUTED_VALUE"""),"LT0PC601T0GE1")</f>
        <v>LT0PC601T0GE1</v>
      </c>
      <c r="F2009" s="238" t="str">
        <f>IFERROR(__xludf.DUMMYFUNCTION("""COMPUTED_VALUE"""),"FSV9B90")</f>
        <v>FSV9B90</v>
      </c>
      <c r="G2009" s="238">
        <f>IFERROR(__xludf.DUMMYFUNCTION("""COMPUTED_VALUE"""),45997.16666666667)</f>
        <v>45997.16667</v>
      </c>
      <c r="H2009" s="238">
        <f>IFERROR(__xludf.DUMMYFUNCTION("""COMPUTED_VALUE"""),45997.25)</f>
        <v>45997.25</v>
      </c>
      <c r="I2009" s="237" t="str">
        <f t="shared" si="1"/>
        <v>Fora</v>
      </c>
      <c r="J2009" s="239">
        <v>119.99999999301508</v>
      </c>
    </row>
    <row r="2010">
      <c r="A2010" s="234" t="s">
        <v>3701</v>
      </c>
      <c r="B2010" s="234" t="str">
        <f>IFERROR(__xludf.DUMMYFUNCTION("""COMPUTED_VALUE"""),"SoC_RJ_Duque de Caxias")</f>
        <v>SoC_RJ_Duque de Caxias</v>
      </c>
      <c r="C2010" s="234" t="str">
        <f>IFERROR(__xludf.DUMMYFUNCTION("""COMPUTED_VALUE"""),"SOC-RJ2")</f>
        <v>SOC-RJ2</v>
      </c>
      <c r="D2010" s="234">
        <f>IFERROR(__xludf.DUMMYFUNCTION("""COMPUTED_VALUE"""),49.0)</f>
        <v>49</v>
      </c>
      <c r="E2010" s="237" t="str">
        <f>IFERROR(__xludf.DUMMYFUNCTION("""COMPUTED_VALUE"""),"LT1PC601TJIO1")</f>
        <v>LT1PC601TJIO1</v>
      </c>
      <c r="F2010" s="238" t="str">
        <f>IFERROR(__xludf.DUMMYFUNCTION("""COMPUTED_VALUE"""),"LMZ8E48,FZI5J64")</f>
        <v>LMZ8E48,FZI5J64</v>
      </c>
      <c r="G2010" s="238">
        <f>IFERROR(__xludf.DUMMYFUNCTION("""COMPUTED_VALUE"""),45997.16666666667)</f>
        <v>45997.16667</v>
      </c>
      <c r="H2010" s="238">
        <f>IFERROR(__xludf.DUMMYFUNCTION("""COMPUTED_VALUE"""),45997.25)</f>
        <v>45997.25</v>
      </c>
      <c r="I2010" s="237" t="str">
        <f t="shared" si="1"/>
        <v>Fora</v>
      </c>
      <c r="J2010" s="239">
        <v>119.99999999301508</v>
      </c>
    </row>
    <row r="2011">
      <c r="A2011" s="234" t="s">
        <v>3702</v>
      </c>
      <c r="B2011" s="234" t="str">
        <f>IFERROR(__xludf.DUMMYFUNCTION("""COMPUTED_VALUE"""),"SoC_RS_Gravataí_02")</f>
        <v>SoC_RS_Gravataí_02</v>
      </c>
      <c r="C2011" s="234" t="str">
        <f>IFERROR(__xludf.DUMMYFUNCTION("""COMPUTED_VALUE"""),"SOC-RS2")</f>
        <v>SOC-RS2</v>
      </c>
      <c r="D2011" s="234">
        <f>IFERROR(__xludf.DUMMYFUNCTION("""COMPUTED_VALUE"""),23.0)</f>
        <v>23</v>
      </c>
      <c r="E2011" s="237" t="str">
        <f>IFERROR(__xludf.DUMMYFUNCTION("""COMPUTED_VALUE"""),"LT0PC601T6VF1")</f>
        <v>LT0PC601T6VF1</v>
      </c>
      <c r="F2011" s="238" t="str">
        <f>IFERROR(__xludf.DUMMYFUNCTION("""COMPUTED_VALUE"""),"JCX0C86,PDA6F09")</f>
        <v>JCX0C86,PDA6F09</v>
      </c>
      <c r="G2011" s="238">
        <f>IFERROR(__xludf.DUMMYFUNCTION("""COMPUTED_VALUE"""),45997.16666666667)</f>
        <v>45997.16667</v>
      </c>
      <c r="H2011" s="238">
        <f>IFERROR(__xludf.DUMMYFUNCTION("""COMPUTED_VALUE"""),45997.25)</f>
        <v>45997.25</v>
      </c>
      <c r="I2011" s="237" t="str">
        <f t="shared" si="1"/>
        <v>Fora</v>
      </c>
      <c r="J2011" s="239">
        <v>119.99999999301508</v>
      </c>
    </row>
    <row r="2012">
      <c r="A2012" s="234" t="s">
        <v>3703</v>
      </c>
      <c r="B2012" s="234" t="str">
        <f>IFERROR(__xludf.DUMMYFUNCTION("""COMPUTED_VALUE"""),"LM Hub_SP_Atibaia_Ponte_Alta")</f>
        <v>LM Hub_SP_Atibaia_Ponte_Alta</v>
      </c>
      <c r="C2012" s="234" t="str">
        <f>IFERROR(__xludf.DUMMYFUNCTION("""COMPUTED_VALUE"""),"HUB-LSP-87")</f>
        <v>HUB-LSP-87</v>
      </c>
      <c r="D2012" s="234">
        <f>IFERROR(__xludf.DUMMYFUNCTION("""COMPUTED_VALUE"""),5.0)</f>
        <v>5</v>
      </c>
      <c r="E2012" s="237" t="str">
        <f>IFERROR(__xludf.DUMMYFUNCTION("""COMPUTED_VALUE"""),"LT0PC601T4QG1")</f>
        <v>LT0PC601T4QG1</v>
      </c>
      <c r="F2012" s="238" t="str">
        <f>IFERROR(__xludf.DUMMYFUNCTION("""COMPUTED_VALUE"""),"JBO1I53")</f>
        <v>JBO1I53</v>
      </c>
      <c r="G2012" s="238">
        <f>IFERROR(__xludf.DUMMYFUNCTION("""COMPUTED_VALUE"""),45997.1875)</f>
        <v>45997.1875</v>
      </c>
      <c r="H2012" s="238">
        <f>IFERROR(__xludf.DUMMYFUNCTION("""COMPUTED_VALUE"""),45997.27083333333)</f>
        <v>45997.27083</v>
      </c>
      <c r="I2012" s="237" t="str">
        <f t="shared" si="1"/>
        <v>Fora</v>
      </c>
      <c r="J2012" s="239">
        <v>119.99999999301508</v>
      </c>
    </row>
    <row r="2013">
      <c r="A2013" s="234" t="s">
        <v>3704</v>
      </c>
      <c r="B2013" s="234" t="str">
        <f>IFERROR(__xludf.DUMMYFUNCTION("""COMPUTED_VALUE"""),"LM Hub_SP_Embu das Artes")</f>
        <v>LM Hub_SP_Embu das Artes</v>
      </c>
      <c r="C2013" s="234" t="str">
        <f>IFERROR(__xludf.DUMMYFUNCTION("""COMPUTED_VALUE"""),"HUB-LSP-36")</f>
        <v>HUB-LSP-36</v>
      </c>
      <c r="D2013" s="234">
        <f>IFERROR(__xludf.DUMMYFUNCTION("""COMPUTED_VALUE"""),32.0)</f>
        <v>32</v>
      </c>
      <c r="E2013" s="237" t="str">
        <f>IFERROR(__xludf.DUMMYFUNCTION("""COMPUTED_VALUE"""),"LT0PC601T1NO1")</f>
        <v>LT0PC601T1NO1</v>
      </c>
      <c r="F2013" s="238" t="str">
        <f>IFERROR(__xludf.DUMMYFUNCTION("""COMPUTED_VALUE"""),"DTC8058")</f>
        <v>DTC8058</v>
      </c>
      <c r="G2013" s="238">
        <f>IFERROR(__xludf.DUMMYFUNCTION("""COMPUTED_VALUE"""),45997.1875)</f>
        <v>45997.1875</v>
      </c>
      <c r="H2013" s="238">
        <f>IFERROR(__xludf.DUMMYFUNCTION("""COMPUTED_VALUE"""),45997.27083333333)</f>
        <v>45997.27083</v>
      </c>
      <c r="I2013" s="237" t="str">
        <f t="shared" si="1"/>
        <v>Fora</v>
      </c>
      <c r="J2013" s="239">
        <v>119.99999999301508</v>
      </c>
    </row>
    <row r="2014">
      <c r="A2014" s="234" t="s">
        <v>3705</v>
      </c>
      <c r="B2014" s="234" t="str">
        <f>IFERROR(__xludf.DUMMYFUNCTION("""COMPUTED_VALUE"""),"LM Hub_SP_Taubaté")</f>
        <v>LM Hub_SP_Taubaté</v>
      </c>
      <c r="C2014" s="234" t="str">
        <f>IFERROR(__xludf.DUMMYFUNCTION("""COMPUTED_VALUE"""),"HUB-LSP-08")</f>
        <v>HUB-LSP-08</v>
      </c>
      <c r="D2014" s="234">
        <f>IFERROR(__xludf.DUMMYFUNCTION("""COMPUTED_VALUE"""),12.0)</f>
        <v>12</v>
      </c>
      <c r="E2014" s="237" t="str">
        <f>IFERROR(__xludf.DUMMYFUNCTION("""COMPUTED_VALUE"""),"LT0PC601T0H01")</f>
        <v>LT0PC601T0H01</v>
      </c>
      <c r="F2014" s="238" t="str">
        <f>IFERROR(__xludf.DUMMYFUNCTION("""COMPUTED_VALUE"""),"ECT4I26")</f>
        <v>ECT4I26</v>
      </c>
      <c r="G2014" s="238">
        <f>IFERROR(__xludf.DUMMYFUNCTION("""COMPUTED_VALUE"""),45997.1875)</f>
        <v>45997.1875</v>
      </c>
      <c r="H2014" s="238">
        <f>IFERROR(__xludf.DUMMYFUNCTION("""COMPUTED_VALUE"""),45997.27083333333)</f>
        <v>45997.27083</v>
      </c>
      <c r="I2014" s="237" t="str">
        <f t="shared" si="1"/>
        <v>Fora</v>
      </c>
      <c r="J2014" s="239">
        <v>540.0</v>
      </c>
    </row>
    <row r="2015">
      <c r="A2015" s="234" t="s">
        <v>3706</v>
      </c>
      <c r="B2015" s="234" t="str">
        <f>IFERROR(__xludf.DUMMYFUNCTION("""COMPUTED_VALUE"""),"SoC_BA_Simoes Filho")</f>
        <v>SoC_BA_Simoes Filho</v>
      </c>
      <c r="C2015" s="234" t="str">
        <f>IFERROR(__xludf.DUMMYFUNCTION("""COMPUTED_VALUE"""),"SOC-BA2")</f>
        <v>SOC-BA2</v>
      </c>
      <c r="D2015" s="234"/>
      <c r="E2015" s="237" t="str">
        <f>IFERROR(__xludf.DUMMYFUNCTION("""COMPUTED_VALUE"""),"LT0PC501T6K31")</f>
        <v>LT0PC501T6K31</v>
      </c>
      <c r="F2015" s="238" t="str">
        <f>IFERROR(__xludf.DUMMYFUNCTION("""COMPUTED_VALUE"""),"-")</f>
        <v>-</v>
      </c>
      <c r="G2015" s="238">
        <f>IFERROR(__xludf.DUMMYFUNCTION("""COMPUTED_VALUE"""),45996.91666666667)</f>
        <v>45996.91667</v>
      </c>
      <c r="H2015" s="238">
        <f>IFERROR(__xludf.DUMMYFUNCTION("""COMPUTED_VALUE"""),45997.29166666667)</f>
        <v>45997.29167</v>
      </c>
      <c r="I2015" s="237" t="str">
        <f t="shared" si="1"/>
        <v>Fora</v>
      </c>
      <c r="J2015" s="239">
        <v>540.0</v>
      </c>
    </row>
    <row r="2016">
      <c r="A2016" s="234" t="s">
        <v>3707</v>
      </c>
      <c r="B2016" s="234" t="str">
        <f>IFERROR(__xludf.DUMMYFUNCTION("""COMPUTED_VALUE"""),"SoC_BA_Simoes Filho")</f>
        <v>SoC_BA_Simoes Filho</v>
      </c>
      <c r="C2016" s="234" t="str">
        <f>IFERROR(__xludf.DUMMYFUNCTION("""COMPUTED_VALUE"""),"SOC-BA2")</f>
        <v>SOC-BA2</v>
      </c>
      <c r="D2016" s="234"/>
      <c r="E2016" s="237" t="str">
        <f>IFERROR(__xludf.DUMMYFUNCTION("""COMPUTED_VALUE"""),"LT0PC501T6K52")</f>
        <v>LT0PC501T6K52</v>
      </c>
      <c r="F2016" s="238" t="str">
        <f>IFERROR(__xludf.DUMMYFUNCTION("""COMPUTED_VALUE"""),"-")</f>
        <v>-</v>
      </c>
      <c r="G2016" s="238">
        <f>IFERROR(__xludf.DUMMYFUNCTION("""COMPUTED_VALUE"""),45996.91666666667)</f>
        <v>45996.91667</v>
      </c>
      <c r="H2016" s="238">
        <f>IFERROR(__xludf.DUMMYFUNCTION("""COMPUTED_VALUE"""),45997.29166666667)</f>
        <v>45997.29167</v>
      </c>
      <c r="I2016" s="237" t="str">
        <f t="shared" si="1"/>
        <v>Fora</v>
      </c>
      <c r="J2016" s="239">
        <v>540.0</v>
      </c>
    </row>
    <row r="2017">
      <c r="A2017" s="234" t="s">
        <v>3708</v>
      </c>
      <c r="B2017" s="234" t="str">
        <f>IFERROR(__xludf.DUMMYFUNCTION("""COMPUTED_VALUE"""),"SoC_GO_Goiânia_02")</f>
        <v>SoC_GO_Goiânia_02</v>
      </c>
      <c r="C2017" s="234" t="str">
        <f>IFERROR(__xludf.DUMMYFUNCTION("""COMPUTED_VALUE"""),"SOC-GO2")</f>
        <v>SOC-GO2</v>
      </c>
      <c r="D2017" s="234">
        <f>IFERROR(__xludf.DUMMYFUNCTION("""COMPUTED_VALUE"""),86.0)</f>
        <v>86</v>
      </c>
      <c r="E2017" s="237" t="str">
        <f>IFERROR(__xludf.DUMMYFUNCTION("""COMPUTED_VALUE"""),"LT0PC501T6TE1")</f>
        <v>LT0PC501T6TE1</v>
      </c>
      <c r="F2017" s="238" t="str">
        <f>IFERROR(__xludf.DUMMYFUNCTION("""COMPUTED_VALUE"""),"GCV0G87,GCV4B08")</f>
        <v>GCV0G87,GCV4B08</v>
      </c>
      <c r="G2017" s="238">
        <f>IFERROR(__xludf.DUMMYFUNCTION("""COMPUTED_VALUE"""),45996.91666666667)</f>
        <v>45996.91667</v>
      </c>
      <c r="H2017" s="238">
        <f>IFERROR(__xludf.DUMMYFUNCTION("""COMPUTED_VALUE"""),45997.29166666667)</f>
        <v>45997.29167</v>
      </c>
      <c r="I2017" s="237" t="str">
        <f t="shared" si="1"/>
        <v>Fora</v>
      </c>
      <c r="J2017" s="239">
        <v>540.0</v>
      </c>
    </row>
    <row r="2018">
      <c r="A2018" s="234" t="s">
        <v>3709</v>
      </c>
      <c r="B2018" s="234" t="str">
        <f>IFERROR(__xludf.DUMMYFUNCTION("""COMPUTED_VALUE"""),"SoC_GO_Goiânia_02")</f>
        <v>SoC_GO_Goiânia_02</v>
      </c>
      <c r="C2018" s="234" t="str">
        <f>IFERROR(__xludf.DUMMYFUNCTION("""COMPUTED_VALUE"""),"SOC-GO2")</f>
        <v>SOC-GO2</v>
      </c>
      <c r="D2018" s="234">
        <f>IFERROR(__xludf.DUMMYFUNCTION("""COMPUTED_VALUE"""),97.0)</f>
        <v>97</v>
      </c>
      <c r="E2018" s="237" t="str">
        <f>IFERROR(__xludf.DUMMYFUNCTION("""COMPUTED_VALUE"""),"LT0PC501T6TG2")</f>
        <v>LT0PC501T6TG2</v>
      </c>
      <c r="F2018" s="238" t="str">
        <f>IFERROR(__xludf.DUMMYFUNCTION("""COMPUTED_VALUE"""),"DWI9I04,ELW5D16")</f>
        <v>DWI9I04,ELW5D16</v>
      </c>
      <c r="G2018" s="238">
        <f>IFERROR(__xludf.DUMMYFUNCTION("""COMPUTED_VALUE"""),45996.91666666667)</f>
        <v>45996.91667</v>
      </c>
      <c r="H2018" s="238">
        <f>IFERROR(__xludf.DUMMYFUNCTION("""COMPUTED_VALUE"""),45997.29166666667)</f>
        <v>45997.29167</v>
      </c>
      <c r="I2018" s="237" t="str">
        <f t="shared" si="1"/>
        <v>Fora</v>
      </c>
      <c r="J2018" s="239">
        <v>540.0</v>
      </c>
    </row>
    <row r="2019">
      <c r="A2019" s="234" t="s">
        <v>3710</v>
      </c>
      <c r="B2019" s="234" t="str">
        <f>IFERROR(__xludf.DUMMYFUNCTION("""COMPUTED_VALUE"""),"SoC_MG_Betim")</f>
        <v>SoC_MG_Betim</v>
      </c>
      <c r="C2019" s="234" t="str">
        <f>IFERROR(__xludf.DUMMYFUNCTION("""COMPUTED_VALUE"""),"SOC-MG2")</f>
        <v>SOC-MG2</v>
      </c>
      <c r="D2019" s="234">
        <f>IFERROR(__xludf.DUMMYFUNCTION("""COMPUTED_VALUE"""),91.0)</f>
        <v>91</v>
      </c>
      <c r="E2019" s="237" t="str">
        <f>IFERROR(__xludf.DUMMYFUNCTION("""COMPUTED_VALUE"""),"LT0PC501T0BL1")</f>
        <v>LT0PC501T0BL1</v>
      </c>
      <c r="F2019" s="238" t="str">
        <f>IFERROR(__xludf.DUMMYFUNCTION("""COMPUTED_VALUE"""),"BPQ9C21,SVW8A72")</f>
        <v>BPQ9C21,SVW8A72</v>
      </c>
      <c r="G2019" s="238">
        <f>IFERROR(__xludf.DUMMYFUNCTION("""COMPUTED_VALUE"""),45996.91666666667)</f>
        <v>45996.91667</v>
      </c>
      <c r="H2019" s="238">
        <f>IFERROR(__xludf.DUMMYFUNCTION("""COMPUTED_VALUE"""),45997.29166666667)</f>
        <v>45997.29167</v>
      </c>
      <c r="I2019" s="237" t="str">
        <f t="shared" si="1"/>
        <v>Fora</v>
      </c>
      <c r="J2019" s="239">
        <v>539.0000000072177</v>
      </c>
    </row>
    <row r="2020">
      <c r="A2020" s="234" t="s">
        <v>3711</v>
      </c>
      <c r="B2020" s="234" t="str">
        <f>IFERROR(__xludf.DUMMYFUNCTION("""COMPUTED_VALUE"""),"SoC_MG_Betim")</f>
        <v>SoC_MG_Betim</v>
      </c>
      <c r="C2020" s="234" t="str">
        <f>IFERROR(__xludf.DUMMYFUNCTION("""COMPUTED_VALUE"""),"SOC-MG2")</f>
        <v>SOC-MG2</v>
      </c>
      <c r="D2020" s="234">
        <f>IFERROR(__xludf.DUMMYFUNCTION("""COMPUTED_VALUE"""),90.0)</f>
        <v>90</v>
      </c>
      <c r="E2020" s="237" t="str">
        <f>IFERROR(__xludf.DUMMYFUNCTION("""COMPUTED_VALUE"""),"LT0PC501TA8W1")</f>
        <v>LT0PC501TA8W1</v>
      </c>
      <c r="F2020" s="238" t="str">
        <f>IFERROR(__xludf.DUMMYFUNCTION("""COMPUTED_VALUE"""),"DPF1E65,EWJ1I10")</f>
        <v>DPF1E65,EWJ1I10</v>
      </c>
      <c r="G2020" s="238">
        <f>IFERROR(__xludf.DUMMYFUNCTION("""COMPUTED_VALUE"""),45996.91736111111)</f>
        <v>45996.91736</v>
      </c>
      <c r="H2020" s="238">
        <f>IFERROR(__xludf.DUMMYFUNCTION("""COMPUTED_VALUE"""),45997.29166666667)</f>
        <v>45997.29167</v>
      </c>
      <c r="I2020" s="237" t="str">
        <f t="shared" si="1"/>
        <v>Fora</v>
      </c>
      <c r="J2020" s="239">
        <v>120.00000001396984</v>
      </c>
    </row>
    <row r="2021">
      <c r="A2021" s="234" t="s">
        <v>3712</v>
      </c>
      <c r="B2021" s="234" t="str">
        <f>IFERROR(__xludf.DUMMYFUNCTION("""COMPUTED_VALUE"""),"LM Hub_SP_Barueri_01")</f>
        <v>LM Hub_SP_Barueri_01</v>
      </c>
      <c r="C2021" s="234" t="str">
        <f>IFERROR(__xludf.DUMMYFUNCTION("""COMPUTED_VALUE"""),"HUB-LSP-81")</f>
        <v>HUB-LSP-81</v>
      </c>
      <c r="D2021" s="234">
        <f>IFERROR(__xludf.DUMMYFUNCTION("""COMPUTED_VALUE"""),14.0)</f>
        <v>14</v>
      </c>
      <c r="E2021" s="237" t="str">
        <f>IFERROR(__xludf.DUMMYFUNCTION("""COMPUTED_VALUE"""),"LT0PC601T65Z1")</f>
        <v>LT0PC601T65Z1</v>
      </c>
      <c r="F2021" s="238" t="str">
        <f>IFERROR(__xludf.DUMMYFUNCTION("""COMPUTED_VALUE"""),"OPY9J66")</f>
        <v>OPY9J66</v>
      </c>
      <c r="G2021" s="238">
        <f>IFERROR(__xludf.DUMMYFUNCTION("""COMPUTED_VALUE"""),45997.20833333333)</f>
        <v>45997.20833</v>
      </c>
      <c r="H2021" s="238">
        <f>IFERROR(__xludf.DUMMYFUNCTION("""COMPUTED_VALUE"""),45997.29166666667)</f>
        <v>45997.29167</v>
      </c>
      <c r="I2021" s="237" t="str">
        <f t="shared" si="1"/>
        <v>Fora</v>
      </c>
      <c r="J2021" s="239">
        <v>120.00000001396984</v>
      </c>
    </row>
    <row r="2022">
      <c r="A2022" s="234" t="s">
        <v>3713</v>
      </c>
      <c r="B2022" s="234" t="str">
        <f>IFERROR(__xludf.DUMMYFUNCTION("""COMPUTED_VALUE"""),"LM Hub_SP_Jundiaí")</f>
        <v>LM Hub_SP_Jundiaí</v>
      </c>
      <c r="C2022" s="234" t="str">
        <f>IFERROR(__xludf.DUMMYFUNCTION("""COMPUTED_VALUE"""),"HUB-LSP-100")</f>
        <v>HUB-LSP-100</v>
      </c>
      <c r="D2022" s="234">
        <f>IFERROR(__xludf.DUMMYFUNCTION("""COMPUTED_VALUE"""),6.0)</f>
        <v>6</v>
      </c>
      <c r="E2022" s="237" t="str">
        <f>IFERROR(__xludf.DUMMYFUNCTION("""COMPUTED_VALUE"""),"LT0PC601T7P01")</f>
        <v>LT0PC601T7P01</v>
      </c>
      <c r="F2022" s="238" t="str">
        <f>IFERROR(__xludf.DUMMYFUNCTION("""COMPUTED_VALUE"""),"TBX6D09")</f>
        <v>TBX6D09</v>
      </c>
      <c r="G2022" s="238">
        <f>IFERROR(__xludf.DUMMYFUNCTION("""COMPUTED_VALUE"""),45997.20833333333)</f>
        <v>45997.20833</v>
      </c>
      <c r="H2022" s="238">
        <f>IFERROR(__xludf.DUMMYFUNCTION("""COMPUTED_VALUE"""),45997.29166666667)</f>
        <v>45997.29167</v>
      </c>
      <c r="I2022" s="237" t="str">
        <f t="shared" si="1"/>
        <v>Fora</v>
      </c>
      <c r="J2022" s="239">
        <v>120.00000001396984</v>
      </c>
    </row>
    <row r="2023">
      <c r="A2023" s="234" t="s">
        <v>3714</v>
      </c>
      <c r="B2023" s="234" t="str">
        <f>IFERROR(__xludf.DUMMYFUNCTION("""COMPUTED_VALUE"""),"LM Hub_SP_Jurubatuba")</f>
        <v>LM Hub_SP_Jurubatuba</v>
      </c>
      <c r="C2023" s="234" t="str">
        <f>IFERROR(__xludf.DUMMYFUNCTION("""COMPUTED_VALUE"""),"HUB-LSP-16")</f>
        <v>HUB-LSP-16</v>
      </c>
      <c r="D2023" s="234">
        <f>IFERROR(__xludf.DUMMYFUNCTION("""COMPUTED_VALUE"""),16.0)</f>
        <v>16</v>
      </c>
      <c r="E2023" s="237" t="str">
        <f>IFERROR(__xludf.DUMMYFUNCTION("""COMPUTED_VALUE"""),"LT0PC601T1M91")</f>
        <v>LT0PC601T1M91</v>
      </c>
      <c r="F2023" s="238" t="str">
        <f>IFERROR(__xludf.DUMMYFUNCTION("""COMPUTED_VALUE"""),"FYU4F06")</f>
        <v>FYU4F06</v>
      </c>
      <c r="G2023" s="238">
        <f>IFERROR(__xludf.DUMMYFUNCTION("""COMPUTED_VALUE"""),45997.20833333333)</f>
        <v>45997.20833</v>
      </c>
      <c r="H2023" s="238">
        <f>IFERROR(__xludf.DUMMYFUNCTION("""COMPUTED_VALUE"""),45997.29166666667)</f>
        <v>45997.29167</v>
      </c>
      <c r="I2023" s="237" t="str">
        <f t="shared" si="1"/>
        <v>Fora</v>
      </c>
      <c r="J2023" s="239">
        <v>120.00000001396984</v>
      </c>
    </row>
    <row r="2024">
      <c r="A2024" s="234" t="s">
        <v>3715</v>
      </c>
      <c r="B2024" s="234" t="str">
        <f>IFERROR(__xludf.DUMMYFUNCTION("""COMPUTED_VALUE"""),"LM Hub_SP_Piracicaba")</f>
        <v>LM Hub_SP_Piracicaba</v>
      </c>
      <c r="C2024" s="234" t="str">
        <f>IFERROR(__xludf.DUMMYFUNCTION("""COMPUTED_VALUE"""),"HUB-LSP-62")</f>
        <v>HUB-LSP-62</v>
      </c>
      <c r="D2024" s="234">
        <f>IFERROR(__xludf.DUMMYFUNCTION("""COMPUTED_VALUE"""),29.0)</f>
        <v>29</v>
      </c>
      <c r="E2024" s="237" t="str">
        <f>IFERROR(__xludf.DUMMYFUNCTION("""COMPUTED_VALUE"""),"LT0PC601T15V1")</f>
        <v>LT0PC601T15V1</v>
      </c>
      <c r="F2024" s="238" t="str">
        <f>IFERROR(__xludf.DUMMYFUNCTION("""COMPUTED_VALUE"""),"BYP9A96")</f>
        <v>BYP9A96</v>
      </c>
      <c r="G2024" s="238">
        <f>IFERROR(__xludf.DUMMYFUNCTION("""COMPUTED_VALUE"""),45997.20833333333)</f>
        <v>45997.20833</v>
      </c>
      <c r="H2024" s="238">
        <f>IFERROR(__xludf.DUMMYFUNCTION("""COMPUTED_VALUE"""),45997.29166666667)</f>
        <v>45997.29167</v>
      </c>
      <c r="I2024" s="237" t="str">
        <f t="shared" si="1"/>
        <v>Fora</v>
      </c>
      <c r="J2024" s="239">
        <v>120.00000001396984</v>
      </c>
    </row>
    <row r="2025">
      <c r="A2025" s="234" t="s">
        <v>3716</v>
      </c>
      <c r="B2025" s="234" t="str">
        <f>IFERROR(__xludf.DUMMYFUNCTION("""COMPUTED_VALUE"""),"LM Hub_SP_Santos_PraiaGrande_02")</f>
        <v>LM Hub_SP_Santos_PraiaGrande_02</v>
      </c>
      <c r="C2025" s="234" t="str">
        <f>IFERROR(__xludf.DUMMYFUNCTION("""COMPUTED_VALUE"""),"HUB-LSP-63")</f>
        <v>HUB-LSP-63</v>
      </c>
      <c r="D2025" s="234">
        <f>IFERROR(__xludf.DUMMYFUNCTION("""COMPUTED_VALUE"""),19.0)</f>
        <v>19</v>
      </c>
      <c r="E2025" s="237" t="str">
        <f>IFERROR(__xludf.DUMMYFUNCTION("""COMPUTED_VALUE"""),"LT0PC601T1NJ1")</f>
        <v>LT0PC601T1NJ1</v>
      </c>
      <c r="F2025" s="238" t="str">
        <f>IFERROR(__xludf.DUMMYFUNCTION("""COMPUTED_VALUE"""),"GEJ6E62,TLV2A95")</f>
        <v>GEJ6E62,TLV2A95</v>
      </c>
      <c r="G2025" s="238">
        <f>IFERROR(__xludf.DUMMYFUNCTION("""COMPUTED_VALUE"""),45997.20833333333)</f>
        <v>45997.20833</v>
      </c>
      <c r="H2025" s="238">
        <f>IFERROR(__xludf.DUMMYFUNCTION("""COMPUTED_VALUE"""),45997.29166666667)</f>
        <v>45997.29167</v>
      </c>
      <c r="I2025" s="237" t="str">
        <f t="shared" si="1"/>
        <v>Fora</v>
      </c>
      <c r="J2025" s="239">
        <v>120.00000001396984</v>
      </c>
    </row>
    <row r="2026">
      <c r="A2026" s="234" t="s">
        <v>3717</v>
      </c>
      <c r="B2026" s="234" t="str">
        <f>IFERROR(__xludf.DUMMYFUNCTION("""COMPUTED_VALUE"""),"SoC_SP_Santana")</f>
        <v>SoC_SP_Santana</v>
      </c>
      <c r="C2026" s="234" t="str">
        <f>IFERROR(__xludf.DUMMYFUNCTION("""COMPUTED_VALUE"""),"SOC-SP2")</f>
        <v>SOC-SP2</v>
      </c>
      <c r="D2026" s="234">
        <f>IFERROR(__xludf.DUMMYFUNCTION("""COMPUTED_VALUE"""),34.0)</f>
        <v>34</v>
      </c>
      <c r="E2026" s="237" t="str">
        <f>IFERROR(__xludf.DUMMYFUNCTION("""COMPUTED_VALUE"""),"LT0PC601T0WO1")</f>
        <v>LT0PC601T0WO1</v>
      </c>
      <c r="F2026" s="238" t="str">
        <f>IFERROR(__xludf.DUMMYFUNCTION("""COMPUTED_VALUE"""),"CUC8286,JXB4390")</f>
        <v>CUC8286,JXB4390</v>
      </c>
      <c r="G2026" s="238">
        <f>IFERROR(__xludf.DUMMYFUNCTION("""COMPUTED_VALUE"""),45997.20833333333)</f>
        <v>45997.20833</v>
      </c>
      <c r="H2026" s="238">
        <f>IFERROR(__xludf.DUMMYFUNCTION("""COMPUTED_VALUE"""),45997.29166666667)</f>
        <v>45997.29167</v>
      </c>
      <c r="I2026" s="237" t="str">
        <f t="shared" si="1"/>
        <v>Fora</v>
      </c>
      <c r="J2026" s="239">
        <v>119.00000001071021</v>
      </c>
    </row>
    <row r="2027">
      <c r="A2027" s="234" t="s">
        <v>3718</v>
      </c>
      <c r="B2027" s="234" t="str">
        <f>IFERROR(__xludf.DUMMYFUNCTION("""COMPUTED_VALUE"""),"LM Hub_SP_Jurubatuba")</f>
        <v>LM Hub_SP_Jurubatuba</v>
      </c>
      <c r="C2027" s="234" t="str">
        <f>IFERROR(__xludf.DUMMYFUNCTION("""COMPUTED_VALUE"""),"HUB-LSP-16")</f>
        <v>HUB-LSP-16</v>
      </c>
      <c r="D2027" s="234"/>
      <c r="E2027" s="237" t="str">
        <f>IFERROR(__xludf.DUMMYFUNCTION("""COMPUTED_VALUE"""),"LT0PC601T1ME1")</f>
        <v>LT0PC601T1ME1</v>
      </c>
      <c r="F2027" s="238" t="str">
        <f>IFERROR(__xludf.DUMMYFUNCTION("""COMPUTED_VALUE"""),"CUA7C61,FPW0F14")</f>
        <v>CUA7C61,FPW0F14</v>
      </c>
      <c r="G2027" s="238">
        <f>IFERROR(__xludf.DUMMYFUNCTION("""COMPUTED_VALUE"""),45997.209027777775)</f>
        <v>45997.20903</v>
      </c>
      <c r="H2027" s="238">
        <f>IFERROR(__xludf.DUMMYFUNCTION("""COMPUTED_VALUE"""),45997.29166666667)</f>
        <v>45997.29167</v>
      </c>
      <c r="I2027" s="237" t="str">
        <f t="shared" si="1"/>
        <v>Fora</v>
      </c>
      <c r="J2027" s="239">
        <v>119.99999999301508</v>
      </c>
    </row>
    <row r="2028">
      <c r="A2028" s="234" t="s">
        <v>3719</v>
      </c>
      <c r="B2028" s="234" t="str">
        <f>IFERROR(__xludf.DUMMYFUNCTION("""COMPUTED_VALUE"""),"LM Hub_SP_Guarujá")</f>
        <v>LM Hub_SP_Guarujá</v>
      </c>
      <c r="C2028" s="234" t="str">
        <f>IFERROR(__xludf.DUMMYFUNCTION("""COMPUTED_VALUE"""),"HUB-LSP-06")</f>
        <v>HUB-LSP-06</v>
      </c>
      <c r="D2028" s="234">
        <f>IFERROR(__xludf.DUMMYFUNCTION("""COMPUTED_VALUE"""),9.0)</f>
        <v>9</v>
      </c>
      <c r="E2028" s="237" t="str">
        <f>IFERROR(__xludf.DUMMYFUNCTION("""COMPUTED_VALUE"""),"LT0PC601T1MZ1")</f>
        <v>LT0PC601T1MZ1</v>
      </c>
      <c r="F2028" s="238" t="str">
        <f>IFERROR(__xludf.DUMMYFUNCTION("""COMPUTED_VALUE"""),"TJN5H17")</f>
        <v>TJN5H17</v>
      </c>
      <c r="G2028" s="238">
        <f>IFERROR(__xludf.DUMMYFUNCTION("""COMPUTED_VALUE"""),45997.22916666667)</f>
        <v>45997.22917</v>
      </c>
      <c r="H2028" s="238">
        <f>IFERROR(__xludf.DUMMYFUNCTION("""COMPUTED_VALUE"""),45997.3125)</f>
        <v>45997.3125</v>
      </c>
      <c r="I2028" s="237" t="str">
        <f t="shared" si="1"/>
        <v>Fora</v>
      </c>
      <c r="J2028" s="239">
        <v>119.99999999301508</v>
      </c>
    </row>
    <row r="2029">
      <c r="A2029" s="234" t="s">
        <v>3720</v>
      </c>
      <c r="B2029" s="234" t="str">
        <f>IFERROR(__xludf.DUMMYFUNCTION("""COMPUTED_VALUE"""),"LM Hub_SP_Itapevi")</f>
        <v>LM Hub_SP_Itapevi</v>
      </c>
      <c r="C2029" s="234" t="str">
        <f>IFERROR(__xludf.DUMMYFUNCTION("""COMPUTED_VALUE"""),"HUB-LSP-41")</f>
        <v>HUB-LSP-41</v>
      </c>
      <c r="D2029" s="234">
        <f>IFERROR(__xludf.DUMMYFUNCTION("""COMPUTED_VALUE"""),13.0)</f>
        <v>13</v>
      </c>
      <c r="E2029" s="237" t="str">
        <f>IFERROR(__xludf.DUMMYFUNCTION("""COMPUTED_VALUE"""),"LT0PC601T0EV1")</f>
        <v>LT0PC601T0EV1</v>
      </c>
      <c r="F2029" s="238" t="str">
        <f>IFERROR(__xludf.DUMMYFUNCTION("""COMPUTED_VALUE"""),"DPF6F59")</f>
        <v>DPF6F59</v>
      </c>
      <c r="G2029" s="238">
        <f>IFERROR(__xludf.DUMMYFUNCTION("""COMPUTED_VALUE"""),45997.22916666667)</f>
        <v>45997.22917</v>
      </c>
      <c r="H2029" s="238">
        <f>IFERROR(__xludf.DUMMYFUNCTION("""COMPUTED_VALUE"""),45997.3125)</f>
        <v>45997.3125</v>
      </c>
      <c r="I2029" s="237" t="str">
        <f t="shared" si="1"/>
        <v>Fora</v>
      </c>
      <c r="J2029" s="239">
        <v>119.99999999301508</v>
      </c>
    </row>
    <row r="2030">
      <c r="A2030" s="234" t="s">
        <v>3721</v>
      </c>
      <c r="B2030" s="234" t="str">
        <f>IFERROR(__xludf.DUMMYFUNCTION("""COMPUTED_VALUE"""),"LM Hub_SP_Itaqua_Zimba")</f>
        <v>LM Hub_SP_Itaqua_Zimba</v>
      </c>
      <c r="C2030" s="234" t="str">
        <f>IFERROR(__xludf.DUMMYFUNCTION("""COMPUTED_VALUE"""),"HUB-LSP-74")</f>
        <v>HUB-LSP-74</v>
      </c>
      <c r="D2030" s="234">
        <f>IFERROR(__xludf.DUMMYFUNCTION("""COMPUTED_VALUE"""),33.0)</f>
        <v>33</v>
      </c>
      <c r="E2030" s="237" t="str">
        <f>IFERROR(__xludf.DUMMYFUNCTION("""COMPUTED_VALUE"""),"LT0PC601T1MU1")</f>
        <v>LT0PC601T1MU1</v>
      </c>
      <c r="F2030" s="238" t="str">
        <f>IFERROR(__xludf.DUMMYFUNCTION("""COMPUTED_VALUE"""),"SUQ5C99,TLD5B82")</f>
        <v>SUQ5C99,TLD5B82</v>
      </c>
      <c r="G2030" s="238">
        <f>IFERROR(__xludf.DUMMYFUNCTION("""COMPUTED_VALUE"""),45997.22916666667)</f>
        <v>45997.22917</v>
      </c>
      <c r="H2030" s="238">
        <f>IFERROR(__xludf.DUMMYFUNCTION("""COMPUTED_VALUE"""),45997.3125)</f>
        <v>45997.3125</v>
      </c>
      <c r="I2030" s="237" t="str">
        <f t="shared" si="1"/>
        <v>Fora</v>
      </c>
      <c r="J2030" s="239">
        <v>119.99999999301508</v>
      </c>
    </row>
    <row r="2031">
      <c r="A2031" s="234" t="s">
        <v>3722</v>
      </c>
      <c r="B2031" s="234" t="str">
        <f>IFERROR(__xludf.DUMMYFUNCTION("""COMPUTED_VALUE"""),"LM Hub_SP_Santos_Praia Grande")</f>
        <v>LM Hub_SP_Santos_Praia Grande</v>
      </c>
      <c r="C2031" s="234" t="str">
        <f>IFERROR(__xludf.DUMMYFUNCTION("""COMPUTED_VALUE"""),"HUB-LSP-09")</f>
        <v>HUB-LSP-09</v>
      </c>
      <c r="D2031" s="234">
        <f>IFERROR(__xludf.DUMMYFUNCTION("""COMPUTED_VALUE"""),26.0)</f>
        <v>26</v>
      </c>
      <c r="E2031" s="237" t="str">
        <f>IFERROR(__xludf.DUMMYFUNCTION("""COMPUTED_VALUE"""),"LT0PC601T1N31")</f>
        <v>LT0PC601T1N31</v>
      </c>
      <c r="F2031" s="238" t="str">
        <f>IFERROR(__xludf.DUMMYFUNCTION("""COMPUTED_VALUE"""),"GDW1D96")</f>
        <v>GDW1D96</v>
      </c>
      <c r="G2031" s="238">
        <f>IFERROR(__xludf.DUMMYFUNCTION("""COMPUTED_VALUE"""),45997.22916666667)</f>
        <v>45997.22917</v>
      </c>
      <c r="H2031" s="238">
        <f>IFERROR(__xludf.DUMMYFUNCTION("""COMPUTED_VALUE"""),45997.3125)</f>
        <v>45997.3125</v>
      </c>
      <c r="I2031" s="237" t="str">
        <f t="shared" si="1"/>
        <v>Fora</v>
      </c>
      <c r="J2031" s="239">
        <v>119.99999999301508</v>
      </c>
    </row>
    <row r="2032">
      <c r="A2032" s="234" t="s">
        <v>3723</v>
      </c>
      <c r="B2032" s="234" t="str">
        <f>IFERROR(__xludf.DUMMYFUNCTION("""COMPUTED_VALUE"""),"LM Hub_SP_São José dos Campos")</f>
        <v>LM Hub_SP_São José dos Campos</v>
      </c>
      <c r="C2032" s="234" t="str">
        <f>IFERROR(__xludf.DUMMYFUNCTION("""COMPUTED_VALUE"""),"HUB-LSP-04")</f>
        <v>HUB-LSP-04</v>
      </c>
      <c r="D2032" s="234">
        <f>IFERROR(__xludf.DUMMYFUNCTION("""COMPUTED_VALUE"""),17.0)</f>
        <v>17</v>
      </c>
      <c r="E2032" s="237" t="str">
        <f>IFERROR(__xludf.DUMMYFUNCTION("""COMPUTED_VALUE"""),"LT0PC601T1N91")</f>
        <v>LT0PC601T1N91</v>
      </c>
      <c r="F2032" s="238" t="str">
        <f>IFERROR(__xludf.DUMMYFUNCTION("""COMPUTED_VALUE"""),"PRI3H29")</f>
        <v>PRI3H29</v>
      </c>
      <c r="G2032" s="238">
        <f>IFERROR(__xludf.DUMMYFUNCTION("""COMPUTED_VALUE"""),45997.22916666667)</f>
        <v>45997.22917</v>
      </c>
      <c r="H2032" s="238">
        <f>IFERROR(__xludf.DUMMYFUNCTION("""COMPUTED_VALUE"""),45997.3125)</f>
        <v>45997.3125</v>
      </c>
      <c r="I2032" s="237" t="str">
        <f t="shared" si="1"/>
        <v>Fora</v>
      </c>
      <c r="J2032" s="239">
        <v>119.99999999301508</v>
      </c>
    </row>
    <row r="2033">
      <c r="A2033" s="234" t="s">
        <v>3724</v>
      </c>
      <c r="B2033" s="234" t="str">
        <f>IFERROR(__xludf.DUMMYFUNCTION("""COMPUTED_VALUE"""),"LM Hub_SP_São Paulo_Mooca")</f>
        <v>LM Hub_SP_São Paulo_Mooca</v>
      </c>
      <c r="C2033" s="234" t="str">
        <f>IFERROR(__xludf.DUMMYFUNCTION("""COMPUTED_VALUE"""),"HUB-LSP-13")</f>
        <v>HUB-LSP-13</v>
      </c>
      <c r="D2033" s="234">
        <f>IFERROR(__xludf.DUMMYFUNCTION("""COMPUTED_VALUE"""),8.0)</f>
        <v>8</v>
      </c>
      <c r="E2033" s="237" t="str">
        <f>IFERROR(__xludf.DUMMYFUNCTION("""COMPUTED_VALUE"""),"LT0PC601TAJ81")</f>
        <v>LT0PC601TAJ81</v>
      </c>
      <c r="F2033" s="238" t="str">
        <f>IFERROR(__xludf.DUMMYFUNCTION("""COMPUTED_VALUE"""),"PEP9J38")</f>
        <v>PEP9J38</v>
      </c>
      <c r="G2033" s="238">
        <f>IFERROR(__xludf.DUMMYFUNCTION("""COMPUTED_VALUE"""),45997.22916666667)</f>
        <v>45997.22917</v>
      </c>
      <c r="H2033" s="238">
        <f>IFERROR(__xludf.DUMMYFUNCTION("""COMPUTED_VALUE"""),45997.3125)</f>
        <v>45997.3125</v>
      </c>
      <c r="I2033" s="237" t="str">
        <f t="shared" si="1"/>
        <v>Fora</v>
      </c>
      <c r="J2033" s="239">
        <v>419.99999998603016</v>
      </c>
    </row>
    <row r="2034">
      <c r="A2034" s="234" t="s">
        <v>3725</v>
      </c>
      <c r="B2034" s="234" t="str">
        <f>IFERROR(__xludf.DUMMYFUNCTION("""COMPUTED_VALUE"""),"SoC_SP_Cravinhos")</f>
        <v>SoC_SP_Cravinhos</v>
      </c>
      <c r="C2034" s="234" t="str">
        <f>IFERROR(__xludf.DUMMYFUNCTION("""COMPUTED_VALUE"""),"SOC-SP5")</f>
        <v>SOC-SP5</v>
      </c>
      <c r="D2034" s="234">
        <f>IFERROR(__xludf.DUMMYFUNCTION("""COMPUTED_VALUE"""),94.0)</f>
        <v>94</v>
      </c>
      <c r="E2034" s="237" t="str">
        <f>IFERROR(__xludf.DUMMYFUNCTION("""COMPUTED_VALUE"""),"LT1PC601TXZ71")</f>
        <v>LT1PC601TXZ71</v>
      </c>
      <c r="F2034" s="238" t="str">
        <f>IFERROR(__xludf.DUMMYFUNCTION("""COMPUTED_VALUE"""),"RDV5D99,ELE4227")</f>
        <v>RDV5D99,ELE4227</v>
      </c>
      <c r="G2034" s="238">
        <f>IFERROR(__xludf.DUMMYFUNCTION("""COMPUTED_VALUE"""),45997.04166666667)</f>
        <v>45997.04167</v>
      </c>
      <c r="H2034" s="238">
        <f>IFERROR(__xludf.DUMMYFUNCTION("""COMPUTED_VALUE"""),45997.33333333333)</f>
        <v>45997.33333</v>
      </c>
      <c r="I2034" s="237" t="str">
        <f t="shared" si="1"/>
        <v>Fora</v>
      </c>
      <c r="J2034" s="239">
        <v>360.0</v>
      </c>
    </row>
    <row r="2035">
      <c r="A2035" s="234" t="s">
        <v>3726</v>
      </c>
      <c r="B2035" s="234" t="str">
        <f>IFERROR(__xludf.DUMMYFUNCTION("""COMPUTED_VALUE"""),"SoC_RJ_Duque de Caxias")</f>
        <v>SoC_RJ_Duque de Caxias</v>
      </c>
      <c r="C2035" s="234" t="str">
        <f>IFERROR(__xludf.DUMMYFUNCTION("""COMPUTED_VALUE"""),"SOC-RJ2")</f>
        <v>SOC-RJ2</v>
      </c>
      <c r="D2035" s="234">
        <f>IFERROR(__xludf.DUMMYFUNCTION("""COMPUTED_VALUE"""),97.0)</f>
        <v>97</v>
      </c>
      <c r="E2035" s="237" t="str">
        <f>IFERROR(__xludf.DUMMYFUNCTION("""COMPUTED_VALUE"""),"LT1PC501TJIU1")</f>
        <v>LT1PC501TJIU1</v>
      </c>
      <c r="F2035" s="238" t="str">
        <f>IFERROR(__xludf.DUMMYFUNCTION("""COMPUTED_VALUE"""),"UFF1E13,QSV1C27")</f>
        <v>UFF1E13,QSV1C27</v>
      </c>
      <c r="G2035" s="238">
        <f>IFERROR(__xludf.DUMMYFUNCTION("""COMPUTED_VALUE"""),45997.10416666667)</f>
        <v>45997.10417</v>
      </c>
      <c r="H2035" s="238">
        <f>IFERROR(__xludf.DUMMYFUNCTION("""COMPUTED_VALUE"""),45997.35416666667)</f>
        <v>45997.35417</v>
      </c>
      <c r="I2035" s="237" t="str">
        <f t="shared" si="1"/>
        <v>Fora</v>
      </c>
      <c r="J2035" s="239">
        <v>420.0000000069849</v>
      </c>
    </row>
    <row r="2036">
      <c r="A2036" s="234" t="s">
        <v>3727</v>
      </c>
      <c r="B2036" s="234" t="str">
        <f>IFERROR(__xludf.DUMMYFUNCTION("""COMPUTED_VALUE"""),"SoC_RJ_Duque de Caxias")</f>
        <v>SoC_RJ_Duque de Caxias</v>
      </c>
      <c r="C2036" s="234" t="str">
        <f>IFERROR(__xludf.DUMMYFUNCTION("""COMPUTED_VALUE"""),"SOC-RJ2")</f>
        <v>SOC-RJ2</v>
      </c>
      <c r="D2036" s="234">
        <f>IFERROR(__xludf.DUMMYFUNCTION("""COMPUTED_VALUE"""),47.0)</f>
        <v>47</v>
      </c>
      <c r="E2036" s="237" t="str">
        <f>IFERROR(__xludf.DUMMYFUNCTION("""COMPUTED_VALUE"""),"LT1PC601TJIN1")</f>
        <v>LT1PC601TJIN1</v>
      </c>
      <c r="F2036" s="238" t="str">
        <f>IFERROR(__xludf.DUMMYFUNCTION("""COMPUTED_VALUE"""),"FFD7D29,JQT3I39")</f>
        <v>FFD7D29,JQT3I39</v>
      </c>
      <c r="G2036" s="238">
        <f>IFERROR(__xludf.DUMMYFUNCTION("""COMPUTED_VALUE"""),45997.14583333333)</f>
        <v>45997.14583</v>
      </c>
      <c r="H2036" s="238">
        <f>IFERROR(__xludf.DUMMYFUNCTION("""COMPUTED_VALUE"""),45997.4375)</f>
        <v>45997.4375</v>
      </c>
      <c r="I2036" s="237" t="str">
        <f t="shared" si="1"/>
        <v>Fora</v>
      </c>
      <c r="J2036" s="239">
        <v>479.9999999930151</v>
      </c>
    </row>
    <row r="2037">
      <c r="A2037" s="234" t="s">
        <v>3728</v>
      </c>
      <c r="B2037" s="234" t="str">
        <f>IFERROR(__xludf.DUMMYFUNCTION("""COMPUTED_VALUE"""),"SoC_RJ_Duque de Caxias")</f>
        <v>SoC_RJ_Duque de Caxias</v>
      </c>
      <c r="C2037" s="234" t="str">
        <f>IFERROR(__xludf.DUMMYFUNCTION("""COMPUTED_VALUE"""),"SOC-RJ2")</f>
        <v>SOC-RJ2</v>
      </c>
      <c r="D2037" s="234">
        <f>IFERROR(__xludf.DUMMYFUNCTION("""COMPUTED_VALUE"""),97.0)</f>
        <v>97</v>
      </c>
      <c r="E2037" s="237" t="str">
        <f>IFERROR(__xludf.DUMMYFUNCTION("""COMPUTED_VALUE"""),"LT1PC601TXZB1")</f>
        <v>LT1PC601TXZB1</v>
      </c>
      <c r="F2037" s="238" t="str">
        <f>IFERROR(__xludf.DUMMYFUNCTION("""COMPUTED_VALUE"""),"RJY4I24,BJR9H62")</f>
        <v>RJY4I24,BJR9H62</v>
      </c>
      <c r="G2037" s="238">
        <f>IFERROR(__xludf.DUMMYFUNCTION("""COMPUTED_VALUE"""),45997.125)</f>
        <v>45997.125</v>
      </c>
      <c r="H2037" s="238">
        <f>IFERROR(__xludf.DUMMYFUNCTION("""COMPUTED_VALUE"""),45997.45833333333)</f>
        <v>45997.45833</v>
      </c>
      <c r="I2037" s="237" t="str">
        <f t="shared" si="1"/>
        <v>Fora</v>
      </c>
      <c r="J2037" s="239">
        <v>479.9999999930151</v>
      </c>
    </row>
    <row r="2038">
      <c r="A2038" s="234" t="s">
        <v>3729</v>
      </c>
      <c r="B2038" s="234" t="str">
        <f>IFERROR(__xludf.DUMMYFUNCTION("""COMPUTED_VALUE"""),"SoC_BA_Simoes Filho")</f>
        <v>SoC_BA_Simoes Filho</v>
      </c>
      <c r="C2038" s="234" t="str">
        <f>IFERROR(__xludf.DUMMYFUNCTION("""COMPUTED_VALUE"""),"SOC-BA2")</f>
        <v>SOC-BA2</v>
      </c>
      <c r="D2038" s="234">
        <f>IFERROR(__xludf.DUMMYFUNCTION("""COMPUTED_VALUE"""),89.0)</f>
        <v>89</v>
      </c>
      <c r="E2038" s="237" t="str">
        <f>IFERROR(__xludf.DUMMYFUNCTION("""COMPUTED_VALUE"""),"LT1PC601TXZN1")</f>
        <v>LT1PC601TXZN1</v>
      </c>
      <c r="F2038" s="238" t="str">
        <f>IFERROR(__xludf.DUMMYFUNCTION("""COMPUTED_VALUE"""),"TAW8J76,SXH1B70")</f>
        <v>TAW8J76,SXH1B70</v>
      </c>
      <c r="G2038" s="238">
        <f>IFERROR(__xludf.DUMMYFUNCTION("""COMPUTED_VALUE"""),45997.16666666667)</f>
        <v>45997.16667</v>
      </c>
      <c r="H2038" s="238">
        <f>IFERROR(__xludf.DUMMYFUNCTION("""COMPUTED_VALUE"""),45997.5)</f>
        <v>45997.5</v>
      </c>
      <c r="I2038" s="237" t="str">
        <f t="shared" si="1"/>
        <v>Fora</v>
      </c>
      <c r="J2038" s="239">
        <v>120.00000001396984</v>
      </c>
    </row>
    <row r="2039">
      <c r="A2039" s="234" t="s">
        <v>3730</v>
      </c>
      <c r="B2039" s="234" t="str">
        <f>IFERROR(__xludf.DUMMYFUNCTION("""COMPUTED_VALUE"""),"SoC_SP_Santana")</f>
        <v>SoC_SP_Santana</v>
      </c>
      <c r="C2039" s="234" t="str">
        <f>IFERROR(__xludf.DUMMYFUNCTION("""COMPUTED_VALUE"""),"SOC-SP2")</f>
        <v>SOC-SP2</v>
      </c>
      <c r="D2039" s="234">
        <f>IFERROR(__xludf.DUMMYFUNCTION("""COMPUTED_VALUE"""),34.0)</f>
        <v>34</v>
      </c>
      <c r="E2039" s="237" t="str">
        <f>IFERROR(__xludf.DUMMYFUNCTION("""COMPUTED_VALUE"""),"LT0PC601TADZ1")</f>
        <v>LT0PC601TADZ1</v>
      </c>
      <c r="F2039" s="238" t="str">
        <f>IFERROR(__xludf.DUMMYFUNCTION("""COMPUTED_VALUE"""),"EFU9C99,IND2879")</f>
        <v>EFU9C99,IND2879</v>
      </c>
      <c r="G2039" s="238">
        <f>IFERROR(__xludf.DUMMYFUNCTION("""COMPUTED_VALUE"""),45997.58333333333)</f>
        <v>45997.58333</v>
      </c>
      <c r="H2039" s="238">
        <f>IFERROR(__xludf.DUMMYFUNCTION("""COMPUTED_VALUE"""),45997.66666666667)</f>
        <v>45997.66667</v>
      </c>
      <c r="I2039" s="237" t="str">
        <f t="shared" si="1"/>
        <v>Fora</v>
      </c>
      <c r="J2039" s="239">
        <v>119.99999999301508</v>
      </c>
    </row>
    <row r="2040">
      <c r="A2040" s="234" t="s">
        <v>3731</v>
      </c>
      <c r="B2040" s="234" t="str">
        <f>IFERROR(__xludf.DUMMYFUNCTION("""COMPUTED_VALUE"""),"SoC_PR_Curitiba")</f>
        <v>SoC_PR_Curitiba</v>
      </c>
      <c r="C2040" s="234" t="str">
        <f>IFERROR(__xludf.DUMMYFUNCTION("""COMPUTED_VALUE"""),"SOC-PR1")</f>
        <v>SOC-PR1</v>
      </c>
      <c r="D2040" s="234">
        <f>IFERROR(__xludf.DUMMYFUNCTION("""COMPUTED_VALUE"""),40.0)</f>
        <v>40</v>
      </c>
      <c r="E2040" s="237" t="str">
        <f>IFERROR(__xludf.DUMMYFUNCTION("""COMPUTED_VALUE"""),"LT1PC601U0X31")</f>
        <v>LT1PC601U0X31</v>
      </c>
      <c r="F2040" s="238" t="str">
        <f>IFERROR(__xludf.DUMMYFUNCTION("""COMPUTED_VALUE"""),"RKZ2H24,MHG2863")</f>
        <v>RKZ2H24,MHG2863</v>
      </c>
      <c r="G2040" s="238">
        <f>IFERROR(__xludf.DUMMYFUNCTION("""COMPUTED_VALUE"""),45997.75)</f>
        <v>45997.75</v>
      </c>
      <c r="H2040" s="238">
        <f>IFERROR(__xludf.DUMMYFUNCTION("""COMPUTED_VALUE"""),45997.83333333333)</f>
        <v>45997.83333</v>
      </c>
      <c r="I2040" s="237" t="str">
        <f t="shared" si="1"/>
        <v>Fora</v>
      </c>
      <c r="J2040" s="239">
        <v>119.99999999301508</v>
      </c>
    </row>
    <row r="2041">
      <c r="A2041" s="234" t="s">
        <v>3732</v>
      </c>
      <c r="B2041" s="234" t="str">
        <f>IFERROR(__xludf.DUMMYFUNCTION("""COMPUTED_VALUE"""),"SoC_SP_Cravinhos")</f>
        <v>SoC_SP_Cravinhos</v>
      </c>
      <c r="C2041" s="234" t="str">
        <f>IFERROR(__xludf.DUMMYFUNCTION("""COMPUTED_VALUE"""),"SOC-SP5")</f>
        <v>SOC-SP5</v>
      </c>
      <c r="D2041" s="234">
        <f>IFERROR(__xludf.DUMMYFUNCTION("""COMPUTED_VALUE"""),94.0)</f>
        <v>94</v>
      </c>
      <c r="E2041" s="237" t="str">
        <f>IFERROR(__xludf.DUMMYFUNCTION("""COMPUTED_VALUE"""),"LT1PC601U1O51")</f>
        <v>LT1PC601U1O51</v>
      </c>
      <c r="F2041" s="238" t="str">
        <f>IFERROR(__xludf.DUMMYFUNCTION("""COMPUTED_VALUE"""),"TBQ8J62,TJQ2H59")</f>
        <v>TBQ8J62,TJQ2H59</v>
      </c>
      <c r="G2041" s="238">
        <f>IFERROR(__xludf.DUMMYFUNCTION("""COMPUTED_VALUE"""),45997.79166666667)</f>
        <v>45997.79167</v>
      </c>
      <c r="H2041" s="238">
        <f>IFERROR(__xludf.DUMMYFUNCTION("""COMPUTED_VALUE"""),45997.875)</f>
        <v>45997.875</v>
      </c>
      <c r="I2041" s="237" t="str">
        <f t="shared" si="1"/>
        <v>Fora</v>
      </c>
      <c r="J2041" s="239">
        <v>60.00000000698492</v>
      </c>
    </row>
    <row r="2042">
      <c r="A2042" s="234" t="s">
        <v>3733</v>
      </c>
      <c r="B2042" s="234" t="str">
        <f>IFERROR(__xludf.DUMMYFUNCTION("""COMPUTED_VALUE"""),"LM Hub_SP_VilaGuilherme")</f>
        <v>LM Hub_SP_VilaGuilherme</v>
      </c>
      <c r="C2042" s="234" t="str">
        <f>IFERROR(__xludf.DUMMYFUNCTION("""COMPUTED_VALUE"""),"HUB-LSP-68")</f>
        <v>HUB-LSP-68</v>
      </c>
      <c r="D2042" s="234">
        <f>IFERROR(__xludf.DUMMYFUNCTION("""COMPUTED_VALUE"""),14.0)</f>
        <v>14</v>
      </c>
      <c r="E2042" s="237" t="str">
        <f>IFERROR(__xludf.DUMMYFUNCTION("""COMPUTED_VALUE"""),"LT1PC601TYHS1")</f>
        <v>LT1PC601TYHS1</v>
      </c>
      <c r="F2042" s="238" t="str">
        <f>IFERROR(__xludf.DUMMYFUNCTION("""COMPUTED_VALUE"""),"TMI8B87")</f>
        <v>TMI8B87</v>
      </c>
      <c r="G2042" s="238">
        <f>IFERROR(__xludf.DUMMYFUNCTION("""COMPUTED_VALUE"""),45997.89583333333)</f>
        <v>45997.89583</v>
      </c>
      <c r="H2042" s="238">
        <f>IFERROR(__xludf.DUMMYFUNCTION("""COMPUTED_VALUE"""),45997.9375)</f>
        <v>45997.9375</v>
      </c>
      <c r="I2042" s="237" t="str">
        <f t="shared" si="1"/>
        <v>Fora</v>
      </c>
      <c r="J2042" s="239">
        <v>119.99999999301508</v>
      </c>
    </row>
    <row r="2043">
      <c r="A2043" s="234" t="s">
        <v>3734</v>
      </c>
      <c r="B2043" s="234" t="str">
        <f>IFERROR(__xludf.DUMMYFUNCTION("""COMPUTED_VALUE"""),"SoC_BA_Simoes Filho")</f>
        <v>SoC_BA_Simoes Filho</v>
      </c>
      <c r="C2043" s="234" t="str">
        <f>IFERROR(__xludf.DUMMYFUNCTION("""COMPUTED_VALUE"""),"SOC-BA2")</f>
        <v>SOC-BA2</v>
      </c>
      <c r="D2043" s="234">
        <f>IFERROR(__xludf.DUMMYFUNCTION("""COMPUTED_VALUE"""),47.0)</f>
        <v>47</v>
      </c>
      <c r="E2043" s="237" t="str">
        <f>IFERROR(__xludf.DUMMYFUNCTION("""COMPUTED_VALUE"""),"LT1PC601U1PO1")</f>
        <v>LT1PC601U1PO1</v>
      </c>
      <c r="F2043" s="238" t="str">
        <f>IFERROR(__xludf.DUMMYFUNCTION("""COMPUTED_VALUE"""),"EMZ2B00,ELQ4160")</f>
        <v>EMZ2B00,ELQ4160</v>
      </c>
      <c r="G2043" s="238">
        <f>IFERROR(__xludf.DUMMYFUNCTION("""COMPUTED_VALUE"""),45997.875)</f>
        <v>45997.875</v>
      </c>
      <c r="H2043" s="238">
        <f>IFERROR(__xludf.DUMMYFUNCTION("""COMPUTED_VALUE"""),45997.95833333333)</f>
        <v>45997.95833</v>
      </c>
      <c r="I2043" s="237" t="str">
        <f t="shared" si="1"/>
        <v>Fora</v>
      </c>
      <c r="J2043" s="239">
        <v>119.99999999301508</v>
      </c>
    </row>
    <row r="2044">
      <c r="A2044" s="234" t="s">
        <v>3735</v>
      </c>
      <c r="B2044" s="234" t="str">
        <f>IFERROR(__xludf.DUMMYFUNCTION("""COMPUTED_VALUE"""),"SoC_SP_Cravinhos")</f>
        <v>SoC_SP_Cravinhos</v>
      </c>
      <c r="C2044" s="234" t="str">
        <f>IFERROR(__xludf.DUMMYFUNCTION("""COMPUTED_VALUE"""),"SOC-SP5")</f>
        <v>SOC-SP5</v>
      </c>
      <c r="D2044" s="234">
        <f>IFERROR(__xludf.DUMMYFUNCTION("""COMPUTED_VALUE"""),12.0)</f>
        <v>12</v>
      </c>
      <c r="E2044" s="237" t="str">
        <f>IFERROR(__xludf.DUMMYFUNCTION("""COMPUTED_VALUE"""),"LT1PC601U1OU1")</f>
        <v>LT1PC601U1OU1</v>
      </c>
      <c r="F2044" s="238" t="str">
        <f>IFERROR(__xludf.DUMMYFUNCTION("""COMPUTED_VALUE"""),"SUO9A93,SVV0G11")</f>
        <v>SUO9A93,SVV0G11</v>
      </c>
      <c r="G2044" s="238">
        <f>IFERROR(__xludf.DUMMYFUNCTION("""COMPUTED_VALUE"""),45997.875)</f>
        <v>45997.875</v>
      </c>
      <c r="H2044" s="238">
        <f>IFERROR(__xludf.DUMMYFUNCTION("""COMPUTED_VALUE"""),45997.95833333333)</f>
        <v>45997.95833</v>
      </c>
      <c r="I2044" s="237" t="str">
        <f t="shared" si="1"/>
        <v>Fora</v>
      </c>
      <c r="J2044" s="239">
        <v>120.00000001396984</v>
      </c>
    </row>
    <row r="2045">
      <c r="A2045" s="234" t="s">
        <v>3736</v>
      </c>
      <c r="B2045" s="234" t="str">
        <f>IFERROR(__xludf.DUMMYFUNCTION("""COMPUTED_VALUE"""),"LM Hub_SP_Itaqua_Zimba")</f>
        <v>LM Hub_SP_Itaqua_Zimba</v>
      </c>
      <c r="C2045" s="234" t="str">
        <f>IFERROR(__xludf.DUMMYFUNCTION("""COMPUTED_VALUE"""),"HUB-LSP-74")</f>
        <v>HUB-LSP-74</v>
      </c>
      <c r="D2045" s="234">
        <f>IFERROR(__xludf.DUMMYFUNCTION("""COMPUTED_VALUE"""),29.0)</f>
        <v>29</v>
      </c>
      <c r="E2045" s="237" t="str">
        <f>IFERROR(__xludf.DUMMYFUNCTION("""COMPUTED_VALUE"""),"LT0PC601T0FI1")</f>
        <v>LT0PC601T0FI1</v>
      </c>
      <c r="F2045" s="238" t="str">
        <f>IFERROR(__xludf.DUMMYFUNCTION("""COMPUTED_VALUE"""),"GDQ4B07,GIJ1E98")</f>
        <v>GDQ4B07,GIJ1E98</v>
      </c>
      <c r="G2045" s="238">
        <f>IFERROR(__xludf.DUMMYFUNCTION("""COMPUTED_VALUE"""),45997.89583333333)</f>
        <v>45997.89583</v>
      </c>
      <c r="H2045" s="238">
        <f>IFERROR(__xludf.DUMMYFUNCTION("""COMPUTED_VALUE"""),45997.97916666667)</f>
        <v>45997.97917</v>
      </c>
      <c r="I2045" s="237" t="str">
        <f t="shared" si="1"/>
        <v>Fora</v>
      </c>
      <c r="J2045" s="239">
        <v>120.00000001396984</v>
      </c>
    </row>
    <row r="2046">
      <c r="A2046" s="234" t="s">
        <v>3737</v>
      </c>
      <c r="B2046" s="234" t="str">
        <f>IFERROR(__xludf.DUMMYFUNCTION("""COMPUTED_VALUE"""),"LM Hub_SP_Mogi das Cruzes_Jund")</f>
        <v>LM Hub_SP_Mogi das Cruzes_Jund</v>
      </c>
      <c r="C2046" s="234" t="str">
        <f>IFERROR(__xludf.DUMMYFUNCTION("""COMPUTED_VALUE"""),"HUB-LSP-78")</f>
        <v>HUB-LSP-78</v>
      </c>
      <c r="D2046" s="234"/>
      <c r="E2046" s="237" t="str">
        <f>IFERROR(__xludf.DUMMYFUNCTION("""COMPUTED_VALUE"""),"LT0PC601T3K81")</f>
        <v>LT0PC601T3K81</v>
      </c>
      <c r="F2046" s="238" t="str">
        <f>IFERROR(__xludf.DUMMYFUNCTION("""COMPUTED_VALUE"""),"-")</f>
        <v>-</v>
      </c>
      <c r="G2046" s="238">
        <f>IFERROR(__xludf.DUMMYFUNCTION("""COMPUTED_VALUE"""),45997.89583333333)</f>
        <v>45997.89583</v>
      </c>
      <c r="H2046" s="238">
        <f>IFERROR(__xludf.DUMMYFUNCTION("""COMPUTED_VALUE"""),45997.97916666667)</f>
        <v>45997.97917</v>
      </c>
      <c r="I2046" s="237" t="str">
        <f t="shared" si="1"/>
        <v>Fora</v>
      </c>
      <c r="J2046" s="239">
        <v>120.00000001396984</v>
      </c>
    </row>
    <row r="2047">
      <c r="A2047" s="234" t="s">
        <v>3738</v>
      </c>
      <c r="B2047" s="234" t="str">
        <f>IFERROR(__xludf.DUMMYFUNCTION("""COMPUTED_VALUE"""),"LM Hub_SP_Santos_Praia Grande")</f>
        <v>LM Hub_SP_Santos_Praia Grande</v>
      </c>
      <c r="C2047" s="234" t="str">
        <f>IFERROR(__xludf.DUMMYFUNCTION("""COMPUTED_VALUE"""),"HUB-LSP-09")</f>
        <v>HUB-LSP-09</v>
      </c>
      <c r="D2047" s="234">
        <f>IFERROR(__xludf.DUMMYFUNCTION("""COMPUTED_VALUE"""),27.0)</f>
        <v>27</v>
      </c>
      <c r="E2047" s="237" t="str">
        <f>IFERROR(__xludf.DUMMYFUNCTION("""COMPUTED_VALUE"""),"LT0PC601T0H91")</f>
        <v>LT0PC601T0H91</v>
      </c>
      <c r="F2047" s="238" t="str">
        <f>IFERROR(__xludf.DUMMYFUNCTION("""COMPUTED_VALUE"""),"DEC3E22,TLJ5B03")</f>
        <v>DEC3E22,TLJ5B03</v>
      </c>
      <c r="G2047" s="238">
        <f>IFERROR(__xludf.DUMMYFUNCTION("""COMPUTED_VALUE"""),45997.89583333333)</f>
        <v>45997.89583</v>
      </c>
      <c r="H2047" s="238">
        <f>IFERROR(__xludf.DUMMYFUNCTION("""COMPUTED_VALUE"""),45997.97916666667)</f>
        <v>45997.97917</v>
      </c>
      <c r="I2047" s="237" t="str">
        <f t="shared" si="1"/>
        <v>Fora</v>
      </c>
      <c r="J2047" s="239">
        <v>120.00000001396984</v>
      </c>
    </row>
    <row r="2048">
      <c r="A2048" s="234" t="s">
        <v>3739</v>
      </c>
      <c r="B2048" s="234" t="str">
        <f>IFERROR(__xludf.DUMMYFUNCTION("""COMPUTED_VALUE"""),"LM Hub_SP_São José dos Campos")</f>
        <v>LM Hub_SP_São José dos Campos</v>
      </c>
      <c r="C2048" s="234" t="str">
        <f>IFERROR(__xludf.DUMMYFUNCTION("""COMPUTED_VALUE"""),"HUB-LSP-04")</f>
        <v>HUB-LSP-04</v>
      </c>
      <c r="D2048" s="234">
        <f>IFERROR(__xludf.DUMMYFUNCTION("""COMPUTED_VALUE"""),23.0)</f>
        <v>23</v>
      </c>
      <c r="E2048" s="237" t="str">
        <f>IFERROR(__xludf.DUMMYFUNCTION("""COMPUTED_VALUE"""),"LT0PC601T0I81")</f>
        <v>LT0PC601T0I81</v>
      </c>
      <c r="F2048" s="238" t="str">
        <f>IFERROR(__xludf.DUMMYFUNCTION("""COMPUTED_VALUE"""),"BZV6J05")</f>
        <v>BZV6J05</v>
      </c>
      <c r="G2048" s="238">
        <f>IFERROR(__xludf.DUMMYFUNCTION("""COMPUTED_VALUE"""),45997.89583333333)</f>
        <v>45997.89583</v>
      </c>
      <c r="H2048" s="238">
        <f>IFERROR(__xludf.DUMMYFUNCTION("""COMPUTED_VALUE"""),45997.97916666667)</f>
        <v>45997.97917</v>
      </c>
      <c r="I2048" s="237" t="str">
        <f t="shared" si="1"/>
        <v>Fora</v>
      </c>
      <c r="J2048" s="239">
        <v>119.00000001071021</v>
      </c>
    </row>
    <row r="2049">
      <c r="A2049" s="234" t="s">
        <v>3740</v>
      </c>
      <c r="B2049" s="234" t="str">
        <f>IFERROR(__xludf.DUMMYFUNCTION("""COMPUTED_VALUE"""),"LM Hub_SP_São Paulo_Lapa")</f>
        <v>LM Hub_SP_São Paulo_Lapa</v>
      </c>
      <c r="C2049" s="234" t="str">
        <f>IFERROR(__xludf.DUMMYFUNCTION("""COMPUTED_VALUE"""),"HUB-LSP-15")</f>
        <v>HUB-LSP-15</v>
      </c>
      <c r="D2049" s="234">
        <f>IFERROR(__xludf.DUMMYFUNCTION("""COMPUTED_VALUE"""),12.0)</f>
        <v>12</v>
      </c>
      <c r="E2049" s="237" t="str">
        <f>IFERROR(__xludf.DUMMYFUNCTION("""COMPUTED_VALUE"""),"LT0PC601T0E71")</f>
        <v>LT0PC601T0E71</v>
      </c>
      <c r="F2049" s="238" t="str">
        <f>IFERROR(__xludf.DUMMYFUNCTION("""COMPUTED_VALUE"""),"CUA8366,BWS2717")</f>
        <v>CUA8366,BWS2717</v>
      </c>
      <c r="G2049" s="238">
        <f>IFERROR(__xludf.DUMMYFUNCTION("""COMPUTED_VALUE"""),45997.896527777775)</f>
        <v>45997.89653</v>
      </c>
      <c r="H2049" s="238">
        <f>IFERROR(__xludf.DUMMYFUNCTION("""COMPUTED_VALUE"""),45997.97916666667)</f>
        <v>45997.97917</v>
      </c>
      <c r="I2049" s="237" t="str">
        <f t="shared" si="1"/>
        <v>Fora</v>
      </c>
      <c r="J2049" s="239">
        <v>118.00000000745058</v>
      </c>
    </row>
    <row r="2050">
      <c r="A2050" s="234" t="s">
        <v>3741</v>
      </c>
      <c r="B2050" s="234" t="str">
        <f>IFERROR(__xludf.DUMMYFUNCTION("""COMPUTED_VALUE"""),"LM Hub_SP_São José dos Campos")</f>
        <v>LM Hub_SP_São José dos Campos</v>
      </c>
      <c r="C2050" s="234" t="str">
        <f>IFERROR(__xludf.DUMMYFUNCTION("""COMPUTED_VALUE"""),"HUB-LSP-04")</f>
        <v>HUB-LSP-04</v>
      </c>
      <c r="D2050" s="234">
        <f>IFERROR(__xludf.DUMMYFUNCTION("""COMPUTED_VALUE"""),26.0)</f>
        <v>26</v>
      </c>
      <c r="E2050" s="237" t="str">
        <f>IFERROR(__xludf.DUMMYFUNCTION("""COMPUTED_VALUE"""),"LT0PC601T0ID1")</f>
        <v>LT0PC601T0ID1</v>
      </c>
      <c r="F2050" s="238" t="str">
        <f>IFERROR(__xludf.DUMMYFUNCTION("""COMPUTED_VALUE"""),"PCW9A46")</f>
        <v>PCW9A46</v>
      </c>
      <c r="G2050" s="238">
        <f>IFERROR(__xludf.DUMMYFUNCTION("""COMPUTED_VALUE"""),45997.89722222222)</f>
        <v>45997.89722</v>
      </c>
      <c r="H2050" s="238">
        <f>IFERROR(__xludf.DUMMYFUNCTION("""COMPUTED_VALUE"""),45997.97916666667)</f>
        <v>45997.97917</v>
      </c>
      <c r="I2050" s="237" t="str">
        <f t="shared" si="1"/>
        <v>Fora</v>
      </c>
      <c r="J2050" s="239">
        <v>117.9999999969732</v>
      </c>
    </row>
    <row r="2051">
      <c r="A2051" s="234" t="s">
        <v>3742</v>
      </c>
      <c r="B2051" s="234" t="str">
        <f>IFERROR(__xludf.DUMMYFUNCTION("""COMPUTED_VALUE"""),"LM Hub_SP_Guarujá")</f>
        <v>LM Hub_SP_Guarujá</v>
      </c>
      <c r="C2051" s="234" t="str">
        <f>IFERROR(__xludf.DUMMYFUNCTION("""COMPUTED_VALUE"""),"HUB-LSP-06")</f>
        <v>HUB-LSP-06</v>
      </c>
      <c r="D2051" s="234">
        <f>IFERROR(__xludf.DUMMYFUNCTION("""COMPUTED_VALUE"""),7.0)</f>
        <v>7</v>
      </c>
      <c r="E2051" s="237" t="str">
        <f>IFERROR(__xludf.DUMMYFUNCTION("""COMPUTED_VALUE"""),"LT0PC601TA9X1")</f>
        <v>LT0PC601TA9X1</v>
      </c>
      <c r="F2051" s="238" t="str">
        <f>IFERROR(__xludf.DUMMYFUNCTION("""COMPUTED_VALUE"""),"PQV0E87")</f>
        <v>PQV0E87</v>
      </c>
      <c r="G2051" s="238">
        <f>IFERROR(__xludf.DUMMYFUNCTION("""COMPUTED_VALUE"""),45997.91736111111)</f>
        <v>45997.91736</v>
      </c>
      <c r="H2051" s="238">
        <f>IFERROR(__xludf.DUMMYFUNCTION("""COMPUTED_VALUE"""),45997.99930555555)</f>
        <v>45997.99931</v>
      </c>
      <c r="I2051" s="237" t="str">
        <f t="shared" si="1"/>
        <v>Fora</v>
      </c>
      <c r="J2051" s="239">
        <v>119.99999999301508</v>
      </c>
    </row>
    <row r="2052">
      <c r="A2052" s="234" t="s">
        <v>3743</v>
      </c>
      <c r="B2052" s="234" t="str">
        <f>IFERROR(__xludf.DUMMYFUNCTION("""COMPUTED_VALUE"""),"LM Hub_SP_Barueri_01")</f>
        <v>LM Hub_SP_Barueri_01</v>
      </c>
      <c r="C2052" s="234" t="str">
        <f>IFERROR(__xludf.DUMMYFUNCTION("""COMPUTED_VALUE"""),"HUB-LSP-81")</f>
        <v>HUB-LSP-81</v>
      </c>
      <c r="D2052" s="234">
        <f>IFERROR(__xludf.DUMMYFUNCTION("""COMPUTED_VALUE"""),9.0)</f>
        <v>9</v>
      </c>
      <c r="E2052" s="237" t="str">
        <f>IFERROR(__xludf.DUMMYFUNCTION("""COMPUTED_VALUE"""),"LT0PC601T6611")</f>
        <v>LT0PC601T6611</v>
      </c>
      <c r="F2052" s="238" t="str">
        <f>IFERROR(__xludf.DUMMYFUNCTION("""COMPUTED_VALUE"""),"EKH0I75")</f>
        <v>EKH0I75</v>
      </c>
      <c r="G2052" s="238">
        <f>IFERROR(__xludf.DUMMYFUNCTION("""COMPUTED_VALUE"""),45997.91666666667)</f>
        <v>45997.91667</v>
      </c>
      <c r="H2052" s="238">
        <f>IFERROR(__xludf.DUMMYFUNCTION("""COMPUTED_VALUE"""),45998.0)</f>
        <v>45998</v>
      </c>
      <c r="I2052" s="237" t="str">
        <f t="shared" si="1"/>
        <v>Fora</v>
      </c>
      <c r="J2052" s="239">
        <v>119.99999999301508</v>
      </c>
    </row>
    <row r="2053">
      <c r="A2053" s="234" t="s">
        <v>3744</v>
      </c>
      <c r="B2053" s="234" t="str">
        <f>IFERROR(__xludf.DUMMYFUNCTION("""COMPUTED_VALUE"""),"LM Hub_SP_Guarulhos")</f>
        <v>LM Hub_SP_Guarulhos</v>
      </c>
      <c r="C2053" s="234" t="str">
        <f>IFERROR(__xludf.DUMMYFUNCTION("""COMPUTED_VALUE"""),"HUB-LSP-77")</f>
        <v>HUB-LSP-77</v>
      </c>
      <c r="D2053" s="234">
        <f>IFERROR(__xludf.DUMMYFUNCTION("""COMPUTED_VALUE"""),21.0)</f>
        <v>21</v>
      </c>
      <c r="E2053" s="237" t="str">
        <f>IFERROR(__xludf.DUMMYFUNCTION("""COMPUTED_VALUE"""),"LT0PC601T15S1")</f>
        <v>LT0PC601T15S1</v>
      </c>
      <c r="F2053" s="238" t="str">
        <f>IFERROR(__xludf.DUMMYFUNCTION("""COMPUTED_VALUE"""),"AOB9084,ATI9J35")</f>
        <v>AOB9084,ATI9J35</v>
      </c>
      <c r="G2053" s="238">
        <f>IFERROR(__xludf.DUMMYFUNCTION("""COMPUTED_VALUE"""),45997.91666666667)</f>
        <v>45997.91667</v>
      </c>
      <c r="H2053" s="238">
        <f>IFERROR(__xludf.DUMMYFUNCTION("""COMPUTED_VALUE"""),45998.0)</f>
        <v>45998</v>
      </c>
      <c r="I2053" s="237" t="str">
        <f t="shared" si="1"/>
        <v>Fora</v>
      </c>
      <c r="J2053" s="239">
        <v>119.99999999301508</v>
      </c>
    </row>
    <row r="2054">
      <c r="A2054" s="234" t="s">
        <v>3745</v>
      </c>
      <c r="B2054" s="234" t="str">
        <f>IFERROR(__xludf.DUMMYFUNCTION("""COMPUTED_VALUE"""),"LM Hub_SP_Mauá")</f>
        <v>LM Hub_SP_Mauá</v>
      </c>
      <c r="C2054" s="234" t="str">
        <f>IFERROR(__xludf.DUMMYFUNCTION("""COMPUTED_VALUE"""),"HUB-LSP-64")</f>
        <v>HUB-LSP-64</v>
      </c>
      <c r="D2054" s="234">
        <f>IFERROR(__xludf.DUMMYFUNCTION("""COMPUTED_VALUE"""),8.0)</f>
        <v>8</v>
      </c>
      <c r="E2054" s="237" t="str">
        <f>IFERROR(__xludf.DUMMYFUNCTION("""COMPUTED_VALUE"""),"LT0PC601T0FB1")</f>
        <v>LT0PC601T0FB1</v>
      </c>
      <c r="F2054" s="238" t="str">
        <f>IFERROR(__xludf.DUMMYFUNCTION("""COMPUTED_VALUE"""),"FQF6B98")</f>
        <v>FQF6B98</v>
      </c>
      <c r="G2054" s="238">
        <f>IFERROR(__xludf.DUMMYFUNCTION("""COMPUTED_VALUE"""),45997.91666666667)</f>
        <v>45997.91667</v>
      </c>
      <c r="H2054" s="238">
        <f>IFERROR(__xludf.DUMMYFUNCTION("""COMPUTED_VALUE"""),45998.0)</f>
        <v>45998</v>
      </c>
      <c r="I2054" s="237" t="str">
        <f t="shared" si="1"/>
        <v>Fora</v>
      </c>
      <c r="J2054" s="239">
        <v>119.99999999301508</v>
      </c>
    </row>
    <row r="2055">
      <c r="A2055" s="234" t="s">
        <v>3746</v>
      </c>
      <c r="B2055" s="234" t="str">
        <f>IFERROR(__xludf.DUMMYFUNCTION("""COMPUTED_VALUE"""),"SoC_RS_Gravataí_02")</f>
        <v>SoC_RS_Gravataí_02</v>
      </c>
      <c r="C2055" s="234" t="str">
        <f>IFERROR(__xludf.DUMMYFUNCTION("""COMPUTED_VALUE"""),"SOC-RS2")</f>
        <v>SOC-RS2</v>
      </c>
      <c r="D2055" s="234">
        <f>IFERROR(__xludf.DUMMYFUNCTION("""COMPUTED_VALUE"""),19.0)</f>
        <v>19</v>
      </c>
      <c r="E2055" s="237" t="str">
        <f>IFERROR(__xludf.DUMMYFUNCTION("""COMPUTED_VALUE"""),"LT1PC601TYIW1")</f>
        <v>LT1PC601TYIW1</v>
      </c>
      <c r="F2055" s="238" t="str">
        <f>IFERROR(__xludf.DUMMYFUNCTION("""COMPUTED_VALUE"""),"RYV2H39,SXH6B60")</f>
        <v>RYV2H39,SXH6B60</v>
      </c>
      <c r="G2055" s="238">
        <f>IFERROR(__xludf.DUMMYFUNCTION("""COMPUTED_VALUE"""),45997.91666666667)</f>
        <v>45997.91667</v>
      </c>
      <c r="H2055" s="238">
        <f>IFERROR(__xludf.DUMMYFUNCTION("""COMPUTED_VALUE"""),45998.0)</f>
        <v>45998</v>
      </c>
      <c r="I2055" s="237" t="str">
        <f t="shared" si="1"/>
        <v>Fora</v>
      </c>
      <c r="J2055" s="239">
        <v>119.99999999301508</v>
      </c>
    </row>
    <row r="2056">
      <c r="A2056" s="234" t="s">
        <v>3747</v>
      </c>
      <c r="B2056" s="234" t="str">
        <f>IFERROR(__xludf.DUMMYFUNCTION("""COMPUTED_VALUE"""),"LM Hub_SP_Jardim Adriana")</f>
        <v>LM Hub_SP_Jardim Adriana</v>
      </c>
      <c r="C2056" s="234" t="str">
        <f>IFERROR(__xludf.DUMMYFUNCTION("""COMPUTED_VALUE"""),"HUB-LSP-12")</f>
        <v>HUB-LSP-12</v>
      </c>
      <c r="D2056" s="234">
        <f>IFERROR(__xludf.DUMMYFUNCTION("""COMPUTED_VALUE"""),6.0)</f>
        <v>6</v>
      </c>
      <c r="E2056" s="237" t="str">
        <f>IFERROR(__xludf.DUMMYFUNCTION("""COMPUTED_VALUE"""),"LT0PC601T0E01")</f>
        <v>LT0PC601T0E01</v>
      </c>
      <c r="F2056" s="238" t="str">
        <f>IFERROR(__xludf.DUMMYFUNCTION("""COMPUTED_VALUE"""),"OHQ3D06")</f>
        <v>OHQ3D06</v>
      </c>
      <c r="G2056" s="238">
        <f>IFERROR(__xludf.DUMMYFUNCTION("""COMPUTED_VALUE"""),45997.9375)</f>
        <v>45997.9375</v>
      </c>
      <c r="H2056" s="238">
        <f>IFERROR(__xludf.DUMMYFUNCTION("""COMPUTED_VALUE"""),45998.02083333333)</f>
        <v>45998.02083</v>
      </c>
      <c r="I2056" s="237" t="str">
        <f t="shared" si="1"/>
        <v>Fora</v>
      </c>
      <c r="J2056" s="239">
        <v>119.99999999301508</v>
      </c>
    </row>
    <row r="2057">
      <c r="A2057" s="234" t="s">
        <v>3748</v>
      </c>
      <c r="B2057" s="234" t="str">
        <f>IFERROR(__xludf.DUMMYFUNCTION("""COMPUTED_VALUE"""),"LM Hub_SP_Piracicaba")</f>
        <v>LM Hub_SP_Piracicaba</v>
      </c>
      <c r="C2057" s="234" t="str">
        <f>IFERROR(__xludf.DUMMYFUNCTION("""COMPUTED_VALUE"""),"HUB-LSP-62")</f>
        <v>HUB-LSP-62</v>
      </c>
      <c r="D2057" s="234">
        <f>IFERROR(__xludf.DUMMYFUNCTION("""COMPUTED_VALUE"""),28.0)</f>
        <v>28</v>
      </c>
      <c r="E2057" s="237" t="str">
        <f>IFERROR(__xludf.DUMMYFUNCTION("""COMPUTED_VALUE"""),"LT0PC601T15Z1")</f>
        <v>LT0PC601T15Z1</v>
      </c>
      <c r="F2057" s="238" t="str">
        <f>IFERROR(__xludf.DUMMYFUNCTION("""COMPUTED_VALUE"""),"EOF4D32")</f>
        <v>EOF4D32</v>
      </c>
      <c r="G2057" s="238">
        <f>IFERROR(__xludf.DUMMYFUNCTION("""COMPUTED_VALUE"""),45997.9375)</f>
        <v>45997.9375</v>
      </c>
      <c r="H2057" s="238">
        <f>IFERROR(__xludf.DUMMYFUNCTION("""COMPUTED_VALUE"""),45998.02083333333)</f>
        <v>45998.02083</v>
      </c>
      <c r="I2057" s="237" t="str">
        <f t="shared" si="1"/>
        <v>Fora</v>
      </c>
      <c r="J2057" s="239">
        <v>118.99999998975545</v>
      </c>
    </row>
    <row r="2058">
      <c r="A2058" s="234" t="s">
        <v>3749</v>
      </c>
      <c r="B2058" s="234" t="str">
        <f>IFERROR(__xludf.DUMMYFUNCTION("""COMPUTED_VALUE"""),"LM Hub_SP_Parque Novo Mundo")</f>
        <v>LM Hub_SP_Parque Novo Mundo</v>
      </c>
      <c r="C2058" s="234" t="str">
        <f>IFERROR(__xludf.DUMMYFUNCTION("""COMPUTED_VALUE"""),"HUB-LSP-89")</f>
        <v>HUB-LSP-89</v>
      </c>
      <c r="D2058" s="234">
        <f>IFERROR(__xludf.DUMMYFUNCTION("""COMPUTED_VALUE"""),32.0)</f>
        <v>32</v>
      </c>
      <c r="E2058" s="237" t="str">
        <f>IFERROR(__xludf.DUMMYFUNCTION("""COMPUTED_VALUE"""),"LT0PC601TAHS1")</f>
        <v>LT0PC601TAHS1</v>
      </c>
      <c r="F2058" s="238" t="str">
        <f>IFERROR(__xludf.DUMMYFUNCTION("""COMPUTED_VALUE"""),"FNK8E47,FAM1829")</f>
        <v>FNK8E47,FAM1829</v>
      </c>
      <c r="G2058" s="238">
        <f>IFERROR(__xludf.DUMMYFUNCTION("""COMPUTED_VALUE"""),45997.93819444445)</f>
        <v>45997.93819</v>
      </c>
      <c r="H2058" s="238">
        <f>IFERROR(__xludf.DUMMYFUNCTION("""COMPUTED_VALUE"""),45998.02083333333)</f>
        <v>45998.02083</v>
      </c>
      <c r="I2058" s="237" t="str">
        <f t="shared" si="1"/>
        <v>Fora</v>
      </c>
      <c r="J2058" s="239">
        <v>118.99999998975545</v>
      </c>
    </row>
    <row r="2059">
      <c r="A2059" s="234" t="s">
        <v>3750</v>
      </c>
      <c r="B2059" s="234" t="str">
        <f>IFERROR(__xludf.DUMMYFUNCTION("""COMPUTED_VALUE"""),"LM Hub_SP_VilaGuilherme")</f>
        <v>LM Hub_SP_VilaGuilherme</v>
      </c>
      <c r="C2059" s="234" t="str">
        <f>IFERROR(__xludf.DUMMYFUNCTION("""COMPUTED_VALUE"""),"HUB-LSP-68")</f>
        <v>HUB-LSP-68</v>
      </c>
      <c r="D2059" s="234"/>
      <c r="E2059" s="237" t="str">
        <f>IFERROR(__xludf.DUMMYFUNCTION("""COMPUTED_VALUE"""),"LT0PC601TA9R1")</f>
        <v>LT0PC601TA9R1</v>
      </c>
      <c r="F2059" s="238" t="str">
        <f>IFERROR(__xludf.DUMMYFUNCTION("""COMPUTED_VALUE"""),"HFD4H27")</f>
        <v>HFD4H27</v>
      </c>
      <c r="G2059" s="238">
        <f>IFERROR(__xludf.DUMMYFUNCTION("""COMPUTED_VALUE"""),45997.93819444445)</f>
        <v>45997.93819</v>
      </c>
      <c r="H2059" s="238">
        <f>IFERROR(__xludf.DUMMYFUNCTION("""COMPUTED_VALUE"""),45998.02083333333)</f>
        <v>45998.02083</v>
      </c>
      <c r="I2059" s="237" t="str">
        <f t="shared" si="1"/>
        <v>Fora</v>
      </c>
      <c r="J2059" s="239">
        <v>120.00000001396984</v>
      </c>
    </row>
    <row r="2060">
      <c r="A2060" s="234" t="s">
        <v>3751</v>
      </c>
      <c r="B2060" s="234" t="str">
        <f>IFERROR(__xludf.DUMMYFUNCTION("""COMPUTED_VALUE"""),"SoC_MG_Betim")</f>
        <v>SoC_MG_Betim</v>
      </c>
      <c r="C2060" s="234" t="str">
        <f>IFERROR(__xludf.DUMMYFUNCTION("""COMPUTED_VALUE"""),"SOC-MG2")</f>
        <v>SOC-MG2</v>
      </c>
      <c r="D2060" s="234">
        <f>IFERROR(__xludf.DUMMYFUNCTION("""COMPUTED_VALUE"""),9.0)</f>
        <v>9</v>
      </c>
      <c r="E2060" s="237" t="str">
        <f>IFERROR(__xludf.DUMMYFUNCTION("""COMPUTED_VALUE"""),"LT1PC601U1CY1")</f>
        <v>LT1PC601U1CY1</v>
      </c>
      <c r="F2060" s="238" t="str">
        <f>IFERROR(__xludf.DUMMYFUNCTION("""COMPUTED_VALUE"""),"CCU2E08,HLQ6A70")</f>
        <v>CCU2E08,HLQ6A70</v>
      </c>
      <c r="G2060" s="238">
        <f>IFERROR(__xludf.DUMMYFUNCTION("""COMPUTED_VALUE"""),45997.95833333333)</f>
        <v>45997.95833</v>
      </c>
      <c r="H2060" s="238">
        <f>IFERROR(__xludf.DUMMYFUNCTION("""COMPUTED_VALUE"""),45998.04166666667)</f>
        <v>45998.04167</v>
      </c>
      <c r="I2060" s="237" t="str">
        <f t="shared" si="1"/>
        <v>Fora</v>
      </c>
      <c r="J2060" s="239">
        <v>119.99999999301508</v>
      </c>
    </row>
    <row r="2061">
      <c r="A2061" s="234" t="s">
        <v>3752</v>
      </c>
      <c r="B2061" s="234" t="str">
        <f>IFERROR(__xludf.DUMMYFUNCTION("""COMPUTED_VALUE"""),"LM Hub_SP_Araraquara")</f>
        <v>LM Hub_SP_Araraquara</v>
      </c>
      <c r="C2061" s="234" t="str">
        <f>IFERROR(__xludf.DUMMYFUNCTION("""COMPUTED_VALUE"""),"HUB-LSP-29")</f>
        <v>HUB-LSP-29</v>
      </c>
      <c r="D2061" s="234">
        <f>IFERROR(__xludf.DUMMYFUNCTION("""COMPUTED_VALUE"""),44.0)</f>
        <v>44</v>
      </c>
      <c r="E2061" s="237" t="str">
        <f>IFERROR(__xludf.DUMMYFUNCTION("""COMPUTED_VALUE"""),"LT0PC601T0J01")</f>
        <v>LT0PC601T0J01</v>
      </c>
      <c r="F2061" s="238" t="str">
        <f>IFERROR(__xludf.DUMMYFUNCTION("""COMPUTED_VALUE"""),"EWJ2H21")</f>
        <v>EWJ2H21</v>
      </c>
      <c r="G2061" s="238">
        <f>IFERROR(__xludf.DUMMYFUNCTION("""COMPUTED_VALUE"""),45997.97916666667)</f>
        <v>45997.97917</v>
      </c>
      <c r="H2061" s="238">
        <f>IFERROR(__xludf.DUMMYFUNCTION("""COMPUTED_VALUE"""),45998.0625)</f>
        <v>45998.0625</v>
      </c>
      <c r="I2061" s="237" t="str">
        <f t="shared" si="1"/>
        <v>Fora</v>
      </c>
      <c r="J2061" s="239">
        <v>120.00000001396984</v>
      </c>
    </row>
    <row r="2062">
      <c r="A2062" s="234" t="s">
        <v>3753</v>
      </c>
      <c r="B2062" s="234" t="str">
        <f>IFERROR(__xludf.DUMMYFUNCTION("""COMPUTED_VALUE"""),"SoC_GO_Goiânia_02")</f>
        <v>SoC_GO_Goiânia_02</v>
      </c>
      <c r="C2062" s="234" t="str">
        <f>IFERROR(__xludf.DUMMYFUNCTION("""COMPUTED_VALUE"""),"SOC-GO2")</f>
        <v>SOC-GO2</v>
      </c>
      <c r="D2062" s="234">
        <f>IFERROR(__xludf.DUMMYFUNCTION("""COMPUTED_VALUE"""),87.0)</f>
        <v>87</v>
      </c>
      <c r="E2062" s="237" t="str">
        <f>IFERROR(__xludf.DUMMYFUNCTION("""COMPUTED_VALUE"""),"LT1PC701U1Q81")</f>
        <v>LT1PC701U1Q81</v>
      </c>
      <c r="F2062" s="238" t="str">
        <f>IFERROR(__xludf.DUMMYFUNCTION("""COMPUTED_VALUE"""),"FZC6A93,EMT8F62")</f>
        <v>FZC6A93,EMT8F62</v>
      </c>
      <c r="G2062" s="238">
        <f>IFERROR(__xludf.DUMMYFUNCTION("""COMPUTED_VALUE"""),45998.08333333333)</f>
        <v>45998.08333</v>
      </c>
      <c r="H2062" s="238">
        <f>IFERROR(__xludf.DUMMYFUNCTION("""COMPUTED_VALUE"""),45998.16666666667)</f>
        <v>45998.16667</v>
      </c>
      <c r="I2062" s="237" t="str">
        <f t="shared" si="1"/>
        <v>Fora</v>
      </c>
      <c r="J2062" s="239">
        <v>299.9999999930151</v>
      </c>
    </row>
    <row r="2063">
      <c r="A2063" s="234" t="s">
        <v>3754</v>
      </c>
      <c r="B2063" s="234" t="str">
        <f>IFERROR(__xludf.DUMMYFUNCTION("""COMPUTED_VALUE"""),"SoC_PE_Jaboatão dos Guararapes")</f>
        <v>SoC_PE_Jaboatão dos Guararapes</v>
      </c>
      <c r="C2063" s="234" t="str">
        <f>IFERROR(__xludf.DUMMYFUNCTION("""COMPUTED_VALUE"""),"SOC-PE2")</f>
        <v>SOC-PE2</v>
      </c>
      <c r="D2063" s="234">
        <f>IFERROR(__xludf.DUMMYFUNCTION("""COMPUTED_VALUE"""),26.0)</f>
        <v>26</v>
      </c>
      <c r="E2063" s="237" t="str">
        <f>IFERROR(__xludf.DUMMYFUNCTION("""COMPUTED_VALUE"""),"LT0PC701T6FK1")</f>
        <v>LT0PC701T6FK1</v>
      </c>
      <c r="F2063" s="238" t="str">
        <f>IFERROR(__xludf.DUMMYFUNCTION("""COMPUTED_VALUE"""),"NRW8I24,OOD2A72")</f>
        <v>NRW8I24,OOD2A72</v>
      </c>
      <c r="G2063" s="238">
        <f>IFERROR(__xludf.DUMMYFUNCTION("""COMPUTED_VALUE"""),45998.04166666667)</f>
        <v>45998.04167</v>
      </c>
      <c r="H2063" s="238">
        <f>IFERROR(__xludf.DUMMYFUNCTION("""COMPUTED_VALUE"""),45998.25)</f>
        <v>45998.25</v>
      </c>
      <c r="I2063" s="237" t="str">
        <f t="shared" si="1"/>
        <v>Fora</v>
      </c>
      <c r="J2063" s="239">
        <v>119.99999999301508</v>
      </c>
    </row>
    <row r="2064">
      <c r="A2064" s="234" t="s">
        <v>3755</v>
      </c>
      <c r="B2064" s="234" t="str">
        <f>IFERROR(__xludf.DUMMYFUNCTION("""COMPUTED_VALUE"""),"SoC_RS_Gravataí_02")</f>
        <v>SoC_RS_Gravataí_02</v>
      </c>
      <c r="C2064" s="234" t="str">
        <f>IFERROR(__xludf.DUMMYFUNCTION("""COMPUTED_VALUE"""),"SOC-RS2")</f>
        <v>SOC-RS2</v>
      </c>
      <c r="D2064" s="234">
        <f>IFERROR(__xludf.DUMMYFUNCTION("""COMPUTED_VALUE"""),22.0)</f>
        <v>22</v>
      </c>
      <c r="E2064" s="237" t="str">
        <f>IFERROR(__xludf.DUMMYFUNCTION("""COMPUTED_VALUE"""),"LT1PC701U1JX1")</f>
        <v>LT1PC701U1JX1</v>
      </c>
      <c r="F2064" s="238" t="str">
        <f>IFERROR(__xludf.DUMMYFUNCTION("""COMPUTED_VALUE"""),"CKU3I23,DPL2H51")</f>
        <v>CKU3I23,DPL2H51</v>
      </c>
      <c r="G2064" s="238">
        <f>IFERROR(__xludf.DUMMYFUNCTION("""COMPUTED_VALUE"""),45998.16666666667)</f>
        <v>45998.16667</v>
      </c>
      <c r="H2064" s="238">
        <f>IFERROR(__xludf.DUMMYFUNCTION("""COMPUTED_VALUE"""),45998.25)</f>
        <v>45998.25</v>
      </c>
      <c r="I2064" s="237" t="str">
        <f t="shared" si="1"/>
        <v>Fora</v>
      </c>
      <c r="J2064" s="239">
        <v>540.0</v>
      </c>
    </row>
    <row r="2065">
      <c r="A2065" s="234" t="s">
        <v>3756</v>
      </c>
      <c r="B2065" s="234" t="str">
        <f>IFERROR(__xludf.DUMMYFUNCTION("""COMPUTED_VALUE"""),"SoC_RJ_Duque de Caxias")</f>
        <v>SoC_RJ_Duque de Caxias</v>
      </c>
      <c r="C2065" s="234" t="str">
        <f>IFERROR(__xludf.DUMMYFUNCTION("""COMPUTED_VALUE"""),"SOC-RJ2")</f>
        <v>SOC-RJ2</v>
      </c>
      <c r="D2065" s="234">
        <f>IFERROR(__xludf.DUMMYFUNCTION("""COMPUTED_VALUE"""),48.0)</f>
        <v>48</v>
      </c>
      <c r="E2065" s="237" t="str">
        <f>IFERROR(__xludf.DUMMYFUNCTION("""COMPUTED_VALUE"""),"LT0PC601T2RT1")</f>
        <v>LT0PC601T2RT1</v>
      </c>
      <c r="F2065" s="238" t="str">
        <f>IFERROR(__xludf.DUMMYFUNCTION("""COMPUTED_VALUE"""),"TIV8C68,ADI9G66")</f>
        <v>TIV8C68,ADI9G66</v>
      </c>
      <c r="G2065" s="238">
        <f>IFERROR(__xludf.DUMMYFUNCTION("""COMPUTED_VALUE"""),45997.91666666667)</f>
        <v>45997.91667</v>
      </c>
      <c r="H2065" s="238">
        <f>IFERROR(__xludf.DUMMYFUNCTION("""COMPUTED_VALUE"""),45998.29166666667)</f>
        <v>45998.29167</v>
      </c>
      <c r="I2065" s="237" t="str">
        <f t="shared" si="1"/>
        <v>Fora</v>
      </c>
      <c r="J2065" s="239">
        <v>540.0</v>
      </c>
    </row>
    <row r="2066">
      <c r="A2066" s="234" t="s">
        <v>3757</v>
      </c>
      <c r="B2066" s="234" t="str">
        <f>IFERROR(__xludf.DUMMYFUNCTION("""COMPUTED_VALUE"""),"SoC_RJ_Duque de Caxias")</f>
        <v>SoC_RJ_Duque de Caxias</v>
      </c>
      <c r="C2066" s="234" t="str">
        <f>IFERROR(__xludf.DUMMYFUNCTION("""COMPUTED_VALUE"""),"SOC-RJ2")</f>
        <v>SOC-RJ2</v>
      </c>
      <c r="D2066" s="234">
        <f>IFERROR(__xludf.DUMMYFUNCTION("""COMPUTED_VALUE"""),96.0)</f>
        <v>96</v>
      </c>
      <c r="E2066" s="237" t="str">
        <f>IFERROR(__xludf.DUMMYFUNCTION("""COMPUTED_VALUE"""),"LT0PC601T2RV2")</f>
        <v>LT0PC601T2RV2</v>
      </c>
      <c r="F2066" s="238" t="str">
        <f>IFERROR(__xludf.DUMMYFUNCTION("""COMPUTED_VALUE"""),"FYC5A56,FFN6D90")</f>
        <v>FYC5A56,FFN6D90</v>
      </c>
      <c r="G2066" s="238">
        <f>IFERROR(__xludf.DUMMYFUNCTION("""COMPUTED_VALUE"""),45997.91666666667)</f>
        <v>45997.91667</v>
      </c>
      <c r="H2066" s="238">
        <f>IFERROR(__xludf.DUMMYFUNCTION("""COMPUTED_VALUE"""),45998.29166666667)</f>
        <v>45998.29167</v>
      </c>
      <c r="I2066" s="237" t="str">
        <f t="shared" si="1"/>
        <v>Fora</v>
      </c>
      <c r="J2066" s="239">
        <v>539.0000000072177</v>
      </c>
    </row>
    <row r="2067">
      <c r="A2067" s="234" t="s">
        <v>3758</v>
      </c>
      <c r="B2067" s="234" t="str">
        <f>IFERROR(__xludf.DUMMYFUNCTION("""COMPUTED_VALUE"""),"SoC_BA_Simoes Filho")</f>
        <v>SoC_BA_Simoes Filho</v>
      </c>
      <c r="C2067" s="234" t="str">
        <f>IFERROR(__xludf.DUMMYFUNCTION("""COMPUTED_VALUE"""),"SOC-BA2")</f>
        <v>SOC-BA2</v>
      </c>
      <c r="D2067" s="234"/>
      <c r="E2067" s="237" t="str">
        <f>IFERROR(__xludf.DUMMYFUNCTION("""COMPUTED_VALUE"""),"LT0PC601T6KA3")</f>
        <v>LT0PC601T6KA3</v>
      </c>
      <c r="F2067" s="238" t="str">
        <f>IFERROR(__xludf.DUMMYFUNCTION("""COMPUTED_VALUE"""),"-")</f>
        <v>-</v>
      </c>
      <c r="G2067" s="238">
        <f>IFERROR(__xludf.DUMMYFUNCTION("""COMPUTED_VALUE"""),45997.91736111111)</f>
        <v>45997.91736</v>
      </c>
      <c r="H2067" s="238">
        <f>IFERROR(__xludf.DUMMYFUNCTION("""COMPUTED_VALUE"""),45998.29166666667)</f>
        <v>45998.29167</v>
      </c>
      <c r="I2067" s="237" t="str">
        <f t="shared" si="1"/>
        <v>Fora</v>
      </c>
      <c r="J2067" s="239">
        <v>539.0000000072177</v>
      </c>
    </row>
    <row r="2068">
      <c r="A2068" s="234" t="s">
        <v>3759</v>
      </c>
      <c r="B2068" s="234" t="str">
        <f>IFERROR(__xludf.DUMMYFUNCTION("""COMPUTED_VALUE"""),"SoC_BA_Simoes Filho")</f>
        <v>SoC_BA_Simoes Filho</v>
      </c>
      <c r="C2068" s="234" t="str">
        <f>IFERROR(__xludf.DUMMYFUNCTION("""COMPUTED_VALUE"""),"SOC-BA2")</f>
        <v>SOC-BA2</v>
      </c>
      <c r="D2068" s="234"/>
      <c r="E2068" s="237" t="str">
        <f>IFERROR(__xludf.DUMMYFUNCTION("""COMPUTED_VALUE"""),"LT0PC601T6K61")</f>
        <v>LT0PC601T6K61</v>
      </c>
      <c r="F2068" s="238" t="str">
        <f>IFERROR(__xludf.DUMMYFUNCTION("""COMPUTED_VALUE"""),"TLR2J76")</f>
        <v>TLR2J76</v>
      </c>
      <c r="G2068" s="238">
        <f>IFERROR(__xludf.DUMMYFUNCTION("""COMPUTED_VALUE"""),45997.91736111111)</f>
        <v>45997.91736</v>
      </c>
      <c r="H2068" s="238">
        <f>IFERROR(__xludf.DUMMYFUNCTION("""COMPUTED_VALUE"""),45998.29166666667)</f>
        <v>45998.29167</v>
      </c>
      <c r="I2068" s="237" t="str">
        <f t="shared" si="1"/>
        <v>Fora</v>
      </c>
      <c r="J2068" s="239">
        <v>539.0000000072177</v>
      </c>
    </row>
    <row r="2069">
      <c r="A2069" s="234" t="s">
        <v>3760</v>
      </c>
      <c r="B2069" s="234" t="str">
        <f>IFERROR(__xludf.DUMMYFUNCTION("""COMPUTED_VALUE"""),"SoC_BA_Simoes Filho")</f>
        <v>SoC_BA_Simoes Filho</v>
      </c>
      <c r="C2069" s="234" t="str">
        <f>IFERROR(__xludf.DUMMYFUNCTION("""COMPUTED_VALUE"""),"SOC-BA2")</f>
        <v>SOC-BA2</v>
      </c>
      <c r="D2069" s="234"/>
      <c r="E2069" s="237" t="str">
        <f>IFERROR(__xludf.DUMMYFUNCTION("""COMPUTED_VALUE"""),"LT0PC601T6K82")</f>
        <v>LT0PC601T6K82</v>
      </c>
      <c r="F2069" s="238" t="str">
        <f>IFERROR(__xludf.DUMMYFUNCTION("""COMPUTED_VALUE"""),"FYQ3A83")</f>
        <v>FYQ3A83</v>
      </c>
      <c r="G2069" s="238">
        <f>IFERROR(__xludf.DUMMYFUNCTION("""COMPUTED_VALUE"""),45997.91736111111)</f>
        <v>45997.91736</v>
      </c>
      <c r="H2069" s="238">
        <f>IFERROR(__xludf.DUMMYFUNCTION("""COMPUTED_VALUE"""),45998.29166666667)</f>
        <v>45998.29167</v>
      </c>
      <c r="I2069" s="237" t="str">
        <f t="shared" si="1"/>
        <v>Fora</v>
      </c>
      <c r="J2069" s="239">
        <v>539.0000000072177</v>
      </c>
    </row>
    <row r="2070">
      <c r="A2070" s="234" t="s">
        <v>3758</v>
      </c>
      <c r="B2070" s="234" t="str">
        <f>IFERROR(__xludf.DUMMYFUNCTION("""COMPUTED_VALUE"""),"SoC_BA_Simoes Filho")</f>
        <v>SoC_BA_Simoes Filho</v>
      </c>
      <c r="C2070" s="234" t="str">
        <f>IFERROR(__xludf.DUMMYFUNCTION("""COMPUTED_VALUE"""),"SOC-BA2")</f>
        <v>SOC-BA2</v>
      </c>
      <c r="D2070" s="234"/>
      <c r="E2070" s="237" t="str">
        <f>IFERROR(__xludf.DUMMYFUNCTION("""COMPUTED_VALUE"""),"LT0PC601T6KA3")</f>
        <v>LT0PC601T6KA3</v>
      </c>
      <c r="F2070" s="238" t="str">
        <f>IFERROR(__xludf.DUMMYFUNCTION("""COMPUTED_VALUE"""),"-")</f>
        <v>-</v>
      </c>
      <c r="G2070" s="238">
        <f>IFERROR(__xludf.DUMMYFUNCTION("""COMPUTED_VALUE"""),45997.91736111111)</f>
        <v>45997.91736</v>
      </c>
      <c r="H2070" s="238">
        <f>IFERROR(__xludf.DUMMYFUNCTION("""COMPUTED_VALUE"""),45998.29166666667)</f>
        <v>45998.29167</v>
      </c>
      <c r="I2070" s="237" t="str">
        <f t="shared" si="1"/>
        <v>Fora</v>
      </c>
      <c r="J2070" s="239">
        <v>539.0000000072177</v>
      </c>
    </row>
    <row r="2071">
      <c r="A2071" s="234" t="s">
        <v>3761</v>
      </c>
      <c r="B2071" s="234" t="str">
        <f>IFERROR(__xludf.DUMMYFUNCTION("""COMPUTED_VALUE"""),"SoC_SP_Cravinhos")</f>
        <v>SoC_SP_Cravinhos</v>
      </c>
      <c r="C2071" s="234" t="str">
        <f>IFERROR(__xludf.DUMMYFUNCTION("""COMPUTED_VALUE"""),"SOC-SP5")</f>
        <v>SOC-SP5</v>
      </c>
      <c r="D2071" s="234"/>
      <c r="E2071" s="237" t="str">
        <f>IFERROR(__xludf.DUMMYFUNCTION("""COMPUTED_VALUE"""),"LT0PC601T0CY1")</f>
        <v>LT0PC601T0CY1</v>
      </c>
      <c r="F2071" s="238" t="str">
        <f>IFERROR(__xludf.DUMMYFUNCTION("""COMPUTED_VALUE"""),"GEN4H09")</f>
        <v>GEN4H09</v>
      </c>
      <c r="G2071" s="238">
        <f>IFERROR(__xludf.DUMMYFUNCTION("""COMPUTED_VALUE"""),45997.91736111111)</f>
        <v>45997.91736</v>
      </c>
      <c r="H2071" s="238">
        <f>IFERROR(__xludf.DUMMYFUNCTION("""COMPUTED_VALUE"""),45998.29166666667)</f>
        <v>45998.29167</v>
      </c>
      <c r="I2071" s="237" t="str">
        <f t="shared" si="1"/>
        <v>Fora</v>
      </c>
      <c r="J2071" s="239">
        <v>539.0000000072177</v>
      </c>
    </row>
    <row r="2072">
      <c r="A2072" s="234" t="s">
        <v>3762</v>
      </c>
      <c r="B2072" s="234" t="str">
        <f>IFERROR(__xludf.DUMMYFUNCTION("""COMPUTED_VALUE"""),"SoC_SP_Cravinhos")</f>
        <v>SoC_SP_Cravinhos</v>
      </c>
      <c r="C2072" s="234" t="str">
        <f>IFERROR(__xludf.DUMMYFUNCTION("""COMPUTED_VALUE"""),"SOC-SP5")</f>
        <v>SOC-SP5</v>
      </c>
      <c r="D2072" s="234">
        <f>IFERROR(__xludf.DUMMYFUNCTION("""COMPUTED_VALUE"""),14.0)</f>
        <v>14</v>
      </c>
      <c r="E2072" s="237" t="str">
        <f>IFERROR(__xludf.DUMMYFUNCTION("""COMPUTED_VALUE"""),"LT0PC601T0CZ2")</f>
        <v>LT0PC601T0CZ2</v>
      </c>
      <c r="F2072" s="238" t="str">
        <f>IFERROR(__xludf.DUMMYFUNCTION("""COMPUTED_VALUE"""),"FQF4F47,MEX0D04")</f>
        <v>FQF4F47,MEX0D04</v>
      </c>
      <c r="G2072" s="238">
        <f>IFERROR(__xludf.DUMMYFUNCTION("""COMPUTED_VALUE"""),45997.91736111111)</f>
        <v>45997.91736</v>
      </c>
      <c r="H2072" s="238">
        <f>IFERROR(__xludf.DUMMYFUNCTION("""COMPUTED_VALUE"""),45998.29166666667)</f>
        <v>45998.29167</v>
      </c>
      <c r="I2072" s="237" t="str">
        <f t="shared" si="1"/>
        <v>Fora</v>
      </c>
      <c r="J2072" s="239">
        <v>539.0000000072177</v>
      </c>
    </row>
    <row r="2073">
      <c r="A2073" s="234" t="s">
        <v>3763</v>
      </c>
      <c r="B2073" s="234" t="str">
        <f>IFERROR(__xludf.DUMMYFUNCTION("""COMPUTED_VALUE"""),"SoC_SP_Cravinhos")</f>
        <v>SoC_SP_Cravinhos</v>
      </c>
      <c r="C2073" s="234" t="str">
        <f>IFERROR(__xludf.DUMMYFUNCTION("""COMPUTED_VALUE"""),"SOC-SP5")</f>
        <v>SOC-SP5</v>
      </c>
      <c r="D2073" s="234">
        <f>IFERROR(__xludf.DUMMYFUNCTION("""COMPUTED_VALUE"""),13.0)</f>
        <v>13</v>
      </c>
      <c r="E2073" s="237" t="str">
        <f>IFERROR(__xludf.DUMMYFUNCTION("""COMPUTED_VALUE"""),"LT0PC601T0D13")</f>
        <v>LT0PC601T0D13</v>
      </c>
      <c r="F2073" s="238" t="str">
        <f>IFERROR(__xludf.DUMMYFUNCTION("""COMPUTED_VALUE"""),"GCQ5G56,AAW5596")</f>
        <v>GCQ5G56,AAW5596</v>
      </c>
      <c r="G2073" s="238">
        <f>IFERROR(__xludf.DUMMYFUNCTION("""COMPUTED_VALUE"""),45997.91736111111)</f>
        <v>45997.91736</v>
      </c>
      <c r="H2073" s="238">
        <f>IFERROR(__xludf.DUMMYFUNCTION("""COMPUTED_VALUE"""),45998.29166666667)</f>
        <v>45998.29167</v>
      </c>
      <c r="I2073" s="237" t="str">
        <f t="shared" si="1"/>
        <v>Fora</v>
      </c>
      <c r="J2073" s="239">
        <v>538.0000000144355</v>
      </c>
    </row>
    <row r="2074">
      <c r="A2074" s="234" t="s">
        <v>3764</v>
      </c>
      <c r="B2074" s="234" t="str">
        <f>IFERROR(__xludf.DUMMYFUNCTION("""COMPUTED_VALUE"""),"SoC_MG_Betim")</f>
        <v>SoC_MG_Betim</v>
      </c>
      <c r="C2074" s="234" t="str">
        <f>IFERROR(__xludf.DUMMYFUNCTION("""COMPUTED_VALUE"""),"SOC-MG2")</f>
        <v>SOC-MG2</v>
      </c>
      <c r="D2074" s="234">
        <f>IFERROR(__xludf.DUMMYFUNCTION("""COMPUTED_VALUE"""),92.0)</f>
        <v>92</v>
      </c>
      <c r="E2074" s="237" t="str">
        <f>IFERROR(__xludf.DUMMYFUNCTION("""COMPUTED_VALUE"""),"LT0PC601TA8Z2")</f>
        <v>LT0PC601TA8Z2</v>
      </c>
      <c r="F2074" s="238" t="str">
        <f>IFERROR(__xludf.DUMMYFUNCTION("""COMPUTED_VALUE"""),"SYI9B23,TXJ0F72")</f>
        <v>SYI9B23,TXJ0F72</v>
      </c>
      <c r="G2074" s="238">
        <f>IFERROR(__xludf.DUMMYFUNCTION("""COMPUTED_VALUE"""),45997.91805555555)</f>
        <v>45997.91806</v>
      </c>
      <c r="H2074" s="238">
        <f>IFERROR(__xludf.DUMMYFUNCTION("""COMPUTED_VALUE"""),45998.29166666667)</f>
        <v>45998.29167</v>
      </c>
      <c r="I2074" s="237" t="str">
        <f t="shared" si="1"/>
        <v>Fora</v>
      </c>
      <c r="J2074" s="239">
        <v>538.0000000144355</v>
      </c>
    </row>
    <row r="2075">
      <c r="A2075" s="234" t="s">
        <v>3765</v>
      </c>
      <c r="B2075" s="234" t="str">
        <f>IFERROR(__xludf.DUMMYFUNCTION("""COMPUTED_VALUE"""),"SoC_MG_Betim")</f>
        <v>SoC_MG_Betim</v>
      </c>
      <c r="C2075" s="234" t="str">
        <f>IFERROR(__xludf.DUMMYFUNCTION("""COMPUTED_VALUE"""),"SOC-MG2")</f>
        <v>SOC-MG2</v>
      </c>
      <c r="D2075" s="234">
        <f>IFERROR(__xludf.DUMMYFUNCTION("""COMPUTED_VALUE"""),91.0)</f>
        <v>91</v>
      </c>
      <c r="E2075" s="237" t="str">
        <f>IFERROR(__xludf.DUMMYFUNCTION("""COMPUTED_VALUE"""),"LT0PC601TA8X1")</f>
        <v>LT0PC601TA8X1</v>
      </c>
      <c r="F2075" s="238" t="str">
        <f>IFERROR(__xludf.DUMMYFUNCTION("""COMPUTED_VALUE"""),"RFE4B95,MLT4098")</f>
        <v>RFE4B95,MLT4098</v>
      </c>
      <c r="G2075" s="238">
        <f>IFERROR(__xludf.DUMMYFUNCTION("""COMPUTED_VALUE"""),45997.91805555555)</f>
        <v>45997.91806</v>
      </c>
      <c r="H2075" s="238">
        <f>IFERROR(__xludf.DUMMYFUNCTION("""COMPUTED_VALUE"""),45998.29166666667)</f>
        <v>45998.29167</v>
      </c>
      <c r="I2075" s="237" t="str">
        <f t="shared" si="1"/>
        <v>Fora</v>
      </c>
      <c r="J2075" s="239">
        <v>600.0000000069849</v>
      </c>
    </row>
    <row r="2076">
      <c r="A2076" s="234" t="s">
        <v>3766</v>
      </c>
      <c r="B2076" s="234" t="str">
        <f>IFERROR(__xludf.DUMMYFUNCTION("""COMPUTED_VALUE"""),"SoC_PE_Jaboatão dos Guararapes")</f>
        <v>SoC_PE_Jaboatão dos Guararapes</v>
      </c>
      <c r="C2076" s="234" t="str">
        <f>IFERROR(__xludf.DUMMYFUNCTION("""COMPUTED_VALUE"""),"SOC-PE2")</f>
        <v>SOC-PE2</v>
      </c>
      <c r="D2076" s="234">
        <f>IFERROR(__xludf.DUMMYFUNCTION("""COMPUTED_VALUE"""),32.0)</f>
        <v>32</v>
      </c>
      <c r="E2076" s="237" t="str">
        <f>IFERROR(__xludf.DUMMYFUNCTION("""COMPUTED_VALUE"""),"LT1PC801U2531")</f>
        <v>LT1PC801U2531</v>
      </c>
      <c r="F2076" s="238" t="str">
        <f>IFERROR(__xludf.DUMMYFUNCTION("""COMPUTED_VALUE"""),"FKA3B66,NCR9H93")</f>
        <v>FKA3B66,NCR9H93</v>
      </c>
      <c r="G2076" s="238">
        <f>IFERROR(__xludf.DUMMYFUNCTION("""COMPUTED_VALUE"""),45999.25)</f>
        <v>45999.25</v>
      </c>
      <c r="H2076" s="238">
        <f>IFERROR(__xludf.DUMMYFUNCTION("""COMPUTED_VALUE"""),45999.66666666667)</f>
        <v>45999.66667</v>
      </c>
      <c r="I2076" s="237" t="str">
        <f t="shared" si="1"/>
        <v>Fora</v>
      </c>
      <c r="J2076" s="239">
        <v>120.00000001396984</v>
      </c>
    </row>
    <row r="2077">
      <c r="A2077" s="234" t="s">
        <v>3767</v>
      </c>
      <c r="B2077" s="234" t="str">
        <f>IFERROR(__xludf.DUMMYFUNCTION("""COMPUTED_VALUE"""),"SoC_SP_Santana")</f>
        <v>SoC_SP_Santana</v>
      </c>
      <c r="C2077" s="234" t="str">
        <f>IFERROR(__xludf.DUMMYFUNCTION("""COMPUTED_VALUE"""),"SOC-SP2")</f>
        <v>SOC-SP2</v>
      </c>
      <c r="D2077" s="234">
        <f>IFERROR(__xludf.DUMMYFUNCTION("""COMPUTED_VALUE"""),33.0)</f>
        <v>33</v>
      </c>
      <c r="E2077" s="237" t="str">
        <f>IFERROR(__xludf.DUMMYFUNCTION("""COMPUTED_VALUE"""),"LT0PC801TP451")</f>
        <v>LT0PC801TP451</v>
      </c>
      <c r="F2077" s="238" t="str">
        <f>IFERROR(__xludf.DUMMYFUNCTION("""COMPUTED_VALUE"""),"CUD5G90,CJZ6A25")</f>
        <v>CUD5G90,CJZ6A25</v>
      </c>
      <c r="G2077" s="238">
        <f>IFERROR(__xludf.DUMMYFUNCTION("""COMPUTED_VALUE"""),45999.70833333333)</f>
        <v>45999.70833</v>
      </c>
      <c r="H2077" s="238">
        <f>IFERROR(__xludf.DUMMYFUNCTION("""COMPUTED_VALUE"""),45999.79166666667)</f>
        <v>45999.79167</v>
      </c>
      <c r="I2077" s="237" t="str">
        <f t="shared" si="1"/>
        <v>Fora</v>
      </c>
      <c r="J2077" s="239">
        <v>119.99999999301508</v>
      </c>
    </row>
    <row r="2078">
      <c r="A2078" s="234" t="s">
        <v>3768</v>
      </c>
      <c r="B2078" s="234" t="str">
        <f>IFERROR(__xludf.DUMMYFUNCTION("""COMPUTED_VALUE"""),"SoC_RS_Gravataí_02")</f>
        <v>SoC_RS_Gravataí_02</v>
      </c>
      <c r="C2078" s="234" t="str">
        <f>IFERROR(__xludf.DUMMYFUNCTION("""COMPUTED_VALUE"""),"SOC-RS2")</f>
        <v>SOC-RS2</v>
      </c>
      <c r="D2078" s="234">
        <f>IFERROR(__xludf.DUMMYFUNCTION("""COMPUTED_VALUE"""),27.0)</f>
        <v>27</v>
      </c>
      <c r="E2078" s="237" t="str">
        <f>IFERROR(__xludf.DUMMYFUNCTION("""COMPUTED_VALUE"""),"LT0PC801TW151")</f>
        <v>LT0PC801TW151</v>
      </c>
      <c r="F2078" s="238" t="str">
        <f>IFERROR(__xludf.DUMMYFUNCTION("""COMPUTED_VALUE"""),"MIW2420,TKB6D26")</f>
        <v>MIW2420,TKB6D26</v>
      </c>
      <c r="G2078" s="238">
        <f>IFERROR(__xludf.DUMMYFUNCTION("""COMPUTED_VALUE"""),45999.79166666667)</f>
        <v>45999.79167</v>
      </c>
      <c r="H2078" s="238">
        <f>IFERROR(__xludf.DUMMYFUNCTION("""COMPUTED_VALUE"""),45999.875)</f>
        <v>45999.875</v>
      </c>
      <c r="I2078" s="237" t="str">
        <f t="shared" si="1"/>
        <v>Fora</v>
      </c>
      <c r="J2078" s="239">
        <v>120.00000001396984</v>
      </c>
    </row>
    <row r="2079">
      <c r="A2079" s="234" t="s">
        <v>3769</v>
      </c>
      <c r="B2079" s="234" t="str">
        <f>IFERROR(__xludf.DUMMYFUNCTION("""COMPUTED_VALUE"""),"LM Hub_MG_Uberlândia")</f>
        <v>LM Hub_MG_Uberlândia</v>
      </c>
      <c r="C2079" s="234" t="str">
        <f>IFERROR(__xludf.DUMMYFUNCTION("""COMPUTED_VALUE"""),"HUB-LMG-44")</f>
        <v>HUB-LMG-44</v>
      </c>
      <c r="D2079" s="234">
        <f>IFERROR(__xludf.DUMMYFUNCTION("""COMPUTED_VALUE"""),34.0)</f>
        <v>34</v>
      </c>
      <c r="E2079" s="237" t="str">
        <f>IFERROR(__xludf.DUMMYFUNCTION("""COMPUTED_VALUE"""),"LT0PC801TTWS1")</f>
        <v>LT0PC801TTWS1</v>
      </c>
      <c r="F2079" s="238" t="str">
        <f>IFERROR(__xludf.DUMMYFUNCTION("""COMPUTED_VALUE"""),"DUM0C50,TKC6A82")</f>
        <v>DUM0C50,TKC6A82</v>
      </c>
      <c r="G2079" s="238">
        <f>IFERROR(__xludf.DUMMYFUNCTION("""COMPUTED_VALUE"""),45999.89583333333)</f>
        <v>45999.89583</v>
      </c>
      <c r="H2079" s="238">
        <f>IFERROR(__xludf.DUMMYFUNCTION("""COMPUTED_VALUE"""),45999.97916666667)</f>
        <v>45999.97917</v>
      </c>
      <c r="I2079" s="237" t="str">
        <f t="shared" si="1"/>
        <v>Fora</v>
      </c>
      <c r="J2079" s="239">
        <v>120.00000001396984</v>
      </c>
    </row>
    <row r="2080">
      <c r="A2080" s="234" t="s">
        <v>3770</v>
      </c>
      <c r="B2080" s="234" t="str">
        <f>IFERROR(__xludf.DUMMYFUNCTION("""COMPUTED_VALUE"""),"LM Hub_SP_Itaqua_Zimba")</f>
        <v>LM Hub_SP_Itaqua_Zimba</v>
      </c>
      <c r="C2080" s="234" t="str">
        <f>IFERROR(__xludf.DUMMYFUNCTION("""COMPUTED_VALUE"""),"HUB-LSP-74")</f>
        <v>HUB-LSP-74</v>
      </c>
      <c r="D2080" s="234">
        <f>IFERROR(__xludf.DUMMYFUNCTION("""COMPUTED_VALUE"""),28.0)</f>
        <v>28</v>
      </c>
      <c r="E2080" s="237" t="str">
        <f>IFERROR(__xludf.DUMMYFUNCTION("""COMPUTED_VALUE"""),"LT0PC801TO6Q1")</f>
        <v>LT0PC801TO6Q1</v>
      </c>
      <c r="F2080" s="238" t="str">
        <f>IFERROR(__xludf.DUMMYFUNCTION("""COMPUTED_VALUE"""),"SUQ5C99,TLD5B82")</f>
        <v>SUQ5C99,TLD5B82</v>
      </c>
      <c r="G2080" s="238">
        <f>IFERROR(__xludf.DUMMYFUNCTION("""COMPUTED_VALUE"""),45999.89583333333)</f>
        <v>45999.89583</v>
      </c>
      <c r="H2080" s="238">
        <f>IFERROR(__xludf.DUMMYFUNCTION("""COMPUTED_VALUE"""),45999.97916666667)</f>
        <v>45999.97917</v>
      </c>
      <c r="I2080" s="237" t="str">
        <f t="shared" si="1"/>
        <v>Fora</v>
      </c>
      <c r="J2080" s="239">
        <v>120.00000001396984</v>
      </c>
    </row>
    <row r="2081">
      <c r="A2081" s="234" t="s">
        <v>3771</v>
      </c>
      <c r="B2081" s="234" t="str">
        <f>IFERROR(__xludf.DUMMYFUNCTION("""COMPUTED_VALUE"""),"LM Hub_SP_Jurubatuba")</f>
        <v>LM Hub_SP_Jurubatuba</v>
      </c>
      <c r="C2081" s="234" t="str">
        <f>IFERROR(__xludf.DUMMYFUNCTION("""COMPUTED_VALUE"""),"HUB-LSP-16")</f>
        <v>HUB-LSP-16</v>
      </c>
      <c r="D2081" s="234">
        <f>IFERROR(__xludf.DUMMYFUNCTION("""COMPUTED_VALUE"""),21.0)</f>
        <v>21</v>
      </c>
      <c r="E2081" s="237" t="str">
        <f>IFERROR(__xludf.DUMMYFUNCTION("""COMPUTED_VALUE"""),"LT0PC801TO471")</f>
        <v>LT0PC801TO471</v>
      </c>
      <c r="F2081" s="238" t="str">
        <f>IFERROR(__xludf.DUMMYFUNCTION("""COMPUTED_VALUE"""),"MQM6I27,FXB7G01")</f>
        <v>MQM6I27,FXB7G01</v>
      </c>
      <c r="G2081" s="238">
        <f>IFERROR(__xludf.DUMMYFUNCTION("""COMPUTED_VALUE"""),45999.89583333333)</f>
        <v>45999.89583</v>
      </c>
      <c r="H2081" s="238">
        <f>IFERROR(__xludf.DUMMYFUNCTION("""COMPUTED_VALUE"""),45999.97916666667)</f>
        <v>45999.97917</v>
      </c>
      <c r="I2081" s="237" t="str">
        <f t="shared" si="1"/>
        <v>Fora</v>
      </c>
      <c r="J2081" s="239">
        <v>120.00000001396984</v>
      </c>
    </row>
    <row r="2082">
      <c r="A2082" s="234" t="s">
        <v>3772</v>
      </c>
      <c r="B2082" s="234" t="str">
        <f>IFERROR(__xludf.DUMMYFUNCTION("""COMPUTED_VALUE"""),"LM Hub_SP_Mogi das Cruzes_Jund")</f>
        <v>LM Hub_SP_Mogi das Cruzes_Jund</v>
      </c>
      <c r="C2082" s="234" t="str">
        <f>IFERROR(__xludf.DUMMYFUNCTION("""COMPUTED_VALUE"""),"HUB-LSP-78")</f>
        <v>HUB-LSP-78</v>
      </c>
      <c r="D2082" s="234">
        <f>IFERROR(__xludf.DUMMYFUNCTION("""COMPUTED_VALUE"""),37.0)</f>
        <v>37</v>
      </c>
      <c r="E2082" s="237" t="str">
        <f>IFERROR(__xludf.DUMMYFUNCTION("""COMPUTED_VALUE"""),"LT0PC801TSLT1")</f>
        <v>LT0PC801TSLT1</v>
      </c>
      <c r="F2082" s="238" t="str">
        <f>IFERROR(__xludf.DUMMYFUNCTION("""COMPUTED_VALUE"""),"FRM9I93,UGN6B16")</f>
        <v>FRM9I93,UGN6B16</v>
      </c>
      <c r="G2082" s="238">
        <f>IFERROR(__xludf.DUMMYFUNCTION("""COMPUTED_VALUE"""),45999.89583333333)</f>
        <v>45999.89583</v>
      </c>
      <c r="H2082" s="238">
        <f>IFERROR(__xludf.DUMMYFUNCTION("""COMPUTED_VALUE"""),45999.97916666667)</f>
        <v>45999.97917</v>
      </c>
      <c r="I2082" s="237" t="str">
        <f t="shared" si="1"/>
        <v>Fora</v>
      </c>
      <c r="J2082" s="239">
        <v>120.00000001396984</v>
      </c>
    </row>
    <row r="2083">
      <c r="A2083" s="234" t="s">
        <v>3773</v>
      </c>
      <c r="B2083" s="234" t="str">
        <f>IFERROR(__xludf.DUMMYFUNCTION("""COMPUTED_VALUE"""),"LM Hub_SP_Mogi das Cruzes_Jund")</f>
        <v>LM Hub_SP_Mogi das Cruzes_Jund</v>
      </c>
      <c r="C2083" s="234" t="str">
        <f>IFERROR(__xludf.DUMMYFUNCTION("""COMPUTED_VALUE"""),"HUB-LSP-78")</f>
        <v>HUB-LSP-78</v>
      </c>
      <c r="D2083" s="234">
        <f>IFERROR(__xludf.DUMMYFUNCTION("""COMPUTED_VALUE"""),38.0)</f>
        <v>38</v>
      </c>
      <c r="E2083" s="237" t="str">
        <f>IFERROR(__xludf.DUMMYFUNCTION("""COMPUTED_VALUE"""),"LT1PC801U2K91")</f>
        <v>LT1PC801U2K91</v>
      </c>
      <c r="F2083" s="238" t="str">
        <f>IFERROR(__xludf.DUMMYFUNCTION("""COMPUTED_VALUE"""),"ATG9H91")</f>
        <v>ATG9H91</v>
      </c>
      <c r="G2083" s="238">
        <f>IFERROR(__xludf.DUMMYFUNCTION("""COMPUTED_VALUE"""),45999.89583333333)</f>
        <v>45999.89583</v>
      </c>
      <c r="H2083" s="238">
        <f>IFERROR(__xludf.DUMMYFUNCTION("""COMPUTED_VALUE"""),45999.97916666667)</f>
        <v>45999.97917</v>
      </c>
      <c r="I2083" s="237" t="str">
        <f t="shared" si="1"/>
        <v>Fora</v>
      </c>
      <c r="J2083" s="239">
        <v>120.00000001396984</v>
      </c>
    </row>
    <row r="2084">
      <c r="A2084" s="234" t="s">
        <v>3774</v>
      </c>
      <c r="B2084" s="234" t="str">
        <f>IFERROR(__xludf.DUMMYFUNCTION("""COMPUTED_VALUE"""),"LM Hub_SP_Santos_Praia Grande")</f>
        <v>LM Hub_SP_Santos_Praia Grande</v>
      </c>
      <c r="C2084" s="234" t="str">
        <f>IFERROR(__xludf.DUMMYFUNCTION("""COMPUTED_VALUE"""),"HUB-LSP-09")</f>
        <v>HUB-LSP-09</v>
      </c>
      <c r="D2084" s="234">
        <f>IFERROR(__xludf.DUMMYFUNCTION("""COMPUTED_VALUE"""),26.0)</f>
        <v>26</v>
      </c>
      <c r="E2084" s="237" t="str">
        <f>IFERROR(__xludf.DUMMYFUNCTION("""COMPUTED_VALUE"""),"LT0PC801TO9S1")</f>
        <v>LT0PC801TO9S1</v>
      </c>
      <c r="F2084" s="238" t="str">
        <f>IFERROR(__xludf.DUMMYFUNCTION("""COMPUTED_VALUE"""),"GIT9H24")</f>
        <v>GIT9H24</v>
      </c>
      <c r="G2084" s="238">
        <f>IFERROR(__xludf.DUMMYFUNCTION("""COMPUTED_VALUE"""),45999.89583333333)</f>
        <v>45999.89583</v>
      </c>
      <c r="H2084" s="238">
        <f>IFERROR(__xludf.DUMMYFUNCTION("""COMPUTED_VALUE"""),45999.97916666667)</f>
        <v>45999.97917</v>
      </c>
      <c r="I2084" s="237" t="str">
        <f t="shared" si="1"/>
        <v>Fora</v>
      </c>
      <c r="J2084" s="239">
        <v>120.00000001396984</v>
      </c>
    </row>
    <row r="2085">
      <c r="A2085" s="234" t="s">
        <v>3775</v>
      </c>
      <c r="B2085" s="234" t="str">
        <f>IFERROR(__xludf.DUMMYFUNCTION("""COMPUTED_VALUE"""),"LM Hub_SP_São José dos Campos")</f>
        <v>LM Hub_SP_São José dos Campos</v>
      </c>
      <c r="C2085" s="234" t="str">
        <f>IFERROR(__xludf.DUMMYFUNCTION("""COMPUTED_VALUE"""),"HUB-LSP-04")</f>
        <v>HUB-LSP-04</v>
      </c>
      <c r="D2085" s="234">
        <f>IFERROR(__xludf.DUMMYFUNCTION("""COMPUTED_VALUE"""),6.0)</f>
        <v>6</v>
      </c>
      <c r="E2085" s="237" t="str">
        <f>IFERROR(__xludf.DUMMYFUNCTION("""COMPUTED_VALUE"""),"LT0PC801TOC01")</f>
        <v>LT0PC801TOC01</v>
      </c>
      <c r="F2085" s="238" t="str">
        <f>IFERROR(__xludf.DUMMYFUNCTION("""COMPUTED_VALUE"""),"BZV6J05")</f>
        <v>BZV6J05</v>
      </c>
      <c r="G2085" s="238">
        <f>IFERROR(__xludf.DUMMYFUNCTION("""COMPUTED_VALUE"""),45999.89583333333)</f>
        <v>45999.89583</v>
      </c>
      <c r="H2085" s="238">
        <f>IFERROR(__xludf.DUMMYFUNCTION("""COMPUTED_VALUE"""),45999.97916666667)</f>
        <v>45999.97917</v>
      </c>
      <c r="I2085" s="237" t="str">
        <f t="shared" si="1"/>
        <v>Fora</v>
      </c>
      <c r="J2085" s="239">
        <v>60.00000000698492</v>
      </c>
    </row>
    <row r="2086">
      <c r="A2086" s="234" t="s">
        <v>3776</v>
      </c>
      <c r="B2086" s="234" t="str">
        <f>IFERROR(__xludf.DUMMYFUNCTION("""COMPUTED_VALUE"""),"LM Hub_SP_VilaGuilherme")</f>
        <v>LM Hub_SP_VilaGuilherme</v>
      </c>
      <c r="C2086" s="234" t="str">
        <f>IFERROR(__xludf.DUMMYFUNCTION("""COMPUTED_VALUE"""),"HUB-LSP-68")</f>
        <v>HUB-LSP-68</v>
      </c>
      <c r="D2086" s="234">
        <f>IFERROR(__xludf.DUMMYFUNCTION("""COMPUTED_VALUE"""),12.0)</f>
        <v>12</v>
      </c>
      <c r="E2086" s="237" t="str">
        <f>IFERROR(__xludf.DUMMYFUNCTION("""COMPUTED_VALUE"""),"LT1PC801U2K81")</f>
        <v>LT1PC801U2K81</v>
      </c>
      <c r="F2086" s="238" t="str">
        <f>IFERROR(__xludf.DUMMYFUNCTION("""COMPUTED_VALUE"""),"ONN9D62")</f>
        <v>ONN9D62</v>
      </c>
      <c r="G2086" s="238">
        <f>IFERROR(__xludf.DUMMYFUNCTION("""COMPUTED_VALUE"""),45999.9375)</f>
        <v>45999.9375</v>
      </c>
      <c r="H2086" s="238">
        <f>IFERROR(__xludf.DUMMYFUNCTION("""COMPUTED_VALUE"""),45999.97916666667)</f>
        <v>45999.97917</v>
      </c>
      <c r="I2086" s="237" t="str">
        <f t="shared" si="1"/>
        <v>Fora</v>
      </c>
      <c r="J2086" s="239">
        <v>118.99999998975545</v>
      </c>
    </row>
    <row r="2087">
      <c r="A2087" s="234" t="s">
        <v>3777</v>
      </c>
      <c r="B2087" s="234" t="str">
        <f>IFERROR(__xludf.DUMMYFUNCTION("""COMPUTED_VALUE"""),"LM Hub_SP_Guarujá")</f>
        <v>LM Hub_SP_Guarujá</v>
      </c>
      <c r="C2087" s="234" t="str">
        <f>IFERROR(__xludf.DUMMYFUNCTION("""COMPUTED_VALUE"""),"HUB-LSP-06")</f>
        <v>HUB-LSP-06</v>
      </c>
      <c r="D2087" s="234">
        <f>IFERROR(__xludf.DUMMYFUNCTION("""COMPUTED_VALUE"""),5.0)</f>
        <v>5</v>
      </c>
      <c r="E2087" s="237" t="str">
        <f>IFERROR(__xludf.DUMMYFUNCTION("""COMPUTED_VALUE"""),"LT0PC801TO8E1")</f>
        <v>LT0PC801TO8E1</v>
      </c>
      <c r="F2087" s="238" t="str">
        <f>IFERROR(__xludf.DUMMYFUNCTION("""COMPUTED_VALUE"""),"TJN5H17")</f>
        <v>TJN5H17</v>
      </c>
      <c r="G2087" s="238">
        <f>IFERROR(__xludf.DUMMYFUNCTION("""COMPUTED_VALUE"""),45999.91666666667)</f>
        <v>45999.91667</v>
      </c>
      <c r="H2087" s="238">
        <f>IFERROR(__xludf.DUMMYFUNCTION("""COMPUTED_VALUE"""),45999.99930555555)</f>
        <v>45999.99931</v>
      </c>
      <c r="I2087" s="237" t="str">
        <f t="shared" si="1"/>
        <v>Fora</v>
      </c>
      <c r="J2087" s="239">
        <v>119.99999999301508</v>
      </c>
    </row>
    <row r="2088">
      <c r="A2088" s="234" t="s">
        <v>3778</v>
      </c>
      <c r="B2088" s="234" t="str">
        <f>IFERROR(__xludf.DUMMYFUNCTION("""COMPUTED_VALUE"""),"LM Hub_RS_Porto Alegre_Floresta")</f>
        <v>LM Hub_RS_Porto Alegre_Floresta</v>
      </c>
      <c r="C2088" s="234" t="str">
        <f>IFERROR(__xludf.DUMMYFUNCTION("""COMPUTED_VALUE"""),"HUB-LRS-03")</f>
        <v>HUB-LRS-03</v>
      </c>
      <c r="D2088" s="234">
        <f>IFERROR(__xludf.DUMMYFUNCTION("""COMPUTED_VALUE"""),24.0)</f>
        <v>24</v>
      </c>
      <c r="E2088" s="237" t="str">
        <f>IFERROR(__xludf.DUMMYFUNCTION("""COMPUTED_VALUE"""),"LT0PC801TWIF1")</f>
        <v>LT0PC801TWIF1</v>
      </c>
      <c r="F2088" s="238" t="str">
        <f>IFERROR(__xludf.DUMMYFUNCTION("""COMPUTED_VALUE"""),"MJY1C75,IPB7F20")</f>
        <v>MJY1C75,IPB7F20</v>
      </c>
      <c r="G2088" s="238">
        <f>IFERROR(__xludf.DUMMYFUNCTION("""COMPUTED_VALUE"""),45999.91666666667)</f>
        <v>45999.91667</v>
      </c>
      <c r="H2088" s="238">
        <f>IFERROR(__xludf.DUMMYFUNCTION("""COMPUTED_VALUE"""),46000.0)</f>
        <v>46000</v>
      </c>
      <c r="I2088" s="237" t="str">
        <f t="shared" si="1"/>
        <v>Fora</v>
      </c>
      <c r="J2088" s="239">
        <v>119.99999999301508</v>
      </c>
    </row>
    <row r="2089">
      <c r="A2089" s="234" t="s">
        <v>3779</v>
      </c>
      <c r="B2089" s="234" t="str">
        <f>IFERROR(__xludf.DUMMYFUNCTION("""COMPUTED_VALUE"""),"LM Hub_SP_Artur Alvim")</f>
        <v>LM Hub_SP_Artur Alvim</v>
      </c>
      <c r="C2089" s="234" t="str">
        <f>IFERROR(__xludf.DUMMYFUNCTION("""COMPUTED_VALUE"""),"HUB-LSP-07")</f>
        <v>HUB-LSP-07</v>
      </c>
      <c r="D2089" s="234"/>
      <c r="E2089" s="237" t="str">
        <f>IFERROR(__xludf.DUMMYFUNCTION("""COMPUTED_VALUE"""),"LT0PC801TO3C1")</f>
        <v>LT0PC801TO3C1</v>
      </c>
      <c r="F2089" s="238" t="str">
        <f>IFERROR(__xludf.DUMMYFUNCTION("""COMPUTED_VALUE"""),"-")</f>
        <v>-</v>
      </c>
      <c r="G2089" s="238">
        <f>IFERROR(__xludf.DUMMYFUNCTION("""COMPUTED_VALUE"""),45999.91666666667)</f>
        <v>45999.91667</v>
      </c>
      <c r="H2089" s="238">
        <f>IFERROR(__xludf.DUMMYFUNCTION("""COMPUTED_VALUE"""),46000.0)</f>
        <v>46000</v>
      </c>
      <c r="I2089" s="237" t="str">
        <f t="shared" si="1"/>
        <v>Fora</v>
      </c>
      <c r="J2089" s="239">
        <v>119.99999999301508</v>
      </c>
    </row>
    <row r="2090">
      <c r="A2090" s="234" t="s">
        <v>3780</v>
      </c>
      <c r="B2090" s="234" t="str">
        <f>IFERROR(__xludf.DUMMYFUNCTION("""COMPUTED_VALUE"""),"LM Hub_SP_Barueri_01")</f>
        <v>LM Hub_SP_Barueri_01</v>
      </c>
      <c r="C2090" s="234" t="str">
        <f>IFERROR(__xludf.DUMMYFUNCTION("""COMPUTED_VALUE"""),"HUB-LSP-81")</f>
        <v>HUB-LSP-81</v>
      </c>
      <c r="D2090" s="234">
        <f>IFERROR(__xludf.DUMMYFUNCTION("""COMPUTED_VALUE"""),9.0)</f>
        <v>9</v>
      </c>
      <c r="E2090" s="237" t="str">
        <f>IFERROR(__xludf.DUMMYFUNCTION("""COMPUTED_VALUE"""),"LT0PC801TV911")</f>
        <v>LT0PC801TV911</v>
      </c>
      <c r="F2090" s="238" t="str">
        <f>IFERROR(__xludf.DUMMYFUNCTION("""COMPUTED_VALUE"""),"RCA4J36,TLX4F84")</f>
        <v>RCA4J36,TLX4F84</v>
      </c>
      <c r="G2090" s="238">
        <f>IFERROR(__xludf.DUMMYFUNCTION("""COMPUTED_VALUE"""),45999.91666666667)</f>
        <v>45999.91667</v>
      </c>
      <c r="H2090" s="238">
        <f>IFERROR(__xludf.DUMMYFUNCTION("""COMPUTED_VALUE"""),46000.0)</f>
        <v>46000</v>
      </c>
      <c r="I2090" s="237" t="str">
        <f t="shared" si="1"/>
        <v>Fora</v>
      </c>
      <c r="J2090" s="239">
        <v>119.99999999301508</v>
      </c>
    </row>
    <row r="2091">
      <c r="A2091" s="234" t="s">
        <v>3781</v>
      </c>
      <c r="B2091" s="234" t="str">
        <f>IFERROR(__xludf.DUMMYFUNCTION("""COMPUTED_VALUE"""),"LM Hub_SP_Guarulhos")</f>
        <v>LM Hub_SP_Guarulhos</v>
      </c>
      <c r="C2091" s="234" t="str">
        <f>IFERROR(__xludf.DUMMYFUNCTION("""COMPUTED_VALUE"""),"HUB-LSP-77")</f>
        <v>HUB-LSP-77</v>
      </c>
      <c r="D2091" s="234">
        <f>IFERROR(__xludf.DUMMYFUNCTION("""COMPUTED_VALUE"""),15.0)</f>
        <v>15</v>
      </c>
      <c r="E2091" s="237" t="str">
        <f>IFERROR(__xludf.DUMMYFUNCTION("""COMPUTED_VALUE"""),"LT0PC801TPOU1")</f>
        <v>LT0PC801TPOU1</v>
      </c>
      <c r="F2091" s="238" t="str">
        <f>IFERROR(__xludf.DUMMYFUNCTION("""COMPUTED_VALUE"""),"NFG8B11,GDP0B86")</f>
        <v>NFG8B11,GDP0B86</v>
      </c>
      <c r="G2091" s="238">
        <f>IFERROR(__xludf.DUMMYFUNCTION("""COMPUTED_VALUE"""),45999.91666666667)</f>
        <v>45999.91667</v>
      </c>
      <c r="H2091" s="238">
        <f>IFERROR(__xludf.DUMMYFUNCTION("""COMPUTED_VALUE"""),46000.0)</f>
        <v>46000</v>
      </c>
      <c r="I2091" s="237" t="str">
        <f t="shared" si="1"/>
        <v>Fora</v>
      </c>
      <c r="J2091" s="239">
        <v>119.99999999301508</v>
      </c>
    </row>
    <row r="2092">
      <c r="A2092" s="234" t="s">
        <v>3782</v>
      </c>
      <c r="B2092" s="234" t="str">
        <f>IFERROR(__xludf.DUMMYFUNCTION("""COMPUTED_VALUE"""),"LM Hub_SP_Itapevi")</f>
        <v>LM Hub_SP_Itapevi</v>
      </c>
      <c r="C2092" s="234" t="str">
        <f>IFERROR(__xludf.DUMMYFUNCTION("""COMPUTED_VALUE"""),"HUB-LSP-41")</f>
        <v>HUB-LSP-41</v>
      </c>
      <c r="D2092" s="234">
        <f>IFERROR(__xludf.DUMMYFUNCTION("""COMPUTED_VALUE"""),7.0)</f>
        <v>7</v>
      </c>
      <c r="E2092" s="237" t="str">
        <f>IFERROR(__xludf.DUMMYFUNCTION("""COMPUTED_VALUE"""),"LT0PC801TO5J1")</f>
        <v>LT0PC801TO5J1</v>
      </c>
      <c r="F2092" s="238" t="str">
        <f>IFERROR(__xludf.DUMMYFUNCTION("""COMPUTED_VALUE"""),"DPF6F59")</f>
        <v>DPF6F59</v>
      </c>
      <c r="G2092" s="238">
        <f>IFERROR(__xludf.DUMMYFUNCTION("""COMPUTED_VALUE"""),45999.91666666667)</f>
        <v>45999.91667</v>
      </c>
      <c r="H2092" s="238">
        <f>IFERROR(__xludf.DUMMYFUNCTION("""COMPUTED_VALUE"""),46000.0)</f>
        <v>46000</v>
      </c>
      <c r="I2092" s="237" t="str">
        <f t="shared" si="1"/>
        <v>Fora</v>
      </c>
      <c r="J2092" s="239">
        <v>119.99999999301508</v>
      </c>
    </row>
    <row r="2093">
      <c r="A2093" s="234" t="s">
        <v>3783</v>
      </c>
      <c r="B2093" s="234" t="str">
        <f>IFERROR(__xludf.DUMMYFUNCTION("""COMPUTED_VALUE"""),"LM Hub_SP_Limeira_Campo Belo")</f>
        <v>LM Hub_SP_Limeira_Campo Belo</v>
      </c>
      <c r="C2093" s="234" t="str">
        <f>IFERROR(__xludf.DUMMYFUNCTION("""COMPUTED_VALUE"""),"HUB-LSP-24")</f>
        <v>HUB-LSP-24</v>
      </c>
      <c r="D2093" s="234">
        <f>IFERROR(__xludf.DUMMYFUNCTION("""COMPUTED_VALUE"""),45.0)</f>
        <v>45</v>
      </c>
      <c r="E2093" s="237" t="str">
        <f>IFERROR(__xludf.DUMMYFUNCTION("""COMPUTED_VALUE"""),"LT0PC801TOB51")</f>
        <v>LT0PC801TOB51</v>
      </c>
      <c r="F2093" s="238" t="str">
        <f>IFERROR(__xludf.DUMMYFUNCTION("""COMPUTED_VALUE"""),"SWQ6D05,SWG3J97")</f>
        <v>SWQ6D05,SWG3J97</v>
      </c>
      <c r="G2093" s="238">
        <f>IFERROR(__xludf.DUMMYFUNCTION("""COMPUTED_VALUE"""),45999.91666666667)</f>
        <v>45999.91667</v>
      </c>
      <c r="H2093" s="238">
        <f>IFERROR(__xludf.DUMMYFUNCTION("""COMPUTED_VALUE"""),46000.0)</f>
        <v>46000</v>
      </c>
      <c r="I2093" s="237" t="str">
        <f t="shared" si="1"/>
        <v>Fora</v>
      </c>
      <c r="J2093" s="239">
        <v>119.99999999301508</v>
      </c>
    </row>
    <row r="2094">
      <c r="A2094" s="234" t="s">
        <v>3784</v>
      </c>
      <c r="B2094" s="234" t="str">
        <f>IFERROR(__xludf.DUMMYFUNCTION("""COMPUTED_VALUE"""),"LM Hub_SP_Mauá")</f>
        <v>LM Hub_SP_Mauá</v>
      </c>
      <c r="C2094" s="234" t="str">
        <f>IFERROR(__xludf.DUMMYFUNCTION("""COMPUTED_VALUE"""),"HUB-LSP-64")</f>
        <v>HUB-LSP-64</v>
      </c>
      <c r="D2094" s="234">
        <f>IFERROR(__xludf.DUMMYFUNCTION("""COMPUTED_VALUE"""),13.0)</f>
        <v>13</v>
      </c>
      <c r="E2094" s="237" t="str">
        <f>IFERROR(__xludf.DUMMYFUNCTION("""COMPUTED_VALUE"""),"LT0PC801TO661")</f>
        <v>LT0PC801TO661</v>
      </c>
      <c r="F2094" s="238" t="str">
        <f>IFERROR(__xludf.DUMMYFUNCTION("""COMPUTED_VALUE"""),"FOK9H31,EZL9I77")</f>
        <v>FOK9H31,EZL9I77</v>
      </c>
      <c r="G2094" s="238">
        <f>IFERROR(__xludf.DUMMYFUNCTION("""COMPUTED_VALUE"""),45999.91666666667)</f>
        <v>45999.91667</v>
      </c>
      <c r="H2094" s="238">
        <f>IFERROR(__xludf.DUMMYFUNCTION("""COMPUTED_VALUE"""),46000.0)</f>
        <v>46000</v>
      </c>
      <c r="I2094" s="237" t="str">
        <f t="shared" si="1"/>
        <v>Fora</v>
      </c>
      <c r="J2094" s="239">
        <v>119.99999999301508</v>
      </c>
    </row>
    <row r="2095">
      <c r="A2095" s="234" t="s">
        <v>3785</v>
      </c>
      <c r="B2095" s="234" t="str">
        <f>IFERROR(__xludf.DUMMYFUNCTION("""COMPUTED_VALUE"""),"LM Hub_SP_Osasco_02")</f>
        <v>LM Hub_SP_Osasco_02</v>
      </c>
      <c r="C2095" s="234" t="str">
        <f>IFERROR(__xludf.DUMMYFUNCTION("""COMPUTED_VALUE"""),"HUB-LSP-60")</f>
        <v>HUB-LSP-60</v>
      </c>
      <c r="D2095" s="234">
        <f>IFERROR(__xludf.DUMMYFUNCTION("""COMPUTED_VALUE"""),25.0)</f>
        <v>25</v>
      </c>
      <c r="E2095" s="237" t="str">
        <f>IFERROR(__xludf.DUMMYFUNCTION("""COMPUTED_VALUE"""),"LT0PC801TO5T1")</f>
        <v>LT0PC801TO5T1</v>
      </c>
      <c r="F2095" s="238" t="str">
        <f>IFERROR(__xludf.DUMMYFUNCTION("""COMPUTED_VALUE"""),"BCA5D00,TLK8A37")</f>
        <v>BCA5D00,TLK8A37</v>
      </c>
      <c r="G2095" s="238">
        <f>IFERROR(__xludf.DUMMYFUNCTION("""COMPUTED_VALUE"""),45999.91666666667)</f>
        <v>45999.91667</v>
      </c>
      <c r="H2095" s="238">
        <f>IFERROR(__xludf.DUMMYFUNCTION("""COMPUTED_VALUE"""),46000.0)</f>
        <v>46000</v>
      </c>
      <c r="I2095" s="237" t="str">
        <f t="shared" si="1"/>
        <v>Fora</v>
      </c>
      <c r="J2095" s="239">
        <v>119.99999999301508</v>
      </c>
    </row>
    <row r="2096">
      <c r="A2096" s="234" t="s">
        <v>3786</v>
      </c>
      <c r="B2096" s="234" t="str">
        <f>IFERROR(__xludf.DUMMYFUNCTION("""COMPUTED_VALUE"""),"LM Hub_SP_São José do Rio P")</f>
        <v>LM Hub_SP_São José do Rio P</v>
      </c>
      <c r="C2096" s="234" t="str">
        <f>IFERROR(__xludf.DUMMYFUNCTION("""COMPUTED_VALUE"""),"HUB-LSP-27")</f>
        <v>HUB-LSP-27</v>
      </c>
      <c r="D2096" s="234">
        <f>IFERROR(__xludf.DUMMYFUNCTION("""COMPUTED_VALUE"""),47.0)</f>
        <v>47</v>
      </c>
      <c r="E2096" s="237" t="str">
        <f>IFERROR(__xludf.DUMMYFUNCTION("""COMPUTED_VALUE"""),"LT0PC801TTVX1")</f>
        <v>LT0PC801TTVX1</v>
      </c>
      <c r="F2096" s="238" t="str">
        <f>IFERROR(__xludf.DUMMYFUNCTION("""COMPUTED_VALUE"""),"DKI3I03,EWJ0B84")</f>
        <v>DKI3I03,EWJ0B84</v>
      </c>
      <c r="G2096" s="238">
        <f>IFERROR(__xludf.DUMMYFUNCTION("""COMPUTED_VALUE"""),45999.91666666667)</f>
        <v>45999.91667</v>
      </c>
      <c r="H2096" s="238">
        <f>IFERROR(__xludf.DUMMYFUNCTION("""COMPUTED_VALUE"""),46000.0)</f>
        <v>46000</v>
      </c>
      <c r="I2096" s="237" t="str">
        <f t="shared" si="1"/>
        <v>Fora</v>
      </c>
      <c r="J2096" s="239">
        <v>119.00000000023283</v>
      </c>
    </row>
    <row r="2097">
      <c r="A2097" s="234" t="s">
        <v>3787</v>
      </c>
      <c r="B2097" s="234" t="str">
        <f>IFERROR(__xludf.DUMMYFUNCTION("""COMPUTED_VALUE"""),"LM Hub_SP_Santo André")</f>
        <v>LM Hub_SP_Santo André</v>
      </c>
      <c r="C2097" s="234" t="str">
        <f>IFERROR(__xludf.DUMMYFUNCTION("""COMPUTED_VALUE"""),"HUB-LSP-93")</f>
        <v>HUB-LSP-93</v>
      </c>
      <c r="D2097" s="234">
        <f>IFERROR(__xludf.DUMMYFUNCTION("""COMPUTED_VALUE"""),18.0)</f>
        <v>18</v>
      </c>
      <c r="E2097" s="237" t="str">
        <f>IFERROR(__xludf.DUMMYFUNCTION("""COMPUTED_VALUE"""),"LT0PC801TSBO1")</f>
        <v>LT0PC801TSBO1</v>
      </c>
      <c r="F2097" s="238" t="str">
        <f>IFERROR(__xludf.DUMMYFUNCTION("""COMPUTED_VALUE"""),"QPH3J14,AXE8E39")</f>
        <v>QPH3J14,AXE8E39</v>
      </c>
      <c r="G2097" s="238">
        <f>IFERROR(__xludf.DUMMYFUNCTION("""COMPUTED_VALUE"""),45999.91736111111)</f>
        <v>45999.91736</v>
      </c>
      <c r="H2097" s="238">
        <f>IFERROR(__xludf.DUMMYFUNCTION("""COMPUTED_VALUE"""),46000.0)</f>
        <v>46000</v>
      </c>
      <c r="I2097" s="237" t="str">
        <f t="shared" si="1"/>
        <v>Fora</v>
      </c>
      <c r="J2097" s="239">
        <v>119.99999999301508</v>
      </c>
    </row>
    <row r="2098">
      <c r="A2098" s="234" t="s">
        <v>3788</v>
      </c>
      <c r="B2098" s="234" t="str">
        <f>IFERROR(__xludf.DUMMYFUNCTION("""COMPUTED_VALUE"""),"LM Hub_SP_Jardim Adriana")</f>
        <v>LM Hub_SP_Jardim Adriana</v>
      </c>
      <c r="C2098" s="234" t="str">
        <f>IFERROR(__xludf.DUMMYFUNCTION("""COMPUTED_VALUE"""),"HUB-LSP-12")</f>
        <v>HUB-LSP-12</v>
      </c>
      <c r="D2098" s="234">
        <f>IFERROR(__xludf.DUMMYFUNCTION("""COMPUTED_VALUE"""),14.0)</f>
        <v>14</v>
      </c>
      <c r="E2098" s="237" t="str">
        <f>IFERROR(__xludf.DUMMYFUNCTION("""COMPUTED_VALUE"""),"LT0PC801TO3L1")</f>
        <v>LT0PC801TO3L1</v>
      </c>
      <c r="F2098" s="238" t="str">
        <f>IFERROR(__xludf.DUMMYFUNCTION("""COMPUTED_VALUE"""),"CUA4J46")</f>
        <v>CUA4J46</v>
      </c>
      <c r="G2098" s="238">
        <f>IFERROR(__xludf.DUMMYFUNCTION("""COMPUTED_VALUE"""),45999.9375)</f>
        <v>45999.9375</v>
      </c>
      <c r="H2098" s="238">
        <f>IFERROR(__xludf.DUMMYFUNCTION("""COMPUTED_VALUE"""),46000.02083333333)</f>
        <v>46000.02083</v>
      </c>
      <c r="I2098" s="237" t="str">
        <f t="shared" si="1"/>
        <v>Fora</v>
      </c>
      <c r="J2098" s="239">
        <v>119.99999999301508</v>
      </c>
    </row>
    <row r="2099">
      <c r="A2099" s="234" t="s">
        <v>3789</v>
      </c>
      <c r="B2099" s="234" t="str">
        <f>IFERROR(__xludf.DUMMYFUNCTION("""COMPUTED_VALUE"""),"LM Hub_SP_Parque Novo Mundo")</f>
        <v>LM Hub_SP_Parque Novo Mundo</v>
      </c>
      <c r="C2099" s="234" t="str">
        <f>IFERROR(__xludf.DUMMYFUNCTION("""COMPUTED_VALUE"""),"HUB-LSP-89")</f>
        <v>HUB-LSP-89</v>
      </c>
      <c r="D2099" s="234">
        <f>IFERROR(__xludf.DUMMYFUNCTION("""COMPUTED_VALUE"""),32.0)</f>
        <v>32</v>
      </c>
      <c r="E2099" s="237" t="str">
        <f>IFERROR(__xludf.DUMMYFUNCTION("""COMPUTED_VALUE"""),"LT0PC801TQ4R1")</f>
        <v>LT0PC801TQ4R1</v>
      </c>
      <c r="F2099" s="238" t="str">
        <f>IFERROR(__xludf.DUMMYFUNCTION("""COMPUTED_VALUE"""),"BWN8361,BXG5C74")</f>
        <v>BWN8361,BXG5C74</v>
      </c>
      <c r="G2099" s="238">
        <f>IFERROR(__xludf.DUMMYFUNCTION("""COMPUTED_VALUE"""),45999.9375)</f>
        <v>45999.9375</v>
      </c>
      <c r="H2099" s="238">
        <f>IFERROR(__xludf.DUMMYFUNCTION("""COMPUTED_VALUE"""),46000.02083333333)</f>
        <v>46000.02083</v>
      </c>
      <c r="I2099" s="237" t="str">
        <f t="shared" si="1"/>
        <v>Fora</v>
      </c>
      <c r="J2099" s="239">
        <v>119.99999999301508</v>
      </c>
    </row>
    <row r="2100">
      <c r="A2100" s="234" t="s">
        <v>3790</v>
      </c>
      <c r="B2100" s="234" t="str">
        <f>IFERROR(__xludf.DUMMYFUNCTION("""COMPUTED_VALUE"""),"LM Hub_SP_Piracicaba")</f>
        <v>LM Hub_SP_Piracicaba</v>
      </c>
      <c r="C2100" s="234" t="str">
        <f>IFERROR(__xludf.DUMMYFUNCTION("""COMPUTED_VALUE"""),"HUB-LSP-62")</f>
        <v>HUB-LSP-62</v>
      </c>
      <c r="D2100" s="234">
        <f>IFERROR(__xludf.DUMMYFUNCTION("""COMPUTED_VALUE"""),29.0)</f>
        <v>29</v>
      </c>
      <c r="E2100" s="237" t="str">
        <f>IFERROR(__xludf.DUMMYFUNCTION("""COMPUTED_VALUE"""),"LT0PC801TPPA1")</f>
        <v>LT0PC801TPPA1</v>
      </c>
      <c r="F2100" s="238" t="str">
        <f>IFERROR(__xludf.DUMMYFUNCTION("""COMPUTED_VALUE"""),"EOF4D32,EOF4D31")</f>
        <v>EOF4D32,EOF4D31</v>
      </c>
      <c r="G2100" s="238">
        <f>IFERROR(__xludf.DUMMYFUNCTION("""COMPUTED_VALUE"""),45999.9375)</f>
        <v>45999.9375</v>
      </c>
      <c r="H2100" s="238">
        <f>IFERROR(__xludf.DUMMYFUNCTION("""COMPUTED_VALUE"""),46000.02083333333)</f>
        <v>46000.02083</v>
      </c>
      <c r="I2100" s="237" t="str">
        <f t="shared" si="1"/>
        <v>Fora</v>
      </c>
      <c r="J2100" s="239">
        <v>119.99999999301508</v>
      </c>
    </row>
    <row r="2101">
      <c r="A2101" s="234" t="s">
        <v>3791</v>
      </c>
      <c r="B2101" s="234" t="str">
        <f>IFERROR(__xludf.DUMMYFUNCTION("""COMPUTED_VALUE"""),"LM Hub_SP_São Paulo_Carandiru")</f>
        <v>LM Hub_SP_São Paulo_Carandiru</v>
      </c>
      <c r="C2101" s="234" t="str">
        <f>IFERROR(__xludf.DUMMYFUNCTION("""COMPUTED_VALUE"""),"HUB-LSP-18")</f>
        <v>HUB-LSP-18</v>
      </c>
      <c r="D2101" s="234">
        <f>IFERROR(__xludf.DUMMYFUNCTION("""COMPUTED_VALUE"""),8.0)</f>
        <v>8</v>
      </c>
      <c r="E2101" s="237" t="str">
        <f>IFERROR(__xludf.DUMMYFUNCTION("""COMPUTED_VALUE"""),"LT0PC801TO4I1")</f>
        <v>LT0PC801TO4I1</v>
      </c>
      <c r="F2101" s="238" t="str">
        <f>IFERROR(__xludf.DUMMYFUNCTION("""COMPUTED_VALUE"""),"EKH0I75")</f>
        <v>EKH0I75</v>
      </c>
      <c r="G2101" s="238">
        <f>IFERROR(__xludf.DUMMYFUNCTION("""COMPUTED_VALUE"""),45999.9375)</f>
        <v>45999.9375</v>
      </c>
      <c r="H2101" s="238">
        <f>IFERROR(__xludf.DUMMYFUNCTION("""COMPUTED_VALUE"""),46000.02083333333)</f>
        <v>46000.02083</v>
      </c>
      <c r="I2101" s="237" t="str">
        <f t="shared" si="1"/>
        <v>Fora</v>
      </c>
      <c r="J2101" s="239">
        <v>119.99999999301508</v>
      </c>
    </row>
    <row r="2102">
      <c r="A2102" s="234" t="s">
        <v>3792</v>
      </c>
      <c r="B2102" s="234" t="str">
        <f>IFERROR(__xludf.DUMMYFUNCTION("""COMPUTED_VALUE"""),"LM Hub_SP_VilaGuilherme")</f>
        <v>LM Hub_SP_VilaGuilherme</v>
      </c>
      <c r="C2102" s="234" t="str">
        <f>IFERROR(__xludf.DUMMYFUNCTION("""COMPUTED_VALUE"""),"HUB-LSP-68")</f>
        <v>HUB-LSP-68</v>
      </c>
      <c r="D2102" s="234">
        <f>IFERROR(__xludf.DUMMYFUNCTION("""COMPUTED_VALUE"""),40.0)</f>
        <v>40</v>
      </c>
      <c r="E2102" s="237" t="str">
        <f>IFERROR(__xludf.DUMMYFUNCTION("""COMPUTED_VALUE"""),"LT0PC801TO6J1")</f>
        <v>LT0PC801TO6J1</v>
      </c>
      <c r="F2102" s="238" t="str">
        <f>IFERROR(__xludf.DUMMYFUNCTION("""COMPUTED_VALUE"""),"QPV1A02,ELQ6F04")</f>
        <v>QPV1A02,ELQ6F04</v>
      </c>
      <c r="G2102" s="238">
        <f>IFERROR(__xludf.DUMMYFUNCTION("""COMPUTED_VALUE"""),45999.9375)</f>
        <v>45999.9375</v>
      </c>
      <c r="H2102" s="238">
        <f>IFERROR(__xludf.DUMMYFUNCTION("""COMPUTED_VALUE"""),46000.02083333333)</f>
        <v>46000.02083</v>
      </c>
      <c r="I2102" s="237" t="str">
        <f t="shared" si="1"/>
        <v>Fora</v>
      </c>
      <c r="J2102" s="239">
        <v>120.00000001396984</v>
      </c>
    </row>
    <row r="2103">
      <c r="A2103" s="234" t="s">
        <v>3793</v>
      </c>
      <c r="B2103" s="234" t="str">
        <f>IFERROR(__xludf.DUMMYFUNCTION("""COMPUTED_VALUE"""),"LM Hub_SP_Jundiaí")</f>
        <v>LM Hub_SP_Jundiaí</v>
      </c>
      <c r="C2103" s="234" t="str">
        <f>IFERROR(__xludf.DUMMYFUNCTION("""COMPUTED_VALUE"""),"HUB-LSP-100")</f>
        <v>HUB-LSP-100</v>
      </c>
      <c r="D2103" s="234">
        <f>IFERROR(__xludf.DUMMYFUNCTION("""COMPUTED_VALUE"""),16.0)</f>
        <v>16</v>
      </c>
      <c r="E2103" s="237" t="str">
        <f>IFERROR(__xludf.DUMMYFUNCTION("""COMPUTED_VALUE"""),"LT0PC801TWTZ1")</f>
        <v>LT0PC801TWTZ1</v>
      </c>
      <c r="F2103" s="238" t="str">
        <f>IFERROR(__xludf.DUMMYFUNCTION("""COMPUTED_VALUE"""),"FQP0G56,TLH9E09")</f>
        <v>FQP0G56,TLH9E09</v>
      </c>
      <c r="G2103" s="238">
        <f>IFERROR(__xludf.DUMMYFUNCTION("""COMPUTED_VALUE"""),45999.95833333333)</f>
        <v>45999.95833</v>
      </c>
      <c r="H2103" s="238">
        <f>IFERROR(__xludf.DUMMYFUNCTION("""COMPUTED_VALUE"""),46000.04166666667)</f>
        <v>46000.04167</v>
      </c>
      <c r="I2103" s="237" t="str">
        <f t="shared" si="1"/>
        <v>Fora</v>
      </c>
      <c r="J2103" s="239">
        <v>120.00000001396984</v>
      </c>
    </row>
    <row r="2104">
      <c r="A2104" s="234" t="s">
        <v>3794</v>
      </c>
      <c r="B2104" s="234" t="str">
        <f>IFERROR(__xludf.DUMMYFUNCTION("""COMPUTED_VALUE"""),"LM Hub_SP_Mogi Mirim")</f>
        <v>LM Hub_SP_Mogi Mirim</v>
      </c>
      <c r="C2104" s="234" t="str">
        <f>IFERROR(__xludf.DUMMYFUNCTION("""COMPUTED_VALUE"""),"HUB-LSP-37")</f>
        <v>HUB-LSP-37</v>
      </c>
      <c r="D2104" s="234">
        <f>IFERROR(__xludf.DUMMYFUNCTION("""COMPUTED_VALUE"""),34.0)</f>
        <v>34</v>
      </c>
      <c r="E2104" s="237" t="str">
        <f>IFERROR(__xludf.DUMMYFUNCTION("""COMPUTED_VALUE"""),"LT0PC801TOD51")</f>
        <v>LT0PC801TOD51</v>
      </c>
      <c r="F2104" s="238" t="str">
        <f>IFERROR(__xludf.DUMMYFUNCTION("""COMPUTED_VALUE"""),"STW5B17,TLF7F34")</f>
        <v>STW5B17,TLF7F34</v>
      </c>
      <c r="G2104" s="238">
        <f>IFERROR(__xludf.DUMMYFUNCTION("""COMPUTED_VALUE"""),45999.95833333333)</f>
        <v>45999.95833</v>
      </c>
      <c r="H2104" s="238">
        <f>IFERROR(__xludf.DUMMYFUNCTION("""COMPUTED_VALUE"""),46000.04166666667)</f>
        <v>46000.04167</v>
      </c>
      <c r="I2104" s="237" t="str">
        <f t="shared" si="1"/>
        <v>Fora</v>
      </c>
      <c r="J2104" s="239">
        <v>119.99999999301508</v>
      </c>
    </row>
    <row r="2105">
      <c r="A2105" s="234" t="s">
        <v>3795</v>
      </c>
      <c r="B2105" s="234" t="str">
        <f>IFERROR(__xludf.DUMMYFUNCTION("""COMPUTED_VALUE"""),"LM Hub_SP_Araraquara")</f>
        <v>LM Hub_SP_Araraquara</v>
      </c>
      <c r="C2105" s="234" t="str">
        <f>IFERROR(__xludf.DUMMYFUNCTION("""COMPUTED_VALUE"""),"HUB-LSP-29")</f>
        <v>HUB-LSP-29</v>
      </c>
      <c r="D2105" s="234">
        <f>IFERROR(__xludf.DUMMYFUNCTION("""COMPUTED_VALUE"""),46.0)</f>
        <v>46</v>
      </c>
      <c r="E2105" s="237" t="str">
        <f>IFERROR(__xludf.DUMMYFUNCTION("""COMPUTED_VALUE"""),"LT0PC801TODG1")</f>
        <v>LT0PC801TODG1</v>
      </c>
      <c r="F2105" s="238" t="str">
        <f>IFERROR(__xludf.DUMMYFUNCTION("""COMPUTED_VALUE"""),"EWJ2H21")</f>
        <v>EWJ2H21</v>
      </c>
      <c r="G2105" s="238">
        <f>IFERROR(__xludf.DUMMYFUNCTION("""COMPUTED_VALUE"""),45999.97916666667)</f>
        <v>45999.97917</v>
      </c>
      <c r="H2105" s="238">
        <f>IFERROR(__xludf.DUMMYFUNCTION("""COMPUTED_VALUE"""),46000.0625)</f>
        <v>46000.0625</v>
      </c>
      <c r="I2105" s="237" t="str">
        <f t="shared" si="1"/>
        <v>Fora</v>
      </c>
      <c r="J2105" s="239">
        <v>119.99999999301508</v>
      </c>
    </row>
    <row r="2106">
      <c r="A2106" s="234" t="s">
        <v>3796</v>
      </c>
      <c r="B2106" s="234" t="str">
        <f>IFERROR(__xludf.DUMMYFUNCTION("""COMPUTED_VALUE"""),"LM Hub_SP_Atibaia_Ponte_Alta")</f>
        <v>LM Hub_SP_Atibaia_Ponte_Alta</v>
      </c>
      <c r="C2106" s="234" t="str">
        <f>IFERROR(__xludf.DUMMYFUNCTION("""COMPUTED_VALUE"""),"HUB-LSP-87")</f>
        <v>HUB-LSP-87</v>
      </c>
      <c r="D2106" s="234">
        <f>IFERROR(__xludf.DUMMYFUNCTION("""COMPUTED_VALUE"""),5.0)</f>
        <v>5</v>
      </c>
      <c r="E2106" s="237" t="str">
        <f>IFERROR(__xludf.DUMMYFUNCTION("""COMPUTED_VALUE"""),"LT0PC801TTRG1")</f>
        <v>LT0PC801TTRG1</v>
      </c>
      <c r="F2106" s="238" t="str">
        <f>IFERROR(__xludf.DUMMYFUNCTION("""COMPUTED_VALUE"""),"QTV9B66,DPR1F59")</f>
        <v>QTV9B66,DPR1F59</v>
      </c>
      <c r="G2106" s="238">
        <f>IFERROR(__xludf.DUMMYFUNCTION("""COMPUTED_VALUE"""),45999.97916666667)</f>
        <v>45999.97917</v>
      </c>
      <c r="H2106" s="238">
        <f>IFERROR(__xludf.DUMMYFUNCTION("""COMPUTED_VALUE"""),46000.0625)</f>
        <v>46000.0625</v>
      </c>
      <c r="I2106" s="237" t="str">
        <f t="shared" si="1"/>
        <v>Fora</v>
      </c>
      <c r="J2106" s="239">
        <v>119.99999999301508</v>
      </c>
    </row>
    <row r="2107">
      <c r="A2107" s="234" t="s">
        <v>3797</v>
      </c>
      <c r="B2107" s="234" t="str">
        <f>IFERROR(__xludf.DUMMYFUNCTION("""COMPUTED_VALUE"""),"LM Hub_SP_Várzea Paulista")</f>
        <v>LM Hub_SP_Várzea Paulista</v>
      </c>
      <c r="C2107" s="234" t="str">
        <f>IFERROR(__xludf.DUMMYFUNCTION("""COMPUTED_VALUE"""),"HUB-LSP-61")</f>
        <v>HUB-LSP-61</v>
      </c>
      <c r="D2107" s="234">
        <f>IFERROR(__xludf.DUMMYFUNCTION("""COMPUTED_VALUE"""),48.0)</f>
        <v>48</v>
      </c>
      <c r="E2107" s="237" t="str">
        <f>IFERROR(__xludf.DUMMYFUNCTION("""COMPUTED_VALUE"""),"LT0PC801TOBM1")</f>
        <v>LT0PC801TOBM1</v>
      </c>
      <c r="F2107" s="238" t="str">
        <f>IFERROR(__xludf.DUMMYFUNCTION("""COMPUTED_VALUE"""),"HEL8635,UGE7G44")</f>
        <v>HEL8635,UGE7G44</v>
      </c>
      <c r="G2107" s="238">
        <f>IFERROR(__xludf.DUMMYFUNCTION("""COMPUTED_VALUE"""),45999.97916666667)</f>
        <v>45999.97917</v>
      </c>
      <c r="H2107" s="238">
        <f>IFERROR(__xludf.DUMMYFUNCTION("""COMPUTED_VALUE"""),46000.0625)</f>
        <v>46000.0625</v>
      </c>
      <c r="I2107" s="237" t="str">
        <f t="shared" si="1"/>
        <v>Fora</v>
      </c>
      <c r="J2107" s="239">
        <v>119.99999999301508</v>
      </c>
    </row>
    <row r="2108">
      <c r="A2108" s="234" t="s">
        <v>3798</v>
      </c>
      <c r="B2108" s="234" t="str">
        <f>IFERROR(__xludf.DUMMYFUNCTION("""COMPUTED_VALUE"""),"SoC_PE_Jaboatão dos Guararapes")</f>
        <v>SoC_PE_Jaboatão dos Guararapes</v>
      </c>
      <c r="C2108" s="234" t="str">
        <f>IFERROR(__xludf.DUMMYFUNCTION("""COMPUTED_VALUE"""),"SOC-PE2")</f>
        <v>SOC-PE2</v>
      </c>
      <c r="D2108" s="234">
        <f>IFERROR(__xludf.DUMMYFUNCTION("""COMPUTED_VALUE"""),19.0)</f>
        <v>19</v>
      </c>
      <c r="E2108" s="237" t="str">
        <f>IFERROR(__xludf.DUMMYFUNCTION("""COMPUTED_VALUE"""),"LT0PC901TVII1")</f>
        <v>LT0PC901TVII1</v>
      </c>
      <c r="F2108" s="238" t="str">
        <f>IFERROR(__xludf.DUMMYFUNCTION("""COMPUTED_VALUE"""),"STT2C36,UFY5B09")</f>
        <v>STT2C36,UFY5B09</v>
      </c>
      <c r="G2108" s="238">
        <f>IFERROR(__xludf.DUMMYFUNCTION("""COMPUTED_VALUE"""),46000.0)</f>
        <v>46000</v>
      </c>
      <c r="H2108" s="238">
        <f>IFERROR(__xludf.DUMMYFUNCTION("""COMPUTED_VALUE"""),46000.08333333333)</f>
        <v>46000.08333</v>
      </c>
      <c r="I2108" s="237" t="str">
        <f t="shared" si="1"/>
        <v>Fora</v>
      </c>
      <c r="J2108" s="239">
        <v>119.99999999301508</v>
      </c>
    </row>
    <row r="2109">
      <c r="A2109" s="234" t="s">
        <v>3799</v>
      </c>
      <c r="B2109" s="234" t="str">
        <f>IFERROR(__xludf.DUMMYFUNCTION("""COMPUTED_VALUE"""),"SoC_PR_Curitiba")</f>
        <v>SoC_PR_Curitiba</v>
      </c>
      <c r="C2109" s="234" t="str">
        <f>IFERROR(__xludf.DUMMYFUNCTION("""COMPUTED_VALUE"""),"SOC-PR1")</f>
        <v>SOC-PR1</v>
      </c>
      <c r="D2109" s="234">
        <f>IFERROR(__xludf.DUMMYFUNCTION("""COMPUTED_VALUE"""),49.0)</f>
        <v>49</v>
      </c>
      <c r="E2109" s="237" t="str">
        <f>IFERROR(__xludf.DUMMYFUNCTION("""COMPUTED_VALUE"""),"LT0PC901TNZI1")</f>
        <v>LT0PC901TNZI1</v>
      </c>
      <c r="F2109" s="238" t="str">
        <f>IFERROR(__xludf.DUMMYFUNCTION("""COMPUTED_VALUE"""),"CUC1I14,BEY5C17")</f>
        <v>CUC1I14,BEY5C17</v>
      </c>
      <c r="G2109" s="238">
        <f>IFERROR(__xludf.DUMMYFUNCTION("""COMPUTED_VALUE"""),46000.0)</f>
        <v>46000</v>
      </c>
      <c r="H2109" s="238">
        <f>IFERROR(__xludf.DUMMYFUNCTION("""COMPUTED_VALUE"""),46000.08333333333)</f>
        <v>46000.08333</v>
      </c>
      <c r="I2109" s="237" t="str">
        <f t="shared" si="1"/>
        <v>Fora</v>
      </c>
      <c r="J2109" s="239">
        <v>119.99999999301508</v>
      </c>
    </row>
    <row r="2110">
      <c r="A2110" s="234" t="s">
        <v>3800</v>
      </c>
      <c r="B2110" s="234" t="str">
        <f>IFERROR(__xludf.DUMMYFUNCTION("""COMPUTED_VALUE"""),"SoC_RS_Gravataí_02")</f>
        <v>SoC_RS_Gravataí_02</v>
      </c>
      <c r="C2110" s="234" t="str">
        <f>IFERROR(__xludf.DUMMYFUNCTION("""COMPUTED_VALUE"""),"SOC-RS2")</f>
        <v>SOC-RS2</v>
      </c>
      <c r="D2110" s="234">
        <f>IFERROR(__xludf.DUMMYFUNCTION("""COMPUTED_VALUE"""),23.0)</f>
        <v>23</v>
      </c>
      <c r="E2110" s="237" t="str">
        <f>IFERROR(__xludf.DUMMYFUNCTION("""COMPUTED_VALUE"""),"LT0PC901TW0L1")</f>
        <v>LT0PC901TW0L1</v>
      </c>
      <c r="F2110" s="238" t="str">
        <f>IFERROR(__xludf.DUMMYFUNCTION("""COMPUTED_VALUE"""),"MEZ4C58,ITQ0A32")</f>
        <v>MEZ4C58,ITQ0A32</v>
      </c>
      <c r="G2110" s="238">
        <f>IFERROR(__xludf.DUMMYFUNCTION("""COMPUTED_VALUE"""),46000.0)</f>
        <v>46000</v>
      </c>
      <c r="H2110" s="238">
        <f>IFERROR(__xludf.DUMMYFUNCTION("""COMPUTED_VALUE"""),46000.08333333333)</f>
        <v>46000.08333</v>
      </c>
      <c r="I2110" s="237" t="str">
        <f t="shared" si="1"/>
        <v>Fora</v>
      </c>
      <c r="J2110" s="239">
        <v>119.99999999301508</v>
      </c>
    </row>
    <row r="2111">
      <c r="A2111" s="234" t="s">
        <v>3801</v>
      </c>
      <c r="B2111" s="234" t="str">
        <f>IFERROR(__xludf.DUMMYFUNCTION("""COMPUTED_VALUE"""),"SoC_SC_Itajaí")</f>
        <v>SoC_SC_Itajaí</v>
      </c>
      <c r="C2111" s="234" t="str">
        <f>IFERROR(__xludf.DUMMYFUNCTION("""COMPUTED_VALUE"""),"SOC-SC1")</f>
        <v>SOC-SC1</v>
      </c>
      <c r="D2111" s="234">
        <f>IFERROR(__xludf.DUMMYFUNCTION("""COMPUTED_VALUE"""),26.0)</f>
        <v>26</v>
      </c>
      <c r="E2111" s="237" t="str">
        <f>IFERROR(__xludf.DUMMYFUNCTION("""COMPUTED_VALUE"""),"LT0PC901TUIR1")</f>
        <v>LT0PC901TUIR1</v>
      </c>
      <c r="F2111" s="238" t="str">
        <f>IFERROR(__xludf.DUMMYFUNCTION("""COMPUTED_VALUE"""),"TBV9I29,MIX7C03")</f>
        <v>TBV9I29,MIX7C03</v>
      </c>
      <c r="G2111" s="238">
        <f>IFERROR(__xludf.DUMMYFUNCTION("""COMPUTED_VALUE"""),46000.0)</f>
        <v>46000</v>
      </c>
      <c r="H2111" s="238">
        <f>IFERROR(__xludf.DUMMYFUNCTION("""COMPUTED_VALUE"""),46000.08333333333)</f>
        <v>46000.08333</v>
      </c>
      <c r="I2111" s="237" t="str">
        <f t="shared" si="1"/>
        <v>Fora</v>
      </c>
      <c r="J2111" s="239">
        <v>118.99999998975545</v>
      </c>
    </row>
    <row r="2112">
      <c r="A2112" s="234" t="s">
        <v>3802</v>
      </c>
      <c r="B2112" s="234" t="str">
        <f>IFERROR(__xludf.DUMMYFUNCTION("""COMPUTED_VALUE"""),"LM Hub_ES_Viana")</f>
        <v>LM Hub_ES_Viana</v>
      </c>
      <c r="C2112" s="234" t="str">
        <f>IFERROR(__xludf.DUMMYFUNCTION("""COMPUTED_VALUE"""),"HUB-LES-09")</f>
        <v>HUB-LES-09</v>
      </c>
      <c r="D2112" s="234">
        <f>IFERROR(__xludf.DUMMYFUNCTION("""COMPUTED_VALUE"""),35.0)</f>
        <v>35</v>
      </c>
      <c r="E2112" s="237" t="str">
        <f>IFERROR(__xludf.DUMMYFUNCTION("""COMPUTED_VALUE"""),"LT0PC901TTXI1")</f>
        <v>LT0PC901TTXI1</v>
      </c>
      <c r="F2112" s="238" t="str">
        <f>IFERROR(__xludf.DUMMYFUNCTION("""COMPUTED_VALUE"""),"EWH2A20,STX2A41")</f>
        <v>EWH2A20,STX2A41</v>
      </c>
      <c r="G2112" s="238">
        <f>IFERROR(__xludf.DUMMYFUNCTION("""COMPUTED_VALUE"""),46000.00069444445)</f>
        <v>46000.00069</v>
      </c>
      <c r="H2112" s="238">
        <f>IFERROR(__xludf.DUMMYFUNCTION("""COMPUTED_VALUE"""),46000.08333333333)</f>
        <v>46000.08333</v>
      </c>
      <c r="I2112" s="237" t="str">
        <f t="shared" si="1"/>
        <v>Fora</v>
      </c>
      <c r="J2112" s="239">
        <v>120.00000001396984</v>
      </c>
    </row>
    <row r="2113">
      <c r="A2113" s="234" t="s">
        <v>3803</v>
      </c>
      <c r="B2113" s="234" t="str">
        <f>IFERROR(__xludf.DUMMYFUNCTION("""COMPUTED_VALUE"""),"LM Hub_MG_Varginha_Fausto")</f>
        <v>LM Hub_MG_Varginha_Fausto</v>
      </c>
      <c r="C2113" s="234" t="str">
        <f>IFERROR(__xludf.DUMMYFUNCTION("""COMPUTED_VALUE"""),"HUB-LMG-45")</f>
        <v>HUB-LMG-45</v>
      </c>
      <c r="D2113" s="234">
        <f>IFERROR(__xludf.DUMMYFUNCTION("""COMPUTED_VALUE"""),13.0)</f>
        <v>13</v>
      </c>
      <c r="E2113" s="237" t="str">
        <f>IFERROR(__xludf.DUMMYFUNCTION("""COMPUTED_VALUE"""),"LT0PC901TV8I1")</f>
        <v>LT0PC901TV8I1</v>
      </c>
      <c r="F2113" s="238" t="str">
        <f>IFERROR(__xludf.DUMMYFUNCTION("""COMPUTED_VALUE"""),"TXL4G82,TPQ6G17")</f>
        <v>TXL4G82,TPQ6G17</v>
      </c>
      <c r="G2113" s="238">
        <f>IFERROR(__xludf.DUMMYFUNCTION("""COMPUTED_VALUE"""),46000.02083333333)</f>
        <v>46000.02083</v>
      </c>
      <c r="H2113" s="238">
        <f>IFERROR(__xludf.DUMMYFUNCTION("""COMPUTED_VALUE"""),46000.10416666667)</f>
        <v>46000.10417</v>
      </c>
      <c r="I2113" s="237" t="str">
        <f t="shared" si="1"/>
        <v>Fora</v>
      </c>
      <c r="J2113" s="239">
        <v>119.99999999301508</v>
      </c>
    </row>
    <row r="2114">
      <c r="A2114" s="234" t="s">
        <v>3804</v>
      </c>
      <c r="B2114" s="234" t="str">
        <f>IFERROR(__xludf.DUMMYFUNCTION("""COMPUTED_VALUE"""),"SoC_SP_Louveira")</f>
        <v>SoC_SP_Louveira</v>
      </c>
      <c r="C2114" s="234" t="str">
        <f>IFERROR(__xludf.DUMMYFUNCTION("""COMPUTED_VALUE"""),"SOC-SP7")</f>
        <v>SOC-SP7</v>
      </c>
      <c r="D2114" s="234">
        <f>IFERROR(__xludf.DUMMYFUNCTION("""COMPUTED_VALUE"""),33.0)</f>
        <v>33</v>
      </c>
      <c r="E2114" s="237" t="str">
        <f>IFERROR(__xludf.DUMMYFUNCTION("""COMPUTED_VALUE"""),"LT0PC901TO2G1")</f>
        <v>LT0PC901TO2G1</v>
      </c>
      <c r="F2114" s="238" t="str">
        <f>IFERROR(__xludf.DUMMYFUNCTION("""COMPUTED_VALUE"""),"EKU0C05,FXE2B95")</f>
        <v>EKU0C05,FXE2B95</v>
      </c>
      <c r="G2114" s="238">
        <f>IFERROR(__xludf.DUMMYFUNCTION("""COMPUTED_VALUE"""),46000.04166666667)</f>
        <v>46000.04167</v>
      </c>
      <c r="H2114" s="238">
        <f>IFERROR(__xludf.DUMMYFUNCTION("""COMPUTED_VALUE"""),46000.125)</f>
        <v>46000.125</v>
      </c>
      <c r="I2114" s="237" t="str">
        <f t="shared" si="1"/>
        <v>Fora</v>
      </c>
      <c r="J2114" s="239">
        <v>120.00000001396984</v>
      </c>
    </row>
    <row r="2115">
      <c r="A2115" s="234" t="s">
        <v>3805</v>
      </c>
      <c r="B2115" s="234" t="str">
        <f>IFERROR(__xludf.DUMMYFUNCTION("""COMPUTED_VALUE"""),"LM Hub_SP_Tatuí")</f>
        <v>LM Hub_SP_Tatuí</v>
      </c>
      <c r="C2115" s="234" t="str">
        <f>IFERROR(__xludf.DUMMYFUNCTION("""COMPUTED_VALUE"""),"HUB-LSP-51")</f>
        <v>HUB-LSP-51</v>
      </c>
      <c r="D2115" s="234">
        <f>IFERROR(__xludf.DUMMYFUNCTION("""COMPUTED_VALUE"""),17.0)</f>
        <v>17</v>
      </c>
      <c r="E2115" s="237" t="str">
        <f>IFERROR(__xludf.DUMMYFUNCTION("""COMPUTED_VALUE"""),"LT0PC901TO771")</f>
        <v>LT0PC901TO771</v>
      </c>
      <c r="F2115" s="238" t="str">
        <f>IFERROR(__xludf.DUMMYFUNCTION("""COMPUTED_VALUE"""),"GFM6E44,GBH5G53")</f>
        <v>GFM6E44,GBH5G53</v>
      </c>
      <c r="G2115" s="238">
        <f>IFERROR(__xludf.DUMMYFUNCTION("""COMPUTED_VALUE"""),46000.08333333333)</f>
        <v>46000.08333</v>
      </c>
      <c r="H2115" s="238">
        <f>IFERROR(__xludf.DUMMYFUNCTION("""COMPUTED_VALUE"""),46000.16666666667)</f>
        <v>46000.16667</v>
      </c>
      <c r="I2115" s="237" t="str">
        <f t="shared" si="1"/>
        <v>Fora</v>
      </c>
      <c r="J2115" s="239">
        <v>120.00000001396984</v>
      </c>
    </row>
    <row r="2116">
      <c r="A2116" s="234" t="s">
        <v>3806</v>
      </c>
      <c r="B2116" s="234" t="str">
        <f>IFERROR(__xludf.DUMMYFUNCTION("""COMPUTED_VALUE"""),"LM Hub_SP_Tatuí")</f>
        <v>LM Hub_SP_Tatuí</v>
      </c>
      <c r="C2116" s="234" t="str">
        <f>IFERROR(__xludf.DUMMYFUNCTION("""COMPUTED_VALUE"""),"HUB-LSP-51")</f>
        <v>HUB-LSP-51</v>
      </c>
      <c r="D2116" s="234">
        <f>IFERROR(__xludf.DUMMYFUNCTION("""COMPUTED_VALUE"""),12.0)</f>
        <v>12</v>
      </c>
      <c r="E2116" s="237" t="str">
        <f>IFERROR(__xludf.DUMMYFUNCTION("""COMPUTED_VALUE"""),"LT0PC901TO792")</f>
        <v>LT0PC901TO792</v>
      </c>
      <c r="F2116" s="238" t="str">
        <f>IFERROR(__xludf.DUMMYFUNCTION("""COMPUTED_VALUE"""),"SVM8J76,BQP1A71")</f>
        <v>SVM8J76,BQP1A71</v>
      </c>
      <c r="G2116" s="238">
        <f>IFERROR(__xludf.DUMMYFUNCTION("""COMPUTED_VALUE"""),46000.08333333333)</f>
        <v>46000.08333</v>
      </c>
      <c r="H2116" s="238">
        <f>IFERROR(__xludf.DUMMYFUNCTION("""COMPUTED_VALUE"""),46000.16666666667)</f>
        <v>46000.16667</v>
      </c>
      <c r="I2116" s="237" t="str">
        <f t="shared" si="1"/>
        <v>Fora</v>
      </c>
      <c r="J2116" s="239">
        <v>120.00000001396984</v>
      </c>
    </row>
    <row r="2117">
      <c r="A2117" s="234" t="s">
        <v>3807</v>
      </c>
      <c r="B2117" s="234" t="str">
        <f>IFERROR(__xludf.DUMMYFUNCTION("""COMPUTED_VALUE"""),"SoC_SP_Santana")</f>
        <v>SoC_SP_Santana</v>
      </c>
      <c r="C2117" s="234" t="str">
        <f>IFERROR(__xludf.DUMMYFUNCTION("""COMPUTED_VALUE"""),"SOC-SP2")</f>
        <v>SOC-SP2</v>
      </c>
      <c r="D2117" s="234">
        <f>IFERROR(__xludf.DUMMYFUNCTION("""COMPUTED_VALUE"""),32.0)</f>
        <v>32</v>
      </c>
      <c r="E2117" s="237" t="str">
        <f>IFERROR(__xludf.DUMMYFUNCTION("""COMPUTED_VALUE"""),"LT0PC901TNGD1")</f>
        <v>LT0PC901TNGD1</v>
      </c>
      <c r="F2117" s="238" t="str">
        <f>IFERROR(__xludf.DUMMYFUNCTION("""COMPUTED_VALUE"""),"EFU9C99,IND2879")</f>
        <v>EFU9C99,IND2879</v>
      </c>
      <c r="G2117" s="238">
        <f>IFERROR(__xludf.DUMMYFUNCTION("""COMPUTED_VALUE"""),46000.08333333333)</f>
        <v>46000.08333</v>
      </c>
      <c r="H2117" s="238">
        <f>IFERROR(__xludf.DUMMYFUNCTION("""COMPUTED_VALUE"""),46000.16666666667)</f>
        <v>46000.16667</v>
      </c>
      <c r="I2117" s="237" t="str">
        <f t="shared" si="1"/>
        <v>Fora</v>
      </c>
      <c r="J2117" s="239">
        <v>119.99999999301508</v>
      </c>
    </row>
    <row r="2118">
      <c r="A2118" s="234" t="s">
        <v>3808</v>
      </c>
      <c r="B2118" s="234" t="str">
        <f>IFERROR(__xludf.DUMMYFUNCTION("""COMPUTED_VALUE"""),"LM Hub_SP_Itapetininga")</f>
        <v>LM Hub_SP_Itapetininga</v>
      </c>
      <c r="C2118" s="234" t="str">
        <f>IFERROR(__xludf.DUMMYFUNCTION("""COMPUTED_VALUE"""),"HUB-LSP-53")</f>
        <v>HUB-LSP-53</v>
      </c>
      <c r="D2118" s="234">
        <f>IFERROR(__xludf.DUMMYFUNCTION("""COMPUTED_VALUE"""),44.0)</f>
        <v>44</v>
      </c>
      <c r="E2118" s="237" t="str">
        <f>IFERROR(__xludf.DUMMYFUNCTION("""COMPUTED_VALUE"""),"LT0PC901TO6Z1")</f>
        <v>LT0PC901TO6Z1</v>
      </c>
      <c r="F2118" s="238" t="str">
        <f>IFERROR(__xludf.DUMMYFUNCTION("""COMPUTED_VALUE"""),"FLQ1E34,FLQ1E30")</f>
        <v>FLQ1E34,FLQ1E30</v>
      </c>
      <c r="G2118" s="238">
        <f>IFERROR(__xludf.DUMMYFUNCTION("""COMPUTED_VALUE"""),46000.10416666667)</f>
        <v>46000.10417</v>
      </c>
      <c r="H2118" s="238">
        <f>IFERROR(__xludf.DUMMYFUNCTION("""COMPUTED_VALUE"""),46000.1875)</f>
        <v>46000.1875</v>
      </c>
      <c r="I2118" s="237" t="str">
        <f t="shared" si="1"/>
        <v>Fora</v>
      </c>
      <c r="J2118" s="239">
        <v>119.99999999301508</v>
      </c>
    </row>
    <row r="2119">
      <c r="A2119" s="234" t="s">
        <v>3809</v>
      </c>
      <c r="B2119" s="234" t="str">
        <f>IFERROR(__xludf.DUMMYFUNCTION("""COMPUTED_VALUE"""),"LM Hub_SP_São Carlos")</f>
        <v>LM Hub_SP_São Carlos</v>
      </c>
      <c r="C2119" s="234" t="str">
        <f>IFERROR(__xludf.DUMMYFUNCTION("""COMPUTED_VALUE"""),"HUB-LSP-31")</f>
        <v>HUB-LSP-31</v>
      </c>
      <c r="D2119" s="234"/>
      <c r="E2119" s="237" t="str">
        <f>IFERROR(__xludf.DUMMYFUNCTION("""COMPUTED_VALUE"""),"LT0PC901TOCA1")</f>
        <v>LT0PC901TOCA1</v>
      </c>
      <c r="F2119" s="238" t="str">
        <f>IFERROR(__xludf.DUMMYFUNCTION("""COMPUTED_VALUE"""),"-")</f>
        <v>-</v>
      </c>
      <c r="G2119" s="238">
        <f>IFERROR(__xludf.DUMMYFUNCTION("""COMPUTED_VALUE"""),46000.10416666667)</f>
        <v>46000.10417</v>
      </c>
      <c r="H2119" s="238">
        <f>IFERROR(__xludf.DUMMYFUNCTION("""COMPUTED_VALUE"""),46000.1875)</f>
        <v>46000.1875</v>
      </c>
      <c r="I2119" s="237" t="str">
        <f t="shared" si="1"/>
        <v>Fora</v>
      </c>
      <c r="J2119" s="239">
        <v>119.99999999301508</v>
      </c>
    </row>
    <row r="2120">
      <c r="A2120" s="234" t="s">
        <v>3810</v>
      </c>
      <c r="B2120" s="234" t="str">
        <f>IFERROR(__xludf.DUMMYFUNCTION("""COMPUTED_VALUE"""),"LM Hub_SP_Itapeva")</f>
        <v>LM Hub_SP_Itapeva</v>
      </c>
      <c r="C2120" s="234" t="str">
        <f>IFERROR(__xludf.DUMMYFUNCTION("""COMPUTED_VALUE"""),"HUB-LSP-39")</f>
        <v>HUB-LSP-39</v>
      </c>
      <c r="D2120" s="234">
        <f>IFERROR(__xludf.DUMMYFUNCTION("""COMPUTED_VALUE"""),6.0)</f>
        <v>6</v>
      </c>
      <c r="E2120" s="237" t="str">
        <f>IFERROR(__xludf.DUMMYFUNCTION("""COMPUTED_VALUE"""),"LT0PC901TO7J1")</f>
        <v>LT0PC901TO7J1</v>
      </c>
      <c r="F2120" s="238" t="str">
        <f>IFERROR(__xludf.DUMMYFUNCTION("""COMPUTED_VALUE"""),"ELW4798,QHK5G62")</f>
        <v>ELW4798,QHK5G62</v>
      </c>
      <c r="G2120" s="238">
        <f>IFERROR(__xludf.DUMMYFUNCTION("""COMPUTED_VALUE"""),46000.125)</f>
        <v>46000.125</v>
      </c>
      <c r="H2120" s="238">
        <f>IFERROR(__xludf.DUMMYFUNCTION("""COMPUTED_VALUE"""),46000.20833333333)</f>
        <v>46000.20833</v>
      </c>
      <c r="I2120" s="237" t="str">
        <f t="shared" si="1"/>
        <v>Fora</v>
      </c>
      <c r="J2120" s="239">
        <v>119.99999999301508</v>
      </c>
    </row>
    <row r="2121">
      <c r="A2121" s="234" t="s">
        <v>3811</v>
      </c>
      <c r="B2121" s="234" t="str">
        <f>IFERROR(__xludf.DUMMYFUNCTION("""COMPUTED_VALUE"""),"LM Hub_SP_Sumaré_Nova Veneza_1")</f>
        <v>LM Hub_SP_Sumaré_Nova Veneza_1</v>
      </c>
      <c r="C2121" s="234" t="str">
        <f>IFERROR(__xludf.DUMMYFUNCTION("""COMPUTED_VALUE"""),"HUB-LSP-88")</f>
        <v>HUB-LSP-88</v>
      </c>
      <c r="D2121" s="234">
        <f>IFERROR(__xludf.DUMMYFUNCTION("""COMPUTED_VALUE"""),36.0)</f>
        <v>36</v>
      </c>
      <c r="E2121" s="237" t="str">
        <f>IFERROR(__xludf.DUMMYFUNCTION("""COMPUTED_VALUE"""),"LT0PC901TV4U1")</f>
        <v>LT0PC901TV4U1</v>
      </c>
      <c r="F2121" s="238" t="str">
        <f>IFERROR(__xludf.DUMMYFUNCTION("""COMPUTED_VALUE"""),"SXK8E70,SXS2F29")</f>
        <v>SXK8E70,SXS2F29</v>
      </c>
      <c r="G2121" s="238">
        <f>IFERROR(__xludf.DUMMYFUNCTION("""COMPUTED_VALUE"""),46000.125)</f>
        <v>46000.125</v>
      </c>
      <c r="H2121" s="238">
        <f>IFERROR(__xludf.DUMMYFUNCTION("""COMPUTED_VALUE"""),46000.20833333333)</f>
        <v>46000.20833</v>
      </c>
      <c r="I2121" s="237" t="str">
        <f t="shared" si="1"/>
        <v>Fora</v>
      </c>
      <c r="J2121" s="239">
        <v>119.99999999301508</v>
      </c>
    </row>
    <row r="2122">
      <c r="A2122" s="234" t="s">
        <v>3812</v>
      </c>
      <c r="B2122" s="234" t="str">
        <f>IFERROR(__xludf.DUMMYFUNCTION("""COMPUTED_VALUE"""),"SoC_PE_Jaboatão dos Guararapes")</f>
        <v>SoC_PE_Jaboatão dos Guararapes</v>
      </c>
      <c r="C2122" s="234" t="str">
        <f>IFERROR(__xludf.DUMMYFUNCTION("""COMPUTED_VALUE"""),"SOC-PE2")</f>
        <v>SOC-PE2</v>
      </c>
      <c r="D2122" s="234">
        <f>IFERROR(__xludf.DUMMYFUNCTION("""COMPUTED_VALUE"""),19.0)</f>
        <v>19</v>
      </c>
      <c r="E2122" s="237" t="str">
        <f>IFERROR(__xludf.DUMMYFUNCTION("""COMPUTED_VALUE"""),"LT0PC901TVIN1")</f>
        <v>LT0PC901TVIN1</v>
      </c>
      <c r="F2122" s="238" t="str">
        <f>IFERROR(__xludf.DUMMYFUNCTION("""COMPUTED_VALUE"""),"OCZ8A21,NTK6D68")</f>
        <v>OCZ8A21,NTK6D68</v>
      </c>
      <c r="G2122" s="238">
        <f>IFERROR(__xludf.DUMMYFUNCTION("""COMPUTED_VALUE"""),46000.125)</f>
        <v>46000.125</v>
      </c>
      <c r="H2122" s="238">
        <f>IFERROR(__xludf.DUMMYFUNCTION("""COMPUTED_VALUE"""),46000.20833333333)</f>
        <v>46000.20833</v>
      </c>
      <c r="I2122" s="237" t="str">
        <f t="shared" si="1"/>
        <v>Fora</v>
      </c>
      <c r="J2122" s="239">
        <v>119.99999999301508</v>
      </c>
    </row>
    <row r="2123">
      <c r="A2123" s="234" t="s">
        <v>3813</v>
      </c>
      <c r="B2123" s="234" t="str">
        <f>IFERROR(__xludf.DUMMYFUNCTION("""COMPUTED_VALUE"""),"SoC_PR_Curitiba")</f>
        <v>SoC_PR_Curitiba</v>
      </c>
      <c r="C2123" s="234" t="str">
        <f>IFERROR(__xludf.DUMMYFUNCTION("""COMPUTED_VALUE"""),"SOC-PR1")</f>
        <v>SOC-PR1</v>
      </c>
      <c r="D2123" s="234">
        <f>IFERROR(__xludf.DUMMYFUNCTION("""COMPUTED_VALUE"""),40.0)</f>
        <v>40</v>
      </c>
      <c r="E2123" s="237" t="str">
        <f>IFERROR(__xludf.DUMMYFUNCTION("""COMPUTED_VALUE"""),"LT0PC901TNZR1")</f>
        <v>LT0PC901TNZR1</v>
      </c>
      <c r="F2123" s="238" t="str">
        <f>IFERROR(__xludf.DUMMYFUNCTION("""COMPUTED_VALUE"""),"TAI9I31,AXD6H11")</f>
        <v>TAI9I31,AXD6H11</v>
      </c>
      <c r="G2123" s="238">
        <f>IFERROR(__xludf.DUMMYFUNCTION("""COMPUTED_VALUE"""),46000.125)</f>
        <v>46000.125</v>
      </c>
      <c r="H2123" s="238">
        <f>IFERROR(__xludf.DUMMYFUNCTION("""COMPUTED_VALUE"""),46000.20833333333)</f>
        <v>46000.20833</v>
      </c>
      <c r="I2123" s="237" t="str">
        <f t="shared" si="1"/>
        <v>Fora</v>
      </c>
      <c r="J2123" s="239">
        <v>119.99999999301508</v>
      </c>
    </row>
    <row r="2124">
      <c r="A2124" s="234" t="s">
        <v>3814</v>
      </c>
      <c r="B2124" s="234" t="str">
        <f>IFERROR(__xludf.DUMMYFUNCTION("""COMPUTED_VALUE"""),"SoC_RS_Gravataí_02")</f>
        <v>SoC_RS_Gravataí_02</v>
      </c>
      <c r="C2124" s="234" t="str">
        <f>IFERROR(__xludf.DUMMYFUNCTION("""COMPUTED_VALUE"""),"SOC-RS2")</f>
        <v>SOC-RS2</v>
      </c>
      <c r="D2124" s="234">
        <f>IFERROR(__xludf.DUMMYFUNCTION("""COMPUTED_VALUE"""),21.0)</f>
        <v>21</v>
      </c>
      <c r="E2124" s="237" t="str">
        <f>IFERROR(__xludf.DUMMYFUNCTION("""COMPUTED_VALUE"""),"LT0PC901TW0R1")</f>
        <v>LT0PC901TW0R1</v>
      </c>
      <c r="F2124" s="238" t="str">
        <f>IFERROR(__xludf.DUMMYFUNCTION("""COMPUTED_VALUE"""),"TIR3H66,TKI3E64")</f>
        <v>TIR3H66,TKI3E64</v>
      </c>
      <c r="G2124" s="238">
        <f>IFERROR(__xludf.DUMMYFUNCTION("""COMPUTED_VALUE"""),46000.125)</f>
        <v>46000.125</v>
      </c>
      <c r="H2124" s="238">
        <f>IFERROR(__xludf.DUMMYFUNCTION("""COMPUTED_VALUE"""),46000.20833333333)</f>
        <v>46000.20833</v>
      </c>
      <c r="I2124" s="237" t="str">
        <f t="shared" si="1"/>
        <v>Fora</v>
      </c>
      <c r="J2124" s="239">
        <v>119.99999999301508</v>
      </c>
    </row>
    <row r="2125">
      <c r="A2125" s="234" t="s">
        <v>3815</v>
      </c>
      <c r="B2125" s="234" t="str">
        <f>IFERROR(__xludf.DUMMYFUNCTION("""COMPUTED_VALUE"""),"SoC_SP_Guarulhos")</f>
        <v>SoC_SP_Guarulhos</v>
      </c>
      <c r="C2125" s="234" t="str">
        <f>IFERROR(__xludf.DUMMYFUNCTION("""COMPUTED_VALUE"""),"SOC-SP6")</f>
        <v>SOC-SP6</v>
      </c>
      <c r="D2125" s="234">
        <f>IFERROR(__xludf.DUMMYFUNCTION("""COMPUTED_VALUE"""),9.0)</f>
        <v>9</v>
      </c>
      <c r="E2125" s="237" t="str">
        <f>IFERROR(__xludf.DUMMYFUNCTION("""COMPUTED_VALUE"""),"LT1PC901U2DY1")</f>
        <v>LT1PC901U2DY1</v>
      </c>
      <c r="F2125" s="238" t="str">
        <f>IFERROR(__xludf.DUMMYFUNCTION("""COMPUTED_VALUE"""),"RJG8E37,FCG5D30")</f>
        <v>RJG8E37,FCG5D30</v>
      </c>
      <c r="G2125" s="238">
        <f>IFERROR(__xludf.DUMMYFUNCTION("""COMPUTED_VALUE"""),46000.125)</f>
        <v>46000.125</v>
      </c>
      <c r="H2125" s="238">
        <f>IFERROR(__xludf.DUMMYFUNCTION("""COMPUTED_VALUE"""),46000.20833333333)</f>
        <v>46000.20833</v>
      </c>
      <c r="I2125" s="237" t="str">
        <f t="shared" si="1"/>
        <v>Fora</v>
      </c>
      <c r="J2125" s="239">
        <v>119.99999999301508</v>
      </c>
    </row>
    <row r="2126">
      <c r="A2126" s="234" t="s">
        <v>3816</v>
      </c>
      <c r="B2126" s="234" t="str">
        <f>IFERROR(__xludf.DUMMYFUNCTION("""COMPUTED_VALUE"""),"SoC_SP_Louveira")</f>
        <v>SoC_SP_Louveira</v>
      </c>
      <c r="C2126" s="234" t="str">
        <f>IFERROR(__xludf.DUMMYFUNCTION("""COMPUTED_VALUE"""),"SOC-SP7")</f>
        <v>SOC-SP7</v>
      </c>
      <c r="D2126" s="234">
        <f>IFERROR(__xludf.DUMMYFUNCTION("""COMPUTED_VALUE"""),34.0)</f>
        <v>34</v>
      </c>
      <c r="E2126" s="237" t="str">
        <f>IFERROR(__xludf.DUMMYFUNCTION("""COMPUTED_VALUE"""),"LT1PC901U2DS1")</f>
        <v>LT1PC901U2DS1</v>
      </c>
      <c r="F2126" s="238" t="str">
        <f>IFERROR(__xludf.DUMMYFUNCTION("""COMPUTED_VALUE"""),"ISQ7F01,ANM9G89")</f>
        <v>ISQ7F01,ANM9G89</v>
      </c>
      <c r="G2126" s="238">
        <f>IFERROR(__xludf.DUMMYFUNCTION("""COMPUTED_VALUE"""),46000.125)</f>
        <v>46000.125</v>
      </c>
      <c r="H2126" s="238">
        <f>IFERROR(__xludf.DUMMYFUNCTION("""COMPUTED_VALUE"""),46000.20833333333)</f>
        <v>46000.20833</v>
      </c>
      <c r="I2126" s="237" t="str">
        <f t="shared" si="1"/>
        <v>Fora</v>
      </c>
      <c r="J2126" s="239">
        <v>120.00000001396984</v>
      </c>
    </row>
    <row r="2127">
      <c r="A2127" s="234" t="s">
        <v>3817</v>
      </c>
      <c r="B2127" s="234" t="str">
        <f>IFERROR(__xludf.DUMMYFUNCTION("""COMPUTED_VALUE"""),"LM Hub_SP_Campinas_São Martinho")</f>
        <v>LM Hub_SP_Campinas_São Martinho</v>
      </c>
      <c r="C2127" s="234" t="str">
        <f>IFERROR(__xludf.DUMMYFUNCTION("""COMPUTED_VALUE"""),"HUB-LSP-19")</f>
        <v>HUB-LSP-19</v>
      </c>
      <c r="D2127" s="234"/>
      <c r="E2127" s="237" t="str">
        <f>IFERROR(__xludf.DUMMYFUNCTION("""COMPUTED_VALUE"""),"LT0PC901TOED1")</f>
        <v>LT0PC901TOED1</v>
      </c>
      <c r="F2127" s="238" t="str">
        <f>IFERROR(__xludf.DUMMYFUNCTION("""COMPUTED_VALUE"""),"ESU9H90,EUL5B82")</f>
        <v>ESU9H90,EUL5B82</v>
      </c>
      <c r="G2127" s="238">
        <f>IFERROR(__xludf.DUMMYFUNCTION("""COMPUTED_VALUE"""),46000.14583333333)</f>
        <v>46000.14583</v>
      </c>
      <c r="H2127" s="238">
        <f>IFERROR(__xludf.DUMMYFUNCTION("""COMPUTED_VALUE"""),46000.22916666667)</f>
        <v>46000.22917</v>
      </c>
      <c r="I2127" s="237" t="str">
        <f t="shared" si="1"/>
        <v>Fora</v>
      </c>
      <c r="J2127" s="239">
        <v>120.00000001396984</v>
      </c>
    </row>
    <row r="2128">
      <c r="A2128" s="234" t="s">
        <v>3818</v>
      </c>
      <c r="B2128" s="234" t="str">
        <f>IFERROR(__xludf.DUMMYFUNCTION("""COMPUTED_VALUE"""),"LM Hub_SP_Campinas_São Martinho")</f>
        <v>LM Hub_SP_Campinas_São Martinho</v>
      </c>
      <c r="C2128" s="234" t="str">
        <f>IFERROR(__xludf.DUMMYFUNCTION("""COMPUTED_VALUE"""),"HUB-LSP-19")</f>
        <v>HUB-LSP-19</v>
      </c>
      <c r="D2128" s="234">
        <f>IFERROR(__xludf.DUMMYFUNCTION("""COMPUTED_VALUE"""),15.0)</f>
        <v>15</v>
      </c>
      <c r="E2128" s="237" t="str">
        <f>IFERROR(__xludf.DUMMYFUNCTION("""COMPUTED_VALUE"""),"LT0PC901TOEE2")</f>
        <v>LT0PC901TOEE2</v>
      </c>
      <c r="F2128" s="238" t="str">
        <f>IFERROR(__xludf.DUMMYFUNCTION("""COMPUTED_VALUE"""),"AQM6H26,FZZ0G17")</f>
        <v>AQM6H26,FZZ0G17</v>
      </c>
      <c r="G2128" s="238">
        <f>IFERROR(__xludf.DUMMYFUNCTION("""COMPUTED_VALUE"""),46000.14583333333)</f>
        <v>46000.14583</v>
      </c>
      <c r="H2128" s="238">
        <f>IFERROR(__xludf.DUMMYFUNCTION("""COMPUTED_VALUE"""),46000.22916666667)</f>
        <v>46000.22917</v>
      </c>
      <c r="I2128" s="237" t="str">
        <f t="shared" si="1"/>
        <v>Fora</v>
      </c>
      <c r="J2128" s="239">
        <v>120.00000001396984</v>
      </c>
    </row>
    <row r="2129">
      <c r="A2129" s="234" t="s">
        <v>3819</v>
      </c>
      <c r="B2129" s="234" t="str">
        <f>IFERROR(__xludf.DUMMYFUNCTION("""COMPUTED_VALUE"""),"LM Hub_SP_Osasco_02")</f>
        <v>LM Hub_SP_Osasco_02</v>
      </c>
      <c r="C2129" s="234" t="str">
        <f>IFERROR(__xludf.DUMMYFUNCTION("""COMPUTED_VALUE"""),"HUB-LSP-60")</f>
        <v>HUB-LSP-60</v>
      </c>
      <c r="D2129" s="234">
        <f>IFERROR(__xludf.DUMMYFUNCTION("""COMPUTED_VALUE"""),25.0)</f>
        <v>25</v>
      </c>
      <c r="E2129" s="237" t="str">
        <f>IFERROR(__xludf.DUMMYFUNCTION("""COMPUTED_VALUE"""),"LT0PC901TQHC1")</f>
        <v>LT0PC901TQHC1</v>
      </c>
      <c r="F2129" s="238" t="str">
        <f>IFERROR(__xludf.DUMMYFUNCTION("""COMPUTED_VALUE"""),"EFU0F45,ELQ2B77")</f>
        <v>EFU0F45,ELQ2B77</v>
      </c>
      <c r="G2129" s="238">
        <f>IFERROR(__xludf.DUMMYFUNCTION("""COMPUTED_VALUE"""),46000.14583333333)</f>
        <v>46000.14583</v>
      </c>
      <c r="H2129" s="238">
        <f>IFERROR(__xludf.DUMMYFUNCTION("""COMPUTED_VALUE"""),46000.22916666667)</f>
        <v>46000.22917</v>
      </c>
      <c r="I2129" s="237" t="str">
        <f t="shared" si="1"/>
        <v>Fora</v>
      </c>
      <c r="J2129" s="239">
        <v>120.00000001396984</v>
      </c>
    </row>
    <row r="2130">
      <c r="A2130" s="234" t="s">
        <v>3820</v>
      </c>
      <c r="B2130" s="234" t="str">
        <f>IFERROR(__xludf.DUMMYFUNCTION("""COMPUTED_VALUE"""),"LM Hub_SP_Sorocaba_Região Norte")</f>
        <v>LM Hub_SP_Sorocaba_Região Norte</v>
      </c>
      <c r="C2130" s="234" t="str">
        <f>IFERROR(__xludf.DUMMYFUNCTION("""COMPUTED_VALUE"""),"HUB-LSP-10")</f>
        <v>HUB-LSP-10</v>
      </c>
      <c r="D2130" s="234"/>
      <c r="E2130" s="237" t="str">
        <f>IFERROR(__xludf.DUMMYFUNCTION("""COMPUTED_VALUE"""),"LT0PC901TNA11")</f>
        <v>LT0PC901TNA11</v>
      </c>
      <c r="F2130" s="238" t="str">
        <f>IFERROR(__xludf.DUMMYFUNCTION("""COMPUTED_VALUE"""),"FSG2C73,DBC5I22")</f>
        <v>FSG2C73,DBC5I22</v>
      </c>
      <c r="G2130" s="238">
        <f>IFERROR(__xludf.DUMMYFUNCTION("""COMPUTED_VALUE"""),46000.14583333333)</f>
        <v>46000.14583</v>
      </c>
      <c r="H2130" s="238">
        <f>IFERROR(__xludf.DUMMYFUNCTION("""COMPUTED_VALUE"""),46000.22916666667)</f>
        <v>46000.22917</v>
      </c>
      <c r="I2130" s="237" t="str">
        <f t="shared" si="1"/>
        <v>Fora</v>
      </c>
      <c r="J2130" s="239">
        <v>119.00000001071021</v>
      </c>
    </row>
    <row r="2131">
      <c r="A2131" s="234" t="s">
        <v>3821</v>
      </c>
      <c r="B2131" s="234" t="str">
        <f>IFERROR(__xludf.DUMMYFUNCTION("""COMPUTED_VALUE"""),"LM Hub_SP_Sorocaba_Região Norte")</f>
        <v>LM Hub_SP_Sorocaba_Região Norte</v>
      </c>
      <c r="C2131" s="234" t="str">
        <f>IFERROR(__xludf.DUMMYFUNCTION("""COMPUTED_VALUE"""),"HUB-LSP-10")</f>
        <v>HUB-LSP-10</v>
      </c>
      <c r="D2131" s="234">
        <f>IFERROR(__xludf.DUMMYFUNCTION("""COMPUTED_VALUE"""),14.0)</f>
        <v>14</v>
      </c>
      <c r="E2131" s="237" t="str">
        <f>IFERROR(__xludf.DUMMYFUNCTION("""COMPUTED_VALUE"""),"LT0PC901TOA21")</f>
        <v>LT0PC901TOA21</v>
      </c>
      <c r="F2131" s="238" t="str">
        <f>IFERROR(__xludf.DUMMYFUNCTION("""COMPUTED_VALUE"""),"NFW3H03,CYN6J16")</f>
        <v>NFW3H03,CYN6J16</v>
      </c>
      <c r="G2131" s="238">
        <f>IFERROR(__xludf.DUMMYFUNCTION("""COMPUTED_VALUE"""),46000.146527777775)</f>
        <v>46000.14653</v>
      </c>
      <c r="H2131" s="238">
        <f>IFERROR(__xludf.DUMMYFUNCTION("""COMPUTED_VALUE"""),46000.22916666667)</f>
        <v>46000.22917</v>
      </c>
      <c r="I2131" s="237" t="str">
        <f t="shared" si="1"/>
        <v>Fora</v>
      </c>
      <c r="J2131" s="239">
        <v>119.00000001071021</v>
      </c>
    </row>
    <row r="2132">
      <c r="A2132" s="234" t="s">
        <v>3822</v>
      </c>
      <c r="B2132" s="234" t="str">
        <f>IFERROR(__xludf.DUMMYFUNCTION("""COMPUTED_VALUE"""),"LM Hub_SP_Sorocaba_Região Norte")</f>
        <v>LM Hub_SP_Sorocaba_Região Norte</v>
      </c>
      <c r="C2132" s="234" t="str">
        <f>IFERROR(__xludf.DUMMYFUNCTION("""COMPUTED_VALUE"""),"HUB-LSP-10")</f>
        <v>HUB-LSP-10</v>
      </c>
      <c r="D2132" s="234"/>
      <c r="E2132" s="237" t="str">
        <f>IFERROR(__xludf.DUMMYFUNCTION("""COMPUTED_VALUE"""),"LT0PC901TOA42")</f>
        <v>LT0PC901TOA42</v>
      </c>
      <c r="F2132" s="238" t="str">
        <f>IFERROR(__xludf.DUMMYFUNCTION("""COMPUTED_VALUE"""),"GHJ3E37,OUU8J45")</f>
        <v>GHJ3E37,OUU8J45</v>
      </c>
      <c r="G2132" s="238">
        <f>IFERROR(__xludf.DUMMYFUNCTION("""COMPUTED_VALUE"""),46000.146527777775)</f>
        <v>46000.14653</v>
      </c>
      <c r="H2132" s="238">
        <f>IFERROR(__xludf.DUMMYFUNCTION("""COMPUTED_VALUE"""),46000.22916666667)</f>
        <v>46000.22917</v>
      </c>
      <c r="I2132" s="237" t="str">
        <f t="shared" si="1"/>
        <v>Fora</v>
      </c>
      <c r="J2132" s="239">
        <v>60.00000000698492</v>
      </c>
    </row>
    <row r="2133">
      <c r="A2133" s="234" t="s">
        <v>3823</v>
      </c>
      <c r="B2133" s="234" t="str">
        <f>IFERROR(__xludf.DUMMYFUNCTION("""COMPUTED_VALUE"""),"LM Hub_SP_Mogi Mirim")</f>
        <v>LM Hub_SP_Mogi Mirim</v>
      </c>
      <c r="C2133" s="234" t="str">
        <f>IFERROR(__xludf.DUMMYFUNCTION("""COMPUTED_VALUE"""),"HUB-LSP-37")</f>
        <v>HUB-LSP-37</v>
      </c>
      <c r="D2133" s="234">
        <f>IFERROR(__xludf.DUMMYFUNCTION("""COMPUTED_VALUE"""),35.0)</f>
        <v>35</v>
      </c>
      <c r="E2133" s="237" t="str">
        <f>IFERROR(__xludf.DUMMYFUNCTION("""COMPUTED_VALUE"""),"LT0PC901TOCT1")</f>
        <v>LT0PC901TOCT1</v>
      </c>
      <c r="F2133" s="238" t="str">
        <f>IFERROR(__xludf.DUMMYFUNCTION("""COMPUTED_VALUE"""),"TLE4D84")</f>
        <v>TLE4D84</v>
      </c>
      <c r="G2133" s="238">
        <f>IFERROR(__xludf.DUMMYFUNCTION("""COMPUTED_VALUE"""),46000.1875)</f>
        <v>46000.1875</v>
      </c>
      <c r="H2133" s="238">
        <f>IFERROR(__xludf.DUMMYFUNCTION("""COMPUTED_VALUE"""),46000.22916666667)</f>
        <v>46000.22917</v>
      </c>
      <c r="I2133" s="237" t="str">
        <f t="shared" si="1"/>
        <v>Fora</v>
      </c>
      <c r="J2133" s="239">
        <v>119.99999999301508</v>
      </c>
    </row>
    <row r="2134">
      <c r="A2134" s="234" t="s">
        <v>6</v>
      </c>
      <c r="B2134" s="234" t="str">
        <f>IFERROR(__xludf.DUMMYFUNCTION("""COMPUTED_VALUE"""),"LM Hub_SP_Guaratinguetá")</f>
        <v>LM Hub_SP_Guaratinguetá</v>
      </c>
      <c r="C2134" s="234" t="str">
        <f>IFERROR(__xludf.DUMMYFUNCTION("""COMPUTED_VALUE"""),"HUB-LSP-33")</f>
        <v>HUB-LSP-33</v>
      </c>
      <c r="D2134" s="234">
        <f>IFERROR(__xludf.DUMMYFUNCTION("""COMPUTED_VALUE"""),17.0)</f>
        <v>17</v>
      </c>
      <c r="E2134" s="237" t="str">
        <f>IFERROR(__xludf.DUMMYFUNCTION("""COMPUTED_VALUE"""),"LT0PC901TO8Z1")</f>
        <v>LT0PC901TO8Z1</v>
      </c>
      <c r="F2134" s="238" t="str">
        <f>IFERROR(__xludf.DUMMYFUNCTION("""COMPUTED_VALUE"""),"EKH3880")</f>
        <v>EKH3880</v>
      </c>
      <c r="G2134" s="238">
        <f>IFERROR(__xludf.DUMMYFUNCTION("""COMPUTED_VALUE"""),46000.16666666667)</f>
        <v>46000.16667</v>
      </c>
      <c r="H2134" s="238">
        <f>IFERROR(__xludf.DUMMYFUNCTION("""COMPUTED_VALUE"""),46000.25)</f>
        <v>46000.25</v>
      </c>
      <c r="I2134" s="237" t="str">
        <f t="shared" si="1"/>
        <v>Fora</v>
      </c>
      <c r="J2134" s="239">
        <v>119.99999999301508</v>
      </c>
    </row>
    <row r="2135">
      <c r="A2135" s="234" t="s">
        <v>10</v>
      </c>
      <c r="B2135" s="234" t="str">
        <f>IFERROR(__xludf.DUMMYFUNCTION("""COMPUTED_VALUE"""),"LM Hub_SP_Limeira_Campo Belo")</f>
        <v>LM Hub_SP_Limeira_Campo Belo</v>
      </c>
      <c r="C2135" s="234" t="str">
        <f>IFERROR(__xludf.DUMMYFUNCTION("""COMPUTED_VALUE"""),"HUB-LSP-24")</f>
        <v>HUB-LSP-24</v>
      </c>
      <c r="D2135" s="234">
        <f>IFERROR(__xludf.DUMMYFUNCTION("""COMPUTED_VALUE"""),37.0)</f>
        <v>37</v>
      </c>
      <c r="E2135" s="237" t="str">
        <f>IFERROR(__xludf.DUMMYFUNCTION("""COMPUTED_VALUE"""),"LT0PC901TOAZ1")</f>
        <v>LT0PC901TOAZ1</v>
      </c>
      <c r="F2135" s="238" t="str">
        <f>IFERROR(__xludf.DUMMYFUNCTION("""COMPUTED_VALUE"""),"SWD2I13,STN3J57")</f>
        <v>SWD2I13,STN3J57</v>
      </c>
      <c r="G2135" s="238">
        <f>IFERROR(__xludf.DUMMYFUNCTION("""COMPUTED_VALUE"""),46000.16666666667)</f>
        <v>46000.16667</v>
      </c>
      <c r="H2135" s="238">
        <f>IFERROR(__xludf.DUMMYFUNCTION("""COMPUTED_VALUE"""),46000.25)</f>
        <v>46000.25</v>
      </c>
      <c r="I2135" s="237" t="str">
        <f t="shared" si="1"/>
        <v>Fora</v>
      </c>
      <c r="J2135" s="239">
        <v>119.99999999301508</v>
      </c>
    </row>
    <row r="2136">
      <c r="A2136" s="234" t="s">
        <v>17</v>
      </c>
      <c r="B2136" s="234" t="str">
        <f>IFERROR(__xludf.DUMMYFUNCTION("""COMPUTED_VALUE"""),"LM Hub_SP_São Bernardo do Campo")</f>
        <v>LM Hub_SP_São Bernardo do Campo</v>
      </c>
      <c r="C2136" s="234" t="str">
        <f>IFERROR(__xludf.DUMMYFUNCTION("""COMPUTED_VALUE"""),"HUB-LSP-79")</f>
        <v>HUB-LSP-79</v>
      </c>
      <c r="D2136" s="234">
        <f>IFERROR(__xludf.DUMMYFUNCTION("""COMPUTED_VALUE"""),27.0)</f>
        <v>27</v>
      </c>
      <c r="E2136" s="237" t="str">
        <f>IFERROR(__xludf.DUMMYFUNCTION("""COMPUTED_VALUE"""),"LT0PC901TPG11")</f>
        <v>LT0PC901TPG11</v>
      </c>
      <c r="F2136" s="238" t="str">
        <f>IFERROR(__xludf.DUMMYFUNCTION("""COMPUTED_VALUE"""),"GBE0G47,FJP5G21")</f>
        <v>GBE0G47,FJP5G21</v>
      </c>
      <c r="G2136" s="238">
        <f>IFERROR(__xludf.DUMMYFUNCTION("""COMPUTED_VALUE"""),46000.16666666667)</f>
        <v>46000.16667</v>
      </c>
      <c r="H2136" s="238">
        <f>IFERROR(__xludf.DUMMYFUNCTION("""COMPUTED_VALUE"""),46000.25)</f>
        <v>46000.25</v>
      </c>
      <c r="I2136" s="237" t="str">
        <f t="shared" si="1"/>
        <v>Fora</v>
      </c>
      <c r="J2136" s="239">
        <v>119.99999999301508</v>
      </c>
    </row>
    <row r="2137">
      <c r="A2137" s="234" t="s">
        <v>21</v>
      </c>
      <c r="B2137" s="234" t="str">
        <f>IFERROR(__xludf.DUMMYFUNCTION("""COMPUTED_VALUE"""),"LM Hub_SP_Várzea Paulista")</f>
        <v>LM Hub_SP_Várzea Paulista</v>
      </c>
      <c r="C2137" s="234" t="str">
        <f>IFERROR(__xludf.DUMMYFUNCTION("""COMPUTED_VALUE"""),"HUB-LSP-61")</f>
        <v>HUB-LSP-61</v>
      </c>
      <c r="D2137" s="234">
        <f>IFERROR(__xludf.DUMMYFUNCTION("""COMPUTED_VALUE"""),48.0)</f>
        <v>48</v>
      </c>
      <c r="E2137" s="237" t="str">
        <f>IFERROR(__xludf.DUMMYFUNCTION("""COMPUTED_VALUE"""),"LT0PC901TOBH1")</f>
        <v>LT0PC901TOBH1</v>
      </c>
      <c r="F2137" s="238" t="str">
        <f>IFERROR(__xludf.DUMMYFUNCTION("""COMPUTED_VALUE"""),"ODE8A12,GJO3B75")</f>
        <v>ODE8A12,GJO3B75</v>
      </c>
      <c r="G2137" s="238">
        <f>IFERROR(__xludf.DUMMYFUNCTION("""COMPUTED_VALUE"""),46000.16666666667)</f>
        <v>46000.16667</v>
      </c>
      <c r="H2137" s="238">
        <f>IFERROR(__xludf.DUMMYFUNCTION("""COMPUTED_VALUE"""),46000.25)</f>
        <v>46000.25</v>
      </c>
      <c r="I2137" s="237" t="str">
        <f t="shared" si="1"/>
        <v>Fora</v>
      </c>
      <c r="J2137" s="239">
        <v>119.99999999301508</v>
      </c>
    </row>
    <row r="2138">
      <c r="A2138" s="234" t="s">
        <v>14</v>
      </c>
      <c r="B2138" s="234" t="str">
        <f>IFERROR(__xludf.DUMMYFUNCTION("""COMPUTED_VALUE"""),"LM_Hub_SP_Registro")</f>
        <v>LM_Hub_SP_Registro</v>
      </c>
      <c r="C2138" s="234" t="str">
        <f>IFERROR(__xludf.DUMMYFUNCTION("""COMPUTED_VALUE"""),"HUB-LSP-40")</f>
        <v>HUB-LSP-40</v>
      </c>
      <c r="D2138" s="234">
        <f>IFERROR(__xludf.DUMMYFUNCTION("""COMPUTED_VALUE"""),16.0)</f>
        <v>16</v>
      </c>
      <c r="E2138" s="237" t="str">
        <f>IFERROR(__xludf.DUMMYFUNCTION("""COMPUTED_VALUE"""),"LT0PC901TO8L1")</f>
        <v>LT0PC901TO8L1</v>
      </c>
      <c r="F2138" s="238" t="str">
        <f>IFERROR(__xludf.DUMMYFUNCTION("""COMPUTED_VALUE"""),"CSK6J01,OGD9J55")</f>
        <v>CSK6J01,OGD9J55</v>
      </c>
      <c r="G2138" s="238">
        <f>IFERROR(__xludf.DUMMYFUNCTION("""COMPUTED_VALUE"""),46000.16666666667)</f>
        <v>46000.16667</v>
      </c>
      <c r="H2138" s="238">
        <f>IFERROR(__xludf.DUMMYFUNCTION("""COMPUTED_VALUE"""),46000.25)</f>
        <v>46000.25</v>
      </c>
      <c r="I2138" s="237" t="str">
        <f t="shared" si="1"/>
        <v>Fora</v>
      </c>
      <c r="J2138" s="239">
        <v>119.99999999301508</v>
      </c>
    </row>
    <row r="2139">
      <c r="A2139" s="234" t="s">
        <v>26</v>
      </c>
      <c r="B2139" s="234" t="str">
        <f>IFERROR(__xludf.DUMMYFUNCTION("""COMPUTED_VALUE"""),"LM Hub_SP_Atibaia_Ponte_Alta")</f>
        <v>LM Hub_SP_Atibaia_Ponte_Alta</v>
      </c>
      <c r="C2139" s="234" t="str">
        <f>IFERROR(__xludf.DUMMYFUNCTION("""COMPUTED_VALUE"""),"HUB-LSP-87")</f>
        <v>HUB-LSP-87</v>
      </c>
      <c r="D2139" s="234">
        <f>IFERROR(__xludf.DUMMYFUNCTION("""COMPUTED_VALUE"""),8.0)</f>
        <v>8</v>
      </c>
      <c r="E2139" s="237" t="str">
        <f>IFERROR(__xludf.DUMMYFUNCTION("""COMPUTED_VALUE"""),"LT0PC901TTRB1")</f>
        <v>LT0PC901TTRB1</v>
      </c>
      <c r="F2139" s="238" t="str">
        <f>IFERROR(__xludf.DUMMYFUNCTION("""COMPUTED_VALUE"""),"TLV0E90,GGU5E98")</f>
        <v>TLV0E90,GGU5E98</v>
      </c>
      <c r="G2139" s="238">
        <f>IFERROR(__xludf.DUMMYFUNCTION("""COMPUTED_VALUE"""),46000.1875)</f>
        <v>46000.1875</v>
      </c>
      <c r="H2139" s="238">
        <f>IFERROR(__xludf.DUMMYFUNCTION("""COMPUTED_VALUE"""),46000.27083333333)</f>
        <v>46000.27083</v>
      </c>
      <c r="I2139" s="237" t="str">
        <f t="shared" si="1"/>
        <v>Fora</v>
      </c>
      <c r="J2139" s="239">
        <v>119.99999999301508</v>
      </c>
    </row>
    <row r="2140">
      <c r="A2140" s="234" t="s">
        <v>3824</v>
      </c>
      <c r="B2140" s="234" t="str">
        <f>IFERROR(__xludf.DUMMYFUNCTION("""COMPUTED_VALUE"""),"LM Hub_SP_Embu das Artes")</f>
        <v>LM Hub_SP_Embu das Artes</v>
      </c>
      <c r="C2140" s="234" t="str">
        <f>IFERROR(__xludf.DUMMYFUNCTION("""COMPUTED_VALUE"""),"HUB-LSP-36")</f>
        <v>HUB-LSP-36</v>
      </c>
      <c r="D2140" s="234"/>
      <c r="E2140" s="237" t="str">
        <f>IFERROR(__xludf.DUMMYFUNCTION("""COMPUTED_VALUE"""),"LT0PC901TQJ61")</f>
        <v>LT0PC901TQJ61</v>
      </c>
      <c r="F2140" s="238" t="str">
        <f>IFERROR(__xludf.DUMMYFUNCTION("""COMPUTED_VALUE"""),"SWA1B76,SWA1B71")</f>
        <v>SWA1B76,SWA1B71</v>
      </c>
      <c r="G2140" s="238">
        <f>IFERROR(__xludf.DUMMYFUNCTION("""COMPUTED_VALUE"""),46000.1875)</f>
        <v>46000.1875</v>
      </c>
      <c r="H2140" s="238">
        <f>IFERROR(__xludf.DUMMYFUNCTION("""COMPUTED_VALUE"""),46000.27083333333)</f>
        <v>46000.27083</v>
      </c>
      <c r="I2140" s="237" t="str">
        <f t="shared" si="1"/>
        <v>Fora</v>
      </c>
      <c r="J2140" s="239">
        <v>119.99999999301508</v>
      </c>
    </row>
    <row r="2141">
      <c r="A2141" s="234" t="s">
        <v>30</v>
      </c>
      <c r="B2141" s="234" t="str">
        <f>IFERROR(__xludf.DUMMYFUNCTION("""COMPUTED_VALUE"""),"LM Hub_SP_Embu das Artes")</f>
        <v>LM Hub_SP_Embu das Artes</v>
      </c>
      <c r="C2141" s="234" t="str">
        <f>IFERROR(__xludf.DUMMYFUNCTION("""COMPUTED_VALUE"""),"HUB-LSP-36")</f>
        <v>HUB-LSP-36</v>
      </c>
      <c r="D2141" s="234">
        <f>IFERROR(__xludf.DUMMYFUNCTION("""COMPUTED_VALUE"""),33.0)</f>
        <v>33</v>
      </c>
      <c r="E2141" s="237" t="str">
        <f>IFERROR(__xludf.DUMMYFUNCTION("""COMPUTED_VALUE"""),"LT0PC901TQJ72")</f>
        <v>LT0PC901TQJ72</v>
      </c>
      <c r="F2141" s="238" t="str">
        <f>IFERROR(__xludf.DUMMYFUNCTION("""COMPUTED_VALUE"""),"FGL3B43,FQB3D75")</f>
        <v>FGL3B43,FQB3D75</v>
      </c>
      <c r="G2141" s="238">
        <f>IFERROR(__xludf.DUMMYFUNCTION("""COMPUTED_VALUE"""),46000.1875)</f>
        <v>46000.1875</v>
      </c>
      <c r="H2141" s="238">
        <f>IFERROR(__xludf.DUMMYFUNCTION("""COMPUTED_VALUE"""),46000.27083333333)</f>
        <v>46000.27083</v>
      </c>
      <c r="I2141" s="237" t="str">
        <f t="shared" si="1"/>
        <v>Fora</v>
      </c>
      <c r="J2141" s="239">
        <v>119.99999999301508</v>
      </c>
    </row>
    <row r="2142">
      <c r="A2142" s="234" t="s">
        <v>33</v>
      </c>
      <c r="B2142" s="234" t="str">
        <f>IFERROR(__xludf.DUMMYFUNCTION("""COMPUTED_VALUE"""),"LM Hub_SP_Taubaté")</f>
        <v>LM Hub_SP_Taubaté</v>
      </c>
      <c r="C2142" s="234" t="str">
        <f>IFERROR(__xludf.DUMMYFUNCTION("""COMPUTED_VALUE"""),"HUB-LSP-08")</f>
        <v>HUB-LSP-08</v>
      </c>
      <c r="D2142" s="234">
        <f>IFERROR(__xludf.DUMMYFUNCTION("""COMPUTED_VALUE"""),12.0)</f>
        <v>12</v>
      </c>
      <c r="E2142" s="237" t="str">
        <f>IFERROR(__xludf.DUMMYFUNCTION("""COMPUTED_VALUE"""),"LT0PC901TN9V1")</f>
        <v>LT0PC901TN9V1</v>
      </c>
      <c r="F2142" s="238" t="str">
        <f>IFERROR(__xludf.DUMMYFUNCTION("""COMPUTED_VALUE"""),"ASN0C15,MBC2C84")</f>
        <v>ASN0C15,MBC2C84</v>
      </c>
      <c r="G2142" s="238">
        <f>IFERROR(__xludf.DUMMYFUNCTION("""COMPUTED_VALUE"""),46000.1875)</f>
        <v>46000.1875</v>
      </c>
      <c r="H2142" s="238">
        <f>IFERROR(__xludf.DUMMYFUNCTION("""COMPUTED_VALUE"""),46000.27083333333)</f>
        <v>46000.27083</v>
      </c>
      <c r="I2142" s="237" t="str">
        <f t="shared" si="1"/>
        <v>Fora</v>
      </c>
      <c r="J2142" s="239">
        <v>540.0</v>
      </c>
    </row>
    <row r="2143">
      <c r="A2143" s="234" t="s">
        <v>36</v>
      </c>
      <c r="B2143" s="234" t="str">
        <f>IFERROR(__xludf.DUMMYFUNCTION("""COMPUTED_VALUE"""),"SoC_BA_Simoes Filho")</f>
        <v>SoC_BA_Simoes Filho</v>
      </c>
      <c r="C2143" s="234" t="str">
        <f>IFERROR(__xludf.DUMMYFUNCTION("""COMPUTED_VALUE"""),"SOC-BA2")</f>
        <v>SOC-BA2</v>
      </c>
      <c r="D2143" s="234">
        <f>IFERROR(__xludf.DUMMYFUNCTION("""COMPUTED_VALUE"""),88.0)</f>
        <v>88</v>
      </c>
      <c r="E2143" s="237" t="str">
        <f>IFERROR(__xludf.DUMMYFUNCTION("""COMPUTED_VALUE"""),"LT0PC801TVNO1")</f>
        <v>LT0PC801TVNO1</v>
      </c>
      <c r="F2143" s="238" t="str">
        <f>IFERROR(__xludf.DUMMYFUNCTION("""COMPUTED_VALUE"""),"NOP3H90,IRI2664")</f>
        <v>NOP3H90,IRI2664</v>
      </c>
      <c r="G2143" s="238">
        <f>IFERROR(__xludf.DUMMYFUNCTION("""COMPUTED_VALUE"""),45999.91666666667)</f>
        <v>45999.91667</v>
      </c>
      <c r="H2143" s="238">
        <f>IFERROR(__xludf.DUMMYFUNCTION("""COMPUTED_VALUE"""),46000.29166666667)</f>
        <v>46000.29167</v>
      </c>
      <c r="I2143" s="237" t="str">
        <f t="shared" si="1"/>
        <v>Fora</v>
      </c>
      <c r="J2143" s="239">
        <v>540.0</v>
      </c>
    </row>
    <row r="2144">
      <c r="A2144" s="234" t="s">
        <v>39</v>
      </c>
      <c r="B2144" s="234" t="str">
        <f>IFERROR(__xludf.DUMMYFUNCTION("""COMPUTED_VALUE"""),"SoC_BA_Simoes Filho")</f>
        <v>SoC_BA_Simoes Filho</v>
      </c>
      <c r="C2144" s="234" t="str">
        <f>IFERROR(__xludf.DUMMYFUNCTION("""COMPUTED_VALUE"""),"SOC-BA2")</f>
        <v>SOC-BA2</v>
      </c>
      <c r="D2144" s="234">
        <f>IFERROR(__xludf.DUMMYFUNCTION("""COMPUTED_VALUE"""),89.0)</f>
        <v>89</v>
      </c>
      <c r="E2144" s="237" t="str">
        <f>IFERROR(__xludf.DUMMYFUNCTION("""COMPUTED_VALUE"""),"LT0PC801TVNQ2")</f>
        <v>LT0PC801TVNQ2</v>
      </c>
      <c r="F2144" s="238" t="str">
        <f>IFERROR(__xludf.DUMMYFUNCTION("""COMPUTED_VALUE"""),"EHH8021,OMD4H46")</f>
        <v>EHH8021,OMD4H46</v>
      </c>
      <c r="G2144" s="238">
        <f>IFERROR(__xludf.DUMMYFUNCTION("""COMPUTED_VALUE"""),45999.91666666667)</f>
        <v>45999.91667</v>
      </c>
      <c r="H2144" s="238">
        <f>IFERROR(__xludf.DUMMYFUNCTION("""COMPUTED_VALUE"""),46000.29166666667)</f>
        <v>46000.29167</v>
      </c>
      <c r="I2144" s="237" t="str">
        <f t="shared" si="1"/>
        <v>Fora</v>
      </c>
      <c r="J2144" s="239">
        <v>540.0</v>
      </c>
    </row>
    <row r="2145">
      <c r="A2145" s="234" t="s">
        <v>3825</v>
      </c>
      <c r="B2145" s="234" t="str">
        <f>IFERROR(__xludf.DUMMYFUNCTION("""COMPUTED_VALUE"""),"SoC_GO_Goiânia_02")</f>
        <v>SoC_GO_Goiânia_02</v>
      </c>
      <c r="C2145" s="234" t="str">
        <f>IFERROR(__xludf.DUMMYFUNCTION("""COMPUTED_VALUE"""),"SOC-GO2")</f>
        <v>SOC-GO2</v>
      </c>
      <c r="D2145" s="234"/>
      <c r="E2145" s="237" t="str">
        <f>IFERROR(__xludf.DUMMYFUNCTION("""COMPUTED_VALUE"""),"LT0PC801TVY51")</f>
        <v>LT0PC801TVY51</v>
      </c>
      <c r="F2145" s="238" t="str">
        <f>IFERROR(__xludf.DUMMYFUNCTION("""COMPUTED_VALUE"""),"DVA3E41,FRV6B44")</f>
        <v>DVA3E41,FRV6B44</v>
      </c>
      <c r="G2145" s="238">
        <f>IFERROR(__xludf.DUMMYFUNCTION("""COMPUTED_VALUE"""),45999.91666666667)</f>
        <v>45999.91667</v>
      </c>
      <c r="H2145" s="238">
        <f>IFERROR(__xludf.DUMMYFUNCTION("""COMPUTED_VALUE"""),46000.29166666667)</f>
        <v>46000.29167</v>
      </c>
      <c r="I2145" s="237" t="str">
        <f t="shared" si="1"/>
        <v>Fora</v>
      </c>
      <c r="J2145" s="239">
        <v>540.0</v>
      </c>
    </row>
    <row r="2146">
      <c r="A2146" s="234" t="s">
        <v>40</v>
      </c>
      <c r="B2146" s="234" t="str">
        <f>IFERROR(__xludf.DUMMYFUNCTION("""COMPUTED_VALUE"""),"SoC_GO_Goiânia_02")</f>
        <v>SoC_GO_Goiânia_02</v>
      </c>
      <c r="C2146" s="234" t="str">
        <f>IFERROR(__xludf.DUMMYFUNCTION("""COMPUTED_VALUE"""),"SOC-GO2")</f>
        <v>SOC-GO2</v>
      </c>
      <c r="D2146" s="234">
        <f>IFERROR(__xludf.DUMMYFUNCTION("""COMPUTED_VALUE"""),87.0)</f>
        <v>87</v>
      </c>
      <c r="E2146" s="237" t="str">
        <f>IFERROR(__xludf.DUMMYFUNCTION("""COMPUTED_VALUE"""),"LT0PC801TVY72")</f>
        <v>LT0PC801TVY72</v>
      </c>
      <c r="F2146" s="238" t="str">
        <f>IFERROR(__xludf.DUMMYFUNCTION("""COMPUTED_VALUE"""),"IVA4A21,IVH9E95")</f>
        <v>IVA4A21,IVH9E95</v>
      </c>
      <c r="G2146" s="238">
        <f>IFERROR(__xludf.DUMMYFUNCTION("""COMPUTED_VALUE"""),45999.91666666667)</f>
        <v>45999.91667</v>
      </c>
      <c r="H2146" s="238">
        <f>IFERROR(__xludf.DUMMYFUNCTION("""COMPUTED_VALUE"""),46000.29166666667)</f>
        <v>46000.29167</v>
      </c>
      <c r="I2146" s="237" t="str">
        <f t="shared" si="1"/>
        <v>Fora</v>
      </c>
      <c r="J2146" s="239">
        <v>540.0</v>
      </c>
    </row>
    <row r="2147">
      <c r="A2147" s="234" t="s">
        <v>3826</v>
      </c>
      <c r="B2147" s="234" t="str">
        <f>IFERROR(__xludf.DUMMYFUNCTION("""COMPUTED_VALUE"""),"SoC_RJ_Duque de Caxias")</f>
        <v>SoC_RJ_Duque de Caxias</v>
      </c>
      <c r="C2147" s="234" t="str">
        <f>IFERROR(__xludf.DUMMYFUNCTION("""COMPUTED_VALUE"""),"SOC-RJ2")</f>
        <v>SOC-RJ2</v>
      </c>
      <c r="D2147" s="234">
        <f>IFERROR(__xludf.DUMMYFUNCTION("""COMPUTED_VALUE"""),97.0)</f>
        <v>97</v>
      </c>
      <c r="E2147" s="237" t="str">
        <f>IFERROR(__xludf.DUMMYFUNCTION("""COMPUTED_VALUE"""),"LT0PC801TRQS1")</f>
        <v>LT0PC801TRQS1</v>
      </c>
      <c r="F2147" s="238" t="str">
        <f>IFERROR(__xludf.DUMMYFUNCTION("""COMPUTED_VALUE"""),"ETU9F30,CLU2H96")</f>
        <v>ETU9F30,CLU2H96</v>
      </c>
      <c r="G2147" s="238">
        <f>IFERROR(__xludf.DUMMYFUNCTION("""COMPUTED_VALUE"""),45999.91666666667)</f>
        <v>45999.91667</v>
      </c>
      <c r="H2147" s="238">
        <f>IFERROR(__xludf.DUMMYFUNCTION("""COMPUTED_VALUE"""),46000.29166666667)</f>
        <v>46000.29167</v>
      </c>
      <c r="I2147" s="237" t="str">
        <f t="shared" si="1"/>
        <v>Fora</v>
      </c>
      <c r="J2147" s="239">
        <v>540.0</v>
      </c>
    </row>
    <row r="2148">
      <c r="A2148" s="234" t="s">
        <v>3827</v>
      </c>
      <c r="B2148" s="234" t="str">
        <f>IFERROR(__xludf.DUMMYFUNCTION("""COMPUTED_VALUE"""),"SoC_SP_Cravinhos")</f>
        <v>SoC_SP_Cravinhos</v>
      </c>
      <c r="C2148" s="234" t="str">
        <f>IFERROR(__xludf.DUMMYFUNCTION("""COMPUTED_VALUE"""),"SOC-SP5")</f>
        <v>SOC-SP5</v>
      </c>
      <c r="D2148" s="234">
        <f>IFERROR(__xludf.DUMMYFUNCTION("""COMPUTED_VALUE"""),94.0)</f>
        <v>94</v>
      </c>
      <c r="E2148" s="237" t="str">
        <f>IFERROR(__xludf.DUMMYFUNCTION("""COMPUTED_VALUE"""),"LT0PC801TO1R2")</f>
        <v>LT0PC801TO1R2</v>
      </c>
      <c r="F2148" s="238" t="str">
        <f>IFERROR(__xludf.DUMMYFUNCTION("""COMPUTED_VALUE"""),"CUC6I05,APV2J81")</f>
        <v>CUC6I05,APV2J81</v>
      </c>
      <c r="G2148" s="238">
        <f>IFERROR(__xludf.DUMMYFUNCTION("""COMPUTED_VALUE"""),45999.91666666667)</f>
        <v>45999.91667</v>
      </c>
      <c r="H2148" s="238">
        <f>IFERROR(__xludf.DUMMYFUNCTION("""COMPUTED_VALUE"""),46000.29166666667)</f>
        <v>46000.29167</v>
      </c>
      <c r="I2148" s="237" t="str">
        <f t="shared" si="1"/>
        <v>Fora</v>
      </c>
      <c r="J2148" s="239">
        <v>540.0</v>
      </c>
    </row>
    <row r="2149">
      <c r="A2149" s="234" t="s">
        <v>3828</v>
      </c>
      <c r="B2149" s="234" t="str">
        <f>IFERROR(__xludf.DUMMYFUNCTION("""COMPUTED_VALUE"""),"SoC_SP_Cravinhos")</f>
        <v>SoC_SP_Cravinhos</v>
      </c>
      <c r="C2149" s="234" t="str">
        <f>IFERROR(__xludf.DUMMYFUNCTION("""COMPUTED_VALUE"""),"SOC-SP5")</f>
        <v>SOC-SP5</v>
      </c>
      <c r="D2149" s="234">
        <f>IFERROR(__xludf.DUMMYFUNCTION("""COMPUTED_VALUE"""),94.0)</f>
        <v>94</v>
      </c>
      <c r="E2149" s="237" t="str">
        <f>IFERROR(__xludf.DUMMYFUNCTION("""COMPUTED_VALUE"""),"LT0PC801TO1P1")</f>
        <v>LT0PC801TO1P1</v>
      </c>
      <c r="F2149" s="238" t="str">
        <f>IFERROR(__xludf.DUMMYFUNCTION("""COMPUTED_VALUE"""),"FEK3A22,EWJ2318")</f>
        <v>FEK3A22,EWJ2318</v>
      </c>
      <c r="G2149" s="238">
        <f>IFERROR(__xludf.DUMMYFUNCTION("""COMPUTED_VALUE"""),45999.91666666667)</f>
        <v>45999.91667</v>
      </c>
      <c r="H2149" s="238">
        <f>IFERROR(__xludf.DUMMYFUNCTION("""COMPUTED_VALUE"""),46000.29166666667)</f>
        <v>46000.29167</v>
      </c>
      <c r="I2149" s="237" t="str">
        <f t="shared" si="1"/>
        <v>Fora</v>
      </c>
      <c r="J2149" s="239">
        <v>539.0000000072177</v>
      </c>
    </row>
    <row r="2150">
      <c r="A2150" s="234" t="s">
        <v>43</v>
      </c>
      <c r="B2150" s="234" t="str">
        <f>IFERROR(__xludf.DUMMYFUNCTION("""COMPUTED_VALUE"""),"SoC_MG_Betim")</f>
        <v>SoC_MG_Betim</v>
      </c>
      <c r="C2150" s="234" t="str">
        <f>IFERROR(__xludf.DUMMYFUNCTION("""COMPUTED_VALUE"""),"SOC-MG2")</f>
        <v>SOC-MG2</v>
      </c>
      <c r="D2150" s="234">
        <f>IFERROR(__xludf.DUMMYFUNCTION("""COMPUTED_VALUE"""),91.0)</f>
        <v>91</v>
      </c>
      <c r="E2150" s="237" t="str">
        <f>IFERROR(__xludf.DUMMYFUNCTION("""COMPUTED_VALUE"""),"LT0PC801TNYQ1")</f>
        <v>LT0PC801TNYQ1</v>
      </c>
      <c r="F2150" s="238" t="str">
        <f>IFERROR(__xludf.DUMMYFUNCTION("""COMPUTED_VALUE"""),"STJ6A96,TAX1I73")</f>
        <v>STJ6A96,TAX1I73</v>
      </c>
      <c r="G2150" s="238">
        <f>IFERROR(__xludf.DUMMYFUNCTION("""COMPUTED_VALUE"""),45999.91736111111)</f>
        <v>45999.91736</v>
      </c>
      <c r="H2150" s="238">
        <f>IFERROR(__xludf.DUMMYFUNCTION("""COMPUTED_VALUE"""),46000.29166666667)</f>
        <v>46000.29167</v>
      </c>
      <c r="I2150" s="237" t="str">
        <f t="shared" si="1"/>
        <v>Fora</v>
      </c>
      <c r="J2150" s="239">
        <v>539.0000000072177</v>
      </c>
    </row>
    <row r="2151">
      <c r="A2151" s="234" t="s">
        <v>46</v>
      </c>
      <c r="B2151" s="234" t="str">
        <f>IFERROR(__xludf.DUMMYFUNCTION("""COMPUTED_VALUE"""),"SoC_MG_Betim")</f>
        <v>SoC_MG_Betim</v>
      </c>
      <c r="C2151" s="234" t="str">
        <f>IFERROR(__xludf.DUMMYFUNCTION("""COMPUTED_VALUE"""),"SOC-MG2")</f>
        <v>SOC-MG2</v>
      </c>
      <c r="D2151" s="234">
        <f>IFERROR(__xludf.DUMMYFUNCTION("""COMPUTED_VALUE"""),42.0)</f>
        <v>42</v>
      </c>
      <c r="E2151" s="237" t="str">
        <f>IFERROR(__xludf.DUMMYFUNCTION("""COMPUTED_VALUE"""),"LT0PC801TNYS2")</f>
        <v>LT0PC801TNYS2</v>
      </c>
      <c r="F2151" s="238" t="str">
        <f>IFERROR(__xludf.DUMMYFUNCTION("""COMPUTED_VALUE"""),"SWG2G22,EDH7D24")</f>
        <v>SWG2G22,EDH7D24</v>
      </c>
      <c r="G2151" s="238">
        <f>IFERROR(__xludf.DUMMYFUNCTION("""COMPUTED_VALUE"""),45999.91736111111)</f>
        <v>45999.91736</v>
      </c>
      <c r="H2151" s="238">
        <f>IFERROR(__xludf.DUMMYFUNCTION("""COMPUTED_VALUE"""),46000.29166666667)</f>
        <v>46000.29167</v>
      </c>
      <c r="I2151" s="237" t="str">
        <f t="shared" si="1"/>
        <v>Fora</v>
      </c>
      <c r="J2151" s="239">
        <v>120.00000001396984</v>
      </c>
    </row>
    <row r="2152">
      <c r="A2152" s="234" t="s">
        <v>47</v>
      </c>
      <c r="B2152" s="234" t="str">
        <f>IFERROR(__xludf.DUMMYFUNCTION("""COMPUTED_VALUE"""),"LM Hub_SP_Barueri_01")</f>
        <v>LM Hub_SP_Barueri_01</v>
      </c>
      <c r="C2152" s="234" t="str">
        <f>IFERROR(__xludf.DUMMYFUNCTION("""COMPUTED_VALUE"""),"HUB-LSP-81")</f>
        <v>HUB-LSP-81</v>
      </c>
      <c r="D2152" s="234">
        <f>IFERROR(__xludf.DUMMYFUNCTION("""COMPUTED_VALUE"""),8.0)</f>
        <v>8</v>
      </c>
      <c r="E2152" s="237" t="str">
        <f>IFERROR(__xludf.DUMMYFUNCTION("""COMPUTED_VALUE"""),"LT0PC901TV8V1")</f>
        <v>LT0PC901TV8V1</v>
      </c>
      <c r="F2152" s="238" t="str">
        <f>IFERROR(__xludf.DUMMYFUNCTION("""COMPUTED_VALUE"""),"GDQ4B07,GIJ1E98")</f>
        <v>GDQ4B07,GIJ1E98</v>
      </c>
      <c r="G2152" s="238">
        <f>IFERROR(__xludf.DUMMYFUNCTION("""COMPUTED_VALUE"""),46000.20833333333)</f>
        <v>46000.20833</v>
      </c>
      <c r="H2152" s="238">
        <f>IFERROR(__xludf.DUMMYFUNCTION("""COMPUTED_VALUE"""),46000.29166666667)</f>
        <v>46000.29167</v>
      </c>
      <c r="I2152" s="237" t="str">
        <f t="shared" si="1"/>
        <v>Fora</v>
      </c>
      <c r="J2152" s="239">
        <v>120.00000001396984</v>
      </c>
    </row>
    <row r="2153">
      <c r="A2153" s="234" t="s">
        <v>50</v>
      </c>
      <c r="B2153" s="234" t="str">
        <f>IFERROR(__xludf.DUMMYFUNCTION("""COMPUTED_VALUE"""),"LM Hub_SP_Jundiaí")</f>
        <v>LM Hub_SP_Jundiaí</v>
      </c>
      <c r="C2153" s="234" t="str">
        <f>IFERROR(__xludf.DUMMYFUNCTION("""COMPUTED_VALUE"""),"HUB-LSP-100")</f>
        <v>HUB-LSP-100</v>
      </c>
      <c r="D2153" s="234">
        <f>IFERROR(__xludf.DUMMYFUNCTION("""COMPUTED_VALUE"""),15.0)</f>
        <v>15</v>
      </c>
      <c r="E2153" s="237" t="str">
        <f>IFERROR(__xludf.DUMMYFUNCTION("""COMPUTED_VALUE"""),"LT0PC901TWTU1")</f>
        <v>LT0PC901TWTU1</v>
      </c>
      <c r="F2153" s="238" t="str">
        <f>IFERROR(__xludf.DUMMYFUNCTION("""COMPUTED_VALUE"""),"RLH4F75,TJS3B57")</f>
        <v>RLH4F75,TJS3B57</v>
      </c>
      <c r="G2153" s="238">
        <f>IFERROR(__xludf.DUMMYFUNCTION("""COMPUTED_VALUE"""),46000.20833333333)</f>
        <v>46000.20833</v>
      </c>
      <c r="H2153" s="238">
        <f>IFERROR(__xludf.DUMMYFUNCTION("""COMPUTED_VALUE"""),46000.29166666667)</f>
        <v>46000.29167</v>
      </c>
      <c r="I2153" s="237" t="str">
        <f t="shared" si="1"/>
        <v>Fora</v>
      </c>
      <c r="J2153" s="239">
        <v>120.00000001396984</v>
      </c>
    </row>
    <row r="2154">
      <c r="A2154" s="234" t="s">
        <v>53</v>
      </c>
      <c r="B2154" s="234" t="str">
        <f>IFERROR(__xludf.DUMMYFUNCTION("""COMPUTED_VALUE"""),"LM Hub_SP_Piracicaba")</f>
        <v>LM Hub_SP_Piracicaba</v>
      </c>
      <c r="C2154" s="234" t="str">
        <f>IFERROR(__xludf.DUMMYFUNCTION("""COMPUTED_VALUE"""),"HUB-LSP-62")</f>
        <v>HUB-LSP-62</v>
      </c>
      <c r="D2154" s="234">
        <f>IFERROR(__xludf.DUMMYFUNCTION("""COMPUTED_VALUE"""),26.0)</f>
        <v>26</v>
      </c>
      <c r="E2154" s="237" t="str">
        <f>IFERROR(__xludf.DUMMYFUNCTION("""COMPUTED_VALUE"""),"LT0PC901TPP11")</f>
        <v>LT0PC901TPP11</v>
      </c>
      <c r="F2154" s="238" t="str">
        <f>IFERROR(__xludf.DUMMYFUNCTION("""COMPUTED_VALUE"""),"MTB1C44,MTB1C45")</f>
        <v>MTB1C44,MTB1C45</v>
      </c>
      <c r="G2154" s="238">
        <f>IFERROR(__xludf.DUMMYFUNCTION("""COMPUTED_VALUE"""),46000.20833333333)</f>
        <v>46000.20833</v>
      </c>
      <c r="H2154" s="238">
        <f>IFERROR(__xludf.DUMMYFUNCTION("""COMPUTED_VALUE"""),46000.29166666667)</f>
        <v>46000.29167</v>
      </c>
      <c r="I2154" s="237" t="str">
        <f t="shared" si="1"/>
        <v>Fora</v>
      </c>
      <c r="J2154" s="239">
        <v>120.00000001396984</v>
      </c>
    </row>
    <row r="2155">
      <c r="A2155" s="234" t="s">
        <v>56</v>
      </c>
      <c r="B2155" s="234" t="str">
        <f>IFERROR(__xludf.DUMMYFUNCTION("""COMPUTED_VALUE"""),"LM Hub_SP_Santos_PraiaGrande_02")</f>
        <v>LM Hub_SP_Santos_PraiaGrande_02</v>
      </c>
      <c r="C2155" s="234" t="str">
        <f>IFERROR(__xludf.DUMMYFUNCTION("""COMPUTED_VALUE"""),"HUB-LSP-63")</f>
        <v>HUB-LSP-63</v>
      </c>
      <c r="D2155" s="234">
        <f>IFERROR(__xludf.DUMMYFUNCTION("""COMPUTED_VALUE"""),29.0)</f>
        <v>29</v>
      </c>
      <c r="E2155" s="237" t="str">
        <f>IFERROR(__xludf.DUMMYFUNCTION("""COMPUTED_VALUE"""),"LT0PC901TQIX2")</f>
        <v>LT0PC901TQIX2</v>
      </c>
      <c r="F2155" s="238" t="str">
        <f>IFERROR(__xludf.DUMMYFUNCTION("""COMPUTED_VALUE"""),"FNX9A32,FWB7A93")</f>
        <v>FNX9A32,FWB7A93</v>
      </c>
      <c r="G2155" s="238">
        <f>IFERROR(__xludf.DUMMYFUNCTION("""COMPUTED_VALUE"""),46000.20833333333)</f>
        <v>46000.20833</v>
      </c>
      <c r="H2155" s="238">
        <f>IFERROR(__xludf.DUMMYFUNCTION("""COMPUTED_VALUE"""),46000.29166666667)</f>
        <v>46000.29167</v>
      </c>
      <c r="I2155" s="237" t="str">
        <f t="shared" si="1"/>
        <v>Fora</v>
      </c>
      <c r="J2155" s="239">
        <v>120.00000001396984</v>
      </c>
    </row>
    <row r="2156">
      <c r="A2156" s="234" t="s">
        <v>59</v>
      </c>
      <c r="B2156" s="234" t="str">
        <f>IFERROR(__xludf.DUMMYFUNCTION("""COMPUTED_VALUE"""),"LM Hub_SP_Santos_PraiaGrande_02")</f>
        <v>LM Hub_SP_Santos_PraiaGrande_02</v>
      </c>
      <c r="C2156" s="234" t="str">
        <f>IFERROR(__xludf.DUMMYFUNCTION("""COMPUTED_VALUE"""),"HUB-LSP-63")</f>
        <v>HUB-LSP-63</v>
      </c>
      <c r="D2156" s="234">
        <f>IFERROR(__xludf.DUMMYFUNCTION("""COMPUTED_VALUE"""),28.0)</f>
        <v>28</v>
      </c>
      <c r="E2156" s="237" t="str">
        <f>IFERROR(__xludf.DUMMYFUNCTION("""COMPUTED_VALUE"""),"LT0PC901TQIV1")</f>
        <v>LT0PC901TQIV1</v>
      </c>
      <c r="F2156" s="238" t="str">
        <f>IFERROR(__xludf.DUMMYFUNCTION("""COMPUTED_VALUE"""),"GEJ6E62,TLV2A95")</f>
        <v>GEJ6E62,TLV2A95</v>
      </c>
      <c r="G2156" s="238">
        <f>IFERROR(__xludf.DUMMYFUNCTION("""COMPUTED_VALUE"""),46000.20833333333)</f>
        <v>46000.20833</v>
      </c>
      <c r="H2156" s="238">
        <f>IFERROR(__xludf.DUMMYFUNCTION("""COMPUTED_VALUE"""),46000.29166666667)</f>
        <v>46000.29167</v>
      </c>
      <c r="I2156" s="237" t="str">
        <f t="shared" si="1"/>
        <v>Fora</v>
      </c>
      <c r="J2156" s="239">
        <v>119.00000001071021</v>
      </c>
    </row>
    <row r="2157">
      <c r="A2157" s="234" t="s">
        <v>60</v>
      </c>
      <c r="B2157" s="234" t="str">
        <f>IFERROR(__xludf.DUMMYFUNCTION("""COMPUTED_VALUE"""),"LM Hub_SP_Jurubatuba")</f>
        <v>LM Hub_SP_Jurubatuba</v>
      </c>
      <c r="C2157" s="234" t="str">
        <f>IFERROR(__xludf.DUMMYFUNCTION("""COMPUTED_VALUE"""),"HUB-LSP-16")</f>
        <v>HUB-LSP-16</v>
      </c>
      <c r="D2157" s="234">
        <f>IFERROR(__xludf.DUMMYFUNCTION("""COMPUTED_VALUE"""),18.0)</f>
        <v>18</v>
      </c>
      <c r="E2157" s="237" t="str">
        <f>IFERROR(__xludf.DUMMYFUNCTION("""COMPUTED_VALUE"""),"LT0PC901TQGW1")</f>
        <v>LT0PC901TQGW1</v>
      </c>
      <c r="F2157" s="238" t="str">
        <f>IFERROR(__xludf.DUMMYFUNCTION("""COMPUTED_VALUE"""),"MQM6I27,FXB7G01")</f>
        <v>MQM6I27,FXB7G01</v>
      </c>
      <c r="G2157" s="238">
        <f>IFERROR(__xludf.DUMMYFUNCTION("""COMPUTED_VALUE"""),46000.209027777775)</f>
        <v>46000.20903</v>
      </c>
      <c r="H2157" s="238">
        <f>IFERROR(__xludf.DUMMYFUNCTION("""COMPUTED_VALUE"""),46000.29166666667)</f>
        <v>46000.29167</v>
      </c>
      <c r="I2157" s="237" t="str">
        <f t="shared" si="1"/>
        <v>Fora</v>
      </c>
      <c r="J2157" s="239">
        <v>119.00000001071021</v>
      </c>
    </row>
    <row r="2158">
      <c r="A2158" s="234" t="s">
        <v>63</v>
      </c>
      <c r="B2158" s="234" t="str">
        <f>IFERROR(__xludf.DUMMYFUNCTION("""COMPUTED_VALUE"""),"LM Hub_SP_Jurubatuba")</f>
        <v>LM Hub_SP_Jurubatuba</v>
      </c>
      <c r="C2158" s="234" t="str">
        <f>IFERROR(__xludf.DUMMYFUNCTION("""COMPUTED_VALUE"""),"HUB-LSP-16")</f>
        <v>HUB-LSP-16</v>
      </c>
      <c r="D2158" s="234">
        <f>IFERROR(__xludf.DUMMYFUNCTION("""COMPUTED_VALUE"""),23.0)</f>
        <v>23</v>
      </c>
      <c r="E2158" s="237" t="str">
        <f>IFERROR(__xludf.DUMMYFUNCTION("""COMPUTED_VALUE"""),"LT0PC901TQGY2")</f>
        <v>LT0PC901TQGY2</v>
      </c>
      <c r="F2158" s="238" t="str">
        <f>IFERROR(__xludf.DUMMYFUNCTION("""COMPUTED_VALUE"""),"JYA9C60,CUG9G47")</f>
        <v>JYA9C60,CUG9G47</v>
      </c>
      <c r="G2158" s="238">
        <f>IFERROR(__xludf.DUMMYFUNCTION("""COMPUTED_VALUE"""),46000.209027777775)</f>
        <v>46000.20903</v>
      </c>
      <c r="H2158" s="238">
        <f>IFERROR(__xludf.DUMMYFUNCTION("""COMPUTED_VALUE"""),46000.29166666667)</f>
        <v>46000.29167</v>
      </c>
      <c r="I2158" s="237" t="str">
        <f t="shared" si="1"/>
        <v>Fora</v>
      </c>
      <c r="J2158" s="239">
        <v>119.00000001071021</v>
      </c>
    </row>
    <row r="2159">
      <c r="A2159" s="234" t="s">
        <v>64</v>
      </c>
      <c r="B2159" s="234" t="str">
        <f>IFERROR(__xludf.DUMMYFUNCTION("""COMPUTED_VALUE"""),"SoC_SP_Santana")</f>
        <v>SoC_SP_Santana</v>
      </c>
      <c r="C2159" s="234" t="str">
        <f>IFERROR(__xludf.DUMMYFUNCTION("""COMPUTED_VALUE"""),"SOC-SP2")</f>
        <v>SOC-SP2</v>
      </c>
      <c r="D2159" s="234">
        <f>IFERROR(__xludf.DUMMYFUNCTION("""COMPUTED_VALUE"""),32.0)</f>
        <v>32</v>
      </c>
      <c r="E2159" s="237" t="str">
        <f>IFERROR(__xludf.DUMMYFUNCTION("""COMPUTED_VALUE"""),"LT0PC901TP3Z1")</f>
        <v>LT0PC901TP3Z1</v>
      </c>
      <c r="F2159" s="238" t="str">
        <f>IFERROR(__xludf.DUMMYFUNCTION("""COMPUTED_VALUE"""),"FCT6F34,EOB8J55")</f>
        <v>FCT6F34,EOB8J55</v>
      </c>
      <c r="G2159" s="238">
        <f>IFERROR(__xludf.DUMMYFUNCTION("""COMPUTED_VALUE"""),46000.209027777775)</f>
        <v>46000.20903</v>
      </c>
      <c r="H2159" s="238">
        <f>IFERROR(__xludf.DUMMYFUNCTION("""COMPUTED_VALUE"""),46000.29166666667)</f>
        <v>46000.29167</v>
      </c>
      <c r="I2159" s="237" t="str">
        <f t="shared" si="1"/>
        <v>Fora</v>
      </c>
      <c r="J2159" s="239">
        <v>119.99999999301508</v>
      </c>
    </row>
    <row r="2160">
      <c r="A2160" s="234" t="s">
        <v>67</v>
      </c>
      <c r="B2160" s="234" t="str">
        <f>IFERROR(__xludf.DUMMYFUNCTION("""COMPUTED_VALUE"""),"LM Hub_SP_Guarujá")</f>
        <v>LM Hub_SP_Guarujá</v>
      </c>
      <c r="C2160" s="234" t="str">
        <f>IFERROR(__xludf.DUMMYFUNCTION("""COMPUTED_VALUE"""),"HUB-LSP-06")</f>
        <v>HUB-LSP-06</v>
      </c>
      <c r="D2160" s="234">
        <f>IFERROR(__xludf.DUMMYFUNCTION("""COMPUTED_VALUE"""),7.0)</f>
        <v>7</v>
      </c>
      <c r="E2160" s="237" t="str">
        <f>IFERROR(__xludf.DUMMYFUNCTION("""COMPUTED_VALUE"""),"LT0PC901TQHX1")</f>
        <v>LT0PC901TQHX1</v>
      </c>
      <c r="F2160" s="238" t="str">
        <f>IFERROR(__xludf.DUMMYFUNCTION("""COMPUTED_VALUE"""),"DIK3532")</f>
        <v>DIK3532</v>
      </c>
      <c r="G2160" s="238">
        <f>IFERROR(__xludf.DUMMYFUNCTION("""COMPUTED_VALUE"""),46000.22916666667)</f>
        <v>46000.22917</v>
      </c>
      <c r="H2160" s="238">
        <f>IFERROR(__xludf.DUMMYFUNCTION("""COMPUTED_VALUE"""),46000.3125)</f>
        <v>46000.3125</v>
      </c>
      <c r="I2160" s="237" t="str">
        <f t="shared" si="1"/>
        <v>Fora</v>
      </c>
      <c r="J2160" s="239">
        <v>119.99999999301508</v>
      </c>
    </row>
    <row r="2161">
      <c r="A2161" s="234" t="s">
        <v>70</v>
      </c>
      <c r="B2161" s="234" t="str">
        <f>IFERROR(__xludf.DUMMYFUNCTION("""COMPUTED_VALUE"""),"LM Hub_SP_Itapevi")</f>
        <v>LM Hub_SP_Itapevi</v>
      </c>
      <c r="C2161" s="234" t="str">
        <f>IFERROR(__xludf.DUMMYFUNCTION("""COMPUTED_VALUE"""),"HUB-LSP-41")</f>
        <v>HUB-LSP-41</v>
      </c>
      <c r="D2161" s="234"/>
      <c r="E2161" s="237" t="str">
        <f>IFERROR(__xludf.DUMMYFUNCTION("""COMPUTED_VALUE"""),"LT0PC901TN9N1")</f>
        <v>LT0PC901TN9N1</v>
      </c>
      <c r="F2161" s="238" t="str">
        <f>IFERROR(__xludf.DUMMYFUNCTION("""COMPUTED_VALUE"""),"HFD4H27,JXG9745")</f>
        <v>HFD4H27,JXG9745</v>
      </c>
      <c r="G2161" s="238">
        <f>IFERROR(__xludf.DUMMYFUNCTION("""COMPUTED_VALUE"""),46000.22916666667)</f>
        <v>46000.22917</v>
      </c>
      <c r="H2161" s="238">
        <f>IFERROR(__xludf.DUMMYFUNCTION("""COMPUTED_VALUE"""),46000.3125)</f>
        <v>46000.3125</v>
      </c>
      <c r="I2161" s="237" t="str">
        <f t="shared" si="1"/>
        <v>Fora</v>
      </c>
      <c r="J2161" s="239">
        <v>119.99999999301508</v>
      </c>
    </row>
    <row r="2162">
      <c r="A2162" s="234" t="s">
        <v>74</v>
      </c>
      <c r="B2162" s="234" t="str">
        <f>IFERROR(__xludf.DUMMYFUNCTION("""COMPUTED_VALUE"""),"LM Hub_SP_Itaqua_Zimba")</f>
        <v>LM Hub_SP_Itaqua_Zimba</v>
      </c>
      <c r="C2162" s="234" t="str">
        <f>IFERROR(__xludf.DUMMYFUNCTION("""COMPUTED_VALUE"""),"HUB-LSP-74")</f>
        <v>HUB-LSP-74</v>
      </c>
      <c r="D2162" s="234">
        <f>IFERROR(__xludf.DUMMYFUNCTION("""COMPUTED_VALUE"""),14.0)</f>
        <v>14</v>
      </c>
      <c r="E2162" s="237" t="str">
        <f>IFERROR(__xludf.DUMMYFUNCTION("""COMPUTED_VALUE"""),"LT0PC901TQHR1")</f>
        <v>LT0PC901TQHR1</v>
      </c>
      <c r="F2162" s="238" t="str">
        <f>IFERROR(__xludf.DUMMYFUNCTION("""COMPUTED_VALUE"""),"EPU6B00,UFF0H10")</f>
        <v>EPU6B00,UFF0H10</v>
      </c>
      <c r="G2162" s="238">
        <f>IFERROR(__xludf.DUMMYFUNCTION("""COMPUTED_VALUE"""),46000.22916666667)</f>
        <v>46000.22917</v>
      </c>
      <c r="H2162" s="238">
        <f>IFERROR(__xludf.DUMMYFUNCTION("""COMPUTED_VALUE"""),46000.3125)</f>
        <v>46000.3125</v>
      </c>
      <c r="I2162" s="237" t="str">
        <f t="shared" si="1"/>
        <v>Fora</v>
      </c>
      <c r="J2162" s="239">
        <v>119.99999999301508</v>
      </c>
    </row>
    <row r="2163">
      <c r="A2163" s="234" t="s">
        <v>3829</v>
      </c>
      <c r="B2163" s="234" t="str">
        <f>IFERROR(__xludf.DUMMYFUNCTION("""COMPUTED_VALUE"""),"LM Hub_SP_Santos_Praia Grande")</f>
        <v>LM Hub_SP_Santos_Praia Grande</v>
      </c>
      <c r="C2163" s="234" t="str">
        <f>IFERROR(__xludf.DUMMYFUNCTION("""COMPUTED_VALUE"""),"HUB-LSP-09")</f>
        <v>HUB-LSP-09</v>
      </c>
      <c r="D2163" s="234"/>
      <c r="E2163" s="237" t="str">
        <f>IFERROR(__xludf.DUMMYFUNCTION("""COMPUTED_VALUE"""),"LT0PC901TQI41")</f>
        <v>LT0PC901TQI41</v>
      </c>
      <c r="F2163" s="234"/>
      <c r="G2163" s="238">
        <f>IFERROR(__xludf.DUMMYFUNCTION("""COMPUTED_VALUE"""),46000.22916666667)</f>
        <v>46000.22917</v>
      </c>
      <c r="H2163" s="238">
        <f>IFERROR(__xludf.DUMMYFUNCTION("""COMPUTED_VALUE"""),46000.3125)</f>
        <v>46000.3125</v>
      </c>
      <c r="I2163" s="237" t="str">
        <f t="shared" si="1"/>
        <v>Fora</v>
      </c>
      <c r="J2163" s="239">
        <v>119.99999999301508</v>
      </c>
    </row>
    <row r="2164">
      <c r="A2164" s="234" t="s">
        <v>3830</v>
      </c>
      <c r="B2164" s="234" t="str">
        <f>IFERROR(__xludf.DUMMYFUNCTION("""COMPUTED_VALUE"""),"LM Hub_SP_Santos_Praia Grande")</f>
        <v>LM Hub_SP_Santos_Praia Grande</v>
      </c>
      <c r="C2164" s="234" t="str">
        <f>IFERROR(__xludf.DUMMYFUNCTION("""COMPUTED_VALUE"""),"HUB-LSP-09")</f>
        <v>HUB-LSP-09</v>
      </c>
      <c r="D2164" s="234"/>
      <c r="E2164" s="237" t="str">
        <f>IFERROR(__xludf.DUMMYFUNCTION("""COMPUTED_VALUE"""),"LT0PC901TQI62")</f>
        <v>LT0PC901TQI62</v>
      </c>
      <c r="F2164" s="238" t="str">
        <f>IFERROR(__xludf.DUMMYFUNCTION("""COMPUTED_VALUE"""),"GEJ6E62,TLV2A95")</f>
        <v>GEJ6E62,TLV2A95</v>
      </c>
      <c r="G2164" s="238">
        <f>IFERROR(__xludf.DUMMYFUNCTION("""COMPUTED_VALUE"""),46000.22916666667)</f>
        <v>46000.22917</v>
      </c>
      <c r="H2164" s="238">
        <f>IFERROR(__xludf.DUMMYFUNCTION("""COMPUTED_VALUE"""),46000.3125)</f>
        <v>46000.3125</v>
      </c>
      <c r="I2164" s="237" t="str">
        <f t="shared" si="1"/>
        <v>Fora</v>
      </c>
      <c r="J2164" s="239">
        <v>119.99999999301508</v>
      </c>
    </row>
    <row r="2165">
      <c r="A2165" s="234" t="s">
        <v>77</v>
      </c>
      <c r="B2165" s="234" t="str">
        <f>IFERROR(__xludf.DUMMYFUNCTION("""COMPUTED_VALUE"""),"LM Hub_SP_São José dos Campos")</f>
        <v>LM Hub_SP_São José dos Campos</v>
      </c>
      <c r="C2165" s="234" t="str">
        <f>IFERROR(__xludf.DUMMYFUNCTION("""COMPUTED_VALUE"""),"HUB-LSP-04")</f>
        <v>HUB-LSP-04</v>
      </c>
      <c r="D2165" s="234">
        <f>IFERROR(__xludf.DUMMYFUNCTION("""COMPUTED_VALUE"""),22.0)</f>
        <v>22</v>
      </c>
      <c r="E2165" s="237" t="str">
        <f>IFERROR(__xludf.DUMMYFUNCTION("""COMPUTED_VALUE"""),"LT0PC901TNS21")</f>
        <v>LT0PC901TNS21</v>
      </c>
      <c r="F2165" s="238" t="str">
        <f>IFERROR(__xludf.DUMMYFUNCTION("""COMPUTED_VALUE"""),"FYQ5533")</f>
        <v>FYQ5533</v>
      </c>
      <c r="G2165" s="238">
        <f>IFERROR(__xludf.DUMMYFUNCTION("""COMPUTED_VALUE"""),46000.22916666667)</f>
        <v>46000.22917</v>
      </c>
      <c r="H2165" s="238">
        <f>IFERROR(__xludf.DUMMYFUNCTION("""COMPUTED_VALUE"""),46000.3125)</f>
        <v>46000.3125</v>
      </c>
      <c r="I2165" s="237" t="str">
        <f t="shared" si="1"/>
        <v>Fora</v>
      </c>
      <c r="J2165" s="239">
        <v>119.99999999301508</v>
      </c>
    </row>
    <row r="2166">
      <c r="A2166" s="234" t="s">
        <v>80</v>
      </c>
      <c r="B2166" s="234" t="str">
        <f>IFERROR(__xludf.DUMMYFUNCTION("""COMPUTED_VALUE"""),"LM Hub_SP_São Paulo_Mooca")</f>
        <v>LM Hub_SP_São Paulo_Mooca</v>
      </c>
      <c r="C2166" s="234" t="str">
        <f>IFERROR(__xludf.DUMMYFUNCTION("""COMPUTED_VALUE"""),"HUB-LSP-13")</f>
        <v>HUB-LSP-13</v>
      </c>
      <c r="D2166" s="234">
        <f>IFERROR(__xludf.DUMMYFUNCTION("""COMPUTED_VALUE"""),13.0)</f>
        <v>13</v>
      </c>
      <c r="E2166" s="237" t="str">
        <f>IFERROR(__xludf.DUMMYFUNCTION("""COMPUTED_VALUE"""),"LT0PC901TNRC1")</f>
        <v>LT0PC901TNRC1</v>
      </c>
      <c r="F2166" s="238" t="str">
        <f>IFERROR(__xludf.DUMMYFUNCTION("""COMPUTED_VALUE"""),"FGI1F79")</f>
        <v>FGI1F79</v>
      </c>
      <c r="G2166" s="238">
        <f>IFERROR(__xludf.DUMMYFUNCTION("""COMPUTED_VALUE"""),46000.22916666667)</f>
        <v>46000.22917</v>
      </c>
      <c r="H2166" s="238">
        <f>IFERROR(__xludf.DUMMYFUNCTION("""COMPUTED_VALUE"""),46000.3125)</f>
        <v>46000.3125</v>
      </c>
      <c r="I2166" s="237" t="str">
        <f t="shared" si="1"/>
        <v>Fora</v>
      </c>
      <c r="J2166" s="239">
        <v>119.99999999301508</v>
      </c>
    </row>
    <row r="2167">
      <c r="A2167" s="234" t="s">
        <v>3831</v>
      </c>
      <c r="B2167" s="234" t="str">
        <f>IFERROR(__xludf.DUMMYFUNCTION("""COMPUTED_VALUE"""),"LM Hub_SP_São Paulo_Mooca")</f>
        <v>LM Hub_SP_São Paulo_Mooca</v>
      </c>
      <c r="C2167" s="234" t="str">
        <f>IFERROR(__xludf.DUMMYFUNCTION("""COMPUTED_VALUE"""),"HUB-LSP-13")</f>
        <v>HUB-LSP-13</v>
      </c>
      <c r="D2167" s="234"/>
      <c r="E2167" s="237" t="str">
        <f>IFERROR(__xludf.DUMMYFUNCTION("""COMPUTED_VALUE"""),"LT0PC901TNRE2")</f>
        <v>LT0PC901TNRE2</v>
      </c>
      <c r="F2167" s="238" t="str">
        <f>IFERROR(__xludf.DUMMYFUNCTION("""COMPUTED_VALUE"""),"PEP9J38")</f>
        <v>PEP9J38</v>
      </c>
      <c r="G2167" s="238">
        <f>IFERROR(__xludf.DUMMYFUNCTION("""COMPUTED_VALUE"""),46000.22916666667)</f>
        <v>46000.22917</v>
      </c>
      <c r="H2167" s="238">
        <f>IFERROR(__xludf.DUMMYFUNCTION("""COMPUTED_VALUE"""),46000.3125)</f>
        <v>46000.3125</v>
      </c>
      <c r="I2167" s="237" t="str">
        <f t="shared" si="1"/>
        <v>Fora</v>
      </c>
      <c r="J2167" s="239">
        <v>540.0</v>
      </c>
    </row>
    <row r="2168">
      <c r="A2168" s="234" t="s">
        <v>83</v>
      </c>
      <c r="B2168" s="234" t="str">
        <f>IFERROR(__xludf.DUMMYFUNCTION("""COMPUTED_VALUE"""),"SoC_RJ_Duque de Caxias")</f>
        <v>SoC_RJ_Duque de Caxias</v>
      </c>
      <c r="C2168" s="234" t="str">
        <f>IFERROR(__xludf.DUMMYFUNCTION("""COMPUTED_VALUE"""),"SOC-RJ2")</f>
        <v>SOC-RJ2</v>
      </c>
      <c r="D2168" s="234">
        <f>IFERROR(__xludf.DUMMYFUNCTION("""COMPUTED_VALUE"""),96.0)</f>
        <v>96</v>
      </c>
      <c r="E2168" s="237" t="str">
        <f>IFERROR(__xludf.DUMMYFUNCTION("""COMPUTED_VALUE"""),"LT0PC801TRQU2")</f>
        <v>LT0PC801TRQU2</v>
      </c>
      <c r="F2168" s="238" t="str">
        <f>IFERROR(__xludf.DUMMYFUNCTION("""COMPUTED_VALUE"""),"UFF1E13,QSV1C27")</f>
        <v>UFF1E13,QSV1C27</v>
      </c>
      <c r="G2168" s="238">
        <f>IFERROR(__xludf.DUMMYFUNCTION("""COMPUTED_VALUE"""),45999.95833333333)</f>
        <v>45999.95833</v>
      </c>
      <c r="H2168" s="238">
        <f>IFERROR(__xludf.DUMMYFUNCTION("""COMPUTED_VALUE"""),46000.33333333333)</f>
        <v>46000.33333</v>
      </c>
      <c r="I2168" s="237" t="str">
        <f t="shared" si="1"/>
        <v>Fora</v>
      </c>
      <c r="J2168" s="239">
        <v>479.9999999930151</v>
      </c>
    </row>
    <row r="2169">
      <c r="A2169" s="234" t="s">
        <v>87</v>
      </c>
      <c r="B2169" s="234" t="str">
        <f>IFERROR(__xludf.DUMMYFUNCTION("""COMPUTED_VALUE"""),"SoC_SP_Cravinhos")</f>
        <v>SoC_SP_Cravinhos</v>
      </c>
      <c r="C2169" s="234" t="str">
        <f>IFERROR(__xludf.DUMMYFUNCTION("""COMPUTED_VALUE"""),"SOC-SP5")</f>
        <v>SOC-SP5</v>
      </c>
      <c r="D2169" s="234">
        <f>IFERROR(__xludf.DUMMYFUNCTION("""COMPUTED_VALUE"""),94.0)</f>
        <v>94</v>
      </c>
      <c r="E2169" s="237" t="str">
        <f>IFERROR(__xludf.DUMMYFUNCTION("""COMPUTED_VALUE"""),"LT1PC901U2DT1")</f>
        <v>LT1PC901U2DT1</v>
      </c>
      <c r="F2169" s="238" t="str">
        <f>IFERROR(__xludf.DUMMYFUNCTION("""COMPUTED_VALUE"""),"QOB2B39,FSS9J71")</f>
        <v>QOB2B39,FSS9J71</v>
      </c>
      <c r="G2169" s="238">
        <f>IFERROR(__xludf.DUMMYFUNCTION("""COMPUTED_VALUE"""),46000.0)</f>
        <v>46000</v>
      </c>
      <c r="H2169" s="238">
        <f>IFERROR(__xludf.DUMMYFUNCTION("""COMPUTED_VALUE"""),46000.33333333333)</f>
        <v>46000.33333</v>
      </c>
      <c r="I2169" s="237" t="str">
        <f t="shared" si="1"/>
        <v>Fora</v>
      </c>
      <c r="J2169" s="239">
        <v>419.99999998603016</v>
      </c>
    </row>
    <row r="2170">
      <c r="A2170" s="234" t="s">
        <v>3832</v>
      </c>
      <c r="B2170" s="234" t="str">
        <f>IFERROR(__xludf.DUMMYFUNCTION("""COMPUTED_VALUE"""),"SoC_BA_Simoes Filho")</f>
        <v>SoC_BA_Simoes Filho</v>
      </c>
      <c r="C2170" s="234" t="str">
        <f>IFERROR(__xludf.DUMMYFUNCTION("""COMPUTED_VALUE"""),"SOC-BA2")</f>
        <v>SOC-BA2</v>
      </c>
      <c r="D2170" s="234">
        <f>IFERROR(__xludf.DUMMYFUNCTION("""COMPUTED_VALUE"""),47.0)</f>
        <v>47</v>
      </c>
      <c r="E2170" s="237" t="str">
        <f>IFERROR(__xludf.DUMMYFUNCTION("""COMPUTED_VALUE"""),"LT1PC901U2EN1")</f>
        <v>LT1PC901U2EN1</v>
      </c>
      <c r="F2170" s="238" t="str">
        <f>IFERROR(__xludf.DUMMYFUNCTION("""COMPUTED_VALUE"""),"RLH5J78,FOY4347")</f>
        <v>RLH5J78,FOY4347</v>
      </c>
      <c r="G2170" s="238">
        <f>IFERROR(__xludf.DUMMYFUNCTION("""COMPUTED_VALUE"""),46000.04166666667)</f>
        <v>46000.04167</v>
      </c>
      <c r="H2170" s="238">
        <f>IFERROR(__xludf.DUMMYFUNCTION("""COMPUTED_VALUE"""),46000.33333333333)</f>
        <v>46000.33333</v>
      </c>
      <c r="I2170" s="237" t="str">
        <f t="shared" si="1"/>
        <v>Fora</v>
      </c>
      <c r="J2170" s="239">
        <v>419.99999998603016</v>
      </c>
    </row>
    <row r="2171">
      <c r="A2171" s="234" t="s">
        <v>3833</v>
      </c>
      <c r="B2171" s="234" t="str">
        <f>IFERROR(__xludf.DUMMYFUNCTION("""COMPUTED_VALUE"""),"SoC_GO_Goiânia_02")</f>
        <v>SoC_GO_Goiânia_02</v>
      </c>
      <c r="C2171" s="234" t="str">
        <f>IFERROR(__xludf.DUMMYFUNCTION("""COMPUTED_VALUE"""),"SOC-GO2")</f>
        <v>SOC-GO2</v>
      </c>
      <c r="D2171" s="234">
        <f>IFERROR(__xludf.DUMMYFUNCTION("""COMPUTED_VALUE"""),46.0)</f>
        <v>46</v>
      </c>
      <c r="E2171" s="237" t="str">
        <f>IFERROR(__xludf.DUMMYFUNCTION("""COMPUTED_VALUE"""),"LT1PC901U2ER1")</f>
        <v>LT1PC901U2ER1</v>
      </c>
      <c r="F2171" s="238" t="str">
        <f>IFERROR(__xludf.DUMMYFUNCTION("""COMPUTED_VALUE"""),"FDF9I92,CVN5J36")</f>
        <v>FDF9I92,CVN5J36</v>
      </c>
      <c r="G2171" s="238">
        <f>IFERROR(__xludf.DUMMYFUNCTION("""COMPUTED_VALUE"""),46000.04166666667)</f>
        <v>46000.04167</v>
      </c>
      <c r="H2171" s="238">
        <f>IFERROR(__xludf.DUMMYFUNCTION("""COMPUTED_VALUE"""),46000.33333333333)</f>
        <v>46000.33333</v>
      </c>
      <c r="I2171" s="237" t="str">
        <f t="shared" si="1"/>
        <v>Fora</v>
      </c>
      <c r="J2171" s="239">
        <v>480.00000001396984</v>
      </c>
    </row>
    <row r="2172">
      <c r="A2172" s="234" t="s">
        <v>90</v>
      </c>
      <c r="B2172" s="234" t="str">
        <f>IFERROR(__xludf.DUMMYFUNCTION("""COMPUTED_VALUE"""),"SoC_MG_Betim")</f>
        <v>SoC_MG_Betim</v>
      </c>
      <c r="C2172" s="234" t="str">
        <f>IFERROR(__xludf.DUMMYFUNCTION("""COMPUTED_VALUE"""),"SOC-MG2")</f>
        <v>SOC-MG2</v>
      </c>
      <c r="D2172" s="234">
        <f>IFERROR(__xludf.DUMMYFUNCTION("""COMPUTED_VALUE"""),90.0)</f>
        <v>90</v>
      </c>
      <c r="E2172" s="237" t="str">
        <f>IFERROR(__xludf.DUMMYFUNCTION("""COMPUTED_VALUE"""),"LT1PC901U2E31")</f>
        <v>LT1PC901U2E31</v>
      </c>
      <c r="F2172" s="238" t="str">
        <f>IFERROR(__xludf.DUMMYFUNCTION("""COMPUTED_VALUE"""),"DVT5D28,DTC7I46")</f>
        <v>DVT5D28,DTC7I46</v>
      </c>
      <c r="G2172" s="238">
        <f>IFERROR(__xludf.DUMMYFUNCTION("""COMPUTED_VALUE"""),46000.08333333333)</f>
        <v>46000.08333</v>
      </c>
      <c r="H2172" s="238">
        <f>IFERROR(__xludf.DUMMYFUNCTION("""COMPUTED_VALUE"""),46000.41666666667)</f>
        <v>46000.41667</v>
      </c>
      <c r="I2172" s="237" t="str">
        <f t="shared" si="1"/>
        <v>Fora</v>
      </c>
      <c r="J2172" s="239">
        <v>480.00000001396984</v>
      </c>
    </row>
    <row r="2173">
      <c r="A2173" s="234" t="s">
        <v>3834</v>
      </c>
      <c r="B2173" s="234" t="str">
        <f>IFERROR(__xludf.DUMMYFUNCTION("""COMPUTED_VALUE"""),"SoC_RJ_Duque de Caxias")</f>
        <v>SoC_RJ_Duque de Caxias</v>
      </c>
      <c r="C2173" s="234" t="str">
        <f>IFERROR(__xludf.DUMMYFUNCTION("""COMPUTED_VALUE"""),"SOC-RJ2")</f>
        <v>SOC-RJ2</v>
      </c>
      <c r="D2173" s="234">
        <f>IFERROR(__xludf.DUMMYFUNCTION("""COMPUTED_VALUE"""),49.0)</f>
        <v>49</v>
      </c>
      <c r="E2173" s="237" t="str">
        <f>IFERROR(__xludf.DUMMYFUNCTION("""COMPUTED_VALUE"""),"LT1PC901U2E11")</f>
        <v>LT1PC901U2E11</v>
      </c>
      <c r="F2173" s="238" t="str">
        <f>IFERROR(__xludf.DUMMYFUNCTION("""COMPUTED_VALUE"""),"EAG0A81,BAU9E49")</f>
        <v>EAG0A81,BAU9E49</v>
      </c>
      <c r="G2173" s="238">
        <f>IFERROR(__xludf.DUMMYFUNCTION("""COMPUTED_VALUE"""),46000.08333333333)</f>
        <v>46000.08333</v>
      </c>
      <c r="H2173" s="238">
        <f>IFERROR(__xludf.DUMMYFUNCTION("""COMPUTED_VALUE"""),46000.41666666667)</f>
        <v>46000.41667</v>
      </c>
      <c r="I2173" s="237" t="str">
        <f t="shared" si="1"/>
        <v>Fora</v>
      </c>
      <c r="J2173" s="239">
        <v>480.00000001396984</v>
      </c>
    </row>
    <row r="2174">
      <c r="A2174" s="234" t="s">
        <v>91</v>
      </c>
      <c r="B2174" s="234" t="str">
        <f>IFERROR(__xludf.DUMMYFUNCTION("""COMPUTED_VALUE"""),"SoC_SP_Cravinhos")</f>
        <v>SoC_SP_Cravinhos</v>
      </c>
      <c r="C2174" s="234" t="str">
        <f>IFERROR(__xludf.DUMMYFUNCTION("""COMPUTED_VALUE"""),"SOC-SP5")</f>
        <v>SOC-SP5</v>
      </c>
      <c r="D2174" s="234">
        <f>IFERROR(__xludf.DUMMYFUNCTION("""COMPUTED_VALUE"""),49.0)</f>
        <v>49</v>
      </c>
      <c r="E2174" s="237" t="str">
        <f>IFERROR(__xludf.DUMMYFUNCTION("""COMPUTED_VALUE"""),"LT1PC901U2DU1")</f>
        <v>LT1PC901U2DU1</v>
      </c>
      <c r="F2174" s="238" t="str">
        <f>IFERROR(__xludf.DUMMYFUNCTION("""COMPUTED_VALUE"""),"OCX3F08,MLZ5944")</f>
        <v>OCX3F08,MLZ5944</v>
      </c>
      <c r="G2174" s="238">
        <f>IFERROR(__xludf.DUMMYFUNCTION("""COMPUTED_VALUE"""),46000.08333333333)</f>
        <v>46000.08333</v>
      </c>
      <c r="H2174" s="238">
        <f>IFERROR(__xludf.DUMMYFUNCTION("""COMPUTED_VALUE"""),46000.41666666667)</f>
        <v>46000.41667</v>
      </c>
      <c r="I2174" s="237" t="str">
        <f t="shared" si="1"/>
        <v>Fora</v>
      </c>
      <c r="J2174" s="239">
        <v>479.9999999930151</v>
      </c>
    </row>
    <row r="2175">
      <c r="A2175" s="234" t="s">
        <v>3835</v>
      </c>
      <c r="B2175" s="234" t="str">
        <f>IFERROR(__xludf.DUMMYFUNCTION("""COMPUTED_VALUE"""),"SoC_BA_Simoes Filho")</f>
        <v>SoC_BA_Simoes Filho</v>
      </c>
      <c r="C2175" s="234" t="str">
        <f>IFERROR(__xludf.DUMMYFUNCTION("""COMPUTED_VALUE"""),"SOC-BA2")</f>
        <v>SOC-BA2</v>
      </c>
      <c r="D2175" s="234"/>
      <c r="E2175" s="237" t="str">
        <f>IFERROR(__xludf.DUMMYFUNCTION("""COMPUTED_VALUE"""),"LT1PC901U2EO1")</f>
        <v>LT1PC901U2EO1</v>
      </c>
      <c r="F2175" s="238" t="str">
        <f>IFERROR(__xludf.DUMMYFUNCTION("""COMPUTED_VALUE"""),"NYT5B08,FJP6J77")</f>
        <v>NYT5B08,FJP6J77</v>
      </c>
      <c r="G2175" s="238">
        <f>IFERROR(__xludf.DUMMYFUNCTION("""COMPUTED_VALUE"""),46000.125)</f>
        <v>46000.125</v>
      </c>
      <c r="H2175" s="238">
        <f>IFERROR(__xludf.DUMMYFUNCTION("""COMPUTED_VALUE"""),46000.45833333333)</f>
        <v>46000.45833</v>
      </c>
      <c r="I2175" s="237" t="str">
        <f t="shared" si="1"/>
        <v>Fora</v>
      </c>
      <c r="J2175" s="239">
        <v>479.9999999930151</v>
      </c>
    </row>
    <row r="2176">
      <c r="A2176" s="234" t="s">
        <v>3836</v>
      </c>
      <c r="B2176" s="234" t="str">
        <f>IFERROR(__xludf.DUMMYFUNCTION("""COMPUTED_VALUE"""),"SoC_BA_Simoes Filho")</f>
        <v>SoC_BA_Simoes Filho</v>
      </c>
      <c r="C2176" s="234" t="str">
        <f>IFERROR(__xludf.DUMMYFUNCTION("""COMPUTED_VALUE"""),"SOC-BA2")</f>
        <v>SOC-BA2</v>
      </c>
      <c r="D2176" s="234">
        <f>IFERROR(__xludf.DUMMYFUNCTION("""COMPUTED_VALUE"""),45.0)</f>
        <v>45</v>
      </c>
      <c r="E2176" s="237" t="str">
        <f>IFERROR(__xludf.DUMMYFUNCTION("""COMPUTED_VALUE"""),"LT1PC901U2EP1")</f>
        <v>LT1PC901U2EP1</v>
      </c>
      <c r="F2176" s="238" t="str">
        <f>IFERROR(__xludf.DUMMYFUNCTION("""COMPUTED_VALUE"""),"RAJ4H40,MBF6C93")</f>
        <v>RAJ4H40,MBF6C93</v>
      </c>
      <c r="G2176" s="238">
        <f>IFERROR(__xludf.DUMMYFUNCTION("""COMPUTED_VALUE"""),46000.16666666667)</f>
        <v>46000.16667</v>
      </c>
      <c r="H2176" s="238">
        <f>IFERROR(__xludf.DUMMYFUNCTION("""COMPUTED_VALUE"""),46000.5)</f>
        <v>46000.5</v>
      </c>
      <c r="I2176" s="237" t="str">
        <f t="shared" si="1"/>
        <v>Fora</v>
      </c>
      <c r="J2176" s="239">
        <v>479.9999999930151</v>
      </c>
    </row>
    <row r="2177">
      <c r="A2177" s="234" t="s">
        <v>3837</v>
      </c>
      <c r="B2177" s="234" t="str">
        <f>IFERROR(__xludf.DUMMYFUNCTION("""COMPUTED_VALUE"""),"SoC_RJ_Duque de Caxias")</f>
        <v>SoC_RJ_Duque de Caxias</v>
      </c>
      <c r="C2177" s="234" t="str">
        <f>IFERROR(__xludf.DUMMYFUNCTION("""COMPUTED_VALUE"""),"SOC-RJ2")</f>
        <v>SOC-RJ2</v>
      </c>
      <c r="D2177" s="234">
        <f>IFERROR(__xludf.DUMMYFUNCTION("""COMPUTED_VALUE"""),5.0)</f>
        <v>5</v>
      </c>
      <c r="E2177" s="237" t="str">
        <f>IFERROR(__xludf.DUMMYFUNCTION("""COMPUTED_VALUE"""),"LT1PC901U2ET1")</f>
        <v>LT1PC901U2ET1</v>
      </c>
      <c r="F2177" s="238" t="str">
        <f>IFERROR(__xludf.DUMMYFUNCTION("""COMPUTED_VALUE"""),"DVT7F98,MFI5G72")</f>
        <v>DVT7F98,MFI5G72</v>
      </c>
      <c r="G2177" s="238">
        <f>IFERROR(__xludf.DUMMYFUNCTION("""COMPUTED_VALUE"""),46000.16666666667)</f>
        <v>46000.16667</v>
      </c>
      <c r="H2177" s="238">
        <f>IFERROR(__xludf.DUMMYFUNCTION("""COMPUTED_VALUE"""),46000.5)</f>
        <v>46000.5</v>
      </c>
      <c r="I2177" s="237" t="str">
        <f t="shared" si="1"/>
        <v>Fora</v>
      </c>
      <c r="J2177" s="239">
        <v>420.0000000069849</v>
      </c>
    </row>
    <row r="2178">
      <c r="A2178" s="234" t="s">
        <v>3838</v>
      </c>
      <c r="B2178" s="234" t="str">
        <f>IFERROR(__xludf.DUMMYFUNCTION("""COMPUTED_VALUE"""),"SoC_RJ_Duque de Caxias")</f>
        <v>SoC_RJ_Duque de Caxias</v>
      </c>
      <c r="C2178" s="234" t="str">
        <f>IFERROR(__xludf.DUMMYFUNCTION("""COMPUTED_VALUE"""),"SOC-RJ2")</f>
        <v>SOC-RJ2</v>
      </c>
      <c r="D2178" s="234">
        <f>IFERROR(__xludf.DUMMYFUNCTION("""COMPUTED_VALUE"""),96.0)</f>
        <v>96</v>
      </c>
      <c r="E2178" s="237" t="str">
        <f>IFERROR(__xludf.DUMMYFUNCTION("""COMPUTED_VALUE"""),"LT0PC801TO7T1")</f>
        <v>LT0PC801TO7T1</v>
      </c>
      <c r="F2178" s="238" t="str">
        <f>IFERROR(__xludf.DUMMYFUNCTION("""COMPUTED_VALUE"""),"MQN6H61,EZL3A06")</f>
        <v>MQN6H61,EZL3A06</v>
      </c>
      <c r="G2178" s="238">
        <f>IFERROR(__xludf.DUMMYFUNCTION("""COMPUTED_VALUE"""),45999.75)</f>
        <v>45999.75</v>
      </c>
      <c r="H2178" s="238">
        <f>IFERROR(__xludf.DUMMYFUNCTION("""COMPUTED_VALUE"""),46000.04166666667)</f>
        <v>46000.04167</v>
      </c>
      <c r="I2178" s="237" t="str">
        <f t="shared" si="1"/>
        <v>Fora</v>
      </c>
      <c r="J2178" s="239">
        <v>119.99999999301508</v>
      </c>
    </row>
    <row r="2179">
      <c r="A2179" s="234" t="s">
        <v>3839</v>
      </c>
      <c r="B2179" s="234" t="str">
        <f>IFERROR(__xludf.DUMMYFUNCTION("""COMPUTED_VALUE"""),"LM Hub_SP_Artur Alvim")</f>
        <v>LM Hub_SP_Artur Alvim</v>
      </c>
      <c r="C2179" s="234" t="str">
        <f>IFERROR(__xludf.DUMMYFUNCTION("""COMPUTED_VALUE"""),"HUB-LSP-07")</f>
        <v>HUB-LSP-07</v>
      </c>
      <c r="D2179" s="234">
        <f>IFERROR(__xludf.DUMMYFUNCTION("""COMPUTED_VALUE"""),22.0)</f>
        <v>22</v>
      </c>
      <c r="E2179" s="237" t="str">
        <f>IFERROR(__xludf.DUMMYFUNCTION("""COMPUTED_VALUE"""),"LT0PC901TO3D1")</f>
        <v>LT0PC901TO3D1</v>
      </c>
      <c r="F2179" s="238" t="str">
        <f>IFERROR(__xludf.DUMMYFUNCTION("""COMPUTED_VALUE"""),"QPV1A02")</f>
        <v>QPV1A02</v>
      </c>
      <c r="G2179" s="238">
        <f>IFERROR(__xludf.DUMMYFUNCTION("""COMPUTED_VALUE"""),46000.91666666667)</f>
        <v>46000.91667</v>
      </c>
      <c r="H2179" s="238">
        <f>IFERROR(__xludf.DUMMYFUNCTION("""COMPUTED_VALUE"""),46001.0)</f>
        <v>46001</v>
      </c>
      <c r="I2179" s="237" t="str">
        <f t="shared" si="1"/>
        <v>Fora</v>
      </c>
      <c r="J2179" s="239">
        <v>119.99999999301508</v>
      </c>
    </row>
    <row r="2180">
      <c r="A2180" s="234" t="s">
        <v>3840</v>
      </c>
      <c r="B2180" s="234" t="str">
        <f>IFERROR(__xludf.DUMMYFUNCTION("""COMPUTED_VALUE"""),"LM Hub_SP_Barueri_01")</f>
        <v>LM Hub_SP_Barueri_01</v>
      </c>
      <c r="C2180" s="234" t="str">
        <f>IFERROR(__xludf.DUMMYFUNCTION("""COMPUTED_VALUE"""),"HUB-LSP-81")</f>
        <v>HUB-LSP-81</v>
      </c>
      <c r="D2180" s="234"/>
      <c r="E2180" s="237" t="str">
        <f>IFERROR(__xludf.DUMMYFUNCTION("""COMPUTED_VALUE"""),"LT0PC901TV931")</f>
        <v>LT0PC901TV931</v>
      </c>
      <c r="F2180" s="238" t="str">
        <f>IFERROR(__xludf.DUMMYFUNCTION("""COMPUTED_VALUE"""),"SUQ5C99,TLD5B82")</f>
        <v>SUQ5C99,TLD5B82</v>
      </c>
      <c r="G2180" s="238">
        <f>IFERROR(__xludf.DUMMYFUNCTION("""COMPUTED_VALUE"""),46000.91666666667)</f>
        <v>46000.91667</v>
      </c>
      <c r="H2180" s="238">
        <f>IFERROR(__xludf.DUMMYFUNCTION("""COMPUTED_VALUE"""),46001.0)</f>
        <v>46001</v>
      </c>
      <c r="I2180" s="237" t="str">
        <f t="shared" si="1"/>
        <v>Fora</v>
      </c>
      <c r="J2180" s="239">
        <v>119.99999999301508</v>
      </c>
    </row>
    <row r="2181">
      <c r="A2181" s="234" t="s">
        <v>3841</v>
      </c>
      <c r="B2181" s="234" t="str">
        <f>IFERROR(__xludf.DUMMYFUNCTION("""COMPUTED_VALUE"""),"LM Hub_SP_Guarulhos")</f>
        <v>LM Hub_SP_Guarulhos</v>
      </c>
      <c r="C2181" s="234" t="str">
        <f>IFERROR(__xludf.DUMMYFUNCTION("""COMPUTED_VALUE"""),"HUB-LSP-77")</f>
        <v>HUB-LSP-77</v>
      </c>
      <c r="D2181" s="234">
        <f>IFERROR(__xludf.DUMMYFUNCTION("""COMPUTED_VALUE"""),32.0)</f>
        <v>32</v>
      </c>
      <c r="E2181" s="237" t="str">
        <f>IFERROR(__xludf.DUMMYFUNCTION("""COMPUTED_VALUE"""),"LT0PC901TPOV1")</f>
        <v>LT0PC901TPOV1</v>
      </c>
      <c r="F2181" s="238" t="str">
        <f>IFERROR(__xludf.DUMMYFUNCTION("""COMPUTED_VALUE"""),"PRB0D29,NKH4A83")</f>
        <v>PRB0D29,NKH4A83</v>
      </c>
      <c r="G2181" s="238">
        <f>IFERROR(__xludf.DUMMYFUNCTION("""COMPUTED_VALUE"""),46000.91666666667)</f>
        <v>46000.91667</v>
      </c>
      <c r="H2181" s="238">
        <f>IFERROR(__xludf.DUMMYFUNCTION("""COMPUTED_VALUE"""),46001.0)</f>
        <v>46001</v>
      </c>
      <c r="I2181" s="237" t="str">
        <f t="shared" si="1"/>
        <v>Fora</v>
      </c>
      <c r="J2181" s="239">
        <v>119.99999999301508</v>
      </c>
    </row>
    <row r="2182">
      <c r="A2182" s="234" t="s">
        <v>3842</v>
      </c>
      <c r="B2182" s="234" t="str">
        <f>IFERROR(__xludf.DUMMYFUNCTION("""COMPUTED_VALUE"""),"LM Hub_SP_Itapevi")</f>
        <v>LM Hub_SP_Itapevi</v>
      </c>
      <c r="C2182" s="234" t="str">
        <f>IFERROR(__xludf.DUMMYFUNCTION("""COMPUTED_VALUE"""),"HUB-LSP-41")</f>
        <v>HUB-LSP-41</v>
      </c>
      <c r="D2182" s="234">
        <f>IFERROR(__xludf.DUMMYFUNCTION("""COMPUTED_VALUE"""),7.0)</f>
        <v>7</v>
      </c>
      <c r="E2182" s="237" t="str">
        <f>IFERROR(__xludf.DUMMYFUNCTION("""COMPUTED_VALUE"""),"LT0PC901TO5K1")</f>
        <v>LT0PC901TO5K1</v>
      </c>
      <c r="F2182" s="238" t="str">
        <f>IFERROR(__xludf.DUMMYFUNCTION("""COMPUTED_VALUE"""),"FRM9I93")</f>
        <v>FRM9I93</v>
      </c>
      <c r="G2182" s="238">
        <f>IFERROR(__xludf.DUMMYFUNCTION("""COMPUTED_VALUE"""),46000.91666666667)</f>
        <v>46000.91667</v>
      </c>
      <c r="H2182" s="238">
        <f>IFERROR(__xludf.DUMMYFUNCTION("""COMPUTED_VALUE"""),46001.0)</f>
        <v>46001</v>
      </c>
      <c r="I2182" s="237" t="str">
        <f t="shared" si="1"/>
        <v>Fora</v>
      </c>
      <c r="J2182" s="239">
        <v>119.99999999301508</v>
      </c>
    </row>
    <row r="2183">
      <c r="A2183" s="234" t="s">
        <v>3843</v>
      </c>
      <c r="B2183" s="234" t="str">
        <f>IFERROR(__xludf.DUMMYFUNCTION("""COMPUTED_VALUE"""),"LM Hub_SP_Limeira_Campo Belo")</f>
        <v>LM Hub_SP_Limeira_Campo Belo</v>
      </c>
      <c r="C2183" s="234" t="str">
        <f>IFERROR(__xludf.DUMMYFUNCTION("""COMPUTED_VALUE"""),"HUB-LSP-24")</f>
        <v>HUB-LSP-24</v>
      </c>
      <c r="D2183" s="234">
        <f>IFERROR(__xludf.DUMMYFUNCTION("""COMPUTED_VALUE"""),35.0)</f>
        <v>35</v>
      </c>
      <c r="E2183" s="237" t="str">
        <f>IFERROR(__xludf.DUMMYFUNCTION("""COMPUTED_VALUE"""),"LT0PC901TOB61")</f>
        <v>LT0PC901TOB61</v>
      </c>
      <c r="F2183" s="238" t="str">
        <f>IFERROR(__xludf.DUMMYFUNCTION("""COMPUTED_VALUE"""),"SWD2I13")</f>
        <v>SWD2I13</v>
      </c>
      <c r="G2183" s="238">
        <f>IFERROR(__xludf.DUMMYFUNCTION("""COMPUTED_VALUE"""),46000.91666666667)</f>
        <v>46000.91667</v>
      </c>
      <c r="H2183" s="238">
        <f>IFERROR(__xludf.DUMMYFUNCTION("""COMPUTED_VALUE"""),46001.0)</f>
        <v>46001</v>
      </c>
      <c r="I2183" s="237" t="str">
        <f t="shared" si="1"/>
        <v>Fora</v>
      </c>
      <c r="J2183" s="239">
        <v>119.99999999301508</v>
      </c>
    </row>
    <row r="2184">
      <c r="A2184" s="234" t="s">
        <v>3844</v>
      </c>
      <c r="B2184" s="234" t="str">
        <f>IFERROR(__xludf.DUMMYFUNCTION("""COMPUTED_VALUE"""),"LM Hub_SP_Mauá")</f>
        <v>LM Hub_SP_Mauá</v>
      </c>
      <c r="C2184" s="234" t="str">
        <f>IFERROR(__xludf.DUMMYFUNCTION("""COMPUTED_VALUE"""),"HUB-LSP-64")</f>
        <v>HUB-LSP-64</v>
      </c>
      <c r="D2184" s="234">
        <f>IFERROR(__xludf.DUMMYFUNCTION("""COMPUTED_VALUE"""),21.0)</f>
        <v>21</v>
      </c>
      <c r="E2184" s="237" t="str">
        <f>IFERROR(__xludf.DUMMYFUNCTION("""COMPUTED_VALUE"""),"LT0PC901TO681")</f>
        <v>LT0PC901TO681</v>
      </c>
      <c r="F2184" s="238" t="str">
        <f>IFERROR(__xludf.DUMMYFUNCTION("""COMPUTED_VALUE"""),"FOH3D34,EJW1592")</f>
        <v>FOH3D34,EJW1592</v>
      </c>
      <c r="G2184" s="238">
        <f>IFERROR(__xludf.DUMMYFUNCTION("""COMPUTED_VALUE"""),46000.91666666667)</f>
        <v>46000.91667</v>
      </c>
      <c r="H2184" s="238">
        <f>IFERROR(__xludf.DUMMYFUNCTION("""COMPUTED_VALUE"""),46001.0)</f>
        <v>46001</v>
      </c>
      <c r="I2184" s="237" t="str">
        <f t="shared" si="1"/>
        <v>Fora</v>
      </c>
      <c r="J2184" s="239">
        <v>119.99999999301508</v>
      </c>
    </row>
    <row r="2185">
      <c r="A2185" s="234" t="s">
        <v>3845</v>
      </c>
      <c r="B2185" s="234" t="str">
        <f>IFERROR(__xludf.DUMMYFUNCTION("""COMPUTED_VALUE"""),"LM Hub_SP_São José do Rio P")</f>
        <v>LM Hub_SP_São José do Rio P</v>
      </c>
      <c r="C2185" s="234" t="str">
        <f>IFERROR(__xludf.DUMMYFUNCTION("""COMPUTED_VALUE"""),"HUB-LSP-27")</f>
        <v>HUB-LSP-27</v>
      </c>
      <c r="D2185" s="234">
        <f>IFERROR(__xludf.DUMMYFUNCTION("""COMPUTED_VALUE"""),41.0)</f>
        <v>41</v>
      </c>
      <c r="E2185" s="237" t="str">
        <f>IFERROR(__xludf.DUMMYFUNCTION("""COMPUTED_VALUE"""),"LT0PC901TTVY1")</f>
        <v>LT0PC901TTVY1</v>
      </c>
      <c r="F2185" s="238" t="str">
        <f>IFERROR(__xludf.DUMMYFUNCTION("""COMPUTED_VALUE"""),"ELW1207,GAA6H32")</f>
        <v>ELW1207,GAA6H32</v>
      </c>
      <c r="G2185" s="238">
        <f>IFERROR(__xludf.DUMMYFUNCTION("""COMPUTED_VALUE"""),46000.91666666667)</f>
        <v>46000.91667</v>
      </c>
      <c r="H2185" s="238">
        <f>IFERROR(__xludf.DUMMYFUNCTION("""COMPUTED_VALUE"""),46001.0)</f>
        <v>46001</v>
      </c>
      <c r="I2185" s="237" t="str">
        <f t="shared" si="1"/>
        <v>Fora</v>
      </c>
      <c r="J2185" s="239">
        <v>119.99999999301508</v>
      </c>
    </row>
    <row r="2186">
      <c r="A2186" s="234" t="s">
        <v>3846</v>
      </c>
      <c r="B2186" s="234" t="str">
        <f>IFERROR(__xludf.DUMMYFUNCTION("""COMPUTED_VALUE"""),"SoC_PE_Jaboatão dos Guararapes")</f>
        <v>SoC_PE_Jaboatão dos Guararapes</v>
      </c>
      <c r="C2186" s="234" t="str">
        <f>IFERROR(__xludf.DUMMYFUNCTION("""COMPUTED_VALUE"""),"SOC-PE2")</f>
        <v>SOC-PE2</v>
      </c>
      <c r="D2186" s="234">
        <f>IFERROR(__xludf.DUMMYFUNCTION("""COMPUTED_VALUE"""),25.0)</f>
        <v>25</v>
      </c>
      <c r="E2186" s="237" t="str">
        <f>IFERROR(__xludf.DUMMYFUNCTION("""COMPUTED_VALUE"""),"LT1PC901U2RL1")</f>
        <v>LT1PC901U2RL1</v>
      </c>
      <c r="F2186" s="238" t="str">
        <f>IFERROR(__xludf.DUMMYFUNCTION("""COMPUTED_VALUE"""),"RHF5F29,AUY7090")</f>
        <v>RHF5F29,AUY7090</v>
      </c>
      <c r="G2186" s="238">
        <f>IFERROR(__xludf.DUMMYFUNCTION("""COMPUTED_VALUE"""),46000.91666666667)</f>
        <v>46000.91667</v>
      </c>
      <c r="H2186" s="238">
        <f>IFERROR(__xludf.DUMMYFUNCTION("""COMPUTED_VALUE"""),46001.0)</f>
        <v>46001</v>
      </c>
      <c r="I2186" s="237" t="str">
        <f t="shared" si="1"/>
        <v>Fora</v>
      </c>
      <c r="J2186" s="239">
        <v>119.99999999301508</v>
      </c>
    </row>
    <row r="2187">
      <c r="A2187" s="234" t="s">
        <v>3847</v>
      </c>
      <c r="B2187" s="234" t="str">
        <f>IFERROR(__xludf.DUMMYFUNCTION("""COMPUTED_VALUE"""),"SoC_PR_Curitiba")</f>
        <v>SoC_PR_Curitiba</v>
      </c>
      <c r="C2187" s="234" t="str">
        <f>IFERROR(__xludf.DUMMYFUNCTION("""COMPUTED_VALUE"""),"SOC-PR1")</f>
        <v>SOC-PR1</v>
      </c>
      <c r="D2187" s="234">
        <f>IFERROR(__xludf.DUMMYFUNCTION("""COMPUTED_VALUE"""),45.0)</f>
        <v>45</v>
      </c>
      <c r="E2187" s="237" t="str">
        <f>IFERROR(__xludf.DUMMYFUNCTION("""COMPUTED_VALUE"""),"LT1PC901U2PK1")</f>
        <v>LT1PC901U2PK1</v>
      </c>
      <c r="F2187" s="238" t="str">
        <f>IFERROR(__xludf.DUMMYFUNCTION("""COMPUTED_VALUE"""),"TJD1F44,BEY5C12")</f>
        <v>TJD1F44,BEY5C12</v>
      </c>
      <c r="G2187" s="238">
        <f>IFERROR(__xludf.DUMMYFUNCTION("""COMPUTED_VALUE"""),46000.91666666667)</f>
        <v>46000.91667</v>
      </c>
      <c r="H2187" s="238">
        <f>IFERROR(__xludf.DUMMYFUNCTION("""COMPUTED_VALUE"""),46001.0)</f>
        <v>46001</v>
      </c>
      <c r="I2187" s="237" t="str">
        <f t="shared" si="1"/>
        <v>Fora</v>
      </c>
      <c r="J2187" s="239">
        <v>119.99999999301508</v>
      </c>
    </row>
    <row r="2188">
      <c r="A2188" s="234" t="s">
        <v>3848</v>
      </c>
      <c r="B2188" s="234" t="str">
        <f>IFERROR(__xludf.DUMMYFUNCTION("""COMPUTED_VALUE"""),"SoC_RJ_Duque de Caxias")</f>
        <v>SoC_RJ_Duque de Caxias</v>
      </c>
      <c r="C2188" s="234" t="str">
        <f>IFERROR(__xludf.DUMMYFUNCTION("""COMPUTED_VALUE"""),"SOC-RJ2")</f>
        <v>SOC-RJ2</v>
      </c>
      <c r="D2188" s="234">
        <f>IFERROR(__xludf.DUMMYFUNCTION("""COMPUTED_VALUE"""),49.0)</f>
        <v>49</v>
      </c>
      <c r="E2188" s="237" t="str">
        <f>IFERROR(__xludf.DUMMYFUNCTION("""COMPUTED_VALUE"""),"LT0PC901TRR92")</f>
        <v>LT0PC901TRR92</v>
      </c>
      <c r="F2188" s="238" t="str">
        <f>IFERROR(__xludf.DUMMYFUNCTION("""COMPUTED_VALUE"""),"UFV3D66,DKP0I40")</f>
        <v>UFV3D66,DKP0I40</v>
      </c>
      <c r="G2188" s="238">
        <f>IFERROR(__xludf.DUMMYFUNCTION("""COMPUTED_VALUE"""),46000.91666666667)</f>
        <v>46000.91667</v>
      </c>
      <c r="H2188" s="238">
        <f>IFERROR(__xludf.DUMMYFUNCTION("""COMPUTED_VALUE"""),46001.0)</f>
        <v>46001</v>
      </c>
      <c r="I2188" s="237" t="str">
        <f t="shared" si="1"/>
        <v>Fora</v>
      </c>
      <c r="J2188" s="239">
        <v>119.99999999301508</v>
      </c>
    </row>
    <row r="2189">
      <c r="A2189" s="234" t="s">
        <v>3849</v>
      </c>
      <c r="B2189" s="234" t="str">
        <f>IFERROR(__xludf.DUMMYFUNCTION("""COMPUTED_VALUE"""),"SoC_SP_Louveira")</f>
        <v>SoC_SP_Louveira</v>
      </c>
      <c r="C2189" s="234" t="str">
        <f>IFERROR(__xludf.DUMMYFUNCTION("""COMPUTED_VALUE"""),"SOC-SP7")</f>
        <v>SOC-SP7</v>
      </c>
      <c r="D2189" s="234">
        <f>IFERROR(__xludf.DUMMYFUNCTION("""COMPUTED_VALUE"""),34.0)</f>
        <v>34</v>
      </c>
      <c r="E2189" s="237" t="str">
        <f>IFERROR(__xludf.DUMMYFUNCTION("""COMPUTED_VALUE"""),"LT1PC901U3FM1")</f>
        <v>LT1PC901U3FM1</v>
      </c>
      <c r="F2189" s="238" t="str">
        <f>IFERROR(__xludf.DUMMYFUNCTION("""COMPUTED_VALUE"""),"TAJ5D50")</f>
        <v>TAJ5D50</v>
      </c>
      <c r="G2189" s="238">
        <f>IFERROR(__xludf.DUMMYFUNCTION("""COMPUTED_VALUE"""),46000.91666666667)</f>
        <v>46000.91667</v>
      </c>
      <c r="H2189" s="238">
        <f>IFERROR(__xludf.DUMMYFUNCTION("""COMPUTED_VALUE"""),46001.0)</f>
        <v>46001</v>
      </c>
      <c r="I2189" s="237" t="str">
        <f t="shared" si="1"/>
        <v>Fora</v>
      </c>
      <c r="J2189" s="239">
        <v>119.99999999301508</v>
      </c>
    </row>
    <row r="2190">
      <c r="A2190" s="234" t="s">
        <v>3850</v>
      </c>
      <c r="B2190" s="234" t="str">
        <f>IFERROR(__xludf.DUMMYFUNCTION("""COMPUTED_VALUE"""),"SoC_SP_Louveira")</f>
        <v>SoC_SP_Louveira</v>
      </c>
      <c r="C2190" s="234" t="str">
        <f>IFERROR(__xludf.DUMMYFUNCTION("""COMPUTED_VALUE"""),"SOC-SP7")</f>
        <v>SOC-SP7</v>
      </c>
      <c r="D2190" s="234">
        <f>IFERROR(__xludf.DUMMYFUNCTION("""COMPUTED_VALUE"""),38.0)</f>
        <v>38</v>
      </c>
      <c r="E2190" s="237" t="str">
        <f>IFERROR(__xludf.DUMMYFUNCTION("""COMPUTED_VALUE"""),"LT1PC901U3FN2")</f>
        <v>LT1PC901U3FN2</v>
      </c>
      <c r="F2190" s="238" t="str">
        <f>IFERROR(__xludf.DUMMYFUNCTION("""COMPUTED_VALUE"""),"UDI0A98")</f>
        <v>UDI0A98</v>
      </c>
      <c r="G2190" s="238">
        <f>IFERROR(__xludf.DUMMYFUNCTION("""COMPUTED_VALUE"""),46000.91666666667)</f>
        <v>46000.91667</v>
      </c>
      <c r="H2190" s="238">
        <f>IFERROR(__xludf.DUMMYFUNCTION("""COMPUTED_VALUE"""),46001.0)</f>
        <v>46001</v>
      </c>
      <c r="I2190" s="237" t="str">
        <f t="shared" si="1"/>
        <v>Fora</v>
      </c>
      <c r="J2190" s="239">
        <v>119.00000000023283</v>
      </c>
    </row>
    <row r="2191">
      <c r="A2191" s="234" t="s">
        <v>3851</v>
      </c>
      <c r="B2191" s="234" t="str">
        <f>IFERROR(__xludf.DUMMYFUNCTION("""COMPUTED_VALUE"""),"LM Hub_SP_Santo André")</f>
        <v>LM Hub_SP_Santo André</v>
      </c>
      <c r="C2191" s="234" t="str">
        <f>IFERROR(__xludf.DUMMYFUNCTION("""COMPUTED_VALUE"""),"HUB-LSP-93")</f>
        <v>HUB-LSP-93</v>
      </c>
      <c r="D2191" s="234">
        <f>IFERROR(__xludf.DUMMYFUNCTION("""COMPUTED_VALUE"""),12.0)</f>
        <v>12</v>
      </c>
      <c r="E2191" s="237" t="str">
        <f>IFERROR(__xludf.DUMMYFUNCTION("""COMPUTED_VALUE"""),"LT0PC901TSBQ1")</f>
        <v>LT0PC901TSBQ1</v>
      </c>
      <c r="F2191" s="238" t="str">
        <f>IFERROR(__xludf.DUMMYFUNCTION("""COMPUTED_VALUE"""),"QPH3J14,AXE8E39")</f>
        <v>QPH3J14,AXE8E39</v>
      </c>
      <c r="G2191" s="238">
        <f>IFERROR(__xludf.DUMMYFUNCTION("""COMPUTED_VALUE"""),46000.91736111111)</f>
        <v>46000.91736</v>
      </c>
      <c r="H2191" s="238">
        <f>IFERROR(__xludf.DUMMYFUNCTION("""COMPUTED_VALUE"""),46001.0)</f>
        <v>46001</v>
      </c>
      <c r="I2191" s="237" t="str">
        <f t="shared" si="1"/>
        <v>Fora</v>
      </c>
      <c r="J2191" s="239">
        <v>119.99999999301508</v>
      </c>
    </row>
    <row r="2192">
      <c r="A2192" s="234" t="s">
        <v>3852</v>
      </c>
      <c r="B2192" s="234" t="str">
        <f>IFERROR(__xludf.DUMMYFUNCTION("""COMPUTED_VALUE"""),"LM Hub_SP_Parque Novo Mundo")</f>
        <v>LM Hub_SP_Parque Novo Mundo</v>
      </c>
      <c r="C2192" s="234" t="str">
        <f>IFERROR(__xludf.DUMMYFUNCTION("""COMPUTED_VALUE"""),"HUB-LSP-89")</f>
        <v>HUB-LSP-89</v>
      </c>
      <c r="D2192" s="234">
        <f>IFERROR(__xludf.DUMMYFUNCTION("""COMPUTED_VALUE"""),33.0)</f>
        <v>33</v>
      </c>
      <c r="E2192" s="237" t="str">
        <f>IFERROR(__xludf.DUMMYFUNCTION("""COMPUTED_VALUE"""),"LT0PC901TQ4S1")</f>
        <v>LT0PC901TQ4S1</v>
      </c>
      <c r="F2192" s="238" t="str">
        <f>IFERROR(__xludf.DUMMYFUNCTION("""COMPUTED_VALUE"""),"FUF6H46,NVV7D82")</f>
        <v>FUF6H46,NVV7D82</v>
      </c>
      <c r="G2192" s="238">
        <f>IFERROR(__xludf.DUMMYFUNCTION("""COMPUTED_VALUE"""),46000.9375)</f>
        <v>46000.9375</v>
      </c>
      <c r="H2192" s="238">
        <f>IFERROR(__xludf.DUMMYFUNCTION("""COMPUTED_VALUE"""),46001.02083333333)</f>
        <v>46001.02083</v>
      </c>
      <c r="I2192" s="237" t="str">
        <f t="shared" si="1"/>
        <v>Fora</v>
      </c>
      <c r="J2192" s="239">
        <v>119.99999999301508</v>
      </c>
    </row>
    <row r="2193">
      <c r="A2193" s="234" t="s">
        <v>3853</v>
      </c>
      <c r="B2193" s="234" t="str">
        <f>IFERROR(__xludf.DUMMYFUNCTION("""COMPUTED_VALUE"""),"LM Hub_SP_Piracicaba")</f>
        <v>LM Hub_SP_Piracicaba</v>
      </c>
      <c r="C2193" s="234" t="str">
        <f>IFERROR(__xludf.DUMMYFUNCTION("""COMPUTED_VALUE"""),"HUB-LSP-62")</f>
        <v>HUB-LSP-62</v>
      </c>
      <c r="D2193" s="234">
        <f>IFERROR(__xludf.DUMMYFUNCTION("""COMPUTED_VALUE"""),28.0)</f>
        <v>28</v>
      </c>
      <c r="E2193" s="237" t="str">
        <f>IFERROR(__xludf.DUMMYFUNCTION("""COMPUTED_VALUE"""),"LT0PC901TPPB1")</f>
        <v>LT0PC901TPPB1</v>
      </c>
      <c r="F2193" s="238" t="str">
        <f>IFERROR(__xludf.DUMMYFUNCTION("""COMPUTED_VALUE"""),"EOF4D32,EOF4D33")</f>
        <v>EOF4D32,EOF4D33</v>
      </c>
      <c r="G2193" s="238">
        <f>IFERROR(__xludf.DUMMYFUNCTION("""COMPUTED_VALUE"""),46000.9375)</f>
        <v>46000.9375</v>
      </c>
      <c r="H2193" s="238">
        <f>IFERROR(__xludf.DUMMYFUNCTION("""COMPUTED_VALUE"""),46001.02083333333)</f>
        <v>46001.02083</v>
      </c>
      <c r="I2193" s="237" t="str">
        <f t="shared" si="1"/>
        <v>Fora</v>
      </c>
      <c r="J2193" s="239">
        <v>119.99999999301508</v>
      </c>
    </row>
    <row r="2194">
      <c r="A2194" s="234" t="s">
        <v>3854</v>
      </c>
      <c r="B2194" s="234" t="str">
        <f>IFERROR(__xludf.DUMMYFUNCTION("""COMPUTED_VALUE"""),"LM Hub_SP_São Paulo_Carandiru")</f>
        <v>LM Hub_SP_São Paulo_Carandiru</v>
      </c>
      <c r="C2194" s="234" t="str">
        <f>IFERROR(__xludf.DUMMYFUNCTION("""COMPUTED_VALUE"""),"HUB-LSP-18")</f>
        <v>HUB-LSP-18</v>
      </c>
      <c r="D2194" s="234">
        <f>IFERROR(__xludf.DUMMYFUNCTION("""COMPUTED_VALUE"""),34.0)</f>
        <v>34</v>
      </c>
      <c r="E2194" s="237" t="str">
        <f>IFERROR(__xludf.DUMMYFUNCTION("""COMPUTED_VALUE"""),"LT0PC901TO4J1")</f>
        <v>LT0PC901TO4J1</v>
      </c>
      <c r="F2194" s="238" t="str">
        <f>IFERROR(__xludf.DUMMYFUNCTION("""COMPUTED_VALUE"""),"NVO0561")</f>
        <v>NVO0561</v>
      </c>
      <c r="G2194" s="238">
        <f>IFERROR(__xludf.DUMMYFUNCTION("""COMPUTED_VALUE"""),46000.9375)</f>
        <v>46000.9375</v>
      </c>
      <c r="H2194" s="238">
        <f>IFERROR(__xludf.DUMMYFUNCTION("""COMPUTED_VALUE"""),46001.02083333333)</f>
        <v>46001.02083</v>
      </c>
      <c r="I2194" s="237" t="str">
        <f t="shared" si="1"/>
        <v>Fora</v>
      </c>
      <c r="J2194" s="239">
        <v>118.99999998975545</v>
      </c>
    </row>
    <row r="2195">
      <c r="A2195" s="234" t="s">
        <v>3855</v>
      </c>
      <c r="B2195" s="234" t="str">
        <f>IFERROR(__xludf.DUMMYFUNCTION("""COMPUTED_VALUE"""),"LM Hub_SP_Jardim Adriana")</f>
        <v>LM Hub_SP_Jardim Adriana</v>
      </c>
      <c r="C2195" s="234" t="str">
        <f>IFERROR(__xludf.DUMMYFUNCTION("""COMPUTED_VALUE"""),"HUB-LSP-12")</f>
        <v>HUB-LSP-12</v>
      </c>
      <c r="D2195" s="234">
        <f>IFERROR(__xludf.DUMMYFUNCTION("""COMPUTED_VALUE"""),9.0)</f>
        <v>9</v>
      </c>
      <c r="E2195" s="237" t="str">
        <f>IFERROR(__xludf.DUMMYFUNCTION("""COMPUTED_VALUE"""),"LT0PC901TN8S1")</f>
        <v>LT0PC901TN8S1</v>
      </c>
      <c r="F2195" s="238" t="str">
        <f>IFERROR(__xludf.DUMMYFUNCTION("""COMPUTED_VALUE"""),"NZI9C32")</f>
        <v>NZI9C32</v>
      </c>
      <c r="G2195" s="238">
        <f>IFERROR(__xludf.DUMMYFUNCTION("""COMPUTED_VALUE"""),46000.93819444445)</f>
        <v>46000.93819</v>
      </c>
      <c r="H2195" s="238">
        <f>IFERROR(__xludf.DUMMYFUNCTION("""COMPUTED_VALUE"""),46001.02083333333)</f>
        <v>46001.02083</v>
      </c>
      <c r="I2195" s="237" t="str">
        <f t="shared" si="1"/>
        <v>Fora</v>
      </c>
      <c r="J2195" s="239">
        <v>118.99999998975545</v>
      </c>
    </row>
    <row r="2196">
      <c r="A2196" s="234" t="s">
        <v>3856</v>
      </c>
      <c r="B2196" s="234" t="str">
        <f>IFERROR(__xludf.DUMMYFUNCTION("""COMPUTED_VALUE"""),"LM Hub_SP_VilaGuilherme")</f>
        <v>LM Hub_SP_VilaGuilherme</v>
      </c>
      <c r="C2196" s="234" t="str">
        <f>IFERROR(__xludf.DUMMYFUNCTION("""COMPUTED_VALUE"""),"HUB-LSP-68")</f>
        <v>HUB-LSP-68</v>
      </c>
      <c r="D2196" s="234">
        <f>IFERROR(__xludf.DUMMYFUNCTION("""COMPUTED_VALUE"""),24.0)</f>
        <v>24</v>
      </c>
      <c r="E2196" s="237" t="str">
        <f>IFERROR(__xludf.DUMMYFUNCTION("""COMPUTED_VALUE"""),"LT0PC901TN9P1")</f>
        <v>LT0PC901TN9P1</v>
      </c>
      <c r="F2196" s="238" t="str">
        <f>IFERROR(__xludf.DUMMYFUNCTION("""COMPUTED_VALUE"""),"HFD4H27,JXG9745")</f>
        <v>HFD4H27,JXG9745</v>
      </c>
      <c r="G2196" s="238">
        <f>IFERROR(__xludf.DUMMYFUNCTION("""COMPUTED_VALUE"""),46000.93819444445)</f>
        <v>46000.93819</v>
      </c>
      <c r="H2196" s="238">
        <f>IFERROR(__xludf.DUMMYFUNCTION("""COMPUTED_VALUE"""),46001.02083333333)</f>
        <v>46001.02083</v>
      </c>
      <c r="I2196" s="237" t="str">
        <f t="shared" si="1"/>
        <v>Fora</v>
      </c>
      <c r="J2196" s="239">
        <v>480.00000001396984</v>
      </c>
    </row>
    <row r="2197">
      <c r="A2197" s="234" t="s">
        <v>3857</v>
      </c>
      <c r="B2197" s="234" t="str">
        <f>IFERROR(__xludf.DUMMYFUNCTION("""COMPUTED_VALUE"""),"SoC_RJ_Duque de Caxias")</f>
        <v>SoC_RJ_Duque de Caxias</v>
      </c>
      <c r="C2197" s="234" t="str">
        <f>IFERROR(__xludf.DUMMYFUNCTION("""COMPUTED_VALUE"""),"SOC-RJ2")</f>
        <v>SOC-RJ2</v>
      </c>
      <c r="D2197" s="234">
        <f>IFERROR(__xludf.DUMMYFUNCTION("""COMPUTED_VALUE"""),12.0)</f>
        <v>12</v>
      </c>
      <c r="E2197" s="237" t="str">
        <f>IFERROR(__xludf.DUMMYFUNCTION("""COMPUTED_VALUE"""),"LT1PC901U2DZ1")</f>
        <v>LT1PC901U2DZ1</v>
      </c>
      <c r="F2197" s="238" t="str">
        <f>IFERROR(__xludf.DUMMYFUNCTION("""COMPUTED_VALUE"""),"MAR6J89,NUN8J32")</f>
        <v>MAR6J89,NUN8J32</v>
      </c>
      <c r="G2197" s="238">
        <f>IFERROR(__xludf.DUMMYFUNCTION("""COMPUTED_VALUE"""),46000.70833333333)</f>
        <v>46000.70833</v>
      </c>
      <c r="H2197" s="238">
        <f>IFERROR(__xludf.DUMMYFUNCTION("""COMPUTED_VALUE"""),46001.04166666667)</f>
        <v>46001.04167</v>
      </c>
      <c r="I2197" s="237" t="str">
        <f t="shared" si="1"/>
        <v>Fora</v>
      </c>
      <c r="J2197" s="239">
        <v>120.00000001396984</v>
      </c>
    </row>
    <row r="2198">
      <c r="A2198" s="234" t="s">
        <v>3858</v>
      </c>
      <c r="B2198" s="234" t="str">
        <f>IFERROR(__xludf.DUMMYFUNCTION("""COMPUTED_VALUE"""),"LM Hub_SP_Jundiaí")</f>
        <v>LM Hub_SP_Jundiaí</v>
      </c>
      <c r="C2198" s="234" t="str">
        <f>IFERROR(__xludf.DUMMYFUNCTION("""COMPUTED_VALUE"""),"HUB-LSP-100")</f>
        <v>HUB-LSP-100</v>
      </c>
      <c r="D2198" s="234">
        <f>IFERROR(__xludf.DUMMYFUNCTION("""COMPUTED_VALUE"""),5.0)</f>
        <v>5</v>
      </c>
      <c r="E2198" s="237" t="str">
        <f>IFERROR(__xludf.DUMMYFUNCTION("""COMPUTED_VALUE"""),"LT0PC901TWU01")</f>
        <v>LT0PC901TWU01</v>
      </c>
      <c r="F2198" s="238" t="str">
        <f>IFERROR(__xludf.DUMMYFUNCTION("""COMPUTED_VALUE"""),"TLV0E90,GGU5E98")</f>
        <v>TLV0E90,GGU5E98</v>
      </c>
      <c r="G2198" s="238">
        <f>IFERROR(__xludf.DUMMYFUNCTION("""COMPUTED_VALUE"""),46000.95833333333)</f>
        <v>46000.95833</v>
      </c>
      <c r="H2198" s="238">
        <f>IFERROR(__xludf.DUMMYFUNCTION("""COMPUTED_VALUE"""),46001.04166666667)</f>
        <v>46001.04167</v>
      </c>
      <c r="I2198" s="237" t="str">
        <f t="shared" si="1"/>
        <v>Fora</v>
      </c>
      <c r="J2198" s="239">
        <v>120.00000001396984</v>
      </c>
    </row>
    <row r="2199">
      <c r="A2199" s="234" t="s">
        <v>3859</v>
      </c>
      <c r="B2199" s="234" t="str">
        <f>IFERROR(__xludf.DUMMYFUNCTION("""COMPUTED_VALUE"""),"LM Hub_SP_Mogi Mirim")</f>
        <v>LM Hub_SP_Mogi Mirim</v>
      </c>
      <c r="C2199" s="234" t="str">
        <f>IFERROR(__xludf.DUMMYFUNCTION("""COMPUTED_VALUE"""),"HUB-LSP-37")</f>
        <v>HUB-LSP-37</v>
      </c>
      <c r="D2199" s="234">
        <f>IFERROR(__xludf.DUMMYFUNCTION("""COMPUTED_VALUE"""),40.0)</f>
        <v>40</v>
      </c>
      <c r="E2199" s="237" t="str">
        <f>IFERROR(__xludf.DUMMYFUNCTION("""COMPUTED_VALUE"""),"LT0PC901TOD41")</f>
        <v>LT0PC901TOD41</v>
      </c>
      <c r="F2199" s="238" t="str">
        <f>IFERROR(__xludf.DUMMYFUNCTION("""COMPUTED_VALUE"""),"STW5B17,TLF7F34")</f>
        <v>STW5B17,TLF7F34</v>
      </c>
      <c r="G2199" s="238">
        <f>IFERROR(__xludf.DUMMYFUNCTION("""COMPUTED_VALUE"""),46000.95833333333)</f>
        <v>46000.95833</v>
      </c>
      <c r="H2199" s="238">
        <f>IFERROR(__xludf.DUMMYFUNCTION("""COMPUTED_VALUE"""),46001.04166666667)</f>
        <v>46001.04167</v>
      </c>
      <c r="I2199" s="237" t="str">
        <f t="shared" si="1"/>
        <v>Fora</v>
      </c>
      <c r="J2199" s="239">
        <v>120.00000001396984</v>
      </c>
    </row>
    <row r="2200">
      <c r="A2200" s="234" t="s">
        <v>3860</v>
      </c>
      <c r="B2200" s="234" t="str">
        <f>IFERROR(__xludf.DUMMYFUNCTION("""COMPUTED_VALUE"""),"SoC_PE_Jaboatão dos Guararapes")</f>
        <v>SoC_PE_Jaboatão dos Guararapes</v>
      </c>
      <c r="C2200" s="234" t="str">
        <f>IFERROR(__xludf.DUMMYFUNCTION("""COMPUTED_VALUE"""),"SOC-PE2")</f>
        <v>SOC-PE2</v>
      </c>
      <c r="D2200" s="234">
        <f>IFERROR(__xludf.DUMMYFUNCTION("""COMPUTED_VALUE"""),16.0)</f>
        <v>16</v>
      </c>
      <c r="E2200" s="237" t="str">
        <f>IFERROR(__xludf.DUMMYFUNCTION("""COMPUTED_VALUE"""),"LT1PC901U2RM1")</f>
        <v>LT1PC901U2RM1</v>
      </c>
      <c r="F2200" s="238" t="str">
        <f>IFERROR(__xludf.DUMMYFUNCTION("""COMPUTED_VALUE"""),"CSK0J36,DPC3J30")</f>
        <v>CSK0J36,DPC3J30</v>
      </c>
      <c r="G2200" s="238">
        <f>IFERROR(__xludf.DUMMYFUNCTION("""COMPUTED_VALUE"""),46000.95833333333)</f>
        <v>46000.95833</v>
      </c>
      <c r="H2200" s="238">
        <f>IFERROR(__xludf.DUMMYFUNCTION("""COMPUTED_VALUE"""),46001.04166666667)</f>
        <v>46001.04167</v>
      </c>
      <c r="I2200" s="237" t="str">
        <f t="shared" si="1"/>
        <v>Fora</v>
      </c>
      <c r="J2200" s="239">
        <v>120.00000001396984</v>
      </c>
    </row>
    <row r="2201">
      <c r="A2201" s="234" t="s">
        <v>3861</v>
      </c>
      <c r="B2201" s="234" t="str">
        <f>IFERROR(__xludf.DUMMYFUNCTION("""COMPUTED_VALUE"""),"SoC_SP_Louveira")</f>
        <v>SoC_SP_Louveira</v>
      </c>
      <c r="C2201" s="234" t="str">
        <f>IFERROR(__xludf.DUMMYFUNCTION("""COMPUTED_VALUE"""),"SOC-SP7")</f>
        <v>SOC-SP7</v>
      </c>
      <c r="D2201" s="234">
        <f>IFERROR(__xludf.DUMMYFUNCTION("""COMPUTED_VALUE"""),42.0)</f>
        <v>42</v>
      </c>
      <c r="E2201" s="237" t="str">
        <f>IFERROR(__xludf.DUMMYFUNCTION("""COMPUTED_VALUE"""),"LT1PC901U39G1")</f>
        <v>LT1PC901U39G1</v>
      </c>
      <c r="F2201" s="238" t="str">
        <f>IFERROR(__xludf.DUMMYFUNCTION("""COMPUTED_VALUE"""),"MLK5775,RAA2I78")</f>
        <v>MLK5775,RAA2I78</v>
      </c>
      <c r="G2201" s="238">
        <f>IFERROR(__xludf.DUMMYFUNCTION("""COMPUTED_VALUE"""),46000.95833333333)</f>
        <v>46000.95833</v>
      </c>
      <c r="H2201" s="238">
        <f>IFERROR(__xludf.DUMMYFUNCTION("""COMPUTED_VALUE"""),46001.04166666667)</f>
        <v>46001.04167</v>
      </c>
      <c r="I2201" s="237" t="str">
        <f t="shared" si="1"/>
        <v>Fora</v>
      </c>
      <c r="J2201" s="239">
        <v>119.99999999301508</v>
      </c>
    </row>
    <row r="2202">
      <c r="A2202" s="234" t="s">
        <v>3862</v>
      </c>
      <c r="B2202" s="234" t="str">
        <f>IFERROR(__xludf.DUMMYFUNCTION("""COMPUTED_VALUE"""),"LM Hub_SP_Araraquara")</f>
        <v>LM Hub_SP_Araraquara</v>
      </c>
      <c r="C2202" s="234" t="str">
        <f>IFERROR(__xludf.DUMMYFUNCTION("""COMPUTED_VALUE"""),"HUB-LSP-29")</f>
        <v>HUB-LSP-29</v>
      </c>
      <c r="D2202" s="234">
        <f>IFERROR(__xludf.DUMMYFUNCTION("""COMPUTED_VALUE"""),39.0)</f>
        <v>39</v>
      </c>
      <c r="E2202" s="237" t="str">
        <f>IFERROR(__xludf.DUMMYFUNCTION("""COMPUTED_VALUE"""),"LT0PC901TODH1")</f>
        <v>LT0PC901TODH1</v>
      </c>
      <c r="F2202" s="238" t="str">
        <f>IFERROR(__xludf.DUMMYFUNCTION("""COMPUTED_VALUE"""),"MKB0J30,IPY6I69")</f>
        <v>MKB0J30,IPY6I69</v>
      </c>
      <c r="G2202" s="238">
        <f>IFERROR(__xludf.DUMMYFUNCTION("""COMPUTED_VALUE"""),46000.97916666667)</f>
        <v>46000.97917</v>
      </c>
      <c r="H2202" s="238">
        <f>IFERROR(__xludf.DUMMYFUNCTION("""COMPUTED_VALUE"""),46001.0625)</f>
        <v>46001.0625</v>
      </c>
      <c r="I2202" s="237" t="str">
        <f t="shared" si="1"/>
        <v>Fora</v>
      </c>
      <c r="J2202" s="239">
        <v>119.99999999301508</v>
      </c>
    </row>
    <row r="2203">
      <c r="A2203" s="234" t="s">
        <v>3863</v>
      </c>
      <c r="B2203" s="234" t="str">
        <f>IFERROR(__xludf.DUMMYFUNCTION("""COMPUTED_VALUE"""),"LM Hub_SP_Atibaia_Ponte_Alta")</f>
        <v>LM Hub_SP_Atibaia_Ponte_Alta</v>
      </c>
      <c r="C2203" s="234" t="str">
        <f>IFERROR(__xludf.DUMMYFUNCTION("""COMPUTED_VALUE"""),"HUB-LSP-87")</f>
        <v>HUB-LSP-87</v>
      </c>
      <c r="D2203" s="234">
        <f>IFERROR(__xludf.DUMMYFUNCTION("""COMPUTED_VALUE"""),9.0)</f>
        <v>9</v>
      </c>
      <c r="E2203" s="237" t="str">
        <f>IFERROR(__xludf.DUMMYFUNCTION("""COMPUTED_VALUE"""),"LT0PC901TTRH1")</f>
        <v>LT0PC901TTRH1</v>
      </c>
      <c r="F2203" s="238" t="str">
        <f>IFERROR(__xludf.DUMMYFUNCTION("""COMPUTED_VALUE"""),"DBM1893")</f>
        <v>DBM1893</v>
      </c>
      <c r="G2203" s="238">
        <f>IFERROR(__xludf.DUMMYFUNCTION("""COMPUTED_VALUE"""),46000.97916666667)</f>
        <v>46000.97917</v>
      </c>
      <c r="H2203" s="238">
        <f>IFERROR(__xludf.DUMMYFUNCTION("""COMPUTED_VALUE"""),46001.0625)</f>
        <v>46001.0625</v>
      </c>
      <c r="I2203" s="237" t="str">
        <f t="shared" si="1"/>
        <v>Fora</v>
      </c>
      <c r="J2203" s="239">
        <v>119.99999999301508</v>
      </c>
    </row>
    <row r="2204">
      <c r="A2204" s="234" t="s">
        <v>3864</v>
      </c>
      <c r="B2204" s="234" t="str">
        <f>IFERROR(__xludf.DUMMYFUNCTION("""COMPUTED_VALUE"""),"LM Hub_SP_Várzea Paulista")</f>
        <v>LM Hub_SP_Várzea Paulista</v>
      </c>
      <c r="C2204" s="234" t="str">
        <f>IFERROR(__xludf.DUMMYFUNCTION("""COMPUTED_VALUE"""),"HUB-LSP-61")</f>
        <v>HUB-LSP-61</v>
      </c>
      <c r="D2204" s="234">
        <f>IFERROR(__xludf.DUMMYFUNCTION("""COMPUTED_VALUE"""),44.0)</f>
        <v>44</v>
      </c>
      <c r="E2204" s="237" t="str">
        <f>IFERROR(__xludf.DUMMYFUNCTION("""COMPUTED_VALUE"""),"LT0PC901TOBN1")</f>
        <v>LT0PC901TOBN1</v>
      </c>
      <c r="F2204" s="238" t="str">
        <f>IFERROR(__xludf.DUMMYFUNCTION("""COMPUTED_VALUE"""),"RJG8E37,FCG5D30")</f>
        <v>RJG8E37,FCG5D30</v>
      </c>
      <c r="G2204" s="238">
        <f>IFERROR(__xludf.DUMMYFUNCTION("""COMPUTED_VALUE"""),46000.97916666667)</f>
        <v>46000.97917</v>
      </c>
      <c r="H2204" s="238">
        <f>IFERROR(__xludf.DUMMYFUNCTION("""COMPUTED_VALUE"""),46001.0625)</f>
        <v>46001.0625</v>
      </c>
      <c r="I2204" s="237" t="str">
        <f t="shared" si="1"/>
        <v>Fora</v>
      </c>
      <c r="J2204" s="239">
        <v>119.99999999301508</v>
      </c>
    </row>
    <row r="2205">
      <c r="A2205" s="234" t="s">
        <v>3865</v>
      </c>
      <c r="B2205" s="234" t="str">
        <f>IFERROR(__xludf.DUMMYFUNCTION("""COMPUTED_VALUE"""),"SoC_RS_Gravataí_02")</f>
        <v>SoC_RS_Gravataí_02</v>
      </c>
      <c r="C2205" s="234" t="str">
        <f>IFERROR(__xludf.DUMMYFUNCTION("""COMPUTED_VALUE"""),"SOC-RS2")</f>
        <v>SOC-RS2</v>
      </c>
      <c r="D2205" s="234">
        <f>IFERROR(__xludf.DUMMYFUNCTION("""COMPUTED_VALUE"""),28.0)</f>
        <v>28</v>
      </c>
      <c r="E2205" s="237" t="str">
        <f>IFERROR(__xludf.DUMMYFUNCTION("""COMPUTED_VALUE"""),"LT0PCA01TW0M1")</f>
        <v>LT0PCA01TW0M1</v>
      </c>
      <c r="F2205" s="238" t="str">
        <f>IFERROR(__xludf.DUMMYFUNCTION("""COMPUTED_VALUE"""),"IQS9A76,AYE4J00")</f>
        <v>IQS9A76,AYE4J00</v>
      </c>
      <c r="G2205" s="238">
        <f>IFERROR(__xludf.DUMMYFUNCTION("""COMPUTED_VALUE"""),46001.0)</f>
        <v>46001</v>
      </c>
      <c r="H2205" s="238">
        <f>IFERROR(__xludf.DUMMYFUNCTION("""COMPUTED_VALUE"""),46001.08333333333)</f>
        <v>46001.08333</v>
      </c>
      <c r="I2205" s="237" t="str">
        <f t="shared" si="1"/>
        <v>Fora</v>
      </c>
      <c r="J2205" s="239">
        <v>119.99999999301508</v>
      </c>
    </row>
    <row r="2206">
      <c r="A2206" s="234" t="s">
        <v>3866</v>
      </c>
      <c r="B2206" s="234" t="str">
        <f>IFERROR(__xludf.DUMMYFUNCTION("""COMPUTED_VALUE"""),"SoC_SC_Itajaí")</f>
        <v>SoC_SC_Itajaí</v>
      </c>
      <c r="C2206" s="234" t="str">
        <f>IFERROR(__xludf.DUMMYFUNCTION("""COMPUTED_VALUE"""),"SOC-SC1")</f>
        <v>SOC-SC1</v>
      </c>
      <c r="D2206" s="234">
        <f>IFERROR(__xludf.DUMMYFUNCTION("""COMPUTED_VALUE"""),23.0)</f>
        <v>23</v>
      </c>
      <c r="E2206" s="237" t="str">
        <f>IFERROR(__xludf.DUMMYFUNCTION("""COMPUTED_VALUE"""),"LT0PCA01TUIS1")</f>
        <v>LT0PCA01TUIS1</v>
      </c>
      <c r="F2206" s="238" t="str">
        <f>IFERROR(__xludf.DUMMYFUNCTION("""COMPUTED_VALUE"""),"MJI3860,REB2E97")</f>
        <v>MJI3860,REB2E97</v>
      </c>
      <c r="G2206" s="238">
        <f>IFERROR(__xludf.DUMMYFUNCTION("""COMPUTED_VALUE"""),46001.0)</f>
        <v>46001</v>
      </c>
      <c r="H2206" s="238">
        <f>IFERROR(__xludf.DUMMYFUNCTION("""COMPUTED_VALUE"""),46001.08333333333)</f>
        <v>46001.08333</v>
      </c>
      <c r="I2206" s="237" t="str">
        <f t="shared" si="1"/>
        <v>Fora</v>
      </c>
      <c r="J2206" s="239">
        <v>120.00000001396984</v>
      </c>
    </row>
    <row r="2207">
      <c r="A2207" s="234" t="s">
        <v>3867</v>
      </c>
      <c r="B2207" s="234" t="str">
        <f>IFERROR(__xludf.DUMMYFUNCTION("""COMPUTED_VALUE"""),"LM Hub_MG_Varginha_Fausto")</f>
        <v>LM Hub_MG_Varginha_Fausto</v>
      </c>
      <c r="C2207" s="234" t="str">
        <f>IFERROR(__xludf.DUMMYFUNCTION("""COMPUTED_VALUE"""),"HUB-LMG-45")</f>
        <v>HUB-LMG-45</v>
      </c>
      <c r="D2207" s="234">
        <f>IFERROR(__xludf.DUMMYFUNCTION("""COMPUTED_VALUE"""),14.0)</f>
        <v>14</v>
      </c>
      <c r="E2207" s="237" t="str">
        <f>IFERROR(__xludf.DUMMYFUNCTION("""COMPUTED_VALUE"""),"LT0PCA01TV8J1")</f>
        <v>LT0PCA01TV8J1</v>
      </c>
      <c r="F2207" s="238" t="str">
        <f>IFERROR(__xludf.DUMMYFUNCTION("""COMPUTED_VALUE"""),"EXH9D22,EMT3E12")</f>
        <v>EXH9D22,EMT3E12</v>
      </c>
      <c r="G2207" s="238">
        <f>IFERROR(__xludf.DUMMYFUNCTION("""COMPUTED_VALUE"""),46001.02083333333)</f>
        <v>46001.02083</v>
      </c>
      <c r="H2207" s="238">
        <f>IFERROR(__xludf.DUMMYFUNCTION("""COMPUTED_VALUE"""),46001.10416666667)</f>
        <v>46001.10417</v>
      </c>
      <c r="I2207" s="237" t="str">
        <f t="shared" si="1"/>
        <v>Fora</v>
      </c>
      <c r="J2207" s="239">
        <v>119.99999999301508</v>
      </c>
    </row>
    <row r="2208">
      <c r="A2208" s="234" t="s">
        <v>3868</v>
      </c>
      <c r="B2208" s="234" t="str">
        <f>IFERROR(__xludf.DUMMYFUNCTION("""COMPUTED_VALUE"""),"SoC_PE_Jaboatão dos Guararapes")</f>
        <v>SoC_PE_Jaboatão dos Guararapes</v>
      </c>
      <c r="C2208" s="234" t="str">
        <f>IFERROR(__xludf.DUMMYFUNCTION("""COMPUTED_VALUE"""),"SOC-PE2")</f>
        <v>SOC-PE2</v>
      </c>
      <c r="D2208" s="234">
        <f>IFERROR(__xludf.DUMMYFUNCTION("""COMPUTED_VALUE"""),21.0)</f>
        <v>21</v>
      </c>
      <c r="E2208" s="237" t="str">
        <f>IFERROR(__xludf.DUMMYFUNCTION("""COMPUTED_VALUE"""),"LT0PCA01TVIM1")</f>
        <v>LT0PCA01TVIM1</v>
      </c>
      <c r="F2208" s="238" t="str">
        <f>IFERROR(__xludf.DUMMYFUNCTION("""COMPUTED_VALUE"""),"FKA3B66,NCR9H93")</f>
        <v>FKA3B66,NCR9H93</v>
      </c>
      <c r="G2208" s="238">
        <f>IFERROR(__xludf.DUMMYFUNCTION("""COMPUTED_VALUE"""),46001.04166666667)</f>
        <v>46001.04167</v>
      </c>
      <c r="H2208" s="238">
        <f>IFERROR(__xludf.DUMMYFUNCTION("""COMPUTED_VALUE"""),46001.125)</f>
        <v>46001.125</v>
      </c>
      <c r="I2208" s="237" t="str">
        <f t="shared" si="1"/>
        <v>Fora</v>
      </c>
      <c r="J2208" s="239">
        <v>119.99999999301508</v>
      </c>
    </row>
    <row r="2209">
      <c r="A2209" s="234" t="s">
        <v>3869</v>
      </c>
      <c r="B2209" s="234" t="str">
        <f>IFERROR(__xludf.DUMMYFUNCTION("""COMPUTED_VALUE"""),"SoC_RJ_Duque de Caxias")</f>
        <v>SoC_RJ_Duque de Caxias</v>
      </c>
      <c r="C2209" s="234" t="str">
        <f>IFERROR(__xludf.DUMMYFUNCTION("""COMPUTED_VALUE"""),"SOC-RJ2")</f>
        <v>SOC-RJ2</v>
      </c>
      <c r="D2209" s="234">
        <f>IFERROR(__xludf.DUMMYFUNCTION("""COMPUTED_VALUE"""),5.0)</f>
        <v>5</v>
      </c>
      <c r="E2209" s="237" t="str">
        <f>IFERROR(__xludf.DUMMYFUNCTION("""COMPUTED_VALUE"""),"LT0PC901TRRF5")</f>
        <v>LT0PC901TRRF5</v>
      </c>
      <c r="F2209" s="238" t="str">
        <f>IFERROR(__xludf.DUMMYFUNCTION("""COMPUTED_VALUE"""),"GIT4F78,FPN2E98")</f>
        <v>GIT4F78,FPN2E98</v>
      </c>
      <c r="G2209" s="238">
        <f>IFERROR(__xludf.DUMMYFUNCTION("""COMPUTED_VALUE"""),46001.04166666667)</f>
        <v>46001.04167</v>
      </c>
      <c r="H2209" s="238">
        <f>IFERROR(__xludf.DUMMYFUNCTION("""COMPUTED_VALUE"""),46001.125)</f>
        <v>46001.125</v>
      </c>
      <c r="I2209" s="237" t="str">
        <f t="shared" si="1"/>
        <v>Fora</v>
      </c>
      <c r="J2209" s="239">
        <v>120.00000001396984</v>
      </c>
    </row>
    <row r="2210">
      <c r="A2210" s="234" t="s">
        <v>3870</v>
      </c>
      <c r="B2210" s="234" t="str">
        <f>IFERROR(__xludf.DUMMYFUNCTION("""COMPUTED_VALUE"""),"SoC_PE_Jaboatão dos Guararapes")</f>
        <v>SoC_PE_Jaboatão dos Guararapes</v>
      </c>
      <c r="C2210" s="234" t="str">
        <f>IFERROR(__xludf.DUMMYFUNCTION("""COMPUTED_VALUE"""),"SOC-PE2")</f>
        <v>SOC-PE2</v>
      </c>
      <c r="D2210" s="234">
        <f>IFERROR(__xludf.DUMMYFUNCTION("""COMPUTED_VALUE"""),16.0)</f>
        <v>16</v>
      </c>
      <c r="E2210" s="237" t="str">
        <f>IFERROR(__xludf.DUMMYFUNCTION("""COMPUTED_VALUE"""),"LT1PCA01U39Q1")</f>
        <v>LT1PCA01U39Q1</v>
      </c>
      <c r="F2210" s="238" t="str">
        <f>IFERROR(__xludf.DUMMYFUNCTION("""COMPUTED_VALUE"""),"HBN5H38,FJP5G38")</f>
        <v>HBN5H38,FJP5G38</v>
      </c>
      <c r="G2210" s="238">
        <f>IFERROR(__xludf.DUMMYFUNCTION("""COMPUTED_VALUE"""),46001.08333333333)</f>
        <v>46001.08333</v>
      </c>
      <c r="H2210" s="238">
        <f>IFERROR(__xludf.DUMMYFUNCTION("""COMPUTED_VALUE"""),46001.16666666667)</f>
        <v>46001.16667</v>
      </c>
      <c r="I2210" s="237" t="str">
        <f t="shared" si="1"/>
        <v>Fora</v>
      </c>
      <c r="J2210" s="239">
        <v>120.00000001396984</v>
      </c>
    </row>
    <row r="2211">
      <c r="A2211" s="234" t="s">
        <v>3871</v>
      </c>
      <c r="B2211" s="234" t="str">
        <f>IFERROR(__xludf.DUMMYFUNCTION("""COMPUTED_VALUE"""),"SoC_SP_Santana")</f>
        <v>SoC_SP_Santana</v>
      </c>
      <c r="C2211" s="234" t="str">
        <f>IFERROR(__xludf.DUMMYFUNCTION("""COMPUTED_VALUE"""),"SOC-SP2")</f>
        <v>SOC-SP2</v>
      </c>
      <c r="D2211" s="234">
        <f>IFERROR(__xludf.DUMMYFUNCTION("""COMPUTED_VALUE"""),34.0)</f>
        <v>34</v>
      </c>
      <c r="E2211" s="237" t="str">
        <f>IFERROR(__xludf.DUMMYFUNCTION("""COMPUTED_VALUE"""),"LT1PCA01U3PC1")</f>
        <v>LT1PCA01U3PC1</v>
      </c>
      <c r="F2211" s="238" t="str">
        <f>IFERROR(__xludf.DUMMYFUNCTION("""COMPUTED_VALUE"""),"FOT6A80,FTH9H90")</f>
        <v>FOT6A80,FTH9H90</v>
      </c>
      <c r="G2211" s="238">
        <f>IFERROR(__xludf.DUMMYFUNCTION("""COMPUTED_VALUE"""),46001.08333333333)</f>
        <v>46001.08333</v>
      </c>
      <c r="H2211" s="238">
        <f>IFERROR(__xludf.DUMMYFUNCTION("""COMPUTED_VALUE"""),46001.16666666667)</f>
        <v>46001.16667</v>
      </c>
      <c r="I2211" s="237" t="str">
        <f t="shared" si="1"/>
        <v>Fora</v>
      </c>
      <c r="J2211" s="239">
        <v>119.00000001071021</v>
      </c>
    </row>
    <row r="2212">
      <c r="A2212" s="234" t="s">
        <v>3872</v>
      </c>
      <c r="B2212" s="234" t="str">
        <f>IFERROR(__xludf.DUMMYFUNCTION("""COMPUTED_VALUE"""),"LM Hub_SP_Tatuí")</f>
        <v>LM Hub_SP_Tatuí</v>
      </c>
      <c r="C2212" s="234" t="str">
        <f>IFERROR(__xludf.DUMMYFUNCTION("""COMPUTED_VALUE"""),"HUB-LSP-51")</f>
        <v>HUB-LSP-51</v>
      </c>
      <c r="D2212" s="234">
        <f>IFERROR(__xludf.DUMMYFUNCTION("""COMPUTED_VALUE"""),13.0)</f>
        <v>13</v>
      </c>
      <c r="E2212" s="237" t="str">
        <f>IFERROR(__xludf.DUMMYFUNCTION("""COMPUTED_VALUE"""),"LT0PCA01TO7A1")</f>
        <v>LT0PCA01TO7A1</v>
      </c>
      <c r="F2212" s="238" t="str">
        <f>IFERROR(__xludf.DUMMYFUNCTION("""COMPUTED_VALUE"""),"GFM6E44,GBH5G53")</f>
        <v>GFM6E44,GBH5G53</v>
      </c>
      <c r="G2212" s="238">
        <f>IFERROR(__xludf.DUMMYFUNCTION("""COMPUTED_VALUE"""),46001.084027777775)</f>
        <v>46001.08403</v>
      </c>
      <c r="H2212" s="238">
        <f>IFERROR(__xludf.DUMMYFUNCTION("""COMPUTED_VALUE"""),46001.16666666667)</f>
        <v>46001.16667</v>
      </c>
      <c r="I2212" s="237" t="str">
        <f t="shared" si="1"/>
        <v>Fora</v>
      </c>
      <c r="J2212" s="239">
        <v>119.99999999301508</v>
      </c>
    </row>
    <row r="2213">
      <c r="A2213" s="234" t="s">
        <v>3873</v>
      </c>
      <c r="B2213" s="234" t="str">
        <f>IFERROR(__xludf.DUMMYFUNCTION("""COMPUTED_VALUE"""),"LM Hub_SP_Itapetininga")</f>
        <v>LM Hub_SP_Itapetininga</v>
      </c>
      <c r="C2213" s="234" t="str">
        <f>IFERROR(__xludf.DUMMYFUNCTION("""COMPUTED_VALUE"""),"HUB-LSP-53")</f>
        <v>HUB-LSP-53</v>
      </c>
      <c r="D2213" s="234">
        <f>IFERROR(__xludf.DUMMYFUNCTION("""COMPUTED_VALUE"""),41.0)</f>
        <v>41</v>
      </c>
      <c r="E2213" s="237" t="str">
        <f>IFERROR(__xludf.DUMMYFUNCTION("""COMPUTED_VALUE"""),"LT0PCA01TO701")</f>
        <v>LT0PCA01TO701</v>
      </c>
      <c r="F2213" s="238" t="str">
        <f>IFERROR(__xludf.DUMMYFUNCTION("""COMPUTED_VALUE"""),"FLQ1E34,FLQ1E30")</f>
        <v>FLQ1E34,FLQ1E30</v>
      </c>
      <c r="G2213" s="238">
        <f>IFERROR(__xludf.DUMMYFUNCTION("""COMPUTED_VALUE"""),46001.10416666667)</f>
        <v>46001.10417</v>
      </c>
      <c r="H2213" s="238">
        <f>IFERROR(__xludf.DUMMYFUNCTION("""COMPUTED_VALUE"""),46001.1875)</f>
        <v>46001.1875</v>
      </c>
      <c r="I2213" s="237" t="str">
        <f t="shared" si="1"/>
        <v>Fora</v>
      </c>
      <c r="J2213" s="239">
        <v>119.99999999301508</v>
      </c>
    </row>
    <row r="2214">
      <c r="A2214" s="234" t="s">
        <v>3874</v>
      </c>
      <c r="B2214" s="234" t="str">
        <f>IFERROR(__xludf.DUMMYFUNCTION("""COMPUTED_VALUE"""),"LM Hub_SP_São Carlos")</f>
        <v>LM Hub_SP_São Carlos</v>
      </c>
      <c r="C2214" s="234" t="str">
        <f>IFERROR(__xludf.DUMMYFUNCTION("""COMPUTED_VALUE"""),"HUB-LSP-31")</f>
        <v>HUB-LSP-31</v>
      </c>
      <c r="D2214" s="234"/>
      <c r="E2214" s="237" t="str">
        <f>IFERROR(__xludf.DUMMYFUNCTION("""COMPUTED_VALUE"""),"LT0PCA01TOCC1")</f>
        <v>LT0PCA01TOCC1</v>
      </c>
      <c r="F2214" s="238" t="str">
        <f>IFERROR(__xludf.DUMMYFUNCTION("""COMPUTED_VALUE"""),"PVC1E21")</f>
        <v>PVC1E21</v>
      </c>
      <c r="G2214" s="238">
        <f>IFERROR(__xludf.DUMMYFUNCTION("""COMPUTED_VALUE"""),46001.10416666667)</f>
        <v>46001.10417</v>
      </c>
      <c r="H2214" s="238">
        <f>IFERROR(__xludf.DUMMYFUNCTION("""COMPUTED_VALUE"""),46001.1875)</f>
        <v>46001.1875</v>
      </c>
      <c r="I2214" s="237" t="str">
        <f t="shared" si="1"/>
        <v>Fora</v>
      </c>
      <c r="J2214" s="239">
        <v>119.99999999301508</v>
      </c>
    </row>
    <row r="2215">
      <c r="A2215" s="234" t="s">
        <v>3875</v>
      </c>
      <c r="B2215" s="234" t="str">
        <f>IFERROR(__xludf.DUMMYFUNCTION("""COMPUTED_VALUE"""),"LM Hub_SP_Itapeva")</f>
        <v>LM Hub_SP_Itapeva</v>
      </c>
      <c r="C2215" s="234" t="str">
        <f>IFERROR(__xludf.DUMMYFUNCTION("""COMPUTED_VALUE"""),"HUB-LSP-39")</f>
        <v>HUB-LSP-39</v>
      </c>
      <c r="D2215" s="234">
        <f>IFERROR(__xludf.DUMMYFUNCTION("""COMPUTED_VALUE"""),5.0)</f>
        <v>5</v>
      </c>
      <c r="E2215" s="237" t="str">
        <f>IFERROR(__xludf.DUMMYFUNCTION("""COMPUTED_VALUE"""),"LT0PCA01TO7L1")</f>
        <v>LT0PCA01TO7L1</v>
      </c>
      <c r="F2215" s="238" t="str">
        <f>IFERROR(__xludf.DUMMYFUNCTION("""COMPUTED_VALUE"""),"FCT0E94,FCT0G41")</f>
        <v>FCT0E94,FCT0G41</v>
      </c>
      <c r="G2215" s="238">
        <f>IFERROR(__xludf.DUMMYFUNCTION("""COMPUTED_VALUE"""),46001.125)</f>
        <v>46001.125</v>
      </c>
      <c r="H2215" s="238">
        <f>IFERROR(__xludf.DUMMYFUNCTION("""COMPUTED_VALUE"""),46001.20833333333)</f>
        <v>46001.20833</v>
      </c>
      <c r="I2215" s="237" t="str">
        <f t="shared" si="1"/>
        <v>Fora</v>
      </c>
      <c r="J2215" s="239">
        <v>119.99999999301508</v>
      </c>
    </row>
    <row r="2216">
      <c r="A2216" s="234" t="s">
        <v>3876</v>
      </c>
      <c r="B2216" s="234" t="str">
        <f>IFERROR(__xludf.DUMMYFUNCTION("""COMPUTED_VALUE"""),"LM Hub_SP_Sumaré_Nova Veneza_1")</f>
        <v>LM Hub_SP_Sumaré_Nova Veneza_1</v>
      </c>
      <c r="C2216" s="234" t="str">
        <f>IFERROR(__xludf.DUMMYFUNCTION("""COMPUTED_VALUE"""),"HUB-LSP-88")</f>
        <v>HUB-LSP-88</v>
      </c>
      <c r="D2216" s="234">
        <f>IFERROR(__xludf.DUMMYFUNCTION("""COMPUTED_VALUE"""),36.0)</f>
        <v>36</v>
      </c>
      <c r="E2216" s="237" t="str">
        <f>IFERROR(__xludf.DUMMYFUNCTION("""COMPUTED_VALUE"""),"LT0PCA01TV4V1")</f>
        <v>LT0PCA01TV4V1</v>
      </c>
      <c r="F2216" s="238" t="str">
        <f>IFERROR(__xludf.DUMMYFUNCTION("""COMPUTED_VALUE"""),"SXK8E70,SXS2F29")</f>
        <v>SXK8E70,SXS2F29</v>
      </c>
      <c r="G2216" s="238">
        <f>IFERROR(__xludf.DUMMYFUNCTION("""COMPUTED_VALUE"""),46001.125)</f>
        <v>46001.125</v>
      </c>
      <c r="H2216" s="238">
        <f>IFERROR(__xludf.DUMMYFUNCTION("""COMPUTED_VALUE"""),46001.20833333333)</f>
        <v>46001.20833</v>
      </c>
      <c r="I2216" s="237" t="str">
        <f t="shared" si="1"/>
        <v>Fora</v>
      </c>
      <c r="J2216" s="239">
        <v>119.99999999301508</v>
      </c>
    </row>
    <row r="2217">
      <c r="A2217" s="234" t="s">
        <v>3877</v>
      </c>
      <c r="B2217" s="234" t="str">
        <f>IFERROR(__xludf.DUMMYFUNCTION("""COMPUTED_VALUE"""),"SoC_PR_Curitiba")</f>
        <v>SoC_PR_Curitiba</v>
      </c>
      <c r="C2217" s="234" t="str">
        <f>IFERROR(__xludf.DUMMYFUNCTION("""COMPUTED_VALUE"""),"SOC-PR1")</f>
        <v>SOC-PR1</v>
      </c>
      <c r="D2217" s="234">
        <f>IFERROR(__xludf.DUMMYFUNCTION("""COMPUTED_VALUE"""),39.0)</f>
        <v>39</v>
      </c>
      <c r="E2217" s="237" t="str">
        <f>IFERROR(__xludf.DUMMYFUNCTION("""COMPUTED_VALUE"""),"LT0PCA01TNZK1")</f>
        <v>LT0PCA01TNZK1</v>
      </c>
      <c r="F2217" s="238" t="str">
        <f>IFERROR(__xludf.DUMMYFUNCTION("""COMPUTED_VALUE"""),"FUE4F73,RYZ0F99")</f>
        <v>FUE4F73,RYZ0F99</v>
      </c>
      <c r="G2217" s="238">
        <f>IFERROR(__xludf.DUMMYFUNCTION("""COMPUTED_VALUE"""),46001.125)</f>
        <v>46001.125</v>
      </c>
      <c r="H2217" s="238">
        <f>IFERROR(__xludf.DUMMYFUNCTION("""COMPUTED_VALUE"""),46001.20833333333)</f>
        <v>46001.20833</v>
      </c>
      <c r="I2217" s="237" t="str">
        <f t="shared" si="1"/>
        <v>Fora</v>
      </c>
      <c r="J2217" s="239">
        <v>119.99999999301508</v>
      </c>
    </row>
    <row r="2218">
      <c r="A2218" s="234" t="s">
        <v>3878</v>
      </c>
      <c r="B2218" s="234" t="str">
        <f>IFERROR(__xludf.DUMMYFUNCTION("""COMPUTED_VALUE"""),"SoC_SC_Itajaí")</f>
        <v>SoC_SC_Itajaí</v>
      </c>
      <c r="C2218" s="234" t="str">
        <f>IFERROR(__xludf.DUMMYFUNCTION("""COMPUTED_VALUE"""),"SOC-SC1")</f>
        <v>SOC-SC1</v>
      </c>
      <c r="D2218" s="234">
        <f>IFERROR(__xludf.DUMMYFUNCTION("""COMPUTED_VALUE"""),22.0)</f>
        <v>22</v>
      </c>
      <c r="E2218" s="237" t="str">
        <f>IFERROR(__xludf.DUMMYFUNCTION("""COMPUTED_VALUE"""),"LT0PCA01TUIX1")</f>
        <v>LT0PCA01TUIX1</v>
      </c>
      <c r="F2218" s="238" t="str">
        <f>IFERROR(__xludf.DUMMYFUNCTION("""COMPUTED_VALUE"""),"JDN0A74,RYY1D77")</f>
        <v>JDN0A74,RYY1D77</v>
      </c>
      <c r="G2218" s="238">
        <f>IFERROR(__xludf.DUMMYFUNCTION("""COMPUTED_VALUE"""),46001.125)</f>
        <v>46001.125</v>
      </c>
      <c r="H2218" s="238">
        <f>IFERROR(__xludf.DUMMYFUNCTION("""COMPUTED_VALUE"""),46001.20833333333)</f>
        <v>46001.20833</v>
      </c>
      <c r="I2218" s="237" t="str">
        <f t="shared" si="1"/>
        <v>Fora</v>
      </c>
      <c r="J2218" s="239">
        <v>119.99999999301508</v>
      </c>
    </row>
    <row r="2219">
      <c r="A2219" s="234" t="s">
        <v>3879</v>
      </c>
      <c r="B2219" s="234" t="str">
        <f>IFERROR(__xludf.DUMMYFUNCTION("""COMPUTED_VALUE"""),"SoC_SC_Itajaí")</f>
        <v>SoC_SC_Itajaí</v>
      </c>
      <c r="C2219" s="234" t="str">
        <f>IFERROR(__xludf.DUMMYFUNCTION("""COMPUTED_VALUE"""),"SOC-SC1")</f>
        <v>SOC-SC1</v>
      </c>
      <c r="D2219" s="234">
        <f>IFERROR(__xludf.DUMMYFUNCTION("""COMPUTED_VALUE"""),24.0)</f>
        <v>24</v>
      </c>
      <c r="E2219" s="237" t="str">
        <f>IFERROR(__xludf.DUMMYFUNCTION("""COMPUTED_VALUE"""),"LT1PCA01U39W1")</f>
        <v>LT1PCA01U39W1</v>
      </c>
      <c r="F2219" s="238" t="str">
        <f>IFERROR(__xludf.DUMMYFUNCTION("""COMPUTED_VALUE"""),"QSO5H60,QSP2D38")</f>
        <v>QSO5H60,QSP2D38</v>
      </c>
      <c r="G2219" s="238">
        <f>IFERROR(__xludf.DUMMYFUNCTION("""COMPUTED_VALUE"""),46001.125)</f>
        <v>46001.125</v>
      </c>
      <c r="H2219" s="238">
        <f>IFERROR(__xludf.DUMMYFUNCTION("""COMPUTED_VALUE"""),46001.20833333333)</f>
        <v>46001.20833</v>
      </c>
      <c r="I2219" s="237" t="str">
        <f t="shared" si="1"/>
        <v>Fora</v>
      </c>
      <c r="J2219" s="239">
        <v>119.99999999301508</v>
      </c>
    </row>
    <row r="2220">
      <c r="A2220" s="234" t="s">
        <v>3880</v>
      </c>
      <c r="B2220" s="234" t="str">
        <f>IFERROR(__xludf.DUMMYFUNCTION("""COMPUTED_VALUE"""),"SoC_SP_Cravinhos")</f>
        <v>SoC_SP_Cravinhos</v>
      </c>
      <c r="C2220" s="234" t="str">
        <f>IFERROR(__xludf.DUMMYFUNCTION("""COMPUTED_VALUE"""),"SOC-SP5")</f>
        <v>SOC-SP5</v>
      </c>
      <c r="D2220" s="234">
        <f>IFERROR(__xludf.DUMMYFUNCTION("""COMPUTED_VALUE"""),9.0)</f>
        <v>9</v>
      </c>
      <c r="E2220" s="237" t="str">
        <f>IFERROR(__xludf.DUMMYFUNCTION("""COMPUTED_VALUE"""),"LT0PC901TO1Y3")</f>
        <v>LT0PC901TO1Y3</v>
      </c>
      <c r="F2220" s="238" t="str">
        <f>IFERROR(__xludf.DUMMYFUNCTION("""COMPUTED_VALUE"""),"NRZ2I38,GCW9D19")</f>
        <v>NRZ2I38,GCW9D19</v>
      </c>
      <c r="G2220" s="238">
        <f>IFERROR(__xludf.DUMMYFUNCTION("""COMPUTED_VALUE"""),46001.125)</f>
        <v>46001.125</v>
      </c>
      <c r="H2220" s="238">
        <f>IFERROR(__xludf.DUMMYFUNCTION("""COMPUTED_VALUE"""),46001.20833333333)</f>
        <v>46001.20833</v>
      </c>
      <c r="I2220" s="237" t="str">
        <f t="shared" si="1"/>
        <v>Fora</v>
      </c>
      <c r="J2220" s="239">
        <v>120.00000001396984</v>
      </c>
    </row>
    <row r="2221">
      <c r="A2221" s="234" t="s">
        <v>3881</v>
      </c>
      <c r="B2221" s="234" t="str">
        <f>IFERROR(__xludf.DUMMYFUNCTION("""COMPUTED_VALUE"""),"LM Hub_SP_Mogi Mirim")</f>
        <v>LM Hub_SP_Mogi Mirim</v>
      </c>
      <c r="C2221" s="234" t="str">
        <f>IFERROR(__xludf.DUMMYFUNCTION("""COMPUTED_VALUE"""),"HUB-LSP-37")</f>
        <v>HUB-LSP-37</v>
      </c>
      <c r="D2221" s="234">
        <f>IFERROR(__xludf.DUMMYFUNCTION("""COMPUTED_VALUE"""),38.0)</f>
        <v>38</v>
      </c>
      <c r="E2221" s="237" t="str">
        <f>IFERROR(__xludf.DUMMYFUNCTION("""COMPUTED_VALUE"""),"LT0PCA01TOCU1")</f>
        <v>LT0PCA01TOCU1</v>
      </c>
      <c r="F2221" s="238" t="str">
        <f>IFERROR(__xludf.DUMMYFUNCTION("""COMPUTED_VALUE"""),"SVI6C80,FCP6312")</f>
        <v>SVI6C80,FCP6312</v>
      </c>
      <c r="G2221" s="238">
        <f>IFERROR(__xludf.DUMMYFUNCTION("""COMPUTED_VALUE"""),46001.14583333333)</f>
        <v>46001.14583</v>
      </c>
      <c r="H2221" s="238">
        <f>IFERROR(__xludf.DUMMYFUNCTION("""COMPUTED_VALUE"""),46001.22916666667)</f>
        <v>46001.22917</v>
      </c>
      <c r="I2221" s="237" t="str">
        <f t="shared" si="1"/>
        <v>Fora</v>
      </c>
      <c r="J2221" s="239">
        <v>120.00000001396984</v>
      </c>
    </row>
    <row r="2222">
      <c r="A2222" s="234" t="s">
        <v>92</v>
      </c>
      <c r="B2222" s="234" t="str">
        <f>IFERROR(__xludf.DUMMYFUNCTION("""COMPUTED_VALUE"""),"LM Hub_SP_Osasco_02")</f>
        <v>LM Hub_SP_Osasco_02</v>
      </c>
      <c r="C2222" s="234" t="str">
        <f>IFERROR(__xludf.DUMMYFUNCTION("""COMPUTED_VALUE"""),"HUB-LSP-60")</f>
        <v>HUB-LSP-60</v>
      </c>
      <c r="D2222" s="234"/>
      <c r="E2222" s="237" t="str">
        <f>IFERROR(__xludf.DUMMYFUNCTION("""COMPUTED_VALUE"""),"LT0PCA01TQHD1")</f>
        <v>LT0PCA01TQHD1</v>
      </c>
      <c r="F2222" s="238" t="str">
        <f>IFERROR(__xludf.DUMMYFUNCTION("""COMPUTED_VALUE"""),"DVA3A62,DBC7D61")</f>
        <v>DVA3A62,DBC7D61</v>
      </c>
      <c r="G2222" s="238">
        <f>IFERROR(__xludf.DUMMYFUNCTION("""COMPUTED_VALUE"""),46001.14583333333)</f>
        <v>46001.14583</v>
      </c>
      <c r="H2222" s="238">
        <f>IFERROR(__xludf.DUMMYFUNCTION("""COMPUTED_VALUE"""),46001.22916666667)</f>
        <v>46001.22917</v>
      </c>
      <c r="I2222" s="237" t="str">
        <f t="shared" si="1"/>
        <v>Fora</v>
      </c>
      <c r="J2222" s="239">
        <v>119.00000001071021</v>
      </c>
    </row>
    <row r="2223">
      <c r="A2223" s="234" t="s">
        <v>3882</v>
      </c>
      <c r="B2223" s="234" t="str">
        <f>IFERROR(__xludf.DUMMYFUNCTION("""COMPUTED_VALUE"""),"LM Hub_SP_Campinas_São Martinho")</f>
        <v>LM Hub_SP_Campinas_São Martinho</v>
      </c>
      <c r="C2223" s="234" t="str">
        <f>IFERROR(__xludf.DUMMYFUNCTION("""COMPUTED_VALUE"""),"HUB-LSP-19")</f>
        <v>HUB-LSP-19</v>
      </c>
      <c r="D2223" s="234">
        <f>IFERROR(__xludf.DUMMYFUNCTION("""COMPUTED_VALUE"""),15.0)</f>
        <v>15</v>
      </c>
      <c r="E2223" s="237" t="str">
        <f>IFERROR(__xludf.DUMMYFUNCTION("""COMPUTED_VALUE"""),"LT0PCA01TOEJ1")</f>
        <v>LT0PCA01TOEJ1</v>
      </c>
      <c r="F2223" s="238" t="str">
        <f>IFERROR(__xludf.DUMMYFUNCTION("""COMPUTED_VALUE"""),"AQM6H26,FZZ0G17")</f>
        <v>AQM6H26,FZZ0G17</v>
      </c>
      <c r="G2223" s="238">
        <f>IFERROR(__xludf.DUMMYFUNCTION("""COMPUTED_VALUE"""),46001.146527777775)</f>
        <v>46001.14653</v>
      </c>
      <c r="H2223" s="238">
        <f>IFERROR(__xludf.DUMMYFUNCTION("""COMPUTED_VALUE"""),46001.22916666667)</f>
        <v>46001.22917</v>
      </c>
      <c r="I2223" s="237" t="str">
        <f t="shared" si="1"/>
        <v>Fora</v>
      </c>
      <c r="J2223" s="239">
        <v>118.00000000745058</v>
      </c>
    </row>
    <row r="2224">
      <c r="A2224" s="234" t="s">
        <v>3883</v>
      </c>
      <c r="B2224" s="234" t="str">
        <f>IFERROR(__xludf.DUMMYFUNCTION("""COMPUTED_VALUE"""),"LM Hub_SP_Sorocaba_Região Norte")</f>
        <v>LM Hub_SP_Sorocaba_Região Norte</v>
      </c>
      <c r="C2224" s="234" t="str">
        <f>IFERROR(__xludf.DUMMYFUNCTION("""COMPUTED_VALUE"""),"HUB-LSP-10")</f>
        <v>HUB-LSP-10</v>
      </c>
      <c r="D2224" s="234">
        <f>IFERROR(__xludf.DUMMYFUNCTION("""COMPUTED_VALUE"""),18.0)</f>
        <v>18</v>
      </c>
      <c r="E2224" s="237" t="str">
        <f>IFERROR(__xludf.DUMMYFUNCTION("""COMPUTED_VALUE"""),"LT0PCA01TOAC1")</f>
        <v>LT0PCA01TOAC1</v>
      </c>
      <c r="F2224" s="238" t="str">
        <f>IFERROR(__xludf.DUMMYFUNCTION("""COMPUTED_VALUE"""),"NFW3H03,CYN6J16")</f>
        <v>NFW3H03,CYN6J16</v>
      </c>
      <c r="G2224" s="238">
        <f>IFERROR(__xludf.DUMMYFUNCTION("""COMPUTED_VALUE"""),46001.14722222222)</f>
        <v>46001.14722</v>
      </c>
      <c r="H2224" s="238">
        <f>IFERROR(__xludf.DUMMYFUNCTION("""COMPUTED_VALUE"""),46001.22916666667)</f>
        <v>46001.22917</v>
      </c>
      <c r="I2224" s="237" t="str">
        <f t="shared" si="1"/>
        <v>Fora</v>
      </c>
      <c r="J2224" s="239">
        <v>119.99999999301508</v>
      </c>
    </row>
    <row r="2225">
      <c r="A2225" s="234" t="s">
        <v>95</v>
      </c>
      <c r="B2225" s="234" t="str">
        <f>IFERROR(__xludf.DUMMYFUNCTION("""COMPUTED_VALUE"""),"LM Hub_SP_Guaratinguetá")</f>
        <v>LM Hub_SP_Guaratinguetá</v>
      </c>
      <c r="C2225" s="234" t="str">
        <f>IFERROR(__xludf.DUMMYFUNCTION("""COMPUTED_VALUE"""),"HUB-LSP-33")</f>
        <v>HUB-LSP-33</v>
      </c>
      <c r="D2225" s="234">
        <f>IFERROR(__xludf.DUMMYFUNCTION("""COMPUTED_VALUE"""),17.0)</f>
        <v>17</v>
      </c>
      <c r="E2225" s="237" t="str">
        <f>IFERROR(__xludf.DUMMYFUNCTION("""COMPUTED_VALUE"""),"LT0PCA01TO901")</f>
        <v>LT0PCA01TO901</v>
      </c>
      <c r="F2225" s="238" t="str">
        <f>IFERROR(__xludf.DUMMYFUNCTION("""COMPUTED_VALUE"""),"EKH3880")</f>
        <v>EKH3880</v>
      </c>
      <c r="G2225" s="238">
        <f>IFERROR(__xludf.DUMMYFUNCTION("""COMPUTED_VALUE"""),46001.16666666667)</f>
        <v>46001.16667</v>
      </c>
      <c r="H2225" s="238">
        <f>IFERROR(__xludf.DUMMYFUNCTION("""COMPUTED_VALUE"""),46001.25)</f>
        <v>46001.25</v>
      </c>
      <c r="I2225" s="237" t="str">
        <f t="shared" si="1"/>
        <v>Fora</v>
      </c>
      <c r="J2225" s="239">
        <v>119.99999999301508</v>
      </c>
    </row>
    <row r="2226">
      <c r="A2226" s="234" t="s">
        <v>96</v>
      </c>
      <c r="B2226" s="234" t="str">
        <f>IFERROR(__xludf.DUMMYFUNCTION("""COMPUTED_VALUE"""),"LM Hub_SP_Limeira_Campo Belo")</f>
        <v>LM Hub_SP_Limeira_Campo Belo</v>
      </c>
      <c r="C2226" s="234" t="str">
        <f>IFERROR(__xludf.DUMMYFUNCTION("""COMPUTED_VALUE"""),"HUB-LSP-24")</f>
        <v>HUB-LSP-24</v>
      </c>
      <c r="D2226" s="234">
        <f>IFERROR(__xludf.DUMMYFUNCTION("""COMPUTED_VALUE"""),35.0)</f>
        <v>35</v>
      </c>
      <c r="E2226" s="237" t="str">
        <f>IFERROR(__xludf.DUMMYFUNCTION("""COMPUTED_VALUE"""),"LT0PCA01TOB01")</f>
        <v>LT0PCA01TOB01</v>
      </c>
      <c r="F2226" s="238" t="str">
        <f>IFERROR(__xludf.DUMMYFUNCTION("""COMPUTED_VALUE"""),"FLO1G76")</f>
        <v>FLO1G76</v>
      </c>
      <c r="G2226" s="238">
        <f>IFERROR(__xludf.DUMMYFUNCTION("""COMPUTED_VALUE"""),46001.16666666667)</f>
        <v>46001.16667</v>
      </c>
      <c r="H2226" s="238">
        <f>IFERROR(__xludf.DUMMYFUNCTION("""COMPUTED_VALUE"""),46001.25)</f>
        <v>46001.25</v>
      </c>
      <c r="I2226" s="237" t="str">
        <f t="shared" si="1"/>
        <v>Fora</v>
      </c>
      <c r="J2226" s="239">
        <v>119.99999999301508</v>
      </c>
    </row>
    <row r="2227">
      <c r="A2227" s="234" t="s">
        <v>98</v>
      </c>
      <c r="B2227" s="234" t="str">
        <f>IFERROR(__xludf.DUMMYFUNCTION("""COMPUTED_VALUE"""),"LM Hub_SP_Registro")</f>
        <v>LM Hub_SP_Registro</v>
      </c>
      <c r="C2227" s="234" t="str">
        <f>IFERROR(__xludf.DUMMYFUNCTION("""COMPUTED_VALUE"""),"-")</f>
        <v>-</v>
      </c>
      <c r="D2227" s="234">
        <f>IFERROR(__xludf.DUMMYFUNCTION("""COMPUTED_VALUE"""),6.0)</f>
        <v>6</v>
      </c>
      <c r="E2227" s="237" t="str">
        <f>IFERROR(__xludf.DUMMYFUNCTION("""COMPUTED_VALUE"""),"LT0PCA01TO8M1")</f>
        <v>LT0PCA01TO8M1</v>
      </c>
      <c r="F2227" s="238" t="str">
        <f>IFERROR(__xludf.DUMMYFUNCTION("""COMPUTED_VALUE"""),"EWU9F04,EWU9F05")</f>
        <v>EWU9F04,EWU9F05</v>
      </c>
      <c r="G2227" s="238">
        <f>IFERROR(__xludf.DUMMYFUNCTION("""COMPUTED_VALUE"""),46001.16666666667)</f>
        <v>46001.16667</v>
      </c>
      <c r="H2227" s="238">
        <f>IFERROR(__xludf.DUMMYFUNCTION("""COMPUTED_VALUE"""),46001.25)</f>
        <v>46001.25</v>
      </c>
      <c r="I2227" s="237" t="str">
        <f t="shared" si="1"/>
        <v>Fora</v>
      </c>
      <c r="J2227" s="239">
        <v>119.99999999301508</v>
      </c>
    </row>
    <row r="2228">
      <c r="A2228" s="234" t="s">
        <v>99</v>
      </c>
      <c r="B2228" s="234" t="str">
        <f>IFERROR(__xludf.DUMMYFUNCTION("""COMPUTED_VALUE"""),"LM Hub_SP_São Bernardo do Campo")</f>
        <v>LM Hub_SP_São Bernardo do Campo</v>
      </c>
      <c r="C2228" s="234" t="str">
        <f>IFERROR(__xludf.DUMMYFUNCTION("""COMPUTED_VALUE"""),"HUB-LSP-79")</f>
        <v>HUB-LSP-79</v>
      </c>
      <c r="D2228" s="234">
        <f>IFERROR(__xludf.DUMMYFUNCTION("""COMPUTED_VALUE"""),29.0)</f>
        <v>29</v>
      </c>
      <c r="E2228" s="237" t="str">
        <f>IFERROR(__xludf.DUMMYFUNCTION("""COMPUTED_VALUE"""),"LT0PCA01TPG21")</f>
        <v>LT0PCA01TPG21</v>
      </c>
      <c r="F2228" s="238" t="str">
        <f>IFERROR(__xludf.DUMMYFUNCTION("""COMPUTED_VALUE"""),"EJV5B85,NKW2H59")</f>
        <v>EJV5B85,NKW2H59</v>
      </c>
      <c r="G2228" s="238">
        <f>IFERROR(__xludf.DUMMYFUNCTION("""COMPUTED_VALUE"""),46001.16666666667)</f>
        <v>46001.16667</v>
      </c>
      <c r="H2228" s="238">
        <f>IFERROR(__xludf.DUMMYFUNCTION("""COMPUTED_VALUE"""),46001.25)</f>
        <v>46001.25</v>
      </c>
      <c r="I2228" s="237" t="str">
        <f t="shared" si="1"/>
        <v>Fora</v>
      </c>
      <c r="J2228" s="239">
        <v>119.99999999301508</v>
      </c>
    </row>
    <row r="2229">
      <c r="A2229" s="234" t="s">
        <v>101</v>
      </c>
      <c r="B2229" s="234" t="str">
        <f>IFERROR(__xludf.DUMMYFUNCTION("""COMPUTED_VALUE"""),"LM Hub_SP_Várzea Paulista")</f>
        <v>LM Hub_SP_Várzea Paulista</v>
      </c>
      <c r="C2229" s="234" t="str">
        <f>IFERROR(__xludf.DUMMYFUNCTION("""COMPUTED_VALUE"""),"HUB-LSP-61")</f>
        <v>HUB-LSP-61</v>
      </c>
      <c r="D2229" s="234">
        <f>IFERROR(__xludf.DUMMYFUNCTION("""COMPUTED_VALUE"""),47.0)</f>
        <v>47</v>
      </c>
      <c r="E2229" s="237" t="str">
        <f>IFERROR(__xludf.DUMMYFUNCTION("""COMPUTED_VALUE"""),"LT0PCA01TOBG1")</f>
        <v>LT0PCA01TOBG1</v>
      </c>
      <c r="F2229" s="238" t="str">
        <f>IFERROR(__xludf.DUMMYFUNCTION("""COMPUTED_VALUE"""),"ODE8A12,GJO3B75")</f>
        <v>ODE8A12,GJO3B75</v>
      </c>
      <c r="G2229" s="238">
        <f>IFERROR(__xludf.DUMMYFUNCTION("""COMPUTED_VALUE"""),46001.16666666667)</f>
        <v>46001.16667</v>
      </c>
      <c r="H2229" s="238">
        <f>IFERROR(__xludf.DUMMYFUNCTION("""COMPUTED_VALUE"""),46001.25)</f>
        <v>46001.25</v>
      </c>
      <c r="I2229" s="237" t="str">
        <f t="shared" si="1"/>
        <v>Fora</v>
      </c>
      <c r="J2229" s="239">
        <v>119.99999999301508</v>
      </c>
    </row>
    <row r="2230">
      <c r="A2230" s="234" t="s">
        <v>104</v>
      </c>
      <c r="B2230" s="234" t="str">
        <f>IFERROR(__xludf.DUMMYFUNCTION("""COMPUTED_VALUE"""),"LM Hub_SP_Atibaia_Ponte_Alta")</f>
        <v>LM Hub_SP_Atibaia_Ponte_Alta</v>
      </c>
      <c r="C2230" s="234" t="str">
        <f>IFERROR(__xludf.DUMMYFUNCTION("""COMPUTED_VALUE"""),"HUB-LSP-87")</f>
        <v>HUB-LSP-87</v>
      </c>
      <c r="D2230" s="234">
        <f>IFERROR(__xludf.DUMMYFUNCTION("""COMPUTED_VALUE"""),14.0)</f>
        <v>14</v>
      </c>
      <c r="E2230" s="237" t="str">
        <f>IFERROR(__xludf.DUMMYFUNCTION("""COMPUTED_VALUE"""),"LT0PCA01TTRC1")</f>
        <v>LT0PCA01TTRC1</v>
      </c>
      <c r="F2230" s="238" t="str">
        <f>IFERROR(__xludf.DUMMYFUNCTION("""COMPUTED_VALUE"""),"TKS3I78,TPO3G15")</f>
        <v>TKS3I78,TPO3G15</v>
      </c>
      <c r="G2230" s="238">
        <f>IFERROR(__xludf.DUMMYFUNCTION("""COMPUTED_VALUE"""),46001.1875)</f>
        <v>46001.1875</v>
      </c>
      <c r="H2230" s="238">
        <f>IFERROR(__xludf.DUMMYFUNCTION("""COMPUTED_VALUE"""),46001.27083333333)</f>
        <v>46001.27083</v>
      </c>
      <c r="I2230" s="237" t="str">
        <f t="shared" si="1"/>
        <v>Fora</v>
      </c>
      <c r="J2230" s="239">
        <v>118.99999998975545</v>
      </c>
    </row>
    <row r="2231">
      <c r="A2231" s="234" t="s">
        <v>3884</v>
      </c>
      <c r="B2231" s="234" t="str">
        <f>IFERROR(__xludf.DUMMYFUNCTION("""COMPUTED_VALUE"""),"LM Hub_SP_Embu das Artes")</f>
        <v>LM Hub_SP_Embu das Artes</v>
      </c>
      <c r="C2231" s="234" t="str">
        <f>IFERROR(__xludf.DUMMYFUNCTION("""COMPUTED_VALUE"""),"HUB-LSP-36")</f>
        <v>HUB-LSP-36</v>
      </c>
      <c r="D2231" s="234"/>
      <c r="E2231" s="237" t="str">
        <f>IFERROR(__xludf.DUMMYFUNCTION("""COMPUTED_VALUE"""),"LT0PCA01TQJ91")</f>
        <v>LT0PCA01TQJ91</v>
      </c>
      <c r="F2231" s="234"/>
      <c r="G2231" s="238">
        <f>IFERROR(__xludf.DUMMYFUNCTION("""COMPUTED_VALUE"""),46001.18819444445)</f>
        <v>46001.18819</v>
      </c>
      <c r="H2231" s="238">
        <f>IFERROR(__xludf.DUMMYFUNCTION("""COMPUTED_VALUE"""),46001.27083333333)</f>
        <v>46001.27083</v>
      </c>
      <c r="I2231" s="237" t="str">
        <f t="shared" si="1"/>
        <v>Fora</v>
      </c>
      <c r="J2231" s="239">
        <v>118.99999998975545</v>
      </c>
    </row>
    <row r="2232">
      <c r="A2232" s="234" t="s">
        <v>106</v>
      </c>
      <c r="B2232" s="234" t="str">
        <f>IFERROR(__xludf.DUMMYFUNCTION("""COMPUTED_VALUE"""),"LM Hub_SP_Taubaté")</f>
        <v>LM Hub_SP_Taubaté</v>
      </c>
      <c r="C2232" s="234" t="str">
        <f>IFERROR(__xludf.DUMMYFUNCTION("""COMPUTED_VALUE"""),"HUB-LSP-08")</f>
        <v>HUB-LSP-08</v>
      </c>
      <c r="D2232" s="234">
        <f>IFERROR(__xludf.DUMMYFUNCTION("""COMPUTED_VALUE"""),7.0)</f>
        <v>7</v>
      </c>
      <c r="E2232" s="237" t="str">
        <f>IFERROR(__xludf.DUMMYFUNCTION("""COMPUTED_VALUE"""),"LT0PCA01TO9F1")</f>
        <v>LT0PCA01TO9F1</v>
      </c>
      <c r="F2232" s="238" t="str">
        <f>IFERROR(__xludf.DUMMYFUNCTION("""COMPUTED_VALUE"""),"BKU9G23,TKD3E65")</f>
        <v>BKU9G23,TKD3E65</v>
      </c>
      <c r="G2232" s="238">
        <f>IFERROR(__xludf.DUMMYFUNCTION("""COMPUTED_VALUE"""),46001.18819444445)</f>
        <v>46001.18819</v>
      </c>
      <c r="H2232" s="238">
        <f>IFERROR(__xludf.DUMMYFUNCTION("""COMPUTED_VALUE"""),46001.27083333333)</f>
        <v>46001.27083</v>
      </c>
      <c r="I2232" s="237" t="str">
        <f t="shared" si="1"/>
        <v>Fora</v>
      </c>
      <c r="J2232" s="239">
        <v>539.0000000072177</v>
      </c>
    </row>
    <row r="2233">
      <c r="A2233" s="234" t="s">
        <v>107</v>
      </c>
      <c r="B2233" s="234" t="str">
        <f>IFERROR(__xludf.DUMMYFUNCTION("""COMPUTED_VALUE"""),"SoC_BA_Simoes Filho")</f>
        <v>SoC_BA_Simoes Filho</v>
      </c>
      <c r="C2233" s="234" t="str">
        <f>IFERROR(__xludf.DUMMYFUNCTION("""COMPUTED_VALUE"""),"SOC-BA2")</f>
        <v>SOC-BA2</v>
      </c>
      <c r="D2233" s="234">
        <f>IFERROR(__xludf.DUMMYFUNCTION("""COMPUTED_VALUE"""),46.0)</f>
        <v>46</v>
      </c>
      <c r="E2233" s="237" t="str">
        <f>IFERROR(__xludf.DUMMYFUNCTION("""COMPUTED_VALUE"""),"LT0PC901TVNS1")</f>
        <v>LT0PC901TVNS1</v>
      </c>
      <c r="F2233" s="238" t="str">
        <f>IFERROR(__xludf.DUMMYFUNCTION("""COMPUTED_VALUE"""),"THG3J43,THF7H82")</f>
        <v>THG3J43,THF7H82</v>
      </c>
      <c r="G2233" s="238">
        <f>IFERROR(__xludf.DUMMYFUNCTION("""COMPUTED_VALUE"""),46000.91736111111)</f>
        <v>46000.91736</v>
      </c>
      <c r="H2233" s="238">
        <f>IFERROR(__xludf.DUMMYFUNCTION("""COMPUTED_VALUE"""),46001.29166666667)</f>
        <v>46001.29167</v>
      </c>
      <c r="I2233" s="237" t="str">
        <f t="shared" si="1"/>
        <v>Fora</v>
      </c>
      <c r="J2233" s="239">
        <v>539.0000000072177</v>
      </c>
    </row>
    <row r="2234">
      <c r="A2234" s="234" t="s">
        <v>3885</v>
      </c>
      <c r="B2234" s="234" t="str">
        <f>IFERROR(__xludf.DUMMYFUNCTION("""COMPUTED_VALUE"""),"SoC_BA_Simoes Filho")</f>
        <v>SoC_BA_Simoes Filho</v>
      </c>
      <c r="C2234" s="234" t="str">
        <f>IFERROR(__xludf.DUMMYFUNCTION("""COMPUTED_VALUE"""),"SOC-BA2")</f>
        <v>SOC-BA2</v>
      </c>
      <c r="D2234" s="234"/>
      <c r="E2234" s="237" t="str">
        <f>IFERROR(__xludf.DUMMYFUNCTION("""COMPUTED_VALUE"""),"LT0PC901TVNU2")</f>
        <v>LT0PC901TVNU2</v>
      </c>
      <c r="F2234" s="238" t="str">
        <f>IFERROR(__xludf.DUMMYFUNCTION("""COMPUTED_VALUE"""),"FXT1D22,SHH0J80")</f>
        <v>FXT1D22,SHH0J80</v>
      </c>
      <c r="G2234" s="238">
        <f>IFERROR(__xludf.DUMMYFUNCTION("""COMPUTED_VALUE"""),46000.91736111111)</f>
        <v>46000.91736</v>
      </c>
      <c r="H2234" s="238">
        <f>IFERROR(__xludf.DUMMYFUNCTION("""COMPUTED_VALUE"""),46001.29166666667)</f>
        <v>46001.29167</v>
      </c>
      <c r="I2234" s="237" t="str">
        <f t="shared" si="1"/>
        <v>Fora</v>
      </c>
      <c r="J2234" s="239">
        <v>539.0000000072177</v>
      </c>
    </row>
    <row r="2235">
      <c r="A2235" s="234" t="s">
        <v>3886</v>
      </c>
      <c r="B2235" s="234" t="str">
        <f>IFERROR(__xludf.DUMMYFUNCTION("""COMPUTED_VALUE"""),"SoC_BA_Simoes Filho")</f>
        <v>SoC_BA_Simoes Filho</v>
      </c>
      <c r="C2235" s="234" t="str">
        <f>IFERROR(__xludf.DUMMYFUNCTION("""COMPUTED_VALUE"""),"SOC-BA2")</f>
        <v>SOC-BA2</v>
      </c>
      <c r="D2235" s="234">
        <f>IFERROR(__xludf.DUMMYFUNCTION("""COMPUTED_VALUE"""),89.0)</f>
        <v>89</v>
      </c>
      <c r="E2235" s="237" t="str">
        <f>IFERROR(__xludf.DUMMYFUNCTION("""COMPUTED_VALUE"""),"LT0PC901TVNW3")</f>
        <v>LT0PC901TVNW3</v>
      </c>
      <c r="F2235" s="238" t="str">
        <f>IFERROR(__xludf.DUMMYFUNCTION("""COMPUTED_VALUE"""),"OZE3G04,BSF7A46")</f>
        <v>OZE3G04,BSF7A46</v>
      </c>
      <c r="G2235" s="238">
        <f>IFERROR(__xludf.DUMMYFUNCTION("""COMPUTED_VALUE"""),46000.91736111111)</f>
        <v>46000.91736</v>
      </c>
      <c r="H2235" s="238">
        <f>IFERROR(__xludf.DUMMYFUNCTION("""COMPUTED_VALUE"""),46001.29166666667)</f>
        <v>46001.29167</v>
      </c>
      <c r="I2235" s="237" t="str">
        <f t="shared" si="1"/>
        <v>Fora</v>
      </c>
      <c r="J2235" s="239">
        <v>539.0000000072177</v>
      </c>
    </row>
    <row r="2236">
      <c r="A2236" s="234" t="s">
        <v>3887</v>
      </c>
      <c r="B2236" s="234" t="str">
        <f>IFERROR(__xludf.DUMMYFUNCTION("""COMPUTED_VALUE"""),"SoC_BA_Simoes Filho")</f>
        <v>SoC_BA_Simoes Filho</v>
      </c>
      <c r="C2236" s="234" t="str">
        <f>IFERROR(__xludf.DUMMYFUNCTION("""COMPUTED_VALUE"""),"SOC-BA2")</f>
        <v>SOC-BA2</v>
      </c>
      <c r="D2236" s="234"/>
      <c r="E2236" s="237" t="str">
        <f>IFERROR(__xludf.DUMMYFUNCTION("""COMPUTED_VALUE"""),"LT0PCA01TVNV2")</f>
        <v>LT0PCA01TVNV2</v>
      </c>
      <c r="F2236" s="238" t="str">
        <f>IFERROR(__xludf.DUMMYFUNCTION("""COMPUTED_VALUE"""),"SWE2H93,TWZ4F15")</f>
        <v>SWE2H93,TWZ4F15</v>
      </c>
      <c r="G2236" s="238">
        <f>IFERROR(__xludf.DUMMYFUNCTION("""COMPUTED_VALUE"""),46000.91736111111)</f>
        <v>46000.91736</v>
      </c>
      <c r="H2236" s="238">
        <f>IFERROR(__xludf.DUMMYFUNCTION("""COMPUTED_VALUE"""),46001.29166666667)</f>
        <v>46001.29167</v>
      </c>
      <c r="I2236" s="237" t="str">
        <f t="shared" si="1"/>
        <v>Fora</v>
      </c>
      <c r="J2236" s="239">
        <v>539.0000000072177</v>
      </c>
    </row>
    <row r="2237">
      <c r="A2237" s="234" t="s">
        <v>108</v>
      </c>
      <c r="B2237" s="234" t="str">
        <f>IFERROR(__xludf.DUMMYFUNCTION("""COMPUTED_VALUE"""),"SoC_GO_Goiânia_02")</f>
        <v>SoC_GO_Goiânia_02</v>
      </c>
      <c r="C2237" s="234" t="str">
        <f>IFERROR(__xludf.DUMMYFUNCTION("""COMPUTED_VALUE"""),"SOC-GO2")</f>
        <v>SOC-GO2</v>
      </c>
      <c r="D2237" s="234">
        <f>IFERROR(__xludf.DUMMYFUNCTION("""COMPUTED_VALUE"""),21.0)</f>
        <v>21</v>
      </c>
      <c r="E2237" s="237" t="str">
        <f>IFERROR(__xludf.DUMMYFUNCTION("""COMPUTED_VALUE"""),"LT0PC901TVY61")</f>
        <v>LT0PC901TVY61</v>
      </c>
      <c r="F2237" s="238" t="str">
        <f>IFERROR(__xludf.DUMMYFUNCTION("""COMPUTED_VALUE"""),"IZF1A66,FSH1B89")</f>
        <v>IZF1A66,FSH1B89</v>
      </c>
      <c r="G2237" s="238">
        <f>IFERROR(__xludf.DUMMYFUNCTION("""COMPUTED_VALUE"""),46000.91736111111)</f>
        <v>46000.91736</v>
      </c>
      <c r="H2237" s="238">
        <f>IFERROR(__xludf.DUMMYFUNCTION("""COMPUTED_VALUE"""),46001.29166666667)</f>
        <v>46001.29167</v>
      </c>
      <c r="I2237" s="237" t="str">
        <f t="shared" si="1"/>
        <v>Fora</v>
      </c>
      <c r="J2237" s="239">
        <v>539.0000000072177</v>
      </c>
    </row>
    <row r="2238">
      <c r="A2238" s="234" t="s">
        <v>110</v>
      </c>
      <c r="B2238" s="234" t="str">
        <f>IFERROR(__xludf.DUMMYFUNCTION("""COMPUTED_VALUE"""),"SoC_GO_Goiânia_02")</f>
        <v>SoC_GO_Goiânia_02</v>
      </c>
      <c r="C2238" s="234" t="str">
        <f>IFERROR(__xludf.DUMMYFUNCTION("""COMPUTED_VALUE"""),"SOC-GO2")</f>
        <v>SOC-GO2</v>
      </c>
      <c r="D2238" s="234">
        <f>IFERROR(__xludf.DUMMYFUNCTION("""COMPUTED_VALUE"""),49.0)</f>
        <v>49</v>
      </c>
      <c r="E2238" s="237" t="str">
        <f>IFERROR(__xludf.DUMMYFUNCTION("""COMPUTED_VALUE"""),"LT0PC901TVY82")</f>
        <v>LT0PC901TVY82</v>
      </c>
      <c r="F2238" s="238" t="str">
        <f>IFERROR(__xludf.DUMMYFUNCTION("""COMPUTED_VALUE"""),"FDL4J23,EJZ2E47")</f>
        <v>FDL4J23,EJZ2E47</v>
      </c>
      <c r="G2238" s="238">
        <f>IFERROR(__xludf.DUMMYFUNCTION("""COMPUTED_VALUE"""),46000.91736111111)</f>
        <v>46000.91736</v>
      </c>
      <c r="H2238" s="238">
        <f>IFERROR(__xludf.DUMMYFUNCTION("""COMPUTED_VALUE"""),46001.29166666667)</f>
        <v>46001.29167</v>
      </c>
      <c r="I2238" s="237" t="str">
        <f t="shared" si="1"/>
        <v>Fora</v>
      </c>
      <c r="J2238" s="239">
        <v>539.0000000072177</v>
      </c>
    </row>
    <row r="2239">
      <c r="A2239" s="234" t="s">
        <v>3888</v>
      </c>
      <c r="B2239" s="234" t="str">
        <f>IFERROR(__xludf.DUMMYFUNCTION("""COMPUTED_VALUE"""),"SoC_MG_Betim")</f>
        <v>SoC_MG_Betim</v>
      </c>
      <c r="C2239" s="234" t="str">
        <f>IFERROR(__xludf.DUMMYFUNCTION("""COMPUTED_VALUE"""),"SOC-MG2")</f>
        <v>SOC-MG2</v>
      </c>
      <c r="D2239" s="234">
        <f>IFERROR(__xludf.DUMMYFUNCTION("""COMPUTED_VALUE"""),91.0)</f>
        <v>91</v>
      </c>
      <c r="E2239" s="237" t="str">
        <f>IFERROR(__xludf.DUMMYFUNCTION("""COMPUTED_VALUE"""),"LT0PC901TNYR1")</f>
        <v>LT0PC901TNYR1</v>
      </c>
      <c r="F2239" s="238" t="str">
        <f>IFERROR(__xludf.DUMMYFUNCTION("""COMPUTED_VALUE"""),"SKL5D90,EZL3005")</f>
        <v>SKL5D90,EZL3005</v>
      </c>
      <c r="G2239" s="238">
        <f>IFERROR(__xludf.DUMMYFUNCTION("""COMPUTED_VALUE"""),46000.91736111111)</f>
        <v>46000.91736</v>
      </c>
      <c r="H2239" s="238">
        <f>IFERROR(__xludf.DUMMYFUNCTION("""COMPUTED_VALUE"""),46001.29166666667)</f>
        <v>46001.29167</v>
      </c>
      <c r="I2239" s="237" t="str">
        <f t="shared" si="1"/>
        <v>Fora</v>
      </c>
      <c r="J2239" s="239">
        <v>539.0000000072177</v>
      </c>
    </row>
    <row r="2240">
      <c r="A2240" s="234" t="s">
        <v>111</v>
      </c>
      <c r="B2240" s="234" t="str">
        <f>IFERROR(__xludf.DUMMYFUNCTION("""COMPUTED_VALUE"""),"SoC_MG_Betim")</f>
        <v>SoC_MG_Betim</v>
      </c>
      <c r="C2240" s="234" t="str">
        <f>IFERROR(__xludf.DUMMYFUNCTION("""COMPUTED_VALUE"""),"SOC-MG2")</f>
        <v>SOC-MG2</v>
      </c>
      <c r="D2240" s="234">
        <f>IFERROR(__xludf.DUMMYFUNCTION("""COMPUTED_VALUE"""),91.0)</f>
        <v>91</v>
      </c>
      <c r="E2240" s="237" t="str">
        <f>IFERROR(__xludf.DUMMYFUNCTION("""COMPUTED_VALUE"""),"LT0PC901TNYT2")</f>
        <v>LT0PC901TNYT2</v>
      </c>
      <c r="F2240" s="238" t="str">
        <f>IFERROR(__xludf.DUMMYFUNCTION("""COMPUTED_VALUE"""),"SWU6I91,DTC7026")</f>
        <v>SWU6I91,DTC7026</v>
      </c>
      <c r="G2240" s="238">
        <f>IFERROR(__xludf.DUMMYFUNCTION("""COMPUTED_VALUE"""),46000.91736111111)</f>
        <v>46000.91736</v>
      </c>
      <c r="H2240" s="238">
        <f>IFERROR(__xludf.DUMMYFUNCTION("""COMPUTED_VALUE"""),46001.29166666667)</f>
        <v>46001.29167</v>
      </c>
      <c r="I2240" s="237" t="str">
        <f t="shared" si="1"/>
        <v>Fora</v>
      </c>
      <c r="J2240" s="239">
        <v>537.0000000111759</v>
      </c>
    </row>
    <row r="2241">
      <c r="A2241" s="234" t="s">
        <v>3889</v>
      </c>
      <c r="B2241" s="234" t="str">
        <f>IFERROR(__xludf.DUMMYFUNCTION("""COMPUTED_VALUE"""),"SoC_MG_Betim")</f>
        <v>SoC_MG_Betim</v>
      </c>
      <c r="C2241" s="234" t="str">
        <f>IFERROR(__xludf.DUMMYFUNCTION("""COMPUTED_VALUE"""),"SOC-MG2")</f>
        <v>SOC-MG2</v>
      </c>
      <c r="D2241" s="234"/>
      <c r="E2241" s="237" t="str">
        <f>IFERROR(__xludf.DUMMYFUNCTION("""COMPUTED_VALUE"""),"LT0PC901TN8I1")</f>
        <v>LT0PC901TN8I1</v>
      </c>
      <c r="F2241" s="238" t="str">
        <f>IFERROR(__xludf.DUMMYFUNCTION("""COMPUTED_VALUE"""),"RFE4B95,MLT4098")</f>
        <v>RFE4B95,MLT4098</v>
      </c>
      <c r="G2241" s="238">
        <f>IFERROR(__xludf.DUMMYFUNCTION("""COMPUTED_VALUE"""),46000.91875)</f>
        <v>46000.91875</v>
      </c>
      <c r="H2241" s="238">
        <f>IFERROR(__xludf.DUMMYFUNCTION("""COMPUTED_VALUE"""),46001.29166666667)</f>
        <v>46001.29167</v>
      </c>
      <c r="I2241" s="237" t="str">
        <f t="shared" si="1"/>
        <v>Fora</v>
      </c>
      <c r="J2241" s="239">
        <v>537.0000000111759</v>
      </c>
    </row>
    <row r="2242">
      <c r="A2242" s="234" t="s">
        <v>112</v>
      </c>
      <c r="B2242" s="234" t="str">
        <f>IFERROR(__xludf.DUMMYFUNCTION("""COMPUTED_VALUE"""),"SoC_MG_Betim")</f>
        <v>SoC_MG_Betim</v>
      </c>
      <c r="C2242" s="234" t="str">
        <f>IFERROR(__xludf.DUMMYFUNCTION("""COMPUTED_VALUE"""),"SOC-MG2")</f>
        <v>SOC-MG2</v>
      </c>
      <c r="D2242" s="234">
        <f>IFERROR(__xludf.DUMMYFUNCTION("""COMPUTED_VALUE"""),90.0)</f>
        <v>90</v>
      </c>
      <c r="E2242" s="237" t="str">
        <f>IFERROR(__xludf.DUMMYFUNCTION("""COMPUTED_VALUE"""),"LT0PC901TN8K2")</f>
        <v>LT0PC901TN8K2</v>
      </c>
      <c r="F2242" s="238" t="str">
        <f>IFERROR(__xludf.DUMMYFUNCTION("""COMPUTED_VALUE"""),"PYS7I47,FFW4815")</f>
        <v>PYS7I47,FFW4815</v>
      </c>
      <c r="G2242" s="238">
        <f>IFERROR(__xludf.DUMMYFUNCTION("""COMPUTED_VALUE"""),46000.91875)</f>
        <v>46000.91875</v>
      </c>
      <c r="H2242" s="238">
        <f>IFERROR(__xludf.DUMMYFUNCTION("""COMPUTED_VALUE"""),46001.29166666667)</f>
        <v>46001.29167</v>
      </c>
      <c r="I2242" s="237" t="str">
        <f t="shared" si="1"/>
        <v>Fora</v>
      </c>
      <c r="J2242" s="239">
        <v>480.00000001396984</v>
      </c>
    </row>
    <row r="2243">
      <c r="A2243" s="234" t="s">
        <v>3890</v>
      </c>
      <c r="B2243" s="234" t="str">
        <f>IFERROR(__xludf.DUMMYFUNCTION("""COMPUTED_VALUE"""),"SoC_BA_Simoes Filho")</f>
        <v>SoC_BA_Simoes Filho</v>
      </c>
      <c r="C2243" s="234" t="str">
        <f>IFERROR(__xludf.DUMMYFUNCTION("""COMPUTED_VALUE"""),"SOC-BA2")</f>
        <v>SOC-BA2</v>
      </c>
      <c r="D2243" s="234"/>
      <c r="E2243" s="237" t="str">
        <f>IFERROR(__xludf.DUMMYFUNCTION("""COMPUTED_VALUE"""),"LT1PC901U2EM1")</f>
        <v>LT1PC901U2EM1</v>
      </c>
      <c r="F2243" s="234"/>
      <c r="G2243" s="238">
        <f>IFERROR(__xludf.DUMMYFUNCTION("""COMPUTED_VALUE"""),46000.95833333333)</f>
        <v>46000.95833</v>
      </c>
      <c r="H2243" s="238">
        <f>IFERROR(__xludf.DUMMYFUNCTION("""COMPUTED_VALUE"""),46001.29166666667)</f>
        <v>46001.29167</v>
      </c>
      <c r="I2243" s="237" t="str">
        <f t="shared" si="1"/>
        <v>Fora</v>
      </c>
      <c r="J2243" s="239">
        <v>480.00000001396984</v>
      </c>
    </row>
    <row r="2244">
      <c r="A2244" s="234" t="s">
        <v>113</v>
      </c>
      <c r="B2244" s="234" t="str">
        <f>IFERROR(__xludf.DUMMYFUNCTION("""COMPUTED_VALUE"""),"SoC_GO_Goiânia_02")</f>
        <v>SoC_GO_Goiânia_02</v>
      </c>
      <c r="C2244" s="234" t="str">
        <f>IFERROR(__xludf.DUMMYFUNCTION("""COMPUTED_VALUE"""),"SOC-GO2")</f>
        <v>SOC-GO2</v>
      </c>
      <c r="D2244" s="234">
        <f>IFERROR(__xludf.DUMMYFUNCTION("""COMPUTED_VALUE"""),48.0)</f>
        <v>48</v>
      </c>
      <c r="E2244" s="237" t="str">
        <f>IFERROR(__xludf.DUMMYFUNCTION("""COMPUTED_VALUE"""),"LT1PC901U2EQ1")</f>
        <v>LT1PC901U2EQ1</v>
      </c>
      <c r="F2244" s="238" t="str">
        <f>IFERROR(__xludf.DUMMYFUNCTION("""COMPUTED_VALUE"""),"GBU0B72,TXR4D30")</f>
        <v>GBU0B72,TXR4D30</v>
      </c>
      <c r="G2244" s="238">
        <f>IFERROR(__xludf.DUMMYFUNCTION("""COMPUTED_VALUE"""),46000.95833333333)</f>
        <v>46000.95833</v>
      </c>
      <c r="H2244" s="238">
        <f>IFERROR(__xludf.DUMMYFUNCTION("""COMPUTED_VALUE"""),46001.29166666667)</f>
        <v>46001.29167</v>
      </c>
      <c r="I2244" s="237" t="str">
        <f t="shared" si="1"/>
        <v>Fora</v>
      </c>
      <c r="J2244" s="239">
        <v>120.00000001396984</v>
      </c>
    </row>
    <row r="2245">
      <c r="A2245" s="234" t="s">
        <v>3891</v>
      </c>
      <c r="B2245" s="234" t="str">
        <f>IFERROR(__xludf.DUMMYFUNCTION("""COMPUTED_VALUE"""),"LM Hub_RS_Porto Alegre_Floresta")</f>
        <v>LM Hub_RS_Porto Alegre_Floresta</v>
      </c>
      <c r="C2245" s="234" t="str">
        <f>IFERROR(__xludf.DUMMYFUNCTION("""COMPUTED_VALUE"""),"HUB-LRS-03")</f>
        <v>HUB-LRS-03</v>
      </c>
      <c r="D2245" s="234"/>
      <c r="E2245" s="237" t="str">
        <f>IFERROR(__xludf.DUMMYFUNCTION("""COMPUTED_VALUE"""),"LT0PC901TWIG1")</f>
        <v>LT0PC901TWIG1</v>
      </c>
      <c r="F2245" s="238" t="str">
        <f>IFERROR(__xludf.DUMMYFUNCTION("""COMPUTED_VALUE"""),"DED0G62,TLG4F66")</f>
        <v>DED0G62,TLG4F66</v>
      </c>
      <c r="G2245" s="238">
        <f>IFERROR(__xludf.DUMMYFUNCTION("""COMPUTED_VALUE"""),46001.20833333333)</f>
        <v>46001.20833</v>
      </c>
      <c r="H2245" s="238">
        <f>IFERROR(__xludf.DUMMYFUNCTION("""COMPUTED_VALUE"""),46001.29166666667)</f>
        <v>46001.29167</v>
      </c>
      <c r="I2245" s="237" t="str">
        <f t="shared" si="1"/>
        <v>Fora</v>
      </c>
      <c r="J2245" s="239">
        <v>120.00000001396984</v>
      </c>
    </row>
    <row r="2246">
      <c r="A2246" s="234" t="s">
        <v>3891</v>
      </c>
      <c r="B2246" s="234" t="str">
        <f>IFERROR(__xludf.DUMMYFUNCTION("""COMPUTED_VALUE"""),"LM Hub_RS_Porto Alegre_Floresta")</f>
        <v>LM Hub_RS_Porto Alegre_Floresta</v>
      </c>
      <c r="C2246" s="234" t="str">
        <f>IFERROR(__xludf.DUMMYFUNCTION("""COMPUTED_VALUE"""),"HUB-LRS-03")</f>
        <v>HUB-LRS-03</v>
      </c>
      <c r="D2246" s="234"/>
      <c r="E2246" s="237" t="str">
        <f>IFERROR(__xludf.DUMMYFUNCTION("""COMPUTED_VALUE"""),"LT0PC901TWIG1")</f>
        <v>LT0PC901TWIG1</v>
      </c>
      <c r="F2246" s="234" t="str">
        <f>IFERROR(__xludf.DUMMYFUNCTION("""COMPUTED_VALUE"""),"DISPATCH")</f>
        <v>DISPATCH</v>
      </c>
      <c r="G2246" s="238">
        <f>IFERROR(__xludf.DUMMYFUNCTION("""COMPUTED_VALUE"""),46001.20833333333)</f>
        <v>46001.20833</v>
      </c>
      <c r="H2246" s="238">
        <f>IFERROR(__xludf.DUMMYFUNCTION("""COMPUTED_VALUE"""),46001.29166666667)</f>
        <v>46001.29167</v>
      </c>
      <c r="I2246" s="237" t="str">
        <f t="shared" si="1"/>
        <v>Fora</v>
      </c>
      <c r="J2246" s="239">
        <v>120.00000001396984</v>
      </c>
    </row>
    <row r="2247">
      <c r="A2247" s="234" t="s">
        <v>114</v>
      </c>
      <c r="B2247" s="234" t="str">
        <f>IFERROR(__xludf.DUMMYFUNCTION("""COMPUTED_VALUE"""),"LM Hub_SP_Barueri_01")</f>
        <v>LM Hub_SP_Barueri_01</v>
      </c>
      <c r="C2247" s="234" t="str">
        <f>IFERROR(__xludf.DUMMYFUNCTION("""COMPUTED_VALUE"""),"HUB-LSP-81")</f>
        <v>HUB-LSP-81</v>
      </c>
      <c r="D2247" s="234">
        <f>IFERROR(__xludf.DUMMYFUNCTION("""COMPUTED_VALUE"""),12.0)</f>
        <v>12</v>
      </c>
      <c r="E2247" s="237" t="str">
        <f>IFERROR(__xludf.DUMMYFUNCTION("""COMPUTED_VALUE"""),"LT0PCA01TV8U1")</f>
        <v>LT0PCA01TV8U1</v>
      </c>
      <c r="F2247" s="238" t="str">
        <f>IFERROR(__xludf.DUMMYFUNCTION("""COMPUTED_VALUE"""),"TIZ8A99,TLG4I97")</f>
        <v>TIZ8A99,TLG4I97</v>
      </c>
      <c r="G2247" s="238">
        <f>IFERROR(__xludf.DUMMYFUNCTION("""COMPUTED_VALUE"""),46001.20833333333)</f>
        <v>46001.20833</v>
      </c>
      <c r="H2247" s="238">
        <f>IFERROR(__xludf.DUMMYFUNCTION("""COMPUTED_VALUE"""),46001.29166666667)</f>
        <v>46001.29167</v>
      </c>
      <c r="I2247" s="237" t="str">
        <f t="shared" si="1"/>
        <v>Fora</v>
      </c>
      <c r="J2247" s="239">
        <v>120.00000001396984</v>
      </c>
    </row>
    <row r="2248">
      <c r="A2248" s="234" t="s">
        <v>3892</v>
      </c>
      <c r="B2248" s="234" t="str">
        <f>IFERROR(__xludf.DUMMYFUNCTION("""COMPUTED_VALUE"""),"LM Hub_SP_Jundiaí")</f>
        <v>LM Hub_SP_Jundiaí</v>
      </c>
      <c r="C2248" s="234" t="str">
        <f>IFERROR(__xludf.DUMMYFUNCTION("""COMPUTED_VALUE"""),"HUB-LSP-100")</f>
        <v>HUB-LSP-100</v>
      </c>
      <c r="D2248" s="234"/>
      <c r="E2248" s="237" t="str">
        <f>IFERROR(__xludf.DUMMYFUNCTION("""COMPUTED_VALUE"""),"LT0PCA01TWTV1")</f>
        <v>LT0PCA01TWTV1</v>
      </c>
      <c r="F2248" s="238" t="str">
        <f>IFERROR(__xludf.DUMMYFUNCTION("""COMPUTED_VALUE"""),"TJQ7B36,TKX9A69")</f>
        <v>TJQ7B36,TKX9A69</v>
      </c>
      <c r="G2248" s="238">
        <f>IFERROR(__xludf.DUMMYFUNCTION("""COMPUTED_VALUE"""),46001.20833333333)</f>
        <v>46001.20833</v>
      </c>
      <c r="H2248" s="238">
        <f>IFERROR(__xludf.DUMMYFUNCTION("""COMPUTED_VALUE"""),46001.29166666667)</f>
        <v>46001.29167</v>
      </c>
      <c r="I2248" s="237" t="str">
        <f t="shared" si="1"/>
        <v>Fora</v>
      </c>
      <c r="J2248" s="239">
        <v>120.00000001396984</v>
      </c>
    </row>
    <row r="2249">
      <c r="A2249" s="234" t="s">
        <v>115</v>
      </c>
      <c r="B2249" s="234" t="str">
        <f>IFERROR(__xludf.DUMMYFUNCTION("""COMPUTED_VALUE"""),"LM Hub_SP_Piracicaba")</f>
        <v>LM Hub_SP_Piracicaba</v>
      </c>
      <c r="C2249" s="234" t="str">
        <f>IFERROR(__xludf.DUMMYFUNCTION("""COMPUTED_VALUE"""),"HUB-LSP-62")</f>
        <v>HUB-LSP-62</v>
      </c>
      <c r="D2249" s="234">
        <f>IFERROR(__xludf.DUMMYFUNCTION("""COMPUTED_VALUE"""),28.0)</f>
        <v>28</v>
      </c>
      <c r="E2249" s="237" t="str">
        <f>IFERROR(__xludf.DUMMYFUNCTION("""COMPUTED_VALUE"""),"LT0PCA01TPP21")</f>
        <v>LT0PCA01TPP21</v>
      </c>
      <c r="F2249" s="238" t="str">
        <f>IFERROR(__xludf.DUMMYFUNCTION("""COMPUTED_VALUE"""),"MTB1C44,MTB1C45")</f>
        <v>MTB1C44,MTB1C45</v>
      </c>
      <c r="G2249" s="238">
        <f>IFERROR(__xludf.DUMMYFUNCTION("""COMPUTED_VALUE"""),46001.20833333333)</f>
        <v>46001.20833</v>
      </c>
      <c r="H2249" s="238">
        <f>IFERROR(__xludf.DUMMYFUNCTION("""COMPUTED_VALUE"""),46001.29166666667)</f>
        <v>46001.29167</v>
      </c>
      <c r="I2249" s="237" t="str">
        <f t="shared" si="1"/>
        <v>Fora</v>
      </c>
      <c r="J2249" s="239">
        <v>119.00000001071021</v>
      </c>
    </row>
    <row r="2250">
      <c r="A2250" s="234" t="s">
        <v>3893</v>
      </c>
      <c r="B2250" s="234" t="str">
        <f>IFERROR(__xludf.DUMMYFUNCTION("""COMPUTED_VALUE"""),"LM Hub_SP_Jurubatuba")</f>
        <v>LM Hub_SP_Jurubatuba</v>
      </c>
      <c r="C2250" s="234" t="str">
        <f>IFERROR(__xludf.DUMMYFUNCTION("""COMPUTED_VALUE"""),"HUB-LSP-16")</f>
        <v>HUB-LSP-16</v>
      </c>
      <c r="D2250" s="234">
        <f>IFERROR(__xludf.DUMMYFUNCTION("""COMPUTED_VALUE"""),19.0)</f>
        <v>19</v>
      </c>
      <c r="E2250" s="237" t="str">
        <f>IFERROR(__xludf.DUMMYFUNCTION("""COMPUTED_VALUE"""),"LT0PCA01TQGX1")</f>
        <v>LT0PCA01TQGX1</v>
      </c>
      <c r="F2250" s="238" t="str">
        <f>IFERROR(__xludf.DUMMYFUNCTION("""COMPUTED_VALUE"""),"MQM6I27,FXB7G01")</f>
        <v>MQM6I27,FXB7G01</v>
      </c>
      <c r="G2250" s="238">
        <f>IFERROR(__xludf.DUMMYFUNCTION("""COMPUTED_VALUE"""),46001.209027777775)</f>
        <v>46001.20903</v>
      </c>
      <c r="H2250" s="238">
        <f>IFERROR(__xludf.DUMMYFUNCTION("""COMPUTED_VALUE"""),46001.29166666667)</f>
        <v>46001.29167</v>
      </c>
      <c r="I2250" s="237" t="str">
        <f t="shared" si="1"/>
        <v>Fora</v>
      </c>
      <c r="J2250" s="239">
        <v>119.00000001071021</v>
      </c>
    </row>
    <row r="2251">
      <c r="A2251" s="234" t="s">
        <v>116</v>
      </c>
      <c r="B2251" s="234" t="str">
        <f>IFERROR(__xludf.DUMMYFUNCTION("""COMPUTED_VALUE"""),"LM Hub_SP_Jurubatuba")</f>
        <v>LM Hub_SP_Jurubatuba</v>
      </c>
      <c r="C2251" s="234" t="str">
        <f>IFERROR(__xludf.DUMMYFUNCTION("""COMPUTED_VALUE"""),"HUB-LSP-16")</f>
        <v>HUB-LSP-16</v>
      </c>
      <c r="D2251" s="234">
        <f>IFERROR(__xludf.DUMMYFUNCTION("""COMPUTED_VALUE"""),19.0)</f>
        <v>19</v>
      </c>
      <c r="E2251" s="237" t="str">
        <f>IFERROR(__xludf.DUMMYFUNCTION("""COMPUTED_VALUE"""),"LT0PCA01TQGZ2")</f>
        <v>LT0PCA01TQGZ2</v>
      </c>
      <c r="F2251" s="238" t="str">
        <f>IFERROR(__xludf.DUMMYFUNCTION("""COMPUTED_VALUE"""),"MQM6I27,FXB7G01")</f>
        <v>MQM6I27,FXB7G01</v>
      </c>
      <c r="G2251" s="238">
        <f>IFERROR(__xludf.DUMMYFUNCTION("""COMPUTED_VALUE"""),46001.209027777775)</f>
        <v>46001.20903</v>
      </c>
      <c r="H2251" s="238">
        <f>IFERROR(__xludf.DUMMYFUNCTION("""COMPUTED_VALUE"""),46001.29166666667)</f>
        <v>46001.29167</v>
      </c>
      <c r="I2251" s="237" t="str">
        <f t="shared" si="1"/>
        <v>Fora</v>
      </c>
      <c r="J2251" s="239">
        <v>119.00000001071021</v>
      </c>
    </row>
    <row r="2252">
      <c r="A2252" s="234" t="s">
        <v>117</v>
      </c>
      <c r="B2252" s="234" t="str">
        <f>IFERROR(__xludf.DUMMYFUNCTION("""COMPUTED_VALUE"""),"LM Hub_SP_Santos_PraiaGrande_02")</f>
        <v>LM Hub_SP_Santos_PraiaGrande_02</v>
      </c>
      <c r="C2252" s="234" t="str">
        <f>IFERROR(__xludf.DUMMYFUNCTION("""COMPUTED_VALUE"""),"HUB-LSP-63")</f>
        <v>HUB-LSP-63</v>
      </c>
      <c r="D2252" s="234">
        <f>IFERROR(__xludf.DUMMYFUNCTION("""COMPUTED_VALUE"""),27.0)</f>
        <v>27</v>
      </c>
      <c r="E2252" s="237" t="str">
        <f>IFERROR(__xludf.DUMMYFUNCTION("""COMPUTED_VALUE"""),"LT0PCA01TQJ31")</f>
        <v>LT0PCA01TQJ31</v>
      </c>
      <c r="F2252" s="238" t="str">
        <f>IFERROR(__xludf.DUMMYFUNCTION("""COMPUTED_VALUE"""),"FPT3I23,GHQ7E05")</f>
        <v>FPT3I23,GHQ7E05</v>
      </c>
      <c r="G2252" s="238">
        <f>IFERROR(__xludf.DUMMYFUNCTION("""COMPUTED_VALUE"""),46001.209027777775)</f>
        <v>46001.20903</v>
      </c>
      <c r="H2252" s="238">
        <f>IFERROR(__xludf.DUMMYFUNCTION("""COMPUTED_VALUE"""),46001.29166666667)</f>
        <v>46001.29167</v>
      </c>
      <c r="I2252" s="237" t="str">
        <f t="shared" si="1"/>
        <v>Fora</v>
      </c>
      <c r="J2252" s="239">
        <v>119.00000001071021</v>
      </c>
    </row>
    <row r="2253">
      <c r="A2253" s="234" t="s">
        <v>119</v>
      </c>
      <c r="B2253" s="234" t="str">
        <f>IFERROR(__xludf.DUMMYFUNCTION("""COMPUTED_VALUE"""),"SoC_SP_Santana")</f>
        <v>SoC_SP_Santana</v>
      </c>
      <c r="C2253" s="234" t="str">
        <f>IFERROR(__xludf.DUMMYFUNCTION("""COMPUTED_VALUE"""),"SOC-SP2")</f>
        <v>SOC-SP2</v>
      </c>
      <c r="D2253" s="234">
        <f>IFERROR(__xludf.DUMMYFUNCTION("""COMPUTED_VALUE"""),33.0)</f>
        <v>33</v>
      </c>
      <c r="E2253" s="237" t="str">
        <f>IFERROR(__xludf.DUMMYFUNCTION("""COMPUTED_VALUE"""),"LT0PCA01TP401")</f>
        <v>LT0PCA01TP401</v>
      </c>
      <c r="F2253" s="238" t="str">
        <f>IFERROR(__xludf.DUMMYFUNCTION("""COMPUTED_VALUE"""),"OKQ5H03,FJP9A36")</f>
        <v>OKQ5H03,FJP9A36</v>
      </c>
      <c r="G2253" s="238">
        <f>IFERROR(__xludf.DUMMYFUNCTION("""COMPUTED_VALUE"""),46001.209027777775)</f>
        <v>46001.20903</v>
      </c>
      <c r="H2253" s="238">
        <f>IFERROR(__xludf.DUMMYFUNCTION("""COMPUTED_VALUE"""),46001.29166666667)</f>
        <v>46001.29167</v>
      </c>
      <c r="I2253" s="237" t="str">
        <f t="shared" si="1"/>
        <v>Fora</v>
      </c>
      <c r="J2253" s="239">
        <v>59.00000000372529</v>
      </c>
    </row>
    <row r="2254">
      <c r="A2254" s="234" t="s">
        <v>120</v>
      </c>
      <c r="B2254" s="234" t="str">
        <f>IFERROR(__xludf.DUMMYFUNCTION("""COMPUTED_VALUE"""),"LM Hub_SP_Mauá")</f>
        <v>LM Hub_SP_Mauá</v>
      </c>
      <c r="C2254" s="234" t="str">
        <f>IFERROR(__xludf.DUMMYFUNCTION("""COMPUTED_VALUE"""),"HUB-LSP-64")</f>
        <v>HUB-LSP-64</v>
      </c>
      <c r="D2254" s="234">
        <f>IFERROR(__xludf.DUMMYFUNCTION("""COMPUTED_VALUE"""),20.0)</f>
        <v>20</v>
      </c>
      <c r="E2254" s="237" t="str">
        <f>IFERROR(__xludf.DUMMYFUNCTION("""COMPUTED_VALUE"""),"LT0PCA01TNRS1")</f>
        <v>LT0PCA01TNRS1</v>
      </c>
      <c r="F2254" s="238" t="str">
        <f>IFERROR(__xludf.DUMMYFUNCTION("""COMPUTED_VALUE"""),"PQV0E87")</f>
        <v>PQV0E87</v>
      </c>
      <c r="G2254" s="238">
        <f>IFERROR(__xludf.DUMMYFUNCTION("""COMPUTED_VALUE"""),46001.25069444445)</f>
        <v>46001.25069</v>
      </c>
      <c r="H2254" s="238">
        <f>IFERROR(__xludf.DUMMYFUNCTION("""COMPUTED_VALUE"""),46001.29166666667)</f>
        <v>46001.29167</v>
      </c>
      <c r="I2254" s="237" t="str">
        <f t="shared" si="1"/>
        <v>Fora</v>
      </c>
      <c r="J2254" s="239">
        <v>119.99999999301508</v>
      </c>
    </row>
    <row r="2255">
      <c r="A2255" s="234" t="s">
        <v>123</v>
      </c>
      <c r="B2255" s="234" t="str">
        <f>IFERROR(__xludf.DUMMYFUNCTION("""COMPUTED_VALUE"""),"LM Hub_SP_Guarujá")</f>
        <v>LM Hub_SP_Guarujá</v>
      </c>
      <c r="C2255" s="234" t="str">
        <f>IFERROR(__xludf.DUMMYFUNCTION("""COMPUTED_VALUE"""),"HUB-LSP-06")</f>
        <v>HUB-LSP-06</v>
      </c>
      <c r="D2255" s="234">
        <f>IFERROR(__xludf.DUMMYFUNCTION("""COMPUTED_VALUE"""),13.0)</f>
        <v>13</v>
      </c>
      <c r="E2255" s="237" t="str">
        <f>IFERROR(__xludf.DUMMYFUNCTION("""COMPUTED_VALUE"""),"LT0PCA01TQHY1")</f>
        <v>LT0PCA01TQHY1</v>
      </c>
      <c r="F2255" s="238" t="str">
        <f>IFERROR(__xludf.DUMMYFUNCTION("""COMPUTED_VALUE"""),"SVL5H32")</f>
        <v>SVL5H32</v>
      </c>
      <c r="G2255" s="238">
        <f>IFERROR(__xludf.DUMMYFUNCTION("""COMPUTED_VALUE"""),46001.22916666667)</f>
        <v>46001.22917</v>
      </c>
      <c r="H2255" s="238">
        <f>IFERROR(__xludf.DUMMYFUNCTION("""COMPUTED_VALUE"""),46001.3125)</f>
        <v>46001.3125</v>
      </c>
      <c r="I2255" s="237" t="str">
        <f t="shared" si="1"/>
        <v>Fora</v>
      </c>
      <c r="J2255" s="239">
        <v>119.99999999301508</v>
      </c>
    </row>
    <row r="2256">
      <c r="A2256" s="234" t="s">
        <v>125</v>
      </c>
      <c r="B2256" s="234" t="str">
        <f>IFERROR(__xludf.DUMMYFUNCTION("""COMPUTED_VALUE"""),"LM Hub_SP_Itaqua_Zimba")</f>
        <v>LM Hub_SP_Itaqua_Zimba</v>
      </c>
      <c r="C2256" s="234" t="str">
        <f>IFERROR(__xludf.DUMMYFUNCTION("""COMPUTED_VALUE"""),"HUB-LSP-74")</f>
        <v>HUB-LSP-74</v>
      </c>
      <c r="D2256" s="234">
        <f>IFERROR(__xludf.DUMMYFUNCTION("""COMPUTED_VALUE"""),22.0)</f>
        <v>22</v>
      </c>
      <c r="E2256" s="237" t="str">
        <f>IFERROR(__xludf.DUMMYFUNCTION("""COMPUTED_VALUE"""),"LT0PCA01TQHS1")</f>
        <v>LT0PCA01TQHS1</v>
      </c>
      <c r="F2256" s="238" t="str">
        <f>IFERROR(__xludf.DUMMYFUNCTION("""COMPUTED_VALUE"""),"EPU6B00,UFF0H10")</f>
        <v>EPU6B00,UFF0H10</v>
      </c>
      <c r="G2256" s="238">
        <f>IFERROR(__xludf.DUMMYFUNCTION("""COMPUTED_VALUE"""),46001.22916666667)</f>
        <v>46001.22917</v>
      </c>
      <c r="H2256" s="238">
        <f>IFERROR(__xludf.DUMMYFUNCTION("""COMPUTED_VALUE"""),46001.3125)</f>
        <v>46001.3125</v>
      </c>
      <c r="I2256" s="237" t="str">
        <f t="shared" si="1"/>
        <v>Fora</v>
      </c>
      <c r="J2256" s="239">
        <v>119.00000000023283</v>
      </c>
    </row>
    <row r="2257">
      <c r="A2257" s="234" t="s">
        <v>126</v>
      </c>
      <c r="B2257" s="234" t="str">
        <f>IFERROR(__xludf.DUMMYFUNCTION("""COMPUTED_VALUE"""),"LM Hub_SP_Itapevi")</f>
        <v>LM Hub_SP_Itapevi</v>
      </c>
      <c r="C2257" s="234" t="str">
        <f>IFERROR(__xludf.DUMMYFUNCTION("""COMPUTED_VALUE"""),"HUB-LSP-41")</f>
        <v>HUB-LSP-41</v>
      </c>
      <c r="D2257" s="234">
        <f>IFERROR(__xludf.DUMMYFUNCTION("""COMPUTED_VALUE"""),25.0)</f>
        <v>25</v>
      </c>
      <c r="E2257" s="237" t="str">
        <f>IFERROR(__xludf.DUMMYFUNCTION("""COMPUTED_VALUE"""),"LT0PCA01TO5A1")</f>
        <v>LT0PCA01TO5A1</v>
      </c>
      <c r="F2257" s="238" t="str">
        <f>IFERROR(__xludf.DUMMYFUNCTION("""COMPUTED_VALUE"""),"EMU5F62,FGK3A38")</f>
        <v>EMU5F62,FGK3A38</v>
      </c>
      <c r="G2257" s="238">
        <f>IFERROR(__xludf.DUMMYFUNCTION("""COMPUTED_VALUE"""),46001.22986111111)</f>
        <v>46001.22986</v>
      </c>
      <c r="H2257" s="238">
        <f>IFERROR(__xludf.DUMMYFUNCTION("""COMPUTED_VALUE"""),46001.3125)</f>
        <v>46001.3125</v>
      </c>
      <c r="I2257" s="237" t="str">
        <f t="shared" si="1"/>
        <v>Fora</v>
      </c>
      <c r="J2257" s="239">
        <v>479.9999999930151</v>
      </c>
    </row>
    <row r="2258">
      <c r="A2258" s="234" t="s">
        <v>127</v>
      </c>
      <c r="B2258" s="234" t="str">
        <f>IFERROR(__xludf.DUMMYFUNCTION("""COMPUTED_VALUE"""),"SoC_BA_Simoes Filho")</f>
        <v>SoC_BA_Simoes Filho</v>
      </c>
      <c r="C2258" s="234" t="str">
        <f>IFERROR(__xludf.DUMMYFUNCTION("""COMPUTED_VALUE"""),"SOC-BA2")</f>
        <v>SOC-BA2</v>
      </c>
      <c r="D2258" s="234">
        <f>IFERROR(__xludf.DUMMYFUNCTION("""COMPUTED_VALUE"""),88.0)</f>
        <v>88</v>
      </c>
      <c r="E2258" s="237" t="str">
        <f>IFERROR(__xludf.DUMMYFUNCTION("""COMPUTED_VALUE"""),"LT1PCA01U39U1")</f>
        <v>LT1PCA01U39U1</v>
      </c>
      <c r="F2258" s="238" t="str">
        <f>IFERROR(__xludf.DUMMYFUNCTION("""COMPUTED_VALUE"""),"NYT5B08,FJP6J77")</f>
        <v>NYT5B08,FJP6J77</v>
      </c>
      <c r="G2258" s="238">
        <f>IFERROR(__xludf.DUMMYFUNCTION("""COMPUTED_VALUE"""),46001.0)</f>
        <v>46001</v>
      </c>
      <c r="H2258" s="238">
        <f>IFERROR(__xludf.DUMMYFUNCTION("""COMPUTED_VALUE"""),46001.33333333333)</f>
        <v>46001.33333</v>
      </c>
      <c r="I2258" s="237" t="str">
        <f t="shared" si="1"/>
        <v>Fora</v>
      </c>
      <c r="J2258" s="239">
        <v>480.00000001396984</v>
      </c>
    </row>
    <row r="2259">
      <c r="A2259" s="234" t="s">
        <v>3894</v>
      </c>
      <c r="B2259" s="234" t="str">
        <f>IFERROR(__xludf.DUMMYFUNCTION("""COMPUTED_VALUE"""),"SoC_GO_Goiânia_02")</f>
        <v>SoC_GO_Goiânia_02</v>
      </c>
      <c r="C2259" s="234" t="str">
        <f>IFERROR(__xludf.DUMMYFUNCTION("""COMPUTED_VALUE"""),"SOC-GO2")</f>
        <v>SOC-GO2</v>
      </c>
      <c r="D2259" s="234"/>
      <c r="E2259" s="237" t="str">
        <f>IFERROR(__xludf.DUMMYFUNCTION("""COMPUTED_VALUE"""),"LT1PCA01U39X1")</f>
        <v>LT1PCA01U39X1</v>
      </c>
      <c r="F2259" s="238" t="str">
        <f>IFERROR(__xludf.DUMMYFUNCTION("""COMPUTED_VALUE"""),"GBN2F48,BFZ8I24")</f>
        <v>GBN2F48,BFZ8I24</v>
      </c>
      <c r="G2259" s="238">
        <f>IFERROR(__xludf.DUMMYFUNCTION("""COMPUTED_VALUE"""),46001.08333333333)</f>
        <v>46001.08333</v>
      </c>
      <c r="H2259" s="238">
        <f>IFERROR(__xludf.DUMMYFUNCTION("""COMPUTED_VALUE"""),46001.41666666667)</f>
        <v>46001.41667</v>
      </c>
      <c r="I2259" s="237" t="str">
        <f t="shared" si="1"/>
        <v>Fora</v>
      </c>
      <c r="J2259" s="239">
        <v>479.9999999930151</v>
      </c>
    </row>
    <row r="2260">
      <c r="A2260" s="234" t="s">
        <v>3895</v>
      </c>
      <c r="B2260" s="234" t="str">
        <f>IFERROR(__xludf.DUMMYFUNCTION("""COMPUTED_VALUE"""),"SoC_BA_Simoes Filho")</f>
        <v>SoC_BA_Simoes Filho</v>
      </c>
      <c r="C2260" s="234" t="str">
        <f>IFERROR(__xludf.DUMMYFUNCTION("""COMPUTED_VALUE"""),"SOC-BA2")</f>
        <v>SOC-BA2</v>
      </c>
      <c r="D2260" s="234"/>
      <c r="E2260" s="237" t="str">
        <f>IFERROR(__xludf.DUMMYFUNCTION("""COMPUTED_VALUE"""),"LT1PCA01U39V1")</f>
        <v>LT1PCA01U39V1</v>
      </c>
      <c r="F2260" s="238" t="str">
        <f>IFERROR(__xludf.DUMMYFUNCTION("""COMPUTED_VALUE"""),"RHJ0E50,SXH1B30")</f>
        <v>RHJ0E50,SXH1B30</v>
      </c>
      <c r="G2260" s="238">
        <f>IFERROR(__xludf.DUMMYFUNCTION("""COMPUTED_VALUE"""),46001.125)</f>
        <v>46001.125</v>
      </c>
      <c r="H2260" s="238">
        <f>IFERROR(__xludf.DUMMYFUNCTION("""COMPUTED_VALUE"""),46001.45833333333)</f>
        <v>46001.45833</v>
      </c>
      <c r="I2260" s="237" t="str">
        <f t="shared" si="1"/>
        <v>Fora</v>
      </c>
      <c r="J2260" s="239">
        <v>419.99999998603016</v>
      </c>
    </row>
    <row r="2261">
      <c r="A2261" s="234" t="s">
        <v>3896</v>
      </c>
      <c r="B2261" s="234" t="str">
        <f>IFERROR(__xludf.DUMMYFUNCTION("""COMPUTED_VALUE"""),"SoC_SP_Cravinhos")</f>
        <v>SoC_SP_Cravinhos</v>
      </c>
      <c r="C2261" s="234" t="str">
        <f>IFERROR(__xludf.DUMMYFUNCTION("""COMPUTED_VALUE"""),"SOC-SP5")</f>
        <v>SOC-SP5</v>
      </c>
      <c r="D2261" s="234"/>
      <c r="E2261" s="237" t="str">
        <f>IFERROR(__xludf.DUMMYFUNCTION("""COMPUTED_VALUE"""),"LT1PCA01U39L1")</f>
        <v>LT1PCA01U39L1</v>
      </c>
      <c r="F2261" s="238" t="str">
        <f>IFERROR(__xludf.DUMMYFUNCTION("""COMPUTED_VALUE"""),"STF9G23,DAE3D51,DAE2I71")</f>
        <v>STF9G23,DAE3D51,DAE2I71</v>
      </c>
      <c r="G2261" s="238">
        <f>IFERROR(__xludf.DUMMYFUNCTION("""COMPUTED_VALUE"""),46001.16666666667)</f>
        <v>46001.16667</v>
      </c>
      <c r="H2261" s="238">
        <f>IFERROR(__xludf.DUMMYFUNCTION("""COMPUTED_VALUE"""),46001.45833333333)</f>
        <v>46001.45833</v>
      </c>
      <c r="I2261" s="237" t="str">
        <f t="shared" si="1"/>
        <v>Fora</v>
      </c>
      <c r="J2261" s="239">
        <v>119.99999999301508</v>
      </c>
    </row>
    <row r="2262">
      <c r="A2262" s="234" t="s">
        <v>3897</v>
      </c>
      <c r="B2262" s="234" t="str">
        <f>IFERROR(__xludf.DUMMYFUNCTION("""COMPUTED_VALUE"""),"SoC_RS_Gravataí_02")</f>
        <v>SoC_RS_Gravataí_02</v>
      </c>
      <c r="C2262" s="234" t="str">
        <f>IFERROR(__xludf.DUMMYFUNCTION("""COMPUTED_VALUE"""),"SOC-RS2")</f>
        <v>SOC-RS2</v>
      </c>
      <c r="D2262" s="234"/>
      <c r="E2262" s="237" t="str">
        <f>IFERROR(__xludf.DUMMYFUNCTION("""COMPUTED_VALUE"""),"LT0PCA01TW0N1")</f>
        <v>LT0PCA01TW0N1</v>
      </c>
      <c r="F2262" s="238" t="str">
        <f>IFERROR(__xludf.DUMMYFUNCTION("""COMPUTED_VALUE"""),"FZR1E14,CUA9E36")</f>
        <v>FZR1E14,CUA9E36</v>
      </c>
      <c r="G2262" s="238">
        <f>IFERROR(__xludf.DUMMYFUNCTION("""COMPUTED_VALUE"""),46001.41666666667)</f>
        <v>46001.41667</v>
      </c>
      <c r="H2262" s="238">
        <f>IFERROR(__xludf.DUMMYFUNCTION("""COMPUTED_VALUE"""),46001.5)</f>
        <v>46001.5</v>
      </c>
      <c r="I2262" s="237" t="str">
        <f t="shared" si="1"/>
        <v>Fora</v>
      </c>
      <c r="J2262" s="239" t="e">
        <v>#VALUE!</v>
      </c>
    </row>
    <row r="2263">
      <c r="A2263" s="234" t="s">
        <v>3898</v>
      </c>
      <c r="B2263" s="234" t="str">
        <f>IFERROR(__xludf.DUMMYFUNCTION("""COMPUTED_VALUE"""),"Fanout Desconhecido")</f>
        <v>Fanout Desconhecido</v>
      </c>
      <c r="C2263" s="234" t="str">
        <f>IFERROR(__xludf.DUMMYFUNCTION("""COMPUTED_VALUE"""),"-")</f>
        <v>-</v>
      </c>
      <c r="D2263" s="234">
        <f>IFERROR(__xludf.DUMMYFUNCTION("""COMPUTED_VALUE"""),96.0)</f>
        <v>96</v>
      </c>
      <c r="E2263" s="237" t="str">
        <f>IFERROR(__xludf.DUMMYFUNCTION("""COMPUTED_VALUE"""),"LT1PC901U2QM1")</f>
        <v>LT1PC901U2QM1</v>
      </c>
      <c r="F2263" s="238" t="str">
        <f>IFERROR(__xludf.DUMMYFUNCTION("""COMPUTED_VALUE"""),"-")</f>
        <v>-</v>
      </c>
      <c r="G2263" s="238" t="str">
        <f>IFERROR(__xludf.DUMMYFUNCTION("""COMPUTED_VALUE"""),"-")</f>
        <v>-</v>
      </c>
      <c r="H2263" s="238" t="str">
        <f>IFERROR(__xludf.DUMMYFUNCTION("""COMPUTED_VALUE"""),"-")</f>
        <v>-</v>
      </c>
      <c r="I2263" s="237" t="str">
        <f t="shared" si="1"/>
        <v>Dentro</v>
      </c>
      <c r="J2263" s="239" t="e">
        <v>#VALUE!</v>
      </c>
    </row>
    <row r="2264">
      <c r="A2264" s="234" t="s">
        <v>3899</v>
      </c>
      <c r="B2264" s="234" t="str">
        <f>IFERROR(__xludf.DUMMYFUNCTION("""COMPUTED_VALUE"""),"Fanout Desconhecido")</f>
        <v>Fanout Desconhecido</v>
      </c>
      <c r="C2264" s="234" t="str">
        <f>IFERROR(__xludf.DUMMYFUNCTION("""COMPUTED_VALUE"""),"-")</f>
        <v>-</v>
      </c>
      <c r="D2264" s="234">
        <f>IFERROR(__xludf.DUMMYFUNCTION("""COMPUTED_VALUE"""),17.0)</f>
        <v>17</v>
      </c>
      <c r="E2264" s="237" t="str">
        <f>IFERROR(__xludf.DUMMYFUNCTION("""COMPUTED_VALUE"""),"LT0PC901TPGA1")</f>
        <v>LT0PC901TPGA1</v>
      </c>
      <c r="F2264" s="238" t="str">
        <f>IFERROR(__xludf.DUMMYFUNCTION("""COMPUTED_VALUE"""),"-")</f>
        <v>-</v>
      </c>
      <c r="G2264" s="238" t="str">
        <f>IFERROR(__xludf.DUMMYFUNCTION("""COMPUTED_VALUE"""),"-")</f>
        <v>-</v>
      </c>
      <c r="H2264" s="238" t="str">
        <f>IFERROR(__xludf.DUMMYFUNCTION("""COMPUTED_VALUE"""),"-")</f>
        <v>-</v>
      </c>
      <c r="I2264" s="237" t="str">
        <f t="shared" si="1"/>
        <v>Dentro</v>
      </c>
      <c r="J2264" s="239" t="e">
        <v>#VALUE!</v>
      </c>
    </row>
    <row r="2265">
      <c r="A2265" s="234" t="s">
        <v>3900</v>
      </c>
      <c r="B2265" s="234" t="str">
        <f>IFERROR(__xludf.DUMMYFUNCTION("""COMPUTED_VALUE"""),"Fanout Desconhecido")</f>
        <v>Fanout Desconhecido</v>
      </c>
      <c r="C2265" s="234" t="str">
        <f>IFERROR(__xludf.DUMMYFUNCTION("""COMPUTED_VALUE"""),"-")</f>
        <v>-</v>
      </c>
      <c r="D2265" s="234">
        <f>IFERROR(__xludf.DUMMYFUNCTION("""COMPUTED_VALUE"""),13.0)</f>
        <v>13</v>
      </c>
      <c r="E2265" s="237" t="str">
        <f>IFERROR(__xludf.DUMMYFUNCTION("""COMPUTED_VALUE"""),"LT0PC901TTXE1")</f>
        <v>LT0PC901TTXE1</v>
      </c>
      <c r="F2265" s="238" t="str">
        <f>IFERROR(__xludf.DUMMYFUNCTION("""COMPUTED_VALUE"""),"-")</f>
        <v>-</v>
      </c>
      <c r="G2265" s="238" t="str">
        <f>IFERROR(__xludf.DUMMYFUNCTION("""COMPUTED_VALUE"""),"-")</f>
        <v>-</v>
      </c>
      <c r="H2265" s="238" t="str">
        <f>IFERROR(__xludf.DUMMYFUNCTION("""COMPUTED_VALUE"""),"-")</f>
        <v>-</v>
      </c>
      <c r="I2265" s="237" t="str">
        <f t="shared" si="1"/>
        <v>Dentro</v>
      </c>
      <c r="J2265" s="239" t="e">
        <v>#VALUE!</v>
      </c>
    </row>
    <row r="2266">
      <c r="A2266" s="234" t="s">
        <v>3901</v>
      </c>
      <c r="B2266" s="234" t="str">
        <f>IFERROR(__xludf.DUMMYFUNCTION("""COMPUTED_VALUE"""),"Fanout Desconhecido")</f>
        <v>Fanout Desconhecido</v>
      </c>
      <c r="C2266" s="234" t="str">
        <f>IFERROR(__xludf.DUMMYFUNCTION("""COMPUTED_VALUE"""),"-")</f>
        <v>-</v>
      </c>
      <c r="D2266" s="234">
        <f>IFERROR(__xludf.DUMMYFUNCTION("""COMPUTED_VALUE"""),19.0)</f>
        <v>19</v>
      </c>
      <c r="E2266" s="237" t="str">
        <f>IFERROR(__xludf.DUMMYFUNCTION("""COMPUTED_VALUE"""),"LT0PC901TOES1")</f>
        <v>LT0PC901TOES1</v>
      </c>
      <c r="F2266" s="238" t="str">
        <f>IFERROR(__xludf.DUMMYFUNCTION("""COMPUTED_VALUE"""),"-")</f>
        <v>-</v>
      </c>
      <c r="G2266" s="238" t="str">
        <f>IFERROR(__xludf.DUMMYFUNCTION("""COMPUTED_VALUE"""),"-")</f>
        <v>-</v>
      </c>
      <c r="H2266" s="238" t="str">
        <f>IFERROR(__xludf.DUMMYFUNCTION("""COMPUTED_VALUE"""),"-")</f>
        <v>-</v>
      </c>
      <c r="I2266" s="237" t="str">
        <f t="shared" si="1"/>
        <v>Dentro</v>
      </c>
      <c r="J2266" s="239" t="e">
        <v>#VALUE!</v>
      </c>
    </row>
    <row r="2267">
      <c r="A2267" s="234" t="s">
        <v>3902</v>
      </c>
      <c r="B2267" s="234" t="str">
        <f>IFERROR(__xludf.DUMMYFUNCTION("""COMPUTED_VALUE"""),"Fanout Desconhecido")</f>
        <v>Fanout Desconhecido</v>
      </c>
      <c r="C2267" s="234" t="str">
        <f>IFERROR(__xludf.DUMMYFUNCTION("""COMPUTED_VALUE"""),"-")</f>
        <v>-</v>
      </c>
      <c r="D2267" s="234">
        <f>IFERROR(__xludf.DUMMYFUNCTION("""COMPUTED_VALUE"""),15.0)</f>
        <v>15</v>
      </c>
      <c r="E2267" s="237" t="str">
        <f>IFERROR(__xludf.DUMMYFUNCTION("""COMPUTED_VALUE"""),"LT0PC901TOAS1")</f>
        <v>LT0PC901TOAS1</v>
      </c>
      <c r="F2267" s="238" t="str">
        <f>IFERROR(__xludf.DUMMYFUNCTION("""COMPUTED_VALUE"""),"-")</f>
        <v>-</v>
      </c>
      <c r="G2267" s="238" t="str">
        <f>IFERROR(__xludf.DUMMYFUNCTION("""COMPUTED_VALUE"""),"-")</f>
        <v>-</v>
      </c>
      <c r="H2267" s="238" t="str">
        <f>IFERROR(__xludf.DUMMYFUNCTION("""COMPUTED_VALUE"""),"-")</f>
        <v>-</v>
      </c>
      <c r="I2267" s="237" t="str">
        <f t="shared" si="1"/>
        <v>Dentro</v>
      </c>
      <c r="J2267" s="239" t="e">
        <v>#VALUE!</v>
      </c>
    </row>
    <row r="2268">
      <c r="A2268" s="234" t="s">
        <v>3903</v>
      </c>
      <c r="B2268" s="234" t="str">
        <f>IFERROR(__xludf.DUMMYFUNCTION("""COMPUTED_VALUE"""),"Fanout Desconhecido")</f>
        <v>Fanout Desconhecido</v>
      </c>
      <c r="C2268" s="234" t="str">
        <f>IFERROR(__xludf.DUMMYFUNCTION("""COMPUTED_VALUE"""),"-")</f>
        <v>-</v>
      </c>
      <c r="D2268" s="234">
        <f>IFERROR(__xludf.DUMMYFUNCTION("""COMPUTED_VALUE"""),33.0)</f>
        <v>33</v>
      </c>
      <c r="E2268" s="237" t="str">
        <f>IFERROR(__xludf.DUMMYFUNCTION("""COMPUTED_VALUE"""),"LT0PC901TQ4M1")</f>
        <v>LT0PC901TQ4M1</v>
      </c>
      <c r="F2268" s="238" t="str">
        <f>IFERROR(__xludf.DUMMYFUNCTION("""COMPUTED_VALUE"""),"-")</f>
        <v>-</v>
      </c>
      <c r="G2268" s="238" t="str">
        <f>IFERROR(__xludf.DUMMYFUNCTION("""COMPUTED_VALUE"""),"-")</f>
        <v>-</v>
      </c>
      <c r="H2268" s="238" t="str">
        <f>IFERROR(__xludf.DUMMYFUNCTION("""COMPUTED_VALUE"""),"-")</f>
        <v>-</v>
      </c>
      <c r="I2268" s="237" t="str">
        <f t="shared" si="1"/>
        <v>Dentro</v>
      </c>
      <c r="J2268" s="239" t="e">
        <v>#VALUE!</v>
      </c>
    </row>
    <row r="2269">
      <c r="A2269" s="234" t="s">
        <v>3904</v>
      </c>
      <c r="B2269" s="234" t="str">
        <f>IFERROR(__xludf.DUMMYFUNCTION("""COMPUTED_VALUE"""),"Fanout Desconhecido")</f>
        <v>Fanout Desconhecido</v>
      </c>
      <c r="C2269" s="234" t="str">
        <f>IFERROR(__xludf.DUMMYFUNCTION("""COMPUTED_VALUE"""),"-")</f>
        <v>-</v>
      </c>
      <c r="D2269" s="234">
        <f>IFERROR(__xludf.DUMMYFUNCTION("""COMPUTED_VALUE"""),49.0)</f>
        <v>49</v>
      </c>
      <c r="E2269" s="237" t="str">
        <f>IFERROR(__xludf.DUMMYFUNCTION("""COMPUTED_VALUE"""),"LT0PC901TRR71")</f>
        <v>LT0PC901TRR71</v>
      </c>
      <c r="F2269" s="238" t="str">
        <f>IFERROR(__xludf.DUMMYFUNCTION("""COMPUTED_VALUE"""),"-")</f>
        <v>-</v>
      </c>
      <c r="G2269" s="238" t="str">
        <f>IFERROR(__xludf.DUMMYFUNCTION("""COMPUTED_VALUE"""),"-")</f>
        <v>-</v>
      </c>
      <c r="H2269" s="238" t="str">
        <f>IFERROR(__xludf.DUMMYFUNCTION("""COMPUTED_VALUE"""),"-")</f>
        <v>-</v>
      </c>
      <c r="I2269" s="237" t="str">
        <f t="shared" si="1"/>
        <v>Dentro</v>
      </c>
      <c r="J2269" s="239" t="e">
        <v>#VALUE!</v>
      </c>
    </row>
    <row r="2270">
      <c r="A2270" s="234" t="s">
        <v>3905</v>
      </c>
      <c r="B2270" s="234" t="str">
        <f>IFERROR(__xludf.DUMMYFUNCTION("""COMPUTED_VALUE"""),"Fanout Desconhecido")</f>
        <v>Fanout Desconhecido</v>
      </c>
      <c r="C2270" s="234" t="str">
        <f>IFERROR(__xludf.DUMMYFUNCTION("""COMPUTED_VALUE"""),"-")</f>
        <v>-</v>
      </c>
      <c r="D2270" s="234">
        <f>IFERROR(__xludf.DUMMYFUNCTION("""COMPUTED_VALUE"""),96.0)</f>
        <v>96</v>
      </c>
      <c r="E2270" s="237" t="str">
        <f>IFERROR(__xludf.DUMMYFUNCTION("""COMPUTED_VALUE"""),"LT0PC901TRRB3")</f>
        <v>LT0PC901TRRB3</v>
      </c>
      <c r="F2270" s="238" t="str">
        <f>IFERROR(__xludf.DUMMYFUNCTION("""COMPUTED_VALUE"""),"-")</f>
        <v>-</v>
      </c>
      <c r="G2270" s="238" t="str">
        <f>IFERROR(__xludf.DUMMYFUNCTION("""COMPUTED_VALUE"""),"-")</f>
        <v>-</v>
      </c>
      <c r="H2270" s="238" t="str">
        <f>IFERROR(__xludf.DUMMYFUNCTION("""COMPUTED_VALUE"""),"-")</f>
        <v>-</v>
      </c>
      <c r="I2270" s="237" t="str">
        <f t="shared" si="1"/>
        <v>Dentro</v>
      </c>
      <c r="J2270" s="239" t="e">
        <v>#VALUE!</v>
      </c>
    </row>
    <row r="2271">
      <c r="A2271" s="234" t="s">
        <v>3904</v>
      </c>
      <c r="B2271" s="234" t="str">
        <f>IFERROR(__xludf.DUMMYFUNCTION("""COMPUTED_VALUE"""),"Fanout Desconhecido")</f>
        <v>Fanout Desconhecido</v>
      </c>
      <c r="C2271" s="234" t="str">
        <f>IFERROR(__xludf.DUMMYFUNCTION("""COMPUTED_VALUE"""),"-")</f>
        <v>-</v>
      </c>
      <c r="D2271" s="234">
        <f>IFERROR(__xludf.DUMMYFUNCTION("""COMPUTED_VALUE"""),49.0)</f>
        <v>49</v>
      </c>
      <c r="E2271" s="237" t="str">
        <f>IFERROR(__xludf.DUMMYFUNCTION("""COMPUTED_VALUE"""),"LT0PC901TRR71")</f>
        <v>LT0PC901TRR71</v>
      </c>
      <c r="F2271" s="238" t="str">
        <f>IFERROR(__xludf.DUMMYFUNCTION("""COMPUTED_VALUE"""),"-")</f>
        <v>-</v>
      </c>
      <c r="G2271" s="238" t="str">
        <f>IFERROR(__xludf.DUMMYFUNCTION("""COMPUTED_VALUE"""),"-")</f>
        <v>-</v>
      </c>
      <c r="H2271" s="238" t="str">
        <f>IFERROR(__xludf.DUMMYFUNCTION("""COMPUTED_VALUE"""),"-")</f>
        <v>-</v>
      </c>
      <c r="I2271" s="237" t="str">
        <f t="shared" si="1"/>
        <v>Dentro</v>
      </c>
      <c r="J2271" s="239" t="e">
        <v>#VALUE!</v>
      </c>
    </row>
    <row r="2272">
      <c r="A2272" s="234" t="s">
        <v>3906</v>
      </c>
      <c r="B2272" s="234" t="str">
        <f>IFERROR(__xludf.DUMMYFUNCTION("""COMPUTED_VALUE"""),"Fanout Desconhecido")</f>
        <v>Fanout Desconhecido</v>
      </c>
      <c r="C2272" s="234" t="str">
        <f>IFERROR(__xludf.DUMMYFUNCTION("""COMPUTED_VALUE"""),"-")</f>
        <v>-</v>
      </c>
      <c r="D2272" s="234">
        <f>IFERROR(__xludf.DUMMYFUNCTION("""COMPUTED_VALUE"""),14.0)</f>
        <v>14</v>
      </c>
      <c r="E2272" s="237" t="str">
        <f>IFERROR(__xludf.DUMMYFUNCTION("""COMPUTED_VALUE"""),"LT0PC901TO6R1")</f>
        <v>LT0PC901TO6R1</v>
      </c>
      <c r="F2272" s="238" t="str">
        <f>IFERROR(__xludf.DUMMYFUNCTION("""COMPUTED_VALUE"""),"-")</f>
        <v>-</v>
      </c>
      <c r="G2272" s="238" t="str">
        <f>IFERROR(__xludf.DUMMYFUNCTION("""COMPUTED_VALUE"""),"-")</f>
        <v>-</v>
      </c>
      <c r="H2272" s="238" t="str">
        <f>IFERROR(__xludf.DUMMYFUNCTION("""COMPUTED_VALUE"""),"-")</f>
        <v>-</v>
      </c>
      <c r="I2272" s="237" t="str">
        <f t="shared" si="1"/>
        <v>Dentro</v>
      </c>
      <c r="J2272" s="239" t="e">
        <v>#VALUE!</v>
      </c>
    </row>
    <row r="2273">
      <c r="A2273" s="234" t="s">
        <v>3907</v>
      </c>
      <c r="B2273" s="234" t="str">
        <f>IFERROR(__xludf.DUMMYFUNCTION("""COMPUTED_VALUE"""),"Fanout Desconhecido")</f>
        <v>Fanout Desconhecido</v>
      </c>
      <c r="C2273" s="234" t="str">
        <f>IFERROR(__xludf.DUMMYFUNCTION("""COMPUTED_VALUE"""),"-")</f>
        <v>-</v>
      </c>
      <c r="D2273" s="234">
        <f>IFERROR(__xludf.DUMMYFUNCTION("""COMPUTED_VALUE"""),36.0)</f>
        <v>36</v>
      </c>
      <c r="E2273" s="237" t="str">
        <f>IFERROR(__xludf.DUMMYFUNCTION("""COMPUTED_VALUE"""),"LT0PC901TSLU1")</f>
        <v>LT0PC901TSLU1</v>
      </c>
      <c r="F2273" s="238" t="str">
        <f>IFERROR(__xludf.DUMMYFUNCTION("""COMPUTED_VALUE"""),"-")</f>
        <v>-</v>
      </c>
      <c r="G2273" s="238" t="str">
        <f>IFERROR(__xludf.DUMMYFUNCTION("""COMPUTED_VALUE"""),"-")</f>
        <v>-</v>
      </c>
      <c r="H2273" s="238" t="str">
        <f>IFERROR(__xludf.DUMMYFUNCTION("""COMPUTED_VALUE"""),"-")</f>
        <v>-</v>
      </c>
      <c r="I2273" s="237" t="str">
        <f t="shared" si="1"/>
        <v>Dentro</v>
      </c>
      <c r="J2273" s="239" t="e">
        <v>#VALUE!</v>
      </c>
    </row>
    <row r="2274">
      <c r="A2274" s="234" t="s">
        <v>3908</v>
      </c>
      <c r="B2274" s="234" t="str">
        <f>IFERROR(__xludf.DUMMYFUNCTION("""COMPUTED_VALUE"""),"Fanout Desconhecido")</f>
        <v>Fanout Desconhecido</v>
      </c>
      <c r="C2274" s="234" t="str">
        <f>IFERROR(__xludf.DUMMYFUNCTION("""COMPUTED_VALUE"""),"-")</f>
        <v>-</v>
      </c>
      <c r="D2274" s="234"/>
      <c r="E2274" s="237" t="str">
        <f>IFERROR(__xludf.DUMMYFUNCTION("""COMPUTED_VALUE"""),"LT0PC901TO9T1")</f>
        <v>LT0PC901TO9T1</v>
      </c>
      <c r="F2274" s="234" t="str">
        <f>IFERROR(__xludf.DUMMYFUNCTION("""COMPUTED_VALUE"""),"DISPATCH")</f>
        <v>DISPATCH</v>
      </c>
      <c r="G2274" s="238" t="str">
        <f>IFERROR(__xludf.DUMMYFUNCTION("""COMPUTED_VALUE"""),"-")</f>
        <v>-</v>
      </c>
      <c r="H2274" s="238" t="str">
        <f>IFERROR(__xludf.DUMMYFUNCTION("""COMPUTED_VALUE"""),"-")</f>
        <v>-</v>
      </c>
      <c r="I2274" s="237" t="str">
        <f t="shared" si="1"/>
        <v>Dentro</v>
      </c>
      <c r="J2274" s="239" t="e">
        <v>#VALUE!</v>
      </c>
    </row>
    <row r="2275">
      <c r="A2275" s="234" t="s">
        <v>3909</v>
      </c>
      <c r="B2275" s="234" t="str">
        <f>IFERROR(__xludf.DUMMYFUNCTION("""COMPUTED_VALUE"""),"Fanout Desconhecido")</f>
        <v>Fanout Desconhecido</v>
      </c>
      <c r="C2275" s="234" t="str">
        <f>IFERROR(__xludf.DUMMYFUNCTION("""COMPUTED_VALUE"""),"-")</f>
        <v>-</v>
      </c>
      <c r="D2275" s="234">
        <f>IFERROR(__xludf.DUMMYFUNCTION("""COMPUTED_VALUE"""),37.0)</f>
        <v>37</v>
      </c>
      <c r="E2275" s="237" t="str">
        <f>IFERROR(__xludf.DUMMYFUNCTION("""COMPUTED_VALUE"""),"LT0PC901TOCK1")</f>
        <v>LT0PC901TOCK1</v>
      </c>
      <c r="F2275" s="238" t="str">
        <f>IFERROR(__xludf.DUMMYFUNCTION("""COMPUTED_VALUE"""),"-")</f>
        <v>-</v>
      </c>
      <c r="G2275" s="238" t="str">
        <f>IFERROR(__xludf.DUMMYFUNCTION("""COMPUTED_VALUE"""),"-")</f>
        <v>-</v>
      </c>
      <c r="H2275" s="238" t="str">
        <f>IFERROR(__xludf.DUMMYFUNCTION("""COMPUTED_VALUE"""),"-")</f>
        <v>-</v>
      </c>
      <c r="I2275" s="237" t="str">
        <f t="shared" si="1"/>
        <v>Dentro</v>
      </c>
      <c r="J2275" s="239" t="e">
        <v>#VALUE!</v>
      </c>
    </row>
    <row r="2276">
      <c r="A2276" s="234" t="s">
        <v>3910</v>
      </c>
      <c r="B2276" s="234" t="str">
        <f>IFERROR(__xludf.DUMMYFUNCTION("""COMPUTED_VALUE"""),"Fanout Desconhecido")</f>
        <v>Fanout Desconhecido</v>
      </c>
      <c r="C2276" s="234" t="str">
        <f>IFERROR(__xludf.DUMMYFUNCTION("""COMPUTED_VALUE"""),"-")</f>
        <v>-</v>
      </c>
      <c r="D2276" s="234">
        <f>IFERROR(__xludf.DUMMYFUNCTION("""COMPUTED_VALUE"""),23.0)</f>
        <v>23</v>
      </c>
      <c r="E2276" s="237" t="str">
        <f>IFERROR(__xludf.DUMMYFUNCTION("""COMPUTED_VALUE"""),"LT0PC901TOC11")</f>
        <v>LT0PC901TOC11</v>
      </c>
      <c r="F2276" s="238" t="str">
        <f>IFERROR(__xludf.DUMMYFUNCTION("""COMPUTED_VALUE"""),"-")</f>
        <v>-</v>
      </c>
      <c r="G2276" s="238" t="str">
        <f>IFERROR(__xludf.DUMMYFUNCTION("""COMPUTED_VALUE"""),"-")</f>
        <v>-</v>
      </c>
      <c r="H2276" s="238" t="str">
        <f>IFERROR(__xludf.DUMMYFUNCTION("""COMPUTED_VALUE"""),"-")</f>
        <v>-</v>
      </c>
      <c r="I2276" s="237" t="str">
        <f t="shared" si="1"/>
        <v>Dentro</v>
      </c>
      <c r="J2276" s="239" t="e">
        <v>#VALUE!</v>
      </c>
    </row>
    <row r="2277">
      <c r="A2277" s="234" t="s">
        <v>3911</v>
      </c>
      <c r="B2277" s="234" t="str">
        <f>IFERROR(__xludf.DUMMYFUNCTION("""COMPUTED_VALUE"""),"Fanout Desconhecido")</f>
        <v>Fanout Desconhecido</v>
      </c>
      <c r="C2277" s="234" t="str">
        <f>IFERROR(__xludf.DUMMYFUNCTION("""COMPUTED_VALUE"""),"-")</f>
        <v>-</v>
      </c>
      <c r="D2277" s="234">
        <f>IFERROR(__xludf.DUMMYFUNCTION("""COMPUTED_VALUE"""),44.0)</f>
        <v>44</v>
      </c>
      <c r="E2277" s="237" t="str">
        <f>IFERROR(__xludf.DUMMYFUNCTION("""COMPUTED_VALUE"""),"LT0PC901TO3X1")</f>
        <v>LT0PC901TO3X1</v>
      </c>
      <c r="F2277" s="238" t="str">
        <f>IFERROR(__xludf.DUMMYFUNCTION("""COMPUTED_VALUE"""),"-")</f>
        <v>-</v>
      </c>
      <c r="G2277" s="238" t="str">
        <f>IFERROR(__xludf.DUMMYFUNCTION("""COMPUTED_VALUE"""),"-")</f>
        <v>-</v>
      </c>
      <c r="H2277" s="238" t="str">
        <f>IFERROR(__xludf.DUMMYFUNCTION("""COMPUTED_VALUE"""),"-")</f>
        <v>-</v>
      </c>
      <c r="I2277" s="237" t="str">
        <f t="shared" si="1"/>
        <v>Dentro</v>
      </c>
      <c r="J2277" s="239" t="e">
        <v>#VALUE!</v>
      </c>
    </row>
    <row r="2278">
      <c r="A2278" s="234" t="s">
        <v>3912</v>
      </c>
      <c r="B2278" s="234" t="str">
        <f>IFERROR(__xludf.DUMMYFUNCTION("""COMPUTED_VALUE"""),"Fanout Desconhecido")</f>
        <v>Fanout Desconhecido</v>
      </c>
      <c r="C2278" s="234" t="str">
        <f>IFERROR(__xludf.DUMMYFUNCTION("""COMPUTED_VALUE"""),"-")</f>
        <v>-</v>
      </c>
      <c r="D2278" s="234">
        <f>IFERROR(__xludf.DUMMYFUNCTION("""COMPUTED_VALUE"""),6.0)</f>
        <v>6</v>
      </c>
      <c r="E2278" s="237" t="str">
        <f>IFERROR(__xludf.DUMMYFUNCTION("""COMPUTED_VALUE"""),"LT0PC901TO8F1")</f>
        <v>LT0PC901TO8F1</v>
      </c>
      <c r="F2278" s="238" t="str">
        <f>IFERROR(__xludf.DUMMYFUNCTION("""COMPUTED_VALUE"""),"-")</f>
        <v>-</v>
      </c>
      <c r="G2278" s="238" t="str">
        <f>IFERROR(__xludf.DUMMYFUNCTION("""COMPUTED_VALUE"""),"-")</f>
        <v>-</v>
      </c>
      <c r="H2278" s="238" t="str">
        <f>IFERROR(__xludf.DUMMYFUNCTION("""COMPUTED_VALUE"""),"-")</f>
        <v>-</v>
      </c>
      <c r="I2278" s="237" t="str">
        <f t="shared" si="1"/>
        <v>Dentro</v>
      </c>
      <c r="J2278" s="239" t="e">
        <v>#VALUE!</v>
      </c>
    </row>
    <row r="2279">
      <c r="A2279" s="234" t="s">
        <v>3913</v>
      </c>
      <c r="B2279" s="234" t="str">
        <f>IFERROR(__xludf.DUMMYFUNCTION("""COMPUTED_VALUE"""),"Fanout Desconhecido")</f>
        <v>Fanout Desconhecido</v>
      </c>
      <c r="C2279" s="234" t="str">
        <f>IFERROR(__xludf.DUMMYFUNCTION("""COMPUTED_VALUE"""),"-")</f>
        <v>-</v>
      </c>
      <c r="D2279" s="234">
        <f>IFERROR(__xludf.DUMMYFUNCTION("""COMPUTED_VALUE"""),8.0)</f>
        <v>8</v>
      </c>
      <c r="E2279" s="237" t="str">
        <f>IFERROR(__xludf.DUMMYFUNCTION("""COMPUTED_VALUE"""),"LT0PCA01TO2E1")</f>
        <v>LT0PCA01TO2E1</v>
      </c>
      <c r="F2279" s="238" t="str">
        <f>IFERROR(__xludf.DUMMYFUNCTION("""COMPUTED_VALUE"""),"-")</f>
        <v>-</v>
      </c>
      <c r="G2279" s="238" t="str">
        <f>IFERROR(__xludf.DUMMYFUNCTION("""COMPUTED_VALUE"""),"-")</f>
        <v>-</v>
      </c>
      <c r="H2279" s="238" t="str">
        <f>IFERROR(__xludf.DUMMYFUNCTION("""COMPUTED_VALUE"""),"-")</f>
        <v>-</v>
      </c>
      <c r="I2279" s="237" t="str">
        <f t="shared" si="1"/>
        <v>Dentro</v>
      </c>
      <c r="J2279" s="239" t="e">
        <v>#VALUE!</v>
      </c>
    </row>
    <row r="2280">
      <c r="A2280" s="234" t="s">
        <v>3914</v>
      </c>
      <c r="B2280" s="234" t="str">
        <f>IFERROR(__xludf.DUMMYFUNCTION("""COMPUTED_VALUE"""),"Fanout Desconhecido")</f>
        <v>Fanout Desconhecido</v>
      </c>
      <c r="C2280" s="234" t="str">
        <f>IFERROR(__xludf.DUMMYFUNCTION("""COMPUTED_VALUE"""),"-")</f>
        <v>-</v>
      </c>
      <c r="D2280" s="234">
        <f>IFERROR(__xludf.DUMMYFUNCTION("""COMPUTED_VALUE"""),29.0)</f>
        <v>29</v>
      </c>
      <c r="E2280" s="237" t="str">
        <f>IFERROR(__xludf.DUMMYFUNCTION("""COMPUTED_VALUE"""),"LT0PCA01TTXJ1")</f>
        <v>LT0PCA01TTXJ1</v>
      </c>
      <c r="F2280" s="238" t="str">
        <f>IFERROR(__xludf.DUMMYFUNCTION("""COMPUTED_VALUE"""),"-")</f>
        <v>-</v>
      </c>
      <c r="G2280" s="238" t="str">
        <f>IFERROR(__xludf.DUMMYFUNCTION("""COMPUTED_VALUE"""),"-")</f>
        <v>-</v>
      </c>
      <c r="H2280" s="238" t="str">
        <f>IFERROR(__xludf.DUMMYFUNCTION("""COMPUTED_VALUE"""),"-")</f>
        <v>-</v>
      </c>
      <c r="I2280" s="237" t="str">
        <f t="shared" si="1"/>
        <v>Dentro</v>
      </c>
      <c r="J2280" s="239" t="e">
        <v>#VALUE!</v>
      </c>
    </row>
    <row r="2281">
      <c r="A2281" s="234" t="s">
        <v>3915</v>
      </c>
      <c r="B2281" s="234" t="str">
        <f>IFERROR(__xludf.DUMMYFUNCTION("""COMPUTED_VALUE"""),"Fanout Desconhecido")</f>
        <v>Fanout Desconhecido</v>
      </c>
      <c r="C2281" s="234" t="str">
        <f>IFERROR(__xludf.DUMMYFUNCTION("""COMPUTED_VALUE"""),"-")</f>
        <v>-</v>
      </c>
      <c r="D2281" s="234"/>
      <c r="E2281" s="237" t="str">
        <f>IFERROR(__xludf.DUMMYFUNCTION("""COMPUTED_VALUE"""),"LT0PC901TO5U1")</f>
        <v>LT0PC901TO5U1</v>
      </c>
      <c r="F2281" s="234" t="str">
        <f>IFERROR(__xludf.DUMMYFUNCTION("""COMPUTED_VALUE"""),"DISPATCH")</f>
        <v>DISPATCH</v>
      </c>
      <c r="G2281" s="238" t="str">
        <f>IFERROR(__xludf.DUMMYFUNCTION("""COMPUTED_VALUE"""),"-")</f>
        <v>-</v>
      </c>
      <c r="H2281" s="238" t="str">
        <f>IFERROR(__xludf.DUMMYFUNCTION("""COMPUTED_VALUE"""),"-")</f>
        <v>-</v>
      </c>
      <c r="I2281" s="237" t="str">
        <f t="shared" si="1"/>
        <v>Dentro</v>
      </c>
      <c r="J2281" s="239" t="e">
        <v>#VALUE!</v>
      </c>
    </row>
    <row r="2282">
      <c r="A2282" s="234" t="s">
        <v>3916</v>
      </c>
      <c r="B2282" s="234" t="str">
        <f>IFERROR(__xludf.DUMMYFUNCTION("""COMPUTED_VALUE"""),"Fanout Desconhecido")</f>
        <v>Fanout Desconhecido</v>
      </c>
      <c r="C2282" s="234" t="str">
        <f>IFERROR(__xludf.DUMMYFUNCTION("""COMPUTED_VALUE"""),"-")</f>
        <v>-</v>
      </c>
      <c r="D2282" s="234">
        <f>IFERROR(__xludf.DUMMYFUNCTION("""COMPUTED_VALUE"""),45.0)</f>
        <v>45</v>
      </c>
      <c r="E2282" s="237" t="str">
        <f>IFERROR(__xludf.DUMMYFUNCTION("""COMPUTED_VALUE"""),"LT0PC901TO1W2")</f>
        <v>LT0PC901TO1W2</v>
      </c>
      <c r="F2282" s="238" t="str">
        <f>IFERROR(__xludf.DUMMYFUNCTION("""COMPUTED_VALUE"""),"-")</f>
        <v>-</v>
      </c>
      <c r="G2282" s="238" t="str">
        <f>IFERROR(__xludf.DUMMYFUNCTION("""COMPUTED_VALUE"""),"-")</f>
        <v>-</v>
      </c>
      <c r="H2282" s="238" t="str">
        <f>IFERROR(__xludf.DUMMYFUNCTION("""COMPUTED_VALUE"""),"-")</f>
        <v>-</v>
      </c>
      <c r="I2282" s="237" t="str">
        <f t="shared" si="1"/>
        <v>Dentro</v>
      </c>
      <c r="J2282" s="239" t="e">
        <v>#VALUE!</v>
      </c>
    </row>
    <row r="2283">
      <c r="A2283" s="234" t="s">
        <v>3917</v>
      </c>
      <c r="B2283" s="234" t="str">
        <f>IFERROR(__xludf.DUMMYFUNCTION("""COMPUTED_VALUE"""),"Fanout Desconhecido")</f>
        <v>Fanout Desconhecido</v>
      </c>
      <c r="C2283" s="234" t="str">
        <f>IFERROR(__xludf.DUMMYFUNCTION("""COMPUTED_VALUE"""),"-")</f>
        <v>-</v>
      </c>
      <c r="D2283" s="234"/>
      <c r="E2283" s="237" t="str">
        <f>IFERROR(__xludf.DUMMYFUNCTION("""COMPUTED_VALUE"""),"LT1PCA01U3HW1")</f>
        <v>LT1PCA01U3HW1</v>
      </c>
      <c r="F2283" s="238" t="str">
        <f>IFERROR(__xludf.DUMMYFUNCTION("""COMPUTED_VALUE"""),"-")</f>
        <v>-</v>
      </c>
      <c r="G2283" s="238" t="str">
        <f>IFERROR(__xludf.DUMMYFUNCTION("""COMPUTED_VALUE"""),"-")</f>
        <v>-</v>
      </c>
      <c r="H2283" s="238" t="str">
        <f>IFERROR(__xludf.DUMMYFUNCTION("""COMPUTED_VALUE"""),"-")</f>
        <v>-</v>
      </c>
      <c r="I2283" s="237" t="str">
        <f t="shared" si="1"/>
        <v>Dentro</v>
      </c>
      <c r="J2283" s="239" t="e">
        <v>#VALUE!</v>
      </c>
    </row>
    <row r="2284">
      <c r="A2284" s="234" t="s">
        <v>3918</v>
      </c>
      <c r="B2284" s="234" t="str">
        <f>IFERROR(__xludf.DUMMYFUNCTION("""COMPUTED_VALUE"""),"Fanout Desconhecido")</f>
        <v>Fanout Desconhecido</v>
      </c>
      <c r="C2284" s="234" t="str">
        <f>IFERROR(__xludf.DUMMYFUNCTION("""COMPUTED_VALUE"""),"-")</f>
        <v>-</v>
      </c>
      <c r="D2284" s="234">
        <f>IFERROR(__xludf.DUMMYFUNCTION("""COMPUTED_VALUE"""),9.0)</f>
        <v>9</v>
      </c>
      <c r="E2284" s="237" t="str">
        <f>IFERROR(__xludf.DUMMYFUNCTION("""COMPUTED_VALUE"""),"LT0PC901TO1V1")</f>
        <v>LT0PC901TO1V1</v>
      </c>
      <c r="F2284" s="238" t="str">
        <f>IFERROR(__xludf.DUMMYFUNCTION("""COMPUTED_VALUE"""),"-")</f>
        <v>-</v>
      </c>
      <c r="G2284" s="238" t="str">
        <f>IFERROR(__xludf.DUMMYFUNCTION("""COMPUTED_VALUE"""),"-")</f>
        <v>-</v>
      </c>
      <c r="H2284" s="238" t="str">
        <f>IFERROR(__xludf.DUMMYFUNCTION("""COMPUTED_VALUE"""),"-")</f>
        <v>-</v>
      </c>
      <c r="I2284" s="237" t="str">
        <f t="shared" si="1"/>
        <v>Dentro</v>
      </c>
      <c r="J2284" s="239" t="e">
        <v>#VALUE!</v>
      </c>
    </row>
    <row r="2285">
      <c r="A2285" s="234" t="s">
        <v>3919</v>
      </c>
      <c r="B2285" s="234" t="str">
        <f>IFERROR(__xludf.DUMMYFUNCTION("""COMPUTED_VALUE"""),"Fanout Desconhecido")</f>
        <v>Fanout Desconhecido</v>
      </c>
      <c r="C2285" s="234" t="str">
        <f>IFERROR(__xludf.DUMMYFUNCTION("""COMPUTED_VALUE"""),"-")</f>
        <v>-</v>
      </c>
      <c r="D2285" s="234"/>
      <c r="E2285" s="237" t="str">
        <f>IFERROR(__xludf.DUMMYFUNCTION("""COMPUTED_VALUE"""),"LT1PCA01U39K1")</f>
        <v>LT1PCA01U39K1</v>
      </c>
      <c r="F2285" s="238" t="str">
        <f>IFERROR(__xludf.DUMMYFUNCTION("""COMPUTED_VALUE"""),"-")</f>
        <v>-</v>
      </c>
      <c r="G2285" s="238" t="str">
        <f>IFERROR(__xludf.DUMMYFUNCTION("""COMPUTED_VALUE"""),"-")</f>
        <v>-</v>
      </c>
      <c r="H2285" s="238" t="str">
        <f>IFERROR(__xludf.DUMMYFUNCTION("""COMPUTED_VALUE"""),"-")</f>
        <v>-</v>
      </c>
      <c r="I2285" s="237" t="str">
        <f t="shared" si="1"/>
        <v>Dentro</v>
      </c>
      <c r="J2285" s="239" t="e">
        <v>#VALUE!</v>
      </c>
    </row>
    <row r="2286">
      <c r="A2286" s="234" t="s">
        <v>3920</v>
      </c>
      <c r="B2286" s="234" t="str">
        <f>IFERROR(__xludf.DUMMYFUNCTION("""COMPUTED_VALUE"""),"Fanout Desconhecido")</f>
        <v>Fanout Desconhecido</v>
      </c>
      <c r="C2286" s="234" t="str">
        <f>IFERROR(__xludf.DUMMYFUNCTION("""COMPUTED_VALUE"""),"-")</f>
        <v>-</v>
      </c>
      <c r="D2286" s="234"/>
      <c r="E2286" s="237" t="str">
        <f>IFERROR(__xludf.DUMMYFUNCTION("""COMPUTED_VALUE"""),"LT1PC901U2QO1")</f>
        <v>LT1PC901U2QO1</v>
      </c>
      <c r="F2286" s="238" t="str">
        <f>IFERROR(__xludf.DUMMYFUNCTION("""COMPUTED_VALUE"""),"-")</f>
        <v>-</v>
      </c>
      <c r="G2286" s="238" t="str">
        <f>IFERROR(__xludf.DUMMYFUNCTION("""COMPUTED_VALUE"""),"-")</f>
        <v>-</v>
      </c>
      <c r="H2286" s="238" t="str">
        <f>IFERROR(__xludf.DUMMYFUNCTION("""COMPUTED_VALUE"""),"-")</f>
        <v>-</v>
      </c>
      <c r="I2286" s="237" t="str">
        <f t="shared" si="1"/>
        <v>Dentro</v>
      </c>
      <c r="J2286" s="239">
        <v>29.00000000023283</v>
      </c>
    </row>
    <row r="2287">
      <c r="A2287" s="234" t="s">
        <v>3921</v>
      </c>
      <c r="B2287" s="234" t="str">
        <f>IFERROR(__xludf.DUMMYFUNCTION("""COMPUTED_VALUE"""),"LM Hub_SP_Jardim Adriana")</f>
        <v>LM Hub_SP_Jardim Adriana</v>
      </c>
      <c r="C2287" s="234" t="str">
        <f>IFERROR(__xludf.DUMMYFUNCTION("""COMPUTED_VALUE"""),"HUB-LSP-12")</f>
        <v>HUB-LSP-12</v>
      </c>
      <c r="D2287" s="234">
        <f>IFERROR(__xludf.DUMMYFUNCTION("""COMPUTED_VALUE"""),12.0)</f>
        <v>12</v>
      </c>
      <c r="E2287" s="237" t="str">
        <f>IFERROR(__xludf.DUMMYFUNCTION("""COMPUTED_VALUE"""),"LT0PB801QNQS1")</f>
        <v>LT0PB801QNQS1</v>
      </c>
      <c r="F2287" s="234"/>
      <c r="G2287" s="238">
        <f>IFERROR(__xludf.DUMMYFUNCTION("""COMPUTED_VALUE"""),45969.970138888886)</f>
        <v>45969.97014</v>
      </c>
      <c r="H2287" s="238">
        <f>IFERROR(__xludf.DUMMYFUNCTION("""COMPUTED_VALUE"""),45969.990277777775)</f>
        <v>45969.99028</v>
      </c>
      <c r="I2287" s="237" t="str">
        <f t="shared" si="1"/>
        <v>Fora</v>
      </c>
      <c r="J2287" s="239">
        <v>120.00000001396984</v>
      </c>
    </row>
    <row r="2288">
      <c r="A2288" s="234" t="s">
        <v>3922</v>
      </c>
      <c r="B2288" s="234" t="str">
        <f>IFERROR(__xludf.DUMMYFUNCTION("""COMPUTED_VALUE"""),"LM Hub_SP_São Paulo_Mooca")</f>
        <v>LM Hub_SP_São Paulo_Mooca</v>
      </c>
      <c r="C2288" s="234" t="str">
        <f>IFERROR(__xludf.DUMMYFUNCTION("""COMPUTED_VALUE"""),"HUB-LSP-13")</f>
        <v>HUB-LSP-13</v>
      </c>
      <c r="D2288" s="234">
        <f>IFERROR(__xludf.DUMMYFUNCTION("""COMPUTED_VALUE"""),15.0)</f>
        <v>15</v>
      </c>
      <c r="E2288" s="237" t="str">
        <f>IFERROR(__xludf.DUMMYFUNCTION("""COMPUTED_VALUE"""),"LT0PCA01TN8Z1")</f>
        <v>LT0PCA01TN8Z1</v>
      </c>
      <c r="F2288" s="238" t="str">
        <f>IFERROR(__xludf.DUMMYFUNCTION("""COMPUTED_VALUE"""),"PEP9J38")</f>
        <v>PEP9J38</v>
      </c>
      <c r="G2288" s="238">
        <f>IFERROR(__xludf.DUMMYFUNCTION("""COMPUTED_VALUE"""),46001.45833333333)</f>
        <v>46001.45833</v>
      </c>
      <c r="H2288" s="238">
        <f>IFERROR(__xludf.DUMMYFUNCTION("""COMPUTED_VALUE"""),46001.54166666667)</f>
        <v>46001.54167</v>
      </c>
      <c r="I2288" s="237" t="str">
        <f t="shared" si="1"/>
        <v>Fora</v>
      </c>
      <c r="J2288" s="239">
        <v>357.00000001117587</v>
      </c>
    </row>
    <row r="2289">
      <c r="A2289" s="234" t="s">
        <v>3923</v>
      </c>
      <c r="B2289" s="234" t="str">
        <f>IFERROR(__xludf.DUMMYFUNCTION("""COMPUTED_VALUE"""),"SoC_SP_Cravinhos")</f>
        <v>SoC_SP_Cravinhos</v>
      </c>
      <c r="C2289" s="234" t="str">
        <f>IFERROR(__xludf.DUMMYFUNCTION("""COMPUTED_VALUE"""),"SOC-SP5")</f>
        <v>SOC-SP5</v>
      </c>
      <c r="D2289" s="234">
        <f>IFERROR(__xludf.DUMMYFUNCTION("""COMPUTED_VALUE"""),45.0)</f>
        <v>45</v>
      </c>
      <c r="E2289" s="237" t="str">
        <f>IFERROR(__xludf.DUMMYFUNCTION("""COMPUTED_VALUE"""),"LT0PCA01TO102")</f>
        <v>LT0PCA01TO102</v>
      </c>
      <c r="F2289" s="238" t="str">
        <f>IFERROR(__xludf.DUMMYFUNCTION("""COMPUTED_VALUE"""),"FDZ0J80,EFW2E77")</f>
        <v>FDZ0J80,EFW2E77</v>
      </c>
      <c r="G2289" s="238">
        <f>IFERROR(__xludf.DUMMYFUNCTION("""COMPUTED_VALUE"""),46001.41875)</f>
        <v>46001.41875</v>
      </c>
      <c r="H2289" s="238">
        <f>IFERROR(__xludf.DUMMYFUNCTION("""COMPUTED_VALUE"""),46001.66666666667)</f>
        <v>46001.66667</v>
      </c>
      <c r="I2289" s="237" t="str">
        <f t="shared" si="1"/>
        <v>Fora</v>
      </c>
      <c r="J2289" s="239">
        <v>537.9999999934807</v>
      </c>
    </row>
    <row r="2290">
      <c r="A2290" s="234" t="s">
        <v>3924</v>
      </c>
      <c r="B2290" s="234" t="str">
        <f>IFERROR(__xludf.DUMMYFUNCTION("""COMPUTED_VALUE"""),"SoC_GO_Goiânia_02")</f>
        <v>SoC_GO_Goiânia_02</v>
      </c>
      <c r="C2290" s="234" t="str">
        <f>IFERROR(__xludf.DUMMYFUNCTION("""COMPUTED_VALUE"""),"SOC-GO2")</f>
        <v>SOC-GO2</v>
      </c>
      <c r="D2290" s="234"/>
      <c r="E2290" s="237" t="str">
        <f>IFERROR(__xludf.DUMMYFUNCTION("""COMPUTED_VALUE"""),"LT0PCA01TVXY3")</f>
        <v>LT0PCA01TVXY3</v>
      </c>
      <c r="F2290" s="238" t="str">
        <f>IFERROR(__xludf.DUMMYFUNCTION("""COMPUTED_VALUE"""),"NLP2C49,BEF0D55")</f>
        <v>NLP2C49,BEF0D55</v>
      </c>
      <c r="G2290" s="238">
        <f>IFERROR(__xludf.DUMMYFUNCTION("""COMPUTED_VALUE"""),46001.58472222222)</f>
        <v>46001.58472</v>
      </c>
      <c r="H2290" s="238">
        <f>IFERROR(__xludf.DUMMYFUNCTION("""COMPUTED_VALUE"""),46001.95833333333)</f>
        <v>46001.95833</v>
      </c>
      <c r="I2290" s="237" t="str">
        <f t="shared" si="1"/>
        <v>Fora</v>
      </c>
      <c r="J2290" s="239">
        <v>537.9999999934807</v>
      </c>
    </row>
    <row r="2291">
      <c r="A2291" s="234" t="s">
        <v>3925</v>
      </c>
      <c r="B2291" s="234" t="str">
        <f>IFERROR(__xludf.DUMMYFUNCTION("""COMPUTED_VALUE"""),"SoC_SP_Cravinhos")</f>
        <v>SoC_SP_Cravinhos</v>
      </c>
      <c r="C2291" s="234" t="str">
        <f>IFERROR(__xludf.DUMMYFUNCTION("""COMPUTED_VALUE"""),"SOC-SP5")</f>
        <v>SOC-SP5</v>
      </c>
      <c r="D2291" s="234" t="str">
        <f>IFERROR(__xludf.DUMMYFUNCTION("""COMPUTED_VALUE"""),"28/95")</f>
        <v>28/95</v>
      </c>
      <c r="E2291" s="237" t="str">
        <f>IFERROR(__xludf.DUMMYFUNCTION("""COMPUTED_VALUE"""),"LT0PCA01TO1H3")</f>
        <v>LT0PCA01TO1H3</v>
      </c>
      <c r="F2291" s="238" t="str">
        <f>IFERROR(__xludf.DUMMYFUNCTION("""COMPUTED_VALUE"""),"UEZ0G08,FKX7D31")</f>
        <v>UEZ0G08,FKX7D31</v>
      </c>
      <c r="G2291" s="238">
        <f>IFERROR(__xludf.DUMMYFUNCTION("""COMPUTED_VALUE"""),46001.58472222222)</f>
        <v>46001.58472</v>
      </c>
      <c r="H2291" s="238">
        <f>IFERROR(__xludf.DUMMYFUNCTION("""COMPUTED_VALUE"""),46001.95833333333)</f>
        <v>46001.95833</v>
      </c>
      <c r="I2291" s="237" t="str">
        <f t="shared" si="1"/>
        <v>Fora</v>
      </c>
      <c r="J2291" s="239">
        <v>120.00000001396984</v>
      </c>
    </row>
    <row r="2292">
      <c r="A2292" s="234" t="s">
        <v>3926</v>
      </c>
      <c r="B2292" s="234" t="str">
        <f>IFERROR(__xludf.DUMMYFUNCTION("""COMPUTED_VALUE"""),"LM Hub_SP_Santos_Praia Grande")</f>
        <v>LM Hub_SP_Santos_Praia Grande</v>
      </c>
      <c r="C2292" s="234" t="str">
        <f>IFERROR(__xludf.DUMMYFUNCTION("""COMPUTED_VALUE"""),"HUB-LSP-09")</f>
        <v>HUB-LSP-09</v>
      </c>
      <c r="D2292" s="234">
        <f>IFERROR(__xludf.DUMMYFUNCTION("""COMPUTED_VALUE"""),34.0)</f>
        <v>34</v>
      </c>
      <c r="E2292" s="237" t="str">
        <f>IFERROR(__xludf.DUMMYFUNCTION("""COMPUTED_VALUE"""),"LT0PCA01TO9U1")</f>
        <v>LT0PCA01TO9U1</v>
      </c>
      <c r="F2292" s="238" t="str">
        <f>IFERROR(__xludf.DUMMYFUNCTION("""COMPUTED_VALUE"""),"DCN5A45,GAM2E32")</f>
        <v>DCN5A45,GAM2E32</v>
      </c>
      <c r="G2292" s="238">
        <f>IFERROR(__xludf.DUMMYFUNCTION("""COMPUTED_VALUE"""),46001.89583333333)</f>
        <v>46001.89583</v>
      </c>
      <c r="H2292" s="238">
        <f>IFERROR(__xludf.DUMMYFUNCTION("""COMPUTED_VALUE"""),46001.97916666667)</f>
        <v>46001.97917</v>
      </c>
      <c r="I2292" s="237" t="str">
        <f t="shared" si="1"/>
        <v>Fora</v>
      </c>
      <c r="J2292" s="239">
        <v>120.00000001396984</v>
      </c>
    </row>
    <row r="2293">
      <c r="A2293" s="234" t="s">
        <v>3927</v>
      </c>
      <c r="B2293" s="234" t="str">
        <f>IFERROR(__xludf.DUMMYFUNCTION("""COMPUTED_VALUE"""),"LM Hub_SP_São José dos Campos")</f>
        <v>LM Hub_SP_São José dos Campos</v>
      </c>
      <c r="C2293" s="234" t="str">
        <f>IFERROR(__xludf.DUMMYFUNCTION("""COMPUTED_VALUE"""),"HUB-LSP-04")</f>
        <v>HUB-LSP-04</v>
      </c>
      <c r="D2293" s="234">
        <f>IFERROR(__xludf.DUMMYFUNCTION("""COMPUTED_VALUE"""),19.0)</f>
        <v>19</v>
      </c>
      <c r="E2293" s="237" t="str">
        <f>IFERROR(__xludf.DUMMYFUNCTION("""COMPUTED_VALUE"""),"LT0PCA01TOC21")</f>
        <v>LT0PCA01TOC21</v>
      </c>
      <c r="F2293" s="238" t="str">
        <f>IFERROR(__xludf.DUMMYFUNCTION("""COMPUTED_VALUE"""),"JBN3C17")</f>
        <v>JBN3C17</v>
      </c>
      <c r="G2293" s="238">
        <f>IFERROR(__xludf.DUMMYFUNCTION("""COMPUTED_VALUE"""),46001.89583333333)</f>
        <v>46001.89583</v>
      </c>
      <c r="H2293" s="238">
        <f>IFERROR(__xludf.DUMMYFUNCTION("""COMPUTED_VALUE"""),46001.97916666667)</f>
        <v>46001.97917</v>
      </c>
      <c r="I2293" s="237" t="str">
        <f t="shared" si="1"/>
        <v>Fora</v>
      </c>
      <c r="J2293" s="239">
        <v>119.00000001071021</v>
      </c>
    </row>
    <row r="2294">
      <c r="A2294" s="234" t="s">
        <v>3928</v>
      </c>
      <c r="B2294" s="234" t="str">
        <f>IFERROR(__xludf.DUMMYFUNCTION("""COMPUTED_VALUE"""),"LM Hub_SP_Jurubatuba")</f>
        <v>LM Hub_SP_Jurubatuba</v>
      </c>
      <c r="C2294" s="234" t="str">
        <f>IFERROR(__xludf.DUMMYFUNCTION("""COMPUTED_VALUE"""),"HUB-LSP-16")</f>
        <v>HUB-LSP-16</v>
      </c>
      <c r="D2294" s="234">
        <f>IFERROR(__xludf.DUMMYFUNCTION("""COMPUTED_VALUE"""),21.0)</f>
        <v>21</v>
      </c>
      <c r="E2294" s="237" t="str">
        <f>IFERROR(__xludf.DUMMYFUNCTION("""COMPUTED_VALUE"""),"LT0PCA01TN9C1")</f>
        <v>LT0PCA01TN9C1</v>
      </c>
      <c r="F2294" s="238" t="str">
        <f>IFERROR(__xludf.DUMMYFUNCTION("""COMPUTED_VALUE"""),"DTD4722,NCK7E66")</f>
        <v>DTD4722,NCK7E66</v>
      </c>
      <c r="G2294" s="238">
        <f>IFERROR(__xludf.DUMMYFUNCTION("""COMPUTED_VALUE"""),46001.896527777775)</f>
        <v>46001.89653</v>
      </c>
      <c r="H2294" s="238">
        <f>IFERROR(__xludf.DUMMYFUNCTION("""COMPUTED_VALUE"""),46001.97916666667)</f>
        <v>46001.97917</v>
      </c>
      <c r="I2294" s="237" t="str">
        <f t="shared" si="1"/>
        <v>Fora</v>
      </c>
      <c r="J2294" s="239">
        <v>118.99999998975545</v>
      </c>
    </row>
    <row r="2295">
      <c r="A2295" s="234" t="s">
        <v>3929</v>
      </c>
      <c r="B2295" s="234" t="str">
        <f>IFERROR(__xludf.DUMMYFUNCTION("""COMPUTED_VALUE"""),"LM Hub_SP_Guarujá")</f>
        <v>LM Hub_SP_Guarujá</v>
      </c>
      <c r="C2295" s="234" t="str">
        <f>IFERROR(__xludf.DUMMYFUNCTION("""COMPUTED_VALUE"""),"HUB-LSP-06")</f>
        <v>HUB-LSP-06</v>
      </c>
      <c r="D2295" s="234">
        <f>IFERROR(__xludf.DUMMYFUNCTION("""COMPUTED_VALUE"""),7.0)</f>
        <v>7</v>
      </c>
      <c r="E2295" s="237" t="str">
        <f>IFERROR(__xludf.DUMMYFUNCTION("""COMPUTED_VALUE"""),"LT0PCA01TO8G1")</f>
        <v>LT0PCA01TO8G1</v>
      </c>
      <c r="F2295" s="238" t="str">
        <f>IFERROR(__xludf.DUMMYFUNCTION("""COMPUTED_VALUE"""),"SVL5H32")</f>
        <v>SVL5H32</v>
      </c>
      <c r="G2295" s="238">
        <f>IFERROR(__xludf.DUMMYFUNCTION("""COMPUTED_VALUE"""),46001.91666666667)</f>
        <v>46001.91667</v>
      </c>
      <c r="H2295" s="238">
        <f>IFERROR(__xludf.DUMMYFUNCTION("""COMPUTED_VALUE"""),46001.99930555555)</f>
        <v>46001.99931</v>
      </c>
      <c r="I2295" s="237" t="str">
        <f t="shared" si="1"/>
        <v>Fora</v>
      </c>
      <c r="J2295" s="239">
        <v>119.99999999301508</v>
      </c>
    </row>
    <row r="2296">
      <c r="A2296" s="234" t="s">
        <v>3930</v>
      </c>
      <c r="B2296" s="234" t="str">
        <f>IFERROR(__xludf.DUMMYFUNCTION("""COMPUTED_VALUE"""),"LM Hub_RS_Porto Alegre_Floresta")</f>
        <v>LM Hub_RS_Porto Alegre_Floresta</v>
      </c>
      <c r="C2296" s="234" t="str">
        <f>IFERROR(__xludf.DUMMYFUNCTION("""COMPUTED_VALUE"""),"HUB-LRS-03")</f>
        <v>HUB-LRS-03</v>
      </c>
      <c r="D2296" s="234">
        <f>IFERROR(__xludf.DUMMYFUNCTION("""COMPUTED_VALUE"""),22.0)</f>
        <v>22</v>
      </c>
      <c r="E2296" s="237" t="str">
        <f>IFERROR(__xludf.DUMMYFUNCTION("""COMPUTED_VALUE"""),"LT0PCA01TWIH1")</f>
        <v>LT0PCA01TWIH1</v>
      </c>
      <c r="F2296" s="238" t="str">
        <f>IFERROR(__xludf.DUMMYFUNCTION("""COMPUTED_VALUE"""),"IOJ1F31,IMM3A92")</f>
        <v>IOJ1F31,IMM3A92</v>
      </c>
      <c r="G2296" s="238">
        <f>IFERROR(__xludf.DUMMYFUNCTION("""COMPUTED_VALUE"""),46001.91666666667)</f>
        <v>46001.91667</v>
      </c>
      <c r="H2296" s="238">
        <f>IFERROR(__xludf.DUMMYFUNCTION("""COMPUTED_VALUE"""),46002.0)</f>
        <v>46002</v>
      </c>
      <c r="I2296" s="237" t="str">
        <f t="shared" si="1"/>
        <v>Fora</v>
      </c>
      <c r="J2296" s="239">
        <v>119.99999999301508</v>
      </c>
    </row>
    <row r="2297">
      <c r="A2297" s="234" t="s">
        <v>3931</v>
      </c>
      <c r="B2297" s="234" t="str">
        <f>IFERROR(__xludf.DUMMYFUNCTION("""COMPUTED_VALUE"""),"LM Hub_SP_Artur Alvim")</f>
        <v>LM Hub_SP_Artur Alvim</v>
      </c>
      <c r="C2297" s="234" t="str">
        <f>IFERROR(__xludf.DUMMYFUNCTION("""COMPUTED_VALUE"""),"HUB-LSP-07")</f>
        <v>HUB-LSP-07</v>
      </c>
      <c r="D2297" s="234">
        <f>IFERROR(__xludf.DUMMYFUNCTION("""COMPUTED_VALUE"""),16.0)</f>
        <v>16</v>
      </c>
      <c r="E2297" s="237" t="str">
        <f>IFERROR(__xludf.DUMMYFUNCTION("""COMPUTED_VALUE"""),"LT0PCA01TO3E1")</f>
        <v>LT0PCA01TO3E1</v>
      </c>
      <c r="F2297" s="238" t="str">
        <f>IFERROR(__xludf.DUMMYFUNCTION("""COMPUTED_VALUE"""),"EGK6F67,NGX1F13")</f>
        <v>EGK6F67,NGX1F13</v>
      </c>
      <c r="G2297" s="238">
        <f>IFERROR(__xludf.DUMMYFUNCTION("""COMPUTED_VALUE"""),46001.91666666667)</f>
        <v>46001.91667</v>
      </c>
      <c r="H2297" s="238">
        <f>IFERROR(__xludf.DUMMYFUNCTION("""COMPUTED_VALUE"""),46002.0)</f>
        <v>46002</v>
      </c>
      <c r="I2297" s="237" t="str">
        <f t="shared" si="1"/>
        <v>Fora</v>
      </c>
      <c r="J2297" s="239">
        <v>119.99999999301508</v>
      </c>
    </row>
    <row r="2298">
      <c r="A2298" s="234" t="s">
        <v>3932</v>
      </c>
      <c r="B2298" s="234" t="str">
        <f>IFERROR(__xludf.DUMMYFUNCTION("""COMPUTED_VALUE"""),"LM Hub_SP_Barueri_01")</f>
        <v>LM Hub_SP_Barueri_01</v>
      </c>
      <c r="C2298" s="234" t="str">
        <f>IFERROR(__xludf.DUMMYFUNCTION("""COMPUTED_VALUE"""),"HUB-LSP-81")</f>
        <v>HUB-LSP-81</v>
      </c>
      <c r="D2298" s="234">
        <f>IFERROR(__xludf.DUMMYFUNCTION("""COMPUTED_VALUE"""),9.0)</f>
        <v>9</v>
      </c>
      <c r="E2298" s="237" t="str">
        <f>IFERROR(__xludf.DUMMYFUNCTION("""COMPUTED_VALUE"""),"LT0PCA01TV941")</f>
        <v>LT0PCA01TV941</v>
      </c>
      <c r="F2298" s="238" t="str">
        <f>IFERROR(__xludf.DUMMYFUNCTION("""COMPUTED_VALUE"""),"GDQ4B07,GIJ1E98")</f>
        <v>GDQ4B07,GIJ1E98</v>
      </c>
      <c r="G2298" s="238">
        <f>IFERROR(__xludf.DUMMYFUNCTION("""COMPUTED_VALUE"""),46001.91666666667)</f>
        <v>46001.91667</v>
      </c>
      <c r="H2298" s="238">
        <f>IFERROR(__xludf.DUMMYFUNCTION("""COMPUTED_VALUE"""),46002.0)</f>
        <v>46002</v>
      </c>
      <c r="I2298" s="237" t="str">
        <f t="shared" si="1"/>
        <v>Fora</v>
      </c>
      <c r="J2298" s="239">
        <v>119.99999999301508</v>
      </c>
    </row>
    <row r="2299">
      <c r="A2299" s="234" t="s">
        <v>3933</v>
      </c>
      <c r="B2299" s="234" t="str">
        <f>IFERROR(__xludf.DUMMYFUNCTION("""COMPUTED_VALUE"""),"LM Hub_SP_Itapevi")</f>
        <v>LM Hub_SP_Itapevi</v>
      </c>
      <c r="C2299" s="234" t="str">
        <f>IFERROR(__xludf.DUMMYFUNCTION("""COMPUTED_VALUE"""),"HUB-LSP-41")</f>
        <v>HUB-LSP-41</v>
      </c>
      <c r="D2299" s="234">
        <f>IFERROR(__xludf.DUMMYFUNCTION("""COMPUTED_VALUE"""),6.0)</f>
        <v>6</v>
      </c>
      <c r="E2299" s="237" t="str">
        <f>IFERROR(__xludf.DUMMYFUNCTION("""COMPUTED_VALUE"""),"LT0PCA01TO5L1")</f>
        <v>LT0PCA01TO5L1</v>
      </c>
      <c r="F2299" s="238" t="str">
        <f>IFERROR(__xludf.DUMMYFUNCTION("""COMPUTED_VALUE"""),"DPF6F59")</f>
        <v>DPF6F59</v>
      </c>
      <c r="G2299" s="238">
        <f>IFERROR(__xludf.DUMMYFUNCTION("""COMPUTED_VALUE"""),46001.91666666667)</f>
        <v>46001.91667</v>
      </c>
      <c r="H2299" s="238">
        <f>IFERROR(__xludf.DUMMYFUNCTION("""COMPUTED_VALUE"""),46002.0)</f>
        <v>46002</v>
      </c>
      <c r="I2299" s="237" t="str">
        <f t="shared" si="1"/>
        <v>Fora</v>
      </c>
      <c r="J2299" s="239">
        <v>119.99999999301508</v>
      </c>
    </row>
    <row r="2300">
      <c r="A2300" s="234" t="s">
        <v>3934</v>
      </c>
      <c r="B2300" s="234" t="str">
        <f>IFERROR(__xludf.DUMMYFUNCTION("""COMPUTED_VALUE"""),"LM Hub_SP_Limeira_Campo Belo")</f>
        <v>LM Hub_SP_Limeira_Campo Belo</v>
      </c>
      <c r="C2300" s="234" t="str">
        <f>IFERROR(__xludf.DUMMYFUNCTION("""COMPUTED_VALUE"""),"HUB-LSP-24")</f>
        <v>HUB-LSP-24</v>
      </c>
      <c r="D2300" s="234">
        <f>IFERROR(__xludf.DUMMYFUNCTION("""COMPUTED_VALUE"""),41.0)</f>
        <v>41</v>
      </c>
      <c r="E2300" s="237" t="str">
        <f>IFERROR(__xludf.DUMMYFUNCTION("""COMPUTED_VALUE"""),"LT0PCA01TOB71")</f>
        <v>LT0PCA01TOB71</v>
      </c>
      <c r="F2300" s="238" t="str">
        <f>IFERROR(__xludf.DUMMYFUNCTION("""COMPUTED_VALUE"""),"SWQ6D05,SWG3J97")</f>
        <v>SWQ6D05,SWG3J97</v>
      </c>
      <c r="G2300" s="238">
        <f>IFERROR(__xludf.DUMMYFUNCTION("""COMPUTED_VALUE"""),46001.91666666667)</f>
        <v>46001.91667</v>
      </c>
      <c r="H2300" s="238">
        <f>IFERROR(__xludf.DUMMYFUNCTION("""COMPUTED_VALUE"""),46002.0)</f>
        <v>46002</v>
      </c>
      <c r="I2300" s="237" t="str">
        <f t="shared" si="1"/>
        <v>Fora</v>
      </c>
      <c r="J2300" s="239">
        <v>119.99999999301508</v>
      </c>
    </row>
    <row r="2301">
      <c r="A2301" s="234" t="s">
        <v>3935</v>
      </c>
      <c r="B2301" s="234" t="str">
        <f>IFERROR(__xludf.DUMMYFUNCTION("""COMPUTED_VALUE"""),"LM Hub_SP_Mauá")</f>
        <v>LM Hub_SP_Mauá</v>
      </c>
      <c r="C2301" s="234" t="str">
        <f>IFERROR(__xludf.DUMMYFUNCTION("""COMPUTED_VALUE"""),"HUB-LSP-64")</f>
        <v>HUB-LSP-64</v>
      </c>
      <c r="D2301" s="234">
        <f>IFERROR(__xludf.DUMMYFUNCTION("""COMPUTED_VALUE"""),13.0)</f>
        <v>13</v>
      </c>
      <c r="E2301" s="237" t="str">
        <f>IFERROR(__xludf.DUMMYFUNCTION("""COMPUTED_VALUE"""),"LT0PCA01TO691")</f>
        <v>LT0PCA01TO691</v>
      </c>
      <c r="F2301" s="238" t="str">
        <f>IFERROR(__xludf.DUMMYFUNCTION("""COMPUTED_VALUE"""),"FQF6B98,DTA7802")</f>
        <v>FQF6B98,DTA7802</v>
      </c>
      <c r="G2301" s="238">
        <f>IFERROR(__xludf.DUMMYFUNCTION("""COMPUTED_VALUE"""),46001.91666666667)</f>
        <v>46001.91667</v>
      </c>
      <c r="H2301" s="238">
        <f>IFERROR(__xludf.DUMMYFUNCTION("""COMPUTED_VALUE"""),46002.0)</f>
        <v>46002</v>
      </c>
      <c r="I2301" s="237" t="str">
        <f t="shared" si="1"/>
        <v>Fora</v>
      </c>
      <c r="J2301" s="239">
        <v>119.99999999301508</v>
      </c>
    </row>
    <row r="2302">
      <c r="A2302" s="234" t="s">
        <v>3936</v>
      </c>
      <c r="B2302" s="234" t="str">
        <f>IFERROR(__xludf.DUMMYFUNCTION("""COMPUTED_VALUE"""),"LM Hub_SP_Osasco_02")</f>
        <v>LM Hub_SP_Osasco_02</v>
      </c>
      <c r="C2302" s="234" t="str">
        <f>IFERROR(__xludf.DUMMYFUNCTION("""COMPUTED_VALUE"""),"HUB-LSP-60")</f>
        <v>HUB-LSP-60</v>
      </c>
      <c r="D2302" s="234">
        <f>IFERROR(__xludf.DUMMYFUNCTION("""COMPUTED_VALUE"""),37.0)</f>
        <v>37</v>
      </c>
      <c r="E2302" s="237" t="str">
        <f>IFERROR(__xludf.DUMMYFUNCTION("""COMPUTED_VALUE"""),"LT0PCA01TO5V1")</f>
        <v>LT0PCA01TO5V1</v>
      </c>
      <c r="F2302" s="238" t="str">
        <f>IFERROR(__xludf.DUMMYFUNCTION("""COMPUTED_VALUE"""),"HKH0E68,GAP9C60")</f>
        <v>HKH0E68,GAP9C60</v>
      </c>
      <c r="G2302" s="238">
        <f>IFERROR(__xludf.DUMMYFUNCTION("""COMPUTED_VALUE"""),46001.91666666667)</f>
        <v>46001.91667</v>
      </c>
      <c r="H2302" s="238">
        <f>IFERROR(__xludf.DUMMYFUNCTION("""COMPUTED_VALUE"""),46002.0)</f>
        <v>46002</v>
      </c>
      <c r="I2302" s="237" t="str">
        <f t="shared" si="1"/>
        <v>Fora</v>
      </c>
      <c r="J2302" s="239">
        <v>119.99999999301508</v>
      </c>
    </row>
    <row r="2303">
      <c r="A2303" s="234" t="s">
        <v>3937</v>
      </c>
      <c r="B2303" s="234" t="str">
        <f>IFERROR(__xludf.DUMMYFUNCTION("""COMPUTED_VALUE"""),"LM Hub_SP_São José do Rio P")</f>
        <v>LM Hub_SP_São José do Rio P</v>
      </c>
      <c r="C2303" s="234" t="str">
        <f>IFERROR(__xludf.DUMMYFUNCTION("""COMPUTED_VALUE"""),"HUB-LSP-27")</f>
        <v>HUB-LSP-27</v>
      </c>
      <c r="D2303" s="234">
        <f>IFERROR(__xludf.DUMMYFUNCTION("""COMPUTED_VALUE"""),40.0)</f>
        <v>40</v>
      </c>
      <c r="E2303" s="237" t="str">
        <f>IFERROR(__xludf.DUMMYFUNCTION("""COMPUTED_VALUE"""),"LT0PCA01TTVZ1")</f>
        <v>LT0PCA01TTVZ1</v>
      </c>
      <c r="F2303" s="238" t="str">
        <f>IFERROR(__xludf.DUMMYFUNCTION("""COMPUTED_VALUE"""),"DKI3I03,EWJ0B84")</f>
        <v>DKI3I03,EWJ0B84</v>
      </c>
      <c r="G2303" s="238">
        <f>IFERROR(__xludf.DUMMYFUNCTION("""COMPUTED_VALUE"""),46001.91666666667)</f>
        <v>46001.91667</v>
      </c>
      <c r="H2303" s="238">
        <f>IFERROR(__xludf.DUMMYFUNCTION("""COMPUTED_VALUE"""),46002.0)</f>
        <v>46002</v>
      </c>
      <c r="I2303" s="237" t="str">
        <f t="shared" si="1"/>
        <v>Fora</v>
      </c>
      <c r="J2303" s="239">
        <v>119.99999999301508</v>
      </c>
    </row>
    <row r="2304">
      <c r="A2304" s="234" t="s">
        <v>3938</v>
      </c>
      <c r="B2304" s="234" t="str">
        <f>IFERROR(__xludf.DUMMYFUNCTION("""COMPUTED_VALUE"""),"SoC_SP_Louveira")</f>
        <v>SoC_SP_Louveira</v>
      </c>
      <c r="C2304" s="234" t="str">
        <f>IFERROR(__xludf.DUMMYFUNCTION("""COMPUTED_VALUE"""),"SOC-SP7")</f>
        <v>SOC-SP7</v>
      </c>
      <c r="D2304" s="234">
        <f>IFERROR(__xludf.DUMMYFUNCTION("""COMPUTED_VALUE"""),14.0)</f>
        <v>14</v>
      </c>
      <c r="E2304" s="237" t="str">
        <f>IFERROR(__xludf.DUMMYFUNCTION("""COMPUTED_VALUE"""),"LT1PCA01U3ZQ1")</f>
        <v>LT1PCA01U3ZQ1</v>
      </c>
      <c r="F2304" s="238" t="str">
        <f>IFERROR(__xludf.DUMMYFUNCTION("""COMPUTED_VALUE"""),"ESU9H90,EUL5B82")</f>
        <v>ESU9H90,EUL5B82</v>
      </c>
      <c r="G2304" s="238">
        <f>IFERROR(__xludf.DUMMYFUNCTION("""COMPUTED_VALUE"""),46001.91666666667)</f>
        <v>46001.91667</v>
      </c>
      <c r="H2304" s="238">
        <f>IFERROR(__xludf.DUMMYFUNCTION("""COMPUTED_VALUE"""),46002.0)</f>
        <v>46002</v>
      </c>
      <c r="I2304" s="237" t="str">
        <f t="shared" si="1"/>
        <v>Fora</v>
      </c>
      <c r="J2304" s="239">
        <v>119.00000000023283</v>
      </c>
    </row>
    <row r="2305">
      <c r="A2305" s="234" t="s">
        <v>3939</v>
      </c>
      <c r="B2305" s="234" t="str">
        <f>IFERROR(__xludf.DUMMYFUNCTION("""COMPUTED_VALUE"""),"LM Hub_SP_Santo André")</f>
        <v>LM Hub_SP_Santo André</v>
      </c>
      <c r="C2305" s="234" t="str">
        <f>IFERROR(__xludf.DUMMYFUNCTION("""COMPUTED_VALUE"""),"HUB-LSP-93")</f>
        <v>HUB-LSP-93</v>
      </c>
      <c r="D2305" s="234">
        <f>IFERROR(__xludf.DUMMYFUNCTION("""COMPUTED_VALUE"""),26.0)</f>
        <v>26</v>
      </c>
      <c r="E2305" s="237" t="str">
        <f>IFERROR(__xludf.DUMMYFUNCTION("""COMPUTED_VALUE"""),"LT0PCA01TSBR1")</f>
        <v>LT0PCA01TSBR1</v>
      </c>
      <c r="F2305" s="238" t="str">
        <f>IFERROR(__xludf.DUMMYFUNCTION("""COMPUTED_VALUE"""),"FOK9H31,EZL9I77")</f>
        <v>FOK9H31,EZL9I77</v>
      </c>
      <c r="G2305" s="238">
        <f>IFERROR(__xludf.DUMMYFUNCTION("""COMPUTED_VALUE"""),46001.91736111111)</f>
        <v>46001.91736</v>
      </c>
      <c r="H2305" s="238">
        <f>IFERROR(__xludf.DUMMYFUNCTION("""COMPUTED_VALUE"""),46002.0)</f>
        <v>46002</v>
      </c>
      <c r="I2305" s="237" t="str">
        <f t="shared" si="1"/>
        <v>Fora</v>
      </c>
      <c r="J2305" s="239">
        <v>119.99999999301508</v>
      </c>
    </row>
    <row r="2306">
      <c r="A2306" s="234" t="s">
        <v>3940</v>
      </c>
      <c r="B2306" s="234" t="str">
        <f>IFERROR(__xludf.DUMMYFUNCTION("""COMPUTED_VALUE"""),"LM Hub_SP_Parque Novo Mundo")</f>
        <v>LM Hub_SP_Parque Novo Mundo</v>
      </c>
      <c r="C2306" s="234" t="str">
        <f>IFERROR(__xludf.DUMMYFUNCTION("""COMPUTED_VALUE"""),"HUB-LSP-89")</f>
        <v>HUB-LSP-89</v>
      </c>
      <c r="D2306" s="234">
        <f>IFERROR(__xludf.DUMMYFUNCTION("""COMPUTED_VALUE"""),38.0)</f>
        <v>38</v>
      </c>
      <c r="E2306" s="237" t="str">
        <f>IFERROR(__xludf.DUMMYFUNCTION("""COMPUTED_VALUE"""),"LT0PCA01TQ4T1")</f>
        <v>LT0PCA01TQ4T1</v>
      </c>
      <c r="F2306" s="238" t="str">
        <f>IFERROR(__xludf.DUMMYFUNCTION("""COMPUTED_VALUE"""),"EZL3F51,DJB2582")</f>
        <v>EZL3F51,DJB2582</v>
      </c>
      <c r="G2306" s="238">
        <f>IFERROR(__xludf.DUMMYFUNCTION("""COMPUTED_VALUE"""),46001.9375)</f>
        <v>46001.9375</v>
      </c>
      <c r="H2306" s="238">
        <f>IFERROR(__xludf.DUMMYFUNCTION("""COMPUTED_VALUE"""),46002.02083333333)</f>
        <v>46002.02083</v>
      </c>
      <c r="I2306" s="237" t="str">
        <f t="shared" si="1"/>
        <v>Fora</v>
      </c>
      <c r="J2306" s="239">
        <v>119.99999999301508</v>
      </c>
    </row>
    <row r="2307">
      <c r="A2307" s="234" t="s">
        <v>3941</v>
      </c>
      <c r="B2307" s="234" t="str">
        <f>IFERROR(__xludf.DUMMYFUNCTION("""COMPUTED_VALUE"""),"LM Hub_SP_Piracicaba")</f>
        <v>LM Hub_SP_Piracicaba</v>
      </c>
      <c r="C2307" s="234" t="str">
        <f>IFERROR(__xludf.DUMMYFUNCTION("""COMPUTED_VALUE"""),"HUB-LSP-62")</f>
        <v>HUB-LSP-62</v>
      </c>
      <c r="D2307" s="234">
        <f>IFERROR(__xludf.DUMMYFUNCTION("""COMPUTED_VALUE"""),27.0)</f>
        <v>27</v>
      </c>
      <c r="E2307" s="237" t="str">
        <f>IFERROR(__xludf.DUMMYFUNCTION("""COMPUTED_VALUE"""),"LT0PCA01TPPC1")</f>
        <v>LT0PCA01TPPC1</v>
      </c>
      <c r="F2307" s="238" t="str">
        <f>IFERROR(__xludf.DUMMYFUNCTION("""COMPUTED_VALUE"""),"EOF4D32,EOF4D33")</f>
        <v>EOF4D32,EOF4D33</v>
      </c>
      <c r="G2307" s="238">
        <f>IFERROR(__xludf.DUMMYFUNCTION("""COMPUTED_VALUE"""),46001.9375)</f>
        <v>46001.9375</v>
      </c>
      <c r="H2307" s="238">
        <f>IFERROR(__xludf.DUMMYFUNCTION("""COMPUTED_VALUE"""),46002.02083333333)</f>
        <v>46002.02083</v>
      </c>
      <c r="I2307" s="237" t="str">
        <f t="shared" si="1"/>
        <v>Fora</v>
      </c>
      <c r="J2307" s="239">
        <v>119.99999999301508</v>
      </c>
    </row>
    <row r="2308">
      <c r="A2308" s="234" t="s">
        <v>3942</v>
      </c>
      <c r="B2308" s="234" t="str">
        <f>IFERROR(__xludf.DUMMYFUNCTION("""COMPUTED_VALUE"""),"LM Hub_SP_São Paulo_Carandiru")</f>
        <v>LM Hub_SP_São Paulo_Carandiru</v>
      </c>
      <c r="C2308" s="234" t="str">
        <f>IFERROR(__xludf.DUMMYFUNCTION("""COMPUTED_VALUE"""),"HUB-LSP-18")</f>
        <v>HUB-LSP-18</v>
      </c>
      <c r="D2308" s="234">
        <f>IFERROR(__xludf.DUMMYFUNCTION("""COMPUTED_VALUE"""),44.0)</f>
        <v>44</v>
      </c>
      <c r="E2308" s="237" t="str">
        <f>IFERROR(__xludf.DUMMYFUNCTION("""COMPUTED_VALUE"""),"LT0PCA01TO4K1")</f>
        <v>LT0PCA01TO4K1</v>
      </c>
      <c r="F2308" s="238" t="str">
        <f>IFERROR(__xludf.DUMMYFUNCTION("""COMPUTED_VALUE"""),"FLJ6920")</f>
        <v>FLJ6920</v>
      </c>
      <c r="G2308" s="238">
        <f>IFERROR(__xludf.DUMMYFUNCTION("""COMPUTED_VALUE"""),46001.9375)</f>
        <v>46001.9375</v>
      </c>
      <c r="H2308" s="238">
        <f>IFERROR(__xludf.DUMMYFUNCTION("""COMPUTED_VALUE"""),46002.02083333333)</f>
        <v>46002.02083</v>
      </c>
      <c r="I2308" s="237" t="str">
        <f t="shared" si="1"/>
        <v>Fora</v>
      </c>
      <c r="J2308" s="239">
        <v>118.99999998975545</v>
      </c>
    </row>
    <row r="2309">
      <c r="A2309" s="234" t="s">
        <v>3943</v>
      </c>
      <c r="B2309" s="234" t="str">
        <f>IFERROR(__xludf.DUMMYFUNCTION("""COMPUTED_VALUE"""),"LM Hub_SP_Jardim Adriana")</f>
        <v>LM Hub_SP_Jardim Adriana</v>
      </c>
      <c r="C2309" s="234" t="str">
        <f>IFERROR(__xludf.DUMMYFUNCTION("""COMPUTED_VALUE"""),"HUB-LSP-12")</f>
        <v>HUB-LSP-12</v>
      </c>
      <c r="D2309" s="234">
        <f>IFERROR(__xludf.DUMMYFUNCTION("""COMPUTED_VALUE"""),8.0)</f>
        <v>8</v>
      </c>
      <c r="E2309" s="237" t="str">
        <f>IFERROR(__xludf.DUMMYFUNCTION("""COMPUTED_VALUE"""),"LT0PCA01TN8T1")</f>
        <v>LT0PCA01TN8T1</v>
      </c>
      <c r="F2309" s="238" t="str">
        <f>IFERROR(__xludf.DUMMYFUNCTION("""COMPUTED_VALUE"""),"NZI9C32")</f>
        <v>NZI9C32</v>
      </c>
      <c r="G2309" s="238">
        <f>IFERROR(__xludf.DUMMYFUNCTION("""COMPUTED_VALUE"""),46001.93819444445)</f>
        <v>46001.93819</v>
      </c>
      <c r="H2309" s="238">
        <f>IFERROR(__xludf.DUMMYFUNCTION("""COMPUTED_VALUE"""),46002.02083333333)</f>
        <v>46002.02083</v>
      </c>
      <c r="I2309" s="237" t="str">
        <f t="shared" si="1"/>
        <v>Fora</v>
      </c>
      <c r="J2309" s="239">
        <v>118.99999998975545</v>
      </c>
    </row>
    <row r="2310">
      <c r="A2310" s="234" t="s">
        <v>3944</v>
      </c>
      <c r="B2310" s="234" t="str">
        <f>IFERROR(__xludf.DUMMYFUNCTION("""COMPUTED_VALUE"""),"LM Hub_SP_VilaGuilherme")</f>
        <v>LM Hub_SP_VilaGuilherme</v>
      </c>
      <c r="C2310" s="234" t="str">
        <f>IFERROR(__xludf.DUMMYFUNCTION("""COMPUTED_VALUE"""),"HUB-LSP-68")</f>
        <v>HUB-LSP-68</v>
      </c>
      <c r="D2310" s="234">
        <f>IFERROR(__xludf.DUMMYFUNCTION("""COMPUTED_VALUE"""),15.0)</f>
        <v>15</v>
      </c>
      <c r="E2310" s="237" t="str">
        <f>IFERROR(__xludf.DUMMYFUNCTION("""COMPUTED_VALUE"""),"LT0PCA01TN9Q1")</f>
        <v>LT0PCA01TN9Q1</v>
      </c>
      <c r="F2310" s="238" t="str">
        <f>IFERROR(__xludf.DUMMYFUNCTION("""COMPUTED_VALUE"""),"HFD4H27,JXG9745")</f>
        <v>HFD4H27,JXG9745</v>
      </c>
      <c r="G2310" s="238">
        <f>IFERROR(__xludf.DUMMYFUNCTION("""COMPUTED_VALUE"""),46001.93819444445)</f>
        <v>46001.93819</v>
      </c>
      <c r="H2310" s="238">
        <f>IFERROR(__xludf.DUMMYFUNCTION("""COMPUTED_VALUE"""),46002.02083333333)</f>
        <v>46002.02083</v>
      </c>
      <c r="I2310" s="237" t="str">
        <f t="shared" si="1"/>
        <v>Fora</v>
      </c>
      <c r="J2310" s="239">
        <v>120.00000001396984</v>
      </c>
    </row>
    <row r="2311">
      <c r="A2311" s="234" t="s">
        <v>3945</v>
      </c>
      <c r="B2311" s="234" t="str">
        <f>IFERROR(__xludf.DUMMYFUNCTION("""COMPUTED_VALUE"""),"LM Hub_SP_Jundiaí")</f>
        <v>LM Hub_SP_Jundiaí</v>
      </c>
      <c r="C2311" s="234" t="str">
        <f>IFERROR(__xludf.DUMMYFUNCTION("""COMPUTED_VALUE"""),"HUB-LSP-100")</f>
        <v>HUB-LSP-100</v>
      </c>
      <c r="D2311" s="234">
        <f>IFERROR(__xludf.DUMMYFUNCTION("""COMPUTED_VALUE"""),7.0)</f>
        <v>7</v>
      </c>
      <c r="E2311" s="237" t="str">
        <f>IFERROR(__xludf.DUMMYFUNCTION("""COMPUTED_VALUE"""),"LT0PCA01TWU11")</f>
        <v>LT0PCA01TWU11</v>
      </c>
      <c r="F2311" s="238" t="str">
        <f>IFERROR(__xludf.DUMMYFUNCTION("""COMPUTED_VALUE"""),"UGN5F59")</f>
        <v>UGN5F59</v>
      </c>
      <c r="G2311" s="238">
        <f>IFERROR(__xludf.DUMMYFUNCTION("""COMPUTED_VALUE"""),46001.95833333333)</f>
        <v>46001.95833</v>
      </c>
      <c r="H2311" s="238">
        <f>IFERROR(__xludf.DUMMYFUNCTION("""COMPUTED_VALUE"""),46002.04166666667)</f>
        <v>46002.04167</v>
      </c>
      <c r="I2311" s="237" t="str">
        <f t="shared" si="1"/>
        <v>Fora</v>
      </c>
      <c r="J2311" s="239">
        <v>120.00000001396984</v>
      </c>
    </row>
    <row r="2312">
      <c r="A2312" s="234" t="s">
        <v>3946</v>
      </c>
      <c r="B2312" s="234" t="str">
        <f>IFERROR(__xludf.DUMMYFUNCTION("""COMPUTED_VALUE"""),"LM Hub_SP_Mogi Mirim")</f>
        <v>LM Hub_SP_Mogi Mirim</v>
      </c>
      <c r="C2312" s="234" t="str">
        <f>IFERROR(__xludf.DUMMYFUNCTION("""COMPUTED_VALUE"""),"HUB-LSP-37")</f>
        <v>HUB-LSP-37</v>
      </c>
      <c r="D2312" s="234">
        <f>IFERROR(__xludf.DUMMYFUNCTION("""COMPUTED_VALUE"""),36.0)</f>
        <v>36</v>
      </c>
      <c r="E2312" s="237" t="str">
        <f>IFERROR(__xludf.DUMMYFUNCTION("""COMPUTED_VALUE"""),"LT0PCA01TOD61")</f>
        <v>LT0PCA01TOD61</v>
      </c>
      <c r="F2312" s="238" t="str">
        <f>IFERROR(__xludf.DUMMYFUNCTION("""COMPUTED_VALUE"""),"FLN0H65,FTJ9A92")</f>
        <v>FLN0H65,FTJ9A92</v>
      </c>
      <c r="G2312" s="238">
        <f>IFERROR(__xludf.DUMMYFUNCTION("""COMPUTED_VALUE"""),46001.95833333333)</f>
        <v>46001.95833</v>
      </c>
      <c r="H2312" s="238">
        <f>IFERROR(__xludf.DUMMYFUNCTION("""COMPUTED_VALUE"""),46002.04166666667)</f>
        <v>46002.04167</v>
      </c>
      <c r="I2312" s="237" t="str">
        <f t="shared" si="1"/>
        <v>Fora</v>
      </c>
      <c r="J2312" s="239">
        <v>120.00000001396984</v>
      </c>
    </row>
    <row r="2313">
      <c r="A2313" s="234" t="s">
        <v>3947</v>
      </c>
      <c r="B2313" s="234" t="str">
        <f>IFERROR(__xludf.DUMMYFUNCTION("""COMPUTED_VALUE"""),"SoC_PR_Curitiba")</f>
        <v>SoC_PR_Curitiba</v>
      </c>
      <c r="C2313" s="234" t="str">
        <f>IFERROR(__xludf.DUMMYFUNCTION("""COMPUTED_VALUE"""),"SOC-PR1")</f>
        <v>SOC-PR1</v>
      </c>
      <c r="D2313" s="234">
        <f>IFERROR(__xludf.DUMMYFUNCTION("""COMPUTED_VALUE"""),39.0)</f>
        <v>39</v>
      </c>
      <c r="E2313" s="237" t="str">
        <f>IFERROR(__xludf.DUMMYFUNCTION("""COMPUTED_VALUE"""),"LT1PCA01U4001")</f>
        <v>LT1PCA01U4001</v>
      </c>
      <c r="F2313" s="238" t="str">
        <f>IFERROR(__xludf.DUMMYFUNCTION("""COMPUTED_VALUE"""),"SXS6F28,NKX6876")</f>
        <v>SXS6F28,NKX6876</v>
      </c>
      <c r="G2313" s="238">
        <f>IFERROR(__xludf.DUMMYFUNCTION("""COMPUTED_VALUE"""),46001.95833333333)</f>
        <v>46001.95833</v>
      </c>
      <c r="H2313" s="238">
        <f>IFERROR(__xludf.DUMMYFUNCTION("""COMPUTED_VALUE"""),46002.04166666667)</f>
        <v>46002.04167</v>
      </c>
      <c r="I2313" s="237" t="str">
        <f t="shared" si="1"/>
        <v>Fora</v>
      </c>
      <c r="J2313" s="239">
        <v>119.99999999301508</v>
      </c>
    </row>
    <row r="2314">
      <c r="A2314" s="234" t="s">
        <v>3948</v>
      </c>
      <c r="B2314" s="234" t="str">
        <f>IFERROR(__xludf.DUMMYFUNCTION("""COMPUTED_VALUE"""),"LM Hub_SP_Araraquara")</f>
        <v>LM Hub_SP_Araraquara</v>
      </c>
      <c r="C2314" s="234" t="str">
        <f>IFERROR(__xludf.DUMMYFUNCTION("""COMPUTED_VALUE"""),"HUB-LSP-29")</f>
        <v>HUB-LSP-29</v>
      </c>
      <c r="D2314" s="234">
        <f>IFERROR(__xludf.DUMMYFUNCTION("""COMPUTED_VALUE"""),42.0)</f>
        <v>42</v>
      </c>
      <c r="E2314" s="237" t="str">
        <f>IFERROR(__xludf.DUMMYFUNCTION("""COMPUTED_VALUE"""),"LT0PCA01TODI1")</f>
        <v>LT0PCA01TODI1</v>
      </c>
      <c r="F2314" s="238" t="str">
        <f>IFERROR(__xludf.DUMMYFUNCTION("""COMPUTED_VALUE"""),"EWJ2H21")</f>
        <v>EWJ2H21</v>
      </c>
      <c r="G2314" s="238">
        <f>IFERROR(__xludf.DUMMYFUNCTION("""COMPUTED_VALUE"""),46001.97916666667)</f>
        <v>46001.97917</v>
      </c>
      <c r="H2314" s="238">
        <f>IFERROR(__xludf.DUMMYFUNCTION("""COMPUTED_VALUE"""),46002.0625)</f>
        <v>46002.0625</v>
      </c>
      <c r="I2314" s="237" t="str">
        <f t="shared" si="1"/>
        <v>Fora</v>
      </c>
      <c r="J2314" s="239">
        <v>119.99999999301508</v>
      </c>
    </row>
    <row r="2315">
      <c r="A2315" s="234" t="s">
        <v>3949</v>
      </c>
      <c r="B2315" s="234" t="str">
        <f>IFERROR(__xludf.DUMMYFUNCTION("""COMPUTED_VALUE"""),"LM Hub_SP_Atibaia_Ponte_Alta")</f>
        <v>LM Hub_SP_Atibaia_Ponte_Alta</v>
      </c>
      <c r="C2315" s="234" t="str">
        <f>IFERROR(__xludf.DUMMYFUNCTION("""COMPUTED_VALUE"""),"HUB-LSP-87")</f>
        <v>HUB-LSP-87</v>
      </c>
      <c r="D2315" s="234">
        <f>IFERROR(__xludf.DUMMYFUNCTION("""COMPUTED_VALUE"""),13.0)</f>
        <v>13</v>
      </c>
      <c r="E2315" s="237" t="str">
        <f>IFERROR(__xludf.DUMMYFUNCTION("""COMPUTED_VALUE"""),"LT0PCA01TTRI1")</f>
        <v>LT0PCA01TTRI1</v>
      </c>
      <c r="F2315" s="238" t="str">
        <f>IFERROR(__xludf.DUMMYFUNCTION("""COMPUTED_VALUE"""),"GCB8A77,TKX4F07")</f>
        <v>GCB8A77,TKX4F07</v>
      </c>
      <c r="G2315" s="238">
        <f>IFERROR(__xludf.DUMMYFUNCTION("""COMPUTED_VALUE"""),46001.97916666667)</f>
        <v>46001.97917</v>
      </c>
      <c r="H2315" s="238">
        <f>IFERROR(__xludf.DUMMYFUNCTION("""COMPUTED_VALUE"""),46002.0625)</f>
        <v>46002.0625</v>
      </c>
      <c r="I2315" s="237" t="str">
        <f t="shared" si="1"/>
        <v>Fora</v>
      </c>
      <c r="J2315" s="239">
        <v>119.99999999301508</v>
      </c>
    </row>
    <row r="2316">
      <c r="A2316" s="234" t="s">
        <v>3950</v>
      </c>
      <c r="B2316" s="234" t="str">
        <f>IFERROR(__xludf.DUMMYFUNCTION("""COMPUTED_VALUE"""),"LM Hub_SP_Várzea Paulista")</f>
        <v>LM Hub_SP_Várzea Paulista</v>
      </c>
      <c r="C2316" s="234" t="str">
        <f>IFERROR(__xludf.DUMMYFUNCTION("""COMPUTED_VALUE"""),"HUB-LSP-61")</f>
        <v>HUB-LSP-61</v>
      </c>
      <c r="D2316" s="234">
        <f>IFERROR(__xludf.DUMMYFUNCTION("""COMPUTED_VALUE"""),45.0)</f>
        <v>45</v>
      </c>
      <c r="E2316" s="237" t="str">
        <f>IFERROR(__xludf.DUMMYFUNCTION("""COMPUTED_VALUE"""),"LT0PCA01TOBO1")</f>
        <v>LT0PCA01TOBO1</v>
      </c>
      <c r="F2316" s="238" t="str">
        <f>IFERROR(__xludf.DUMMYFUNCTION("""COMPUTED_VALUE"""),"NZF4A36,CYR8B03")</f>
        <v>NZF4A36,CYR8B03</v>
      </c>
      <c r="G2316" s="238">
        <f>IFERROR(__xludf.DUMMYFUNCTION("""COMPUTED_VALUE"""),46001.97916666667)</f>
        <v>46001.97917</v>
      </c>
      <c r="H2316" s="238">
        <f>IFERROR(__xludf.DUMMYFUNCTION("""COMPUTED_VALUE"""),46002.0625)</f>
        <v>46002.0625</v>
      </c>
      <c r="I2316" s="237" t="str">
        <f t="shared" si="1"/>
        <v>Fora</v>
      </c>
      <c r="J2316" s="239">
        <v>119.99999999301508</v>
      </c>
    </row>
    <row r="2317">
      <c r="A2317" s="234" t="s">
        <v>3951</v>
      </c>
      <c r="B2317" s="234" t="str">
        <f>IFERROR(__xludf.DUMMYFUNCTION("""COMPUTED_VALUE"""),"SoC_PE_Jaboatão dos Guararapes")</f>
        <v>SoC_PE_Jaboatão dos Guararapes</v>
      </c>
      <c r="C2317" s="234" t="str">
        <f>IFERROR(__xludf.DUMMYFUNCTION("""COMPUTED_VALUE"""),"SOC-PE2")</f>
        <v>SOC-PE2</v>
      </c>
      <c r="D2317" s="234">
        <f>IFERROR(__xludf.DUMMYFUNCTION("""COMPUTED_VALUE"""),24.0)</f>
        <v>24</v>
      </c>
      <c r="E2317" s="237" t="str">
        <f>IFERROR(__xludf.DUMMYFUNCTION("""COMPUTED_VALUE"""),"LT0PCB01TVIJ1")</f>
        <v>LT0PCB01TVIJ1</v>
      </c>
      <c r="F2317" s="238" t="str">
        <f>IFERROR(__xludf.DUMMYFUNCTION("""COMPUTED_VALUE"""),"FNU3922,EMU6377")</f>
        <v>FNU3922,EMU6377</v>
      </c>
      <c r="G2317" s="238">
        <f>IFERROR(__xludf.DUMMYFUNCTION("""COMPUTED_VALUE"""),46002.0)</f>
        <v>46002</v>
      </c>
      <c r="H2317" s="238">
        <f>IFERROR(__xludf.DUMMYFUNCTION("""COMPUTED_VALUE"""),46002.08333333333)</f>
        <v>46002.08333</v>
      </c>
      <c r="I2317" s="237" t="str">
        <f t="shared" si="1"/>
        <v>Fora</v>
      </c>
      <c r="J2317" s="239">
        <v>119.99999999301508</v>
      </c>
    </row>
    <row r="2318">
      <c r="A2318" s="234" t="s">
        <v>3952</v>
      </c>
      <c r="B2318" s="234" t="str">
        <f>IFERROR(__xludf.DUMMYFUNCTION("""COMPUTED_VALUE"""),"SoC_RS_Gravataí_02")</f>
        <v>SoC_RS_Gravataí_02</v>
      </c>
      <c r="C2318" s="234" t="str">
        <f>IFERROR(__xludf.DUMMYFUNCTION("""COMPUTED_VALUE"""),"SOC-RS2")</f>
        <v>SOC-RS2</v>
      </c>
      <c r="D2318" s="234">
        <f>IFERROR(__xludf.DUMMYFUNCTION("""COMPUTED_VALUE"""),21.0)</f>
        <v>21</v>
      </c>
      <c r="E2318" s="237" t="str">
        <f>IFERROR(__xludf.DUMMYFUNCTION("""COMPUTED_VALUE"""),"LT1PCB01U4041")</f>
        <v>LT1PCB01U4041</v>
      </c>
      <c r="F2318" s="238" t="str">
        <f>IFERROR(__xludf.DUMMYFUNCTION("""COMPUTED_VALUE"""),"UDP3H79")</f>
        <v>UDP3H79</v>
      </c>
      <c r="G2318" s="238">
        <f>IFERROR(__xludf.DUMMYFUNCTION("""COMPUTED_VALUE"""),46002.0)</f>
        <v>46002</v>
      </c>
      <c r="H2318" s="238">
        <f>IFERROR(__xludf.DUMMYFUNCTION("""COMPUTED_VALUE"""),46002.08333333333)</f>
        <v>46002.08333</v>
      </c>
      <c r="I2318" s="237" t="str">
        <f t="shared" si="1"/>
        <v>Fora</v>
      </c>
      <c r="J2318" s="239">
        <v>119.99999999301508</v>
      </c>
    </row>
    <row r="2319">
      <c r="A2319" s="234" t="s">
        <v>3953</v>
      </c>
      <c r="B2319" s="234" t="str">
        <f>IFERROR(__xludf.DUMMYFUNCTION("""COMPUTED_VALUE"""),"SoC_SC_Itajaí")</f>
        <v>SoC_SC_Itajaí</v>
      </c>
      <c r="C2319" s="234" t="str">
        <f>IFERROR(__xludf.DUMMYFUNCTION("""COMPUTED_VALUE"""),"SOC-SC1")</f>
        <v>SOC-SC1</v>
      </c>
      <c r="D2319" s="234">
        <f>IFERROR(__xludf.DUMMYFUNCTION("""COMPUTED_VALUE"""),29.0)</f>
        <v>29</v>
      </c>
      <c r="E2319" s="237" t="str">
        <f>IFERROR(__xludf.DUMMYFUNCTION("""COMPUTED_VALUE"""),"LT0PCB01TUIT1")</f>
        <v>LT0PCB01TUIT1</v>
      </c>
      <c r="F2319" s="238" t="str">
        <f>IFERROR(__xludf.DUMMYFUNCTION("""COMPUTED_VALUE"""),"RLF4B54,RYH0J55")</f>
        <v>RLF4B54,RYH0J55</v>
      </c>
      <c r="G2319" s="238">
        <f>IFERROR(__xludf.DUMMYFUNCTION("""COMPUTED_VALUE"""),46002.0)</f>
        <v>46002</v>
      </c>
      <c r="H2319" s="238">
        <f>IFERROR(__xludf.DUMMYFUNCTION("""COMPUTED_VALUE"""),46002.08333333333)</f>
        <v>46002.08333</v>
      </c>
      <c r="I2319" s="237" t="str">
        <f t="shared" si="1"/>
        <v>Fora</v>
      </c>
      <c r="J2319" s="239">
        <v>120.00000001396984</v>
      </c>
    </row>
    <row r="2320">
      <c r="A2320" s="234" t="s">
        <v>3954</v>
      </c>
      <c r="B2320" s="234" t="str">
        <f>IFERROR(__xludf.DUMMYFUNCTION("""COMPUTED_VALUE"""),"LM Hub_MG_Varginha_Fausto")</f>
        <v>LM Hub_MG_Varginha_Fausto</v>
      </c>
      <c r="C2320" s="234" t="str">
        <f>IFERROR(__xludf.DUMMYFUNCTION("""COMPUTED_VALUE"""),"HUB-LMG-45")</f>
        <v>HUB-LMG-45</v>
      </c>
      <c r="D2320" s="234">
        <f>IFERROR(__xludf.DUMMYFUNCTION("""COMPUTED_VALUE"""),12.0)</f>
        <v>12</v>
      </c>
      <c r="E2320" s="237" t="str">
        <f>IFERROR(__xludf.DUMMYFUNCTION("""COMPUTED_VALUE"""),"LT0PCB01TV8K1")</f>
        <v>LT0PCB01TV8K1</v>
      </c>
      <c r="F2320" s="238" t="str">
        <f>IFERROR(__xludf.DUMMYFUNCTION("""COMPUTED_VALUE"""),"RMX6F02,GHM7I01")</f>
        <v>RMX6F02,GHM7I01</v>
      </c>
      <c r="G2320" s="238">
        <f>IFERROR(__xludf.DUMMYFUNCTION("""COMPUTED_VALUE"""),46002.02083333333)</f>
        <v>46002.02083</v>
      </c>
      <c r="H2320" s="238">
        <f>IFERROR(__xludf.DUMMYFUNCTION("""COMPUTED_VALUE"""),46002.10416666667)</f>
        <v>46002.10417</v>
      </c>
      <c r="I2320" s="237" t="str">
        <f t="shared" si="1"/>
        <v>Fora</v>
      </c>
      <c r="J2320" s="239">
        <v>119.99999999301508</v>
      </c>
    </row>
    <row r="2321">
      <c r="A2321" s="234" t="s">
        <v>3955</v>
      </c>
      <c r="B2321" s="234" t="str">
        <f>IFERROR(__xludf.DUMMYFUNCTION("""COMPUTED_VALUE"""),"SoC_RS_Gravataí_02")</f>
        <v>SoC_RS_Gravataí_02</v>
      </c>
      <c r="C2321" s="234" t="str">
        <f>IFERROR(__xludf.DUMMYFUNCTION("""COMPUTED_VALUE"""),"SOC-RS2")</f>
        <v>SOC-RS2</v>
      </c>
      <c r="D2321" s="234">
        <f>IFERROR(__xludf.DUMMYFUNCTION("""COMPUTED_VALUE"""),23.0)</f>
        <v>23</v>
      </c>
      <c r="E2321" s="237" t="str">
        <f>IFERROR(__xludf.DUMMYFUNCTION("""COMPUTED_VALUE"""),"LT0PCB01TW0O1")</f>
        <v>LT0PCB01TW0O1</v>
      </c>
      <c r="F2321" s="238" t="str">
        <f>IFERROR(__xludf.DUMMYFUNCTION("""COMPUTED_VALUE"""),"GBW5A22,STX0D54")</f>
        <v>GBW5A22,STX0D54</v>
      </c>
      <c r="G2321" s="238">
        <f>IFERROR(__xludf.DUMMYFUNCTION("""COMPUTED_VALUE"""),46002.04166666667)</f>
        <v>46002.04167</v>
      </c>
      <c r="H2321" s="238">
        <f>IFERROR(__xludf.DUMMYFUNCTION("""COMPUTED_VALUE"""),46002.125)</f>
        <v>46002.125</v>
      </c>
      <c r="I2321" s="237" t="str">
        <f t="shared" si="1"/>
        <v>Fora</v>
      </c>
      <c r="J2321" s="239">
        <v>119.99999999301508</v>
      </c>
    </row>
    <row r="2322">
      <c r="A2322" s="234" t="s">
        <v>3956</v>
      </c>
      <c r="B2322" s="234" t="str">
        <f>IFERROR(__xludf.DUMMYFUNCTION("""COMPUTED_VALUE"""),"SoC_SP_Louveira")</f>
        <v>SoC_SP_Louveira</v>
      </c>
      <c r="C2322" s="234" t="str">
        <f>IFERROR(__xludf.DUMMYFUNCTION("""COMPUTED_VALUE"""),"SOC-SP7")</f>
        <v>SOC-SP7</v>
      </c>
      <c r="D2322" s="234">
        <f>IFERROR(__xludf.DUMMYFUNCTION("""COMPUTED_VALUE"""),16.0)</f>
        <v>16</v>
      </c>
      <c r="E2322" s="237" t="str">
        <f>IFERROR(__xludf.DUMMYFUNCTION("""COMPUTED_VALUE"""),"LT0PCB01TO2H1")</f>
        <v>LT0PCB01TO2H1</v>
      </c>
      <c r="F2322" s="238" t="str">
        <f>IFERROR(__xludf.DUMMYFUNCTION("""COMPUTED_VALUE"""),"SVI6C80,FCP6312")</f>
        <v>SVI6C80,FCP6312</v>
      </c>
      <c r="G2322" s="238">
        <f>IFERROR(__xludf.DUMMYFUNCTION("""COMPUTED_VALUE"""),46002.04166666667)</f>
        <v>46002.04167</v>
      </c>
      <c r="H2322" s="238">
        <f>IFERROR(__xludf.DUMMYFUNCTION("""COMPUTED_VALUE"""),46002.125)</f>
        <v>46002.125</v>
      </c>
      <c r="I2322" s="237" t="str">
        <f t="shared" si="1"/>
        <v>Fora</v>
      </c>
      <c r="J2322" s="239">
        <v>120.00000001396984</v>
      </c>
    </row>
    <row r="2323">
      <c r="A2323" s="234" t="s">
        <v>3957</v>
      </c>
      <c r="B2323" s="234" t="str">
        <f>IFERROR(__xludf.DUMMYFUNCTION("""COMPUTED_VALUE"""),"LM Hub_ES_Viana")</f>
        <v>LM Hub_ES_Viana</v>
      </c>
      <c r="C2323" s="234" t="str">
        <f>IFERROR(__xludf.DUMMYFUNCTION("""COMPUTED_VALUE"""),"HUB-LES-09")</f>
        <v>HUB-LES-09</v>
      </c>
      <c r="D2323" s="234"/>
      <c r="E2323" s="237" t="str">
        <f>IFERROR(__xludf.DUMMYFUNCTION("""COMPUTED_VALUE"""),"LT0PCB01TOZA1")</f>
        <v>LT0PCB01TOZA1</v>
      </c>
      <c r="F2323" s="238" t="str">
        <f>IFERROR(__xludf.DUMMYFUNCTION("""COMPUTED_VALUE"""),"MFQ8I56,DBM1I20")</f>
        <v>MFQ8I56,DBM1I20</v>
      </c>
      <c r="G2323" s="238">
        <f>IFERROR(__xludf.DUMMYFUNCTION("""COMPUTED_VALUE"""),46002.08333333333)</f>
        <v>46002.08333</v>
      </c>
      <c r="H2323" s="238">
        <f>IFERROR(__xludf.DUMMYFUNCTION("""COMPUTED_VALUE"""),46002.16666666667)</f>
        <v>46002.16667</v>
      </c>
      <c r="I2323" s="237" t="str">
        <f t="shared" si="1"/>
        <v>Fora</v>
      </c>
      <c r="J2323" s="239">
        <v>120.00000001396984</v>
      </c>
    </row>
    <row r="2324">
      <c r="A2324" s="234" t="s">
        <v>3958</v>
      </c>
      <c r="B2324" s="234" t="str">
        <f>IFERROR(__xludf.DUMMYFUNCTION("""COMPUTED_VALUE"""),"SoC_BA_Simoes Filho")</f>
        <v>SoC_BA_Simoes Filho</v>
      </c>
      <c r="C2324" s="234" t="str">
        <f>IFERROR(__xludf.DUMMYFUNCTION("""COMPUTED_VALUE"""),"SOC-BA2")</f>
        <v>SOC-BA2</v>
      </c>
      <c r="D2324" s="234">
        <f>IFERROR(__xludf.DUMMYFUNCTION("""COMPUTED_VALUE"""),46.0)</f>
        <v>46</v>
      </c>
      <c r="E2324" s="237" t="str">
        <f>IFERROR(__xludf.DUMMYFUNCTION("""COMPUTED_VALUE"""),"LT1PCB01U4M61")</f>
        <v>LT1PCB01U4M61</v>
      </c>
      <c r="F2324" s="238" t="str">
        <f>IFERROR(__xludf.DUMMYFUNCTION("""COMPUTED_VALUE"""),"FPL9G07,TWY1I90")</f>
        <v>FPL9G07,TWY1I90</v>
      </c>
      <c r="G2324" s="238">
        <f>IFERROR(__xludf.DUMMYFUNCTION("""COMPUTED_VALUE"""),46002.08333333333)</f>
        <v>46002.08333</v>
      </c>
      <c r="H2324" s="238">
        <f>IFERROR(__xludf.DUMMYFUNCTION("""COMPUTED_VALUE"""),46002.16666666667)</f>
        <v>46002.16667</v>
      </c>
      <c r="I2324" s="237" t="str">
        <f t="shared" si="1"/>
        <v>Fora</v>
      </c>
      <c r="J2324" s="239">
        <v>120.00000001396984</v>
      </c>
    </row>
    <row r="2325">
      <c r="A2325" s="234" t="s">
        <v>3959</v>
      </c>
      <c r="B2325" s="234" t="str">
        <f>IFERROR(__xludf.DUMMYFUNCTION("""COMPUTED_VALUE"""),"SoC_PR_Curitiba")</f>
        <v>SoC_PR_Curitiba</v>
      </c>
      <c r="C2325" s="234" t="str">
        <f>IFERROR(__xludf.DUMMYFUNCTION("""COMPUTED_VALUE"""),"SOC-PR1")</f>
        <v>SOC-PR1</v>
      </c>
      <c r="D2325" s="234">
        <f>IFERROR(__xludf.DUMMYFUNCTION("""COMPUTED_VALUE"""),9.0)</f>
        <v>9</v>
      </c>
      <c r="E2325" s="237" t="str">
        <f>IFERROR(__xludf.DUMMYFUNCTION("""COMPUTED_VALUE"""),"LT0PCB01TNZN1")</f>
        <v>LT0PCB01TNZN1</v>
      </c>
      <c r="F2325" s="238" t="str">
        <f>IFERROR(__xludf.DUMMYFUNCTION("""COMPUTED_VALUE"""),"TAO3B09,AXR3424")</f>
        <v>TAO3B09,AXR3424</v>
      </c>
      <c r="G2325" s="238">
        <f>IFERROR(__xludf.DUMMYFUNCTION("""COMPUTED_VALUE"""),46002.08333333333)</f>
        <v>46002.08333</v>
      </c>
      <c r="H2325" s="238">
        <f>IFERROR(__xludf.DUMMYFUNCTION("""COMPUTED_VALUE"""),46002.16666666667)</f>
        <v>46002.16667</v>
      </c>
      <c r="I2325" s="237" t="str">
        <f t="shared" si="1"/>
        <v>Fora</v>
      </c>
      <c r="J2325" s="239">
        <v>120.00000001396984</v>
      </c>
    </row>
    <row r="2326">
      <c r="A2326" s="234" t="s">
        <v>3960</v>
      </c>
      <c r="B2326" s="234" t="str">
        <f>IFERROR(__xludf.DUMMYFUNCTION("""COMPUTED_VALUE"""),"SoC_PR_Curitiba")</f>
        <v>SoC_PR_Curitiba</v>
      </c>
      <c r="C2326" s="234" t="str">
        <f>IFERROR(__xludf.DUMMYFUNCTION("""COMPUTED_VALUE"""),"SOC-PR1")</f>
        <v>SOC-PR1</v>
      </c>
      <c r="D2326" s="234">
        <f>IFERROR(__xludf.DUMMYFUNCTION("""COMPUTED_VALUE"""),49.0)</f>
        <v>49</v>
      </c>
      <c r="E2326" s="237" t="str">
        <f>IFERROR(__xludf.DUMMYFUNCTION("""COMPUTED_VALUE"""),"LT1PCB01U4011")</f>
        <v>LT1PCB01U4011</v>
      </c>
      <c r="F2326" s="238" t="str">
        <f>IFERROR(__xludf.DUMMYFUNCTION("""COMPUTED_VALUE"""),"RYP4C23,GAL2B14")</f>
        <v>RYP4C23,GAL2B14</v>
      </c>
      <c r="G2326" s="238">
        <f>IFERROR(__xludf.DUMMYFUNCTION("""COMPUTED_VALUE"""),46002.08333333333)</f>
        <v>46002.08333</v>
      </c>
      <c r="H2326" s="238">
        <f>IFERROR(__xludf.DUMMYFUNCTION("""COMPUTED_VALUE"""),46002.16666666667)</f>
        <v>46002.16667</v>
      </c>
      <c r="I2326" s="237" t="str">
        <f t="shared" si="1"/>
        <v>Fora</v>
      </c>
      <c r="J2326" s="239">
        <v>120.00000001396984</v>
      </c>
    </row>
    <row r="2327">
      <c r="A2327" s="234" t="s">
        <v>3961</v>
      </c>
      <c r="B2327" s="234" t="str">
        <f>IFERROR(__xludf.DUMMYFUNCTION("""COMPUTED_VALUE"""),"SoC_RS_Gravataí_02")</f>
        <v>SoC_RS_Gravataí_02</v>
      </c>
      <c r="C2327" s="234" t="str">
        <f>IFERROR(__xludf.DUMMYFUNCTION("""COMPUTED_VALUE"""),"SOC-RS2")</f>
        <v>SOC-RS2</v>
      </c>
      <c r="D2327" s="234">
        <f>IFERROR(__xludf.DUMMYFUNCTION("""COMPUTED_VALUE"""),25.0)</f>
        <v>25</v>
      </c>
      <c r="E2327" s="237" t="str">
        <f>IFERROR(__xludf.DUMMYFUNCTION("""COMPUTED_VALUE"""),"LT1PCB01U4051")</f>
        <v>LT1PCB01U4051</v>
      </c>
      <c r="F2327" s="238" t="str">
        <f>IFERROR(__xludf.DUMMYFUNCTION("""COMPUTED_VALUE"""),"UGJ3H55")</f>
        <v>UGJ3H55</v>
      </c>
      <c r="G2327" s="238">
        <f>IFERROR(__xludf.DUMMYFUNCTION("""COMPUTED_VALUE"""),46002.08333333333)</f>
        <v>46002.08333</v>
      </c>
      <c r="H2327" s="238">
        <f>IFERROR(__xludf.DUMMYFUNCTION("""COMPUTED_VALUE"""),46002.16666666667)</f>
        <v>46002.16667</v>
      </c>
      <c r="I2327" s="237" t="str">
        <f t="shared" si="1"/>
        <v>Fora</v>
      </c>
      <c r="J2327" s="239">
        <v>119.00000001071021</v>
      </c>
    </row>
    <row r="2328">
      <c r="A2328" s="234" t="s">
        <v>3962</v>
      </c>
      <c r="B2328" s="234" t="str">
        <f>IFERROR(__xludf.DUMMYFUNCTION("""COMPUTED_VALUE"""),"LM Hub_SP_Tatuí")</f>
        <v>LM Hub_SP_Tatuí</v>
      </c>
      <c r="C2328" s="234" t="str">
        <f>IFERROR(__xludf.DUMMYFUNCTION("""COMPUTED_VALUE"""),"HUB-LSP-51")</f>
        <v>HUB-LSP-51</v>
      </c>
      <c r="D2328" s="234">
        <f>IFERROR(__xludf.DUMMYFUNCTION("""COMPUTED_VALUE"""),19.0)</f>
        <v>19</v>
      </c>
      <c r="E2328" s="237" t="str">
        <f>IFERROR(__xludf.DUMMYFUNCTION("""COMPUTED_VALUE"""),"LT0PCB01TO7B1")</f>
        <v>LT0PCB01TO7B1</v>
      </c>
      <c r="F2328" s="238" t="str">
        <f>IFERROR(__xludf.DUMMYFUNCTION("""COMPUTED_VALUE"""),"GFM6E44,GBH5G53")</f>
        <v>GFM6E44,GBH5G53</v>
      </c>
      <c r="G2328" s="238">
        <f>IFERROR(__xludf.DUMMYFUNCTION("""COMPUTED_VALUE"""),46002.084027777775)</f>
        <v>46002.08403</v>
      </c>
      <c r="H2328" s="238">
        <f>IFERROR(__xludf.DUMMYFUNCTION("""COMPUTED_VALUE"""),46002.16666666667)</f>
        <v>46002.16667</v>
      </c>
      <c r="I2328" s="237" t="str">
        <f t="shared" si="1"/>
        <v>Fora</v>
      </c>
      <c r="J2328" s="239">
        <v>119.99999999301508</v>
      </c>
    </row>
    <row r="2329">
      <c r="A2329" s="234" t="s">
        <v>3963</v>
      </c>
      <c r="B2329" s="234" t="str">
        <f>IFERROR(__xludf.DUMMYFUNCTION("""COMPUTED_VALUE"""),"LM Hub_SP_Itapetininga")</f>
        <v>LM Hub_SP_Itapetininga</v>
      </c>
      <c r="C2329" s="234" t="str">
        <f>IFERROR(__xludf.DUMMYFUNCTION("""COMPUTED_VALUE"""),"HUB-LSP-53")</f>
        <v>HUB-LSP-53</v>
      </c>
      <c r="D2329" s="234">
        <f>IFERROR(__xludf.DUMMYFUNCTION("""COMPUTED_VALUE"""),41.0)</f>
        <v>41</v>
      </c>
      <c r="E2329" s="237" t="str">
        <f>IFERROR(__xludf.DUMMYFUNCTION("""COMPUTED_VALUE"""),"LT0PCB01TO711")</f>
        <v>LT0PCB01TO711</v>
      </c>
      <c r="F2329" s="238" t="str">
        <f>IFERROR(__xludf.DUMMYFUNCTION("""COMPUTED_VALUE"""),"FLQ1E34,FLQ1E30")</f>
        <v>FLQ1E34,FLQ1E30</v>
      </c>
      <c r="G2329" s="238">
        <f>IFERROR(__xludf.DUMMYFUNCTION("""COMPUTED_VALUE"""),46002.10416666667)</f>
        <v>46002.10417</v>
      </c>
      <c r="H2329" s="238">
        <f>IFERROR(__xludf.DUMMYFUNCTION("""COMPUTED_VALUE"""),46002.1875)</f>
        <v>46002.1875</v>
      </c>
      <c r="I2329" s="237" t="str">
        <f t="shared" si="1"/>
        <v>Fora</v>
      </c>
      <c r="J2329" s="239">
        <v>119.99999999301508</v>
      </c>
    </row>
    <row r="2330">
      <c r="A2330" s="234" t="s">
        <v>3964</v>
      </c>
      <c r="B2330" s="234" t="str">
        <f>IFERROR(__xludf.DUMMYFUNCTION("""COMPUTED_VALUE"""),"LM Hub_SP_São Carlos")</f>
        <v>LM Hub_SP_São Carlos</v>
      </c>
      <c r="C2330" s="234" t="str">
        <f>IFERROR(__xludf.DUMMYFUNCTION("""COMPUTED_VALUE"""),"HUB-LSP-31")</f>
        <v>HUB-LSP-31</v>
      </c>
      <c r="D2330" s="234">
        <f>IFERROR(__xludf.DUMMYFUNCTION("""COMPUTED_VALUE"""),32.0)</f>
        <v>32</v>
      </c>
      <c r="E2330" s="237" t="str">
        <f>IFERROR(__xludf.DUMMYFUNCTION("""COMPUTED_VALUE"""),"LT0PCB01TOCD1")</f>
        <v>LT0PCB01TOCD1</v>
      </c>
      <c r="F2330" s="238" t="str">
        <f>IFERROR(__xludf.DUMMYFUNCTION("""COMPUTED_VALUE"""),"EFO6B06,MJH0C66")</f>
        <v>EFO6B06,MJH0C66</v>
      </c>
      <c r="G2330" s="238">
        <f>IFERROR(__xludf.DUMMYFUNCTION("""COMPUTED_VALUE"""),46002.10416666667)</f>
        <v>46002.10417</v>
      </c>
      <c r="H2330" s="238">
        <f>IFERROR(__xludf.DUMMYFUNCTION("""COMPUTED_VALUE"""),46002.1875)</f>
        <v>46002.1875</v>
      </c>
      <c r="I2330" s="237" t="str">
        <f t="shared" si="1"/>
        <v>Fora</v>
      </c>
      <c r="J2330" s="239">
        <v>479.9999999930151</v>
      </c>
    </row>
    <row r="2331">
      <c r="A2331" s="234" t="s">
        <v>3965</v>
      </c>
      <c r="B2331" s="234" t="str">
        <f>IFERROR(__xludf.DUMMYFUNCTION("""COMPUTED_VALUE"""),"SoC_RJ_Duque de Caxias")</f>
        <v>SoC_RJ_Duque de Caxias</v>
      </c>
      <c r="C2331" s="234" t="str">
        <f>IFERROR(__xludf.DUMMYFUNCTION("""COMPUTED_VALUE"""),"SOC-RJ2")</f>
        <v>SOC-RJ2</v>
      </c>
      <c r="D2331" s="234">
        <f>IFERROR(__xludf.DUMMYFUNCTION("""COMPUTED_VALUE"""),47.0)</f>
        <v>47</v>
      </c>
      <c r="E2331" s="237" t="str">
        <f>IFERROR(__xludf.DUMMYFUNCTION("""COMPUTED_VALUE"""),"LT0PC901TRRD4")</f>
        <v>LT0PC901TRRD4</v>
      </c>
      <c r="F2331" s="238" t="str">
        <f>IFERROR(__xludf.DUMMYFUNCTION("""COMPUTED_VALUE"""),"FYC5A56,FFN6D90")</f>
        <v>FYC5A56,FFN6D90</v>
      </c>
      <c r="G2331" s="238">
        <f>IFERROR(__xludf.DUMMYFUNCTION("""COMPUTED_VALUE"""),46001.875)</f>
        <v>46001.875</v>
      </c>
      <c r="H2331" s="238">
        <f>IFERROR(__xludf.DUMMYFUNCTION("""COMPUTED_VALUE"""),46002.20833333333)</f>
        <v>46002.20833</v>
      </c>
      <c r="I2331" s="237" t="str">
        <f t="shared" si="1"/>
        <v>Fora</v>
      </c>
      <c r="J2331" s="239">
        <v>119.99999999301508</v>
      </c>
    </row>
    <row r="2332">
      <c r="A2332" s="234" t="s">
        <v>3966</v>
      </c>
      <c r="B2332" s="234" t="str">
        <f>IFERROR(__xludf.DUMMYFUNCTION("""COMPUTED_VALUE"""),"LM Hub_SP_Itapeva")</f>
        <v>LM Hub_SP_Itapeva</v>
      </c>
      <c r="C2332" s="234" t="str">
        <f>IFERROR(__xludf.DUMMYFUNCTION("""COMPUTED_VALUE"""),"HUB-LSP-39")</f>
        <v>HUB-LSP-39</v>
      </c>
      <c r="D2332" s="234">
        <f>IFERROR(__xludf.DUMMYFUNCTION("""COMPUTED_VALUE"""),7.0)</f>
        <v>7</v>
      </c>
      <c r="E2332" s="237" t="str">
        <f>IFERROR(__xludf.DUMMYFUNCTION("""COMPUTED_VALUE"""),"LT0PCB01TO7M1")</f>
        <v>LT0PCB01TO7M1</v>
      </c>
      <c r="F2332" s="238" t="str">
        <f>IFERROR(__xludf.DUMMYFUNCTION("""COMPUTED_VALUE"""),"CUH2F79,TMH2I20")</f>
        <v>CUH2F79,TMH2I20</v>
      </c>
      <c r="G2332" s="238">
        <f>IFERROR(__xludf.DUMMYFUNCTION("""COMPUTED_VALUE"""),46002.125)</f>
        <v>46002.125</v>
      </c>
      <c r="H2332" s="238">
        <f>IFERROR(__xludf.DUMMYFUNCTION("""COMPUTED_VALUE"""),46002.20833333333)</f>
        <v>46002.20833</v>
      </c>
      <c r="I2332" s="237" t="str">
        <f t="shared" si="1"/>
        <v>Fora</v>
      </c>
      <c r="J2332" s="239">
        <v>119.99999999301508</v>
      </c>
    </row>
    <row r="2333">
      <c r="A2333" s="234" t="s">
        <v>3967</v>
      </c>
      <c r="B2333" s="234" t="str">
        <f>IFERROR(__xludf.DUMMYFUNCTION("""COMPUTED_VALUE"""),"LM Hub_SP_Sumaré_Nova Veneza_1")</f>
        <v>LM Hub_SP_Sumaré_Nova Veneza_1</v>
      </c>
      <c r="C2333" s="234" t="str">
        <f>IFERROR(__xludf.DUMMYFUNCTION("""COMPUTED_VALUE"""),"HUB-LSP-88")</f>
        <v>HUB-LSP-88</v>
      </c>
      <c r="D2333" s="234">
        <f>IFERROR(__xludf.DUMMYFUNCTION("""COMPUTED_VALUE"""),37.0)</f>
        <v>37</v>
      </c>
      <c r="E2333" s="237" t="str">
        <f>IFERROR(__xludf.DUMMYFUNCTION("""COMPUTED_VALUE"""),"LT0PCB01TV4W1")</f>
        <v>LT0PCB01TV4W1</v>
      </c>
      <c r="F2333" s="238" t="str">
        <f>IFERROR(__xludf.DUMMYFUNCTION("""COMPUTED_VALUE"""),"SXK8E70,SXS2F29")</f>
        <v>SXK8E70,SXS2F29</v>
      </c>
      <c r="G2333" s="238">
        <f>IFERROR(__xludf.DUMMYFUNCTION("""COMPUTED_VALUE"""),46002.125)</f>
        <v>46002.125</v>
      </c>
      <c r="H2333" s="238">
        <f>IFERROR(__xludf.DUMMYFUNCTION("""COMPUTED_VALUE"""),46002.20833333333)</f>
        <v>46002.20833</v>
      </c>
      <c r="I2333" s="237" t="str">
        <f t="shared" si="1"/>
        <v>Fora</v>
      </c>
      <c r="J2333" s="239">
        <v>119.99999999301508</v>
      </c>
    </row>
    <row r="2334">
      <c r="A2334" s="234" t="s">
        <v>3968</v>
      </c>
      <c r="B2334" s="234" t="str">
        <f>IFERROR(__xludf.DUMMYFUNCTION("""COMPUTED_VALUE"""),"SoC_PE_Jaboatão dos Guararapes")</f>
        <v>SoC_PE_Jaboatão dos Guararapes</v>
      </c>
      <c r="C2334" s="234" t="str">
        <f>IFERROR(__xludf.DUMMYFUNCTION("""COMPUTED_VALUE"""),"SOC-PE2")</f>
        <v>SOC-PE2</v>
      </c>
      <c r="D2334" s="234">
        <f>IFERROR(__xludf.DUMMYFUNCTION("""COMPUTED_VALUE"""),22.0)</f>
        <v>22</v>
      </c>
      <c r="E2334" s="237" t="str">
        <f>IFERROR(__xludf.DUMMYFUNCTION("""COMPUTED_VALUE"""),"LT0PCB01TVIO1")</f>
        <v>LT0PCB01TVIO1</v>
      </c>
      <c r="F2334" s="238" t="str">
        <f>IFERROR(__xludf.DUMMYFUNCTION("""COMPUTED_VALUE"""),"FJO6G29,TXA9C90")</f>
        <v>FJO6G29,TXA9C90</v>
      </c>
      <c r="G2334" s="238">
        <f>IFERROR(__xludf.DUMMYFUNCTION("""COMPUTED_VALUE"""),46002.125)</f>
        <v>46002.125</v>
      </c>
      <c r="H2334" s="238">
        <f>IFERROR(__xludf.DUMMYFUNCTION("""COMPUTED_VALUE"""),46002.20833333333)</f>
        <v>46002.20833</v>
      </c>
      <c r="I2334" s="237" t="str">
        <f t="shared" si="1"/>
        <v>Fora</v>
      </c>
      <c r="J2334" s="239">
        <v>119.99999999301508</v>
      </c>
    </row>
    <row r="2335">
      <c r="A2335" s="234" t="s">
        <v>3969</v>
      </c>
      <c r="B2335" s="234" t="str">
        <f>IFERROR(__xludf.DUMMYFUNCTION("""COMPUTED_VALUE"""),"SoC_SC_Itajaí")</f>
        <v>SoC_SC_Itajaí</v>
      </c>
      <c r="C2335" s="234" t="str">
        <f>IFERROR(__xludf.DUMMYFUNCTION("""COMPUTED_VALUE"""),"SOC-SC1")</f>
        <v>SOC-SC1</v>
      </c>
      <c r="D2335" s="234">
        <f>IFERROR(__xludf.DUMMYFUNCTION("""COMPUTED_VALUE"""),24.0)</f>
        <v>24</v>
      </c>
      <c r="E2335" s="237" t="str">
        <f>IFERROR(__xludf.DUMMYFUNCTION("""COMPUTED_VALUE"""),"LT0PCB01TUIY1")</f>
        <v>LT0PCB01TUIY1</v>
      </c>
      <c r="F2335" s="238" t="str">
        <f>IFERROR(__xludf.DUMMYFUNCTION("""COMPUTED_VALUE"""),"FDK4E91,TAX4D15")</f>
        <v>FDK4E91,TAX4D15</v>
      </c>
      <c r="G2335" s="238">
        <f>IFERROR(__xludf.DUMMYFUNCTION("""COMPUTED_VALUE"""),46002.125)</f>
        <v>46002.125</v>
      </c>
      <c r="H2335" s="238">
        <f>IFERROR(__xludf.DUMMYFUNCTION("""COMPUTED_VALUE"""),46002.20833333333)</f>
        <v>46002.20833</v>
      </c>
      <c r="I2335" s="237" t="str">
        <f t="shared" si="1"/>
        <v>Fora</v>
      </c>
      <c r="J2335" s="239">
        <v>119.99999999301508</v>
      </c>
    </row>
    <row r="2336">
      <c r="A2336" s="234" t="s">
        <v>3970</v>
      </c>
      <c r="B2336" s="234" t="str">
        <f>IFERROR(__xludf.DUMMYFUNCTION("""COMPUTED_VALUE"""),"SoC_SP_Louveira")</f>
        <v>SoC_SP_Louveira</v>
      </c>
      <c r="C2336" s="234" t="str">
        <f>IFERROR(__xludf.DUMMYFUNCTION("""COMPUTED_VALUE"""),"SOC-SP7")</f>
        <v>SOC-SP7</v>
      </c>
      <c r="D2336" s="234"/>
      <c r="E2336" s="237" t="str">
        <f>IFERROR(__xludf.DUMMYFUNCTION("""COMPUTED_VALUE"""),"LT1PCB01U3ZR1")</f>
        <v>LT1PCB01U3ZR1</v>
      </c>
      <c r="F2336" s="238" t="str">
        <f>IFERROR(__xludf.DUMMYFUNCTION("""COMPUTED_VALUE"""),"ISQ7F01,ANM9G89")</f>
        <v>ISQ7F01,ANM9G89</v>
      </c>
      <c r="G2336" s="238">
        <f>IFERROR(__xludf.DUMMYFUNCTION("""COMPUTED_VALUE"""),46002.125)</f>
        <v>46002.125</v>
      </c>
      <c r="H2336" s="238">
        <f>IFERROR(__xludf.DUMMYFUNCTION("""COMPUTED_VALUE"""),46002.20833333333)</f>
        <v>46002.20833</v>
      </c>
      <c r="I2336" s="237" t="str">
        <f t="shared" si="1"/>
        <v>Fora</v>
      </c>
      <c r="J2336" s="239">
        <v>120.00000001396984</v>
      </c>
    </row>
    <row r="2337">
      <c r="A2337" s="234" t="s">
        <v>3971</v>
      </c>
      <c r="B2337" s="234" t="str">
        <f>IFERROR(__xludf.DUMMYFUNCTION("""COMPUTED_VALUE"""),"LM Hub_SP_Osasco_02")</f>
        <v>LM Hub_SP_Osasco_02</v>
      </c>
      <c r="C2337" s="234" t="str">
        <f>IFERROR(__xludf.DUMMYFUNCTION("""COMPUTED_VALUE"""),"HUB-LSP-60")</f>
        <v>HUB-LSP-60</v>
      </c>
      <c r="D2337" s="234">
        <f>IFERROR(__xludf.DUMMYFUNCTION("""COMPUTED_VALUE"""),28.0)</f>
        <v>28</v>
      </c>
      <c r="E2337" s="237" t="str">
        <f>IFERROR(__xludf.DUMMYFUNCTION("""COMPUTED_VALUE"""),"LT0PCB01TQHE1")</f>
        <v>LT0PCB01TQHE1</v>
      </c>
      <c r="F2337" s="238" t="str">
        <f>IFERROR(__xludf.DUMMYFUNCTION("""COMPUTED_VALUE"""),"CZZ8H88,CZZ8H89")</f>
        <v>CZZ8H88,CZZ8H89</v>
      </c>
      <c r="G2337" s="238">
        <f>IFERROR(__xludf.DUMMYFUNCTION("""COMPUTED_VALUE"""),46002.14583333333)</f>
        <v>46002.14583</v>
      </c>
      <c r="H2337" s="238">
        <f>IFERROR(__xludf.DUMMYFUNCTION("""COMPUTED_VALUE"""),46002.22916666667)</f>
        <v>46002.22917</v>
      </c>
      <c r="I2337" s="237" t="str">
        <f t="shared" si="1"/>
        <v>Fora</v>
      </c>
      <c r="J2337" s="239">
        <v>119.00000001071021</v>
      </c>
    </row>
    <row r="2338">
      <c r="A2338" s="234" t="s">
        <v>3972</v>
      </c>
      <c r="B2338" s="234" t="str">
        <f>IFERROR(__xludf.DUMMYFUNCTION("""COMPUTED_VALUE"""),"LM Hub_SP_Campinas_São Martinho")</f>
        <v>LM Hub_SP_Campinas_São Martinho</v>
      </c>
      <c r="C2338" s="234" t="str">
        <f>IFERROR(__xludf.DUMMYFUNCTION("""COMPUTED_VALUE"""),"HUB-LSP-19")</f>
        <v>HUB-LSP-19</v>
      </c>
      <c r="D2338" s="234">
        <f>IFERROR(__xludf.DUMMYFUNCTION("""COMPUTED_VALUE"""),14.0)</f>
        <v>14</v>
      </c>
      <c r="E2338" s="237" t="str">
        <f>IFERROR(__xludf.DUMMYFUNCTION("""COMPUTED_VALUE"""),"LT0PCB01TOEK1")</f>
        <v>LT0PCB01TOEK1</v>
      </c>
      <c r="F2338" s="238" t="str">
        <f>IFERROR(__xludf.DUMMYFUNCTION("""COMPUTED_VALUE"""),"AQM6H26,FZZ0G17")</f>
        <v>AQM6H26,FZZ0G17</v>
      </c>
      <c r="G2338" s="238">
        <f>IFERROR(__xludf.DUMMYFUNCTION("""COMPUTED_VALUE"""),46002.146527777775)</f>
        <v>46002.14653</v>
      </c>
      <c r="H2338" s="238">
        <f>IFERROR(__xludf.DUMMYFUNCTION("""COMPUTED_VALUE"""),46002.22916666667)</f>
        <v>46002.22917</v>
      </c>
      <c r="I2338" s="237" t="str">
        <f t="shared" si="1"/>
        <v>Fora</v>
      </c>
      <c r="J2338" s="239">
        <v>119.00000001071021</v>
      </c>
    </row>
    <row r="2339">
      <c r="A2339" s="234" t="s">
        <v>3973</v>
      </c>
      <c r="B2339" s="234" t="str">
        <f>IFERROR(__xludf.DUMMYFUNCTION("""COMPUTED_VALUE"""),"LM Hub_SP_Sorocaba_Região Norte")</f>
        <v>LM Hub_SP_Sorocaba_Região Norte</v>
      </c>
      <c r="C2339" s="234" t="str">
        <f>IFERROR(__xludf.DUMMYFUNCTION("""COMPUTED_VALUE"""),"HUB-LSP-10")</f>
        <v>HUB-LSP-10</v>
      </c>
      <c r="D2339" s="234">
        <f>IFERROR(__xludf.DUMMYFUNCTION("""COMPUTED_VALUE"""),17.0)</f>
        <v>17</v>
      </c>
      <c r="E2339" s="237" t="str">
        <f>IFERROR(__xludf.DUMMYFUNCTION("""COMPUTED_VALUE"""),"LT0PCB01TOA31")</f>
        <v>LT0PCB01TOA31</v>
      </c>
      <c r="F2339" s="238" t="str">
        <f>IFERROR(__xludf.DUMMYFUNCTION("""COMPUTED_VALUE"""),"NFW3H03,CYN6J16")</f>
        <v>NFW3H03,CYN6J16</v>
      </c>
      <c r="G2339" s="238">
        <f>IFERROR(__xludf.DUMMYFUNCTION("""COMPUTED_VALUE"""),46002.146527777775)</f>
        <v>46002.14653</v>
      </c>
      <c r="H2339" s="238">
        <f>IFERROR(__xludf.DUMMYFUNCTION("""COMPUTED_VALUE"""),46002.22916666667)</f>
        <v>46002.22917</v>
      </c>
      <c r="I2339" s="237" t="str">
        <f t="shared" si="1"/>
        <v>Fora</v>
      </c>
      <c r="J2339" s="239">
        <v>119.00000001071021</v>
      </c>
    </row>
    <row r="2340">
      <c r="A2340" s="234" t="s">
        <v>3974</v>
      </c>
      <c r="B2340" s="234" t="str">
        <f>IFERROR(__xludf.DUMMYFUNCTION("""COMPUTED_VALUE"""),"LM Hub_SP_Sorocaba_Região Norte")</f>
        <v>LM Hub_SP_Sorocaba_Região Norte</v>
      </c>
      <c r="C2340" s="234" t="str">
        <f>IFERROR(__xludf.DUMMYFUNCTION("""COMPUTED_VALUE"""),"HUB-LSP-10")</f>
        <v>HUB-LSP-10</v>
      </c>
      <c r="D2340" s="234"/>
      <c r="E2340" s="237" t="str">
        <f>IFERROR(__xludf.DUMMYFUNCTION("""COMPUTED_VALUE"""),"LT0PCB01TOA52")</f>
        <v>LT0PCB01TOA52</v>
      </c>
      <c r="F2340" s="238" t="str">
        <f>IFERROR(__xludf.DUMMYFUNCTION("""COMPUTED_VALUE"""),"DNU8E03,MGA6B94")</f>
        <v>DNU8E03,MGA6B94</v>
      </c>
      <c r="G2340" s="238">
        <f>IFERROR(__xludf.DUMMYFUNCTION("""COMPUTED_VALUE"""),46002.146527777775)</f>
        <v>46002.14653</v>
      </c>
      <c r="H2340" s="238">
        <f>IFERROR(__xludf.DUMMYFUNCTION("""COMPUTED_VALUE"""),46002.22916666667)</f>
        <v>46002.22917</v>
      </c>
      <c r="I2340" s="237" t="str">
        <f t="shared" si="1"/>
        <v>Fora</v>
      </c>
      <c r="J2340" s="239">
        <v>60.00000000698492</v>
      </c>
    </row>
    <row r="2341">
      <c r="A2341" s="234" t="s">
        <v>3975</v>
      </c>
      <c r="B2341" s="234" t="str">
        <f>IFERROR(__xludf.DUMMYFUNCTION("""COMPUTED_VALUE"""),"LM Hub_SP_Mogi Mirim")</f>
        <v>LM Hub_SP_Mogi Mirim</v>
      </c>
      <c r="C2341" s="234" t="str">
        <f>IFERROR(__xludf.DUMMYFUNCTION("""COMPUTED_VALUE"""),"HUB-LSP-37")</f>
        <v>HUB-LSP-37</v>
      </c>
      <c r="D2341" s="234">
        <f>IFERROR(__xludf.DUMMYFUNCTION("""COMPUTED_VALUE"""),36.0)</f>
        <v>36</v>
      </c>
      <c r="E2341" s="237" t="str">
        <f>IFERROR(__xludf.DUMMYFUNCTION("""COMPUTED_VALUE"""),"LT0PCB01TOCV1")</f>
        <v>LT0PCB01TOCV1</v>
      </c>
      <c r="F2341" s="238" t="str">
        <f>IFERROR(__xludf.DUMMYFUNCTION("""COMPUTED_VALUE"""),"TJE8E15")</f>
        <v>TJE8E15</v>
      </c>
      <c r="G2341" s="238">
        <f>IFERROR(__xludf.DUMMYFUNCTION("""COMPUTED_VALUE"""),46002.1875)</f>
        <v>46002.1875</v>
      </c>
      <c r="H2341" s="238">
        <f>IFERROR(__xludf.DUMMYFUNCTION("""COMPUTED_VALUE"""),46002.22916666667)</f>
        <v>46002.22917</v>
      </c>
      <c r="I2341" s="237" t="str">
        <f t="shared" si="1"/>
        <v>Fora</v>
      </c>
      <c r="J2341" s="239">
        <v>119.99999999301508</v>
      </c>
    </row>
    <row r="2342">
      <c r="A2342" s="234" t="s">
        <v>128</v>
      </c>
      <c r="B2342" s="234" t="str">
        <f>IFERROR(__xludf.DUMMYFUNCTION("""COMPUTED_VALUE"""),"LM Hub_SP_Guaratinguetá")</f>
        <v>LM Hub_SP_Guaratinguetá</v>
      </c>
      <c r="C2342" s="234" t="str">
        <f>IFERROR(__xludf.DUMMYFUNCTION("""COMPUTED_VALUE"""),"HUB-LSP-33")</f>
        <v>HUB-LSP-33</v>
      </c>
      <c r="D2342" s="234">
        <f>IFERROR(__xludf.DUMMYFUNCTION("""COMPUTED_VALUE"""),13.0)</f>
        <v>13</v>
      </c>
      <c r="E2342" s="237" t="str">
        <f>IFERROR(__xludf.DUMMYFUNCTION("""COMPUTED_VALUE"""),"LT0PCB01TO911")</f>
        <v>LT0PCB01TO911</v>
      </c>
      <c r="F2342" s="238" t="str">
        <f>IFERROR(__xludf.DUMMYFUNCTION("""COMPUTED_VALUE"""),"EKH3880,EKH3881")</f>
        <v>EKH3880,EKH3881</v>
      </c>
      <c r="G2342" s="238">
        <f>IFERROR(__xludf.DUMMYFUNCTION("""COMPUTED_VALUE"""),46002.16666666667)</f>
        <v>46002.16667</v>
      </c>
      <c r="H2342" s="238">
        <f>IFERROR(__xludf.DUMMYFUNCTION("""COMPUTED_VALUE"""),46002.25)</f>
        <v>46002.25</v>
      </c>
      <c r="I2342" s="237" t="str">
        <f t="shared" si="1"/>
        <v>Fora</v>
      </c>
      <c r="J2342" s="239">
        <v>119.99999999301508</v>
      </c>
    </row>
    <row r="2343">
      <c r="A2343" s="234" t="s">
        <v>130</v>
      </c>
      <c r="B2343" s="234" t="str">
        <f>IFERROR(__xludf.DUMMYFUNCTION("""COMPUTED_VALUE"""),"LM Hub_SP_Limeira_Campo Belo")</f>
        <v>LM Hub_SP_Limeira_Campo Belo</v>
      </c>
      <c r="C2343" s="234" t="str">
        <f>IFERROR(__xludf.DUMMYFUNCTION("""COMPUTED_VALUE"""),"HUB-LSP-24")</f>
        <v>HUB-LSP-24</v>
      </c>
      <c r="D2343" s="234"/>
      <c r="E2343" s="237" t="str">
        <f>IFERROR(__xludf.DUMMYFUNCTION("""COMPUTED_VALUE"""),"LT0PCB01TOB11")</f>
        <v>LT0PCB01TOB11</v>
      </c>
      <c r="F2343" s="238" t="str">
        <f>IFERROR(__xludf.DUMMYFUNCTION("""COMPUTED_VALUE"""),"FLO1G76")</f>
        <v>FLO1G76</v>
      </c>
      <c r="G2343" s="238">
        <f>IFERROR(__xludf.DUMMYFUNCTION("""COMPUTED_VALUE"""),46002.16666666667)</f>
        <v>46002.16667</v>
      </c>
      <c r="H2343" s="238">
        <f>IFERROR(__xludf.DUMMYFUNCTION("""COMPUTED_VALUE"""),46002.25)</f>
        <v>46002.25</v>
      </c>
      <c r="I2343" s="237" t="str">
        <f t="shared" si="1"/>
        <v>Fora</v>
      </c>
      <c r="J2343" s="239">
        <v>119.99999999301508</v>
      </c>
    </row>
    <row r="2344">
      <c r="A2344" s="234" t="s">
        <v>132</v>
      </c>
      <c r="B2344" s="234" t="str">
        <f>IFERROR(__xludf.DUMMYFUNCTION("""COMPUTED_VALUE"""),"LM Hub_SP_Registro")</f>
        <v>LM Hub_SP_Registro</v>
      </c>
      <c r="C2344" s="234" t="str">
        <f>IFERROR(__xludf.DUMMYFUNCTION("""COMPUTED_VALUE"""),"-")</f>
        <v>-</v>
      </c>
      <c r="D2344" s="234">
        <f>IFERROR(__xludf.DUMMYFUNCTION("""COMPUTED_VALUE"""),5.0)</f>
        <v>5</v>
      </c>
      <c r="E2344" s="237" t="str">
        <f>IFERROR(__xludf.DUMMYFUNCTION("""COMPUTED_VALUE"""),"LT0PCB01TO8N1")</f>
        <v>LT0PCB01TO8N1</v>
      </c>
      <c r="F2344" s="238" t="str">
        <f>IFERROR(__xludf.DUMMYFUNCTION("""COMPUTED_VALUE"""),"CSK6J01,CSK6J02")</f>
        <v>CSK6J01,CSK6J02</v>
      </c>
      <c r="G2344" s="238">
        <f>IFERROR(__xludf.DUMMYFUNCTION("""COMPUTED_VALUE"""),46002.16666666667)</f>
        <v>46002.16667</v>
      </c>
      <c r="H2344" s="238">
        <f>IFERROR(__xludf.DUMMYFUNCTION("""COMPUTED_VALUE"""),46002.25)</f>
        <v>46002.25</v>
      </c>
      <c r="I2344" s="237" t="str">
        <f t="shared" si="1"/>
        <v>Fora</v>
      </c>
      <c r="J2344" s="239">
        <v>119.99999999301508</v>
      </c>
    </row>
    <row r="2345">
      <c r="A2345" s="234" t="s">
        <v>133</v>
      </c>
      <c r="B2345" s="234" t="str">
        <f>IFERROR(__xludf.DUMMYFUNCTION("""COMPUTED_VALUE"""),"LM Hub_SP_São Bernardo do Campo")</f>
        <v>LM Hub_SP_São Bernardo do Campo</v>
      </c>
      <c r="C2345" s="234" t="str">
        <f>IFERROR(__xludf.DUMMYFUNCTION("""COMPUTED_VALUE"""),"HUB-LSP-79")</f>
        <v>HUB-LSP-79</v>
      </c>
      <c r="D2345" s="234"/>
      <c r="E2345" s="237" t="str">
        <f>IFERROR(__xludf.DUMMYFUNCTION("""COMPUTED_VALUE"""),"LT0PCB01TPG31")</f>
        <v>LT0PCB01TPG31</v>
      </c>
      <c r="F2345" s="238" t="str">
        <f>IFERROR(__xludf.DUMMYFUNCTION("""COMPUTED_VALUE"""),"GBE0G47,FJP5G21")</f>
        <v>GBE0G47,FJP5G21</v>
      </c>
      <c r="G2345" s="238">
        <f>IFERROR(__xludf.DUMMYFUNCTION("""COMPUTED_VALUE"""),46002.16666666667)</f>
        <v>46002.16667</v>
      </c>
      <c r="H2345" s="238">
        <f>IFERROR(__xludf.DUMMYFUNCTION("""COMPUTED_VALUE"""),46002.25)</f>
        <v>46002.25</v>
      </c>
      <c r="I2345" s="237" t="str">
        <f t="shared" si="1"/>
        <v>Fora</v>
      </c>
      <c r="J2345" s="239">
        <v>119.99999999301508</v>
      </c>
    </row>
    <row r="2346">
      <c r="A2346" s="234" t="s">
        <v>134</v>
      </c>
      <c r="B2346" s="234" t="str">
        <f>IFERROR(__xludf.DUMMYFUNCTION("""COMPUTED_VALUE"""),"LM Hub_SP_Várzea Paulista")</f>
        <v>LM Hub_SP_Várzea Paulista</v>
      </c>
      <c r="C2346" s="234" t="str">
        <f>IFERROR(__xludf.DUMMYFUNCTION("""COMPUTED_VALUE"""),"HUB-LSP-61")</f>
        <v>HUB-LSP-61</v>
      </c>
      <c r="D2346" s="234">
        <f>IFERROR(__xludf.DUMMYFUNCTION("""COMPUTED_VALUE"""),45.0)</f>
        <v>45</v>
      </c>
      <c r="E2346" s="237" t="str">
        <f>IFERROR(__xludf.DUMMYFUNCTION("""COMPUTED_VALUE"""),"LT0PCB01TOBI1")</f>
        <v>LT0PCB01TOBI1</v>
      </c>
      <c r="F2346" s="238" t="str">
        <f>IFERROR(__xludf.DUMMYFUNCTION("""COMPUTED_VALUE"""),"DPR5J10,FVZ1I26")</f>
        <v>DPR5J10,FVZ1I26</v>
      </c>
      <c r="G2346" s="238">
        <f>IFERROR(__xludf.DUMMYFUNCTION("""COMPUTED_VALUE"""),46002.16666666667)</f>
        <v>46002.16667</v>
      </c>
      <c r="H2346" s="238">
        <f>IFERROR(__xludf.DUMMYFUNCTION("""COMPUTED_VALUE"""),46002.25)</f>
        <v>46002.25</v>
      </c>
      <c r="I2346" s="237" t="str">
        <f t="shared" si="1"/>
        <v>Fora</v>
      </c>
      <c r="J2346" s="239">
        <v>119.99999999301508</v>
      </c>
    </row>
    <row r="2347">
      <c r="A2347" s="234" t="s">
        <v>136</v>
      </c>
      <c r="B2347" s="234" t="str">
        <f>IFERROR(__xludf.DUMMYFUNCTION("""COMPUTED_VALUE"""),"SoC_RS_Gravataí_02")</f>
        <v>SoC_RS_Gravataí_02</v>
      </c>
      <c r="C2347" s="234" t="str">
        <f>IFERROR(__xludf.DUMMYFUNCTION("""COMPUTED_VALUE"""),"SOC-RS2")</f>
        <v>SOC-RS2</v>
      </c>
      <c r="D2347" s="234">
        <f>IFERROR(__xludf.DUMMYFUNCTION("""COMPUTED_VALUE"""),18.0)</f>
        <v>18</v>
      </c>
      <c r="E2347" s="237" t="str">
        <f>IFERROR(__xludf.DUMMYFUNCTION("""COMPUTED_VALUE"""),"LT1PCB01U4061")</f>
        <v>LT1PCB01U4061</v>
      </c>
      <c r="F2347" s="238" t="str">
        <f>IFERROR(__xludf.DUMMYFUNCTION("""COMPUTED_VALUE"""),"IQX8E14,AXI3D81")</f>
        <v>IQX8E14,AXI3D81</v>
      </c>
      <c r="G2347" s="238">
        <f>IFERROR(__xludf.DUMMYFUNCTION("""COMPUTED_VALUE"""),46002.16666666667)</f>
        <v>46002.16667</v>
      </c>
      <c r="H2347" s="238">
        <f>IFERROR(__xludf.DUMMYFUNCTION("""COMPUTED_VALUE"""),46002.25)</f>
        <v>46002.25</v>
      </c>
      <c r="I2347" s="237" t="str">
        <f t="shared" si="1"/>
        <v>Fora</v>
      </c>
      <c r="J2347" s="239">
        <v>119.99999999301508</v>
      </c>
    </row>
    <row r="2348">
      <c r="A2348" s="234" t="s">
        <v>3976</v>
      </c>
      <c r="B2348" s="234" t="str">
        <f>IFERROR(__xludf.DUMMYFUNCTION("""COMPUTED_VALUE"""),"SoC_SC_Itajaí")</f>
        <v>SoC_SC_Itajaí</v>
      </c>
      <c r="C2348" s="234" t="str">
        <f>IFERROR(__xludf.DUMMYFUNCTION("""COMPUTED_VALUE"""),"SOC-SC1")</f>
        <v>SOC-SC1</v>
      </c>
      <c r="D2348" s="234">
        <f>IFERROR(__xludf.DUMMYFUNCTION("""COMPUTED_VALUE"""),27.0)</f>
        <v>27</v>
      </c>
      <c r="E2348" s="237" t="str">
        <f>IFERROR(__xludf.DUMMYFUNCTION("""COMPUTED_VALUE"""),"LT1PCB01U4071")</f>
        <v>LT1PCB01U4071</v>
      </c>
      <c r="F2348" s="238" t="str">
        <f>IFERROR(__xludf.DUMMYFUNCTION("""COMPUTED_VALUE"""),"SXB6F25,RLF3F97")</f>
        <v>SXB6F25,RLF3F97</v>
      </c>
      <c r="G2348" s="238">
        <f>IFERROR(__xludf.DUMMYFUNCTION("""COMPUTED_VALUE"""),46002.16666666667)</f>
        <v>46002.16667</v>
      </c>
      <c r="H2348" s="238">
        <f>IFERROR(__xludf.DUMMYFUNCTION("""COMPUTED_VALUE"""),46002.25)</f>
        <v>46002.25</v>
      </c>
      <c r="I2348" s="237" t="str">
        <f t="shared" si="1"/>
        <v>Fora</v>
      </c>
      <c r="J2348" s="239">
        <v>119.99999999301508</v>
      </c>
    </row>
    <row r="2349">
      <c r="A2349" s="234" t="s">
        <v>140</v>
      </c>
      <c r="B2349" s="234" t="str">
        <f>IFERROR(__xludf.DUMMYFUNCTION("""COMPUTED_VALUE"""),"LM Hub_SP_Atibaia_Ponte_Alta")</f>
        <v>LM Hub_SP_Atibaia_Ponte_Alta</v>
      </c>
      <c r="C2349" s="234" t="str">
        <f>IFERROR(__xludf.DUMMYFUNCTION("""COMPUTED_VALUE"""),"HUB-LSP-87")</f>
        <v>HUB-LSP-87</v>
      </c>
      <c r="D2349" s="234"/>
      <c r="E2349" s="237" t="str">
        <f>IFERROR(__xludf.DUMMYFUNCTION("""COMPUTED_VALUE"""),"LT0PCB01TTRD1")</f>
        <v>LT0PCB01TTRD1</v>
      </c>
      <c r="F2349" s="238" t="str">
        <f>IFERROR(__xludf.DUMMYFUNCTION("""COMPUTED_VALUE"""),"FKD2E57,GGL9G29")</f>
        <v>FKD2E57,GGL9G29</v>
      </c>
      <c r="G2349" s="238">
        <f>IFERROR(__xludf.DUMMYFUNCTION("""COMPUTED_VALUE"""),46002.1875)</f>
        <v>46002.1875</v>
      </c>
      <c r="H2349" s="238">
        <f>IFERROR(__xludf.DUMMYFUNCTION("""COMPUTED_VALUE"""),46002.27083333333)</f>
        <v>46002.27083</v>
      </c>
      <c r="I2349" s="237" t="str">
        <f t="shared" si="1"/>
        <v>Fora</v>
      </c>
      <c r="J2349" s="239">
        <v>119.99999999301508</v>
      </c>
    </row>
    <row r="2350">
      <c r="A2350" s="234" t="s">
        <v>141</v>
      </c>
      <c r="B2350" s="234" t="str">
        <f>IFERROR(__xludf.DUMMYFUNCTION("""COMPUTED_VALUE"""),"LM Hub_SP_Taubaté")</f>
        <v>LM Hub_SP_Taubaté</v>
      </c>
      <c r="C2350" s="234" t="str">
        <f>IFERROR(__xludf.DUMMYFUNCTION("""COMPUTED_VALUE"""),"HUB-LSP-08")</f>
        <v>HUB-LSP-08</v>
      </c>
      <c r="D2350" s="234">
        <f>IFERROR(__xludf.DUMMYFUNCTION("""COMPUTED_VALUE"""),12.0)</f>
        <v>12</v>
      </c>
      <c r="E2350" s="237" t="str">
        <f>IFERROR(__xludf.DUMMYFUNCTION("""COMPUTED_VALUE"""),"LT0PCB01TN9W1")</f>
        <v>LT0PCB01TN9W1</v>
      </c>
      <c r="F2350" s="238" t="str">
        <f>IFERROR(__xludf.DUMMYFUNCTION("""COMPUTED_VALUE"""),"ASN0C15,MBC2C84")</f>
        <v>ASN0C15,MBC2C84</v>
      </c>
      <c r="G2350" s="238">
        <f>IFERROR(__xludf.DUMMYFUNCTION("""COMPUTED_VALUE"""),46002.1875)</f>
        <v>46002.1875</v>
      </c>
      <c r="H2350" s="238">
        <f>IFERROR(__xludf.DUMMYFUNCTION("""COMPUTED_VALUE"""),46002.27083333333)</f>
        <v>46002.27083</v>
      </c>
      <c r="I2350" s="237" t="str">
        <f t="shared" si="1"/>
        <v>Fora</v>
      </c>
      <c r="J2350" s="239">
        <v>118.99999998975545</v>
      </c>
    </row>
    <row r="2351">
      <c r="A2351" s="234" t="s">
        <v>142</v>
      </c>
      <c r="B2351" s="234" t="str">
        <f>IFERROR(__xludf.DUMMYFUNCTION("""COMPUTED_VALUE"""),"LM Hub_SP_Embu das Artes")</f>
        <v>LM Hub_SP_Embu das Artes</v>
      </c>
      <c r="C2351" s="234" t="str">
        <f>IFERROR(__xludf.DUMMYFUNCTION("""COMPUTED_VALUE"""),"HUB-LSP-36")</f>
        <v>HUB-LSP-36</v>
      </c>
      <c r="D2351" s="234"/>
      <c r="E2351" s="237" t="str">
        <f>IFERROR(__xludf.DUMMYFUNCTION("""COMPUTED_VALUE"""),"LT0PCB01TQJA1")</f>
        <v>LT0PCB01TQJA1</v>
      </c>
      <c r="F2351" s="238" t="str">
        <f>IFERROR(__xludf.DUMMYFUNCTION("""COMPUTED_VALUE"""),"-")</f>
        <v>-</v>
      </c>
      <c r="G2351" s="238">
        <f>IFERROR(__xludf.DUMMYFUNCTION("""COMPUTED_VALUE"""),46002.18819444445)</f>
        <v>46002.18819</v>
      </c>
      <c r="H2351" s="238">
        <f>IFERROR(__xludf.DUMMYFUNCTION("""COMPUTED_VALUE"""),46002.27083333333)</f>
        <v>46002.27083</v>
      </c>
      <c r="I2351" s="237" t="str">
        <f t="shared" si="1"/>
        <v>Fora</v>
      </c>
      <c r="J2351" s="239">
        <v>540.0</v>
      </c>
    </row>
    <row r="2352">
      <c r="A2352" s="234" t="s">
        <v>165</v>
      </c>
      <c r="B2352" s="234" t="str">
        <f>IFERROR(__xludf.DUMMYFUNCTION("""COMPUTED_VALUE"""),"SoC_SP_Cravinhos")</f>
        <v>SoC_SP_Cravinhos</v>
      </c>
      <c r="C2352" s="234" t="str">
        <f>IFERROR(__xludf.DUMMYFUNCTION("""COMPUTED_VALUE"""),"SOC-SP5")</f>
        <v>SOC-SP5</v>
      </c>
      <c r="D2352" s="234"/>
      <c r="E2352" s="237" t="str">
        <f>IFERROR(__xludf.DUMMYFUNCTION("""COMPUTED_VALUE"""),"LT0PCA01TO1U2")</f>
        <v>LT0PCA01TO1U2</v>
      </c>
      <c r="F2352" s="238" t="str">
        <f>IFERROR(__xludf.DUMMYFUNCTION("""COMPUTED_VALUE"""),"FDZ0F10,TIV4G86")</f>
        <v>FDZ0F10,TIV4G86</v>
      </c>
      <c r="G2352" s="238">
        <f>IFERROR(__xludf.DUMMYFUNCTION("""COMPUTED_VALUE"""),46001.91666666667)</f>
        <v>46001.91667</v>
      </c>
      <c r="H2352" s="238">
        <f>IFERROR(__xludf.DUMMYFUNCTION("""COMPUTED_VALUE"""),46002.29166666667)</f>
        <v>46002.29167</v>
      </c>
      <c r="I2352" s="237" t="str">
        <f t="shared" si="1"/>
        <v>Fora</v>
      </c>
      <c r="J2352" s="239">
        <v>540.0</v>
      </c>
    </row>
    <row r="2353">
      <c r="A2353" s="234" t="s">
        <v>168</v>
      </c>
      <c r="B2353" s="234" t="str">
        <f>IFERROR(__xludf.DUMMYFUNCTION("""COMPUTED_VALUE"""),"SoC_SP_Cravinhos")</f>
        <v>SoC_SP_Cravinhos</v>
      </c>
      <c r="C2353" s="234" t="str">
        <f>IFERROR(__xludf.DUMMYFUNCTION("""COMPUTED_VALUE"""),"SOC-SP5")</f>
        <v>SOC-SP5</v>
      </c>
      <c r="D2353" s="234"/>
      <c r="E2353" s="237" t="str">
        <f>IFERROR(__xludf.DUMMYFUNCTION("""COMPUTED_VALUE"""),"LT0PCA01TO1S1")</f>
        <v>LT0PCA01TO1S1</v>
      </c>
      <c r="F2353" s="238" t="str">
        <f>IFERROR(__xludf.DUMMYFUNCTION("""COMPUTED_VALUE"""),"DTE6I15,CUC6J54")</f>
        <v>DTE6I15,CUC6J54</v>
      </c>
      <c r="G2353" s="238">
        <f>IFERROR(__xludf.DUMMYFUNCTION("""COMPUTED_VALUE"""),46001.91666666667)</f>
        <v>46001.91667</v>
      </c>
      <c r="H2353" s="238">
        <f>IFERROR(__xludf.DUMMYFUNCTION("""COMPUTED_VALUE"""),46002.29166666667)</f>
        <v>46002.29167</v>
      </c>
      <c r="I2353" s="237" t="str">
        <f t="shared" si="1"/>
        <v>Fora</v>
      </c>
      <c r="J2353" s="239">
        <v>539.0000000072177</v>
      </c>
    </row>
    <row r="2354">
      <c r="A2354" s="234" t="s">
        <v>143</v>
      </c>
      <c r="B2354" s="234" t="str">
        <f>IFERROR(__xludf.DUMMYFUNCTION("""COMPUTED_VALUE"""),"SoC_BA_Simoes Filho")</f>
        <v>SoC_BA_Simoes Filho</v>
      </c>
      <c r="C2354" s="234" t="str">
        <f>IFERROR(__xludf.DUMMYFUNCTION("""COMPUTED_VALUE"""),"SOC-BA2")</f>
        <v>SOC-BA2</v>
      </c>
      <c r="D2354" s="234">
        <f>IFERROR(__xludf.DUMMYFUNCTION("""COMPUTED_VALUE"""),89.0)</f>
        <v>89</v>
      </c>
      <c r="E2354" s="237" t="str">
        <f>IFERROR(__xludf.DUMMYFUNCTION("""COMPUTED_VALUE"""),"LT0PCA01TVNT1")</f>
        <v>LT0PCA01TVNT1</v>
      </c>
      <c r="F2354" s="238" t="str">
        <f>IFERROR(__xludf.DUMMYFUNCTION("""COMPUTED_VALUE"""),"PLS5H85,SJM4B71")</f>
        <v>PLS5H85,SJM4B71</v>
      </c>
      <c r="G2354" s="238">
        <f>IFERROR(__xludf.DUMMYFUNCTION("""COMPUTED_VALUE"""),46001.91736111111)</f>
        <v>46001.91736</v>
      </c>
      <c r="H2354" s="238">
        <f>IFERROR(__xludf.DUMMYFUNCTION("""COMPUTED_VALUE"""),46002.29166666667)</f>
        <v>46002.29167</v>
      </c>
      <c r="I2354" s="237" t="str">
        <f t="shared" si="1"/>
        <v>Fora</v>
      </c>
      <c r="J2354" s="239">
        <v>539.0000000072177</v>
      </c>
    </row>
    <row r="2355">
      <c r="A2355" s="234" t="s">
        <v>144</v>
      </c>
      <c r="B2355" s="234" t="str">
        <f>IFERROR(__xludf.DUMMYFUNCTION("""COMPUTED_VALUE"""),"SoC_BA_Simoes Filho")</f>
        <v>SoC_BA_Simoes Filho</v>
      </c>
      <c r="C2355" s="234" t="str">
        <f>IFERROR(__xludf.DUMMYFUNCTION("""COMPUTED_VALUE"""),"SOC-BA2")</f>
        <v>SOC-BA2</v>
      </c>
      <c r="D2355" s="234">
        <f>IFERROR(__xludf.DUMMYFUNCTION("""COMPUTED_VALUE"""),88.0)</f>
        <v>88</v>
      </c>
      <c r="E2355" s="237" t="str">
        <f>IFERROR(__xludf.DUMMYFUNCTION("""COMPUTED_VALUE"""),"LT0PCA01TVNX3")</f>
        <v>LT0PCA01TVNX3</v>
      </c>
      <c r="F2355" s="238" t="str">
        <f>IFERROR(__xludf.DUMMYFUNCTION("""COMPUTED_VALUE"""),"BCT2E05,RFD5A96")</f>
        <v>BCT2E05,RFD5A96</v>
      </c>
      <c r="G2355" s="238">
        <f>IFERROR(__xludf.DUMMYFUNCTION("""COMPUTED_VALUE"""),46001.91736111111)</f>
        <v>46001.91736</v>
      </c>
      <c r="H2355" s="238">
        <f>IFERROR(__xludf.DUMMYFUNCTION("""COMPUTED_VALUE"""),46002.29166666667)</f>
        <v>46002.29167</v>
      </c>
      <c r="I2355" s="237" t="str">
        <f t="shared" si="1"/>
        <v>Fora</v>
      </c>
      <c r="J2355" s="239">
        <v>539.0000000072177</v>
      </c>
    </row>
    <row r="2356">
      <c r="A2356" s="234" t="s">
        <v>145</v>
      </c>
      <c r="B2356" s="234" t="str">
        <f>IFERROR(__xludf.DUMMYFUNCTION("""COMPUTED_VALUE"""),"SoC_GO_Goiânia_02")</f>
        <v>SoC_GO_Goiânia_02</v>
      </c>
      <c r="C2356" s="234" t="str">
        <f>IFERROR(__xludf.DUMMYFUNCTION("""COMPUTED_VALUE"""),"SOC-GO2")</f>
        <v>SOC-GO2</v>
      </c>
      <c r="D2356" s="234">
        <f>IFERROR(__xludf.DUMMYFUNCTION("""COMPUTED_VALUE"""),87.0)</f>
        <v>87</v>
      </c>
      <c r="E2356" s="237" t="str">
        <f>IFERROR(__xludf.DUMMYFUNCTION("""COMPUTED_VALUE"""),"LT0PC901TVYB3")</f>
        <v>LT0PC901TVYB3</v>
      </c>
      <c r="F2356" s="238" t="str">
        <f>IFERROR(__xludf.DUMMYFUNCTION("""COMPUTED_VALUE"""),"-")</f>
        <v>-</v>
      </c>
      <c r="G2356" s="238">
        <f>IFERROR(__xludf.DUMMYFUNCTION("""COMPUTED_VALUE"""),46001.91736111111)</f>
        <v>46001.91736</v>
      </c>
      <c r="H2356" s="238">
        <f>IFERROR(__xludf.DUMMYFUNCTION("""COMPUTED_VALUE"""),46002.29166666667)</f>
        <v>46002.29167</v>
      </c>
      <c r="I2356" s="237" t="str">
        <f t="shared" si="1"/>
        <v>Fora</v>
      </c>
      <c r="J2356" s="239">
        <v>539.0000000072177</v>
      </c>
    </row>
    <row r="2357">
      <c r="A2357" s="234" t="s">
        <v>169</v>
      </c>
      <c r="B2357" s="234" t="str">
        <f>IFERROR(__xludf.DUMMYFUNCTION("""COMPUTED_VALUE"""),"SoC_GO_Goiânia_02")</f>
        <v>SoC_GO_Goiânia_02</v>
      </c>
      <c r="C2357" s="234" t="str">
        <f>IFERROR(__xludf.DUMMYFUNCTION("""COMPUTED_VALUE"""),"SOC-GO2")</f>
        <v>SOC-GO2</v>
      </c>
      <c r="D2357" s="234"/>
      <c r="E2357" s="237" t="str">
        <f>IFERROR(__xludf.DUMMYFUNCTION("""COMPUTED_VALUE"""),"LT0PCA01TVY91")</f>
        <v>LT0PCA01TVY91</v>
      </c>
      <c r="F2357" s="238" t="str">
        <f>IFERROR(__xludf.DUMMYFUNCTION("""COMPUTED_VALUE"""),"QNF7F90,ELQ0D02")</f>
        <v>QNF7F90,ELQ0D02</v>
      </c>
      <c r="G2357" s="238">
        <f>IFERROR(__xludf.DUMMYFUNCTION("""COMPUTED_VALUE"""),46001.91736111111)</f>
        <v>46001.91736</v>
      </c>
      <c r="H2357" s="238">
        <f>IFERROR(__xludf.DUMMYFUNCTION("""COMPUTED_VALUE"""),46002.29166666667)</f>
        <v>46002.29167</v>
      </c>
      <c r="I2357" s="237" t="str">
        <f t="shared" si="1"/>
        <v>Fora</v>
      </c>
      <c r="J2357" s="239">
        <v>539.0000000072177</v>
      </c>
    </row>
    <row r="2358">
      <c r="A2358" s="234" t="s">
        <v>171</v>
      </c>
      <c r="B2358" s="234" t="str">
        <f>IFERROR(__xludf.DUMMYFUNCTION("""COMPUTED_VALUE"""),"SoC_GO_Goiânia_02")</f>
        <v>SoC_GO_Goiânia_02</v>
      </c>
      <c r="C2358" s="234" t="str">
        <f>IFERROR(__xludf.DUMMYFUNCTION("""COMPUTED_VALUE"""),"SOC-GO2")</f>
        <v>SOC-GO2</v>
      </c>
      <c r="D2358" s="234"/>
      <c r="E2358" s="237" t="str">
        <f>IFERROR(__xludf.DUMMYFUNCTION("""COMPUTED_VALUE"""),"LT0PCA01TVYA2")</f>
        <v>LT0PCA01TVYA2</v>
      </c>
      <c r="F2358" s="238" t="str">
        <f>IFERROR(__xludf.DUMMYFUNCTION("""COMPUTED_VALUE"""),"GCV0G87,GCV4B08")</f>
        <v>GCV0G87,GCV4B08</v>
      </c>
      <c r="G2358" s="238">
        <f>IFERROR(__xludf.DUMMYFUNCTION("""COMPUTED_VALUE"""),46001.91736111111)</f>
        <v>46001.91736</v>
      </c>
      <c r="H2358" s="238">
        <f>IFERROR(__xludf.DUMMYFUNCTION("""COMPUTED_VALUE"""),46002.29166666667)</f>
        <v>46002.29167</v>
      </c>
      <c r="I2358" s="237" t="str">
        <f t="shared" si="1"/>
        <v>Fora</v>
      </c>
      <c r="J2358" s="239">
        <v>539.0000000072177</v>
      </c>
    </row>
    <row r="2359">
      <c r="A2359" s="234" t="s">
        <v>172</v>
      </c>
      <c r="B2359" s="234" t="str">
        <f>IFERROR(__xludf.DUMMYFUNCTION("""COMPUTED_VALUE"""),"SoC_GO_Goiânia_02")</f>
        <v>SoC_GO_Goiânia_02</v>
      </c>
      <c r="C2359" s="234" t="str">
        <f>IFERROR(__xludf.DUMMYFUNCTION("""COMPUTED_VALUE"""),"SOC-GO2")</f>
        <v>SOC-GO2</v>
      </c>
      <c r="D2359" s="234"/>
      <c r="E2359" s="237" t="str">
        <f>IFERROR(__xludf.DUMMYFUNCTION("""COMPUTED_VALUE"""),"LT0PCA01TVYC3")</f>
        <v>LT0PCA01TVYC3</v>
      </c>
      <c r="F2359" s="238" t="str">
        <f>IFERROR(__xludf.DUMMYFUNCTION("""COMPUTED_VALUE"""),"FUE8G70,FGJ2J64")</f>
        <v>FUE8G70,FGJ2J64</v>
      </c>
      <c r="G2359" s="238">
        <f>IFERROR(__xludf.DUMMYFUNCTION("""COMPUTED_VALUE"""),46001.91736111111)</f>
        <v>46001.91736</v>
      </c>
      <c r="H2359" s="238">
        <f>IFERROR(__xludf.DUMMYFUNCTION("""COMPUTED_VALUE"""),46002.29166666667)</f>
        <v>46002.29167</v>
      </c>
      <c r="I2359" s="237" t="str">
        <f t="shared" si="1"/>
        <v>Fora</v>
      </c>
      <c r="J2359" s="239">
        <v>538.0000000144355</v>
      </c>
    </row>
    <row r="2360">
      <c r="A2360" s="234" t="s">
        <v>147</v>
      </c>
      <c r="B2360" s="234" t="str">
        <f>IFERROR(__xludf.DUMMYFUNCTION("""COMPUTED_VALUE"""),"SoC_RJ_Duque de Caxias")</f>
        <v>SoC_RJ_Duque de Caxias</v>
      </c>
      <c r="C2360" s="234" t="str">
        <f>IFERROR(__xludf.DUMMYFUNCTION("""COMPUTED_VALUE"""),"SOC-RJ2")</f>
        <v>SOC-RJ2</v>
      </c>
      <c r="D2360" s="234">
        <f>IFERROR(__xludf.DUMMYFUNCTION("""COMPUTED_VALUE"""),47.0)</f>
        <v>47</v>
      </c>
      <c r="E2360" s="237" t="str">
        <f>IFERROR(__xludf.DUMMYFUNCTION("""COMPUTED_VALUE"""),"LT0PCA01TRRE2")</f>
        <v>LT0PCA01TRRE2</v>
      </c>
      <c r="F2360" s="238" t="str">
        <f>IFERROR(__xludf.DUMMYFUNCTION("""COMPUTED_VALUE"""),"UFV3D66,DKP0140")</f>
        <v>UFV3D66,DKP0140</v>
      </c>
      <c r="G2360" s="238">
        <f>IFERROR(__xludf.DUMMYFUNCTION("""COMPUTED_VALUE"""),46001.91805555555)</f>
        <v>46001.91806</v>
      </c>
      <c r="H2360" s="238">
        <f>IFERROR(__xludf.DUMMYFUNCTION("""COMPUTED_VALUE"""),46002.29166666667)</f>
        <v>46002.29167</v>
      </c>
      <c r="I2360" s="237" t="str">
        <f t="shared" si="1"/>
        <v>Fora</v>
      </c>
      <c r="J2360" s="239">
        <v>538.0000000144355</v>
      </c>
    </row>
    <row r="2361">
      <c r="A2361" s="234" t="s">
        <v>173</v>
      </c>
      <c r="B2361" s="234" t="str">
        <f>IFERROR(__xludf.DUMMYFUNCTION("""COMPUTED_VALUE"""),"SoC_RJ_Duque de Caxias")</f>
        <v>SoC_RJ_Duque de Caxias</v>
      </c>
      <c r="C2361" s="234" t="str">
        <f>IFERROR(__xludf.DUMMYFUNCTION("""COMPUTED_VALUE"""),"SOC-RJ2")</f>
        <v>SOC-RJ2</v>
      </c>
      <c r="D2361" s="234"/>
      <c r="E2361" s="237" t="str">
        <f>IFERROR(__xludf.DUMMYFUNCTION("""COMPUTED_VALUE"""),"LT0PCA01TRRG3")</f>
        <v>LT0PCA01TRRG3</v>
      </c>
      <c r="F2361" s="238" t="str">
        <f>IFERROR(__xludf.DUMMYFUNCTION("""COMPUTED_VALUE"""),"BBR6A51,GGJ5D61")</f>
        <v>BBR6A51,GGJ5D61</v>
      </c>
      <c r="G2361" s="238">
        <f>IFERROR(__xludf.DUMMYFUNCTION("""COMPUTED_VALUE"""),46001.91805555555)</f>
        <v>46001.91806</v>
      </c>
      <c r="H2361" s="238">
        <f>IFERROR(__xludf.DUMMYFUNCTION("""COMPUTED_VALUE"""),46002.29166666667)</f>
        <v>46002.29167</v>
      </c>
      <c r="I2361" s="237" t="str">
        <f t="shared" si="1"/>
        <v>Fora</v>
      </c>
      <c r="J2361" s="239">
        <v>538.0000000144355</v>
      </c>
    </row>
    <row r="2362">
      <c r="A2362" s="234" t="s">
        <v>174</v>
      </c>
      <c r="B2362" s="234" t="str">
        <f>IFERROR(__xludf.DUMMYFUNCTION("""COMPUTED_VALUE"""),"SoC_RJ_Duque de Caxias")</f>
        <v>SoC_RJ_Duque de Caxias</v>
      </c>
      <c r="C2362" s="234" t="str">
        <f>IFERROR(__xludf.DUMMYFUNCTION("""COMPUTED_VALUE"""),"SOC-RJ2")</f>
        <v>SOC-RJ2</v>
      </c>
      <c r="D2362" s="234"/>
      <c r="E2362" s="237" t="str">
        <f>IFERROR(__xludf.DUMMYFUNCTION("""COMPUTED_VALUE"""),"LT0PCA01TRRI4")</f>
        <v>LT0PCA01TRRI4</v>
      </c>
      <c r="F2362" s="238" t="str">
        <f>IFERROR(__xludf.DUMMYFUNCTION("""COMPUTED_VALUE"""),"EPU5C78,TIV0I78")</f>
        <v>EPU5C78,TIV0I78</v>
      </c>
      <c r="G2362" s="238">
        <f>IFERROR(__xludf.DUMMYFUNCTION("""COMPUTED_VALUE"""),46001.91805555555)</f>
        <v>46001.91806</v>
      </c>
      <c r="H2362" s="238">
        <f>IFERROR(__xludf.DUMMYFUNCTION("""COMPUTED_VALUE"""),46002.29166666667)</f>
        <v>46002.29167</v>
      </c>
      <c r="I2362" s="237" t="str">
        <f t="shared" si="1"/>
        <v>Fora</v>
      </c>
      <c r="J2362" s="239">
        <v>538.0000000144355</v>
      </c>
    </row>
    <row r="2363">
      <c r="A2363" s="234" t="s">
        <v>175</v>
      </c>
      <c r="B2363" s="234" t="str">
        <f>IFERROR(__xludf.DUMMYFUNCTION("""COMPUTED_VALUE"""),"SoC_SP_Cravinhos")</f>
        <v>SoC_SP_Cravinhos</v>
      </c>
      <c r="C2363" s="234" t="str">
        <f>IFERROR(__xludf.DUMMYFUNCTION("""COMPUTED_VALUE"""),"SOC-SP5")</f>
        <v>SOC-SP5</v>
      </c>
      <c r="D2363" s="234"/>
      <c r="E2363" s="237" t="str">
        <f>IFERROR(__xludf.DUMMYFUNCTION("""COMPUTED_VALUE"""),"LT0PCA01TN8P1")</f>
        <v>LT0PCA01TN8P1</v>
      </c>
      <c r="F2363" s="238" t="str">
        <f>IFERROR(__xludf.DUMMYFUNCTION("""COMPUTED_VALUE"""),"ESU5I07,EZL9D52")</f>
        <v>ESU5I07,EZL9D52</v>
      </c>
      <c r="G2363" s="238">
        <f>IFERROR(__xludf.DUMMYFUNCTION("""COMPUTED_VALUE"""),46001.91805555555)</f>
        <v>46001.91806</v>
      </c>
      <c r="H2363" s="238">
        <f>IFERROR(__xludf.DUMMYFUNCTION("""COMPUTED_VALUE"""),46002.29166666667)</f>
        <v>46002.29167</v>
      </c>
      <c r="I2363" s="237" t="str">
        <f t="shared" si="1"/>
        <v>Fora</v>
      </c>
      <c r="J2363" s="239">
        <v>537.0000000111759</v>
      </c>
    </row>
    <row r="2364">
      <c r="A2364" s="234" t="s">
        <v>3889</v>
      </c>
      <c r="B2364" s="234" t="str">
        <f>IFERROR(__xludf.DUMMYFUNCTION("""COMPUTED_VALUE"""),"SoC_MG_Betim")</f>
        <v>SoC_MG_Betim</v>
      </c>
      <c r="C2364" s="234" t="str">
        <f>IFERROR(__xludf.DUMMYFUNCTION("""COMPUTED_VALUE"""),"SOC-MG2")</f>
        <v>SOC-MG2</v>
      </c>
      <c r="D2364" s="234">
        <f>IFERROR(__xludf.DUMMYFUNCTION("""COMPUTED_VALUE"""),90.0)</f>
        <v>90</v>
      </c>
      <c r="E2364" s="237" t="str">
        <f>IFERROR(__xludf.DUMMYFUNCTION("""COMPUTED_VALUE"""),"LT0PC901TN8I1")</f>
        <v>LT0PC901TN8I1</v>
      </c>
      <c r="F2364" s="238" t="str">
        <f>IFERROR(__xludf.DUMMYFUNCTION("""COMPUTED_VALUE"""),"RFE4B95,MLT4098")</f>
        <v>RFE4B95,MLT4098</v>
      </c>
      <c r="G2364" s="238">
        <f>IFERROR(__xludf.DUMMYFUNCTION("""COMPUTED_VALUE"""),46001.91875)</f>
        <v>46001.91875</v>
      </c>
      <c r="H2364" s="238">
        <f>IFERROR(__xludf.DUMMYFUNCTION("""COMPUTED_VALUE"""),46002.29166666667)</f>
        <v>46002.29167</v>
      </c>
      <c r="I2364" s="237" t="str">
        <f t="shared" si="1"/>
        <v>Fora</v>
      </c>
      <c r="J2364" s="239">
        <v>536.0000000079162</v>
      </c>
    </row>
    <row r="2365">
      <c r="A2365" s="234" t="s">
        <v>148</v>
      </c>
      <c r="B2365" s="234" t="str">
        <f>IFERROR(__xludf.DUMMYFUNCTION("""COMPUTED_VALUE"""),"SoC_MG_Betim")</f>
        <v>SoC_MG_Betim</v>
      </c>
      <c r="C2365" s="234" t="str">
        <f>IFERROR(__xludf.DUMMYFUNCTION("""COMPUTED_VALUE"""),"SOC-MG2")</f>
        <v>SOC-MG2</v>
      </c>
      <c r="D2365" s="234">
        <f>IFERROR(__xludf.DUMMYFUNCTION("""COMPUTED_VALUE"""),91.0)</f>
        <v>91</v>
      </c>
      <c r="E2365" s="237" t="str">
        <f>IFERROR(__xludf.DUMMYFUNCTION("""COMPUTED_VALUE"""),"LT0PCA01TNZ31")</f>
        <v>LT0PCA01TNZ31</v>
      </c>
      <c r="F2365" s="238" t="str">
        <f>IFERROR(__xludf.DUMMYFUNCTION("""COMPUTED_VALUE"""),"SWD2I13,STN3J57")</f>
        <v>SWD2I13,STN3J57</v>
      </c>
      <c r="G2365" s="238">
        <f>IFERROR(__xludf.DUMMYFUNCTION("""COMPUTED_VALUE"""),46001.919444444444)</f>
        <v>46001.91944</v>
      </c>
      <c r="H2365" s="238">
        <f>IFERROR(__xludf.DUMMYFUNCTION("""COMPUTED_VALUE"""),46002.29166666667)</f>
        <v>46002.29167</v>
      </c>
      <c r="I2365" s="237" t="str">
        <f t="shared" si="1"/>
        <v>Fora</v>
      </c>
      <c r="J2365" s="239">
        <v>536.0000000079162</v>
      </c>
    </row>
    <row r="2366">
      <c r="A2366" s="234" t="s">
        <v>150</v>
      </c>
      <c r="B2366" s="234" t="str">
        <f>IFERROR(__xludf.DUMMYFUNCTION("""COMPUTED_VALUE"""),"SoC_MG_Betim")</f>
        <v>SoC_MG_Betim</v>
      </c>
      <c r="C2366" s="234" t="str">
        <f>IFERROR(__xludf.DUMMYFUNCTION("""COMPUTED_VALUE"""),"SOC-MG2")</f>
        <v>SOC-MG2</v>
      </c>
      <c r="D2366" s="234">
        <f>IFERROR(__xludf.DUMMYFUNCTION("""COMPUTED_VALUE"""),90.0)</f>
        <v>90</v>
      </c>
      <c r="E2366" s="237" t="str">
        <f>IFERROR(__xludf.DUMMYFUNCTION("""COMPUTED_VALUE"""),"LT0PCA01TNZ52")</f>
        <v>LT0PCA01TNZ52</v>
      </c>
      <c r="F2366" s="238" t="str">
        <f>IFERROR(__xludf.DUMMYFUNCTION("""COMPUTED_VALUE"""),"FJV3I08,TKI1J52")</f>
        <v>FJV3I08,TKI1J52</v>
      </c>
      <c r="G2366" s="238">
        <f>IFERROR(__xludf.DUMMYFUNCTION("""COMPUTED_VALUE"""),46001.919444444444)</f>
        <v>46001.91944</v>
      </c>
      <c r="H2366" s="238">
        <f>IFERROR(__xludf.DUMMYFUNCTION("""COMPUTED_VALUE"""),46002.29166666667)</f>
        <v>46002.29167</v>
      </c>
      <c r="I2366" s="237" t="str">
        <f t="shared" si="1"/>
        <v>Fora</v>
      </c>
      <c r="J2366" s="239">
        <v>536.0000000079162</v>
      </c>
    </row>
    <row r="2367">
      <c r="A2367" s="234" t="s">
        <v>176</v>
      </c>
      <c r="B2367" s="234" t="str">
        <f>IFERROR(__xludf.DUMMYFUNCTION("""COMPUTED_VALUE"""),"SoC_MG_Betim")</f>
        <v>SoC_MG_Betim</v>
      </c>
      <c r="C2367" s="234" t="str">
        <f>IFERROR(__xludf.DUMMYFUNCTION("""COMPUTED_VALUE"""),"SOC-MG2")</f>
        <v>SOC-MG2</v>
      </c>
      <c r="D2367" s="234"/>
      <c r="E2367" s="237" t="str">
        <f>IFERROR(__xludf.DUMMYFUNCTION("""COMPUTED_VALUE"""),"LT0PCA01TNZ73")</f>
        <v>LT0PCA01TNZ73</v>
      </c>
      <c r="F2367" s="238" t="str">
        <f>IFERROR(__xludf.DUMMYFUNCTION("""COMPUTED_VALUE"""),"GAB5B09,TAX1L63")</f>
        <v>GAB5B09,TAX1L63</v>
      </c>
      <c r="G2367" s="238">
        <f>IFERROR(__xludf.DUMMYFUNCTION("""COMPUTED_VALUE"""),46001.919444444444)</f>
        <v>46001.91944</v>
      </c>
      <c r="H2367" s="238">
        <f>IFERROR(__xludf.DUMMYFUNCTION("""COMPUTED_VALUE"""),46002.29166666667)</f>
        <v>46002.29167</v>
      </c>
      <c r="I2367" s="237" t="str">
        <f t="shared" si="1"/>
        <v>Fora</v>
      </c>
      <c r="J2367" s="239">
        <v>536.0000000079162</v>
      </c>
    </row>
    <row r="2368">
      <c r="A2368" s="234" t="s">
        <v>3977</v>
      </c>
      <c r="B2368" s="234" t="str">
        <f>IFERROR(__xludf.DUMMYFUNCTION("""COMPUTED_VALUE"""),"SoC_MG_Betim")</f>
        <v>SoC_MG_Betim</v>
      </c>
      <c r="C2368" s="234" t="str">
        <f>IFERROR(__xludf.DUMMYFUNCTION("""COMPUTED_VALUE"""),"SOC-MG2")</f>
        <v>SOC-MG2</v>
      </c>
      <c r="D2368" s="234">
        <f>IFERROR(__xludf.DUMMYFUNCTION("""COMPUTED_VALUE"""),48.0)</f>
        <v>48</v>
      </c>
      <c r="E2368" s="237" t="str">
        <f>IFERROR(__xludf.DUMMYFUNCTION("""COMPUTED_VALUE"""),"LT0PCA01TNZ94")</f>
        <v>LT0PCA01TNZ94</v>
      </c>
      <c r="F2368" s="238" t="str">
        <f>IFERROR(__xludf.DUMMYFUNCTION("""COMPUTED_VALUE"""),"HEK9A35,EPJ3D99")</f>
        <v>HEK9A35,EPJ3D99</v>
      </c>
      <c r="G2368" s="238">
        <f>IFERROR(__xludf.DUMMYFUNCTION("""COMPUTED_VALUE"""),46001.919444444444)</f>
        <v>46001.91944</v>
      </c>
      <c r="H2368" s="238">
        <f>IFERROR(__xludf.DUMMYFUNCTION("""COMPUTED_VALUE"""),46002.29166666667)</f>
        <v>46002.29167</v>
      </c>
      <c r="I2368" s="237" t="str">
        <f t="shared" si="1"/>
        <v>Fora</v>
      </c>
      <c r="J2368" s="239">
        <v>358.0000000144355</v>
      </c>
    </row>
    <row r="2369">
      <c r="A2369" s="234" t="s">
        <v>177</v>
      </c>
      <c r="B2369" s="234" t="str">
        <f>IFERROR(__xludf.DUMMYFUNCTION("""COMPUTED_VALUE"""),"SoC_RJ_Duque de Caxias")</f>
        <v>SoC_RJ_Duque de Caxias</v>
      </c>
      <c r="C2369" s="234" t="str">
        <f>IFERROR(__xludf.DUMMYFUNCTION("""COMPUTED_VALUE"""),"SOC-RJ2")</f>
        <v>SOC-RJ2</v>
      </c>
      <c r="D2369" s="234"/>
      <c r="E2369" s="237" t="str">
        <f>IFERROR(__xludf.DUMMYFUNCTION("""COMPUTED_VALUE"""),"LT0PCA01TRRK5")</f>
        <v>LT0PCA01TRRK5</v>
      </c>
      <c r="F2369" s="238" t="str">
        <f>IFERROR(__xludf.DUMMYFUNCTION("""COMPUTED_VALUE"""),"HFD3A08,GHJ2B95")</f>
        <v>HFD3A08,GHJ2B95</v>
      </c>
      <c r="G2369" s="238">
        <f>IFERROR(__xludf.DUMMYFUNCTION("""COMPUTED_VALUE"""),46002.04305555555)</f>
        <v>46002.04306</v>
      </c>
      <c r="H2369" s="238">
        <f>IFERROR(__xludf.DUMMYFUNCTION("""COMPUTED_VALUE"""),46002.29166666667)</f>
        <v>46002.29167</v>
      </c>
      <c r="I2369" s="237" t="str">
        <f t="shared" si="1"/>
        <v>Fora</v>
      </c>
      <c r="J2369" s="239">
        <v>358.0000000144355</v>
      </c>
    </row>
    <row r="2370">
      <c r="A2370" s="234" t="s">
        <v>178</v>
      </c>
      <c r="B2370" s="234" t="str">
        <f>IFERROR(__xludf.DUMMYFUNCTION("""COMPUTED_VALUE"""),"SoC_RJ_Duque de Caxias")</f>
        <v>SoC_RJ_Duque de Caxias</v>
      </c>
      <c r="C2370" s="234" t="str">
        <f>IFERROR(__xludf.DUMMYFUNCTION("""COMPUTED_VALUE"""),"SOC-RJ2")</f>
        <v>SOC-RJ2</v>
      </c>
      <c r="D2370" s="234"/>
      <c r="E2370" s="237" t="str">
        <f>IFERROR(__xludf.DUMMYFUNCTION("""COMPUTED_VALUE"""),"LT0PCA01TRRC1")</f>
        <v>LT0PCA01TRRC1</v>
      </c>
      <c r="F2370" s="238" t="str">
        <f>IFERROR(__xludf.DUMMYFUNCTION("""COMPUTED_VALUE"""),"GAT5B53,DBL0A55")</f>
        <v>GAT5B53,DBL0A55</v>
      </c>
      <c r="G2370" s="238">
        <f>IFERROR(__xludf.DUMMYFUNCTION("""COMPUTED_VALUE"""),46002.04305555555)</f>
        <v>46002.04306</v>
      </c>
      <c r="H2370" s="238">
        <f>IFERROR(__xludf.DUMMYFUNCTION("""COMPUTED_VALUE"""),46002.29166666667)</f>
        <v>46002.29167</v>
      </c>
      <c r="I2370" s="237" t="str">
        <f t="shared" si="1"/>
        <v>Fora</v>
      </c>
      <c r="J2370" s="239">
        <v>120.00000001396984</v>
      </c>
    </row>
    <row r="2371">
      <c r="A2371" s="234" t="s">
        <v>151</v>
      </c>
      <c r="B2371" s="234" t="str">
        <f>IFERROR(__xludf.DUMMYFUNCTION("""COMPUTED_VALUE"""),"LM Hub_SP_Barueri_01")</f>
        <v>LM Hub_SP_Barueri_01</v>
      </c>
      <c r="C2371" s="234" t="str">
        <f>IFERROR(__xludf.DUMMYFUNCTION("""COMPUTED_VALUE"""),"HUB-LSP-81")</f>
        <v>HUB-LSP-81</v>
      </c>
      <c r="D2371" s="234">
        <f>IFERROR(__xludf.DUMMYFUNCTION("""COMPUTED_VALUE"""),14.0)</f>
        <v>14</v>
      </c>
      <c r="E2371" s="237" t="str">
        <f>IFERROR(__xludf.DUMMYFUNCTION("""COMPUTED_VALUE"""),"LT0PCB01TV8W1")</f>
        <v>LT0PCB01TV8W1</v>
      </c>
      <c r="F2371" s="238" t="str">
        <f>IFERROR(__xludf.DUMMYFUNCTION("""COMPUTED_VALUE"""),"SUQ5C99,TLD5B82")</f>
        <v>SUQ5C99,TLD5B82</v>
      </c>
      <c r="G2371" s="238">
        <f>IFERROR(__xludf.DUMMYFUNCTION("""COMPUTED_VALUE"""),46002.20833333333)</f>
        <v>46002.20833</v>
      </c>
      <c r="H2371" s="238">
        <f>IFERROR(__xludf.DUMMYFUNCTION("""COMPUTED_VALUE"""),46002.29166666667)</f>
        <v>46002.29167</v>
      </c>
      <c r="I2371" s="237" t="str">
        <f t="shared" si="1"/>
        <v>Fora</v>
      </c>
      <c r="J2371" s="239">
        <v>120.00000001396984</v>
      </c>
    </row>
    <row r="2372">
      <c r="A2372" s="234" t="s">
        <v>152</v>
      </c>
      <c r="B2372" s="234" t="str">
        <f>IFERROR(__xludf.DUMMYFUNCTION("""COMPUTED_VALUE"""),"LM Hub_SP_Jundiaí")</f>
        <v>LM Hub_SP_Jundiaí</v>
      </c>
      <c r="C2372" s="234" t="str">
        <f>IFERROR(__xludf.DUMMYFUNCTION("""COMPUTED_VALUE"""),"HUB-LSP-100")</f>
        <v>HUB-LSP-100</v>
      </c>
      <c r="D2372" s="234">
        <f>IFERROR(__xludf.DUMMYFUNCTION("""COMPUTED_VALUE"""),8.0)</f>
        <v>8</v>
      </c>
      <c r="E2372" s="237" t="str">
        <f>IFERROR(__xludf.DUMMYFUNCTION("""COMPUTED_VALUE"""),"LT0PCB01TWTW1")</f>
        <v>LT0PCB01TWTW1</v>
      </c>
      <c r="F2372" s="238" t="str">
        <f>IFERROR(__xludf.DUMMYFUNCTION("""COMPUTED_VALUE"""),"BZV6J05,BZV6J06")</f>
        <v>BZV6J05,BZV6J06</v>
      </c>
      <c r="G2372" s="238">
        <f>IFERROR(__xludf.DUMMYFUNCTION("""COMPUTED_VALUE"""),46002.20833333333)</f>
        <v>46002.20833</v>
      </c>
      <c r="H2372" s="238">
        <f>IFERROR(__xludf.DUMMYFUNCTION("""COMPUTED_VALUE"""),46002.29166666667)</f>
        <v>46002.29167</v>
      </c>
      <c r="I2372" s="237" t="str">
        <f t="shared" si="1"/>
        <v>Fora</v>
      </c>
      <c r="J2372" s="239">
        <v>120.00000001396984</v>
      </c>
    </row>
    <row r="2373">
      <c r="A2373" s="234" t="s">
        <v>153</v>
      </c>
      <c r="B2373" s="234" t="str">
        <f>IFERROR(__xludf.DUMMYFUNCTION("""COMPUTED_VALUE"""),"LM Hub_SP_Jurubatuba")</f>
        <v>LM Hub_SP_Jurubatuba</v>
      </c>
      <c r="C2373" s="234" t="str">
        <f>IFERROR(__xludf.DUMMYFUNCTION("""COMPUTED_VALUE"""),"HUB-LSP-16")</f>
        <v>HUB-LSP-16</v>
      </c>
      <c r="D2373" s="234">
        <f>IFERROR(__xludf.DUMMYFUNCTION("""COMPUTED_VALUE"""),19.0)</f>
        <v>19</v>
      </c>
      <c r="E2373" s="237" t="str">
        <f>IFERROR(__xludf.DUMMYFUNCTION("""COMPUTED_VALUE"""),"LT0PCB01TQGU1")</f>
        <v>LT0PCB01TQGU1</v>
      </c>
      <c r="F2373" s="238" t="str">
        <f>IFERROR(__xludf.DUMMYFUNCTION("""COMPUTED_VALUE"""),"MQM6I27,FXB7G01")</f>
        <v>MQM6I27,FXB7G01</v>
      </c>
      <c r="G2373" s="238">
        <f>IFERROR(__xludf.DUMMYFUNCTION("""COMPUTED_VALUE"""),46002.20833333333)</f>
        <v>46002.20833</v>
      </c>
      <c r="H2373" s="238">
        <f>IFERROR(__xludf.DUMMYFUNCTION("""COMPUTED_VALUE"""),46002.29166666667)</f>
        <v>46002.29167</v>
      </c>
      <c r="I2373" s="237" t="str">
        <f t="shared" si="1"/>
        <v>Fora</v>
      </c>
      <c r="J2373" s="239">
        <v>120.00000001396984</v>
      </c>
    </row>
    <row r="2374">
      <c r="A2374" s="234" t="s">
        <v>154</v>
      </c>
      <c r="B2374" s="234" t="str">
        <f>IFERROR(__xludf.DUMMYFUNCTION("""COMPUTED_VALUE"""),"LM Hub_SP_Piracicaba")</f>
        <v>LM Hub_SP_Piracicaba</v>
      </c>
      <c r="C2374" s="234" t="str">
        <f>IFERROR(__xludf.DUMMYFUNCTION("""COMPUTED_VALUE"""),"HUB-LSP-62")</f>
        <v>HUB-LSP-62</v>
      </c>
      <c r="D2374" s="234"/>
      <c r="E2374" s="237" t="str">
        <f>IFERROR(__xludf.DUMMYFUNCTION("""COMPUTED_VALUE"""),"LT0PCB01TPP31")</f>
        <v>LT0PCB01TPP31</v>
      </c>
      <c r="F2374" s="238" t="str">
        <f>IFERROR(__xludf.DUMMYFUNCTION("""COMPUTED_VALUE"""),"MTB1C44,MTB1C45")</f>
        <v>MTB1C44,MTB1C45</v>
      </c>
      <c r="G2374" s="238">
        <f>IFERROR(__xludf.DUMMYFUNCTION("""COMPUTED_VALUE"""),46002.20833333333)</f>
        <v>46002.20833</v>
      </c>
      <c r="H2374" s="238">
        <f>IFERROR(__xludf.DUMMYFUNCTION("""COMPUTED_VALUE"""),46002.29166666667)</f>
        <v>46002.29167</v>
      </c>
      <c r="I2374" s="237" t="str">
        <f t="shared" si="1"/>
        <v>Fora</v>
      </c>
      <c r="J2374" s="239">
        <v>120.00000001396984</v>
      </c>
    </row>
    <row r="2375">
      <c r="A2375" s="234" t="s">
        <v>3978</v>
      </c>
      <c r="B2375" s="234" t="str">
        <f>IFERROR(__xludf.DUMMYFUNCTION("""COMPUTED_VALUE"""),"LM Hub_SP_Santos_PraiaGrande_02")</f>
        <v>LM Hub_SP_Santos_PraiaGrande_02</v>
      </c>
      <c r="C2375" s="234" t="str">
        <f>IFERROR(__xludf.DUMMYFUNCTION("""COMPUTED_VALUE"""),"HUB-LSP-63")</f>
        <v>HUB-LSP-63</v>
      </c>
      <c r="D2375" s="234"/>
      <c r="E2375" s="237" t="str">
        <f>IFERROR(__xludf.DUMMYFUNCTION("""COMPUTED_VALUE"""),"LT0PCB01TQIW1")</f>
        <v>LT0PCB01TQIW1</v>
      </c>
      <c r="F2375" s="238" t="str">
        <f>IFERROR(__xludf.DUMMYFUNCTION("""COMPUTED_VALUE"""),"GEJ6E62,TLV2A95")</f>
        <v>GEJ6E62,TLV2A95</v>
      </c>
      <c r="G2375" s="238">
        <f>IFERROR(__xludf.DUMMYFUNCTION("""COMPUTED_VALUE"""),46002.20833333333)</f>
        <v>46002.20833</v>
      </c>
      <c r="H2375" s="238">
        <f>IFERROR(__xludf.DUMMYFUNCTION("""COMPUTED_VALUE"""),46002.29166666667)</f>
        <v>46002.29167</v>
      </c>
      <c r="I2375" s="237" t="str">
        <f t="shared" si="1"/>
        <v>Fora</v>
      </c>
      <c r="J2375" s="239">
        <v>120.00000001396984</v>
      </c>
    </row>
    <row r="2376">
      <c r="A2376" s="234" t="s">
        <v>162</v>
      </c>
      <c r="B2376" s="234" t="str">
        <f>IFERROR(__xludf.DUMMYFUNCTION("""COMPUTED_VALUE"""),"LM Hub_SP_Santos_PraiaGrande_02")</f>
        <v>LM Hub_SP_Santos_PraiaGrande_02</v>
      </c>
      <c r="C2376" s="234" t="str">
        <f>IFERROR(__xludf.DUMMYFUNCTION("""COMPUTED_VALUE"""),"HUB-LSP-63")</f>
        <v>HUB-LSP-63</v>
      </c>
      <c r="D2376" s="234">
        <f>IFERROR(__xludf.DUMMYFUNCTION("""COMPUTED_VALUE"""),23.0)</f>
        <v>23</v>
      </c>
      <c r="E2376" s="237" t="str">
        <f>IFERROR(__xludf.DUMMYFUNCTION("""COMPUTED_VALUE"""),"LT0PCB01TQIY2")</f>
        <v>LT0PCB01TQIY2</v>
      </c>
      <c r="F2376" s="238" t="str">
        <f>IFERROR(__xludf.DUMMYFUNCTION("""COMPUTED_VALUE"""),"GKA9J91,TMI7A57")</f>
        <v>GKA9J91,TMI7A57</v>
      </c>
      <c r="G2376" s="238">
        <f>IFERROR(__xludf.DUMMYFUNCTION("""COMPUTED_VALUE"""),46002.20833333333)</f>
        <v>46002.20833</v>
      </c>
      <c r="H2376" s="238">
        <f>IFERROR(__xludf.DUMMYFUNCTION("""COMPUTED_VALUE"""),46002.29166666667)</f>
        <v>46002.29167</v>
      </c>
      <c r="I2376" s="237" t="str">
        <f t="shared" si="1"/>
        <v>Fora</v>
      </c>
      <c r="J2376" s="239">
        <v>119.00000001071021</v>
      </c>
    </row>
    <row r="2377">
      <c r="A2377" s="234" t="s">
        <v>160</v>
      </c>
      <c r="B2377" s="234" t="str">
        <f>IFERROR(__xludf.DUMMYFUNCTION("""COMPUTED_VALUE"""),"SoC_SP_Santana")</f>
        <v>SoC_SP_Santana</v>
      </c>
      <c r="C2377" s="234" t="str">
        <f>IFERROR(__xludf.DUMMYFUNCTION("""COMPUTED_VALUE"""),"SOC-SP2")</f>
        <v>SOC-SP2</v>
      </c>
      <c r="D2377" s="234">
        <f>IFERROR(__xludf.DUMMYFUNCTION("""COMPUTED_VALUE"""),33.0)</f>
        <v>33</v>
      </c>
      <c r="E2377" s="237" t="str">
        <f>IFERROR(__xludf.DUMMYFUNCTION("""COMPUTED_VALUE"""),"LT0PCB01TP411")</f>
        <v>LT0PCB01TP411</v>
      </c>
      <c r="F2377" s="238" t="str">
        <f>IFERROR(__xludf.DUMMYFUNCTION("""COMPUTED_VALUE"""),"FOT6A80,FTH9H90")</f>
        <v>FOT6A80,FTH9H90</v>
      </c>
      <c r="G2377" s="238">
        <f>IFERROR(__xludf.DUMMYFUNCTION("""COMPUTED_VALUE"""),46002.209027777775)</f>
        <v>46002.20903</v>
      </c>
      <c r="H2377" s="238">
        <f>IFERROR(__xludf.DUMMYFUNCTION("""COMPUTED_VALUE"""),46002.29166666667)</f>
        <v>46002.29167</v>
      </c>
      <c r="I2377" s="237" t="str">
        <f t="shared" si="1"/>
        <v>Fora</v>
      </c>
      <c r="J2377" s="239">
        <v>119.99999999301508</v>
      </c>
    </row>
    <row r="2378">
      <c r="A2378" s="234" t="s">
        <v>161</v>
      </c>
      <c r="B2378" s="234" t="str">
        <f>IFERROR(__xludf.DUMMYFUNCTION("""COMPUTED_VALUE"""),"LM Hub_SP_Guarujá")</f>
        <v>LM Hub_SP_Guarujá</v>
      </c>
      <c r="C2378" s="234" t="str">
        <f>IFERROR(__xludf.DUMMYFUNCTION("""COMPUTED_VALUE"""),"HUB-LSP-06")</f>
        <v>HUB-LSP-06</v>
      </c>
      <c r="D2378" s="234">
        <f>IFERROR(__xludf.DUMMYFUNCTION("""COMPUTED_VALUE"""),7.0)</f>
        <v>7</v>
      </c>
      <c r="E2378" s="237" t="str">
        <f>IFERROR(__xludf.DUMMYFUNCTION("""COMPUTED_VALUE"""),"LT0PCB01TQHZ1")</f>
        <v>LT0PCB01TQHZ1</v>
      </c>
      <c r="F2378" s="238" t="str">
        <f>IFERROR(__xludf.DUMMYFUNCTION("""COMPUTED_VALUE"""),"TJN5H17")</f>
        <v>TJN5H17</v>
      </c>
      <c r="G2378" s="238">
        <f>IFERROR(__xludf.DUMMYFUNCTION("""COMPUTED_VALUE"""),46002.22916666667)</f>
        <v>46002.22917</v>
      </c>
      <c r="H2378" s="238">
        <f>IFERROR(__xludf.DUMMYFUNCTION("""COMPUTED_VALUE"""),46002.3125)</f>
        <v>46002.3125</v>
      </c>
      <c r="I2378" s="237" t="str">
        <f t="shared" si="1"/>
        <v>Fora</v>
      </c>
      <c r="J2378" s="239">
        <v>119.99999999301508</v>
      </c>
    </row>
    <row r="2379">
      <c r="A2379" s="234" t="s">
        <v>163</v>
      </c>
      <c r="B2379" s="234" t="str">
        <f>IFERROR(__xludf.DUMMYFUNCTION("""COMPUTED_VALUE"""),"LM Hub_SP_Itaqua_Zimba")</f>
        <v>LM Hub_SP_Itaqua_Zimba</v>
      </c>
      <c r="C2379" s="234" t="str">
        <f>IFERROR(__xludf.DUMMYFUNCTION("""COMPUTED_VALUE"""),"HUB-LSP-74")</f>
        <v>HUB-LSP-74</v>
      </c>
      <c r="D2379" s="234">
        <f>IFERROR(__xludf.DUMMYFUNCTION("""COMPUTED_VALUE"""),32.0)</f>
        <v>32</v>
      </c>
      <c r="E2379" s="237" t="str">
        <f>IFERROR(__xludf.DUMMYFUNCTION("""COMPUTED_VALUE"""),"LT0PCB01TQHT1")</f>
        <v>LT0PCB01TQHT1</v>
      </c>
      <c r="F2379" s="238" t="str">
        <f>IFERROR(__xludf.DUMMYFUNCTION("""COMPUTED_VALUE"""),"EPU6B00,UFF0H10")</f>
        <v>EPU6B00,UFF0H10</v>
      </c>
      <c r="G2379" s="238">
        <f>IFERROR(__xludf.DUMMYFUNCTION("""COMPUTED_VALUE"""),46002.22916666667)</f>
        <v>46002.22917</v>
      </c>
      <c r="H2379" s="238">
        <f>IFERROR(__xludf.DUMMYFUNCTION("""COMPUTED_VALUE"""),46002.3125)</f>
        <v>46002.3125</v>
      </c>
      <c r="I2379" s="237" t="str">
        <f t="shared" si="1"/>
        <v>Fora</v>
      </c>
      <c r="J2379" s="239">
        <v>119.99999999301508</v>
      </c>
    </row>
    <row r="2380">
      <c r="A2380" s="234" t="s">
        <v>158</v>
      </c>
      <c r="B2380" s="234" t="str">
        <f>IFERROR(__xludf.DUMMYFUNCTION("""COMPUTED_VALUE"""),"LM Hub_SP_São José dos Campos")</f>
        <v>LM Hub_SP_São José dos Campos</v>
      </c>
      <c r="C2380" s="234" t="str">
        <f>IFERROR(__xludf.DUMMYFUNCTION("""COMPUTED_VALUE"""),"HUB-LSP-04")</f>
        <v>HUB-LSP-04</v>
      </c>
      <c r="D2380" s="234">
        <f>IFERROR(__xludf.DUMMYFUNCTION("""COMPUTED_VALUE"""),15.0)</f>
        <v>15</v>
      </c>
      <c r="E2380" s="237" t="str">
        <f>IFERROR(__xludf.DUMMYFUNCTION("""COMPUTED_VALUE"""),"LT0PCB01TNS31")</f>
        <v>LT0PCB01TNS31</v>
      </c>
      <c r="F2380" s="238" t="str">
        <f>IFERROR(__xludf.DUMMYFUNCTION("""COMPUTED_VALUE"""),"FYQ5533")</f>
        <v>FYQ5533</v>
      </c>
      <c r="G2380" s="238">
        <f>IFERROR(__xludf.DUMMYFUNCTION("""COMPUTED_VALUE"""),46002.22916666667)</f>
        <v>46002.22917</v>
      </c>
      <c r="H2380" s="238">
        <f>IFERROR(__xludf.DUMMYFUNCTION("""COMPUTED_VALUE"""),46002.3125)</f>
        <v>46002.3125</v>
      </c>
      <c r="I2380" s="237" t="str">
        <f t="shared" si="1"/>
        <v>Fora</v>
      </c>
      <c r="J2380" s="239">
        <v>119.00000000023283</v>
      </c>
    </row>
    <row r="2381">
      <c r="A2381" s="234" t="s">
        <v>155</v>
      </c>
      <c r="B2381" s="234" t="str">
        <f>IFERROR(__xludf.DUMMYFUNCTION("""COMPUTED_VALUE"""),"LM Hub_SP_Santos_Praia Grande")</f>
        <v>LM Hub_SP_Santos_Praia Grande</v>
      </c>
      <c r="C2381" s="234" t="str">
        <f>IFERROR(__xludf.DUMMYFUNCTION("""COMPUTED_VALUE"""),"HUB-LSP-09")</f>
        <v>HUB-LSP-09</v>
      </c>
      <c r="D2381" s="234">
        <f>IFERROR(__xludf.DUMMYFUNCTION("""COMPUTED_VALUE"""),26.0)</f>
        <v>26</v>
      </c>
      <c r="E2381" s="237" t="str">
        <f>IFERROR(__xludf.DUMMYFUNCTION("""COMPUTED_VALUE"""),"LT0PCB01TQIC1")</f>
        <v>LT0PCB01TQIC1</v>
      </c>
      <c r="F2381" s="238" t="str">
        <f>IFERROR(__xludf.DUMMYFUNCTION("""COMPUTED_VALUE"""),"GBZ0C63,SVD9H85")</f>
        <v>GBZ0C63,SVD9H85</v>
      </c>
      <c r="G2381" s="238">
        <f>IFERROR(__xludf.DUMMYFUNCTION("""COMPUTED_VALUE"""),46002.22986111111)</f>
        <v>46002.22986</v>
      </c>
      <c r="H2381" s="238">
        <f>IFERROR(__xludf.DUMMYFUNCTION("""COMPUTED_VALUE"""),46002.3125)</f>
        <v>46002.3125</v>
      </c>
      <c r="I2381" s="237" t="str">
        <f t="shared" si="1"/>
        <v>Fora</v>
      </c>
      <c r="J2381" s="239">
        <v>119.00000000023283</v>
      </c>
    </row>
    <row r="2382">
      <c r="A2382" s="234" t="s">
        <v>155</v>
      </c>
      <c r="B2382" s="234" t="str">
        <f>IFERROR(__xludf.DUMMYFUNCTION("""COMPUTED_VALUE"""),"LM Hub_SP_Santos_Praia Grande")</f>
        <v>LM Hub_SP_Santos_Praia Grande</v>
      </c>
      <c r="C2382" s="234" t="str">
        <f>IFERROR(__xludf.DUMMYFUNCTION("""COMPUTED_VALUE"""),"HUB-LSP-09")</f>
        <v>HUB-LSP-09</v>
      </c>
      <c r="D2382" s="234">
        <f>IFERROR(__xludf.DUMMYFUNCTION("""COMPUTED_VALUE"""),23.0)</f>
        <v>23</v>
      </c>
      <c r="E2382" s="237" t="str">
        <f>IFERROR(__xludf.DUMMYFUNCTION("""COMPUTED_VALUE"""),"LT0PCB01TQIC1")</f>
        <v>LT0PCB01TQIC1</v>
      </c>
      <c r="F2382" s="238" t="str">
        <f>IFERROR(__xludf.DUMMYFUNCTION("""COMPUTED_VALUE"""),"GBZ0C63,SVD9H85")</f>
        <v>GBZ0C63,SVD9H85</v>
      </c>
      <c r="G2382" s="238">
        <f>IFERROR(__xludf.DUMMYFUNCTION("""COMPUTED_VALUE"""),46002.22986111111)</f>
        <v>46002.22986</v>
      </c>
      <c r="H2382" s="238">
        <f>IFERROR(__xludf.DUMMYFUNCTION("""COMPUTED_VALUE"""),46002.3125)</f>
        <v>46002.3125</v>
      </c>
      <c r="I2382" s="237" t="str">
        <f t="shared" si="1"/>
        <v>Fora</v>
      </c>
      <c r="J2382" s="239">
        <v>479.9999999930151</v>
      </c>
    </row>
    <row r="2383">
      <c r="A2383" s="234" t="s">
        <v>3979</v>
      </c>
      <c r="B2383" s="234" t="str">
        <f>IFERROR(__xludf.DUMMYFUNCTION("""COMPUTED_VALUE"""),"SoC_MG_Betim")</f>
        <v>SoC_MG_Betim</v>
      </c>
      <c r="C2383" s="234" t="str">
        <f>IFERROR(__xludf.DUMMYFUNCTION("""COMPUTED_VALUE"""),"SOC-MG2")</f>
        <v>SOC-MG2</v>
      </c>
      <c r="D2383" s="234">
        <f>IFERROR(__xludf.DUMMYFUNCTION("""COMPUTED_VALUE"""),91.0)</f>
        <v>91</v>
      </c>
      <c r="E2383" s="237" t="str">
        <f>IFERROR(__xludf.DUMMYFUNCTION("""COMPUTED_VALUE"""),"LT1PCB01U3ZX1")</f>
        <v>LT1PCB01U3ZX1</v>
      </c>
      <c r="F2383" s="238" t="str">
        <f>IFERROR(__xludf.DUMMYFUNCTION("""COMPUTED_VALUE"""),"HJZ0E23,DTA7E58")</f>
        <v>HJZ0E23,DTA7E58</v>
      </c>
      <c r="G2383" s="238">
        <f>IFERROR(__xludf.DUMMYFUNCTION("""COMPUTED_VALUE"""),46002.0)</f>
        <v>46002</v>
      </c>
      <c r="H2383" s="238">
        <f>IFERROR(__xludf.DUMMYFUNCTION("""COMPUTED_VALUE"""),46002.33333333333)</f>
        <v>46002.33333</v>
      </c>
      <c r="I2383" s="237" t="str">
        <f t="shared" si="1"/>
        <v>Fora</v>
      </c>
      <c r="J2383" s="239">
        <v>419.99999998603016</v>
      </c>
    </row>
    <row r="2384">
      <c r="A2384" s="234" t="s">
        <v>179</v>
      </c>
      <c r="B2384" s="234" t="str">
        <f>IFERROR(__xludf.DUMMYFUNCTION("""COMPUTED_VALUE"""),"SoC_GO_Goiânia_02")</f>
        <v>SoC_GO_Goiânia_02</v>
      </c>
      <c r="C2384" s="234" t="str">
        <f>IFERROR(__xludf.DUMMYFUNCTION("""COMPUTED_VALUE"""),"SOC-GO2")</f>
        <v>SOC-GO2</v>
      </c>
      <c r="D2384" s="234"/>
      <c r="E2384" s="237" t="str">
        <f>IFERROR(__xludf.DUMMYFUNCTION("""COMPUTED_VALUE"""),"LT1PCB01U4081")</f>
        <v>LT1PCB01U4081</v>
      </c>
      <c r="F2384" s="238" t="str">
        <f>IFERROR(__xludf.DUMMYFUNCTION("""COMPUTED_VALUE"""),"LKZ5A38,FZH9C17")</f>
        <v>LKZ5A38,FZH9C17</v>
      </c>
      <c r="G2384" s="238">
        <f>IFERROR(__xludf.DUMMYFUNCTION("""COMPUTED_VALUE"""),46002.04166666667)</f>
        <v>46002.04167</v>
      </c>
      <c r="H2384" s="238">
        <f>IFERROR(__xludf.DUMMYFUNCTION("""COMPUTED_VALUE"""),46002.33333333333)</f>
        <v>46002.33333</v>
      </c>
      <c r="I2384" s="237" t="str">
        <f t="shared" si="1"/>
        <v>Fora</v>
      </c>
      <c r="J2384" s="239">
        <v>419.99999998603016</v>
      </c>
    </row>
    <row r="2385">
      <c r="A2385" s="234" t="s">
        <v>180</v>
      </c>
      <c r="B2385" s="234" t="str">
        <f>IFERROR(__xludf.DUMMYFUNCTION("""COMPUTED_VALUE"""),"SoC_SP_Cravinhos")</f>
        <v>SoC_SP_Cravinhos</v>
      </c>
      <c r="C2385" s="234" t="str">
        <f>IFERROR(__xludf.DUMMYFUNCTION("""COMPUTED_VALUE"""),"SOC-SP5")</f>
        <v>SOC-SP5</v>
      </c>
      <c r="D2385" s="234"/>
      <c r="E2385" s="237" t="str">
        <f>IFERROR(__xludf.DUMMYFUNCTION("""COMPUTED_VALUE"""),"LT1PCB01U3ZT1")</f>
        <v>LT1PCB01U3ZT1</v>
      </c>
      <c r="F2385" s="238" t="str">
        <f>IFERROR(__xludf.DUMMYFUNCTION("""COMPUTED_VALUE"""),"FVC5F11,RAH4A90")</f>
        <v>FVC5F11,RAH4A90</v>
      </c>
      <c r="G2385" s="238">
        <f>IFERROR(__xludf.DUMMYFUNCTION("""COMPUTED_VALUE"""),46002.04166666667)</f>
        <v>46002.04167</v>
      </c>
      <c r="H2385" s="238">
        <f>IFERROR(__xludf.DUMMYFUNCTION("""COMPUTED_VALUE"""),46002.33333333333)</f>
        <v>46002.33333</v>
      </c>
      <c r="I2385" s="237" t="str">
        <f t="shared" si="1"/>
        <v>Fora</v>
      </c>
      <c r="J2385" s="239">
        <v>420.0000000069849</v>
      </c>
    </row>
    <row r="2386">
      <c r="A2386" s="234" t="s">
        <v>181</v>
      </c>
      <c r="B2386" s="234" t="str">
        <f>IFERROR(__xludf.DUMMYFUNCTION("""COMPUTED_VALUE"""),"SoC_BA_Simoes Filho")</f>
        <v>SoC_BA_Simoes Filho</v>
      </c>
      <c r="C2386" s="234" t="str">
        <f>IFERROR(__xludf.DUMMYFUNCTION("""COMPUTED_VALUE"""),"SOC-BA2")</f>
        <v>SOC-BA2</v>
      </c>
      <c r="D2386" s="234"/>
      <c r="E2386" s="237" t="str">
        <f>IFERROR(__xludf.DUMMYFUNCTION("""COMPUTED_VALUE"""),"LT1PCB01U4021")</f>
        <v>LT1PCB01U4021</v>
      </c>
      <c r="F2386" s="238" t="str">
        <f>IFERROR(__xludf.DUMMYFUNCTION("""COMPUTED_VALUE"""),"FRR9018,FCB0419")</f>
        <v>FRR9018,FCB0419</v>
      </c>
      <c r="G2386" s="238">
        <f>IFERROR(__xludf.DUMMYFUNCTION("""COMPUTED_VALUE"""),46002.08333333333)</f>
        <v>46002.08333</v>
      </c>
      <c r="H2386" s="238">
        <f>IFERROR(__xludf.DUMMYFUNCTION("""COMPUTED_VALUE"""),46002.375)</f>
        <v>46002.375</v>
      </c>
      <c r="I2386" s="237" t="str">
        <f t="shared" si="1"/>
        <v>Fora</v>
      </c>
      <c r="J2386" s="239">
        <v>479.9999999930151</v>
      </c>
    </row>
    <row r="2387">
      <c r="A2387" s="234" t="s">
        <v>182</v>
      </c>
      <c r="B2387" s="234" t="str">
        <f>IFERROR(__xludf.DUMMYFUNCTION("""COMPUTED_VALUE"""),"SoC_GO_Goiânia_02")</f>
        <v>SoC_GO_Goiânia_02</v>
      </c>
      <c r="C2387" s="234" t="str">
        <f>IFERROR(__xludf.DUMMYFUNCTION("""COMPUTED_VALUE"""),"SOC-GO2")</f>
        <v>SOC-GO2</v>
      </c>
      <c r="D2387" s="234"/>
      <c r="E2387" s="237" t="str">
        <f>IFERROR(__xludf.DUMMYFUNCTION("""COMPUTED_VALUE"""),"LT1PCB01U4091")</f>
        <v>LT1PCB01U4091</v>
      </c>
      <c r="F2387" s="238" t="str">
        <f>IFERROR(__xludf.DUMMYFUNCTION("""COMPUTED_VALUE"""),"OVC8144,ANC8G65")</f>
        <v>OVC8144,ANC8G65</v>
      </c>
      <c r="G2387" s="238">
        <f>IFERROR(__xludf.DUMMYFUNCTION("""COMPUTED_VALUE"""),46002.125)</f>
        <v>46002.125</v>
      </c>
      <c r="H2387" s="238">
        <f>IFERROR(__xludf.DUMMYFUNCTION("""COMPUTED_VALUE"""),46002.45833333333)</f>
        <v>46002.45833</v>
      </c>
      <c r="I2387" s="237" t="str">
        <f t="shared" si="1"/>
        <v>Fora</v>
      </c>
      <c r="J2387" s="239" t="e">
        <v>#VALUE!</v>
      </c>
    </row>
    <row r="2388">
      <c r="A2388" s="234" t="s">
        <v>3980</v>
      </c>
      <c r="B2388" s="234" t="str">
        <f>IFERROR(__xludf.DUMMYFUNCTION("""COMPUTED_VALUE"""),"Fanout Desconhecido")</f>
        <v>Fanout Desconhecido</v>
      </c>
      <c r="C2388" s="234" t="str">
        <f>IFERROR(__xludf.DUMMYFUNCTION("""COMPUTED_VALUE"""),"-")</f>
        <v>-</v>
      </c>
      <c r="D2388" s="234"/>
      <c r="E2388" s="237" t="str">
        <f>IFERROR(__xludf.DUMMYFUNCTION("""COMPUTED_VALUE"""),"LT0PCA01TNOP1")</f>
        <v>LT0PCA01TNOP1</v>
      </c>
      <c r="F2388" s="238" t="str">
        <f>IFERROR(__xludf.DUMMYFUNCTION("""COMPUTED_VALUE"""),"-")</f>
        <v>-</v>
      </c>
      <c r="G2388" s="238" t="str">
        <f>IFERROR(__xludf.DUMMYFUNCTION("""COMPUTED_VALUE"""),"-")</f>
        <v>-</v>
      </c>
      <c r="H2388" s="238" t="str">
        <f>IFERROR(__xludf.DUMMYFUNCTION("""COMPUTED_VALUE"""),"-")</f>
        <v>-</v>
      </c>
      <c r="I2388" s="237" t="str">
        <f t="shared" si="1"/>
        <v>Dentro</v>
      </c>
      <c r="J2388" s="239" t="e">
        <v>#VALUE!</v>
      </c>
    </row>
    <row r="2389">
      <c r="A2389" s="234" t="s">
        <v>3981</v>
      </c>
      <c r="B2389" s="234" t="str">
        <f>IFERROR(__xludf.DUMMYFUNCTION("""COMPUTED_VALUE"""),"Fanout Desconhecido")</f>
        <v>Fanout Desconhecido</v>
      </c>
      <c r="C2389" s="234" t="str">
        <f>IFERROR(__xludf.DUMMYFUNCTION("""COMPUTED_VALUE"""),"-")</f>
        <v>-</v>
      </c>
      <c r="D2389" s="234">
        <f>IFERROR(__xludf.DUMMYFUNCTION("""COMPUTED_VALUE"""),18.0)</f>
        <v>18</v>
      </c>
      <c r="E2389" s="237" t="str">
        <f>IFERROR(__xludf.DUMMYFUNCTION("""COMPUTED_VALUE"""),"LT0PCA01TVXU1")</f>
        <v>LT0PCA01TVXU1</v>
      </c>
      <c r="F2389" s="238" t="str">
        <f>IFERROR(__xludf.DUMMYFUNCTION("""COMPUTED_VALUE"""),"-")</f>
        <v>-</v>
      </c>
      <c r="G2389" s="238" t="str">
        <f>IFERROR(__xludf.DUMMYFUNCTION("""COMPUTED_VALUE"""),"-")</f>
        <v>-</v>
      </c>
      <c r="H2389" s="238" t="str">
        <f>IFERROR(__xludf.DUMMYFUNCTION("""COMPUTED_VALUE"""),"-")</f>
        <v>-</v>
      </c>
      <c r="I2389" s="237" t="str">
        <f t="shared" si="1"/>
        <v>Dentro</v>
      </c>
      <c r="J2389" s="239" t="e">
        <v>#VALUE!</v>
      </c>
    </row>
    <row r="2390">
      <c r="A2390" s="234" t="s">
        <v>3982</v>
      </c>
      <c r="B2390" s="234" t="str">
        <f>IFERROR(__xludf.DUMMYFUNCTION("""COMPUTED_VALUE"""),"Fanout Desconhecido")</f>
        <v>Fanout Desconhecido</v>
      </c>
      <c r="C2390" s="234" t="str">
        <f>IFERROR(__xludf.DUMMYFUNCTION("""COMPUTED_VALUE"""),"-")</f>
        <v>-</v>
      </c>
      <c r="D2390" s="234"/>
      <c r="E2390" s="237" t="str">
        <f>IFERROR(__xludf.DUMMYFUNCTION("""COMPUTED_VALUE"""),"LT0PCA01TVW21")</f>
        <v>LT0PCA01TVW21</v>
      </c>
      <c r="F2390" s="238" t="str">
        <f>IFERROR(__xludf.DUMMYFUNCTION("""COMPUTED_VALUE"""),"-")</f>
        <v>-</v>
      </c>
      <c r="G2390" s="238" t="str">
        <f>IFERROR(__xludf.DUMMYFUNCTION("""COMPUTED_VALUE"""),"-")</f>
        <v>-</v>
      </c>
      <c r="H2390" s="238" t="str">
        <f>IFERROR(__xludf.DUMMYFUNCTION("""COMPUTED_VALUE"""),"-")</f>
        <v>-</v>
      </c>
      <c r="I2390" s="237" t="str">
        <f t="shared" si="1"/>
        <v>Dentro</v>
      </c>
      <c r="J2390" s="239" t="e">
        <v>#VALUE!</v>
      </c>
    </row>
    <row r="2391">
      <c r="A2391" s="234" t="s">
        <v>3983</v>
      </c>
      <c r="B2391" s="234" t="str">
        <f>IFERROR(__xludf.DUMMYFUNCTION("""COMPUTED_VALUE"""),"Fanout Desconhecido")</f>
        <v>Fanout Desconhecido</v>
      </c>
      <c r="C2391" s="234" t="str">
        <f>IFERROR(__xludf.DUMMYFUNCTION("""COMPUTED_VALUE"""),"-")</f>
        <v>-</v>
      </c>
      <c r="D2391" s="234">
        <f>IFERROR(__xludf.DUMMYFUNCTION("""COMPUTED_VALUE"""),5.0)</f>
        <v>5</v>
      </c>
      <c r="E2391" s="237" t="str">
        <f>IFERROR(__xludf.DUMMYFUNCTION("""COMPUTED_VALUE"""),"LT0PCA01TO9K1")</f>
        <v>LT0PCA01TO9K1</v>
      </c>
      <c r="F2391" s="238" t="str">
        <f>IFERROR(__xludf.DUMMYFUNCTION("""COMPUTED_VALUE"""),"-")</f>
        <v>-</v>
      </c>
      <c r="G2391" s="238" t="str">
        <f>IFERROR(__xludf.DUMMYFUNCTION("""COMPUTED_VALUE"""),"-")</f>
        <v>-</v>
      </c>
      <c r="H2391" s="238" t="str">
        <f>IFERROR(__xludf.DUMMYFUNCTION("""COMPUTED_VALUE"""),"-")</f>
        <v>-</v>
      </c>
      <c r="I2391" s="237" t="str">
        <f t="shared" si="1"/>
        <v>Dentro</v>
      </c>
      <c r="J2391" s="239" t="e">
        <v>#VALUE!</v>
      </c>
    </row>
    <row r="2392">
      <c r="A2392" s="234" t="s">
        <v>3984</v>
      </c>
      <c r="B2392" s="234" t="str">
        <f>IFERROR(__xludf.DUMMYFUNCTION("""COMPUTED_VALUE"""),"Fanout Desconhecido")</f>
        <v>Fanout Desconhecido</v>
      </c>
      <c r="C2392" s="234" t="str">
        <f>IFERROR(__xludf.DUMMYFUNCTION("""COMPUTED_VALUE"""),"-")</f>
        <v>-</v>
      </c>
      <c r="D2392" s="234">
        <f>IFERROR(__xludf.DUMMYFUNCTION("""COMPUTED_VALUE"""),35.0)</f>
        <v>35</v>
      </c>
      <c r="E2392" s="237" t="str">
        <f>IFERROR(__xludf.DUMMYFUNCTION("""COMPUTED_VALUE"""),"LT0PCA01TO6S1")</f>
        <v>LT0PCA01TO6S1</v>
      </c>
      <c r="F2392" s="238" t="str">
        <f>IFERROR(__xludf.DUMMYFUNCTION("""COMPUTED_VALUE"""),"-")</f>
        <v>-</v>
      </c>
      <c r="G2392" s="238" t="str">
        <f>IFERROR(__xludf.DUMMYFUNCTION("""COMPUTED_VALUE"""),"-")</f>
        <v>-</v>
      </c>
      <c r="H2392" s="238" t="str">
        <f>IFERROR(__xludf.DUMMYFUNCTION("""COMPUTED_VALUE"""),"-")</f>
        <v>-</v>
      </c>
      <c r="I2392" s="237" t="str">
        <f t="shared" si="1"/>
        <v>Dentro</v>
      </c>
      <c r="J2392" s="239">
        <v>120.00000001396984</v>
      </c>
    </row>
    <row r="2393">
      <c r="A2393" s="234" t="s">
        <v>3985</v>
      </c>
      <c r="B2393" s="234" t="str">
        <f>IFERROR(__xludf.DUMMYFUNCTION("""COMPUTED_VALUE"""),"SoC_RS_Gravataí_02")</f>
        <v>SoC_RS_Gravataí_02</v>
      </c>
      <c r="C2393" s="234" t="str">
        <f>IFERROR(__xludf.DUMMYFUNCTION("""COMPUTED_VALUE"""),"SOC-RS2")</f>
        <v>SOC-RS2</v>
      </c>
      <c r="D2393" s="234">
        <f>IFERROR(__xludf.DUMMYFUNCTION("""COMPUTED_VALUE"""),7.0)</f>
        <v>7</v>
      </c>
      <c r="E2393" s="237" t="str">
        <f>IFERROR(__xludf.DUMMYFUNCTION("""COMPUTED_VALUE"""),"LT0PCB01TW161")</f>
        <v>LT0PCB01TW161</v>
      </c>
      <c r="F2393" s="238" t="str">
        <f>IFERROR(__xludf.DUMMYFUNCTION("""COMPUTED_VALUE"""),"FDZ2B52,TKD7E16")</f>
        <v>FDZ2B52,TKD7E16</v>
      </c>
      <c r="G2393" s="238">
        <f>IFERROR(__xludf.DUMMYFUNCTION("""COMPUTED_VALUE"""),46002.70833333333)</f>
        <v>46002.70833</v>
      </c>
      <c r="H2393" s="238">
        <f>IFERROR(__xludf.DUMMYFUNCTION("""COMPUTED_VALUE"""),46002.79166666667)</f>
        <v>46002.79167</v>
      </c>
      <c r="I2393" s="237" t="str">
        <f t="shared" si="1"/>
        <v>Fora</v>
      </c>
      <c r="J2393" s="239">
        <v>119.99999999301508</v>
      </c>
    </row>
    <row r="2394">
      <c r="A2394" s="234" t="s">
        <v>3986</v>
      </c>
      <c r="B2394" s="234" t="str">
        <f>IFERROR(__xludf.DUMMYFUNCTION("""COMPUTED_VALUE"""),"SoC_BA_Simoes Filho")</f>
        <v>SoC_BA_Simoes Filho</v>
      </c>
      <c r="C2394" s="234" t="str">
        <f>IFERROR(__xludf.DUMMYFUNCTION("""COMPUTED_VALUE"""),"SOC-BA2")</f>
        <v>SOC-BA2</v>
      </c>
      <c r="D2394" s="234">
        <f>IFERROR(__xludf.DUMMYFUNCTION("""COMPUTED_VALUE"""),47.0)</f>
        <v>47</v>
      </c>
      <c r="E2394" s="237" t="str">
        <f>IFERROR(__xludf.DUMMYFUNCTION("""COMPUTED_VALUE"""),"LT1PCB01U4FV1")</f>
        <v>LT1PCB01U4FV1</v>
      </c>
      <c r="F2394" s="238" t="str">
        <f>IFERROR(__xludf.DUMMYFUNCTION("""COMPUTED_VALUE"""),"MKE0E20,MKA6127")</f>
        <v>MKE0E20,MKA6127</v>
      </c>
      <c r="G2394" s="238">
        <f>IFERROR(__xludf.DUMMYFUNCTION("""COMPUTED_VALUE"""),46002.75)</f>
        <v>46002.75</v>
      </c>
      <c r="H2394" s="238">
        <f>IFERROR(__xludf.DUMMYFUNCTION("""COMPUTED_VALUE"""),46002.83333333333)</f>
        <v>46002.83333</v>
      </c>
      <c r="I2394" s="237" t="str">
        <f t="shared" si="1"/>
        <v>Fora</v>
      </c>
      <c r="J2394" s="239">
        <v>119.99999999301508</v>
      </c>
    </row>
    <row r="2395">
      <c r="A2395" s="234" t="s">
        <v>3987</v>
      </c>
      <c r="B2395" s="234" t="str">
        <f>IFERROR(__xludf.DUMMYFUNCTION("""COMPUTED_VALUE"""),"SoC_PE_Jaboatão dos Guararapes")</f>
        <v>SoC_PE_Jaboatão dos Guararapes</v>
      </c>
      <c r="C2395" s="234" t="str">
        <f>IFERROR(__xludf.DUMMYFUNCTION("""COMPUTED_VALUE"""),"SOC-PE2")</f>
        <v>SOC-PE2</v>
      </c>
      <c r="D2395" s="234">
        <f>IFERROR(__xludf.DUMMYFUNCTION("""COMPUTED_VALUE"""),27.0)</f>
        <v>27</v>
      </c>
      <c r="E2395" s="237" t="str">
        <f>IFERROR(__xludf.DUMMYFUNCTION("""COMPUTED_VALUE"""),"LT1PCB01U4FN1")</f>
        <v>LT1PCB01U4FN1</v>
      </c>
      <c r="F2395" s="238" t="str">
        <f>IFERROR(__xludf.DUMMYFUNCTION("""COMPUTED_VALUE"""),"EJZ9F38,DTC0D81")</f>
        <v>EJZ9F38,DTC0D81</v>
      </c>
      <c r="G2395" s="238">
        <f>IFERROR(__xludf.DUMMYFUNCTION("""COMPUTED_VALUE"""),46002.75)</f>
        <v>46002.75</v>
      </c>
      <c r="H2395" s="238">
        <f>IFERROR(__xludf.DUMMYFUNCTION("""COMPUTED_VALUE"""),46002.83333333333)</f>
        <v>46002.83333</v>
      </c>
      <c r="I2395" s="237" t="str">
        <f t="shared" si="1"/>
        <v>Fora</v>
      </c>
      <c r="J2395" s="239">
        <v>120.00000001396984</v>
      </c>
    </row>
    <row r="2396">
      <c r="A2396" s="234" t="s">
        <v>3988</v>
      </c>
      <c r="B2396" s="234" t="str">
        <f>IFERROR(__xludf.DUMMYFUNCTION("""COMPUTED_VALUE"""),"SoC_GO_Goiânia_02")</f>
        <v>SoC_GO_Goiânia_02</v>
      </c>
      <c r="C2396" s="234" t="str">
        <f>IFERROR(__xludf.DUMMYFUNCTION("""COMPUTED_VALUE"""),"SOC-GO2")</f>
        <v>SOC-GO2</v>
      </c>
      <c r="D2396" s="234">
        <f>IFERROR(__xludf.DUMMYFUNCTION("""COMPUTED_VALUE"""),86.0)</f>
        <v>86</v>
      </c>
      <c r="E2396" s="237" t="str">
        <f>IFERROR(__xludf.DUMMYFUNCTION("""COMPUTED_VALUE"""),"LT0PCB01TVYE2")</f>
        <v>LT0PCB01TVYE2</v>
      </c>
      <c r="F2396" s="238" t="str">
        <f>IFERROR(__xludf.DUMMYFUNCTION("""COMPUTED_VALUE"""),"NWM7007,TGH2I78")</f>
        <v>NWM7007,TGH2I78</v>
      </c>
      <c r="G2396" s="238">
        <f>IFERROR(__xludf.DUMMYFUNCTION("""COMPUTED_VALUE"""),46002.83333333333)</f>
        <v>46002.83333</v>
      </c>
      <c r="H2396" s="238">
        <f>IFERROR(__xludf.DUMMYFUNCTION("""COMPUTED_VALUE"""),46002.91666666667)</f>
        <v>46002.91667</v>
      </c>
      <c r="I2396" s="237" t="str">
        <f t="shared" si="1"/>
        <v>Fora</v>
      </c>
      <c r="J2396" s="239">
        <v>120.00000001396984</v>
      </c>
    </row>
    <row r="2397">
      <c r="A2397" s="234" t="s">
        <v>3989</v>
      </c>
      <c r="B2397" s="234" t="str">
        <f>IFERROR(__xludf.DUMMYFUNCTION("""COMPUTED_VALUE"""),"SoC_SC_Itajaí")</f>
        <v>SoC_SC_Itajaí</v>
      </c>
      <c r="C2397" s="234" t="str">
        <f>IFERROR(__xludf.DUMMYFUNCTION("""COMPUTED_VALUE"""),"SOC-SC1")</f>
        <v>SOC-SC1</v>
      </c>
      <c r="D2397" s="234">
        <f>IFERROR(__xludf.DUMMYFUNCTION("""COMPUTED_VALUE"""),19.0)</f>
        <v>19</v>
      </c>
      <c r="E2397" s="237" t="str">
        <f>IFERROR(__xludf.DUMMYFUNCTION("""COMPUTED_VALUE"""),"LT0PCB01TUJD1")</f>
        <v>LT0PCB01TUJD1</v>
      </c>
      <c r="F2397" s="238" t="str">
        <f>IFERROR(__xludf.DUMMYFUNCTION("""COMPUTED_VALUE"""),"FSH3A54,TPM2H63")</f>
        <v>FSH3A54,TPM2H63</v>
      </c>
      <c r="G2397" s="238">
        <f>IFERROR(__xludf.DUMMYFUNCTION("""COMPUTED_VALUE"""),46002.83333333333)</f>
        <v>46002.83333</v>
      </c>
      <c r="H2397" s="238">
        <f>IFERROR(__xludf.DUMMYFUNCTION("""COMPUTED_VALUE"""),46002.91666666667)</f>
        <v>46002.91667</v>
      </c>
      <c r="I2397" s="237" t="str">
        <f t="shared" si="1"/>
        <v>Fora</v>
      </c>
      <c r="J2397" s="239">
        <v>119.99999999301508</v>
      </c>
    </row>
    <row r="2398">
      <c r="A2398" s="234" t="s">
        <v>3990</v>
      </c>
      <c r="B2398" s="234" t="str">
        <f>IFERROR(__xludf.DUMMYFUNCTION("""COMPUTED_VALUE"""),"LM Hub_SP_São Bernardo do Campo")</f>
        <v>LM Hub_SP_São Bernardo do Campo</v>
      </c>
      <c r="C2398" s="234" t="str">
        <f>IFERROR(__xludf.DUMMYFUNCTION("""COMPUTED_VALUE"""),"HUB-LSP-79")</f>
        <v>HUB-LSP-79</v>
      </c>
      <c r="D2398" s="234">
        <f>IFERROR(__xludf.DUMMYFUNCTION("""COMPUTED_VALUE"""),29.0)</f>
        <v>29</v>
      </c>
      <c r="E2398" s="237" t="str">
        <f>IFERROR(__xludf.DUMMYFUNCTION("""COMPUTED_VALUE"""),"LT1PCB01U6N11")</f>
        <v>LT1PCB01U6N11</v>
      </c>
      <c r="F2398" s="238" t="str">
        <f>IFERROR(__xludf.DUMMYFUNCTION("""COMPUTED_VALUE"""),"ONN9D62")</f>
        <v>ONN9D62</v>
      </c>
      <c r="G2398" s="238">
        <f>IFERROR(__xludf.DUMMYFUNCTION("""COMPUTED_VALUE"""),46002.875)</f>
        <v>46002.875</v>
      </c>
      <c r="H2398" s="238">
        <f>IFERROR(__xludf.DUMMYFUNCTION("""COMPUTED_VALUE"""),46002.95833333333)</f>
        <v>46002.95833</v>
      </c>
      <c r="I2398" s="237" t="str">
        <f t="shared" si="1"/>
        <v>Fora</v>
      </c>
      <c r="J2398" s="239">
        <v>119.99999999301508</v>
      </c>
    </row>
    <row r="2399">
      <c r="A2399" s="234" t="s">
        <v>3991</v>
      </c>
      <c r="B2399" s="234" t="str">
        <f>IFERROR(__xludf.DUMMYFUNCTION("""COMPUTED_VALUE"""),"SoC_PR_Curitiba")</f>
        <v>SoC_PR_Curitiba</v>
      </c>
      <c r="C2399" s="234" t="str">
        <f>IFERROR(__xludf.DUMMYFUNCTION("""COMPUTED_VALUE"""),"SOC-PR1")</f>
        <v>SOC-PR1</v>
      </c>
      <c r="D2399" s="234">
        <f>IFERROR(__xludf.DUMMYFUNCTION("""COMPUTED_VALUE"""),40.0)</f>
        <v>40</v>
      </c>
      <c r="E2399" s="237" t="str">
        <f>IFERROR(__xludf.DUMMYFUNCTION("""COMPUTED_VALUE"""),"LT1PCB01U4D11")</f>
        <v>LT1PCB01U4D11</v>
      </c>
      <c r="F2399" s="238" t="str">
        <f>IFERROR(__xludf.DUMMYFUNCTION("""COMPUTED_VALUE"""),"FNZ5B72,TKR1C62")</f>
        <v>FNZ5B72,TKR1C62</v>
      </c>
      <c r="G2399" s="238">
        <f>IFERROR(__xludf.DUMMYFUNCTION("""COMPUTED_VALUE"""),46002.875)</f>
        <v>46002.875</v>
      </c>
      <c r="H2399" s="238">
        <f>IFERROR(__xludf.DUMMYFUNCTION("""COMPUTED_VALUE"""),46002.95833333333)</f>
        <v>46002.95833</v>
      </c>
      <c r="I2399" s="237" t="str">
        <f t="shared" si="1"/>
        <v>Fora</v>
      </c>
      <c r="J2399" s="239">
        <v>120.00000001396984</v>
      </c>
    </row>
    <row r="2400">
      <c r="A2400" s="234" t="s">
        <v>3992</v>
      </c>
      <c r="B2400" s="234" t="str">
        <f>IFERROR(__xludf.DUMMYFUNCTION("""COMPUTED_VALUE"""),"LM Hub_SP_Itaqua_Zimba")</f>
        <v>LM Hub_SP_Itaqua_Zimba</v>
      </c>
      <c r="C2400" s="234" t="str">
        <f>IFERROR(__xludf.DUMMYFUNCTION("""COMPUTED_VALUE"""),"HUB-LSP-74")</f>
        <v>HUB-LSP-74</v>
      </c>
      <c r="D2400" s="234">
        <f>IFERROR(__xludf.DUMMYFUNCTION("""COMPUTED_VALUE"""),32.0)</f>
        <v>32</v>
      </c>
      <c r="E2400" s="237" t="str">
        <f>IFERROR(__xludf.DUMMYFUNCTION("""COMPUTED_VALUE"""),"LT0PCB01TO6T1")</f>
        <v>LT0PCB01TO6T1</v>
      </c>
      <c r="F2400" s="238" t="str">
        <f>IFERROR(__xludf.DUMMYFUNCTION("""COMPUTED_VALUE"""),"BTZ0G54,ELW8C94")</f>
        <v>BTZ0G54,ELW8C94</v>
      </c>
      <c r="G2400" s="238">
        <f>IFERROR(__xludf.DUMMYFUNCTION("""COMPUTED_VALUE"""),46002.89583333333)</f>
        <v>46002.89583</v>
      </c>
      <c r="H2400" s="238">
        <f>IFERROR(__xludf.DUMMYFUNCTION("""COMPUTED_VALUE"""),46002.97916666667)</f>
        <v>46002.97917</v>
      </c>
      <c r="I2400" s="237" t="str">
        <f t="shared" si="1"/>
        <v>Fora</v>
      </c>
      <c r="J2400" s="239">
        <v>120.00000001396984</v>
      </c>
    </row>
    <row r="2401">
      <c r="A2401" s="234" t="s">
        <v>3993</v>
      </c>
      <c r="B2401" s="234" t="str">
        <f>IFERROR(__xludf.DUMMYFUNCTION("""COMPUTED_VALUE"""),"LM Hub_SP_Santos_Praia Grande")</f>
        <v>LM Hub_SP_Santos_Praia Grande</v>
      </c>
      <c r="C2401" s="234" t="str">
        <f>IFERROR(__xludf.DUMMYFUNCTION("""COMPUTED_VALUE"""),"HUB-LSP-09")</f>
        <v>HUB-LSP-09</v>
      </c>
      <c r="D2401" s="234">
        <f>IFERROR(__xludf.DUMMYFUNCTION("""COMPUTED_VALUE"""),24.0)</f>
        <v>24</v>
      </c>
      <c r="E2401" s="237" t="str">
        <f>IFERROR(__xludf.DUMMYFUNCTION("""COMPUTED_VALUE"""),"LT0PCB01TO9V1")</f>
        <v>LT0PCB01TO9V1</v>
      </c>
      <c r="F2401" s="238" t="str">
        <f>IFERROR(__xludf.DUMMYFUNCTION("""COMPUTED_VALUE"""),"FKC4249")</f>
        <v>FKC4249</v>
      </c>
      <c r="G2401" s="238">
        <f>IFERROR(__xludf.DUMMYFUNCTION("""COMPUTED_VALUE"""),46002.89583333333)</f>
        <v>46002.89583</v>
      </c>
      <c r="H2401" s="238">
        <f>IFERROR(__xludf.DUMMYFUNCTION("""COMPUTED_VALUE"""),46002.97916666667)</f>
        <v>46002.97917</v>
      </c>
      <c r="I2401" s="237" t="str">
        <f t="shared" si="1"/>
        <v>Fora</v>
      </c>
      <c r="J2401" s="239">
        <v>120.00000001396984</v>
      </c>
    </row>
    <row r="2402">
      <c r="A2402" s="234" t="s">
        <v>3994</v>
      </c>
      <c r="B2402" s="234" t="str">
        <f>IFERROR(__xludf.DUMMYFUNCTION("""COMPUTED_VALUE"""),"LM Hub_SP_São José dos Campos")</f>
        <v>LM Hub_SP_São José dos Campos</v>
      </c>
      <c r="C2402" s="234" t="str">
        <f>IFERROR(__xludf.DUMMYFUNCTION("""COMPUTED_VALUE"""),"HUB-LSP-04")</f>
        <v>HUB-LSP-04</v>
      </c>
      <c r="D2402" s="234">
        <f>IFERROR(__xludf.DUMMYFUNCTION("""COMPUTED_VALUE"""),20.0)</f>
        <v>20</v>
      </c>
      <c r="E2402" s="237" t="str">
        <f>IFERROR(__xludf.DUMMYFUNCTION("""COMPUTED_VALUE"""),"LT0PCB01TOC31")</f>
        <v>LT0PCB01TOC31</v>
      </c>
      <c r="F2402" s="238" t="str">
        <f>IFERROR(__xludf.DUMMYFUNCTION("""COMPUTED_VALUE"""),"TBX6D09")</f>
        <v>TBX6D09</v>
      </c>
      <c r="G2402" s="238">
        <f>IFERROR(__xludf.DUMMYFUNCTION("""COMPUTED_VALUE"""),46002.89583333333)</f>
        <v>46002.89583</v>
      </c>
      <c r="H2402" s="238">
        <f>IFERROR(__xludf.DUMMYFUNCTION("""COMPUTED_VALUE"""),46002.97916666667)</f>
        <v>46002.97917</v>
      </c>
      <c r="I2402" s="237" t="str">
        <f t="shared" si="1"/>
        <v>Fora</v>
      </c>
      <c r="J2402" s="239">
        <v>119.00000001071021</v>
      </c>
    </row>
    <row r="2403">
      <c r="A2403" s="234" t="s">
        <v>3995</v>
      </c>
      <c r="B2403" s="234" t="str">
        <f>IFERROR(__xludf.DUMMYFUNCTION("""COMPUTED_VALUE"""),"LM Hub_SP_Jurubatuba")</f>
        <v>LM Hub_SP_Jurubatuba</v>
      </c>
      <c r="C2403" s="234" t="str">
        <f>IFERROR(__xludf.DUMMYFUNCTION("""COMPUTED_VALUE"""),"HUB-LSP-16")</f>
        <v>HUB-LSP-16</v>
      </c>
      <c r="D2403" s="234">
        <f>IFERROR(__xludf.DUMMYFUNCTION("""COMPUTED_VALUE"""),22.0)</f>
        <v>22</v>
      </c>
      <c r="E2403" s="237" t="str">
        <f>IFERROR(__xludf.DUMMYFUNCTION("""COMPUTED_VALUE"""),"LT0PCB01TN9D1")</f>
        <v>LT0PCB01TN9D1</v>
      </c>
      <c r="F2403" s="238" t="str">
        <f>IFERROR(__xludf.DUMMYFUNCTION("""COMPUTED_VALUE"""),"DTD4722")</f>
        <v>DTD4722</v>
      </c>
      <c r="G2403" s="238">
        <f>IFERROR(__xludf.DUMMYFUNCTION("""COMPUTED_VALUE"""),46002.896527777775)</f>
        <v>46002.89653</v>
      </c>
      <c r="H2403" s="238">
        <f>IFERROR(__xludf.DUMMYFUNCTION("""COMPUTED_VALUE"""),46002.97916666667)</f>
        <v>46002.97917</v>
      </c>
      <c r="I2403" s="237" t="str">
        <f t="shared" si="1"/>
        <v>Fora</v>
      </c>
      <c r="J2403" s="239">
        <v>118.99999998975545</v>
      </c>
    </row>
    <row r="2404">
      <c r="A2404" s="234" t="s">
        <v>3996</v>
      </c>
      <c r="B2404" s="234" t="str">
        <f>IFERROR(__xludf.DUMMYFUNCTION("""COMPUTED_VALUE"""),"LM Hub_SP_Guarujá")</f>
        <v>LM Hub_SP_Guarujá</v>
      </c>
      <c r="C2404" s="234" t="str">
        <f>IFERROR(__xludf.DUMMYFUNCTION("""COMPUTED_VALUE"""),"HUB-LSP-06")</f>
        <v>HUB-LSP-06</v>
      </c>
      <c r="D2404" s="234">
        <f>IFERROR(__xludf.DUMMYFUNCTION("""COMPUTED_VALUE"""),8.0)</f>
        <v>8</v>
      </c>
      <c r="E2404" s="237" t="str">
        <f>IFERROR(__xludf.DUMMYFUNCTION("""COMPUTED_VALUE"""),"LT0PCB01TO8H1")</f>
        <v>LT0PCB01TO8H1</v>
      </c>
      <c r="F2404" s="238" t="str">
        <f>IFERROR(__xludf.DUMMYFUNCTION("""COMPUTED_VALUE"""),"DIK3532")</f>
        <v>DIK3532</v>
      </c>
      <c r="G2404" s="238">
        <f>IFERROR(__xludf.DUMMYFUNCTION("""COMPUTED_VALUE"""),46002.91666666667)</f>
        <v>46002.91667</v>
      </c>
      <c r="H2404" s="238">
        <f>IFERROR(__xludf.DUMMYFUNCTION("""COMPUTED_VALUE"""),46002.99930555555)</f>
        <v>46002.99931</v>
      </c>
      <c r="I2404" s="237" t="str">
        <f t="shared" si="1"/>
        <v>Fora</v>
      </c>
      <c r="J2404" s="239">
        <v>119.99999999301508</v>
      </c>
    </row>
    <row r="2405">
      <c r="A2405" s="234" t="s">
        <v>3997</v>
      </c>
      <c r="B2405" s="234" t="str">
        <f>IFERROR(__xludf.DUMMYFUNCTION("""COMPUTED_VALUE"""),"LM Hub_RS_Porto Alegre_Floresta")</f>
        <v>LM Hub_RS_Porto Alegre_Floresta</v>
      </c>
      <c r="C2405" s="234" t="str">
        <f>IFERROR(__xludf.DUMMYFUNCTION("""COMPUTED_VALUE"""),"HUB-LRS-03")</f>
        <v>HUB-LRS-03</v>
      </c>
      <c r="D2405" s="234">
        <f>IFERROR(__xludf.DUMMYFUNCTION("""COMPUTED_VALUE"""),23.0)</f>
        <v>23</v>
      </c>
      <c r="E2405" s="237" t="str">
        <f>IFERROR(__xludf.DUMMYFUNCTION("""COMPUTED_VALUE"""),"LT0PCB01TWII1")</f>
        <v>LT0PCB01TWII1</v>
      </c>
      <c r="F2405" s="238" t="str">
        <f>IFERROR(__xludf.DUMMYFUNCTION("""COMPUTED_VALUE"""),"QUY6B07,FXL1G53")</f>
        <v>QUY6B07,FXL1G53</v>
      </c>
      <c r="G2405" s="238">
        <f>IFERROR(__xludf.DUMMYFUNCTION("""COMPUTED_VALUE"""),46002.91666666667)</f>
        <v>46002.91667</v>
      </c>
      <c r="H2405" s="238">
        <f>IFERROR(__xludf.DUMMYFUNCTION("""COMPUTED_VALUE"""),46003.0)</f>
        <v>46003</v>
      </c>
      <c r="I2405" s="237" t="str">
        <f t="shared" si="1"/>
        <v>Fora</v>
      </c>
      <c r="J2405" s="239">
        <v>119.99999999301508</v>
      </c>
    </row>
    <row r="2406">
      <c r="A2406" s="234" t="s">
        <v>3998</v>
      </c>
      <c r="B2406" s="234" t="str">
        <f>IFERROR(__xludf.DUMMYFUNCTION("""COMPUTED_VALUE"""),"LM Hub_SP_Artur Alvim")</f>
        <v>LM Hub_SP_Artur Alvim</v>
      </c>
      <c r="C2406" s="234" t="str">
        <f>IFERROR(__xludf.DUMMYFUNCTION("""COMPUTED_VALUE"""),"HUB-LSP-07")</f>
        <v>HUB-LSP-07</v>
      </c>
      <c r="D2406" s="234">
        <f>IFERROR(__xludf.DUMMYFUNCTION("""COMPUTED_VALUE"""),13.0)</f>
        <v>13</v>
      </c>
      <c r="E2406" s="237" t="str">
        <f>IFERROR(__xludf.DUMMYFUNCTION("""COMPUTED_VALUE"""),"LT0PCB01TO3F1")</f>
        <v>LT0PCB01TO3F1</v>
      </c>
      <c r="F2406" s="238" t="str">
        <f>IFERROR(__xludf.DUMMYFUNCTION("""COMPUTED_VALUE"""),"FEQ5G38,DBM6B83")</f>
        <v>FEQ5G38,DBM6B83</v>
      </c>
      <c r="G2406" s="238">
        <f>IFERROR(__xludf.DUMMYFUNCTION("""COMPUTED_VALUE"""),46002.91666666667)</f>
        <v>46002.91667</v>
      </c>
      <c r="H2406" s="238">
        <f>IFERROR(__xludf.DUMMYFUNCTION("""COMPUTED_VALUE"""),46003.0)</f>
        <v>46003</v>
      </c>
      <c r="I2406" s="237" t="str">
        <f t="shared" si="1"/>
        <v>Fora</v>
      </c>
      <c r="J2406" s="239">
        <v>119.99999999301508</v>
      </c>
    </row>
    <row r="2407">
      <c r="A2407" s="234" t="s">
        <v>3999</v>
      </c>
      <c r="B2407" s="234" t="str">
        <f>IFERROR(__xludf.DUMMYFUNCTION("""COMPUTED_VALUE"""),"LM Hub_SP_Artur Alvim")</f>
        <v>LM Hub_SP_Artur Alvim</v>
      </c>
      <c r="C2407" s="234" t="str">
        <f>IFERROR(__xludf.DUMMYFUNCTION("""COMPUTED_VALUE"""),"HUB-LSP-07")</f>
        <v>HUB-LSP-07</v>
      </c>
      <c r="D2407" s="234">
        <f>IFERROR(__xludf.DUMMYFUNCTION("""COMPUTED_VALUE"""),14.0)</f>
        <v>14</v>
      </c>
      <c r="E2407" s="237" t="str">
        <f>IFERROR(__xludf.DUMMYFUNCTION("""COMPUTED_VALUE"""),"LT1PCB01U6GA1")</f>
        <v>LT1PCB01U6GA1</v>
      </c>
      <c r="F2407" s="238" t="str">
        <f>IFERROR(__xludf.DUMMYFUNCTION("""COMPUTED_VALUE"""),"DVA3A62,DBC7D61")</f>
        <v>DVA3A62,DBC7D61</v>
      </c>
      <c r="G2407" s="238">
        <f>IFERROR(__xludf.DUMMYFUNCTION("""COMPUTED_VALUE"""),46002.91666666667)</f>
        <v>46002.91667</v>
      </c>
      <c r="H2407" s="238">
        <f>IFERROR(__xludf.DUMMYFUNCTION("""COMPUTED_VALUE"""),46003.0)</f>
        <v>46003</v>
      </c>
      <c r="I2407" s="237" t="str">
        <f t="shared" si="1"/>
        <v>Fora</v>
      </c>
      <c r="J2407" s="239">
        <v>119.99999999301508</v>
      </c>
    </row>
    <row r="2408">
      <c r="A2408" s="234" t="s">
        <v>4000</v>
      </c>
      <c r="B2408" s="234" t="str">
        <f>IFERROR(__xludf.DUMMYFUNCTION("""COMPUTED_VALUE"""),"LM Hub_SP_Barueri_01")</f>
        <v>LM Hub_SP_Barueri_01</v>
      </c>
      <c r="C2408" s="234" t="str">
        <f>IFERROR(__xludf.DUMMYFUNCTION("""COMPUTED_VALUE"""),"HUB-LSP-81")</f>
        <v>HUB-LSP-81</v>
      </c>
      <c r="D2408" s="234">
        <f>IFERROR(__xludf.DUMMYFUNCTION("""COMPUTED_VALUE"""),15.0)</f>
        <v>15</v>
      </c>
      <c r="E2408" s="237" t="str">
        <f>IFERROR(__xludf.DUMMYFUNCTION("""COMPUTED_VALUE"""),"LT0PCB01TV951")</f>
        <v>LT0PCB01TV951</v>
      </c>
      <c r="F2408" s="238" t="str">
        <f>IFERROR(__xludf.DUMMYFUNCTION("""COMPUTED_VALUE"""),"SUQ5C99")</f>
        <v>SUQ5C99</v>
      </c>
      <c r="G2408" s="238">
        <f>IFERROR(__xludf.DUMMYFUNCTION("""COMPUTED_VALUE"""),46002.91666666667)</f>
        <v>46002.91667</v>
      </c>
      <c r="H2408" s="238">
        <f>IFERROR(__xludf.DUMMYFUNCTION("""COMPUTED_VALUE"""),46003.0)</f>
        <v>46003</v>
      </c>
      <c r="I2408" s="237" t="str">
        <f t="shared" si="1"/>
        <v>Fora</v>
      </c>
      <c r="J2408" s="239">
        <v>119.99999999301508</v>
      </c>
    </row>
    <row r="2409">
      <c r="A2409" s="234" t="s">
        <v>4001</v>
      </c>
      <c r="B2409" s="234" t="str">
        <f>IFERROR(__xludf.DUMMYFUNCTION("""COMPUTED_VALUE"""),"LM Hub_SP_Itapevi")</f>
        <v>LM Hub_SP_Itapevi</v>
      </c>
      <c r="C2409" s="234" t="str">
        <f>IFERROR(__xludf.DUMMYFUNCTION("""COMPUTED_VALUE"""),"HUB-LSP-41")</f>
        <v>HUB-LSP-41</v>
      </c>
      <c r="D2409" s="234">
        <f>IFERROR(__xludf.DUMMYFUNCTION("""COMPUTED_VALUE"""),5.0)</f>
        <v>5</v>
      </c>
      <c r="E2409" s="237" t="str">
        <f>IFERROR(__xludf.DUMMYFUNCTION("""COMPUTED_VALUE"""),"LT0PCB01TO5N1")</f>
        <v>LT0PCB01TO5N1</v>
      </c>
      <c r="F2409" s="238" t="str">
        <f>IFERROR(__xludf.DUMMYFUNCTION("""COMPUTED_VALUE"""),"FRM9I93,UGN6B16")</f>
        <v>FRM9I93,UGN6B16</v>
      </c>
      <c r="G2409" s="238">
        <f>IFERROR(__xludf.DUMMYFUNCTION("""COMPUTED_VALUE"""),46002.91666666667)</f>
        <v>46002.91667</v>
      </c>
      <c r="H2409" s="238">
        <f>IFERROR(__xludf.DUMMYFUNCTION("""COMPUTED_VALUE"""),46003.0)</f>
        <v>46003</v>
      </c>
      <c r="I2409" s="237" t="str">
        <f t="shared" si="1"/>
        <v>Fora</v>
      </c>
      <c r="J2409" s="239">
        <v>119.99999999301508</v>
      </c>
    </row>
    <row r="2410">
      <c r="A2410" s="234" t="s">
        <v>4002</v>
      </c>
      <c r="B2410" s="234" t="str">
        <f>IFERROR(__xludf.DUMMYFUNCTION("""COMPUTED_VALUE"""),"LM Hub_SP_Limeira_Campo Belo")</f>
        <v>LM Hub_SP_Limeira_Campo Belo</v>
      </c>
      <c r="C2410" s="234" t="str">
        <f>IFERROR(__xludf.DUMMYFUNCTION("""COMPUTED_VALUE"""),"HUB-LSP-24")</f>
        <v>HUB-LSP-24</v>
      </c>
      <c r="D2410" s="234">
        <f>IFERROR(__xludf.DUMMYFUNCTION("""COMPUTED_VALUE"""),41.0)</f>
        <v>41</v>
      </c>
      <c r="E2410" s="237" t="str">
        <f>IFERROR(__xludf.DUMMYFUNCTION("""COMPUTED_VALUE"""),"LT0PCB01TOB91")</f>
        <v>LT0PCB01TOB91</v>
      </c>
      <c r="F2410" s="238" t="str">
        <f>IFERROR(__xludf.DUMMYFUNCTION("""COMPUTED_VALUE"""),"SWQ6D05")</f>
        <v>SWQ6D05</v>
      </c>
      <c r="G2410" s="238">
        <f>IFERROR(__xludf.DUMMYFUNCTION("""COMPUTED_VALUE"""),46002.91666666667)</f>
        <v>46002.91667</v>
      </c>
      <c r="H2410" s="238">
        <f>IFERROR(__xludf.DUMMYFUNCTION("""COMPUTED_VALUE"""),46003.0)</f>
        <v>46003</v>
      </c>
      <c r="I2410" s="237" t="str">
        <f t="shared" si="1"/>
        <v>Fora</v>
      </c>
      <c r="J2410" s="239">
        <v>119.99999999301508</v>
      </c>
    </row>
    <row r="2411">
      <c r="A2411" s="234" t="s">
        <v>4003</v>
      </c>
      <c r="B2411" s="234" t="str">
        <f>IFERROR(__xludf.DUMMYFUNCTION("""COMPUTED_VALUE"""),"LM Hub_SP_Mauá")</f>
        <v>LM Hub_SP_Mauá</v>
      </c>
      <c r="C2411" s="234" t="str">
        <f>IFERROR(__xludf.DUMMYFUNCTION("""COMPUTED_VALUE"""),"HUB-LSP-64")</f>
        <v>HUB-LSP-64</v>
      </c>
      <c r="D2411" s="234">
        <f>IFERROR(__xludf.DUMMYFUNCTION("""COMPUTED_VALUE"""),26.0)</f>
        <v>26</v>
      </c>
      <c r="E2411" s="237" t="str">
        <f>IFERROR(__xludf.DUMMYFUNCTION("""COMPUTED_VALUE"""),"LT0PCB01TO6A1")</f>
        <v>LT0PCB01TO6A1</v>
      </c>
      <c r="F2411" s="238" t="str">
        <f>IFERROR(__xludf.DUMMYFUNCTION("""COMPUTED_VALUE"""),"FQF6B98")</f>
        <v>FQF6B98</v>
      </c>
      <c r="G2411" s="238">
        <f>IFERROR(__xludf.DUMMYFUNCTION("""COMPUTED_VALUE"""),46002.91666666667)</f>
        <v>46002.91667</v>
      </c>
      <c r="H2411" s="238">
        <f>IFERROR(__xludf.DUMMYFUNCTION("""COMPUTED_VALUE"""),46003.0)</f>
        <v>46003</v>
      </c>
      <c r="I2411" s="237" t="str">
        <f t="shared" si="1"/>
        <v>Fora</v>
      </c>
      <c r="J2411" s="239">
        <v>119.99999999301508</v>
      </c>
    </row>
    <row r="2412">
      <c r="A2412" s="234" t="s">
        <v>4004</v>
      </c>
      <c r="B2412" s="234" t="str">
        <f>IFERROR(__xludf.DUMMYFUNCTION("""COMPUTED_VALUE"""),"LM Hub_SP_Osasco_02")</f>
        <v>LM Hub_SP_Osasco_02</v>
      </c>
      <c r="C2412" s="234" t="str">
        <f>IFERROR(__xludf.DUMMYFUNCTION("""COMPUTED_VALUE"""),"HUB-LSP-60")</f>
        <v>HUB-LSP-60</v>
      </c>
      <c r="D2412" s="234">
        <f>IFERROR(__xludf.DUMMYFUNCTION("""COMPUTED_VALUE"""),26.0)</f>
        <v>26</v>
      </c>
      <c r="E2412" s="237" t="str">
        <f>IFERROR(__xludf.DUMMYFUNCTION("""COMPUTED_VALUE"""),"LT0PCB01TO5W1")</f>
        <v>LT0PCB01TO5W1</v>
      </c>
      <c r="F2412" s="238" t="str">
        <f>IFERROR(__xludf.DUMMYFUNCTION("""COMPUTED_VALUE"""),"PYF4A02,TKC6A82")</f>
        <v>PYF4A02,TKC6A82</v>
      </c>
      <c r="G2412" s="238">
        <f>IFERROR(__xludf.DUMMYFUNCTION("""COMPUTED_VALUE"""),46002.91666666667)</f>
        <v>46002.91667</v>
      </c>
      <c r="H2412" s="238">
        <f>IFERROR(__xludf.DUMMYFUNCTION("""COMPUTED_VALUE"""),46003.0)</f>
        <v>46003</v>
      </c>
      <c r="I2412" s="237" t="str">
        <f t="shared" si="1"/>
        <v>Fora</v>
      </c>
      <c r="J2412" s="239">
        <v>119.99999999301508</v>
      </c>
    </row>
    <row r="2413">
      <c r="A2413" s="234" t="s">
        <v>4005</v>
      </c>
      <c r="B2413" s="234" t="str">
        <f>IFERROR(__xludf.DUMMYFUNCTION("""COMPUTED_VALUE"""),"LM Hub_SP_São José do Rio P")</f>
        <v>LM Hub_SP_São José do Rio P</v>
      </c>
      <c r="C2413" s="234" t="str">
        <f>IFERROR(__xludf.DUMMYFUNCTION("""COMPUTED_VALUE"""),"HUB-LSP-27")</f>
        <v>HUB-LSP-27</v>
      </c>
      <c r="D2413" s="234">
        <f>IFERROR(__xludf.DUMMYFUNCTION("""COMPUTED_VALUE"""),43.0)</f>
        <v>43</v>
      </c>
      <c r="E2413" s="237" t="str">
        <f>IFERROR(__xludf.DUMMYFUNCTION("""COMPUTED_VALUE"""),"LT0PCB01TTW01")</f>
        <v>LT0PCB01TTW01</v>
      </c>
      <c r="F2413" s="238" t="str">
        <f>IFERROR(__xludf.DUMMYFUNCTION("""COMPUTED_VALUE"""),"ELO8399,FAX1G72")</f>
        <v>ELO8399,FAX1G72</v>
      </c>
      <c r="G2413" s="238">
        <f>IFERROR(__xludf.DUMMYFUNCTION("""COMPUTED_VALUE"""),46002.91666666667)</f>
        <v>46002.91667</v>
      </c>
      <c r="H2413" s="238">
        <f>IFERROR(__xludf.DUMMYFUNCTION("""COMPUTED_VALUE"""),46003.0)</f>
        <v>46003</v>
      </c>
      <c r="I2413" s="237" t="str">
        <f t="shared" si="1"/>
        <v>Fora</v>
      </c>
      <c r="J2413" s="239">
        <v>119.99999999301508</v>
      </c>
    </row>
    <row r="2414">
      <c r="A2414" s="234" t="s">
        <v>4006</v>
      </c>
      <c r="B2414" s="234" t="str">
        <f>IFERROR(__xludf.DUMMYFUNCTION("""COMPUTED_VALUE"""),"SoC_RS_Gravataí_02")</f>
        <v>SoC_RS_Gravataí_02</v>
      </c>
      <c r="C2414" s="234" t="str">
        <f>IFERROR(__xludf.DUMMYFUNCTION("""COMPUTED_VALUE"""),"SOC-RS2")</f>
        <v>SOC-RS2</v>
      </c>
      <c r="D2414" s="234">
        <f>IFERROR(__xludf.DUMMYFUNCTION("""COMPUTED_VALUE"""),33.0)</f>
        <v>33</v>
      </c>
      <c r="E2414" s="237" t="str">
        <f>IFERROR(__xludf.DUMMYFUNCTION("""COMPUTED_VALUE"""),"LT1PCB01U4G11")</f>
        <v>LT1PCB01U4G11</v>
      </c>
      <c r="F2414" s="238" t="str">
        <f>IFERROR(__xludf.DUMMYFUNCTION("""COMPUTED_VALUE"""),"EDI3D02,EML6D14")</f>
        <v>EDI3D02,EML6D14</v>
      </c>
      <c r="G2414" s="238">
        <f>IFERROR(__xludf.DUMMYFUNCTION("""COMPUTED_VALUE"""),46002.91666666667)</f>
        <v>46002.91667</v>
      </c>
      <c r="H2414" s="238">
        <f>IFERROR(__xludf.DUMMYFUNCTION("""COMPUTED_VALUE"""),46003.0)</f>
        <v>46003</v>
      </c>
      <c r="I2414" s="237" t="str">
        <f t="shared" si="1"/>
        <v>Fora</v>
      </c>
      <c r="J2414" s="239">
        <v>119.99999999301508</v>
      </c>
    </row>
    <row r="2415">
      <c r="A2415" s="234" t="s">
        <v>4007</v>
      </c>
      <c r="B2415" s="234" t="str">
        <f>IFERROR(__xludf.DUMMYFUNCTION("""COMPUTED_VALUE"""),"SoC_SC_Itajaí")</f>
        <v>SoC_SC_Itajaí</v>
      </c>
      <c r="C2415" s="234" t="str">
        <f>IFERROR(__xludf.DUMMYFUNCTION("""COMPUTED_VALUE"""),"SOC-SC1")</f>
        <v>SOC-SC1</v>
      </c>
      <c r="D2415" s="234"/>
      <c r="E2415" s="237" t="str">
        <f>IFERROR(__xludf.DUMMYFUNCTION("""COMPUTED_VALUE"""),"LT0PCB01TUJ21")</f>
        <v>LT0PCB01TUJ21</v>
      </c>
      <c r="F2415" s="238" t="str">
        <f>IFERROR(__xludf.DUMMYFUNCTION("""COMPUTED_VALUE"""),"ELU4D93,RLD3B99")</f>
        <v>ELU4D93,RLD3B99</v>
      </c>
      <c r="G2415" s="238">
        <f>IFERROR(__xludf.DUMMYFUNCTION("""COMPUTED_VALUE"""),46002.91666666667)</f>
        <v>46002.91667</v>
      </c>
      <c r="H2415" s="238">
        <f>IFERROR(__xludf.DUMMYFUNCTION("""COMPUTED_VALUE"""),46003.0)</f>
        <v>46003</v>
      </c>
      <c r="I2415" s="237" t="str">
        <f t="shared" si="1"/>
        <v>Fora</v>
      </c>
      <c r="J2415" s="239">
        <v>119.99999999301508</v>
      </c>
    </row>
    <row r="2416">
      <c r="A2416" s="234" t="s">
        <v>4008</v>
      </c>
      <c r="B2416" s="234" t="str">
        <f>IFERROR(__xludf.DUMMYFUNCTION("""COMPUTED_VALUE"""),"LM Hub_SP_Parque Novo Mundo")</f>
        <v>LM Hub_SP_Parque Novo Mundo</v>
      </c>
      <c r="C2416" s="234" t="str">
        <f>IFERROR(__xludf.DUMMYFUNCTION("""COMPUTED_VALUE"""),"HUB-LSP-89")</f>
        <v>HUB-LSP-89</v>
      </c>
      <c r="D2416" s="234">
        <f>IFERROR(__xludf.DUMMYFUNCTION("""COMPUTED_VALUE"""),35.0)</f>
        <v>35</v>
      </c>
      <c r="E2416" s="237" t="str">
        <f>IFERROR(__xludf.DUMMYFUNCTION("""COMPUTED_VALUE"""),"LT0PCB01TQ4U1")</f>
        <v>LT0PCB01TQ4U1</v>
      </c>
      <c r="F2416" s="238" t="str">
        <f>IFERROR(__xludf.DUMMYFUNCTION("""COMPUTED_VALUE"""),"ECM3G25,IHR7G34")</f>
        <v>ECM3G25,IHR7G34</v>
      </c>
      <c r="G2416" s="238">
        <f>IFERROR(__xludf.DUMMYFUNCTION("""COMPUTED_VALUE"""),46002.9375)</f>
        <v>46002.9375</v>
      </c>
      <c r="H2416" s="238">
        <f>IFERROR(__xludf.DUMMYFUNCTION("""COMPUTED_VALUE"""),46003.02083333333)</f>
        <v>46003.02083</v>
      </c>
      <c r="I2416" s="237" t="str">
        <f t="shared" si="1"/>
        <v>Fora</v>
      </c>
      <c r="J2416" s="239">
        <v>119.99999999301508</v>
      </c>
    </row>
    <row r="2417">
      <c r="A2417" s="234" t="s">
        <v>4009</v>
      </c>
      <c r="B2417" s="234" t="str">
        <f>IFERROR(__xludf.DUMMYFUNCTION("""COMPUTED_VALUE"""),"LM Hub_SP_Piracicaba")</f>
        <v>LM Hub_SP_Piracicaba</v>
      </c>
      <c r="C2417" s="234" t="str">
        <f>IFERROR(__xludf.DUMMYFUNCTION("""COMPUTED_VALUE"""),"HUB-LSP-62")</f>
        <v>HUB-LSP-62</v>
      </c>
      <c r="D2417" s="234">
        <f>IFERROR(__xludf.DUMMYFUNCTION("""COMPUTED_VALUE"""),21.0)</f>
        <v>21</v>
      </c>
      <c r="E2417" s="237" t="str">
        <f>IFERROR(__xludf.DUMMYFUNCTION("""COMPUTED_VALUE"""),"LT0PCB01TPPD1")</f>
        <v>LT0PCB01TPPD1</v>
      </c>
      <c r="F2417" s="238" t="str">
        <f>IFERROR(__xludf.DUMMYFUNCTION("""COMPUTED_VALUE"""),"EOF4D32")</f>
        <v>EOF4D32</v>
      </c>
      <c r="G2417" s="238">
        <f>IFERROR(__xludf.DUMMYFUNCTION("""COMPUTED_VALUE"""),46002.9375)</f>
        <v>46002.9375</v>
      </c>
      <c r="H2417" s="238">
        <f>IFERROR(__xludf.DUMMYFUNCTION("""COMPUTED_VALUE"""),46003.02083333333)</f>
        <v>46003.02083</v>
      </c>
      <c r="I2417" s="237" t="str">
        <f t="shared" si="1"/>
        <v>Fora</v>
      </c>
      <c r="J2417" s="239">
        <v>119.99999999301508</v>
      </c>
    </row>
    <row r="2418">
      <c r="A2418" s="234" t="s">
        <v>4010</v>
      </c>
      <c r="B2418" s="234" t="str">
        <f>IFERROR(__xludf.DUMMYFUNCTION("""COMPUTED_VALUE"""),"LM Hub_SP_São Paulo_Carandiru")</f>
        <v>LM Hub_SP_São Paulo_Carandiru</v>
      </c>
      <c r="C2418" s="234" t="str">
        <f>IFERROR(__xludf.DUMMYFUNCTION("""COMPUTED_VALUE"""),"HUB-LSP-18")</f>
        <v>HUB-LSP-18</v>
      </c>
      <c r="D2418" s="234">
        <f>IFERROR(__xludf.DUMMYFUNCTION("""COMPUTED_VALUE"""),34.0)</f>
        <v>34</v>
      </c>
      <c r="E2418" s="237" t="str">
        <f>IFERROR(__xludf.DUMMYFUNCTION("""COMPUTED_VALUE"""),"LT0PCB01TO4L1")</f>
        <v>LT0PCB01TO4L1</v>
      </c>
      <c r="F2418" s="238" t="str">
        <f>IFERROR(__xludf.DUMMYFUNCTION("""COMPUTED_VALUE"""),"NVO0561")</f>
        <v>NVO0561</v>
      </c>
      <c r="G2418" s="238">
        <f>IFERROR(__xludf.DUMMYFUNCTION("""COMPUTED_VALUE"""),46002.9375)</f>
        <v>46002.9375</v>
      </c>
      <c r="H2418" s="238">
        <f>IFERROR(__xludf.DUMMYFUNCTION("""COMPUTED_VALUE"""),46003.02083333333)</f>
        <v>46003.02083</v>
      </c>
      <c r="I2418" s="237" t="str">
        <f t="shared" si="1"/>
        <v>Fora</v>
      </c>
      <c r="J2418" s="239">
        <v>118.99999998975545</v>
      </c>
    </row>
    <row r="2419">
      <c r="A2419" s="234" t="s">
        <v>4011</v>
      </c>
      <c r="B2419" s="234" t="str">
        <f>IFERROR(__xludf.DUMMYFUNCTION("""COMPUTED_VALUE"""),"LM Hub_SP_Jardim Adriana")</f>
        <v>LM Hub_SP_Jardim Adriana</v>
      </c>
      <c r="C2419" s="234" t="str">
        <f>IFERROR(__xludf.DUMMYFUNCTION("""COMPUTED_VALUE"""),"HUB-LSP-12")</f>
        <v>HUB-LSP-12</v>
      </c>
      <c r="D2419" s="234">
        <f>IFERROR(__xludf.DUMMYFUNCTION("""COMPUTED_VALUE"""),6.0)</f>
        <v>6</v>
      </c>
      <c r="E2419" s="237" t="str">
        <f>IFERROR(__xludf.DUMMYFUNCTION("""COMPUTED_VALUE"""),"LT0PCB01TN8U1")</f>
        <v>LT0PCB01TN8U1</v>
      </c>
      <c r="F2419" s="238" t="str">
        <f>IFERROR(__xludf.DUMMYFUNCTION("""COMPUTED_VALUE"""),"NZI9C32")</f>
        <v>NZI9C32</v>
      </c>
      <c r="G2419" s="238">
        <f>IFERROR(__xludf.DUMMYFUNCTION("""COMPUTED_VALUE"""),46002.93819444445)</f>
        <v>46002.93819</v>
      </c>
      <c r="H2419" s="238">
        <f>IFERROR(__xludf.DUMMYFUNCTION("""COMPUTED_VALUE"""),46003.02083333333)</f>
        <v>46003.02083</v>
      </c>
      <c r="I2419" s="237" t="str">
        <f t="shared" si="1"/>
        <v>Fora</v>
      </c>
      <c r="J2419" s="239">
        <v>118.99999998975545</v>
      </c>
    </row>
    <row r="2420">
      <c r="A2420" s="234" t="s">
        <v>4012</v>
      </c>
      <c r="B2420" s="234" t="str">
        <f>IFERROR(__xludf.DUMMYFUNCTION("""COMPUTED_VALUE"""),"LM Hub_SP_VilaGuilherme")</f>
        <v>LM Hub_SP_VilaGuilherme</v>
      </c>
      <c r="C2420" s="234" t="str">
        <f>IFERROR(__xludf.DUMMYFUNCTION("""COMPUTED_VALUE"""),"HUB-LSP-68")</f>
        <v>HUB-LSP-68</v>
      </c>
      <c r="D2420" s="234">
        <f>IFERROR(__xludf.DUMMYFUNCTION("""COMPUTED_VALUE"""),16.0)</f>
        <v>16</v>
      </c>
      <c r="E2420" s="237" t="str">
        <f>IFERROR(__xludf.DUMMYFUNCTION("""COMPUTED_VALUE"""),"LT0PCB01TN9R1")</f>
        <v>LT0PCB01TN9R1</v>
      </c>
      <c r="F2420" s="238" t="str">
        <f>IFERROR(__xludf.DUMMYFUNCTION("""COMPUTED_VALUE"""),"HFD4H27,JXG9745")</f>
        <v>HFD4H27,JXG9745</v>
      </c>
      <c r="G2420" s="238">
        <f>IFERROR(__xludf.DUMMYFUNCTION("""COMPUTED_VALUE"""),46002.93819444445)</f>
        <v>46002.93819</v>
      </c>
      <c r="H2420" s="238">
        <f>IFERROR(__xludf.DUMMYFUNCTION("""COMPUTED_VALUE"""),46003.02083333333)</f>
        <v>46003.02083</v>
      </c>
      <c r="I2420" s="237" t="str">
        <f t="shared" si="1"/>
        <v>Fora</v>
      </c>
      <c r="J2420" s="239">
        <v>120.00000001396984</v>
      </c>
    </row>
    <row r="2421">
      <c r="A2421" s="234" t="s">
        <v>4013</v>
      </c>
      <c r="B2421" s="234" t="str">
        <f>IFERROR(__xludf.DUMMYFUNCTION("""COMPUTED_VALUE"""),"LM Hub_SP_Jundiaí")</f>
        <v>LM Hub_SP_Jundiaí</v>
      </c>
      <c r="C2421" s="234" t="str">
        <f>IFERROR(__xludf.DUMMYFUNCTION("""COMPUTED_VALUE"""),"HUB-LSP-100")</f>
        <v>HUB-LSP-100</v>
      </c>
      <c r="D2421" s="234">
        <f>IFERROR(__xludf.DUMMYFUNCTION("""COMPUTED_VALUE"""),9.0)</f>
        <v>9</v>
      </c>
      <c r="E2421" s="237" t="str">
        <f>IFERROR(__xludf.DUMMYFUNCTION("""COMPUTED_VALUE"""),"LT0PCB01TWU21")</f>
        <v>LT0PCB01TWU21</v>
      </c>
      <c r="F2421" s="238" t="str">
        <f>IFERROR(__xludf.DUMMYFUNCTION("""COMPUTED_VALUE"""),"FKD2E57,GGL9G29")</f>
        <v>FKD2E57,GGL9G29</v>
      </c>
      <c r="G2421" s="238">
        <f>IFERROR(__xludf.DUMMYFUNCTION("""COMPUTED_VALUE"""),46002.95833333333)</f>
        <v>46002.95833</v>
      </c>
      <c r="H2421" s="238">
        <f>IFERROR(__xludf.DUMMYFUNCTION("""COMPUTED_VALUE"""),46003.04166666667)</f>
        <v>46003.04167</v>
      </c>
      <c r="I2421" s="237" t="str">
        <f t="shared" si="1"/>
        <v>Fora</v>
      </c>
      <c r="J2421" s="239">
        <v>120.00000001396984</v>
      </c>
    </row>
    <row r="2422">
      <c r="A2422" s="234" t="s">
        <v>4014</v>
      </c>
      <c r="B2422" s="234" t="str">
        <f>IFERROR(__xludf.DUMMYFUNCTION("""COMPUTED_VALUE"""),"LM Hub_SP_Mogi Mirim")</f>
        <v>LM Hub_SP_Mogi Mirim</v>
      </c>
      <c r="C2422" s="234" t="str">
        <f>IFERROR(__xludf.DUMMYFUNCTION("""COMPUTED_VALUE"""),"HUB-LSP-37")</f>
        <v>HUB-LSP-37</v>
      </c>
      <c r="D2422" s="234">
        <f>IFERROR(__xludf.DUMMYFUNCTION("""COMPUTED_VALUE"""),42.0)</f>
        <v>42</v>
      </c>
      <c r="E2422" s="237" t="str">
        <f>IFERROR(__xludf.DUMMYFUNCTION("""COMPUTED_VALUE"""),"LT0PCB01TOD71")</f>
        <v>LT0PCB01TOD71</v>
      </c>
      <c r="F2422" s="238" t="str">
        <f>IFERROR(__xludf.DUMMYFUNCTION("""COMPUTED_VALUE"""),"FLN0H65,FTJ9A92")</f>
        <v>FLN0H65,FTJ9A92</v>
      </c>
      <c r="G2422" s="238">
        <f>IFERROR(__xludf.DUMMYFUNCTION("""COMPUTED_VALUE"""),46002.95833333333)</f>
        <v>46002.95833</v>
      </c>
      <c r="H2422" s="238">
        <f>IFERROR(__xludf.DUMMYFUNCTION("""COMPUTED_VALUE"""),46003.04166666667)</f>
        <v>46003.04167</v>
      </c>
      <c r="I2422" s="237" t="str">
        <f t="shared" si="1"/>
        <v>Fora</v>
      </c>
      <c r="J2422" s="239">
        <v>119.99999999301508</v>
      </c>
    </row>
    <row r="2423">
      <c r="A2423" s="234" t="s">
        <v>4015</v>
      </c>
      <c r="B2423" s="234" t="str">
        <f>IFERROR(__xludf.DUMMYFUNCTION("""COMPUTED_VALUE"""),"LM Hub_SP_Araraquara")</f>
        <v>LM Hub_SP_Araraquara</v>
      </c>
      <c r="C2423" s="234" t="str">
        <f>IFERROR(__xludf.DUMMYFUNCTION("""COMPUTED_VALUE"""),"HUB-LSP-29")</f>
        <v>HUB-LSP-29</v>
      </c>
      <c r="D2423" s="234">
        <f>IFERROR(__xludf.DUMMYFUNCTION("""COMPUTED_VALUE"""),38.0)</f>
        <v>38</v>
      </c>
      <c r="E2423" s="237" t="str">
        <f>IFERROR(__xludf.DUMMYFUNCTION("""COMPUTED_VALUE"""),"LT0PCB01TODJ1")</f>
        <v>LT0PCB01TODJ1</v>
      </c>
      <c r="F2423" s="238" t="str">
        <f>IFERROR(__xludf.DUMMYFUNCTION("""COMPUTED_VALUE"""),"QSV6E51,AXE8E53")</f>
        <v>QSV6E51,AXE8E53</v>
      </c>
      <c r="G2423" s="238">
        <f>IFERROR(__xludf.DUMMYFUNCTION("""COMPUTED_VALUE"""),46002.97916666667)</f>
        <v>46002.97917</v>
      </c>
      <c r="H2423" s="238">
        <f>IFERROR(__xludf.DUMMYFUNCTION("""COMPUTED_VALUE"""),46003.0625)</f>
        <v>46003.0625</v>
      </c>
      <c r="I2423" s="237" t="str">
        <f t="shared" si="1"/>
        <v>Fora</v>
      </c>
      <c r="J2423" s="239">
        <v>119.99999999301508</v>
      </c>
    </row>
    <row r="2424">
      <c r="A2424" s="234" t="s">
        <v>4016</v>
      </c>
      <c r="B2424" s="234" t="str">
        <f>IFERROR(__xludf.DUMMYFUNCTION("""COMPUTED_VALUE"""),"LM Hub_SP_Atibaia_Ponte_Alta")</f>
        <v>LM Hub_SP_Atibaia_Ponte_Alta</v>
      </c>
      <c r="C2424" s="234" t="str">
        <f>IFERROR(__xludf.DUMMYFUNCTION("""COMPUTED_VALUE"""),"HUB-LSP-87")</f>
        <v>HUB-LSP-87</v>
      </c>
      <c r="D2424" s="234">
        <f>IFERROR(__xludf.DUMMYFUNCTION("""COMPUTED_VALUE"""),12.0)</f>
        <v>12</v>
      </c>
      <c r="E2424" s="237" t="str">
        <f>IFERROR(__xludf.DUMMYFUNCTION("""COMPUTED_VALUE"""),"LT0PCB01TTRJ1")</f>
        <v>LT0PCB01TTRJ1</v>
      </c>
      <c r="F2424" s="238" t="str">
        <f>IFERROR(__xludf.DUMMYFUNCTION("""COMPUTED_VALUE"""),"FVC1I36,TPO3F95")</f>
        <v>FVC1I36,TPO3F95</v>
      </c>
      <c r="G2424" s="238">
        <f>IFERROR(__xludf.DUMMYFUNCTION("""COMPUTED_VALUE"""),46002.97916666667)</f>
        <v>46002.97917</v>
      </c>
      <c r="H2424" s="238">
        <f>IFERROR(__xludf.DUMMYFUNCTION("""COMPUTED_VALUE"""),46003.0625)</f>
        <v>46003.0625</v>
      </c>
      <c r="I2424" s="237" t="str">
        <f t="shared" si="1"/>
        <v>Fora</v>
      </c>
      <c r="J2424" s="239">
        <v>119.99999999301508</v>
      </c>
    </row>
    <row r="2425">
      <c r="A2425" s="234" t="s">
        <v>4017</v>
      </c>
      <c r="B2425" s="234" t="str">
        <f>IFERROR(__xludf.DUMMYFUNCTION("""COMPUTED_VALUE"""),"LM Hub_SP_Várzea Paulista")</f>
        <v>LM Hub_SP_Várzea Paulista</v>
      </c>
      <c r="C2425" s="234" t="str">
        <f>IFERROR(__xludf.DUMMYFUNCTION("""COMPUTED_VALUE"""),"HUB-LSP-61")</f>
        <v>HUB-LSP-61</v>
      </c>
      <c r="D2425" s="234">
        <f>IFERROR(__xludf.DUMMYFUNCTION("""COMPUTED_VALUE"""),44.0)</f>
        <v>44</v>
      </c>
      <c r="E2425" s="237" t="str">
        <f>IFERROR(__xludf.DUMMYFUNCTION("""COMPUTED_VALUE"""),"LT0PCB01TOBP1")</f>
        <v>LT0PCB01TOBP1</v>
      </c>
      <c r="F2425" s="238" t="str">
        <f>IFERROR(__xludf.DUMMYFUNCTION("""COMPUTED_VALUE"""),"RJG8E37")</f>
        <v>RJG8E37</v>
      </c>
      <c r="G2425" s="238">
        <f>IFERROR(__xludf.DUMMYFUNCTION("""COMPUTED_VALUE"""),46002.97916666667)</f>
        <v>46002.97917</v>
      </c>
      <c r="H2425" s="238">
        <f>IFERROR(__xludf.DUMMYFUNCTION("""COMPUTED_VALUE"""),46003.0625)</f>
        <v>46003.0625</v>
      </c>
      <c r="I2425" s="237" t="str">
        <f t="shared" si="1"/>
        <v>Fora</v>
      </c>
      <c r="J2425" s="239">
        <v>119.99999999301508</v>
      </c>
    </row>
    <row r="2426">
      <c r="A2426" s="234" t="s">
        <v>4018</v>
      </c>
      <c r="B2426" s="234" t="str">
        <f>IFERROR(__xludf.DUMMYFUNCTION("""COMPUTED_VALUE"""),"SoC_PE_Jaboatão dos Guararapes")</f>
        <v>SoC_PE_Jaboatão dos Guararapes</v>
      </c>
      <c r="C2426" s="234" t="str">
        <f>IFERROR(__xludf.DUMMYFUNCTION("""COMPUTED_VALUE"""),"SOC-PE2")</f>
        <v>SOC-PE2</v>
      </c>
      <c r="D2426" s="234">
        <f>IFERROR(__xludf.DUMMYFUNCTION("""COMPUTED_VALUE"""),25.0)</f>
        <v>25</v>
      </c>
      <c r="E2426" s="237" t="str">
        <f>IFERROR(__xludf.DUMMYFUNCTION("""COMPUTED_VALUE"""),"LT0PCC01TVIK1")</f>
        <v>LT0PCC01TVIK1</v>
      </c>
      <c r="F2426" s="238" t="str">
        <f>IFERROR(__xludf.DUMMYFUNCTION("""COMPUTED_VALUE"""),"EJZ9A74,BWF7193")</f>
        <v>EJZ9A74,BWF7193</v>
      </c>
      <c r="G2426" s="238">
        <f>IFERROR(__xludf.DUMMYFUNCTION("""COMPUTED_VALUE"""),46003.0)</f>
        <v>46003</v>
      </c>
      <c r="H2426" s="238">
        <f>IFERROR(__xludf.DUMMYFUNCTION("""COMPUTED_VALUE"""),46003.08333333333)</f>
        <v>46003.08333</v>
      </c>
      <c r="I2426" s="237" t="str">
        <f t="shared" si="1"/>
        <v>Fora</v>
      </c>
      <c r="J2426" s="239">
        <v>118.99999998975545</v>
      </c>
    </row>
    <row r="2427">
      <c r="A2427" s="234" t="s">
        <v>4019</v>
      </c>
      <c r="B2427" s="234" t="str">
        <f>IFERROR(__xludf.DUMMYFUNCTION("""COMPUTED_VALUE"""),"LM Hub_ES_Viana")</f>
        <v>LM Hub_ES_Viana</v>
      </c>
      <c r="C2427" s="234" t="str">
        <f>IFERROR(__xludf.DUMMYFUNCTION("""COMPUTED_VALUE"""),"HUB-LES-09")</f>
        <v>HUB-LES-09</v>
      </c>
      <c r="D2427" s="234">
        <f>IFERROR(__xludf.DUMMYFUNCTION("""COMPUTED_VALUE"""),28.0)</f>
        <v>28</v>
      </c>
      <c r="E2427" s="237" t="str">
        <f>IFERROR(__xludf.DUMMYFUNCTION("""COMPUTED_VALUE"""),"LT0PCC01TTXK1")</f>
        <v>LT0PCC01TTXK1</v>
      </c>
      <c r="F2427" s="238" t="str">
        <f>IFERROR(__xludf.DUMMYFUNCTION("""COMPUTED_VALUE"""),"DAJ4J82,STA8F56")</f>
        <v>DAJ4J82,STA8F56</v>
      </c>
      <c r="G2427" s="238">
        <f>IFERROR(__xludf.DUMMYFUNCTION("""COMPUTED_VALUE"""),46003.00069444445)</f>
        <v>46003.00069</v>
      </c>
      <c r="H2427" s="238">
        <f>IFERROR(__xludf.DUMMYFUNCTION("""COMPUTED_VALUE"""),46003.08333333333)</f>
        <v>46003.08333</v>
      </c>
      <c r="I2427" s="237" t="str">
        <f t="shared" si="1"/>
        <v>Fora</v>
      </c>
      <c r="J2427" s="239">
        <v>120.00000000349246</v>
      </c>
    </row>
    <row r="2428">
      <c r="A2428" s="234" t="s">
        <v>4020</v>
      </c>
      <c r="B2428" s="234" t="str">
        <f>IFERROR(__xludf.DUMMYFUNCTION("""COMPUTED_VALUE"""),"SoC_SP_Cravinhos")</f>
        <v>SoC_SP_Cravinhos</v>
      </c>
      <c r="C2428" s="234" t="str">
        <f>IFERROR(__xludf.DUMMYFUNCTION("""COMPUTED_VALUE"""),"SOC-SP5")</f>
        <v>SOC-SP5</v>
      </c>
      <c r="D2428" s="234">
        <f>IFERROR(__xludf.DUMMYFUNCTION("""COMPUTED_VALUE"""),7.0)</f>
        <v>7</v>
      </c>
      <c r="E2428" s="237" t="str">
        <f>IFERROR(__xludf.DUMMYFUNCTION("""COMPUTED_VALUE"""),"LT0PCB01TO213")</f>
        <v>LT0PCB01TO213</v>
      </c>
      <c r="F2428" s="238" t="str">
        <f>IFERROR(__xludf.DUMMYFUNCTION("""COMPUTED_VALUE"""),"GDF1B13,FOU2A61")</f>
        <v>GDF1B13,FOU2A61</v>
      </c>
      <c r="G2428" s="238">
        <f>IFERROR(__xludf.DUMMYFUNCTION("""COMPUTED_VALUE"""),46003.041666666664)</f>
        <v>46003.04167</v>
      </c>
      <c r="H2428" s="238">
        <f>IFERROR(__xludf.DUMMYFUNCTION("""COMPUTED_VALUE"""),46003.125)</f>
        <v>46003.125</v>
      </c>
      <c r="I2428" s="237" t="str">
        <f t="shared" si="1"/>
        <v>Fora</v>
      </c>
      <c r="J2428" s="239">
        <v>120.00000000349246</v>
      </c>
    </row>
    <row r="2429">
      <c r="A2429" s="234" t="s">
        <v>221</v>
      </c>
      <c r="B2429" s="234" t="str">
        <f>IFERROR(__xludf.DUMMYFUNCTION("""COMPUTED_VALUE"""),"SoC_SP_Cravinhos")</f>
        <v>SoC_SP_Cravinhos</v>
      </c>
      <c r="C2429" s="234" t="str">
        <f>IFERROR(__xludf.DUMMYFUNCTION("""COMPUTED_VALUE"""),"SOC-SP5")</f>
        <v>SOC-SP5</v>
      </c>
      <c r="D2429" s="234">
        <f>IFERROR(__xludf.DUMMYFUNCTION("""COMPUTED_VALUE"""),47.0)</f>
        <v>47</v>
      </c>
      <c r="E2429" s="237" t="str">
        <f>IFERROR(__xludf.DUMMYFUNCTION("""COMPUTED_VALUE"""),"LT0PCB01TO1Z2")</f>
        <v>LT0PCB01TO1Z2</v>
      </c>
      <c r="F2429" s="234" t="str">
        <f>IFERROR(__xludf.DUMMYFUNCTION("""COMPUTED_VALUE"""),"EZU9I81")</f>
        <v>EZU9I81</v>
      </c>
      <c r="G2429" s="238">
        <f>IFERROR(__xludf.DUMMYFUNCTION("""COMPUTED_VALUE"""),46003.041666666664)</f>
        <v>46003.04167</v>
      </c>
      <c r="H2429" s="238">
        <f>IFERROR(__xludf.DUMMYFUNCTION("""COMPUTED_VALUE"""),46003.125)</f>
        <v>46003.125</v>
      </c>
      <c r="I2429" s="237" t="str">
        <f t="shared" si="1"/>
        <v>Fora</v>
      </c>
      <c r="J2429" s="239">
        <v>119.99999999301508</v>
      </c>
    </row>
    <row r="2430">
      <c r="A2430" s="234" t="s">
        <v>4021</v>
      </c>
      <c r="B2430" s="234" t="str">
        <f>IFERROR(__xludf.DUMMYFUNCTION("""COMPUTED_VALUE"""),"SoC_RS_Gravataí_02")</f>
        <v>SoC_RS_Gravataí_02</v>
      </c>
      <c r="C2430" s="234" t="str">
        <f>IFERROR(__xludf.DUMMYFUNCTION("""COMPUTED_VALUE"""),"SOC-RS2")</f>
        <v>SOC-RS2</v>
      </c>
      <c r="D2430" s="234">
        <f>IFERROR(__xludf.DUMMYFUNCTION("""COMPUTED_VALUE"""),33.0)</f>
        <v>33</v>
      </c>
      <c r="E2430" s="237" t="str">
        <f>IFERROR(__xludf.DUMMYFUNCTION("""COMPUTED_VALUE"""),"LT0PCC01TW0P1")</f>
        <v>LT0PCC01TW0P1</v>
      </c>
      <c r="F2430" s="238" t="str">
        <f>IFERROR(__xludf.DUMMYFUNCTION("""COMPUTED_VALUE"""),"JAG4E10,JAJ3A33")</f>
        <v>JAG4E10,JAJ3A33</v>
      </c>
      <c r="G2430" s="238">
        <f>IFERROR(__xludf.DUMMYFUNCTION("""COMPUTED_VALUE"""),46003.04166666667)</f>
        <v>46003.04167</v>
      </c>
      <c r="H2430" s="238">
        <f>IFERROR(__xludf.DUMMYFUNCTION("""COMPUTED_VALUE"""),46003.125)</f>
        <v>46003.125</v>
      </c>
      <c r="I2430" s="237" t="str">
        <f t="shared" si="1"/>
        <v>Fora</v>
      </c>
      <c r="J2430" s="239">
        <v>119.99999999301508</v>
      </c>
    </row>
    <row r="2431">
      <c r="A2431" s="234" t="s">
        <v>4022</v>
      </c>
      <c r="B2431" s="234" t="str">
        <f>IFERROR(__xludf.DUMMYFUNCTION("""COMPUTED_VALUE"""),"SoC_SP_Louveira")</f>
        <v>SoC_SP_Louveira</v>
      </c>
      <c r="C2431" s="234" t="str">
        <f>IFERROR(__xludf.DUMMYFUNCTION("""COMPUTED_VALUE"""),"SOC-SP7")</f>
        <v>SOC-SP7</v>
      </c>
      <c r="D2431" s="234">
        <f>IFERROR(__xludf.DUMMYFUNCTION("""COMPUTED_VALUE"""),32.0)</f>
        <v>32</v>
      </c>
      <c r="E2431" s="237" t="str">
        <f>IFERROR(__xludf.DUMMYFUNCTION("""COMPUTED_VALUE"""),"LT0PCC01TO2I1")</f>
        <v>LT0PCC01TO2I1</v>
      </c>
      <c r="F2431" s="238" t="str">
        <f>IFERROR(__xludf.DUMMYFUNCTION("""COMPUTED_VALUE"""),"GHB5H18,FZB6G45")</f>
        <v>GHB5H18,FZB6G45</v>
      </c>
      <c r="G2431" s="238">
        <f>IFERROR(__xludf.DUMMYFUNCTION("""COMPUTED_VALUE"""),46003.04166666667)</f>
        <v>46003.04167</v>
      </c>
      <c r="H2431" s="238">
        <f>IFERROR(__xludf.DUMMYFUNCTION("""COMPUTED_VALUE"""),46003.125)</f>
        <v>46003.125</v>
      </c>
      <c r="I2431" s="237" t="str">
        <f t="shared" si="1"/>
        <v>Fora</v>
      </c>
      <c r="J2431" s="239">
        <v>59.99999998603016</v>
      </c>
    </row>
    <row r="2432">
      <c r="A2432" s="234" t="s">
        <v>4023</v>
      </c>
      <c r="B2432" s="234" t="str">
        <f>IFERROR(__xludf.DUMMYFUNCTION("""COMPUTED_VALUE"""),"LM Hub_MG_Varginha_Fausto")</f>
        <v>LM Hub_MG_Varginha_Fausto</v>
      </c>
      <c r="C2432" s="234" t="str">
        <f>IFERROR(__xludf.DUMMYFUNCTION("""COMPUTED_VALUE"""),"HUB-LMG-45")</f>
        <v>HUB-LMG-45</v>
      </c>
      <c r="D2432" s="234">
        <f>IFERROR(__xludf.DUMMYFUNCTION("""COMPUTED_VALUE"""),15.0)</f>
        <v>15</v>
      </c>
      <c r="E2432" s="237" t="str">
        <f>IFERROR(__xludf.DUMMYFUNCTION("""COMPUTED_VALUE"""),"LT0PCC01TV8L1")</f>
        <v>LT0PCC01TV8L1</v>
      </c>
      <c r="F2432" s="238" t="str">
        <f>IFERROR(__xludf.DUMMYFUNCTION("""COMPUTED_VALUE"""),"FZL6F93,TJM0A28")</f>
        <v>FZL6F93,TJM0A28</v>
      </c>
      <c r="G2432" s="238">
        <f>IFERROR(__xludf.DUMMYFUNCTION("""COMPUTED_VALUE"""),46003.10416666667)</f>
        <v>46003.10417</v>
      </c>
      <c r="H2432" s="238">
        <f>IFERROR(__xludf.DUMMYFUNCTION("""COMPUTED_VALUE"""),46003.14583333333)</f>
        <v>46003.14583</v>
      </c>
      <c r="I2432" s="237" t="str">
        <f t="shared" si="1"/>
        <v>Fora</v>
      </c>
      <c r="J2432" s="239">
        <v>120.00000001396984</v>
      </c>
    </row>
    <row r="2433">
      <c r="A2433" s="234" t="s">
        <v>4024</v>
      </c>
      <c r="B2433" s="234" t="str">
        <f>IFERROR(__xludf.DUMMYFUNCTION("""COMPUTED_VALUE"""),"SoC_PR_Curitiba")</f>
        <v>SoC_PR_Curitiba</v>
      </c>
      <c r="C2433" s="234" t="str">
        <f>IFERROR(__xludf.DUMMYFUNCTION("""COMPUTED_VALUE"""),"SOC-PR1")</f>
        <v>SOC-PR1</v>
      </c>
      <c r="D2433" s="234">
        <f>IFERROR(__xludf.DUMMYFUNCTION("""COMPUTED_VALUE"""),49.0)</f>
        <v>49</v>
      </c>
      <c r="E2433" s="237" t="str">
        <f>IFERROR(__xludf.DUMMYFUNCTION("""COMPUTED_VALUE"""),"LT0PCC01TNZO1")</f>
        <v>LT0PCC01TNZO1</v>
      </c>
      <c r="F2433" s="238" t="str">
        <f>IFERROR(__xludf.DUMMYFUNCTION("""COMPUTED_VALUE"""),"TAW1D02,BEX8B12")</f>
        <v>TAW1D02,BEX8B12</v>
      </c>
      <c r="G2433" s="238">
        <f>IFERROR(__xludf.DUMMYFUNCTION("""COMPUTED_VALUE"""),46003.08333333333)</f>
        <v>46003.08333</v>
      </c>
      <c r="H2433" s="238">
        <f>IFERROR(__xludf.DUMMYFUNCTION("""COMPUTED_VALUE"""),46003.16666666667)</f>
        <v>46003.16667</v>
      </c>
      <c r="I2433" s="237" t="str">
        <f t="shared" si="1"/>
        <v>Fora</v>
      </c>
      <c r="J2433" s="239">
        <v>120.00000001396984</v>
      </c>
    </row>
    <row r="2434">
      <c r="A2434" s="234" t="s">
        <v>4025</v>
      </c>
      <c r="B2434" s="234" t="str">
        <f>IFERROR(__xludf.DUMMYFUNCTION("""COMPUTED_VALUE"""),"SoC_SC_Itajaí")</f>
        <v>SoC_SC_Itajaí</v>
      </c>
      <c r="C2434" s="234" t="str">
        <f>IFERROR(__xludf.DUMMYFUNCTION("""COMPUTED_VALUE"""),"SOC-SC1")</f>
        <v>SOC-SC1</v>
      </c>
      <c r="D2434" s="234">
        <f>IFERROR(__xludf.DUMMYFUNCTION("""COMPUTED_VALUE"""),44.0)</f>
        <v>44</v>
      </c>
      <c r="E2434" s="237" t="str">
        <f>IFERROR(__xludf.DUMMYFUNCTION("""COMPUTED_VALUE"""),"LT1PCC01U52K1")</f>
        <v>LT1PCC01U52K1</v>
      </c>
      <c r="F2434" s="238" t="str">
        <f>IFERROR(__xludf.DUMMYFUNCTION("""COMPUTED_VALUE"""),"RLL1C47,RXO6I27")</f>
        <v>RLL1C47,RXO6I27</v>
      </c>
      <c r="G2434" s="238">
        <f>IFERROR(__xludf.DUMMYFUNCTION("""COMPUTED_VALUE"""),46003.08333333333)</f>
        <v>46003.08333</v>
      </c>
      <c r="H2434" s="238">
        <f>IFERROR(__xludf.DUMMYFUNCTION("""COMPUTED_VALUE"""),46003.16666666667)</f>
        <v>46003.16667</v>
      </c>
      <c r="I2434" s="237" t="str">
        <f t="shared" si="1"/>
        <v>Fora</v>
      </c>
      <c r="J2434" s="239">
        <v>119.00000001071021</v>
      </c>
    </row>
    <row r="2435">
      <c r="A2435" s="234" t="s">
        <v>4026</v>
      </c>
      <c r="B2435" s="234" t="str">
        <f>IFERROR(__xludf.DUMMYFUNCTION("""COMPUTED_VALUE"""),"LM Hub_SP_Tatuí")</f>
        <v>LM Hub_SP_Tatuí</v>
      </c>
      <c r="C2435" s="234" t="str">
        <f>IFERROR(__xludf.DUMMYFUNCTION("""COMPUTED_VALUE"""),"HUB-LSP-51")</f>
        <v>HUB-LSP-51</v>
      </c>
      <c r="D2435" s="234">
        <f>IFERROR(__xludf.DUMMYFUNCTION("""COMPUTED_VALUE"""),8.0)</f>
        <v>8</v>
      </c>
      <c r="E2435" s="237" t="str">
        <f>IFERROR(__xludf.DUMMYFUNCTION("""COMPUTED_VALUE"""),"LT0PCC01TO7C1")</f>
        <v>LT0PCC01TO7C1</v>
      </c>
      <c r="F2435" s="238" t="str">
        <f>IFERROR(__xludf.DUMMYFUNCTION("""COMPUTED_VALUE"""),"CNQ9G84,UEP4I46")</f>
        <v>CNQ9G84,UEP4I46</v>
      </c>
      <c r="G2435" s="238">
        <f>IFERROR(__xludf.DUMMYFUNCTION("""COMPUTED_VALUE"""),46003.084027777775)</f>
        <v>46003.08403</v>
      </c>
      <c r="H2435" s="238">
        <f>IFERROR(__xludf.DUMMYFUNCTION("""COMPUTED_VALUE"""),46003.16666666667)</f>
        <v>46003.16667</v>
      </c>
      <c r="I2435" s="237" t="str">
        <f t="shared" si="1"/>
        <v>Fora</v>
      </c>
      <c r="J2435" s="239">
        <v>119.99999999301508</v>
      </c>
    </row>
    <row r="2436">
      <c r="A2436" s="234" t="s">
        <v>4027</v>
      </c>
      <c r="B2436" s="234" t="str">
        <f>IFERROR(__xludf.DUMMYFUNCTION("""COMPUTED_VALUE"""),"LM Hub_SP_Itapetininga")</f>
        <v>LM Hub_SP_Itapetininga</v>
      </c>
      <c r="C2436" s="234" t="str">
        <f>IFERROR(__xludf.DUMMYFUNCTION("""COMPUTED_VALUE"""),"HUB-LSP-53")</f>
        <v>HUB-LSP-53</v>
      </c>
      <c r="D2436" s="234">
        <f>IFERROR(__xludf.DUMMYFUNCTION("""COMPUTED_VALUE"""),45.0)</f>
        <v>45</v>
      </c>
      <c r="E2436" s="237" t="str">
        <f>IFERROR(__xludf.DUMMYFUNCTION("""COMPUTED_VALUE"""),"LT0PCC01TO721")</f>
        <v>LT0PCC01TO721</v>
      </c>
      <c r="F2436" s="238" t="str">
        <f>IFERROR(__xludf.DUMMYFUNCTION("""COMPUTED_VALUE"""),"FLQ1E34,FLQ1E30")</f>
        <v>FLQ1E34,FLQ1E30</v>
      </c>
      <c r="G2436" s="238">
        <f>IFERROR(__xludf.DUMMYFUNCTION("""COMPUTED_VALUE"""),46003.10416666667)</f>
        <v>46003.10417</v>
      </c>
      <c r="H2436" s="238">
        <f>IFERROR(__xludf.DUMMYFUNCTION("""COMPUTED_VALUE"""),46003.1875)</f>
        <v>46003.1875</v>
      </c>
      <c r="I2436" s="237" t="str">
        <f t="shared" si="1"/>
        <v>Fora</v>
      </c>
      <c r="J2436" s="239">
        <v>119.99999999301508</v>
      </c>
    </row>
    <row r="2437">
      <c r="A2437" s="234" t="s">
        <v>4028</v>
      </c>
      <c r="B2437" s="234" t="str">
        <f>IFERROR(__xludf.DUMMYFUNCTION("""COMPUTED_VALUE"""),"LM Hub_SP_São Carlos")</f>
        <v>LM Hub_SP_São Carlos</v>
      </c>
      <c r="C2437" s="234" t="str">
        <f>IFERROR(__xludf.DUMMYFUNCTION("""COMPUTED_VALUE"""),"HUB-LSP-31")</f>
        <v>HUB-LSP-31</v>
      </c>
      <c r="D2437" s="234">
        <f>IFERROR(__xludf.DUMMYFUNCTION("""COMPUTED_VALUE"""),34.0)</f>
        <v>34</v>
      </c>
      <c r="E2437" s="237" t="str">
        <f>IFERROR(__xludf.DUMMYFUNCTION("""COMPUTED_VALUE"""),"LT0PCC01TOCE1")</f>
        <v>LT0PCC01TOCE1</v>
      </c>
      <c r="F2437" s="238" t="str">
        <f>IFERROR(__xludf.DUMMYFUNCTION("""COMPUTED_VALUE"""),"EFO6B06,MJH0C66")</f>
        <v>EFO6B06,MJH0C66</v>
      </c>
      <c r="G2437" s="238">
        <f>IFERROR(__xludf.DUMMYFUNCTION("""COMPUTED_VALUE"""),46003.10416666667)</f>
        <v>46003.10417</v>
      </c>
      <c r="H2437" s="238">
        <f>IFERROR(__xludf.DUMMYFUNCTION("""COMPUTED_VALUE"""),46003.1875)</f>
        <v>46003.1875</v>
      </c>
      <c r="I2437" s="237" t="str">
        <f t="shared" si="1"/>
        <v>Fora</v>
      </c>
      <c r="J2437" s="239">
        <v>119.99999999301508</v>
      </c>
    </row>
    <row r="2438">
      <c r="A2438" s="234" t="s">
        <v>4029</v>
      </c>
      <c r="B2438" s="234" t="str">
        <f>IFERROR(__xludf.DUMMYFUNCTION("""COMPUTED_VALUE"""),"LM Hub_SP_Itapeva")</f>
        <v>LM Hub_SP_Itapeva</v>
      </c>
      <c r="C2438" s="234" t="str">
        <f>IFERROR(__xludf.DUMMYFUNCTION("""COMPUTED_VALUE"""),"HUB-LSP-39")</f>
        <v>HUB-LSP-39</v>
      </c>
      <c r="D2438" s="234">
        <f>IFERROR(__xludf.DUMMYFUNCTION("""COMPUTED_VALUE"""),6.0)</f>
        <v>6</v>
      </c>
      <c r="E2438" s="237" t="str">
        <f>IFERROR(__xludf.DUMMYFUNCTION("""COMPUTED_VALUE"""),"LT0PCC01TO7N1")</f>
        <v>LT0PCC01TO7N1</v>
      </c>
      <c r="F2438" s="238" t="str">
        <f>IFERROR(__xludf.DUMMYFUNCTION("""COMPUTED_VALUE"""),"TKZ9D35,TKF1F45")</f>
        <v>TKZ9D35,TKF1F45</v>
      </c>
      <c r="G2438" s="238">
        <f>IFERROR(__xludf.DUMMYFUNCTION("""COMPUTED_VALUE"""),46003.125)</f>
        <v>46003.125</v>
      </c>
      <c r="H2438" s="238">
        <f>IFERROR(__xludf.DUMMYFUNCTION("""COMPUTED_VALUE"""),46003.20833333333)</f>
        <v>46003.20833</v>
      </c>
      <c r="I2438" s="237" t="str">
        <f t="shared" si="1"/>
        <v>Fora</v>
      </c>
      <c r="J2438" s="239">
        <v>119.99999999301508</v>
      </c>
    </row>
    <row r="2439">
      <c r="A2439" s="234" t="s">
        <v>4030</v>
      </c>
      <c r="B2439" s="234" t="str">
        <f>IFERROR(__xludf.DUMMYFUNCTION("""COMPUTED_VALUE"""),"LM Hub_SP_Sumaré_Nova Veneza_1")</f>
        <v>LM Hub_SP_Sumaré_Nova Veneza_1</v>
      </c>
      <c r="C2439" s="234" t="str">
        <f>IFERROR(__xludf.DUMMYFUNCTION("""COMPUTED_VALUE"""),"HUB-LSP-88")</f>
        <v>HUB-LSP-88</v>
      </c>
      <c r="D2439" s="234">
        <f>IFERROR(__xludf.DUMMYFUNCTION("""COMPUTED_VALUE"""),43.0)</f>
        <v>43</v>
      </c>
      <c r="E2439" s="237" t="str">
        <f>IFERROR(__xludf.DUMMYFUNCTION("""COMPUTED_VALUE"""),"LT0PCC01TV4X1")</f>
        <v>LT0PCC01TV4X1</v>
      </c>
      <c r="F2439" s="238" t="str">
        <f>IFERROR(__xludf.DUMMYFUNCTION("""COMPUTED_VALUE"""),"SXK8E70,SXS2F29")</f>
        <v>SXK8E70,SXS2F29</v>
      </c>
      <c r="G2439" s="238">
        <f>IFERROR(__xludf.DUMMYFUNCTION("""COMPUTED_VALUE"""),46003.125)</f>
        <v>46003.125</v>
      </c>
      <c r="H2439" s="238">
        <f>IFERROR(__xludf.DUMMYFUNCTION("""COMPUTED_VALUE"""),46003.20833333333)</f>
        <v>46003.20833</v>
      </c>
      <c r="I2439" s="237" t="str">
        <f t="shared" si="1"/>
        <v>Fora</v>
      </c>
      <c r="J2439" s="239">
        <v>119.99999999301508</v>
      </c>
    </row>
    <row r="2440">
      <c r="A2440" s="234" t="s">
        <v>222</v>
      </c>
      <c r="B2440" s="234" t="str">
        <f>IFERROR(__xludf.DUMMYFUNCTION("""COMPUTED_VALUE"""),"SoC_PE_Jaboatão dos Guararapes")</f>
        <v>SoC_PE_Jaboatão dos Guararapes</v>
      </c>
      <c r="C2440" s="234" t="str">
        <f>IFERROR(__xludf.DUMMYFUNCTION("""COMPUTED_VALUE"""),"SOC-PE2")</f>
        <v>SOC-PE2</v>
      </c>
      <c r="D2440" s="234">
        <f>IFERROR(__xludf.DUMMYFUNCTION("""COMPUTED_VALUE"""),22.0)</f>
        <v>22</v>
      </c>
      <c r="E2440" s="237" t="str">
        <f>IFERROR(__xludf.DUMMYFUNCTION("""COMPUTED_VALUE"""),"LT0PCC01TVIP1")</f>
        <v>LT0PCC01TVIP1</v>
      </c>
      <c r="F2440" s="238" t="str">
        <f>IFERROR(__xludf.DUMMYFUNCTION("""COMPUTED_VALUE"""),"QUV9226,THE8F47")</f>
        <v>QUV9226,THE8F47</v>
      </c>
      <c r="G2440" s="238">
        <f>IFERROR(__xludf.DUMMYFUNCTION("""COMPUTED_VALUE"""),46003.125)</f>
        <v>46003.125</v>
      </c>
      <c r="H2440" s="238">
        <f>IFERROR(__xludf.DUMMYFUNCTION("""COMPUTED_VALUE"""),46003.20833333333)</f>
        <v>46003.20833</v>
      </c>
      <c r="I2440" s="237" t="str">
        <f t="shared" si="1"/>
        <v>Fora</v>
      </c>
      <c r="J2440" s="239">
        <v>119.99999999301508</v>
      </c>
    </row>
    <row r="2441">
      <c r="A2441" s="234" t="s">
        <v>4031</v>
      </c>
      <c r="B2441" s="234" t="str">
        <f>IFERROR(__xludf.DUMMYFUNCTION("""COMPUTED_VALUE"""),"SoC_RS_Gravataí_02")</f>
        <v>SoC_RS_Gravataí_02</v>
      </c>
      <c r="C2441" s="234" t="str">
        <f>IFERROR(__xludf.DUMMYFUNCTION("""COMPUTED_VALUE"""),"SOC-RS2")</f>
        <v>SOC-RS2</v>
      </c>
      <c r="D2441" s="234">
        <f>IFERROR(__xludf.DUMMYFUNCTION("""COMPUTED_VALUE"""),32.0)</f>
        <v>32</v>
      </c>
      <c r="E2441" s="237" t="str">
        <f>IFERROR(__xludf.DUMMYFUNCTION("""COMPUTED_VALUE"""),"LT1PCC01U4H21")</f>
        <v>LT1PCC01U4H21</v>
      </c>
      <c r="F2441" s="238" t="str">
        <f>IFERROR(__xludf.DUMMYFUNCTION("""COMPUTED_VALUE"""),"EMT7E02")</f>
        <v>EMT7E02</v>
      </c>
      <c r="G2441" s="238">
        <f>IFERROR(__xludf.DUMMYFUNCTION("""COMPUTED_VALUE"""),46003.125)</f>
        <v>46003.125</v>
      </c>
      <c r="H2441" s="238">
        <f>IFERROR(__xludf.DUMMYFUNCTION("""COMPUTED_VALUE"""),46003.20833333333)</f>
        <v>46003.20833</v>
      </c>
      <c r="I2441" s="237" t="str">
        <f t="shared" si="1"/>
        <v>Fora</v>
      </c>
      <c r="J2441" s="239">
        <v>119.99999999301508</v>
      </c>
    </row>
    <row r="2442">
      <c r="A2442" s="234" t="s">
        <v>4032</v>
      </c>
      <c r="B2442" s="234" t="str">
        <f>IFERROR(__xludf.DUMMYFUNCTION("""COMPUTED_VALUE"""),"SoC_SC_Itajaí")</f>
        <v>SoC_SC_Itajaí</v>
      </c>
      <c r="C2442" s="234" t="str">
        <f>IFERROR(__xludf.DUMMYFUNCTION("""COMPUTED_VALUE"""),"SOC-SC1")</f>
        <v>SOC-SC1</v>
      </c>
      <c r="D2442" s="234">
        <f>IFERROR(__xludf.DUMMYFUNCTION("""COMPUTED_VALUE"""),25.0)</f>
        <v>25</v>
      </c>
      <c r="E2442" s="237" t="str">
        <f>IFERROR(__xludf.DUMMYFUNCTION("""COMPUTED_VALUE"""),"LT0PCC01TUIZ1")</f>
        <v>LT0PCC01TUIZ1</v>
      </c>
      <c r="F2442" s="238" t="str">
        <f>IFERROR(__xludf.DUMMYFUNCTION("""COMPUTED_VALUE"""),"MJI3860,REB2E97")</f>
        <v>MJI3860,REB2E97</v>
      </c>
      <c r="G2442" s="238">
        <f>IFERROR(__xludf.DUMMYFUNCTION("""COMPUTED_VALUE"""),46003.125)</f>
        <v>46003.125</v>
      </c>
      <c r="H2442" s="238">
        <f>IFERROR(__xludf.DUMMYFUNCTION("""COMPUTED_VALUE"""),46003.20833333333)</f>
        <v>46003.20833</v>
      </c>
      <c r="I2442" s="237" t="str">
        <f t="shared" si="1"/>
        <v>Fora</v>
      </c>
      <c r="J2442" s="239">
        <v>120.00000001396984</v>
      </c>
    </row>
    <row r="2443">
      <c r="A2443" s="234" t="s">
        <v>4033</v>
      </c>
      <c r="B2443" s="234" t="str">
        <f>IFERROR(__xludf.DUMMYFUNCTION("""COMPUTED_VALUE"""),"LM Hub_SP_Mogi Mirim")</f>
        <v>LM Hub_SP_Mogi Mirim</v>
      </c>
      <c r="C2443" s="234" t="str">
        <f>IFERROR(__xludf.DUMMYFUNCTION("""COMPUTED_VALUE"""),"HUB-LSP-37")</f>
        <v>HUB-LSP-37</v>
      </c>
      <c r="D2443" s="234"/>
      <c r="E2443" s="237" t="str">
        <f>IFERROR(__xludf.DUMMYFUNCTION("""COMPUTED_VALUE"""),"LT0PCC01TOCW1")</f>
        <v>LT0PCC01TOCW1</v>
      </c>
      <c r="F2443" s="238" t="str">
        <f>IFERROR(__xludf.DUMMYFUNCTION("""COMPUTED_VALUE"""),"TAJ5D56")</f>
        <v>TAJ5D56</v>
      </c>
      <c r="G2443" s="238">
        <f>IFERROR(__xludf.DUMMYFUNCTION("""COMPUTED_VALUE"""),46003.14583333333)</f>
        <v>46003.14583</v>
      </c>
      <c r="H2443" s="238">
        <f>IFERROR(__xludf.DUMMYFUNCTION("""COMPUTED_VALUE"""),46003.22916666667)</f>
        <v>46003.22917</v>
      </c>
      <c r="I2443" s="237" t="str">
        <f t="shared" si="1"/>
        <v>Fora</v>
      </c>
      <c r="J2443" s="239">
        <v>120.00000001396984</v>
      </c>
    </row>
    <row r="2444">
      <c r="A2444" s="234" t="s">
        <v>4034</v>
      </c>
      <c r="B2444" s="234" t="str">
        <f>IFERROR(__xludf.DUMMYFUNCTION("""COMPUTED_VALUE"""),"LM Hub_SP_Osasco_02")</f>
        <v>LM Hub_SP_Osasco_02</v>
      </c>
      <c r="C2444" s="234" t="str">
        <f>IFERROR(__xludf.DUMMYFUNCTION("""COMPUTED_VALUE"""),"HUB-LSP-60")</f>
        <v>HUB-LSP-60</v>
      </c>
      <c r="D2444" s="234">
        <f>IFERROR(__xludf.DUMMYFUNCTION("""COMPUTED_VALUE"""),27.0)</f>
        <v>27</v>
      </c>
      <c r="E2444" s="237" t="str">
        <f>IFERROR(__xludf.DUMMYFUNCTION("""COMPUTED_VALUE"""),"LT0PCC01TQHF1")</f>
        <v>LT0PCC01TQHF1</v>
      </c>
      <c r="F2444" s="238" t="str">
        <f>IFERROR(__xludf.DUMMYFUNCTION("""COMPUTED_VALUE"""),"QPV1A02,CGR1D13")</f>
        <v>QPV1A02,CGR1D13</v>
      </c>
      <c r="G2444" s="238">
        <f>IFERROR(__xludf.DUMMYFUNCTION("""COMPUTED_VALUE"""),46003.14583333333)</f>
        <v>46003.14583</v>
      </c>
      <c r="H2444" s="238">
        <f>IFERROR(__xludf.DUMMYFUNCTION("""COMPUTED_VALUE"""),46003.22916666667)</f>
        <v>46003.22917</v>
      </c>
      <c r="I2444" s="237" t="str">
        <f t="shared" si="1"/>
        <v>Fora</v>
      </c>
      <c r="J2444" s="239">
        <v>119.00000001071021</v>
      </c>
    </row>
    <row r="2445">
      <c r="A2445" s="234" t="s">
        <v>4035</v>
      </c>
      <c r="B2445" s="234" t="str">
        <f>IFERROR(__xludf.DUMMYFUNCTION("""COMPUTED_VALUE"""),"LM Hub_SP_Campinas_São Martinho")</f>
        <v>LM Hub_SP_Campinas_São Martinho</v>
      </c>
      <c r="C2445" s="234" t="str">
        <f>IFERROR(__xludf.DUMMYFUNCTION("""COMPUTED_VALUE"""),"HUB-LSP-19")</f>
        <v>HUB-LSP-19</v>
      </c>
      <c r="D2445" s="234">
        <f>IFERROR(__xludf.DUMMYFUNCTION("""COMPUTED_VALUE"""),14.0)</f>
        <v>14</v>
      </c>
      <c r="E2445" s="237" t="str">
        <f>IFERROR(__xludf.DUMMYFUNCTION("""COMPUTED_VALUE"""),"LT0PCC01TOEL1")</f>
        <v>LT0PCC01TOEL1</v>
      </c>
      <c r="F2445" s="238" t="str">
        <f>IFERROR(__xludf.DUMMYFUNCTION("""COMPUTED_VALUE"""),"AQM6H26,FZZ0G17")</f>
        <v>AQM6H26,FZZ0G17</v>
      </c>
      <c r="G2445" s="238">
        <f>IFERROR(__xludf.DUMMYFUNCTION("""COMPUTED_VALUE"""),46003.146527777775)</f>
        <v>46003.14653</v>
      </c>
      <c r="H2445" s="238">
        <f>IFERROR(__xludf.DUMMYFUNCTION("""COMPUTED_VALUE"""),46003.22916666667)</f>
        <v>46003.22917</v>
      </c>
      <c r="I2445" s="237" t="str">
        <f t="shared" si="1"/>
        <v>Fora</v>
      </c>
      <c r="J2445" s="239">
        <v>119.00000001071021</v>
      </c>
    </row>
    <row r="2446">
      <c r="A2446" s="234" t="s">
        <v>4036</v>
      </c>
      <c r="B2446" s="234" t="str">
        <f>IFERROR(__xludf.DUMMYFUNCTION("""COMPUTED_VALUE"""),"LM Hub_SP_Sorocaba_Região Norte")</f>
        <v>LM Hub_SP_Sorocaba_Região Norte</v>
      </c>
      <c r="C2446" s="234" t="str">
        <f>IFERROR(__xludf.DUMMYFUNCTION("""COMPUTED_VALUE"""),"HUB-LSP-10")</f>
        <v>HUB-LSP-10</v>
      </c>
      <c r="D2446" s="234">
        <f>IFERROR(__xludf.DUMMYFUNCTION("""COMPUTED_VALUE"""),16.0)</f>
        <v>16</v>
      </c>
      <c r="E2446" s="237" t="str">
        <f>IFERROR(__xludf.DUMMYFUNCTION("""COMPUTED_VALUE"""),"LT0PCC01TOA61")</f>
        <v>LT0PCC01TOA61</v>
      </c>
      <c r="F2446" s="238" t="str">
        <f>IFERROR(__xludf.DUMMYFUNCTION("""COMPUTED_VALUE"""),"DNU8E03,MGA6B94")</f>
        <v>DNU8E03,MGA6B94</v>
      </c>
      <c r="G2446" s="238">
        <f>IFERROR(__xludf.DUMMYFUNCTION("""COMPUTED_VALUE"""),46003.146527777775)</f>
        <v>46003.14653</v>
      </c>
      <c r="H2446" s="238">
        <f>IFERROR(__xludf.DUMMYFUNCTION("""COMPUTED_VALUE"""),46003.22916666667)</f>
        <v>46003.22917</v>
      </c>
      <c r="I2446" s="237" t="str">
        <f t="shared" si="1"/>
        <v>Fora</v>
      </c>
      <c r="J2446" s="239" t="e">
        <v>#VALUE!</v>
      </c>
    </row>
    <row r="2447">
      <c r="A2447" s="234" t="s">
        <v>4037</v>
      </c>
      <c r="B2447" s="234" t="str">
        <f>IFERROR(__xludf.DUMMYFUNCTION("""COMPUTED_VALUE"""),"Fanout Desconhecido")</f>
        <v>Fanout Desconhecido</v>
      </c>
      <c r="C2447" s="234" t="str">
        <f>IFERROR(__xludf.DUMMYFUNCTION("""COMPUTED_VALUE"""),"-")</f>
        <v>-</v>
      </c>
      <c r="D2447" s="234"/>
      <c r="E2447" s="237" t="str">
        <f>IFERROR(__xludf.DUMMYFUNCTION("""COMPUTED_VALUE"""),"LT0PCC01TOA82")</f>
        <v>LT0PCC01TOA82</v>
      </c>
      <c r="F2447" s="238" t="str">
        <f>IFERROR(__xludf.DUMMYFUNCTION("""COMPUTED_VALUE"""),"-")</f>
        <v>-</v>
      </c>
      <c r="G2447" s="238" t="str">
        <f>IFERROR(__xludf.DUMMYFUNCTION("""COMPUTED_VALUE"""),"-")</f>
        <v>-</v>
      </c>
      <c r="H2447" s="238" t="str">
        <f>IFERROR(__xludf.DUMMYFUNCTION("""COMPUTED_VALUE"""),"-")</f>
        <v>-</v>
      </c>
      <c r="I2447" s="237" t="str">
        <f t="shared" si="1"/>
        <v>Dentro</v>
      </c>
      <c r="J2447" s="239" t="e">
        <v>#VALUE!</v>
      </c>
    </row>
    <row r="2448">
      <c r="A2448" s="234" t="s">
        <v>187</v>
      </c>
      <c r="B2448" s="234" t="str">
        <f>IFERROR(__xludf.DUMMYFUNCTION("""COMPUTED_VALUE"""),"Fanout Desconhecido")</f>
        <v>Fanout Desconhecido</v>
      </c>
      <c r="C2448" s="234" t="str">
        <f>IFERROR(__xludf.DUMMYFUNCTION("""COMPUTED_VALUE"""),"-")</f>
        <v>-</v>
      </c>
      <c r="D2448" s="234">
        <f>IFERROR(__xludf.DUMMYFUNCTION("""COMPUTED_VALUE"""),17.0)</f>
        <v>17</v>
      </c>
      <c r="E2448" s="237" t="str">
        <f>IFERROR(__xludf.DUMMYFUNCTION("""COMPUTED_VALUE"""),"LT0PCC01TO921")</f>
        <v>LT0PCC01TO921</v>
      </c>
      <c r="F2448" s="238" t="str">
        <f>IFERROR(__xludf.DUMMYFUNCTION("""COMPUTED_VALUE"""),"-")</f>
        <v>-</v>
      </c>
      <c r="G2448" s="238" t="str">
        <f>IFERROR(__xludf.DUMMYFUNCTION("""COMPUTED_VALUE"""),"-")</f>
        <v>-</v>
      </c>
      <c r="H2448" s="238" t="str">
        <f>IFERROR(__xludf.DUMMYFUNCTION("""COMPUTED_VALUE"""),"-")</f>
        <v>-</v>
      </c>
      <c r="I2448" s="237" t="str">
        <f t="shared" si="1"/>
        <v>Dentro</v>
      </c>
      <c r="J2448" s="239" t="e">
        <v>#VALUE!</v>
      </c>
    </row>
    <row r="2449">
      <c r="A2449" s="234" t="s">
        <v>188</v>
      </c>
      <c r="B2449" s="234" t="str">
        <f>IFERROR(__xludf.DUMMYFUNCTION("""COMPUTED_VALUE"""),"Fanout Desconhecido")</f>
        <v>Fanout Desconhecido</v>
      </c>
      <c r="C2449" s="234" t="str">
        <f>IFERROR(__xludf.DUMMYFUNCTION("""COMPUTED_VALUE"""),"-")</f>
        <v>-</v>
      </c>
      <c r="D2449" s="234">
        <f>IFERROR(__xludf.DUMMYFUNCTION("""COMPUTED_VALUE"""),41.0)</f>
        <v>41</v>
      </c>
      <c r="E2449" s="237" t="str">
        <f>IFERROR(__xludf.DUMMYFUNCTION("""COMPUTED_VALUE"""),"LT0PCC01TOB21")</f>
        <v>LT0PCC01TOB21</v>
      </c>
      <c r="F2449" s="238" t="str">
        <f>IFERROR(__xludf.DUMMYFUNCTION("""COMPUTED_VALUE"""),"-")</f>
        <v>-</v>
      </c>
      <c r="G2449" s="238" t="str">
        <f>IFERROR(__xludf.DUMMYFUNCTION("""COMPUTED_VALUE"""),"-")</f>
        <v>-</v>
      </c>
      <c r="H2449" s="238" t="str">
        <f>IFERROR(__xludf.DUMMYFUNCTION("""COMPUTED_VALUE"""),"-")</f>
        <v>-</v>
      </c>
      <c r="I2449" s="237" t="str">
        <f t="shared" si="1"/>
        <v>Dentro</v>
      </c>
      <c r="J2449" s="239" t="e">
        <v>#VALUE!</v>
      </c>
    </row>
    <row r="2450">
      <c r="A2450" s="234" t="s">
        <v>186</v>
      </c>
      <c r="B2450" s="234" t="str">
        <f>IFERROR(__xludf.DUMMYFUNCTION("""COMPUTED_VALUE"""),"Fanout Desconhecido")</f>
        <v>Fanout Desconhecido</v>
      </c>
      <c r="C2450" s="234" t="str">
        <f>IFERROR(__xludf.DUMMYFUNCTION("""COMPUTED_VALUE"""),"-")</f>
        <v>-</v>
      </c>
      <c r="D2450" s="234">
        <f>IFERROR(__xludf.DUMMYFUNCTION("""COMPUTED_VALUE"""),6.0)</f>
        <v>6</v>
      </c>
      <c r="E2450" s="237" t="str">
        <f>IFERROR(__xludf.DUMMYFUNCTION("""COMPUTED_VALUE"""),"LT0PCC01TO8O1")</f>
        <v>LT0PCC01TO8O1</v>
      </c>
      <c r="F2450" s="238" t="str">
        <f>IFERROR(__xludf.DUMMYFUNCTION("""COMPUTED_VALUE"""),"-")</f>
        <v>-</v>
      </c>
      <c r="G2450" s="238" t="str">
        <f>IFERROR(__xludf.DUMMYFUNCTION("""COMPUTED_VALUE"""),"-")</f>
        <v>-</v>
      </c>
      <c r="H2450" s="238" t="str">
        <f>IFERROR(__xludf.DUMMYFUNCTION("""COMPUTED_VALUE"""),"-")</f>
        <v>-</v>
      </c>
      <c r="I2450" s="237" t="str">
        <f t="shared" si="1"/>
        <v>Dentro</v>
      </c>
      <c r="J2450" s="239" t="e">
        <v>#VALUE!</v>
      </c>
    </row>
    <row r="2451">
      <c r="A2451" s="234" t="s">
        <v>190</v>
      </c>
      <c r="B2451" s="234" t="str">
        <f>IFERROR(__xludf.DUMMYFUNCTION("""COMPUTED_VALUE"""),"Fanout Desconhecido")</f>
        <v>Fanout Desconhecido</v>
      </c>
      <c r="C2451" s="234" t="str">
        <f>IFERROR(__xludf.DUMMYFUNCTION("""COMPUTED_VALUE"""),"-")</f>
        <v>-</v>
      </c>
      <c r="D2451" s="234">
        <f>IFERROR(__xludf.DUMMYFUNCTION("""COMPUTED_VALUE"""),28.0)</f>
        <v>28</v>
      </c>
      <c r="E2451" s="237" t="str">
        <f>IFERROR(__xludf.DUMMYFUNCTION("""COMPUTED_VALUE"""),"LT0PCC01TPG41")</f>
        <v>LT0PCC01TPG41</v>
      </c>
      <c r="F2451" s="238" t="str">
        <f>IFERROR(__xludf.DUMMYFUNCTION("""COMPUTED_VALUE"""),"-")</f>
        <v>-</v>
      </c>
      <c r="G2451" s="238" t="str">
        <f>IFERROR(__xludf.DUMMYFUNCTION("""COMPUTED_VALUE"""),"-")</f>
        <v>-</v>
      </c>
      <c r="H2451" s="238" t="str">
        <f>IFERROR(__xludf.DUMMYFUNCTION("""COMPUTED_VALUE"""),"-")</f>
        <v>-</v>
      </c>
      <c r="I2451" s="237" t="str">
        <f t="shared" si="1"/>
        <v>Dentro</v>
      </c>
      <c r="J2451" s="239" t="e">
        <v>#VALUE!</v>
      </c>
    </row>
    <row r="2452">
      <c r="A2452" s="234" t="s">
        <v>189</v>
      </c>
      <c r="B2452" s="234" t="str">
        <f>IFERROR(__xludf.DUMMYFUNCTION("""COMPUTED_VALUE"""),"Fanout Desconhecido")</f>
        <v>Fanout Desconhecido</v>
      </c>
      <c r="C2452" s="234" t="str">
        <f>IFERROR(__xludf.DUMMYFUNCTION("""COMPUTED_VALUE"""),"-")</f>
        <v>-</v>
      </c>
      <c r="D2452" s="234">
        <f>IFERROR(__xludf.DUMMYFUNCTION("""COMPUTED_VALUE"""),46.0)</f>
        <v>46</v>
      </c>
      <c r="E2452" s="237" t="str">
        <f>IFERROR(__xludf.DUMMYFUNCTION("""COMPUTED_VALUE"""),"LT0PCC01TOBJ1")</f>
        <v>LT0PCC01TOBJ1</v>
      </c>
      <c r="F2452" s="238" t="str">
        <f>IFERROR(__xludf.DUMMYFUNCTION("""COMPUTED_VALUE"""),"-")</f>
        <v>-</v>
      </c>
      <c r="G2452" s="238" t="str">
        <f>IFERROR(__xludf.DUMMYFUNCTION("""COMPUTED_VALUE"""),"-")</f>
        <v>-</v>
      </c>
      <c r="H2452" s="238" t="str">
        <f>IFERROR(__xludf.DUMMYFUNCTION("""COMPUTED_VALUE"""),"-")</f>
        <v>-</v>
      </c>
      <c r="I2452" s="237" t="str">
        <f t="shared" si="1"/>
        <v>Dentro</v>
      </c>
      <c r="J2452" s="239" t="e">
        <v>#VALUE!</v>
      </c>
    </row>
    <row r="2453">
      <c r="A2453" s="234" t="s">
        <v>192</v>
      </c>
      <c r="B2453" s="234" t="str">
        <f>IFERROR(__xludf.DUMMYFUNCTION("""COMPUTED_VALUE"""),"Fanout Desconhecido")</f>
        <v>Fanout Desconhecido</v>
      </c>
      <c r="C2453" s="234" t="str">
        <f>IFERROR(__xludf.DUMMYFUNCTION("""COMPUTED_VALUE"""),"-")</f>
        <v>-</v>
      </c>
      <c r="D2453" s="234">
        <f>IFERROR(__xludf.DUMMYFUNCTION("""COMPUTED_VALUE"""),45.0)</f>
        <v>45</v>
      </c>
      <c r="E2453" s="237" t="str">
        <f>IFERROR(__xludf.DUMMYFUNCTION("""COMPUTED_VALUE"""),"LT1PCC01U4GX1")</f>
        <v>LT1PCC01U4GX1</v>
      </c>
      <c r="F2453" s="238" t="str">
        <f>IFERROR(__xludf.DUMMYFUNCTION("""COMPUTED_VALUE"""),"-")</f>
        <v>-</v>
      </c>
      <c r="G2453" s="238" t="str">
        <f>IFERROR(__xludf.DUMMYFUNCTION("""COMPUTED_VALUE"""),"-")</f>
        <v>-</v>
      </c>
      <c r="H2453" s="238" t="str">
        <f>IFERROR(__xludf.DUMMYFUNCTION("""COMPUTED_VALUE"""),"-")</f>
        <v>-</v>
      </c>
      <c r="I2453" s="237" t="str">
        <f t="shared" si="1"/>
        <v>Dentro</v>
      </c>
      <c r="J2453" s="239" t="e">
        <v>#VALUE!</v>
      </c>
    </row>
    <row r="2454">
      <c r="A2454" s="234" t="s">
        <v>195</v>
      </c>
      <c r="B2454" s="234" t="str">
        <f>IFERROR(__xludf.DUMMYFUNCTION("""COMPUTED_VALUE"""),"Fanout Desconhecido")</f>
        <v>Fanout Desconhecido</v>
      </c>
      <c r="C2454" s="234" t="str">
        <f>IFERROR(__xludf.DUMMYFUNCTION("""COMPUTED_VALUE"""),"-")</f>
        <v>-</v>
      </c>
      <c r="D2454" s="234">
        <f>IFERROR(__xludf.DUMMYFUNCTION("""COMPUTED_VALUE"""),15.0)</f>
        <v>15</v>
      </c>
      <c r="E2454" s="237" t="str">
        <f>IFERROR(__xludf.DUMMYFUNCTION("""COMPUTED_VALUE"""),"LT0PCC01TTRE1")</f>
        <v>LT0PCC01TTRE1</v>
      </c>
      <c r="F2454" s="238" t="str">
        <f>IFERROR(__xludf.DUMMYFUNCTION("""COMPUTED_VALUE"""),"-")</f>
        <v>-</v>
      </c>
      <c r="G2454" s="238" t="str">
        <f>IFERROR(__xludf.DUMMYFUNCTION("""COMPUTED_VALUE"""),"-")</f>
        <v>-</v>
      </c>
      <c r="H2454" s="238" t="str">
        <f>IFERROR(__xludf.DUMMYFUNCTION("""COMPUTED_VALUE"""),"-")</f>
        <v>-</v>
      </c>
      <c r="I2454" s="237" t="str">
        <f t="shared" si="1"/>
        <v>Dentro</v>
      </c>
      <c r="J2454" s="239" t="e">
        <v>#VALUE!</v>
      </c>
    </row>
    <row r="2455">
      <c r="A2455" s="234" t="s">
        <v>196</v>
      </c>
      <c r="B2455" s="234" t="str">
        <f>IFERROR(__xludf.DUMMYFUNCTION("""COMPUTED_VALUE"""),"Fanout Desconhecido")</f>
        <v>Fanout Desconhecido</v>
      </c>
      <c r="C2455" s="234" t="str">
        <f>IFERROR(__xludf.DUMMYFUNCTION("""COMPUTED_VALUE"""),"-")</f>
        <v>-</v>
      </c>
      <c r="D2455" s="234">
        <f>IFERROR(__xludf.DUMMYFUNCTION("""COMPUTED_VALUE"""),13.0)</f>
        <v>13</v>
      </c>
      <c r="E2455" s="237" t="str">
        <f>IFERROR(__xludf.DUMMYFUNCTION("""COMPUTED_VALUE"""),"LT0PCC01TN9X1")</f>
        <v>LT0PCC01TN9X1</v>
      </c>
      <c r="F2455" s="238" t="str">
        <f>IFERROR(__xludf.DUMMYFUNCTION("""COMPUTED_VALUE"""),"-")</f>
        <v>-</v>
      </c>
      <c r="G2455" s="238" t="str">
        <f>IFERROR(__xludf.DUMMYFUNCTION("""COMPUTED_VALUE"""),"-")</f>
        <v>-</v>
      </c>
      <c r="H2455" s="238" t="str">
        <f>IFERROR(__xludf.DUMMYFUNCTION("""COMPUTED_VALUE"""),"-")</f>
        <v>-</v>
      </c>
      <c r="I2455" s="237" t="str">
        <f t="shared" si="1"/>
        <v>Dentro</v>
      </c>
      <c r="J2455" s="239" t="e">
        <v>#VALUE!</v>
      </c>
    </row>
    <row r="2456">
      <c r="A2456" s="234" t="s">
        <v>197</v>
      </c>
      <c r="B2456" s="234" t="str">
        <f>IFERROR(__xludf.DUMMYFUNCTION("""COMPUTED_VALUE"""),"Fanout Desconhecido")</f>
        <v>Fanout Desconhecido</v>
      </c>
      <c r="C2456" s="234" t="str">
        <f>IFERROR(__xludf.DUMMYFUNCTION("""COMPUTED_VALUE"""),"-")</f>
        <v>-</v>
      </c>
      <c r="D2456" s="234"/>
      <c r="E2456" s="237" t="str">
        <f>IFERROR(__xludf.DUMMYFUNCTION("""COMPUTED_VALUE"""),"LT0PCC01TQJB1")</f>
        <v>LT0PCC01TQJB1</v>
      </c>
      <c r="F2456" s="238" t="str">
        <f>IFERROR(__xludf.DUMMYFUNCTION("""COMPUTED_VALUE"""),"-")</f>
        <v>-</v>
      </c>
      <c r="G2456" s="238" t="str">
        <f>IFERROR(__xludf.DUMMYFUNCTION("""COMPUTED_VALUE"""),"-")</f>
        <v>-</v>
      </c>
      <c r="H2456" s="238" t="str">
        <f>IFERROR(__xludf.DUMMYFUNCTION("""COMPUTED_VALUE"""),"-")</f>
        <v>-</v>
      </c>
      <c r="I2456" s="237" t="str">
        <f t="shared" si="1"/>
        <v>Dentro</v>
      </c>
      <c r="J2456" s="239" t="e">
        <v>#VALUE!</v>
      </c>
    </row>
    <row r="2457">
      <c r="A2457" s="234" t="s">
        <v>198</v>
      </c>
      <c r="B2457" s="234" t="str">
        <f>IFERROR(__xludf.DUMMYFUNCTION("""COMPUTED_VALUE"""),"Fanout Desconhecido")</f>
        <v>Fanout Desconhecido</v>
      </c>
      <c r="C2457" s="234" t="str">
        <f>IFERROR(__xludf.DUMMYFUNCTION("""COMPUTED_VALUE"""),"-")</f>
        <v>-</v>
      </c>
      <c r="D2457" s="234"/>
      <c r="E2457" s="237" t="str">
        <f>IFERROR(__xludf.DUMMYFUNCTION("""COMPUTED_VALUE"""),"LT0PCB01TVO23")</f>
        <v>LT0PCB01TVO23</v>
      </c>
      <c r="F2457" s="238" t="str">
        <f>IFERROR(__xludf.DUMMYFUNCTION("""COMPUTED_VALUE"""),"-")</f>
        <v>-</v>
      </c>
      <c r="G2457" s="238" t="str">
        <f>IFERROR(__xludf.DUMMYFUNCTION("""COMPUTED_VALUE"""),"-")</f>
        <v>-</v>
      </c>
      <c r="H2457" s="238" t="str">
        <f>IFERROR(__xludf.DUMMYFUNCTION("""COMPUTED_VALUE"""),"-")</f>
        <v>-</v>
      </c>
      <c r="I2457" s="237" t="str">
        <f t="shared" si="1"/>
        <v>Dentro</v>
      </c>
      <c r="J2457" s="239" t="e">
        <v>#VALUE!</v>
      </c>
    </row>
    <row r="2458">
      <c r="A2458" s="234" t="s">
        <v>201</v>
      </c>
      <c r="B2458" s="234" t="str">
        <f>IFERROR(__xludf.DUMMYFUNCTION("""COMPUTED_VALUE"""),"Fanout Desconhecido")</f>
        <v>Fanout Desconhecido</v>
      </c>
      <c r="C2458" s="234" t="str">
        <f>IFERROR(__xludf.DUMMYFUNCTION("""COMPUTED_VALUE"""),"-")</f>
        <v>-</v>
      </c>
      <c r="D2458" s="234">
        <f>IFERROR(__xludf.DUMMYFUNCTION("""COMPUTED_VALUE"""),89.0)</f>
        <v>89</v>
      </c>
      <c r="E2458" s="237" t="str">
        <f>IFERROR(__xludf.DUMMYFUNCTION("""COMPUTED_VALUE"""),"LT0PCB01TVNY1")</f>
        <v>LT0PCB01TVNY1</v>
      </c>
      <c r="F2458" s="238" t="str">
        <f>IFERROR(__xludf.DUMMYFUNCTION("""COMPUTED_VALUE"""),"-")</f>
        <v>-</v>
      </c>
      <c r="G2458" s="238" t="str">
        <f>IFERROR(__xludf.DUMMYFUNCTION("""COMPUTED_VALUE"""),"-")</f>
        <v>-</v>
      </c>
      <c r="H2458" s="238" t="str">
        <f>IFERROR(__xludf.DUMMYFUNCTION("""COMPUTED_VALUE"""),"-")</f>
        <v>-</v>
      </c>
      <c r="I2458" s="237" t="str">
        <f t="shared" si="1"/>
        <v>Dentro</v>
      </c>
      <c r="J2458" s="239" t="e">
        <v>#VALUE!</v>
      </c>
    </row>
    <row r="2459">
      <c r="A2459" s="234" t="s">
        <v>4038</v>
      </c>
      <c r="B2459" s="234" t="str">
        <f>IFERROR(__xludf.DUMMYFUNCTION("""COMPUTED_VALUE"""),"Fanout Desconhecido")</f>
        <v>Fanout Desconhecido</v>
      </c>
      <c r="C2459" s="234" t="str">
        <f>IFERROR(__xludf.DUMMYFUNCTION("""COMPUTED_VALUE"""),"-")</f>
        <v>-</v>
      </c>
      <c r="D2459" s="234">
        <f>IFERROR(__xludf.DUMMYFUNCTION("""COMPUTED_VALUE"""),88.0)</f>
        <v>88</v>
      </c>
      <c r="E2459" s="237" t="str">
        <f>IFERROR(__xludf.DUMMYFUNCTION("""COMPUTED_VALUE"""),"LT0PCB01TVO02")</f>
        <v>LT0PCB01TVO02</v>
      </c>
      <c r="F2459" s="238" t="str">
        <f>IFERROR(__xludf.DUMMYFUNCTION("""COMPUTED_VALUE"""),"-")</f>
        <v>-</v>
      </c>
      <c r="G2459" s="238" t="str">
        <f>IFERROR(__xludf.DUMMYFUNCTION("""COMPUTED_VALUE"""),"-")</f>
        <v>-</v>
      </c>
      <c r="H2459" s="238" t="str">
        <f>IFERROR(__xludf.DUMMYFUNCTION("""COMPUTED_VALUE"""),"-")</f>
        <v>-</v>
      </c>
      <c r="I2459" s="237" t="str">
        <f t="shared" si="1"/>
        <v>Dentro</v>
      </c>
      <c r="J2459" s="239" t="e">
        <v>#VALUE!</v>
      </c>
    </row>
    <row r="2460">
      <c r="A2460" s="234" t="s">
        <v>4039</v>
      </c>
      <c r="B2460" s="234" t="str">
        <f>IFERROR(__xludf.DUMMYFUNCTION("""COMPUTED_VALUE"""),"Fanout Desconhecido")</f>
        <v>Fanout Desconhecido</v>
      </c>
      <c r="C2460" s="234" t="str">
        <f>IFERROR(__xludf.DUMMYFUNCTION("""COMPUTED_VALUE"""),"-")</f>
        <v>-</v>
      </c>
      <c r="D2460" s="234"/>
      <c r="E2460" s="237" t="str">
        <f>IFERROR(__xludf.DUMMYFUNCTION("""COMPUTED_VALUE"""),"LT0PCB01TRQW1")</f>
        <v>LT0PCB01TRQW1</v>
      </c>
      <c r="F2460" s="238" t="str">
        <f>IFERROR(__xludf.DUMMYFUNCTION("""COMPUTED_VALUE"""),"-")</f>
        <v>-</v>
      </c>
      <c r="G2460" s="238" t="str">
        <f>IFERROR(__xludf.DUMMYFUNCTION("""COMPUTED_VALUE"""),"-")</f>
        <v>-</v>
      </c>
      <c r="H2460" s="238" t="str">
        <f>IFERROR(__xludf.DUMMYFUNCTION("""COMPUTED_VALUE"""),"-")</f>
        <v>-</v>
      </c>
      <c r="I2460" s="237" t="str">
        <f t="shared" si="1"/>
        <v>Dentro</v>
      </c>
      <c r="J2460" s="239" t="e">
        <v>#VALUE!</v>
      </c>
    </row>
    <row r="2461">
      <c r="A2461" s="234" t="s">
        <v>4040</v>
      </c>
      <c r="B2461" s="234" t="str">
        <f>IFERROR(__xludf.DUMMYFUNCTION("""COMPUTED_VALUE"""),"Fanout Desconhecido")</f>
        <v>Fanout Desconhecido</v>
      </c>
      <c r="C2461" s="234" t="str">
        <f>IFERROR(__xludf.DUMMYFUNCTION("""COMPUTED_VALUE"""),"-")</f>
        <v>-</v>
      </c>
      <c r="D2461" s="234"/>
      <c r="E2461" s="237" t="str">
        <f>IFERROR(__xludf.DUMMYFUNCTION("""COMPUTED_VALUE"""),"LT0PCB01TRQY2")</f>
        <v>LT0PCB01TRQY2</v>
      </c>
      <c r="F2461" s="238" t="str">
        <f>IFERROR(__xludf.DUMMYFUNCTION("""COMPUTED_VALUE"""),"-")</f>
        <v>-</v>
      </c>
      <c r="G2461" s="238" t="str">
        <f>IFERROR(__xludf.DUMMYFUNCTION("""COMPUTED_VALUE"""),"-")</f>
        <v>-</v>
      </c>
      <c r="H2461" s="238" t="str">
        <f>IFERROR(__xludf.DUMMYFUNCTION("""COMPUTED_VALUE"""),"-")</f>
        <v>-</v>
      </c>
      <c r="I2461" s="237" t="str">
        <f t="shared" si="1"/>
        <v>Dentro</v>
      </c>
      <c r="J2461" s="239" t="e">
        <v>#VALUE!</v>
      </c>
    </row>
    <row r="2462">
      <c r="A2462" s="234" t="s">
        <v>200</v>
      </c>
      <c r="B2462" s="234" t="str">
        <f>IFERROR(__xludf.DUMMYFUNCTION("""COMPUTED_VALUE"""),"Fanout Desconhecido")</f>
        <v>Fanout Desconhecido</v>
      </c>
      <c r="C2462" s="234" t="str">
        <f>IFERROR(__xludf.DUMMYFUNCTION("""COMPUTED_VALUE"""),"-")</f>
        <v>-</v>
      </c>
      <c r="D2462" s="234">
        <f>IFERROR(__xludf.DUMMYFUNCTION("""COMPUTED_VALUE"""),97.0)</f>
        <v>97</v>
      </c>
      <c r="E2462" s="237" t="str">
        <f>IFERROR(__xludf.DUMMYFUNCTION("""COMPUTED_VALUE"""),"LT0PCB01TRR03")</f>
        <v>LT0PCB01TRR03</v>
      </c>
      <c r="F2462" s="238" t="str">
        <f>IFERROR(__xludf.DUMMYFUNCTION("""COMPUTED_VALUE"""),"-")</f>
        <v>-</v>
      </c>
      <c r="G2462" s="238" t="str">
        <f>IFERROR(__xludf.DUMMYFUNCTION("""COMPUTED_VALUE"""),"-")</f>
        <v>-</v>
      </c>
      <c r="H2462" s="238" t="str">
        <f>IFERROR(__xludf.DUMMYFUNCTION("""COMPUTED_VALUE"""),"-")</f>
        <v>-</v>
      </c>
      <c r="I2462" s="237" t="str">
        <f t="shared" si="1"/>
        <v>Dentro</v>
      </c>
      <c r="J2462" s="239" t="e">
        <v>#VALUE!</v>
      </c>
    </row>
    <row r="2463">
      <c r="A2463" s="234" t="s">
        <v>202</v>
      </c>
      <c r="B2463" s="234" t="str">
        <f>IFERROR(__xludf.DUMMYFUNCTION("""COMPUTED_VALUE"""),"Fanout Desconhecido")</f>
        <v>Fanout Desconhecido</v>
      </c>
      <c r="C2463" s="234" t="str">
        <f>IFERROR(__xludf.DUMMYFUNCTION("""COMPUTED_VALUE"""),"-")</f>
        <v>-</v>
      </c>
      <c r="D2463" s="234">
        <f>IFERROR(__xludf.DUMMYFUNCTION("""COMPUTED_VALUE"""),7.0)</f>
        <v>7</v>
      </c>
      <c r="E2463" s="237" t="str">
        <f>IFERROR(__xludf.DUMMYFUNCTION("""COMPUTED_VALUE"""),"LT0PCB01TNZ41")</f>
        <v>LT0PCB01TNZ41</v>
      </c>
      <c r="F2463" s="238" t="str">
        <f>IFERROR(__xludf.DUMMYFUNCTION("""COMPUTED_VALUE"""),"-")</f>
        <v>-</v>
      </c>
      <c r="G2463" s="238" t="str">
        <f>IFERROR(__xludf.DUMMYFUNCTION("""COMPUTED_VALUE"""),"-")</f>
        <v>-</v>
      </c>
      <c r="H2463" s="238" t="str">
        <f>IFERROR(__xludf.DUMMYFUNCTION("""COMPUTED_VALUE"""),"-")</f>
        <v>-</v>
      </c>
      <c r="I2463" s="237" t="str">
        <f t="shared" si="1"/>
        <v>Dentro</v>
      </c>
      <c r="J2463" s="239" t="e">
        <v>#VALUE!</v>
      </c>
    </row>
    <row r="2464">
      <c r="A2464" s="234" t="s">
        <v>4041</v>
      </c>
      <c r="B2464" s="234" t="str">
        <f>IFERROR(__xludf.DUMMYFUNCTION("""COMPUTED_VALUE"""),"Fanout Desconhecido")</f>
        <v>Fanout Desconhecido</v>
      </c>
      <c r="C2464" s="234" t="str">
        <f>IFERROR(__xludf.DUMMYFUNCTION("""COMPUTED_VALUE"""),"-")</f>
        <v>-</v>
      </c>
      <c r="D2464" s="234">
        <f>IFERROR(__xludf.DUMMYFUNCTION("""COMPUTED_VALUE"""),91.0)</f>
        <v>91</v>
      </c>
      <c r="E2464" s="237" t="str">
        <f>IFERROR(__xludf.DUMMYFUNCTION("""COMPUTED_VALUE"""),"LT0PCB01TNZ62")</f>
        <v>LT0PCB01TNZ62</v>
      </c>
      <c r="F2464" s="238" t="str">
        <f>IFERROR(__xludf.DUMMYFUNCTION("""COMPUTED_VALUE"""),"-")</f>
        <v>-</v>
      </c>
      <c r="G2464" s="238" t="str">
        <f>IFERROR(__xludf.DUMMYFUNCTION("""COMPUTED_VALUE"""),"-")</f>
        <v>-</v>
      </c>
      <c r="H2464" s="238" t="str">
        <f>IFERROR(__xludf.DUMMYFUNCTION("""COMPUTED_VALUE"""),"-")</f>
        <v>-</v>
      </c>
      <c r="I2464" s="237" t="str">
        <f t="shared" si="1"/>
        <v>Dentro</v>
      </c>
      <c r="J2464" s="239" t="e">
        <v>#VALUE!</v>
      </c>
    </row>
    <row r="2465">
      <c r="A2465" s="234" t="s">
        <v>205</v>
      </c>
      <c r="B2465" s="234" t="str">
        <f>IFERROR(__xludf.DUMMYFUNCTION("""COMPUTED_VALUE"""),"Fanout Desconhecido")</f>
        <v>Fanout Desconhecido</v>
      </c>
      <c r="C2465" s="234" t="str">
        <f>IFERROR(__xludf.DUMMYFUNCTION("""COMPUTED_VALUE"""),"-")</f>
        <v>-</v>
      </c>
      <c r="D2465" s="234">
        <f>IFERROR(__xludf.DUMMYFUNCTION("""COMPUTED_VALUE"""),90.0)</f>
        <v>90</v>
      </c>
      <c r="E2465" s="237" t="str">
        <f>IFERROR(__xludf.DUMMYFUNCTION("""COMPUTED_VALUE"""),"LT0PCB01TNZA4")</f>
        <v>LT0PCB01TNZA4</v>
      </c>
      <c r="F2465" s="238" t="str">
        <f>IFERROR(__xludf.DUMMYFUNCTION("""COMPUTED_VALUE"""),"-")</f>
        <v>-</v>
      </c>
      <c r="G2465" s="238" t="str">
        <f>IFERROR(__xludf.DUMMYFUNCTION("""COMPUTED_VALUE"""),"-")</f>
        <v>-</v>
      </c>
      <c r="H2465" s="238" t="str">
        <f>IFERROR(__xludf.DUMMYFUNCTION("""COMPUTED_VALUE"""),"-")</f>
        <v>-</v>
      </c>
      <c r="I2465" s="237" t="str">
        <f t="shared" si="1"/>
        <v>Dentro</v>
      </c>
      <c r="J2465" s="239" t="e">
        <v>#VALUE!</v>
      </c>
    </row>
    <row r="2466">
      <c r="A2466" s="234" t="s">
        <v>209</v>
      </c>
      <c r="B2466" s="234" t="str">
        <f>IFERROR(__xludf.DUMMYFUNCTION("""COMPUTED_VALUE"""),"Fanout Desconhecido")</f>
        <v>Fanout Desconhecido</v>
      </c>
      <c r="C2466" s="234" t="str">
        <f>IFERROR(__xludf.DUMMYFUNCTION("""COMPUTED_VALUE"""),"-")</f>
        <v>-</v>
      </c>
      <c r="D2466" s="234">
        <f>IFERROR(__xludf.DUMMYFUNCTION("""COMPUTED_VALUE"""),12.0)</f>
        <v>12</v>
      </c>
      <c r="E2466" s="237" t="str">
        <f>IFERROR(__xludf.DUMMYFUNCTION("""COMPUTED_VALUE"""),"LT0PCC01TV8X1")</f>
        <v>LT0PCC01TV8X1</v>
      </c>
      <c r="F2466" s="238" t="str">
        <f>IFERROR(__xludf.DUMMYFUNCTION("""COMPUTED_VALUE"""),"-")</f>
        <v>-</v>
      </c>
      <c r="G2466" s="238" t="str">
        <f>IFERROR(__xludf.DUMMYFUNCTION("""COMPUTED_VALUE"""),"-")</f>
        <v>-</v>
      </c>
      <c r="H2466" s="238" t="str">
        <f>IFERROR(__xludf.DUMMYFUNCTION("""COMPUTED_VALUE"""),"-")</f>
        <v>-</v>
      </c>
      <c r="I2466" s="237" t="str">
        <f t="shared" si="1"/>
        <v>Dentro</v>
      </c>
      <c r="J2466" s="239" t="e">
        <v>#VALUE!</v>
      </c>
    </row>
    <row r="2467">
      <c r="A2467" s="234" t="s">
        <v>4042</v>
      </c>
      <c r="B2467" s="234" t="str">
        <f>IFERROR(__xludf.DUMMYFUNCTION("""COMPUTED_VALUE"""),"Fanout Desconhecido")</f>
        <v>Fanout Desconhecido</v>
      </c>
      <c r="C2467" s="234" t="str">
        <f>IFERROR(__xludf.DUMMYFUNCTION("""COMPUTED_VALUE"""),"-")</f>
        <v>-</v>
      </c>
      <c r="D2467" s="234"/>
      <c r="E2467" s="237" t="str">
        <f>IFERROR(__xludf.DUMMYFUNCTION("""COMPUTED_VALUE"""),"LT0PCC01TWTX1")</f>
        <v>LT0PCC01TWTX1</v>
      </c>
      <c r="F2467" s="238" t="str">
        <f>IFERROR(__xludf.DUMMYFUNCTION("""COMPUTED_VALUE"""),"-")</f>
        <v>-</v>
      </c>
      <c r="G2467" s="238" t="str">
        <f>IFERROR(__xludf.DUMMYFUNCTION("""COMPUTED_VALUE"""),"-")</f>
        <v>-</v>
      </c>
      <c r="H2467" s="238" t="str">
        <f>IFERROR(__xludf.DUMMYFUNCTION("""COMPUTED_VALUE"""),"-")</f>
        <v>-</v>
      </c>
      <c r="I2467" s="237" t="str">
        <f t="shared" si="1"/>
        <v>Dentro</v>
      </c>
      <c r="J2467" s="239" t="e">
        <v>#VALUE!</v>
      </c>
    </row>
    <row r="2468">
      <c r="A2468" s="234" t="s">
        <v>208</v>
      </c>
      <c r="B2468" s="234" t="str">
        <f>IFERROR(__xludf.DUMMYFUNCTION("""COMPUTED_VALUE"""),"Fanout Desconhecido")</f>
        <v>Fanout Desconhecido</v>
      </c>
      <c r="C2468" s="234" t="str">
        <f>IFERROR(__xludf.DUMMYFUNCTION("""COMPUTED_VALUE"""),"-")</f>
        <v>-</v>
      </c>
      <c r="D2468" s="234">
        <f>IFERROR(__xludf.DUMMYFUNCTION("""COMPUTED_VALUE"""),29.0)</f>
        <v>29</v>
      </c>
      <c r="E2468" s="237" t="str">
        <f>IFERROR(__xludf.DUMMYFUNCTION("""COMPUTED_VALUE"""),"LT0PCC01TPP41")</f>
        <v>LT0PCC01TPP41</v>
      </c>
      <c r="F2468" s="238" t="str">
        <f>IFERROR(__xludf.DUMMYFUNCTION("""COMPUTED_VALUE"""),"-")</f>
        <v>-</v>
      </c>
      <c r="G2468" s="238" t="str">
        <f>IFERROR(__xludf.DUMMYFUNCTION("""COMPUTED_VALUE"""),"-")</f>
        <v>-</v>
      </c>
      <c r="H2468" s="238" t="str">
        <f>IFERROR(__xludf.DUMMYFUNCTION("""COMPUTED_VALUE"""),"-")</f>
        <v>-</v>
      </c>
      <c r="I2468" s="237" t="str">
        <f t="shared" si="1"/>
        <v>Dentro</v>
      </c>
      <c r="J2468" s="239" t="e">
        <v>#VALUE!</v>
      </c>
    </row>
    <row r="2469">
      <c r="A2469" s="234" t="s">
        <v>212</v>
      </c>
      <c r="B2469" s="234" t="str">
        <f>IFERROR(__xludf.DUMMYFUNCTION("""COMPUTED_VALUE"""),"Fanout Desconhecido")</f>
        <v>Fanout Desconhecido</v>
      </c>
      <c r="C2469" s="234" t="str">
        <f>IFERROR(__xludf.DUMMYFUNCTION("""COMPUTED_VALUE"""),"-")</f>
        <v>-</v>
      </c>
      <c r="D2469" s="234">
        <f>IFERROR(__xludf.DUMMYFUNCTION("""COMPUTED_VALUE"""),19.0)</f>
        <v>19</v>
      </c>
      <c r="E2469" s="237" t="str">
        <f>IFERROR(__xludf.DUMMYFUNCTION("""COMPUTED_VALUE"""),"LT0PCC01TQH01")</f>
        <v>LT0PCC01TQH01</v>
      </c>
      <c r="F2469" s="238" t="str">
        <f>IFERROR(__xludf.DUMMYFUNCTION("""COMPUTED_VALUE"""),"-")</f>
        <v>-</v>
      </c>
      <c r="G2469" s="238" t="str">
        <f>IFERROR(__xludf.DUMMYFUNCTION("""COMPUTED_VALUE"""),"-")</f>
        <v>-</v>
      </c>
      <c r="H2469" s="238" t="str">
        <f>IFERROR(__xludf.DUMMYFUNCTION("""COMPUTED_VALUE"""),"-")</f>
        <v>-</v>
      </c>
      <c r="I2469" s="237" t="str">
        <f t="shared" si="1"/>
        <v>Dentro</v>
      </c>
      <c r="J2469" s="239" t="e">
        <v>#VALUE!</v>
      </c>
    </row>
    <row r="2470">
      <c r="A2470" s="234" t="s">
        <v>213</v>
      </c>
      <c r="B2470" s="234" t="str">
        <f>IFERROR(__xludf.DUMMYFUNCTION("""COMPUTED_VALUE"""),"Fanout Desconhecido")</f>
        <v>Fanout Desconhecido</v>
      </c>
      <c r="C2470" s="234" t="str">
        <f>IFERROR(__xludf.DUMMYFUNCTION("""COMPUTED_VALUE"""),"-")</f>
        <v>-</v>
      </c>
      <c r="D2470" s="234">
        <f>IFERROR(__xludf.DUMMYFUNCTION("""COMPUTED_VALUE"""),18.0)</f>
        <v>18</v>
      </c>
      <c r="E2470" s="237" t="str">
        <f>IFERROR(__xludf.DUMMYFUNCTION("""COMPUTED_VALUE"""),"LT0PCC01TQH22")</f>
        <v>LT0PCC01TQH22</v>
      </c>
      <c r="F2470" s="238" t="str">
        <f>IFERROR(__xludf.DUMMYFUNCTION("""COMPUTED_VALUE"""),"-")</f>
        <v>-</v>
      </c>
      <c r="G2470" s="238" t="str">
        <f>IFERROR(__xludf.DUMMYFUNCTION("""COMPUTED_VALUE"""),"-")</f>
        <v>-</v>
      </c>
      <c r="H2470" s="238" t="str">
        <f>IFERROR(__xludf.DUMMYFUNCTION("""COMPUTED_VALUE"""),"-")</f>
        <v>-</v>
      </c>
      <c r="I2470" s="237" t="str">
        <f t="shared" si="1"/>
        <v>Dentro</v>
      </c>
      <c r="J2470" s="239" t="e">
        <v>#VALUE!</v>
      </c>
    </row>
    <row r="2471">
      <c r="A2471" s="234" t="s">
        <v>215</v>
      </c>
      <c r="B2471" s="234" t="str">
        <f>IFERROR(__xludf.DUMMYFUNCTION("""COMPUTED_VALUE"""),"Fanout Desconhecido")</f>
        <v>Fanout Desconhecido</v>
      </c>
      <c r="C2471" s="234" t="str">
        <f>IFERROR(__xludf.DUMMYFUNCTION("""COMPUTED_VALUE"""),"-")</f>
        <v>-</v>
      </c>
      <c r="D2471" s="234">
        <f>IFERROR(__xludf.DUMMYFUNCTION("""COMPUTED_VALUE"""),9.0)</f>
        <v>9</v>
      </c>
      <c r="E2471" s="237" t="str">
        <f>IFERROR(__xludf.DUMMYFUNCTION("""COMPUTED_VALUE"""),"LT0PCC01TQI01")</f>
        <v>LT0PCC01TQI01</v>
      </c>
      <c r="F2471" s="238" t="str">
        <f>IFERROR(__xludf.DUMMYFUNCTION("""COMPUTED_VALUE"""),"-")</f>
        <v>-</v>
      </c>
      <c r="G2471" s="238" t="str">
        <f>IFERROR(__xludf.DUMMYFUNCTION("""COMPUTED_VALUE"""),"-")</f>
        <v>-</v>
      </c>
      <c r="H2471" s="238" t="str">
        <f>IFERROR(__xludf.DUMMYFUNCTION("""COMPUTED_VALUE"""),"-")</f>
        <v>-</v>
      </c>
      <c r="I2471" s="237" t="str">
        <f t="shared" si="1"/>
        <v>Dentro</v>
      </c>
      <c r="J2471" s="239" t="e">
        <v>#VALUE!</v>
      </c>
    </row>
    <row r="2472">
      <c r="A2472" s="234" t="s">
        <v>214</v>
      </c>
      <c r="B2472" s="234" t="str">
        <f>IFERROR(__xludf.DUMMYFUNCTION("""COMPUTED_VALUE"""),"Fanout Desconhecido")</f>
        <v>Fanout Desconhecido</v>
      </c>
      <c r="C2472" s="234" t="str">
        <f>IFERROR(__xludf.DUMMYFUNCTION("""COMPUTED_VALUE"""),"-")</f>
        <v>-</v>
      </c>
      <c r="D2472" s="234">
        <f>IFERROR(__xludf.DUMMYFUNCTION("""COMPUTED_VALUE"""),33.0)</f>
        <v>33</v>
      </c>
      <c r="E2472" s="237" t="str">
        <f>IFERROR(__xludf.DUMMYFUNCTION("""COMPUTED_VALUE"""),"LT0PCC01TQHU1")</f>
        <v>LT0PCC01TQHU1</v>
      </c>
      <c r="F2472" s="238" t="str">
        <f>IFERROR(__xludf.DUMMYFUNCTION("""COMPUTED_VALUE"""),"-")</f>
        <v>-</v>
      </c>
      <c r="G2472" s="238" t="str">
        <f>IFERROR(__xludf.DUMMYFUNCTION("""COMPUTED_VALUE"""),"-")</f>
        <v>-</v>
      </c>
      <c r="H2472" s="238" t="str">
        <f>IFERROR(__xludf.DUMMYFUNCTION("""COMPUTED_VALUE"""),"-")</f>
        <v>-</v>
      </c>
      <c r="I2472" s="237" t="str">
        <f t="shared" si="1"/>
        <v>Dentro</v>
      </c>
      <c r="J2472" s="239" t="e">
        <v>#VALUE!</v>
      </c>
    </row>
    <row r="2473">
      <c r="A2473" s="234" t="s">
        <v>216</v>
      </c>
      <c r="B2473" s="234" t="str">
        <f>IFERROR(__xludf.DUMMYFUNCTION("""COMPUTED_VALUE"""),"Fanout Desconhecido")</f>
        <v>Fanout Desconhecido</v>
      </c>
      <c r="C2473" s="234" t="str">
        <f>IFERROR(__xludf.DUMMYFUNCTION("""COMPUTED_VALUE"""),"-")</f>
        <v>-</v>
      </c>
      <c r="D2473" s="234"/>
      <c r="E2473" s="237" t="str">
        <f>IFERROR(__xludf.DUMMYFUNCTION("""COMPUTED_VALUE"""),"LT0PCC01TO5C1")</f>
        <v>LT0PCC01TO5C1</v>
      </c>
      <c r="F2473" s="238" t="str">
        <f>IFERROR(__xludf.DUMMYFUNCTION("""COMPUTED_VALUE"""),"-")</f>
        <v>-</v>
      </c>
      <c r="G2473" s="238" t="str">
        <f>IFERROR(__xludf.DUMMYFUNCTION("""COMPUTED_VALUE"""),"-")</f>
        <v>-</v>
      </c>
      <c r="H2473" s="238" t="str">
        <f>IFERROR(__xludf.DUMMYFUNCTION("""COMPUTED_VALUE"""),"-")</f>
        <v>-</v>
      </c>
      <c r="I2473" s="237" t="str">
        <f t="shared" si="1"/>
        <v>Dentro</v>
      </c>
      <c r="J2473" s="239" t="e">
        <v>#VALUE!</v>
      </c>
    </row>
    <row r="2474">
      <c r="A2474" s="234" t="s">
        <v>4043</v>
      </c>
      <c r="B2474" s="234" t="str">
        <f>IFERROR(__xludf.DUMMYFUNCTION("""COMPUTED_VALUE"""),"Fanout Desconhecido")</f>
        <v>Fanout Desconhecido</v>
      </c>
      <c r="C2474" s="234" t="str">
        <f>IFERROR(__xludf.DUMMYFUNCTION("""COMPUTED_VALUE"""),"-")</f>
        <v>-</v>
      </c>
      <c r="D2474" s="234">
        <f>IFERROR(__xludf.DUMMYFUNCTION("""COMPUTED_VALUE"""),26.0)</f>
        <v>26</v>
      </c>
      <c r="E2474" s="237" t="str">
        <f>IFERROR(__xludf.DUMMYFUNCTION("""COMPUTED_VALUE"""),"LT0PCC01TQID1")</f>
        <v>LT0PCC01TQID1</v>
      </c>
      <c r="F2474" s="234"/>
      <c r="G2474" s="238" t="str">
        <f>IFERROR(__xludf.DUMMYFUNCTION("""COMPUTED_VALUE"""),"-")</f>
        <v>-</v>
      </c>
      <c r="H2474" s="238" t="str">
        <f>IFERROR(__xludf.DUMMYFUNCTION("""COMPUTED_VALUE"""),"-")</f>
        <v>-</v>
      </c>
      <c r="I2474" s="237" t="str">
        <f t="shared" si="1"/>
        <v>Dentro</v>
      </c>
      <c r="J2474" s="239" t="e">
        <v>#VALUE!</v>
      </c>
    </row>
    <row r="2475">
      <c r="A2475" s="234" t="s">
        <v>220</v>
      </c>
      <c r="B2475" s="234" t="str">
        <f>IFERROR(__xludf.DUMMYFUNCTION("""COMPUTED_VALUE"""),"Fanout Desconhecido")</f>
        <v>Fanout Desconhecido</v>
      </c>
      <c r="C2475" s="234" t="str">
        <f>IFERROR(__xludf.DUMMYFUNCTION("""COMPUTED_VALUE"""),"-")</f>
        <v>-</v>
      </c>
      <c r="D2475" s="234">
        <f>IFERROR(__xludf.DUMMYFUNCTION("""COMPUTED_VALUE"""),14.0)</f>
        <v>14</v>
      </c>
      <c r="E2475" s="237" t="str">
        <f>IFERROR(__xludf.DUMMYFUNCTION("""COMPUTED_VALUE"""),"LT0PCC01TNRI1")</f>
        <v>LT0PCC01TNRI1</v>
      </c>
      <c r="F2475" s="238" t="str">
        <f>IFERROR(__xludf.DUMMYFUNCTION("""COMPUTED_VALUE"""),"-")</f>
        <v>-</v>
      </c>
      <c r="G2475" s="238" t="str">
        <f>IFERROR(__xludf.DUMMYFUNCTION("""COMPUTED_VALUE"""),"-")</f>
        <v>-</v>
      </c>
      <c r="H2475" s="238" t="str">
        <f>IFERROR(__xludf.DUMMYFUNCTION("""COMPUTED_VALUE"""),"-")</f>
        <v>-</v>
      </c>
      <c r="I2475" s="237" t="str">
        <f t="shared" si="1"/>
        <v>Dentro</v>
      </c>
      <c r="J2475" s="239" t="e">
        <v>#VALUE!</v>
      </c>
    </row>
    <row r="2476">
      <c r="A2476" s="234" t="s">
        <v>204</v>
      </c>
      <c r="B2476" s="234" t="str">
        <f>IFERROR(__xludf.DUMMYFUNCTION("""COMPUTED_VALUE"""),"Fanout Desconhecido")</f>
        <v>Fanout Desconhecido</v>
      </c>
      <c r="C2476" s="234" t="str">
        <f>IFERROR(__xludf.DUMMYFUNCTION("""COMPUTED_VALUE"""),"-")</f>
        <v>-</v>
      </c>
      <c r="D2476" s="234">
        <f>IFERROR(__xludf.DUMMYFUNCTION("""COMPUTED_VALUE"""),48.0)</f>
        <v>48</v>
      </c>
      <c r="E2476" s="237" t="str">
        <f>IFERROR(__xludf.DUMMYFUNCTION("""COMPUTED_VALUE"""),"LT0PCB01TNZ83")</f>
        <v>LT0PCB01TNZ83</v>
      </c>
      <c r="F2476" s="238" t="str">
        <f>IFERROR(__xludf.DUMMYFUNCTION("""COMPUTED_VALUE"""),"-")</f>
        <v>-</v>
      </c>
      <c r="G2476" s="238" t="str">
        <f>IFERROR(__xludf.DUMMYFUNCTION("""COMPUTED_VALUE"""),"-")</f>
        <v>-</v>
      </c>
      <c r="H2476" s="238" t="str">
        <f>IFERROR(__xludf.DUMMYFUNCTION("""COMPUTED_VALUE"""),"-")</f>
        <v>-</v>
      </c>
      <c r="I2476" s="237" t="str">
        <f t="shared" si="1"/>
        <v>Dentro</v>
      </c>
      <c r="J2476" s="239" t="e">
        <v>#VALUE!</v>
      </c>
    </row>
    <row r="2477">
      <c r="A2477" s="234" t="s">
        <v>210</v>
      </c>
      <c r="B2477" s="234" t="str">
        <f>IFERROR(__xludf.DUMMYFUNCTION("""COMPUTED_VALUE"""),"Fanout Desconhecido")</f>
        <v>Fanout Desconhecido</v>
      </c>
      <c r="C2477" s="234" t="str">
        <f>IFERROR(__xludf.DUMMYFUNCTION("""COMPUTED_VALUE"""),"-")</f>
        <v>-</v>
      </c>
      <c r="D2477" s="234"/>
      <c r="E2477" s="237" t="str">
        <f>IFERROR(__xludf.DUMMYFUNCTION("""COMPUTED_VALUE"""),"LT0PCC01TP421")</f>
        <v>LT0PCC01TP421</v>
      </c>
      <c r="F2477" s="238" t="str">
        <f>IFERROR(__xludf.DUMMYFUNCTION("""COMPUTED_VALUE"""),"-")</f>
        <v>-</v>
      </c>
      <c r="G2477" s="238" t="str">
        <f>IFERROR(__xludf.DUMMYFUNCTION("""COMPUTED_VALUE"""),"-")</f>
        <v>-</v>
      </c>
      <c r="H2477" s="238" t="str">
        <f>IFERROR(__xludf.DUMMYFUNCTION("""COMPUTED_VALUE"""),"-")</f>
        <v>-</v>
      </c>
      <c r="I2477" s="237" t="str">
        <f t="shared" si="1"/>
        <v>Dentro</v>
      </c>
      <c r="J2477" s="239" t="e">
        <v>#VALUE!</v>
      </c>
    </row>
    <row r="2478">
      <c r="A2478" s="234" t="s">
        <v>206</v>
      </c>
      <c r="B2478" s="234" t="str">
        <f>IFERROR(__xludf.DUMMYFUNCTION("""COMPUTED_VALUE"""),"Fanout Desconhecido")</f>
        <v>Fanout Desconhecido</v>
      </c>
      <c r="C2478" s="234" t="str">
        <f>IFERROR(__xludf.DUMMYFUNCTION("""COMPUTED_VALUE"""),"-")</f>
        <v>-</v>
      </c>
      <c r="D2478" s="234"/>
      <c r="E2478" s="237" t="str">
        <f>IFERROR(__xludf.DUMMYFUNCTION("""COMPUTED_VALUE"""),"LT0PCB01TO1K2")</f>
        <v>LT0PCB01TO1K2</v>
      </c>
      <c r="F2478" s="238" t="str">
        <f>IFERROR(__xludf.DUMMYFUNCTION("""COMPUTED_VALUE"""),"-")</f>
        <v>-</v>
      </c>
      <c r="G2478" s="238" t="str">
        <f>IFERROR(__xludf.DUMMYFUNCTION("""COMPUTED_VALUE"""),"-")</f>
        <v>-</v>
      </c>
      <c r="H2478" s="238" t="str">
        <f>IFERROR(__xludf.DUMMYFUNCTION("""COMPUTED_VALUE"""),"-")</f>
        <v>-</v>
      </c>
      <c r="I2478" s="237" t="str">
        <f t="shared" si="1"/>
        <v>Dentro</v>
      </c>
      <c r="J2478" s="239" t="e">
        <v>#VALUE!</v>
      </c>
    </row>
    <row r="2479">
      <c r="A2479" s="234" t="s">
        <v>219</v>
      </c>
      <c r="B2479" s="234" t="str">
        <f>IFERROR(__xludf.DUMMYFUNCTION("""COMPUTED_VALUE"""),"Fanout Desconhecido")</f>
        <v>Fanout Desconhecido</v>
      </c>
      <c r="C2479" s="234" t="str">
        <f>IFERROR(__xludf.DUMMYFUNCTION("""COMPUTED_VALUE"""),"-")</f>
        <v>-</v>
      </c>
      <c r="D2479" s="234">
        <f>IFERROR(__xludf.DUMMYFUNCTION("""COMPUTED_VALUE"""),88.0)</f>
        <v>88</v>
      </c>
      <c r="E2479" s="237" t="str">
        <f>IFERROR(__xludf.DUMMYFUNCTION("""COMPUTED_VALUE"""),"LT0PCC01TVN73")</f>
        <v>LT0PCC01TVN73</v>
      </c>
      <c r="F2479" s="238" t="str">
        <f>IFERROR(__xludf.DUMMYFUNCTION("""COMPUTED_VALUE"""),"-")</f>
        <v>-</v>
      </c>
      <c r="G2479" s="238" t="str">
        <f>IFERROR(__xludf.DUMMYFUNCTION("""COMPUTED_VALUE"""),"-")</f>
        <v>-</v>
      </c>
      <c r="H2479" s="238" t="str">
        <f>IFERROR(__xludf.DUMMYFUNCTION("""COMPUTED_VALUE"""),"-")</f>
        <v>-</v>
      </c>
      <c r="I2479" s="237" t="str">
        <f t="shared" si="1"/>
        <v>Dentro</v>
      </c>
      <c r="J2479" s="239" t="e">
        <v>#VALUE!</v>
      </c>
    </row>
    <row r="2480">
      <c r="A2480" s="234" t="s">
        <v>217</v>
      </c>
      <c r="B2480" s="234" t="str">
        <f>IFERROR(__xludf.DUMMYFUNCTION("""COMPUTED_VALUE"""),"Fanout Desconhecido")</f>
        <v>Fanout Desconhecido</v>
      </c>
      <c r="C2480" s="234" t="str">
        <f>IFERROR(__xludf.DUMMYFUNCTION("""COMPUTED_VALUE"""),"-")</f>
        <v>-</v>
      </c>
      <c r="D2480" s="234">
        <f>IFERROR(__xludf.DUMMYFUNCTION("""COMPUTED_VALUE"""),87.0)</f>
        <v>87</v>
      </c>
      <c r="E2480" s="237" t="str">
        <f>IFERROR(__xludf.DUMMYFUNCTION("""COMPUTED_VALUE"""),"LT0PCC01TVXL3")</f>
        <v>LT0PCC01TVXL3</v>
      </c>
      <c r="F2480" s="238" t="str">
        <f>IFERROR(__xludf.DUMMYFUNCTION("""COMPUTED_VALUE"""),"-")</f>
        <v>-</v>
      </c>
      <c r="G2480" s="238" t="str">
        <f>IFERROR(__xludf.DUMMYFUNCTION("""COMPUTED_VALUE"""),"-")</f>
        <v>-</v>
      </c>
      <c r="H2480" s="238" t="str">
        <f>IFERROR(__xludf.DUMMYFUNCTION("""COMPUTED_VALUE"""),"-")</f>
        <v>-</v>
      </c>
      <c r="I2480" s="237" t="str">
        <f t="shared" si="1"/>
        <v>Dentro</v>
      </c>
      <c r="J2480" s="239">
        <v>119.99999999301508</v>
      </c>
    </row>
    <row r="2481">
      <c r="A2481" s="234" t="s">
        <v>4044</v>
      </c>
      <c r="B2481" s="234" t="str">
        <f>IFERROR(__xludf.DUMMYFUNCTION("""COMPUTED_VALUE"""),"SoC_SP_Cravinhos")</f>
        <v>SoC_SP_Cravinhos</v>
      </c>
      <c r="C2481" s="234" t="str">
        <f>IFERROR(__xludf.DUMMYFUNCTION("""COMPUTED_VALUE"""),"SOC-SP5")</f>
        <v>SOC-SP5</v>
      </c>
      <c r="D2481" s="234">
        <f>IFERROR(__xludf.DUMMYFUNCTION("""COMPUTED_VALUE"""),49.0)</f>
        <v>49</v>
      </c>
      <c r="E2481" s="237" t="str">
        <f>IFERROR(__xludf.DUMMYFUNCTION("""COMPUTED_VALUE"""),"LT0PCC01TO201")</f>
        <v>LT0PCC01TO201</v>
      </c>
      <c r="F2481" s="238" t="str">
        <f>IFERROR(__xludf.DUMMYFUNCTION("""COMPUTED_VALUE"""),"EGK8J94,FUR5I52")</f>
        <v>EGK8J94,FUR5I52</v>
      </c>
      <c r="G2481" s="238">
        <f>IFERROR(__xludf.DUMMYFUNCTION("""COMPUTED_VALUE"""),46003.875)</f>
        <v>46003.875</v>
      </c>
      <c r="H2481" s="238">
        <f>IFERROR(__xludf.DUMMYFUNCTION("""COMPUTED_VALUE"""),46003.95833333333)</f>
        <v>46003.95833</v>
      </c>
      <c r="I2481" s="237" t="str">
        <f t="shared" si="1"/>
        <v>Fora</v>
      </c>
      <c r="J2481" s="239">
        <v>120.00000001396984</v>
      </c>
    </row>
    <row r="2482">
      <c r="A2482" s="234" t="s">
        <v>4045</v>
      </c>
      <c r="B2482" s="234" t="str">
        <f>IFERROR(__xludf.DUMMYFUNCTION("""COMPUTED_VALUE"""),"LM Hub_SP_Jurubatuba")</f>
        <v>LM Hub_SP_Jurubatuba</v>
      </c>
      <c r="C2482" s="234" t="str">
        <f>IFERROR(__xludf.DUMMYFUNCTION("""COMPUTED_VALUE"""),"HUB-LSP-16")</f>
        <v>HUB-LSP-16</v>
      </c>
      <c r="D2482" s="234">
        <f>IFERROR(__xludf.DUMMYFUNCTION("""COMPUTED_VALUE"""),18.0)</f>
        <v>18</v>
      </c>
      <c r="E2482" s="237" t="str">
        <f>IFERROR(__xludf.DUMMYFUNCTION("""COMPUTED_VALUE"""),"LT0PCC01TO491")</f>
        <v>LT0PCC01TO491</v>
      </c>
      <c r="F2482" s="238" t="str">
        <f>IFERROR(__xludf.DUMMYFUNCTION("""COMPUTED_VALUE"""),"ISW3H16,FVD1B93")</f>
        <v>ISW3H16,FVD1B93</v>
      </c>
      <c r="G2482" s="238">
        <f>IFERROR(__xludf.DUMMYFUNCTION("""COMPUTED_VALUE"""),46003.89583333333)</f>
        <v>46003.89583</v>
      </c>
      <c r="H2482" s="238">
        <f>IFERROR(__xludf.DUMMYFUNCTION("""COMPUTED_VALUE"""),46003.97916666667)</f>
        <v>46003.97917</v>
      </c>
      <c r="I2482" s="237" t="str">
        <f t="shared" si="1"/>
        <v>Fora</v>
      </c>
      <c r="J2482" s="239">
        <v>120.00000001396984</v>
      </c>
    </row>
    <row r="2483">
      <c r="A2483" s="234" t="s">
        <v>4046</v>
      </c>
      <c r="B2483" s="234" t="str">
        <f>IFERROR(__xludf.DUMMYFUNCTION("""COMPUTED_VALUE"""),"LM Hub_SP_Mogi das Cruzes_Jund")</f>
        <v>LM Hub_SP_Mogi das Cruzes_Jund</v>
      </c>
      <c r="C2483" s="234" t="str">
        <f>IFERROR(__xludf.DUMMYFUNCTION("""COMPUTED_VALUE"""),"HUB-LSP-78")</f>
        <v>HUB-LSP-78</v>
      </c>
      <c r="D2483" s="234"/>
      <c r="E2483" s="237" t="str">
        <f>IFERROR(__xludf.DUMMYFUNCTION("""COMPUTED_VALUE"""),"LT0PCC01TSLX1")</f>
        <v>LT0PCC01TSLX1</v>
      </c>
      <c r="F2483" s="238" t="str">
        <f>IFERROR(__xludf.DUMMYFUNCTION("""COMPUTED_VALUE"""),"DPR5J10,FVZ1I26")</f>
        <v>DPR5J10,FVZ1I26</v>
      </c>
      <c r="G2483" s="238">
        <f>IFERROR(__xludf.DUMMYFUNCTION("""COMPUTED_VALUE"""),46003.89583333333)</f>
        <v>46003.89583</v>
      </c>
      <c r="H2483" s="238">
        <f>IFERROR(__xludf.DUMMYFUNCTION("""COMPUTED_VALUE"""),46003.97916666667)</f>
        <v>46003.97917</v>
      </c>
      <c r="I2483" s="237" t="str">
        <f t="shared" si="1"/>
        <v>Fora</v>
      </c>
      <c r="J2483" s="239">
        <v>120.00000001396984</v>
      </c>
    </row>
    <row r="2484">
      <c r="A2484" s="234" t="s">
        <v>4047</v>
      </c>
      <c r="B2484" s="234" t="str">
        <f>IFERROR(__xludf.DUMMYFUNCTION("""COMPUTED_VALUE"""),"LM Hub_SP_Santos_Praia Grande")</f>
        <v>LM Hub_SP_Santos_Praia Grande</v>
      </c>
      <c r="C2484" s="234" t="str">
        <f>IFERROR(__xludf.DUMMYFUNCTION("""COMPUTED_VALUE"""),"HUB-LSP-09")</f>
        <v>HUB-LSP-09</v>
      </c>
      <c r="D2484" s="234">
        <f>IFERROR(__xludf.DUMMYFUNCTION("""COMPUTED_VALUE"""),26.0)</f>
        <v>26</v>
      </c>
      <c r="E2484" s="237" t="str">
        <f>IFERROR(__xludf.DUMMYFUNCTION("""COMPUTED_VALUE"""),"LT0PCC01TO9W1")</f>
        <v>LT0PCC01TO9W1</v>
      </c>
      <c r="F2484" s="238" t="str">
        <f>IFERROR(__xludf.DUMMYFUNCTION("""COMPUTED_VALUE"""),"FNY6B26,FZQ3G24")</f>
        <v>FNY6B26,FZQ3G24</v>
      </c>
      <c r="G2484" s="238">
        <f>IFERROR(__xludf.DUMMYFUNCTION("""COMPUTED_VALUE"""),46003.89583333333)</f>
        <v>46003.89583</v>
      </c>
      <c r="H2484" s="238">
        <f>IFERROR(__xludf.DUMMYFUNCTION("""COMPUTED_VALUE"""),46003.97916666667)</f>
        <v>46003.97917</v>
      </c>
      <c r="I2484" s="237" t="str">
        <f t="shared" si="1"/>
        <v>Fora</v>
      </c>
      <c r="J2484" s="239">
        <v>120.00000001396984</v>
      </c>
    </row>
    <row r="2485">
      <c r="A2485" s="234" t="s">
        <v>4048</v>
      </c>
      <c r="B2485" s="234" t="str">
        <f>IFERROR(__xludf.DUMMYFUNCTION("""COMPUTED_VALUE"""),"LM Hub_SP_São José dos Campos")</f>
        <v>LM Hub_SP_São José dos Campos</v>
      </c>
      <c r="C2485" s="234" t="str">
        <f>IFERROR(__xludf.DUMMYFUNCTION("""COMPUTED_VALUE"""),"HUB-LSP-04")</f>
        <v>HUB-LSP-04</v>
      </c>
      <c r="D2485" s="234"/>
      <c r="E2485" s="237" t="str">
        <f>IFERROR(__xludf.DUMMYFUNCTION("""COMPUTED_VALUE"""),"LT0PCC01TOC41")</f>
        <v>LT0PCC01TOC41</v>
      </c>
      <c r="F2485" s="238" t="str">
        <f>IFERROR(__xludf.DUMMYFUNCTION("""COMPUTED_VALUE"""),"TBX6D09")</f>
        <v>TBX6D09</v>
      </c>
      <c r="G2485" s="238">
        <f>IFERROR(__xludf.DUMMYFUNCTION("""COMPUTED_VALUE"""),46003.89583333333)</f>
        <v>46003.89583</v>
      </c>
      <c r="H2485" s="238">
        <f>IFERROR(__xludf.DUMMYFUNCTION("""COMPUTED_VALUE"""),46003.97916666667)</f>
        <v>46003.97917</v>
      </c>
      <c r="I2485" s="237" t="str">
        <f t="shared" si="1"/>
        <v>Fora</v>
      </c>
      <c r="J2485" s="239">
        <v>120.00000001396984</v>
      </c>
    </row>
    <row r="2486">
      <c r="A2486" s="234" t="s">
        <v>4049</v>
      </c>
      <c r="B2486" s="234" t="str">
        <f>IFERROR(__xludf.DUMMYFUNCTION("""COMPUTED_VALUE"""),"LM Hub_SP_São Paulo_Lapa")</f>
        <v>LM Hub_SP_São Paulo_Lapa</v>
      </c>
      <c r="C2486" s="234" t="str">
        <f>IFERROR(__xludf.DUMMYFUNCTION("""COMPUTED_VALUE"""),"HUB-LSP-15")</f>
        <v>HUB-LSP-15</v>
      </c>
      <c r="D2486" s="234"/>
      <c r="E2486" s="237" t="str">
        <f>IFERROR(__xludf.DUMMYFUNCTION("""COMPUTED_VALUE"""),"LT0PCC01TO401")</f>
        <v>LT0PCC01TO401</v>
      </c>
      <c r="F2486" s="234"/>
      <c r="G2486" s="238">
        <f>IFERROR(__xludf.DUMMYFUNCTION("""COMPUTED_VALUE"""),46003.89583333333)</f>
        <v>46003.89583</v>
      </c>
      <c r="H2486" s="238">
        <f>IFERROR(__xludf.DUMMYFUNCTION("""COMPUTED_VALUE"""),46003.97916666667)</f>
        <v>46003.97917</v>
      </c>
      <c r="I2486" s="237" t="str">
        <f t="shared" si="1"/>
        <v>Fora</v>
      </c>
      <c r="J2486" s="239">
        <v>120.00000001396984</v>
      </c>
    </row>
    <row r="2487">
      <c r="A2487" s="234" t="s">
        <v>4050</v>
      </c>
      <c r="B2487" s="234" t="str">
        <f>IFERROR(__xludf.DUMMYFUNCTION("""COMPUTED_VALUE"""),"SoC_SP_São Bernardo do Campo")</f>
        <v>SoC_SP_São Bernardo do Campo</v>
      </c>
      <c r="C2487" s="234" t="str">
        <f>IFERROR(__xludf.DUMMYFUNCTION("""COMPUTED_VALUE"""),"SOC-SP8")</f>
        <v>SOC-SP8</v>
      </c>
      <c r="D2487" s="234">
        <f>IFERROR(__xludf.DUMMYFUNCTION("""COMPUTED_VALUE"""),32.0)</f>
        <v>32</v>
      </c>
      <c r="E2487" s="237" t="str">
        <f>IFERROR(__xludf.DUMMYFUNCTION("""COMPUTED_VALUE"""),"LT0PCC01TO6U1")</f>
        <v>LT0PCC01TO6U1</v>
      </c>
      <c r="F2487" s="238" t="str">
        <f>IFERROR(__xludf.DUMMYFUNCTION("""COMPUTED_VALUE"""),"BTZ0G54,ELW8C94")</f>
        <v>BTZ0G54,ELW8C94</v>
      </c>
      <c r="G2487" s="238">
        <f>IFERROR(__xludf.DUMMYFUNCTION("""COMPUTED_VALUE"""),46003.89583333333)</f>
        <v>46003.89583</v>
      </c>
      <c r="H2487" s="238">
        <f>IFERROR(__xludf.DUMMYFUNCTION("""COMPUTED_VALUE"""),46003.97916666667)</f>
        <v>46003.97917</v>
      </c>
      <c r="I2487" s="237" t="str">
        <f t="shared" si="1"/>
        <v>Fora</v>
      </c>
      <c r="J2487" s="239">
        <v>118.99999998975545</v>
      </c>
    </row>
    <row r="2488">
      <c r="A2488" s="234" t="s">
        <v>4051</v>
      </c>
      <c r="B2488" s="234" t="str">
        <f>IFERROR(__xludf.DUMMYFUNCTION("""COMPUTED_VALUE"""),"LM Hub_SP_Guarujá")</f>
        <v>LM Hub_SP_Guarujá</v>
      </c>
      <c r="C2488" s="234" t="str">
        <f>IFERROR(__xludf.DUMMYFUNCTION("""COMPUTED_VALUE"""),"HUB-LSP-06")</f>
        <v>HUB-LSP-06</v>
      </c>
      <c r="D2488" s="234">
        <f>IFERROR(__xludf.DUMMYFUNCTION("""COMPUTED_VALUE"""),5.0)</f>
        <v>5</v>
      </c>
      <c r="E2488" s="237" t="str">
        <f>IFERROR(__xludf.DUMMYFUNCTION("""COMPUTED_VALUE"""),"LT0PCC01TO8I1")</f>
        <v>LT0PCC01TO8I1</v>
      </c>
      <c r="F2488" s="238" t="str">
        <f>IFERROR(__xludf.DUMMYFUNCTION("""COMPUTED_VALUE"""),"TJN5H17")</f>
        <v>TJN5H17</v>
      </c>
      <c r="G2488" s="238">
        <f>IFERROR(__xludf.DUMMYFUNCTION("""COMPUTED_VALUE"""),46003.91666666667)</f>
        <v>46003.91667</v>
      </c>
      <c r="H2488" s="238">
        <f>IFERROR(__xludf.DUMMYFUNCTION("""COMPUTED_VALUE"""),46003.99930555555)</f>
        <v>46003.99931</v>
      </c>
      <c r="I2488" s="237" t="str">
        <f t="shared" si="1"/>
        <v>Fora</v>
      </c>
      <c r="J2488" s="239">
        <v>119.99999999301508</v>
      </c>
    </row>
    <row r="2489">
      <c r="A2489" s="234" t="s">
        <v>4052</v>
      </c>
      <c r="B2489" s="234" t="str">
        <f>IFERROR(__xludf.DUMMYFUNCTION("""COMPUTED_VALUE"""),"LM Hub_SP_Artur Alvim")</f>
        <v>LM Hub_SP_Artur Alvim</v>
      </c>
      <c r="C2489" s="234" t="str">
        <f>IFERROR(__xludf.DUMMYFUNCTION("""COMPUTED_VALUE"""),"HUB-LSP-07")</f>
        <v>HUB-LSP-07</v>
      </c>
      <c r="D2489" s="234">
        <f>IFERROR(__xludf.DUMMYFUNCTION("""COMPUTED_VALUE"""),13.0)</f>
        <v>13</v>
      </c>
      <c r="E2489" s="237" t="str">
        <f>IFERROR(__xludf.DUMMYFUNCTION("""COMPUTED_VALUE"""),"LT0PCC01TO3G1")</f>
        <v>LT0PCC01TO3G1</v>
      </c>
      <c r="F2489" s="238" t="str">
        <f>IFERROR(__xludf.DUMMYFUNCTION("""COMPUTED_VALUE"""),"EBS3J90,JXA3594")</f>
        <v>EBS3J90,JXA3594</v>
      </c>
      <c r="G2489" s="238">
        <f>IFERROR(__xludf.DUMMYFUNCTION("""COMPUTED_VALUE"""),46003.91666666667)</f>
        <v>46003.91667</v>
      </c>
      <c r="H2489" s="238">
        <f>IFERROR(__xludf.DUMMYFUNCTION("""COMPUTED_VALUE"""),46004.0)</f>
        <v>46004</v>
      </c>
      <c r="I2489" s="237" t="str">
        <f t="shared" si="1"/>
        <v>Fora</v>
      </c>
      <c r="J2489" s="239">
        <v>119.99999999301508</v>
      </c>
    </row>
    <row r="2490">
      <c r="A2490" s="234" t="s">
        <v>4053</v>
      </c>
      <c r="B2490" s="234" t="str">
        <f>IFERROR(__xludf.DUMMYFUNCTION("""COMPUTED_VALUE"""),"LM Hub_SP_Barueri_01")</f>
        <v>LM Hub_SP_Barueri_01</v>
      </c>
      <c r="C2490" s="234" t="str">
        <f>IFERROR(__xludf.DUMMYFUNCTION("""COMPUTED_VALUE"""),"HUB-LSP-81")</f>
        <v>HUB-LSP-81</v>
      </c>
      <c r="D2490" s="234">
        <f>IFERROR(__xludf.DUMMYFUNCTION("""COMPUTED_VALUE"""),8.0)</f>
        <v>8</v>
      </c>
      <c r="E2490" s="237" t="str">
        <f>IFERROR(__xludf.DUMMYFUNCTION("""COMPUTED_VALUE"""),"LT0PCC01TV961")</f>
        <v>LT0PCC01TV961</v>
      </c>
      <c r="F2490" s="238" t="str">
        <f>IFERROR(__xludf.DUMMYFUNCTION("""COMPUTED_VALUE"""),"FQB9D27,GGI8F52")</f>
        <v>FQB9D27,GGI8F52</v>
      </c>
      <c r="G2490" s="238">
        <f>IFERROR(__xludf.DUMMYFUNCTION("""COMPUTED_VALUE"""),46003.91666666667)</f>
        <v>46003.91667</v>
      </c>
      <c r="H2490" s="238">
        <f>IFERROR(__xludf.DUMMYFUNCTION("""COMPUTED_VALUE"""),46004.0)</f>
        <v>46004</v>
      </c>
      <c r="I2490" s="237" t="str">
        <f t="shared" si="1"/>
        <v>Fora</v>
      </c>
      <c r="J2490" s="239">
        <v>119.99999999301508</v>
      </c>
    </row>
    <row r="2491">
      <c r="A2491" s="234" t="s">
        <v>4054</v>
      </c>
      <c r="B2491" s="234" t="str">
        <f>IFERROR(__xludf.DUMMYFUNCTION("""COMPUTED_VALUE"""),"LM Hub_SP_Guarulhos")</f>
        <v>LM Hub_SP_Guarulhos</v>
      </c>
      <c r="C2491" s="234" t="str">
        <f>IFERROR(__xludf.DUMMYFUNCTION("""COMPUTED_VALUE"""),"HUB-LSP-77")</f>
        <v>HUB-LSP-77</v>
      </c>
      <c r="D2491" s="234">
        <f>IFERROR(__xludf.DUMMYFUNCTION("""COMPUTED_VALUE"""),25.0)</f>
        <v>25</v>
      </c>
      <c r="E2491" s="237" t="str">
        <f>IFERROR(__xludf.DUMMYFUNCTION("""COMPUTED_VALUE"""),"LT0PCC01TPOY1")</f>
        <v>LT0PCC01TPOY1</v>
      </c>
      <c r="F2491" s="238" t="str">
        <f>IFERROR(__xludf.DUMMYFUNCTION("""COMPUTED_VALUE"""),"FDB5H45,DBC4G17")</f>
        <v>FDB5H45,DBC4G17</v>
      </c>
      <c r="G2491" s="238">
        <f>IFERROR(__xludf.DUMMYFUNCTION("""COMPUTED_VALUE"""),46003.91666666667)</f>
        <v>46003.91667</v>
      </c>
      <c r="H2491" s="238">
        <f>IFERROR(__xludf.DUMMYFUNCTION("""COMPUTED_VALUE"""),46004.0)</f>
        <v>46004</v>
      </c>
      <c r="I2491" s="237" t="str">
        <f t="shared" si="1"/>
        <v>Fora</v>
      </c>
      <c r="J2491" s="239">
        <v>119.99999999301508</v>
      </c>
    </row>
    <row r="2492">
      <c r="A2492" s="234" t="s">
        <v>4055</v>
      </c>
      <c r="B2492" s="234" t="str">
        <f>IFERROR(__xludf.DUMMYFUNCTION("""COMPUTED_VALUE"""),"LM Hub_SP_Itapevi")</f>
        <v>LM Hub_SP_Itapevi</v>
      </c>
      <c r="C2492" s="234" t="str">
        <f>IFERROR(__xludf.DUMMYFUNCTION("""COMPUTED_VALUE"""),"HUB-LSP-41")</f>
        <v>HUB-LSP-41</v>
      </c>
      <c r="D2492" s="234">
        <f>IFERROR(__xludf.DUMMYFUNCTION("""COMPUTED_VALUE"""),19.0)</f>
        <v>19</v>
      </c>
      <c r="E2492" s="237" t="str">
        <f>IFERROR(__xludf.DUMMYFUNCTION("""COMPUTED_VALUE"""),"LT0PCC01TO5O1")</f>
        <v>LT0PCC01TO5O1</v>
      </c>
      <c r="F2492" s="238" t="str">
        <f>IFERROR(__xludf.DUMMYFUNCTION("""COMPUTED_VALUE"""),"DPR5J10,FVZ1I26")</f>
        <v>DPR5J10,FVZ1I26</v>
      </c>
      <c r="G2492" s="238">
        <f>IFERROR(__xludf.DUMMYFUNCTION("""COMPUTED_VALUE"""),46003.91666666667)</f>
        <v>46003.91667</v>
      </c>
      <c r="H2492" s="238">
        <f>IFERROR(__xludf.DUMMYFUNCTION("""COMPUTED_VALUE"""),46004.0)</f>
        <v>46004</v>
      </c>
      <c r="I2492" s="237" t="str">
        <f t="shared" si="1"/>
        <v>Fora</v>
      </c>
      <c r="J2492" s="239">
        <v>119.99999999301508</v>
      </c>
    </row>
    <row r="2493">
      <c r="A2493" s="234" t="s">
        <v>4056</v>
      </c>
      <c r="B2493" s="234" t="str">
        <f>IFERROR(__xludf.DUMMYFUNCTION("""COMPUTED_VALUE"""),"LM Hub_SP_Limeira_Campo Belo")</f>
        <v>LM Hub_SP_Limeira_Campo Belo</v>
      </c>
      <c r="C2493" s="234" t="str">
        <f>IFERROR(__xludf.DUMMYFUNCTION("""COMPUTED_VALUE"""),"HUB-LSP-24")</f>
        <v>HUB-LSP-24</v>
      </c>
      <c r="D2493" s="234">
        <f>IFERROR(__xludf.DUMMYFUNCTION("""COMPUTED_VALUE"""),36.0)</f>
        <v>36</v>
      </c>
      <c r="E2493" s="237" t="str">
        <f>IFERROR(__xludf.DUMMYFUNCTION("""COMPUTED_VALUE"""),"LT0PCC01TOB81")</f>
        <v>LT0PCC01TOB81</v>
      </c>
      <c r="F2493" s="238" t="str">
        <f>IFERROR(__xludf.DUMMYFUNCTION("""COMPUTED_VALUE"""),"SWQ6D05,SWG3J97")</f>
        <v>SWQ6D05,SWG3J97</v>
      </c>
      <c r="G2493" s="238">
        <f>IFERROR(__xludf.DUMMYFUNCTION("""COMPUTED_VALUE"""),46003.91666666667)</f>
        <v>46003.91667</v>
      </c>
      <c r="H2493" s="238">
        <f>IFERROR(__xludf.DUMMYFUNCTION("""COMPUTED_VALUE"""),46004.0)</f>
        <v>46004</v>
      </c>
      <c r="I2493" s="237" t="str">
        <f t="shared" si="1"/>
        <v>Fora</v>
      </c>
      <c r="J2493" s="239">
        <v>119.99999999301508</v>
      </c>
    </row>
    <row r="2494">
      <c r="A2494" s="234" t="s">
        <v>4057</v>
      </c>
      <c r="B2494" s="234" t="str">
        <f>IFERROR(__xludf.DUMMYFUNCTION("""COMPUTED_VALUE"""),"LM Hub_SP_Mauá")</f>
        <v>LM Hub_SP_Mauá</v>
      </c>
      <c r="C2494" s="234" t="str">
        <f>IFERROR(__xludf.DUMMYFUNCTION("""COMPUTED_VALUE"""),"HUB-LSP-64")</f>
        <v>HUB-LSP-64</v>
      </c>
      <c r="D2494" s="234">
        <f>IFERROR(__xludf.DUMMYFUNCTION("""COMPUTED_VALUE"""),14.0)</f>
        <v>14</v>
      </c>
      <c r="E2494" s="237" t="str">
        <f>IFERROR(__xludf.DUMMYFUNCTION("""COMPUTED_VALUE"""),"LT0PCC01TO6B1")</f>
        <v>LT0PCC01TO6B1</v>
      </c>
      <c r="F2494" s="238" t="str">
        <f>IFERROR(__xludf.DUMMYFUNCTION("""COMPUTED_VALUE"""),"FQF6B98,DTA7802")</f>
        <v>FQF6B98,DTA7802</v>
      </c>
      <c r="G2494" s="238">
        <f>IFERROR(__xludf.DUMMYFUNCTION("""COMPUTED_VALUE"""),46003.91666666667)</f>
        <v>46003.91667</v>
      </c>
      <c r="H2494" s="238">
        <f>IFERROR(__xludf.DUMMYFUNCTION("""COMPUTED_VALUE"""),46004.0)</f>
        <v>46004</v>
      </c>
      <c r="I2494" s="237" t="str">
        <f t="shared" si="1"/>
        <v>Fora</v>
      </c>
      <c r="J2494" s="239">
        <v>119.99999999301508</v>
      </c>
    </row>
    <row r="2495">
      <c r="A2495" s="234" t="s">
        <v>4058</v>
      </c>
      <c r="B2495" s="234" t="str">
        <f>IFERROR(__xludf.DUMMYFUNCTION("""COMPUTED_VALUE"""),"LM Hub_SP_Osasco_02")</f>
        <v>LM Hub_SP_Osasco_02</v>
      </c>
      <c r="C2495" s="234" t="str">
        <f>IFERROR(__xludf.DUMMYFUNCTION("""COMPUTED_VALUE"""),"HUB-LSP-60")</f>
        <v>HUB-LSP-60</v>
      </c>
      <c r="D2495" s="234">
        <f>IFERROR(__xludf.DUMMYFUNCTION("""COMPUTED_VALUE"""),21.0)</f>
        <v>21</v>
      </c>
      <c r="E2495" s="237" t="str">
        <f>IFERROR(__xludf.DUMMYFUNCTION("""COMPUTED_VALUE"""),"LT0PCC01TO5X1")</f>
        <v>LT0PCC01TO5X1</v>
      </c>
      <c r="F2495" s="238" t="str">
        <f>IFERROR(__xludf.DUMMYFUNCTION("""COMPUTED_VALUE"""),"FEU6H63")</f>
        <v>FEU6H63</v>
      </c>
      <c r="G2495" s="238">
        <f>IFERROR(__xludf.DUMMYFUNCTION("""COMPUTED_VALUE"""),46003.91666666667)</f>
        <v>46003.91667</v>
      </c>
      <c r="H2495" s="238">
        <f>IFERROR(__xludf.DUMMYFUNCTION("""COMPUTED_VALUE"""),46004.0)</f>
        <v>46004</v>
      </c>
      <c r="I2495" s="237" t="str">
        <f t="shared" si="1"/>
        <v>Fora</v>
      </c>
      <c r="J2495" s="239">
        <v>119.99999999301508</v>
      </c>
    </row>
    <row r="2496">
      <c r="A2496" s="234" t="s">
        <v>4059</v>
      </c>
      <c r="B2496" s="234" t="str">
        <f>IFERROR(__xludf.DUMMYFUNCTION("""COMPUTED_VALUE"""),"LM Hub_SP_Santo André")</f>
        <v>LM Hub_SP_Santo André</v>
      </c>
      <c r="C2496" s="234" t="str">
        <f>IFERROR(__xludf.DUMMYFUNCTION("""COMPUTED_VALUE"""),"HUB-LSP-93")</f>
        <v>HUB-LSP-93</v>
      </c>
      <c r="D2496" s="234"/>
      <c r="E2496" s="237" t="str">
        <f>IFERROR(__xludf.DUMMYFUNCTION("""COMPUTED_VALUE"""),"LT0PCC01TSBN1")</f>
        <v>LT0PCC01TSBN1</v>
      </c>
      <c r="F2496" s="238" t="str">
        <f>IFERROR(__xludf.DUMMYFUNCTION("""COMPUTED_VALUE"""),"AUH5C55,AXE8E39")</f>
        <v>AUH5C55,AXE8E39</v>
      </c>
      <c r="G2496" s="238">
        <f>IFERROR(__xludf.DUMMYFUNCTION("""COMPUTED_VALUE"""),46003.91666666667)</f>
        <v>46003.91667</v>
      </c>
      <c r="H2496" s="238">
        <f>IFERROR(__xludf.DUMMYFUNCTION("""COMPUTED_VALUE"""),46004.0)</f>
        <v>46004</v>
      </c>
      <c r="I2496" s="237" t="str">
        <f t="shared" si="1"/>
        <v>Fora</v>
      </c>
      <c r="J2496" s="239">
        <v>119.99999999301508</v>
      </c>
    </row>
    <row r="2497">
      <c r="A2497" s="234" t="s">
        <v>4060</v>
      </c>
      <c r="B2497" s="234" t="str">
        <f>IFERROR(__xludf.DUMMYFUNCTION("""COMPUTED_VALUE"""),"LM Hub_SP_Santo André")</f>
        <v>LM Hub_SP_Santo André</v>
      </c>
      <c r="C2497" s="234" t="str">
        <f>IFERROR(__xludf.DUMMYFUNCTION("""COMPUTED_VALUE"""),"HUB-LSP-93")</f>
        <v>HUB-LSP-93</v>
      </c>
      <c r="D2497" s="234"/>
      <c r="E2497" s="237" t="str">
        <f>IFERROR(__xludf.DUMMYFUNCTION("""COMPUTED_VALUE"""),"LT0PCC01TSBP2")</f>
        <v>LT0PCC01TSBP2</v>
      </c>
      <c r="F2497" s="238" t="str">
        <f>IFERROR(__xludf.DUMMYFUNCTION("""COMPUTED_VALUE"""),"FXQ8H67,EZF5930")</f>
        <v>FXQ8H67,EZF5930</v>
      </c>
      <c r="G2497" s="238">
        <f>IFERROR(__xludf.DUMMYFUNCTION("""COMPUTED_VALUE"""),46003.91666666667)</f>
        <v>46003.91667</v>
      </c>
      <c r="H2497" s="238">
        <f>IFERROR(__xludf.DUMMYFUNCTION("""COMPUTED_VALUE"""),46004.0)</f>
        <v>46004</v>
      </c>
      <c r="I2497" s="237" t="str">
        <f t="shared" si="1"/>
        <v>Fora</v>
      </c>
      <c r="J2497" s="239">
        <v>119.99999999301508</v>
      </c>
    </row>
    <row r="2498">
      <c r="A2498" s="234" t="s">
        <v>4061</v>
      </c>
      <c r="B2498" s="234" t="str">
        <f>IFERROR(__xludf.DUMMYFUNCTION("""COMPUTED_VALUE"""),"LM Hub_SP_São José do Rio P")</f>
        <v>LM Hub_SP_São José do Rio P</v>
      </c>
      <c r="C2498" s="234" t="str">
        <f>IFERROR(__xludf.DUMMYFUNCTION("""COMPUTED_VALUE"""),"HUB-LSP-27")</f>
        <v>HUB-LSP-27</v>
      </c>
      <c r="D2498" s="234">
        <f>IFERROR(__xludf.DUMMYFUNCTION("""COMPUTED_VALUE"""),45.0)</f>
        <v>45</v>
      </c>
      <c r="E2498" s="237" t="str">
        <f>IFERROR(__xludf.DUMMYFUNCTION("""COMPUTED_VALUE"""),"LT0PCC01TTW11")</f>
        <v>LT0PCC01TTW11</v>
      </c>
      <c r="F2498" s="238" t="str">
        <f>IFERROR(__xludf.DUMMYFUNCTION("""COMPUTED_VALUE"""),"ELW1207,GAA6H32")</f>
        <v>ELW1207,GAA6H32</v>
      </c>
      <c r="G2498" s="238">
        <f>IFERROR(__xludf.DUMMYFUNCTION("""COMPUTED_VALUE"""),46003.91666666667)</f>
        <v>46003.91667</v>
      </c>
      <c r="H2498" s="238">
        <f>IFERROR(__xludf.DUMMYFUNCTION("""COMPUTED_VALUE"""),46004.0)</f>
        <v>46004</v>
      </c>
      <c r="I2498" s="237" t="str">
        <f t="shared" si="1"/>
        <v>Fora</v>
      </c>
      <c r="J2498" s="239">
        <v>119.99999999301508</v>
      </c>
    </row>
    <row r="2499">
      <c r="A2499" s="234" t="s">
        <v>4062</v>
      </c>
      <c r="B2499" s="234" t="str">
        <f>IFERROR(__xludf.DUMMYFUNCTION("""COMPUTED_VALUE"""),"SoC_PR_Curitiba")</f>
        <v>SoC_PR_Curitiba</v>
      </c>
      <c r="C2499" s="234" t="str">
        <f>IFERROR(__xludf.DUMMYFUNCTION("""COMPUTED_VALUE"""),"SOC-PR1")</f>
        <v>SOC-PR1</v>
      </c>
      <c r="D2499" s="234">
        <f>IFERROR(__xludf.DUMMYFUNCTION("""COMPUTED_VALUE"""),43.0)</f>
        <v>43</v>
      </c>
      <c r="E2499" s="237" t="str">
        <f>IFERROR(__xludf.DUMMYFUNCTION("""COMPUTED_VALUE"""),"LT1PCC01U6971")</f>
        <v>LT1PCC01U6971</v>
      </c>
      <c r="F2499" s="238" t="str">
        <f>IFERROR(__xludf.DUMMYFUNCTION("""COMPUTED_VALUE"""),"GBT4H16,QIU7605")</f>
        <v>GBT4H16,QIU7605</v>
      </c>
      <c r="G2499" s="238">
        <f>IFERROR(__xludf.DUMMYFUNCTION("""COMPUTED_VALUE"""),46003.91666666667)</f>
        <v>46003.91667</v>
      </c>
      <c r="H2499" s="238">
        <f>IFERROR(__xludf.DUMMYFUNCTION("""COMPUTED_VALUE"""),46004.0)</f>
        <v>46004</v>
      </c>
      <c r="I2499" s="237" t="str">
        <f t="shared" si="1"/>
        <v>Fora</v>
      </c>
      <c r="J2499" s="239">
        <v>119.99999999301508</v>
      </c>
    </row>
    <row r="2500">
      <c r="A2500" s="234" t="s">
        <v>4063</v>
      </c>
      <c r="B2500" s="234" t="str">
        <f>IFERROR(__xludf.DUMMYFUNCTION("""COMPUTED_VALUE"""),"SoC_SP_Guarulhos")</f>
        <v>SoC_SP_Guarulhos</v>
      </c>
      <c r="C2500" s="234" t="str">
        <f>IFERROR(__xludf.DUMMYFUNCTION("""COMPUTED_VALUE"""),"SOC-SP6")</f>
        <v>SOC-SP6</v>
      </c>
      <c r="D2500" s="234">
        <f>IFERROR(__xludf.DUMMYFUNCTION("""COMPUTED_VALUE"""),25.0)</f>
        <v>25</v>
      </c>
      <c r="E2500" s="237" t="str">
        <f>IFERROR(__xludf.DUMMYFUNCTION("""COMPUTED_VALUE"""),"LT1PCC01UK261")</f>
        <v>LT1PCC01UK261</v>
      </c>
      <c r="F2500" s="238" t="str">
        <f>IFERROR(__xludf.DUMMYFUNCTION("""COMPUTED_VALUE"""),"JYA9C60,CUG9G47")</f>
        <v>JYA9C60,CUG9G47</v>
      </c>
      <c r="G2500" s="238">
        <f>IFERROR(__xludf.DUMMYFUNCTION("""COMPUTED_VALUE"""),46003.91666666667)</f>
        <v>46003.91667</v>
      </c>
      <c r="H2500" s="238">
        <f>IFERROR(__xludf.DUMMYFUNCTION("""COMPUTED_VALUE"""),46004.0)</f>
        <v>46004</v>
      </c>
      <c r="I2500" s="237" t="str">
        <f t="shared" si="1"/>
        <v>Fora</v>
      </c>
      <c r="J2500" s="239">
        <v>119.99999999301508</v>
      </c>
    </row>
    <row r="2501">
      <c r="A2501" s="234" t="s">
        <v>4064</v>
      </c>
      <c r="B2501" s="234" t="str">
        <f>IFERROR(__xludf.DUMMYFUNCTION("""COMPUTED_VALUE"""),"LM Hub_SP_Parque Novo Mundo")</f>
        <v>LM Hub_SP_Parque Novo Mundo</v>
      </c>
      <c r="C2501" s="234" t="str">
        <f>IFERROR(__xludf.DUMMYFUNCTION("""COMPUTED_VALUE"""),"HUB-LSP-89")</f>
        <v>HUB-LSP-89</v>
      </c>
      <c r="D2501" s="234">
        <f>IFERROR(__xludf.DUMMYFUNCTION("""COMPUTED_VALUE"""),35.0)</f>
        <v>35</v>
      </c>
      <c r="E2501" s="237" t="str">
        <f>IFERROR(__xludf.DUMMYFUNCTION("""COMPUTED_VALUE"""),"LT0PCC01TQ4V1")</f>
        <v>LT0PCC01TQ4V1</v>
      </c>
      <c r="F2501" s="238" t="str">
        <f>IFERROR(__xludf.DUMMYFUNCTION("""COMPUTED_VALUE"""),"FRG8J90,ILY9J38")</f>
        <v>FRG8J90,ILY9J38</v>
      </c>
      <c r="G2501" s="238">
        <f>IFERROR(__xludf.DUMMYFUNCTION("""COMPUTED_VALUE"""),46003.9375)</f>
        <v>46003.9375</v>
      </c>
      <c r="H2501" s="238">
        <f>IFERROR(__xludf.DUMMYFUNCTION("""COMPUTED_VALUE"""),46004.02083333333)</f>
        <v>46004.02083</v>
      </c>
      <c r="I2501" s="237" t="str">
        <f t="shared" si="1"/>
        <v>Fora</v>
      </c>
      <c r="J2501" s="239">
        <v>119.99999999301508</v>
      </c>
    </row>
    <row r="2502">
      <c r="A2502" s="234" t="s">
        <v>4065</v>
      </c>
      <c r="B2502" s="234" t="str">
        <f>IFERROR(__xludf.DUMMYFUNCTION("""COMPUTED_VALUE"""),"LM Hub_SP_Piracicaba")</f>
        <v>LM Hub_SP_Piracicaba</v>
      </c>
      <c r="C2502" s="234" t="str">
        <f>IFERROR(__xludf.DUMMYFUNCTION("""COMPUTED_VALUE"""),"HUB-LSP-62")</f>
        <v>HUB-LSP-62</v>
      </c>
      <c r="D2502" s="234">
        <f>IFERROR(__xludf.DUMMYFUNCTION("""COMPUTED_VALUE"""),24.0)</f>
        <v>24</v>
      </c>
      <c r="E2502" s="237" t="str">
        <f>IFERROR(__xludf.DUMMYFUNCTION("""COMPUTED_VALUE"""),"LT0PCC01TPPE1")</f>
        <v>LT0PCC01TPPE1</v>
      </c>
      <c r="F2502" s="238" t="str">
        <f>IFERROR(__xludf.DUMMYFUNCTION("""COMPUTED_VALUE"""),"EOF4D32,EOF4D33")</f>
        <v>EOF4D32,EOF4D33</v>
      </c>
      <c r="G2502" s="238">
        <f>IFERROR(__xludf.DUMMYFUNCTION("""COMPUTED_VALUE"""),46003.9375)</f>
        <v>46003.9375</v>
      </c>
      <c r="H2502" s="238">
        <f>IFERROR(__xludf.DUMMYFUNCTION("""COMPUTED_VALUE"""),46004.02083333333)</f>
        <v>46004.02083</v>
      </c>
      <c r="I2502" s="237" t="str">
        <f t="shared" si="1"/>
        <v>Fora</v>
      </c>
      <c r="J2502" s="239">
        <v>119.99999999301508</v>
      </c>
    </row>
    <row r="2503">
      <c r="A2503" s="234" t="s">
        <v>4066</v>
      </c>
      <c r="B2503" s="234" t="str">
        <f>IFERROR(__xludf.DUMMYFUNCTION("""COMPUTED_VALUE"""),"LM Hub_SP_São Paulo_Carandiru")</f>
        <v>LM Hub_SP_São Paulo_Carandiru</v>
      </c>
      <c r="C2503" s="234" t="str">
        <f>IFERROR(__xludf.DUMMYFUNCTION("""COMPUTED_VALUE"""),"HUB-LSP-18")</f>
        <v>HUB-LSP-18</v>
      </c>
      <c r="D2503" s="234">
        <f>IFERROR(__xludf.DUMMYFUNCTION("""COMPUTED_VALUE"""),34.0)</f>
        <v>34</v>
      </c>
      <c r="E2503" s="237" t="str">
        <f>IFERROR(__xludf.DUMMYFUNCTION("""COMPUTED_VALUE"""),"LT0PCC01TO4M1")</f>
        <v>LT0PCC01TO4M1</v>
      </c>
      <c r="F2503" s="238" t="str">
        <f>IFERROR(__xludf.DUMMYFUNCTION("""COMPUTED_VALUE"""),"NVO0561")</f>
        <v>NVO0561</v>
      </c>
      <c r="G2503" s="238">
        <f>IFERROR(__xludf.DUMMYFUNCTION("""COMPUTED_VALUE"""),46003.9375)</f>
        <v>46003.9375</v>
      </c>
      <c r="H2503" s="238">
        <f>IFERROR(__xludf.DUMMYFUNCTION("""COMPUTED_VALUE"""),46004.02083333333)</f>
        <v>46004.02083</v>
      </c>
      <c r="I2503" s="237" t="str">
        <f t="shared" si="1"/>
        <v>Fora</v>
      </c>
      <c r="J2503" s="239">
        <v>118.99999998975545</v>
      </c>
    </row>
    <row r="2504">
      <c r="A2504" s="234" t="s">
        <v>4067</v>
      </c>
      <c r="B2504" s="234" t="str">
        <f>IFERROR(__xludf.DUMMYFUNCTION("""COMPUTED_VALUE"""),"LM Hub_SP_Jardim Adriana")</f>
        <v>LM Hub_SP_Jardim Adriana</v>
      </c>
      <c r="C2504" s="234" t="str">
        <f>IFERROR(__xludf.DUMMYFUNCTION("""COMPUTED_VALUE"""),"HUB-LSP-12")</f>
        <v>HUB-LSP-12</v>
      </c>
      <c r="D2504" s="234">
        <f>IFERROR(__xludf.DUMMYFUNCTION("""COMPUTED_VALUE"""),7.0)</f>
        <v>7</v>
      </c>
      <c r="E2504" s="237" t="str">
        <f>IFERROR(__xludf.DUMMYFUNCTION("""COMPUTED_VALUE"""),"LT0PCC01TN8V1")</f>
        <v>LT0PCC01TN8V1</v>
      </c>
      <c r="F2504" s="238" t="str">
        <f>IFERROR(__xludf.DUMMYFUNCTION("""COMPUTED_VALUE"""),"NZI9C32")</f>
        <v>NZI9C32</v>
      </c>
      <c r="G2504" s="238">
        <f>IFERROR(__xludf.DUMMYFUNCTION("""COMPUTED_VALUE"""),46003.93819444445)</f>
        <v>46003.93819</v>
      </c>
      <c r="H2504" s="238">
        <f>IFERROR(__xludf.DUMMYFUNCTION("""COMPUTED_VALUE"""),46004.02083333333)</f>
        <v>46004.02083</v>
      </c>
      <c r="I2504" s="237" t="str">
        <f t="shared" si="1"/>
        <v>Fora</v>
      </c>
      <c r="J2504" s="239">
        <v>118.99999998975545</v>
      </c>
    </row>
    <row r="2505">
      <c r="A2505" s="234" t="s">
        <v>4068</v>
      </c>
      <c r="B2505" s="234" t="str">
        <f>IFERROR(__xludf.DUMMYFUNCTION("""COMPUTED_VALUE"""),"LM Hub_SP_VilaGuilherme")</f>
        <v>LM Hub_SP_VilaGuilherme</v>
      </c>
      <c r="C2505" s="234" t="str">
        <f>IFERROR(__xludf.DUMMYFUNCTION("""COMPUTED_VALUE"""),"HUB-LSP-68")</f>
        <v>HUB-LSP-68</v>
      </c>
      <c r="D2505" s="234">
        <f>IFERROR(__xludf.DUMMYFUNCTION("""COMPUTED_VALUE"""),12.0)</f>
        <v>12</v>
      </c>
      <c r="E2505" s="237" t="str">
        <f>IFERROR(__xludf.DUMMYFUNCTION("""COMPUTED_VALUE"""),"LT0PCC01TN9S1")</f>
        <v>LT0PCC01TN9S1</v>
      </c>
      <c r="F2505" s="238" t="str">
        <f>IFERROR(__xludf.DUMMYFUNCTION("""COMPUTED_VALUE"""),"HFD4H27,JXG9745")</f>
        <v>HFD4H27,JXG9745</v>
      </c>
      <c r="G2505" s="238">
        <f>IFERROR(__xludf.DUMMYFUNCTION("""COMPUTED_VALUE"""),46003.93819444445)</f>
        <v>46003.93819</v>
      </c>
      <c r="H2505" s="238">
        <f>IFERROR(__xludf.DUMMYFUNCTION("""COMPUTED_VALUE"""),46004.02083333333)</f>
        <v>46004.02083</v>
      </c>
      <c r="I2505" s="237" t="str">
        <f t="shared" si="1"/>
        <v>Fora</v>
      </c>
      <c r="J2505" s="239">
        <v>120.00000001396984</v>
      </c>
    </row>
    <row r="2506">
      <c r="A2506" s="234" t="s">
        <v>4069</v>
      </c>
      <c r="B2506" s="234" t="str">
        <f>IFERROR(__xludf.DUMMYFUNCTION("""COMPUTED_VALUE"""),"LM Hub_SP_Jundiaí")</f>
        <v>LM Hub_SP_Jundiaí</v>
      </c>
      <c r="C2506" s="234" t="str">
        <f>IFERROR(__xludf.DUMMYFUNCTION("""COMPUTED_VALUE"""),"HUB-LSP-100")</f>
        <v>HUB-LSP-100</v>
      </c>
      <c r="D2506" s="234">
        <f>IFERROR(__xludf.DUMMYFUNCTION("""COMPUTED_VALUE"""),9.0)</f>
        <v>9</v>
      </c>
      <c r="E2506" s="237" t="str">
        <f>IFERROR(__xludf.DUMMYFUNCTION("""COMPUTED_VALUE"""),"LT0PCC01TWU31")</f>
        <v>LT0PCC01TWU31</v>
      </c>
      <c r="F2506" s="238" t="str">
        <f>IFERROR(__xludf.DUMMYFUNCTION("""COMPUTED_VALUE"""),"TBX6D09")</f>
        <v>TBX6D09</v>
      </c>
      <c r="G2506" s="238">
        <f>IFERROR(__xludf.DUMMYFUNCTION("""COMPUTED_VALUE"""),46003.95833333333)</f>
        <v>46003.95833</v>
      </c>
      <c r="H2506" s="238">
        <f>IFERROR(__xludf.DUMMYFUNCTION("""COMPUTED_VALUE"""),46004.04166666667)</f>
        <v>46004.04167</v>
      </c>
      <c r="I2506" s="237" t="str">
        <f t="shared" si="1"/>
        <v>Fora</v>
      </c>
      <c r="J2506" s="239">
        <v>120.00000001396984</v>
      </c>
    </row>
    <row r="2507">
      <c r="A2507" s="234" t="s">
        <v>4070</v>
      </c>
      <c r="B2507" s="234" t="str">
        <f>IFERROR(__xludf.DUMMYFUNCTION("""COMPUTED_VALUE"""),"LM Hub_SP_Mogi Mirim")</f>
        <v>LM Hub_SP_Mogi Mirim</v>
      </c>
      <c r="C2507" s="234" t="str">
        <f>IFERROR(__xludf.DUMMYFUNCTION("""COMPUTED_VALUE"""),"HUB-LSP-37")</f>
        <v>HUB-LSP-37</v>
      </c>
      <c r="D2507" s="234"/>
      <c r="E2507" s="237" t="str">
        <f>IFERROR(__xludf.DUMMYFUNCTION("""COMPUTED_VALUE"""),"LT0PCC01TOD81")</f>
        <v>LT0PCC01TOD81</v>
      </c>
      <c r="F2507" s="238" t="str">
        <f>IFERROR(__xludf.DUMMYFUNCTION("""COMPUTED_VALUE"""),"FLN0H65,FTJ9A92")</f>
        <v>FLN0H65,FTJ9A92</v>
      </c>
      <c r="G2507" s="238">
        <f>IFERROR(__xludf.DUMMYFUNCTION("""COMPUTED_VALUE"""),46003.95833333333)</f>
        <v>46003.95833</v>
      </c>
      <c r="H2507" s="238">
        <f>IFERROR(__xludf.DUMMYFUNCTION("""COMPUTED_VALUE"""),46004.04166666667)</f>
        <v>46004.04167</v>
      </c>
      <c r="I2507" s="237" t="str">
        <f t="shared" si="1"/>
        <v>Fora</v>
      </c>
      <c r="J2507" s="239">
        <v>120.00000001396984</v>
      </c>
    </row>
    <row r="2508">
      <c r="A2508" s="234" t="s">
        <v>4071</v>
      </c>
      <c r="B2508" s="234" t="str">
        <f>IFERROR(__xludf.DUMMYFUNCTION("""COMPUTED_VALUE"""),"SoC_RS_Gravataí_02")</f>
        <v>SoC_RS_Gravataí_02</v>
      </c>
      <c r="C2508" s="234" t="str">
        <f>IFERROR(__xludf.DUMMYFUNCTION("""COMPUTED_VALUE"""),"SOC-RS2")</f>
        <v>SOC-RS2</v>
      </c>
      <c r="D2508" s="234">
        <f>IFERROR(__xludf.DUMMYFUNCTION("""COMPUTED_VALUE"""),22.0)</f>
        <v>22</v>
      </c>
      <c r="E2508" s="237" t="str">
        <f>IFERROR(__xludf.DUMMYFUNCTION("""COMPUTED_VALUE"""),"LT1PCC01U6G41")</f>
        <v>LT1PCC01U6G41</v>
      </c>
      <c r="F2508" s="238" t="str">
        <f>IFERROR(__xludf.DUMMYFUNCTION("""COMPUTED_VALUE"""),"RYT0B53,RYT0C33")</f>
        <v>RYT0B53,RYT0C33</v>
      </c>
      <c r="G2508" s="238">
        <f>IFERROR(__xludf.DUMMYFUNCTION("""COMPUTED_VALUE"""),46003.95833333333)</f>
        <v>46003.95833</v>
      </c>
      <c r="H2508" s="238">
        <f>IFERROR(__xludf.DUMMYFUNCTION("""COMPUTED_VALUE"""),46004.04166666667)</f>
        <v>46004.04167</v>
      </c>
      <c r="I2508" s="237" t="str">
        <f t="shared" si="1"/>
        <v>Fora</v>
      </c>
      <c r="J2508" s="239">
        <v>120.00000001396984</v>
      </c>
    </row>
    <row r="2509">
      <c r="A2509" s="234" t="s">
        <v>4072</v>
      </c>
      <c r="B2509" s="234" t="str">
        <f>IFERROR(__xludf.DUMMYFUNCTION("""COMPUTED_VALUE"""),"SoC_SC_Itajaí")</f>
        <v>SoC_SC_Itajaí</v>
      </c>
      <c r="C2509" s="234" t="str">
        <f>IFERROR(__xludf.DUMMYFUNCTION("""COMPUTED_VALUE"""),"SOC-SC1")</f>
        <v>SOC-SC1</v>
      </c>
      <c r="D2509" s="234">
        <f>IFERROR(__xludf.DUMMYFUNCTION("""COMPUTED_VALUE"""),28.0)</f>
        <v>28</v>
      </c>
      <c r="E2509" s="237" t="str">
        <f>IFERROR(__xludf.DUMMYFUNCTION("""COMPUTED_VALUE"""),"LT1PCC01UKQD1")</f>
        <v>LT1PCC01UKQD1</v>
      </c>
      <c r="F2509" s="238" t="str">
        <f>IFERROR(__xludf.DUMMYFUNCTION("""COMPUTED_VALUE"""),"QOY7J38,JAB3I10")</f>
        <v>QOY7J38,JAB3I10</v>
      </c>
      <c r="G2509" s="238">
        <f>IFERROR(__xludf.DUMMYFUNCTION("""COMPUTED_VALUE"""),46003.95833333333)</f>
        <v>46003.95833</v>
      </c>
      <c r="H2509" s="238">
        <f>IFERROR(__xludf.DUMMYFUNCTION("""COMPUTED_VALUE"""),46004.04166666667)</f>
        <v>46004.04167</v>
      </c>
      <c r="I2509" s="237" t="str">
        <f t="shared" si="1"/>
        <v>Fora</v>
      </c>
      <c r="J2509" s="239">
        <v>119.99999999301508</v>
      </c>
    </row>
    <row r="2510">
      <c r="A2510" s="234" t="s">
        <v>4073</v>
      </c>
      <c r="B2510" s="234" t="str">
        <f>IFERROR(__xludf.DUMMYFUNCTION("""COMPUTED_VALUE"""),"LM Hub_SP_Araraquara")</f>
        <v>LM Hub_SP_Araraquara</v>
      </c>
      <c r="C2510" s="234" t="str">
        <f>IFERROR(__xludf.DUMMYFUNCTION("""COMPUTED_VALUE"""),"HUB-LSP-29")</f>
        <v>HUB-LSP-29</v>
      </c>
      <c r="D2510" s="234"/>
      <c r="E2510" s="237" t="str">
        <f>IFERROR(__xludf.DUMMYFUNCTION("""COMPUTED_VALUE"""),"LT0PCC01TODK1")</f>
        <v>LT0PCC01TODK1</v>
      </c>
      <c r="F2510" s="238" t="str">
        <f>IFERROR(__xludf.DUMMYFUNCTION("""COMPUTED_VALUE"""),"PFJ4144,AXE8E53")</f>
        <v>PFJ4144,AXE8E53</v>
      </c>
      <c r="G2510" s="238">
        <f>IFERROR(__xludf.DUMMYFUNCTION("""COMPUTED_VALUE"""),46003.97916666667)</f>
        <v>46003.97917</v>
      </c>
      <c r="H2510" s="238">
        <f>IFERROR(__xludf.DUMMYFUNCTION("""COMPUTED_VALUE"""),46004.0625)</f>
        <v>46004.0625</v>
      </c>
      <c r="I2510" s="237" t="str">
        <f t="shared" si="1"/>
        <v>Fora</v>
      </c>
      <c r="J2510" s="239">
        <v>119.99999999301508</v>
      </c>
    </row>
    <row r="2511">
      <c r="A2511" s="234" t="s">
        <v>4074</v>
      </c>
      <c r="B2511" s="234" t="str">
        <f>IFERROR(__xludf.DUMMYFUNCTION("""COMPUTED_VALUE"""),"LM Hub_SP_Atibaia_Ponte_Alta")</f>
        <v>LM Hub_SP_Atibaia_Ponte_Alta</v>
      </c>
      <c r="C2511" s="234" t="str">
        <f>IFERROR(__xludf.DUMMYFUNCTION("""COMPUTED_VALUE"""),"HUB-LSP-87")</f>
        <v>HUB-LSP-87</v>
      </c>
      <c r="D2511" s="234">
        <f>IFERROR(__xludf.DUMMYFUNCTION("""COMPUTED_VALUE"""),6.0)</f>
        <v>6</v>
      </c>
      <c r="E2511" s="237" t="str">
        <f>IFERROR(__xludf.DUMMYFUNCTION("""COMPUTED_VALUE"""),"LT0PCC01TTRK1")</f>
        <v>LT0PCC01TTRK1</v>
      </c>
      <c r="F2511" s="238" t="str">
        <f>IFERROR(__xludf.DUMMYFUNCTION("""COMPUTED_VALUE"""),"QUY6A96,GIL3F67")</f>
        <v>QUY6A96,GIL3F67</v>
      </c>
      <c r="G2511" s="238">
        <f>IFERROR(__xludf.DUMMYFUNCTION("""COMPUTED_VALUE"""),46003.97916666667)</f>
        <v>46003.97917</v>
      </c>
      <c r="H2511" s="238">
        <f>IFERROR(__xludf.DUMMYFUNCTION("""COMPUTED_VALUE"""),46004.0625)</f>
        <v>46004.0625</v>
      </c>
      <c r="I2511" s="237" t="str">
        <f t="shared" si="1"/>
        <v>Fora</v>
      </c>
      <c r="J2511" s="239">
        <v>119.99999999301508</v>
      </c>
    </row>
    <row r="2512">
      <c r="A2512" s="234" t="s">
        <v>4075</v>
      </c>
      <c r="B2512" s="234" t="str">
        <f>IFERROR(__xludf.DUMMYFUNCTION("""COMPUTED_VALUE"""),"LM Hub_SP_Várzea Paulista")</f>
        <v>LM Hub_SP_Várzea Paulista</v>
      </c>
      <c r="C2512" s="234" t="str">
        <f>IFERROR(__xludf.DUMMYFUNCTION("""COMPUTED_VALUE"""),"HUB-LSP-61")</f>
        <v>HUB-LSP-61</v>
      </c>
      <c r="D2512" s="234">
        <f>IFERROR(__xludf.DUMMYFUNCTION("""COMPUTED_VALUE"""),42.0)</f>
        <v>42</v>
      </c>
      <c r="E2512" s="237" t="str">
        <f>IFERROR(__xludf.DUMMYFUNCTION("""COMPUTED_VALUE"""),"LT0PCC01TOBQ1")</f>
        <v>LT0PCC01TOBQ1</v>
      </c>
      <c r="F2512" s="238" t="str">
        <f>IFERROR(__xludf.DUMMYFUNCTION("""COMPUTED_VALUE"""),"MXC1542,TLW4C75")</f>
        <v>MXC1542,TLW4C75</v>
      </c>
      <c r="G2512" s="238">
        <f>IFERROR(__xludf.DUMMYFUNCTION("""COMPUTED_VALUE"""),46003.97916666667)</f>
        <v>46003.97917</v>
      </c>
      <c r="H2512" s="238">
        <f>IFERROR(__xludf.DUMMYFUNCTION("""COMPUTED_VALUE"""),46004.0625)</f>
        <v>46004.0625</v>
      </c>
      <c r="I2512" s="237" t="str">
        <f t="shared" si="1"/>
        <v>Fora</v>
      </c>
      <c r="J2512" s="239">
        <v>239.99999998603016</v>
      </c>
    </row>
    <row r="2513">
      <c r="A2513" s="234" t="s">
        <v>4076</v>
      </c>
      <c r="B2513" s="234" t="str">
        <f>IFERROR(__xludf.DUMMYFUNCTION("""COMPUTED_VALUE"""),"SoC_RJ_Duque de Caxias")</f>
        <v>SoC_RJ_Duque de Caxias</v>
      </c>
      <c r="C2513" s="234" t="str">
        <f>IFERROR(__xludf.DUMMYFUNCTION("""COMPUTED_VALUE"""),"SOC-RJ2")</f>
        <v>SOC-RJ2</v>
      </c>
      <c r="D2513" s="234">
        <f>IFERROR(__xludf.DUMMYFUNCTION("""COMPUTED_VALUE"""),97.0)</f>
        <v>97</v>
      </c>
      <c r="E2513" s="237" t="str">
        <f>IFERROR(__xludf.DUMMYFUNCTION("""COMPUTED_VALUE"""),"LT0PCC01TRR54")</f>
        <v>LT0PCC01TRR54</v>
      </c>
      <c r="F2513" s="238" t="str">
        <f>IFERROR(__xludf.DUMMYFUNCTION("""COMPUTED_VALUE"""),"ODM5D47,QIG2D94")</f>
        <v>ODM5D47,QIG2D94</v>
      </c>
      <c r="G2513" s="238">
        <f>IFERROR(__xludf.DUMMYFUNCTION("""COMPUTED_VALUE"""),46003.91666666667)</f>
        <v>46003.91667</v>
      </c>
      <c r="H2513" s="238">
        <f>IFERROR(__xludf.DUMMYFUNCTION("""COMPUTED_VALUE"""),46004.08333333333)</f>
        <v>46004.08333</v>
      </c>
      <c r="I2513" s="237" t="str">
        <f t="shared" si="1"/>
        <v>Fora</v>
      </c>
      <c r="J2513" s="239" t="e">
        <v>#VALUE!</v>
      </c>
    </row>
    <row r="2514">
      <c r="A2514" s="234" t="s">
        <v>4077</v>
      </c>
      <c r="B2514" s="234" t="str">
        <f>IFERROR(__xludf.DUMMYFUNCTION("""COMPUTED_VALUE"""),"Fanout Desconhecido")</f>
        <v>Fanout Desconhecido</v>
      </c>
      <c r="C2514" s="234" t="str">
        <f>IFERROR(__xludf.DUMMYFUNCTION("""COMPUTED_VALUE"""),"-")</f>
        <v>-</v>
      </c>
      <c r="D2514" s="234">
        <f>IFERROR(__xludf.DUMMYFUNCTION("""COMPUTED_VALUE"""),20.0)</f>
        <v>20</v>
      </c>
      <c r="E2514" s="237" t="str">
        <f>IFERROR(__xludf.DUMMYFUNCTION("""COMPUTED_VALUE"""),"LT0PCG01UD4W1")</f>
        <v>LT0PCG01UD4W1</v>
      </c>
      <c r="F2514" s="238" t="str">
        <f>IFERROR(__xludf.DUMMYFUNCTION("""COMPUTED_VALUE"""),"-")</f>
        <v>-</v>
      </c>
      <c r="G2514" s="238" t="str">
        <f>IFERROR(__xludf.DUMMYFUNCTION("""COMPUTED_VALUE"""),"-")</f>
        <v>-</v>
      </c>
      <c r="H2514" s="238" t="str">
        <f>IFERROR(__xludf.DUMMYFUNCTION("""COMPUTED_VALUE"""),"-")</f>
        <v>-</v>
      </c>
      <c r="I2514" s="237" t="str">
        <f t="shared" si="1"/>
        <v>Dentro</v>
      </c>
      <c r="J2514" s="239" t="e">
        <v>#VALUE!</v>
      </c>
    </row>
    <row r="2515">
      <c r="A2515" s="234" t="s">
        <v>4078</v>
      </c>
      <c r="B2515" s="234" t="str">
        <f>IFERROR(__xludf.DUMMYFUNCTION("""COMPUTED_VALUE"""),"Fanout Desconhecido")</f>
        <v>Fanout Desconhecido</v>
      </c>
      <c r="C2515" s="234" t="str">
        <f>IFERROR(__xludf.DUMMYFUNCTION("""COMPUTED_VALUE"""),"-")</f>
        <v>-</v>
      </c>
      <c r="D2515" s="234"/>
      <c r="E2515" s="237" t="str">
        <f>IFERROR(__xludf.DUMMYFUNCTION("""COMPUTED_VALUE"""),"LT0PCC01TN911")</f>
        <v>LT0PCC01TN911</v>
      </c>
      <c r="F2515" s="238" t="str">
        <f>IFERROR(__xludf.DUMMYFUNCTION("""COMPUTED_VALUE"""),"-")</f>
        <v>-</v>
      </c>
      <c r="G2515" s="238" t="str">
        <f>IFERROR(__xludf.DUMMYFUNCTION("""COMPUTED_VALUE"""),"-")</f>
        <v>-</v>
      </c>
      <c r="H2515" s="238" t="str">
        <f>IFERROR(__xludf.DUMMYFUNCTION("""COMPUTED_VALUE"""),"-")</f>
        <v>-</v>
      </c>
      <c r="I2515" s="237" t="str">
        <f t="shared" si="1"/>
        <v>Dentro</v>
      </c>
      <c r="J2515" s="239" t="e">
        <v>#VALUE!</v>
      </c>
    </row>
    <row r="2516">
      <c r="A2516" s="234" t="s">
        <v>4079</v>
      </c>
      <c r="B2516" s="234" t="str">
        <f>IFERROR(__xludf.DUMMYFUNCTION("""COMPUTED_VALUE"""),"Fanout Desconhecido")</f>
        <v>Fanout Desconhecido</v>
      </c>
      <c r="C2516" s="234" t="str">
        <f>IFERROR(__xludf.DUMMYFUNCTION("""COMPUTED_VALUE"""),"-")</f>
        <v>-</v>
      </c>
      <c r="D2516" s="234"/>
      <c r="E2516" s="237" t="str">
        <f>IFERROR(__xludf.DUMMYFUNCTION("""COMPUTED_VALUE"""),"LT0PCC01TWID1")</f>
        <v>LT0PCC01TWID1</v>
      </c>
      <c r="F2516" s="238" t="str">
        <f>IFERROR(__xludf.DUMMYFUNCTION("""COMPUTED_VALUE"""),"-")</f>
        <v>-</v>
      </c>
      <c r="G2516" s="238" t="str">
        <f>IFERROR(__xludf.DUMMYFUNCTION("""COMPUTED_VALUE"""),"-")</f>
        <v>-</v>
      </c>
      <c r="H2516" s="238" t="str">
        <f>IFERROR(__xludf.DUMMYFUNCTION("""COMPUTED_VALUE"""),"-")</f>
        <v>-</v>
      </c>
      <c r="I2516" s="237" t="str">
        <f t="shared" si="1"/>
        <v>Dentro</v>
      </c>
      <c r="J2516" s="239" t="e">
        <v>#VALUE!</v>
      </c>
    </row>
    <row r="2517">
      <c r="A2517" s="234" t="s">
        <v>4080</v>
      </c>
      <c r="B2517" s="234" t="str">
        <f>IFERROR(__xludf.DUMMYFUNCTION("""COMPUTED_VALUE"""),"Fanout Desconhecido")</f>
        <v>Fanout Desconhecido</v>
      </c>
      <c r="C2517" s="234" t="str">
        <f>IFERROR(__xludf.DUMMYFUNCTION("""COMPUTED_VALUE"""),"-")</f>
        <v>-</v>
      </c>
      <c r="D2517" s="234">
        <f>IFERROR(__xludf.DUMMYFUNCTION("""COMPUTED_VALUE"""),89.0)</f>
        <v>89</v>
      </c>
      <c r="E2517" s="237" t="str">
        <f>IFERROR(__xludf.DUMMYFUNCTION("""COMPUTED_VALUE"""),"LT1PCC01U6E21")</f>
        <v>LT1PCC01U6E21</v>
      </c>
      <c r="F2517" s="238" t="str">
        <f>IFERROR(__xludf.DUMMYFUNCTION("""COMPUTED_VALUE"""),"-")</f>
        <v>-</v>
      </c>
      <c r="G2517" s="238" t="str">
        <f>IFERROR(__xludf.DUMMYFUNCTION("""COMPUTED_VALUE"""),"-")</f>
        <v>-</v>
      </c>
      <c r="H2517" s="238" t="str">
        <f>IFERROR(__xludf.DUMMYFUNCTION("""COMPUTED_VALUE"""),"-")</f>
        <v>-</v>
      </c>
      <c r="I2517" s="237" t="str">
        <f t="shared" si="1"/>
        <v>Dentro</v>
      </c>
      <c r="J2517" s="239" t="e">
        <v>#VALUE!</v>
      </c>
    </row>
    <row r="2518">
      <c r="A2518" s="234" t="s">
        <v>4081</v>
      </c>
      <c r="B2518" s="234" t="str">
        <f>IFERROR(__xludf.DUMMYFUNCTION("""COMPUTED_VALUE"""),"Fanout Desconhecido")</f>
        <v>Fanout Desconhecido</v>
      </c>
      <c r="C2518" s="234" t="str">
        <f>IFERROR(__xludf.DUMMYFUNCTION("""COMPUTED_VALUE"""),"-")</f>
        <v>-</v>
      </c>
      <c r="D2518" s="234">
        <f>IFERROR(__xludf.DUMMYFUNCTION("""COMPUTED_VALUE"""),96.0)</f>
        <v>96</v>
      </c>
      <c r="E2518" s="237" t="str">
        <f>IFERROR(__xludf.DUMMYFUNCTION("""COMPUTED_VALUE"""),"LT0PCC01TRR12")</f>
        <v>LT0PCC01TRR12</v>
      </c>
      <c r="F2518" s="238" t="str">
        <f>IFERROR(__xludf.DUMMYFUNCTION("""COMPUTED_VALUE"""),"-")</f>
        <v>-</v>
      </c>
      <c r="G2518" s="238" t="str">
        <f>IFERROR(__xludf.DUMMYFUNCTION("""COMPUTED_VALUE"""),"-")</f>
        <v>-</v>
      </c>
      <c r="H2518" s="238" t="str">
        <f>IFERROR(__xludf.DUMMYFUNCTION("""COMPUTED_VALUE"""),"-")</f>
        <v>-</v>
      </c>
      <c r="I2518" s="237" t="str">
        <f t="shared" si="1"/>
        <v>Dentro</v>
      </c>
      <c r="J2518" s="239" t="e">
        <v>#VALUE!</v>
      </c>
    </row>
    <row r="2519">
      <c r="A2519" s="234" t="s">
        <v>4082</v>
      </c>
      <c r="B2519" s="234" t="str">
        <f>IFERROR(__xludf.DUMMYFUNCTION("""COMPUTED_VALUE"""),"Fanout Desconhecido")</f>
        <v>Fanout Desconhecido</v>
      </c>
      <c r="C2519" s="234" t="str">
        <f>IFERROR(__xludf.DUMMYFUNCTION("""COMPUTED_VALUE"""),"-")</f>
        <v>-</v>
      </c>
      <c r="D2519" s="234"/>
      <c r="E2519" s="237" t="str">
        <f>IFERROR(__xludf.DUMMYFUNCTION("""COMPUTED_VALUE"""),"LT1PCC01UK241")</f>
        <v>LT1PCC01UK241</v>
      </c>
      <c r="F2519" s="238" t="str">
        <f>IFERROR(__xludf.DUMMYFUNCTION("""COMPUTED_VALUE"""),"-")</f>
        <v>-</v>
      </c>
      <c r="G2519" s="238" t="str">
        <f>IFERROR(__xludf.DUMMYFUNCTION("""COMPUTED_VALUE"""),"-")</f>
        <v>-</v>
      </c>
      <c r="H2519" s="238" t="str">
        <f>IFERROR(__xludf.DUMMYFUNCTION("""COMPUTED_VALUE"""),"-")</f>
        <v>-</v>
      </c>
      <c r="I2519" s="237" t="str">
        <f t="shared" si="1"/>
        <v>Dentro</v>
      </c>
      <c r="J2519" s="239" t="e">
        <v>#VALUE!</v>
      </c>
    </row>
    <row r="2520">
      <c r="A2520" s="234" t="s">
        <v>4083</v>
      </c>
      <c r="B2520" s="234" t="str">
        <f>IFERROR(__xludf.DUMMYFUNCTION("""COMPUTED_VALUE"""),"Fanout Desconhecido")</f>
        <v>Fanout Desconhecido</v>
      </c>
      <c r="C2520" s="234" t="str">
        <f>IFERROR(__xludf.DUMMYFUNCTION("""COMPUTED_VALUE"""),"-")</f>
        <v>-</v>
      </c>
      <c r="D2520" s="234">
        <f>IFERROR(__xludf.DUMMYFUNCTION("""COMPUTED_VALUE"""),88.0)</f>
        <v>88</v>
      </c>
      <c r="E2520" s="237" t="str">
        <f>IFERROR(__xludf.DUMMYFUNCTION("""COMPUTED_VALUE"""),"LT0PCC01TVNK2")</f>
        <v>LT0PCC01TVNK2</v>
      </c>
      <c r="F2520" s="238" t="str">
        <f>IFERROR(__xludf.DUMMYFUNCTION("""COMPUTED_VALUE"""),"-")</f>
        <v>-</v>
      </c>
      <c r="G2520" s="238" t="str">
        <f>IFERROR(__xludf.DUMMYFUNCTION("""COMPUTED_VALUE"""),"-")</f>
        <v>-</v>
      </c>
      <c r="H2520" s="238" t="str">
        <f>IFERROR(__xludf.DUMMYFUNCTION("""COMPUTED_VALUE"""),"-")</f>
        <v>-</v>
      </c>
      <c r="I2520" s="237" t="str">
        <f t="shared" si="1"/>
        <v>Dentro</v>
      </c>
      <c r="J2520" s="239" t="e">
        <v>#VALUE!</v>
      </c>
    </row>
    <row r="2521">
      <c r="A2521" s="234" t="s">
        <v>4084</v>
      </c>
      <c r="B2521" s="234" t="str">
        <f>IFERROR(__xludf.DUMMYFUNCTION("""COMPUTED_VALUE"""),"Fanout Desconhecido")</f>
        <v>Fanout Desconhecido</v>
      </c>
      <c r="C2521" s="234" t="str">
        <f>IFERROR(__xludf.DUMMYFUNCTION("""COMPUTED_VALUE"""),"-")</f>
        <v>-</v>
      </c>
      <c r="D2521" s="234" t="str">
        <f>IFERROR(__xludf.DUMMYFUNCTION("""COMPUTED_VALUE"""),"95/45")</f>
        <v>95/45</v>
      </c>
      <c r="E2521" s="237" t="str">
        <f>IFERROR(__xludf.DUMMYFUNCTION("""COMPUTED_VALUE"""),"LT0PCC01TO243")</f>
        <v>LT0PCC01TO243</v>
      </c>
      <c r="F2521" s="238" t="str">
        <f>IFERROR(__xludf.DUMMYFUNCTION("""COMPUTED_VALUE"""),"-")</f>
        <v>-</v>
      </c>
      <c r="G2521" s="238" t="str">
        <f>IFERROR(__xludf.DUMMYFUNCTION("""COMPUTED_VALUE"""),"-")</f>
        <v>-</v>
      </c>
      <c r="H2521" s="238" t="str">
        <f>IFERROR(__xludf.DUMMYFUNCTION("""COMPUTED_VALUE"""),"-")</f>
        <v>-</v>
      </c>
      <c r="I2521" s="237" t="str">
        <f t="shared" si="1"/>
        <v>Dentro</v>
      </c>
      <c r="J2521" s="239" t="e">
        <v>#VALUE!</v>
      </c>
    </row>
    <row r="2522">
      <c r="A2522" s="234" t="s">
        <v>4085</v>
      </c>
      <c r="B2522" s="234" t="str">
        <f>IFERROR(__xludf.DUMMYFUNCTION("""COMPUTED_VALUE"""),"Fanout Desconhecido")</f>
        <v>Fanout Desconhecido</v>
      </c>
      <c r="C2522" s="234" t="str">
        <f>IFERROR(__xludf.DUMMYFUNCTION("""COMPUTED_VALUE"""),"-")</f>
        <v>-</v>
      </c>
      <c r="D2522" s="234">
        <f>IFERROR(__xludf.DUMMYFUNCTION("""COMPUTED_VALUE"""),94.0)</f>
        <v>94</v>
      </c>
      <c r="E2522" s="237" t="str">
        <f>IFERROR(__xludf.DUMMYFUNCTION("""COMPUTED_VALUE"""),"LT0PCC01TO222")</f>
        <v>LT0PCC01TO222</v>
      </c>
      <c r="F2522" s="238" t="str">
        <f>IFERROR(__xludf.DUMMYFUNCTION("""COMPUTED_VALUE"""),"-")</f>
        <v>-</v>
      </c>
      <c r="G2522" s="238" t="str">
        <f>IFERROR(__xludf.DUMMYFUNCTION("""COMPUTED_VALUE"""),"-")</f>
        <v>-</v>
      </c>
      <c r="H2522" s="238" t="str">
        <f>IFERROR(__xludf.DUMMYFUNCTION("""COMPUTED_VALUE"""),"-")</f>
        <v>-</v>
      </c>
      <c r="I2522" s="237" t="str">
        <f t="shared" si="1"/>
        <v>Dentro</v>
      </c>
      <c r="J2522" s="239" t="e">
        <v>#VALUE!</v>
      </c>
    </row>
    <row r="2523">
      <c r="A2523" s="234" t="s">
        <v>4086</v>
      </c>
      <c r="B2523" s="234" t="str">
        <f>IFERROR(__xludf.DUMMYFUNCTION("""COMPUTED_VALUE"""),"Fanout Desconhecido")</f>
        <v>Fanout Desconhecido</v>
      </c>
      <c r="C2523" s="234" t="str">
        <f>IFERROR(__xludf.DUMMYFUNCTION("""COMPUTED_VALUE"""),"-")</f>
        <v>-</v>
      </c>
      <c r="D2523" s="234">
        <f>IFERROR(__xludf.DUMMYFUNCTION("""COMPUTED_VALUE"""),15.0)</f>
        <v>15</v>
      </c>
      <c r="E2523" s="237" t="str">
        <f>IFERROR(__xludf.DUMMYFUNCTION("""COMPUTED_VALUE"""),"LT0PCD01TVIL1")</f>
        <v>LT0PCD01TVIL1</v>
      </c>
      <c r="F2523" s="238" t="str">
        <f>IFERROR(__xludf.DUMMYFUNCTION("""COMPUTED_VALUE"""),"-")</f>
        <v>-</v>
      </c>
      <c r="G2523" s="238" t="str">
        <f>IFERROR(__xludf.DUMMYFUNCTION("""COMPUTED_VALUE"""),"-")</f>
        <v>-</v>
      </c>
      <c r="H2523" s="238" t="str">
        <f>IFERROR(__xludf.DUMMYFUNCTION("""COMPUTED_VALUE"""),"-")</f>
        <v>-</v>
      </c>
      <c r="I2523" s="237" t="str">
        <f t="shared" si="1"/>
        <v>Dentro</v>
      </c>
      <c r="J2523" s="239" t="e">
        <v>#VALUE!</v>
      </c>
    </row>
    <row r="2524">
      <c r="A2524" s="234" t="s">
        <v>4087</v>
      </c>
      <c r="B2524" s="234" t="str">
        <f>IFERROR(__xludf.DUMMYFUNCTION("""COMPUTED_VALUE"""),"Fanout Desconhecido")</f>
        <v>Fanout Desconhecido</v>
      </c>
      <c r="C2524" s="234" t="str">
        <f>IFERROR(__xludf.DUMMYFUNCTION("""COMPUTED_VALUE"""),"-")</f>
        <v>-</v>
      </c>
      <c r="D2524" s="234">
        <f>IFERROR(__xludf.DUMMYFUNCTION("""COMPUTED_VALUE"""),33.0)</f>
        <v>33</v>
      </c>
      <c r="E2524" s="237" t="str">
        <f>IFERROR(__xludf.DUMMYFUNCTION("""COMPUTED_VALUE"""),"LT0PCD01TTXL1")</f>
        <v>LT0PCD01TTXL1</v>
      </c>
      <c r="F2524" s="238" t="str">
        <f>IFERROR(__xludf.DUMMYFUNCTION("""COMPUTED_VALUE"""),"-")</f>
        <v>-</v>
      </c>
      <c r="G2524" s="238" t="str">
        <f>IFERROR(__xludf.DUMMYFUNCTION("""COMPUTED_VALUE"""),"-")</f>
        <v>-</v>
      </c>
      <c r="H2524" s="238" t="str">
        <f>IFERROR(__xludf.DUMMYFUNCTION("""COMPUTED_VALUE"""),"-")</f>
        <v>-</v>
      </c>
      <c r="I2524" s="237" t="str">
        <f t="shared" si="1"/>
        <v>Dentro</v>
      </c>
      <c r="J2524" s="239" t="e">
        <v>#VALUE!</v>
      </c>
    </row>
    <row r="2525">
      <c r="A2525" s="234" t="s">
        <v>4088</v>
      </c>
      <c r="B2525" s="234" t="str">
        <f>IFERROR(__xludf.DUMMYFUNCTION("""COMPUTED_VALUE"""),"Fanout Desconhecido")</f>
        <v>Fanout Desconhecido</v>
      </c>
      <c r="C2525" s="234" t="str">
        <f>IFERROR(__xludf.DUMMYFUNCTION("""COMPUTED_VALUE"""),"-")</f>
        <v>-</v>
      </c>
      <c r="D2525" s="234">
        <f>IFERROR(__xludf.DUMMYFUNCTION("""COMPUTED_VALUE"""),13.0)</f>
        <v>13</v>
      </c>
      <c r="E2525" s="237" t="str">
        <f>IFERROR(__xludf.DUMMYFUNCTION("""COMPUTED_VALUE"""),"LT0PCD01TV8M1")</f>
        <v>LT0PCD01TV8M1</v>
      </c>
      <c r="F2525" s="238" t="str">
        <f>IFERROR(__xludf.DUMMYFUNCTION("""COMPUTED_VALUE"""),"-")</f>
        <v>-</v>
      </c>
      <c r="G2525" s="238" t="str">
        <f>IFERROR(__xludf.DUMMYFUNCTION("""COMPUTED_VALUE"""),"-")</f>
        <v>-</v>
      </c>
      <c r="H2525" s="238" t="str">
        <f>IFERROR(__xludf.DUMMYFUNCTION("""COMPUTED_VALUE"""),"-")</f>
        <v>-</v>
      </c>
      <c r="I2525" s="237" t="str">
        <f t="shared" si="1"/>
        <v>Dentro</v>
      </c>
      <c r="J2525" s="239" t="e">
        <v>#VALUE!</v>
      </c>
    </row>
    <row r="2526">
      <c r="A2526" s="234" t="s">
        <v>4089</v>
      </c>
      <c r="B2526" s="234" t="str">
        <f>IFERROR(__xludf.DUMMYFUNCTION("""COMPUTED_VALUE"""),"Fanout Desconhecido")</f>
        <v>Fanout Desconhecido</v>
      </c>
      <c r="C2526" s="234" t="str">
        <f>IFERROR(__xludf.DUMMYFUNCTION("""COMPUTED_VALUE"""),"-")</f>
        <v>-</v>
      </c>
      <c r="D2526" s="234">
        <f>IFERROR(__xludf.DUMMYFUNCTION("""COMPUTED_VALUE"""),39.0)</f>
        <v>39</v>
      </c>
      <c r="E2526" s="237" t="str">
        <f>IFERROR(__xludf.DUMMYFUNCTION("""COMPUTED_VALUE"""),"LT0PCD01TW0Q1")</f>
        <v>LT0PCD01TW0Q1</v>
      </c>
      <c r="F2526" s="238" t="str">
        <f>IFERROR(__xludf.DUMMYFUNCTION("""COMPUTED_VALUE"""),"-")</f>
        <v>-</v>
      </c>
      <c r="G2526" s="238" t="str">
        <f>IFERROR(__xludf.DUMMYFUNCTION("""COMPUTED_VALUE"""),"-")</f>
        <v>-</v>
      </c>
      <c r="H2526" s="238" t="str">
        <f>IFERROR(__xludf.DUMMYFUNCTION("""COMPUTED_VALUE"""),"-")</f>
        <v>-</v>
      </c>
      <c r="I2526" s="237" t="str">
        <f t="shared" si="1"/>
        <v>Dentro</v>
      </c>
      <c r="J2526" s="239" t="e">
        <v>#VALUE!</v>
      </c>
    </row>
    <row r="2527">
      <c r="A2527" s="234" t="s">
        <v>4090</v>
      </c>
      <c r="B2527" s="234" t="str">
        <f>IFERROR(__xludf.DUMMYFUNCTION("""COMPUTED_VALUE"""),"Fanout Desconhecido")</f>
        <v>Fanout Desconhecido</v>
      </c>
      <c r="C2527" s="234" t="str">
        <f>IFERROR(__xludf.DUMMYFUNCTION("""COMPUTED_VALUE"""),"-")</f>
        <v>-</v>
      </c>
      <c r="D2527" s="234">
        <f>IFERROR(__xludf.DUMMYFUNCTION("""COMPUTED_VALUE"""),25.0)</f>
        <v>25</v>
      </c>
      <c r="E2527" s="237" t="str">
        <f>IFERROR(__xludf.DUMMYFUNCTION("""COMPUTED_VALUE"""),"LT0PCD01TUIV1")</f>
        <v>LT0PCD01TUIV1</v>
      </c>
      <c r="F2527" s="238" t="str">
        <f>IFERROR(__xludf.DUMMYFUNCTION("""COMPUTED_VALUE"""),"-")</f>
        <v>-</v>
      </c>
      <c r="G2527" s="238" t="str">
        <f>IFERROR(__xludf.DUMMYFUNCTION("""COMPUTED_VALUE"""),"-")</f>
        <v>-</v>
      </c>
      <c r="H2527" s="238" t="str">
        <f>IFERROR(__xludf.DUMMYFUNCTION("""COMPUTED_VALUE"""),"-")</f>
        <v>-</v>
      </c>
      <c r="I2527" s="237" t="str">
        <f t="shared" si="1"/>
        <v>Dentro</v>
      </c>
      <c r="J2527" s="239" t="e">
        <v>#VALUE!</v>
      </c>
    </row>
    <row r="2528">
      <c r="A2528" s="234" t="s">
        <v>4091</v>
      </c>
      <c r="B2528" s="234" t="str">
        <f>IFERROR(__xludf.DUMMYFUNCTION("""COMPUTED_VALUE"""),"Fanout Desconhecido")</f>
        <v>Fanout Desconhecido</v>
      </c>
      <c r="C2528" s="234" t="str">
        <f>IFERROR(__xludf.DUMMYFUNCTION("""COMPUTED_VALUE"""),"-")</f>
        <v>-</v>
      </c>
      <c r="D2528" s="234">
        <f>IFERROR(__xludf.DUMMYFUNCTION("""COMPUTED_VALUE"""),36.0)</f>
        <v>36</v>
      </c>
      <c r="E2528" s="237" t="str">
        <f>IFERROR(__xludf.DUMMYFUNCTION("""COMPUTED_VALUE"""),"LT0PCD01TO2J1")</f>
        <v>LT0PCD01TO2J1</v>
      </c>
      <c r="F2528" s="238" t="str">
        <f>IFERROR(__xludf.DUMMYFUNCTION("""COMPUTED_VALUE"""),"-")</f>
        <v>-</v>
      </c>
      <c r="G2528" s="238" t="str">
        <f>IFERROR(__xludf.DUMMYFUNCTION("""COMPUTED_VALUE"""),"-")</f>
        <v>-</v>
      </c>
      <c r="H2528" s="238" t="str">
        <f>IFERROR(__xludf.DUMMYFUNCTION("""COMPUTED_VALUE"""),"-")</f>
        <v>-</v>
      </c>
      <c r="I2528" s="237" t="str">
        <f t="shared" si="1"/>
        <v>Dentro</v>
      </c>
      <c r="J2528" s="239" t="e">
        <v>#VALUE!</v>
      </c>
    </row>
    <row r="2529">
      <c r="A2529" s="234" t="s">
        <v>4092</v>
      </c>
      <c r="B2529" s="234" t="str">
        <f>IFERROR(__xludf.DUMMYFUNCTION("""COMPUTED_VALUE"""),"Fanout Desconhecido")</f>
        <v>Fanout Desconhecido</v>
      </c>
      <c r="C2529" s="234" t="str">
        <f>IFERROR(__xludf.DUMMYFUNCTION("""COMPUTED_VALUE"""),"-")</f>
        <v>-</v>
      </c>
      <c r="D2529" s="234">
        <f>IFERROR(__xludf.DUMMYFUNCTION("""COMPUTED_VALUE"""),46.0)</f>
        <v>46</v>
      </c>
      <c r="E2529" s="237" t="str">
        <f>IFERROR(__xludf.DUMMYFUNCTION("""COMPUTED_VALUE"""),"LT0PCD01TNZP1")</f>
        <v>LT0PCD01TNZP1</v>
      </c>
      <c r="F2529" s="238" t="str">
        <f>IFERROR(__xludf.DUMMYFUNCTION("""COMPUTED_VALUE"""),"-")</f>
        <v>-</v>
      </c>
      <c r="G2529" s="238" t="str">
        <f>IFERROR(__xludf.DUMMYFUNCTION("""COMPUTED_VALUE"""),"-")</f>
        <v>-</v>
      </c>
      <c r="H2529" s="238" t="str">
        <f>IFERROR(__xludf.DUMMYFUNCTION("""COMPUTED_VALUE"""),"-")</f>
        <v>-</v>
      </c>
      <c r="I2529" s="237" t="str">
        <f t="shared" si="1"/>
        <v>Dentro</v>
      </c>
      <c r="J2529" s="239" t="e">
        <v>#VALUE!</v>
      </c>
    </row>
    <row r="2530">
      <c r="A2530" s="234" t="s">
        <v>4093</v>
      </c>
      <c r="B2530" s="234" t="str">
        <f>IFERROR(__xludf.DUMMYFUNCTION("""COMPUTED_VALUE"""),"Fanout Desconhecido")</f>
        <v>Fanout Desconhecido</v>
      </c>
      <c r="C2530" s="234" t="str">
        <f>IFERROR(__xludf.DUMMYFUNCTION("""COMPUTED_VALUE"""),"-")</f>
        <v>-</v>
      </c>
      <c r="D2530" s="234">
        <f>IFERROR(__xludf.DUMMYFUNCTION("""COMPUTED_VALUE"""),18.0)</f>
        <v>18</v>
      </c>
      <c r="E2530" s="237" t="str">
        <f>IFERROR(__xludf.DUMMYFUNCTION("""COMPUTED_VALUE"""),"LT0PCD01TO7D1")</f>
        <v>LT0PCD01TO7D1</v>
      </c>
      <c r="F2530" s="238" t="str">
        <f>IFERROR(__xludf.DUMMYFUNCTION("""COMPUTED_VALUE"""),"-")</f>
        <v>-</v>
      </c>
      <c r="G2530" s="238" t="str">
        <f>IFERROR(__xludf.DUMMYFUNCTION("""COMPUTED_VALUE"""),"-")</f>
        <v>-</v>
      </c>
      <c r="H2530" s="238" t="str">
        <f>IFERROR(__xludf.DUMMYFUNCTION("""COMPUTED_VALUE"""),"-")</f>
        <v>-</v>
      </c>
      <c r="I2530" s="237" t="str">
        <f t="shared" si="1"/>
        <v>Dentro</v>
      </c>
      <c r="J2530" s="239" t="e">
        <v>#VALUE!</v>
      </c>
    </row>
    <row r="2531">
      <c r="A2531" s="234" t="s">
        <v>4094</v>
      </c>
      <c r="B2531" s="234" t="str">
        <f>IFERROR(__xludf.DUMMYFUNCTION("""COMPUTED_VALUE"""),"Fanout Desconhecido")</f>
        <v>Fanout Desconhecido</v>
      </c>
      <c r="C2531" s="234" t="str">
        <f>IFERROR(__xludf.DUMMYFUNCTION("""COMPUTED_VALUE"""),"-")</f>
        <v>-</v>
      </c>
      <c r="D2531" s="234">
        <f>IFERROR(__xludf.DUMMYFUNCTION("""COMPUTED_VALUE"""),44.0)</f>
        <v>44</v>
      </c>
      <c r="E2531" s="237" t="str">
        <f>IFERROR(__xludf.DUMMYFUNCTION("""COMPUTED_VALUE"""),"LT0PCD01TO731")</f>
        <v>LT0PCD01TO731</v>
      </c>
      <c r="F2531" s="238" t="str">
        <f>IFERROR(__xludf.DUMMYFUNCTION("""COMPUTED_VALUE"""),"-")</f>
        <v>-</v>
      </c>
      <c r="G2531" s="238" t="str">
        <f>IFERROR(__xludf.DUMMYFUNCTION("""COMPUTED_VALUE"""),"-")</f>
        <v>-</v>
      </c>
      <c r="H2531" s="238" t="str">
        <f>IFERROR(__xludf.DUMMYFUNCTION("""COMPUTED_VALUE"""),"-")</f>
        <v>-</v>
      </c>
      <c r="I2531" s="237" t="str">
        <f t="shared" si="1"/>
        <v>Dentro</v>
      </c>
      <c r="J2531" s="239" t="e">
        <v>#VALUE!</v>
      </c>
    </row>
    <row r="2532">
      <c r="A2532" s="234" t="s">
        <v>4095</v>
      </c>
      <c r="B2532" s="234" t="str">
        <f>IFERROR(__xludf.DUMMYFUNCTION("""COMPUTED_VALUE"""),"Fanout Desconhecido")</f>
        <v>Fanout Desconhecido</v>
      </c>
      <c r="C2532" s="234" t="str">
        <f>IFERROR(__xludf.DUMMYFUNCTION("""COMPUTED_VALUE"""),"-")</f>
        <v>-</v>
      </c>
      <c r="D2532" s="234">
        <f>IFERROR(__xludf.DUMMYFUNCTION("""COMPUTED_VALUE"""),35.0)</f>
        <v>35</v>
      </c>
      <c r="E2532" s="237" t="str">
        <f>IFERROR(__xludf.DUMMYFUNCTION("""COMPUTED_VALUE"""),"LT0PCD01TOCF1")</f>
        <v>LT0PCD01TOCF1</v>
      </c>
      <c r="F2532" s="238" t="str">
        <f>IFERROR(__xludf.DUMMYFUNCTION("""COMPUTED_VALUE"""),"-")</f>
        <v>-</v>
      </c>
      <c r="G2532" s="238" t="str">
        <f>IFERROR(__xludf.DUMMYFUNCTION("""COMPUTED_VALUE"""),"-")</f>
        <v>-</v>
      </c>
      <c r="H2532" s="238" t="str">
        <f>IFERROR(__xludf.DUMMYFUNCTION("""COMPUTED_VALUE"""),"-")</f>
        <v>-</v>
      </c>
      <c r="I2532" s="237" t="str">
        <f t="shared" si="1"/>
        <v>Dentro</v>
      </c>
      <c r="J2532" s="239" t="e">
        <v>#VALUE!</v>
      </c>
    </row>
    <row r="2533">
      <c r="A2533" s="234" t="s">
        <v>4096</v>
      </c>
      <c r="B2533" s="234" t="str">
        <f>IFERROR(__xludf.DUMMYFUNCTION("""COMPUTED_VALUE"""),"Fanout Desconhecido")</f>
        <v>Fanout Desconhecido</v>
      </c>
      <c r="C2533" s="234" t="str">
        <f>IFERROR(__xludf.DUMMYFUNCTION("""COMPUTED_VALUE"""),"-")</f>
        <v>-</v>
      </c>
      <c r="D2533" s="234">
        <f>IFERROR(__xludf.DUMMYFUNCTION("""COMPUTED_VALUE"""),8.0)</f>
        <v>8</v>
      </c>
      <c r="E2533" s="237" t="str">
        <f>IFERROR(__xludf.DUMMYFUNCTION("""COMPUTED_VALUE"""),"LT0PCD01TO7O1")</f>
        <v>LT0PCD01TO7O1</v>
      </c>
      <c r="F2533" s="238" t="str">
        <f>IFERROR(__xludf.DUMMYFUNCTION("""COMPUTED_VALUE"""),"-")</f>
        <v>-</v>
      </c>
      <c r="G2533" s="238" t="str">
        <f>IFERROR(__xludf.DUMMYFUNCTION("""COMPUTED_VALUE"""),"-")</f>
        <v>-</v>
      </c>
      <c r="H2533" s="238" t="str">
        <f>IFERROR(__xludf.DUMMYFUNCTION("""COMPUTED_VALUE"""),"-")</f>
        <v>-</v>
      </c>
      <c r="I2533" s="237" t="str">
        <f t="shared" si="1"/>
        <v>Dentro</v>
      </c>
      <c r="J2533" s="239" t="e">
        <v>#VALUE!</v>
      </c>
    </row>
    <row r="2534">
      <c r="A2534" s="234" t="s">
        <v>4097</v>
      </c>
      <c r="B2534" s="234" t="str">
        <f>IFERROR(__xludf.DUMMYFUNCTION("""COMPUTED_VALUE"""),"Fanout Desconhecido")</f>
        <v>Fanout Desconhecido</v>
      </c>
      <c r="C2534" s="234" t="str">
        <f>IFERROR(__xludf.DUMMYFUNCTION("""COMPUTED_VALUE"""),"-")</f>
        <v>-</v>
      </c>
      <c r="D2534" s="234">
        <f>IFERROR(__xludf.DUMMYFUNCTION("""COMPUTED_VALUE"""),42.0)</f>
        <v>42</v>
      </c>
      <c r="E2534" s="237" t="str">
        <f>IFERROR(__xludf.DUMMYFUNCTION("""COMPUTED_VALUE"""),"LT0PCD01TV4Y1")</f>
        <v>LT0PCD01TV4Y1</v>
      </c>
      <c r="F2534" s="238" t="str">
        <f>IFERROR(__xludf.DUMMYFUNCTION("""COMPUTED_VALUE"""),"-")</f>
        <v>-</v>
      </c>
      <c r="G2534" s="238" t="str">
        <f>IFERROR(__xludf.DUMMYFUNCTION("""COMPUTED_VALUE"""),"-")</f>
        <v>-</v>
      </c>
      <c r="H2534" s="238" t="str">
        <f>IFERROR(__xludf.DUMMYFUNCTION("""COMPUTED_VALUE"""),"-")</f>
        <v>-</v>
      </c>
      <c r="I2534" s="237" t="str">
        <f t="shared" si="1"/>
        <v>Dentro</v>
      </c>
      <c r="J2534" s="239" t="e">
        <v>#VALUE!</v>
      </c>
    </row>
    <row r="2535">
      <c r="A2535" s="234" t="s">
        <v>4098</v>
      </c>
      <c r="B2535" s="234" t="str">
        <f>IFERROR(__xludf.DUMMYFUNCTION("""COMPUTED_VALUE"""),"Fanout Desconhecido")</f>
        <v>Fanout Desconhecido</v>
      </c>
      <c r="C2535" s="234" t="str">
        <f>IFERROR(__xludf.DUMMYFUNCTION("""COMPUTED_VALUE"""),"-")</f>
        <v>-</v>
      </c>
      <c r="D2535" s="234">
        <f>IFERROR(__xludf.DUMMYFUNCTION("""COMPUTED_VALUE"""),43.0)</f>
        <v>43</v>
      </c>
      <c r="E2535" s="237" t="str">
        <f>IFERROR(__xludf.DUMMYFUNCTION("""COMPUTED_VALUE"""),"LT1PCD01U6E31")</f>
        <v>LT1PCD01U6E31</v>
      </c>
      <c r="F2535" s="238" t="str">
        <f>IFERROR(__xludf.DUMMYFUNCTION("""COMPUTED_VALUE"""),"-")</f>
        <v>-</v>
      </c>
      <c r="G2535" s="238" t="str">
        <f>IFERROR(__xludf.DUMMYFUNCTION("""COMPUTED_VALUE"""),"-")</f>
        <v>-</v>
      </c>
      <c r="H2535" s="238" t="str">
        <f>IFERROR(__xludf.DUMMYFUNCTION("""COMPUTED_VALUE"""),"-")</f>
        <v>-</v>
      </c>
      <c r="I2535" s="237" t="str">
        <f t="shared" si="1"/>
        <v>Dentro</v>
      </c>
      <c r="J2535" s="239" t="e">
        <v>#VALUE!</v>
      </c>
    </row>
    <row r="2536">
      <c r="A2536" s="234" t="s">
        <v>4099</v>
      </c>
      <c r="B2536" s="234" t="str">
        <f>IFERROR(__xludf.DUMMYFUNCTION("""COMPUTED_VALUE"""),"Fanout Desconhecido")</f>
        <v>Fanout Desconhecido</v>
      </c>
      <c r="C2536" s="234" t="str">
        <f>IFERROR(__xludf.DUMMYFUNCTION("""COMPUTED_VALUE"""),"-")</f>
        <v>-</v>
      </c>
      <c r="D2536" s="234">
        <f>IFERROR(__xludf.DUMMYFUNCTION("""COMPUTED_VALUE"""),17.0)</f>
        <v>17</v>
      </c>
      <c r="E2536" s="237" t="str">
        <f>IFERROR(__xludf.DUMMYFUNCTION("""COMPUTED_VALUE"""),"LT0PCD01TVIQ1")</f>
        <v>LT0PCD01TVIQ1</v>
      </c>
      <c r="F2536" s="238" t="str">
        <f>IFERROR(__xludf.DUMMYFUNCTION("""COMPUTED_VALUE"""),"-")</f>
        <v>-</v>
      </c>
      <c r="G2536" s="238" t="str">
        <f>IFERROR(__xludf.DUMMYFUNCTION("""COMPUTED_VALUE"""),"-")</f>
        <v>-</v>
      </c>
      <c r="H2536" s="238" t="str">
        <f>IFERROR(__xludf.DUMMYFUNCTION("""COMPUTED_VALUE"""),"-")</f>
        <v>-</v>
      </c>
      <c r="I2536" s="237" t="str">
        <f t="shared" si="1"/>
        <v>Dentro</v>
      </c>
      <c r="J2536" s="239" t="e">
        <v>#VALUE!</v>
      </c>
    </row>
    <row r="2537">
      <c r="A2537" s="234" t="s">
        <v>4100</v>
      </c>
      <c r="B2537" s="234" t="str">
        <f>IFERROR(__xludf.DUMMYFUNCTION("""COMPUTED_VALUE"""),"Fanout Desconhecido")</f>
        <v>Fanout Desconhecido</v>
      </c>
      <c r="C2537" s="234" t="str">
        <f>IFERROR(__xludf.DUMMYFUNCTION("""COMPUTED_VALUE"""),"-")</f>
        <v>-</v>
      </c>
      <c r="D2537" s="234">
        <f>IFERROR(__xludf.DUMMYFUNCTION("""COMPUTED_VALUE"""),47.0)</f>
        <v>47</v>
      </c>
      <c r="E2537" s="237" t="str">
        <f>IFERROR(__xludf.DUMMYFUNCTION("""COMPUTED_VALUE"""),"LT1PCD01U6EK1")</f>
        <v>LT1PCD01U6EK1</v>
      </c>
      <c r="F2537" s="238" t="str">
        <f>IFERROR(__xludf.DUMMYFUNCTION("""COMPUTED_VALUE"""),"-")</f>
        <v>-</v>
      </c>
      <c r="G2537" s="238" t="str">
        <f>IFERROR(__xludf.DUMMYFUNCTION("""COMPUTED_VALUE"""),"-")</f>
        <v>-</v>
      </c>
      <c r="H2537" s="238" t="str">
        <f>IFERROR(__xludf.DUMMYFUNCTION("""COMPUTED_VALUE"""),"-")</f>
        <v>-</v>
      </c>
      <c r="I2537" s="237" t="str">
        <f t="shared" si="1"/>
        <v>Dentro</v>
      </c>
      <c r="J2537" s="239" t="e">
        <v>#VALUE!</v>
      </c>
    </row>
    <row r="2538">
      <c r="A2538" s="234" t="s">
        <v>4101</v>
      </c>
      <c r="B2538" s="234" t="str">
        <f>IFERROR(__xludf.DUMMYFUNCTION("""COMPUTED_VALUE"""),"Fanout Desconhecido")</f>
        <v>Fanout Desconhecido</v>
      </c>
      <c r="C2538" s="234" t="str">
        <f>IFERROR(__xludf.DUMMYFUNCTION("""COMPUTED_VALUE"""),"-")</f>
        <v>-</v>
      </c>
      <c r="D2538" s="234">
        <f>IFERROR(__xludf.DUMMYFUNCTION("""COMPUTED_VALUE"""),21.0)</f>
        <v>21</v>
      </c>
      <c r="E2538" s="237" t="str">
        <f>IFERROR(__xludf.DUMMYFUNCTION("""COMPUTED_VALUE"""),"LT0PCD01TW0T1")</f>
        <v>LT0PCD01TW0T1</v>
      </c>
      <c r="F2538" s="238" t="str">
        <f>IFERROR(__xludf.DUMMYFUNCTION("""COMPUTED_VALUE"""),"-")</f>
        <v>-</v>
      </c>
      <c r="G2538" s="238" t="str">
        <f>IFERROR(__xludf.DUMMYFUNCTION("""COMPUTED_VALUE"""),"-")</f>
        <v>-</v>
      </c>
      <c r="H2538" s="238" t="str">
        <f>IFERROR(__xludf.DUMMYFUNCTION("""COMPUTED_VALUE"""),"-")</f>
        <v>-</v>
      </c>
      <c r="I2538" s="237" t="str">
        <f t="shared" si="1"/>
        <v>Dentro</v>
      </c>
      <c r="J2538" s="239" t="e">
        <v>#VALUE!</v>
      </c>
    </row>
    <row r="2539">
      <c r="A2539" s="234" t="s">
        <v>4102</v>
      </c>
      <c r="B2539" s="234" t="str">
        <f>IFERROR(__xludf.DUMMYFUNCTION("""COMPUTED_VALUE"""),"Fanout Desconhecido")</f>
        <v>Fanout Desconhecido</v>
      </c>
      <c r="C2539" s="234" t="str">
        <f>IFERROR(__xludf.DUMMYFUNCTION("""COMPUTED_VALUE"""),"-")</f>
        <v>-</v>
      </c>
      <c r="D2539" s="234">
        <f>IFERROR(__xludf.DUMMYFUNCTION("""COMPUTED_VALUE"""),12.0)</f>
        <v>12</v>
      </c>
      <c r="E2539" s="237" t="str">
        <f>IFERROR(__xludf.DUMMYFUNCTION("""COMPUTED_VALUE"""),"LT1PCD01UN1Z1")</f>
        <v>LT1PCD01UN1Z1</v>
      </c>
      <c r="F2539" s="238" t="str">
        <f>IFERROR(__xludf.DUMMYFUNCTION("""COMPUTED_VALUE"""),"-")</f>
        <v>-</v>
      </c>
      <c r="G2539" s="238" t="str">
        <f>IFERROR(__xludf.DUMMYFUNCTION("""COMPUTED_VALUE"""),"-")</f>
        <v>-</v>
      </c>
      <c r="H2539" s="238" t="str">
        <f>IFERROR(__xludf.DUMMYFUNCTION("""COMPUTED_VALUE"""),"-")</f>
        <v>-</v>
      </c>
      <c r="I2539" s="237" t="str">
        <f t="shared" si="1"/>
        <v>Dentro</v>
      </c>
      <c r="J2539" s="239" t="e">
        <v>#VALUE!</v>
      </c>
    </row>
    <row r="2540">
      <c r="A2540" s="234" t="s">
        <v>4103</v>
      </c>
      <c r="B2540" s="234" t="str">
        <f>IFERROR(__xludf.DUMMYFUNCTION("""COMPUTED_VALUE"""),"Fanout Desconhecido")</f>
        <v>Fanout Desconhecido</v>
      </c>
      <c r="C2540" s="234" t="str">
        <f>IFERROR(__xludf.DUMMYFUNCTION("""COMPUTED_VALUE"""),"-")</f>
        <v>-</v>
      </c>
      <c r="D2540" s="234">
        <f>IFERROR(__xludf.DUMMYFUNCTION("""COMPUTED_VALUE"""),16.0)</f>
        <v>16</v>
      </c>
      <c r="E2540" s="237" t="str">
        <f>IFERROR(__xludf.DUMMYFUNCTION("""COMPUTED_VALUE"""),"LT1PCD01U6G31")</f>
        <v>LT1PCD01U6G31</v>
      </c>
      <c r="F2540" s="238" t="str">
        <f>IFERROR(__xludf.DUMMYFUNCTION("""COMPUTED_VALUE"""),"-")</f>
        <v>-</v>
      </c>
      <c r="G2540" s="238" t="str">
        <f>IFERROR(__xludf.DUMMYFUNCTION("""COMPUTED_VALUE"""),"-")</f>
        <v>-</v>
      </c>
      <c r="H2540" s="238" t="str">
        <f>IFERROR(__xludf.DUMMYFUNCTION("""COMPUTED_VALUE"""),"-")</f>
        <v>-</v>
      </c>
      <c r="I2540" s="237" t="str">
        <f t="shared" si="1"/>
        <v>Dentro</v>
      </c>
      <c r="J2540" s="239" t="e">
        <v>#VALUE!</v>
      </c>
    </row>
    <row r="2541">
      <c r="A2541" s="234" t="s">
        <v>4104</v>
      </c>
      <c r="B2541" s="234" t="str">
        <f>IFERROR(__xludf.DUMMYFUNCTION("""COMPUTED_VALUE"""),"Fanout Desconhecido")</f>
        <v>Fanout Desconhecido</v>
      </c>
      <c r="C2541" s="234" t="str">
        <f>IFERROR(__xludf.DUMMYFUNCTION("""COMPUTED_VALUE"""),"-")</f>
        <v>-</v>
      </c>
      <c r="D2541" s="234">
        <f>IFERROR(__xludf.DUMMYFUNCTION("""COMPUTED_VALUE"""),41.0)</f>
        <v>41</v>
      </c>
      <c r="E2541" s="237" t="str">
        <f>IFERROR(__xludf.DUMMYFUNCTION("""COMPUTED_VALUE"""),"LT0PCD01TOCX1")</f>
        <v>LT0PCD01TOCX1</v>
      </c>
      <c r="F2541" s="238" t="str">
        <f>IFERROR(__xludf.DUMMYFUNCTION("""COMPUTED_VALUE"""),"-")</f>
        <v>-</v>
      </c>
      <c r="G2541" s="238" t="str">
        <f>IFERROR(__xludf.DUMMYFUNCTION("""COMPUTED_VALUE"""),"-")</f>
        <v>-</v>
      </c>
      <c r="H2541" s="238" t="str">
        <f>IFERROR(__xludf.DUMMYFUNCTION("""COMPUTED_VALUE"""),"-")</f>
        <v>-</v>
      </c>
      <c r="I2541" s="237" t="str">
        <f t="shared" si="1"/>
        <v>Dentro</v>
      </c>
      <c r="J2541" s="239" t="e">
        <v>#VALUE!</v>
      </c>
    </row>
    <row r="2542">
      <c r="A2542" s="234" t="s">
        <v>4105</v>
      </c>
      <c r="B2542" s="234" t="str">
        <f>IFERROR(__xludf.DUMMYFUNCTION("""COMPUTED_VALUE"""),"Fanout Desconhecido")</f>
        <v>Fanout Desconhecido</v>
      </c>
      <c r="C2542" s="234" t="str">
        <f>IFERROR(__xludf.DUMMYFUNCTION("""COMPUTED_VALUE"""),"-")</f>
        <v>-</v>
      </c>
      <c r="D2542" s="234"/>
      <c r="E2542" s="237" t="str">
        <f>IFERROR(__xludf.DUMMYFUNCTION("""COMPUTED_VALUE"""),"LT0PCD01TQHG1")</f>
        <v>LT0PCD01TQHG1</v>
      </c>
      <c r="F2542" s="238" t="str">
        <f>IFERROR(__xludf.DUMMYFUNCTION("""COMPUTED_VALUE"""),"-")</f>
        <v>-</v>
      </c>
      <c r="G2542" s="238" t="str">
        <f>IFERROR(__xludf.DUMMYFUNCTION("""COMPUTED_VALUE"""),"-")</f>
        <v>-</v>
      </c>
      <c r="H2542" s="238" t="str">
        <f>IFERROR(__xludf.DUMMYFUNCTION("""COMPUTED_VALUE"""),"-")</f>
        <v>-</v>
      </c>
      <c r="I2542" s="237" t="str">
        <f t="shared" si="1"/>
        <v>Dentro</v>
      </c>
      <c r="J2542" s="239" t="e">
        <v>#VALUE!</v>
      </c>
    </row>
    <row r="2543">
      <c r="A2543" s="234" t="s">
        <v>4106</v>
      </c>
      <c r="B2543" s="234" t="str">
        <f>IFERROR(__xludf.DUMMYFUNCTION("""COMPUTED_VALUE"""),"Fanout Desconhecido")</f>
        <v>Fanout Desconhecido</v>
      </c>
      <c r="C2543" s="234" t="str">
        <f>IFERROR(__xludf.DUMMYFUNCTION("""COMPUTED_VALUE"""),"-")</f>
        <v>-</v>
      </c>
      <c r="D2543" s="234"/>
      <c r="E2543" s="237" t="str">
        <f>IFERROR(__xludf.DUMMYFUNCTION("""COMPUTED_VALUE"""),"LT0PCD01TOA71")</f>
        <v>LT0PCD01TOA71</v>
      </c>
      <c r="F2543" s="238" t="str">
        <f>IFERROR(__xludf.DUMMYFUNCTION("""COMPUTED_VALUE"""),"-")</f>
        <v>-</v>
      </c>
      <c r="G2543" s="238" t="str">
        <f>IFERROR(__xludf.DUMMYFUNCTION("""COMPUTED_VALUE"""),"-")</f>
        <v>-</v>
      </c>
      <c r="H2543" s="238" t="str">
        <f>IFERROR(__xludf.DUMMYFUNCTION("""COMPUTED_VALUE"""),"-")</f>
        <v>-</v>
      </c>
      <c r="I2543" s="237" t="str">
        <f t="shared" si="1"/>
        <v>Dentro</v>
      </c>
      <c r="J2543" s="239" t="e">
        <v>#VALUE!</v>
      </c>
    </row>
    <row r="2544">
      <c r="A2544" s="234" t="s">
        <v>4107</v>
      </c>
      <c r="B2544" s="234" t="str">
        <f>IFERROR(__xludf.DUMMYFUNCTION("""COMPUTED_VALUE"""),"Fanout Desconhecido")</f>
        <v>Fanout Desconhecido</v>
      </c>
      <c r="C2544" s="234" t="str">
        <f>IFERROR(__xludf.DUMMYFUNCTION("""COMPUTED_VALUE"""),"-")</f>
        <v>-</v>
      </c>
      <c r="D2544" s="234">
        <f>IFERROR(__xludf.DUMMYFUNCTION("""COMPUTED_VALUE"""),15.0)</f>
        <v>15</v>
      </c>
      <c r="E2544" s="237" t="str">
        <f>IFERROR(__xludf.DUMMYFUNCTION("""COMPUTED_VALUE"""),"LT0PCD01TOA92")</f>
        <v>LT0PCD01TOA92</v>
      </c>
      <c r="F2544" s="238" t="str">
        <f>IFERROR(__xludf.DUMMYFUNCTION("""COMPUTED_VALUE"""),"-")</f>
        <v>-</v>
      </c>
      <c r="G2544" s="238" t="str">
        <f>IFERROR(__xludf.DUMMYFUNCTION("""COMPUTED_VALUE"""),"-")</f>
        <v>-</v>
      </c>
      <c r="H2544" s="238" t="str">
        <f>IFERROR(__xludf.DUMMYFUNCTION("""COMPUTED_VALUE"""),"-")</f>
        <v>-</v>
      </c>
      <c r="I2544" s="237" t="str">
        <f t="shared" si="1"/>
        <v>Dentro</v>
      </c>
      <c r="J2544" s="239" t="e">
        <v>#VALUE!</v>
      </c>
    </row>
    <row r="2545">
      <c r="A2545" s="234" t="s">
        <v>4108</v>
      </c>
      <c r="B2545" s="234" t="str">
        <f>IFERROR(__xludf.DUMMYFUNCTION("""COMPUTED_VALUE"""),"Fanout Desconhecido")</f>
        <v>Fanout Desconhecido</v>
      </c>
      <c r="C2545" s="234" t="str">
        <f>IFERROR(__xludf.DUMMYFUNCTION("""COMPUTED_VALUE"""),"-")</f>
        <v>-</v>
      </c>
      <c r="D2545" s="234">
        <f>IFERROR(__xludf.DUMMYFUNCTION("""COMPUTED_VALUE"""),18.0)</f>
        <v>18</v>
      </c>
      <c r="E2545" s="237" t="str">
        <f>IFERROR(__xludf.DUMMYFUNCTION("""COMPUTED_VALUE"""),"LT0PCD01TO931")</f>
        <v>LT0PCD01TO931</v>
      </c>
      <c r="F2545" s="238" t="str">
        <f>IFERROR(__xludf.DUMMYFUNCTION("""COMPUTED_VALUE"""),"-")</f>
        <v>-</v>
      </c>
      <c r="G2545" s="238" t="str">
        <f>IFERROR(__xludf.DUMMYFUNCTION("""COMPUTED_VALUE"""),"-")</f>
        <v>-</v>
      </c>
      <c r="H2545" s="238" t="str">
        <f>IFERROR(__xludf.DUMMYFUNCTION("""COMPUTED_VALUE"""),"-")</f>
        <v>-</v>
      </c>
      <c r="I2545" s="237" t="str">
        <f t="shared" si="1"/>
        <v>Dentro</v>
      </c>
      <c r="J2545" s="239" t="e">
        <v>#VALUE!</v>
      </c>
    </row>
    <row r="2546">
      <c r="A2546" s="234" t="s">
        <v>4109</v>
      </c>
      <c r="B2546" s="234" t="str">
        <f>IFERROR(__xludf.DUMMYFUNCTION("""COMPUTED_VALUE"""),"Fanout Desconhecido")</f>
        <v>Fanout Desconhecido</v>
      </c>
      <c r="C2546" s="234" t="str">
        <f>IFERROR(__xludf.DUMMYFUNCTION("""COMPUTED_VALUE"""),"-")</f>
        <v>-</v>
      </c>
      <c r="D2546" s="234">
        <f>IFERROR(__xludf.DUMMYFUNCTION("""COMPUTED_VALUE"""),36.0)</f>
        <v>36</v>
      </c>
      <c r="E2546" s="237" t="str">
        <f>IFERROR(__xludf.DUMMYFUNCTION("""COMPUTED_VALUE"""),"LT0PCD01TOB31")</f>
        <v>LT0PCD01TOB31</v>
      </c>
      <c r="F2546" s="238" t="str">
        <f>IFERROR(__xludf.DUMMYFUNCTION("""COMPUTED_VALUE"""),"-")</f>
        <v>-</v>
      </c>
      <c r="G2546" s="238" t="str">
        <f>IFERROR(__xludf.DUMMYFUNCTION("""COMPUTED_VALUE"""),"-")</f>
        <v>-</v>
      </c>
      <c r="H2546" s="238" t="str">
        <f>IFERROR(__xludf.DUMMYFUNCTION("""COMPUTED_VALUE"""),"-")</f>
        <v>-</v>
      </c>
      <c r="I2546" s="237" t="str">
        <f t="shared" si="1"/>
        <v>Dentro</v>
      </c>
      <c r="J2546" s="239" t="e">
        <v>#VALUE!</v>
      </c>
    </row>
    <row r="2547">
      <c r="A2547" s="234" t="s">
        <v>4110</v>
      </c>
      <c r="B2547" s="234" t="str">
        <f>IFERROR(__xludf.DUMMYFUNCTION("""COMPUTED_VALUE"""),"Fanout Desconhecido")</f>
        <v>Fanout Desconhecido</v>
      </c>
      <c r="C2547" s="234" t="str">
        <f>IFERROR(__xludf.DUMMYFUNCTION("""COMPUTED_VALUE"""),"-")</f>
        <v>-</v>
      </c>
      <c r="D2547" s="234">
        <f>IFERROR(__xludf.DUMMYFUNCTION("""COMPUTED_VALUE"""),6.0)</f>
        <v>6</v>
      </c>
      <c r="E2547" s="237" t="str">
        <f>IFERROR(__xludf.DUMMYFUNCTION("""COMPUTED_VALUE"""),"LT0PCD01TO8P1")</f>
        <v>LT0PCD01TO8P1</v>
      </c>
      <c r="F2547" s="238" t="str">
        <f>IFERROR(__xludf.DUMMYFUNCTION("""COMPUTED_VALUE"""),"-")</f>
        <v>-</v>
      </c>
      <c r="G2547" s="238" t="str">
        <f>IFERROR(__xludf.DUMMYFUNCTION("""COMPUTED_VALUE"""),"-")</f>
        <v>-</v>
      </c>
      <c r="H2547" s="238" t="str">
        <f>IFERROR(__xludf.DUMMYFUNCTION("""COMPUTED_VALUE"""),"-")</f>
        <v>-</v>
      </c>
      <c r="I2547" s="237" t="str">
        <f t="shared" si="1"/>
        <v>Dentro</v>
      </c>
      <c r="J2547" s="239" t="e">
        <v>#VALUE!</v>
      </c>
    </row>
    <row r="2548">
      <c r="A2548" s="234" t="s">
        <v>4111</v>
      </c>
      <c r="B2548" s="234" t="str">
        <f>IFERROR(__xludf.DUMMYFUNCTION("""COMPUTED_VALUE"""),"Fanout Desconhecido")</f>
        <v>Fanout Desconhecido</v>
      </c>
      <c r="C2548" s="234" t="str">
        <f>IFERROR(__xludf.DUMMYFUNCTION("""COMPUTED_VALUE"""),"-")</f>
        <v>-</v>
      </c>
      <c r="D2548" s="234">
        <f>IFERROR(__xludf.DUMMYFUNCTION("""COMPUTED_VALUE"""),29.0)</f>
        <v>29</v>
      </c>
      <c r="E2548" s="237" t="str">
        <f>IFERROR(__xludf.DUMMYFUNCTION("""COMPUTED_VALUE"""),"LT0PCD01TPG51")</f>
        <v>LT0PCD01TPG51</v>
      </c>
      <c r="F2548" s="238" t="str">
        <f>IFERROR(__xludf.DUMMYFUNCTION("""COMPUTED_VALUE"""),"-")</f>
        <v>-</v>
      </c>
      <c r="G2548" s="238" t="str">
        <f>IFERROR(__xludf.DUMMYFUNCTION("""COMPUTED_VALUE"""),"-")</f>
        <v>-</v>
      </c>
      <c r="H2548" s="238" t="str">
        <f>IFERROR(__xludf.DUMMYFUNCTION("""COMPUTED_VALUE"""),"-")</f>
        <v>-</v>
      </c>
      <c r="I2548" s="237" t="str">
        <f t="shared" si="1"/>
        <v>Dentro</v>
      </c>
      <c r="J2548" s="239" t="e">
        <v>#VALUE!</v>
      </c>
    </row>
    <row r="2549">
      <c r="A2549" s="234" t="s">
        <v>4112</v>
      </c>
      <c r="B2549" s="234" t="str">
        <f>IFERROR(__xludf.DUMMYFUNCTION("""COMPUTED_VALUE"""),"Fanout Desconhecido")</f>
        <v>Fanout Desconhecido</v>
      </c>
      <c r="C2549" s="234" t="str">
        <f>IFERROR(__xludf.DUMMYFUNCTION("""COMPUTED_VALUE"""),"-")</f>
        <v>-</v>
      </c>
      <c r="D2549" s="234">
        <f>IFERROR(__xludf.DUMMYFUNCTION("""COMPUTED_VALUE"""),48.0)</f>
        <v>48</v>
      </c>
      <c r="E2549" s="237" t="str">
        <f>IFERROR(__xludf.DUMMYFUNCTION("""COMPUTED_VALUE"""),"LT0PCD01TOBK1")</f>
        <v>LT0PCD01TOBK1</v>
      </c>
      <c r="F2549" s="238" t="str">
        <f>IFERROR(__xludf.DUMMYFUNCTION("""COMPUTED_VALUE"""),"-")</f>
        <v>-</v>
      </c>
      <c r="G2549" s="238" t="str">
        <f>IFERROR(__xludf.DUMMYFUNCTION("""COMPUTED_VALUE"""),"-")</f>
        <v>-</v>
      </c>
      <c r="H2549" s="238" t="str">
        <f>IFERROR(__xludf.DUMMYFUNCTION("""COMPUTED_VALUE"""),"-")</f>
        <v>-</v>
      </c>
      <c r="I2549" s="237" t="str">
        <f t="shared" si="1"/>
        <v>Dentro</v>
      </c>
      <c r="J2549" s="239" t="e">
        <v>#VALUE!</v>
      </c>
    </row>
    <row r="2550">
      <c r="A2550" s="234" t="s">
        <v>4113</v>
      </c>
      <c r="B2550" s="234" t="str">
        <f>IFERROR(__xludf.DUMMYFUNCTION("""COMPUTED_VALUE"""),"Fanout Desconhecido")</f>
        <v>Fanout Desconhecido</v>
      </c>
      <c r="C2550" s="234" t="str">
        <f>IFERROR(__xludf.DUMMYFUNCTION("""COMPUTED_VALUE"""),"-")</f>
        <v>-</v>
      </c>
      <c r="D2550" s="234">
        <f>IFERROR(__xludf.DUMMYFUNCTION("""COMPUTED_VALUE"""),19.0)</f>
        <v>19</v>
      </c>
      <c r="E2550" s="237" t="str">
        <f>IFERROR(__xludf.DUMMYFUNCTION("""COMPUTED_VALUE"""),"LT1PCD01U6EG1")</f>
        <v>LT1PCD01U6EG1</v>
      </c>
      <c r="F2550" s="238" t="str">
        <f>IFERROR(__xludf.DUMMYFUNCTION("""COMPUTED_VALUE"""),"-")</f>
        <v>-</v>
      </c>
      <c r="G2550" s="238" t="str">
        <f>IFERROR(__xludf.DUMMYFUNCTION("""COMPUTED_VALUE"""),"-")</f>
        <v>-</v>
      </c>
      <c r="H2550" s="238" t="str">
        <f>IFERROR(__xludf.DUMMYFUNCTION("""COMPUTED_VALUE"""),"-")</f>
        <v>-</v>
      </c>
      <c r="I2550" s="237" t="str">
        <f t="shared" si="1"/>
        <v>Dentro</v>
      </c>
      <c r="J2550" s="239" t="e">
        <v>#VALUE!</v>
      </c>
    </row>
    <row r="2551">
      <c r="A2551" s="234" t="s">
        <v>225</v>
      </c>
      <c r="B2551" s="234" t="str">
        <f>IFERROR(__xludf.DUMMYFUNCTION("""COMPUTED_VALUE"""),"Fanout Desconhecido")</f>
        <v>Fanout Desconhecido</v>
      </c>
      <c r="C2551" s="234" t="str">
        <f>IFERROR(__xludf.DUMMYFUNCTION("""COMPUTED_VALUE"""),"-")</f>
        <v>-</v>
      </c>
      <c r="D2551" s="234">
        <f>IFERROR(__xludf.DUMMYFUNCTION("""COMPUTED_VALUE"""),13.0)</f>
        <v>13</v>
      </c>
      <c r="E2551" s="237" t="str">
        <f>IFERROR(__xludf.DUMMYFUNCTION("""COMPUTED_VALUE"""),"LT0PCD01TTRF1")</f>
        <v>LT0PCD01TTRF1</v>
      </c>
      <c r="F2551" s="238" t="str">
        <f>IFERROR(__xludf.DUMMYFUNCTION("""COMPUTED_VALUE"""),"-")</f>
        <v>-</v>
      </c>
      <c r="G2551" s="238" t="str">
        <f>IFERROR(__xludf.DUMMYFUNCTION("""COMPUTED_VALUE"""),"-")</f>
        <v>-</v>
      </c>
      <c r="H2551" s="238" t="str">
        <f>IFERROR(__xludf.DUMMYFUNCTION("""COMPUTED_VALUE"""),"-")</f>
        <v>-</v>
      </c>
      <c r="I2551" s="237" t="str">
        <f t="shared" si="1"/>
        <v>Dentro</v>
      </c>
      <c r="J2551" s="239" t="e">
        <v>#VALUE!</v>
      </c>
    </row>
    <row r="2552">
      <c r="A2552" s="234" t="s">
        <v>226</v>
      </c>
      <c r="B2552" s="234" t="str">
        <f>IFERROR(__xludf.DUMMYFUNCTION("""COMPUTED_VALUE"""),"Fanout Desconhecido")</f>
        <v>Fanout Desconhecido</v>
      </c>
      <c r="C2552" s="234" t="str">
        <f>IFERROR(__xludf.DUMMYFUNCTION("""COMPUTED_VALUE"""),"-")</f>
        <v>-</v>
      </c>
      <c r="D2552" s="234">
        <f>IFERROR(__xludf.DUMMYFUNCTION("""COMPUTED_VALUE"""),34.0)</f>
        <v>34</v>
      </c>
      <c r="E2552" s="237" t="str">
        <f>IFERROR(__xludf.DUMMYFUNCTION("""COMPUTED_VALUE"""),"LT0PCD01TQJC1")</f>
        <v>LT0PCD01TQJC1</v>
      </c>
      <c r="F2552" s="238" t="str">
        <f>IFERROR(__xludf.DUMMYFUNCTION("""COMPUTED_VALUE"""),"-")</f>
        <v>-</v>
      </c>
      <c r="G2552" s="238" t="str">
        <f>IFERROR(__xludf.DUMMYFUNCTION("""COMPUTED_VALUE"""),"-")</f>
        <v>-</v>
      </c>
      <c r="H2552" s="238" t="str">
        <f>IFERROR(__xludf.DUMMYFUNCTION("""COMPUTED_VALUE"""),"-")</f>
        <v>-</v>
      </c>
      <c r="I2552" s="237" t="str">
        <f t="shared" si="1"/>
        <v>Dentro</v>
      </c>
      <c r="J2552" s="239" t="e">
        <v>#VALUE!</v>
      </c>
    </row>
    <row r="2553">
      <c r="A2553" s="234" t="s">
        <v>227</v>
      </c>
      <c r="B2553" s="234" t="str">
        <f>IFERROR(__xludf.DUMMYFUNCTION("""COMPUTED_VALUE"""),"Fanout Desconhecido")</f>
        <v>Fanout Desconhecido</v>
      </c>
      <c r="C2553" s="234" t="str">
        <f>IFERROR(__xludf.DUMMYFUNCTION("""COMPUTED_VALUE"""),"-")</f>
        <v>-</v>
      </c>
      <c r="D2553" s="234">
        <f>IFERROR(__xludf.DUMMYFUNCTION("""COMPUTED_VALUE"""),14.0)</f>
        <v>14</v>
      </c>
      <c r="E2553" s="237" t="str">
        <f>IFERROR(__xludf.DUMMYFUNCTION("""COMPUTED_VALUE"""),"LT0PCD01TO9G1")</f>
        <v>LT0PCD01TO9G1</v>
      </c>
      <c r="F2553" s="238" t="str">
        <f>IFERROR(__xludf.DUMMYFUNCTION("""COMPUTED_VALUE"""),"-")</f>
        <v>-</v>
      </c>
      <c r="G2553" s="238" t="str">
        <f>IFERROR(__xludf.DUMMYFUNCTION("""COMPUTED_VALUE"""),"-")</f>
        <v>-</v>
      </c>
      <c r="H2553" s="238" t="str">
        <f>IFERROR(__xludf.DUMMYFUNCTION("""COMPUTED_VALUE"""),"-")</f>
        <v>-</v>
      </c>
      <c r="I2553" s="237" t="str">
        <f t="shared" si="1"/>
        <v>Dentro</v>
      </c>
      <c r="J2553" s="239" t="e">
        <v>#VALUE!</v>
      </c>
    </row>
    <row r="2554">
      <c r="A2554" s="234" t="s">
        <v>4114</v>
      </c>
      <c r="B2554" s="234" t="str">
        <f>IFERROR(__xludf.DUMMYFUNCTION("""COMPUTED_VALUE"""),"Fanout Desconhecido")</f>
        <v>Fanout Desconhecido</v>
      </c>
      <c r="C2554" s="234" t="str">
        <f>IFERROR(__xludf.DUMMYFUNCTION("""COMPUTED_VALUE"""),"-")</f>
        <v>-</v>
      </c>
      <c r="D2554" s="234">
        <f>IFERROR(__xludf.DUMMYFUNCTION("""COMPUTED_VALUE"""),88.0)</f>
        <v>88</v>
      </c>
      <c r="E2554" s="237" t="str">
        <f>IFERROR(__xludf.DUMMYFUNCTION("""COMPUTED_VALUE"""),"LT0PCC01TVNM3")</f>
        <v>LT0PCC01TVNM3</v>
      </c>
      <c r="F2554" s="238" t="str">
        <f>IFERROR(__xludf.DUMMYFUNCTION("""COMPUTED_VALUE"""),"-")</f>
        <v>-</v>
      </c>
      <c r="G2554" s="238" t="str">
        <f>IFERROR(__xludf.DUMMYFUNCTION("""COMPUTED_VALUE"""),"-")</f>
        <v>-</v>
      </c>
      <c r="H2554" s="238" t="str">
        <f>IFERROR(__xludf.DUMMYFUNCTION("""COMPUTED_VALUE"""),"-")</f>
        <v>-</v>
      </c>
      <c r="I2554" s="237" t="str">
        <f t="shared" si="1"/>
        <v>Dentro</v>
      </c>
      <c r="J2554" s="239" t="e">
        <v>#VALUE!</v>
      </c>
    </row>
    <row r="2555">
      <c r="A2555" s="234" t="s">
        <v>229</v>
      </c>
      <c r="B2555" s="234" t="str">
        <f>IFERROR(__xludf.DUMMYFUNCTION("""COMPUTED_VALUE"""),"Fanout Desconhecido")</f>
        <v>Fanout Desconhecido</v>
      </c>
      <c r="C2555" s="234" t="str">
        <f>IFERROR(__xludf.DUMMYFUNCTION("""COMPUTED_VALUE"""),"-")</f>
        <v>-</v>
      </c>
      <c r="D2555" s="234">
        <f>IFERROR(__xludf.DUMMYFUNCTION("""COMPUTED_VALUE"""),89.0)</f>
        <v>89</v>
      </c>
      <c r="E2555" s="237" t="str">
        <f>IFERROR(__xludf.DUMMYFUNCTION("""COMPUTED_VALUE"""),"LT0PCC01TVNZ1")</f>
        <v>LT0PCC01TVNZ1</v>
      </c>
      <c r="F2555" s="238" t="str">
        <f>IFERROR(__xludf.DUMMYFUNCTION("""COMPUTED_VALUE"""),"-")</f>
        <v>-</v>
      </c>
      <c r="G2555" s="238" t="str">
        <f>IFERROR(__xludf.DUMMYFUNCTION("""COMPUTED_VALUE"""),"-")</f>
        <v>-</v>
      </c>
      <c r="H2555" s="238" t="str">
        <f>IFERROR(__xludf.DUMMYFUNCTION("""COMPUTED_VALUE"""),"-")</f>
        <v>-</v>
      </c>
      <c r="I2555" s="237" t="str">
        <f t="shared" si="1"/>
        <v>Dentro</v>
      </c>
      <c r="J2555" s="239" t="e">
        <v>#VALUE!</v>
      </c>
    </row>
    <row r="2556">
      <c r="A2556" s="234" t="s">
        <v>4115</v>
      </c>
      <c r="B2556" s="234" t="str">
        <f>IFERROR(__xludf.DUMMYFUNCTION("""COMPUTED_VALUE"""),"Fanout Desconhecido")</f>
        <v>Fanout Desconhecido</v>
      </c>
      <c r="C2556" s="234" t="str">
        <f>IFERROR(__xludf.DUMMYFUNCTION("""COMPUTED_VALUE"""),"-")</f>
        <v>-</v>
      </c>
      <c r="D2556" s="234"/>
      <c r="E2556" s="237" t="str">
        <f>IFERROR(__xludf.DUMMYFUNCTION("""COMPUTED_VALUE"""),"LT0PCC01TVO12")</f>
        <v>LT0PCC01TVO12</v>
      </c>
      <c r="F2556" s="238" t="str">
        <f>IFERROR(__xludf.DUMMYFUNCTION("""COMPUTED_VALUE"""),"-")</f>
        <v>-</v>
      </c>
      <c r="G2556" s="238" t="str">
        <f>IFERROR(__xludf.DUMMYFUNCTION("""COMPUTED_VALUE"""),"-")</f>
        <v>-</v>
      </c>
      <c r="H2556" s="238" t="str">
        <f>IFERROR(__xludf.DUMMYFUNCTION("""COMPUTED_VALUE"""),"-")</f>
        <v>-</v>
      </c>
      <c r="I2556" s="237" t="str">
        <f t="shared" si="1"/>
        <v>Dentro</v>
      </c>
      <c r="J2556" s="239" t="e">
        <v>#VALUE!</v>
      </c>
    </row>
    <row r="2557">
      <c r="A2557" s="234" t="s">
        <v>4116</v>
      </c>
      <c r="B2557" s="234" t="str">
        <f>IFERROR(__xludf.DUMMYFUNCTION("""COMPUTED_VALUE"""),"Fanout Desconhecido")</f>
        <v>Fanout Desconhecido</v>
      </c>
      <c r="C2557" s="234" t="str">
        <f>IFERROR(__xludf.DUMMYFUNCTION("""COMPUTED_VALUE"""),"-")</f>
        <v>-</v>
      </c>
      <c r="D2557" s="234"/>
      <c r="E2557" s="237" t="str">
        <f>IFERROR(__xludf.DUMMYFUNCTION("""COMPUTED_VALUE"""),"LT0PCC01TVO33")</f>
        <v>LT0PCC01TVO33</v>
      </c>
      <c r="F2557" s="238" t="str">
        <f>IFERROR(__xludf.DUMMYFUNCTION("""COMPUTED_VALUE"""),"-")</f>
        <v>-</v>
      </c>
      <c r="G2557" s="238" t="str">
        <f>IFERROR(__xludf.DUMMYFUNCTION("""COMPUTED_VALUE"""),"-")</f>
        <v>-</v>
      </c>
      <c r="H2557" s="238" t="str">
        <f>IFERROR(__xludf.DUMMYFUNCTION("""COMPUTED_VALUE"""),"-")</f>
        <v>-</v>
      </c>
      <c r="I2557" s="237" t="str">
        <f t="shared" si="1"/>
        <v>Dentro</v>
      </c>
      <c r="J2557" s="239" t="e">
        <v>#VALUE!</v>
      </c>
    </row>
    <row r="2558">
      <c r="A2558" s="234" t="s">
        <v>4117</v>
      </c>
      <c r="B2558" s="234" t="str">
        <f>IFERROR(__xludf.DUMMYFUNCTION("""COMPUTED_VALUE"""),"Fanout Desconhecido")</f>
        <v>Fanout Desconhecido</v>
      </c>
      <c r="C2558" s="234" t="str">
        <f>IFERROR(__xludf.DUMMYFUNCTION("""COMPUTED_VALUE"""),"-")</f>
        <v>-</v>
      </c>
      <c r="D2558" s="234"/>
      <c r="E2558" s="237" t="str">
        <f>IFERROR(__xludf.DUMMYFUNCTION("""COMPUTED_VALUE"""),"LT0PCC01TVYF1")</f>
        <v>LT0PCC01TVYF1</v>
      </c>
      <c r="F2558" s="238" t="str">
        <f>IFERROR(__xludf.DUMMYFUNCTION("""COMPUTED_VALUE"""),"-")</f>
        <v>-</v>
      </c>
      <c r="G2558" s="238" t="str">
        <f>IFERROR(__xludf.DUMMYFUNCTION("""COMPUTED_VALUE"""),"-")</f>
        <v>-</v>
      </c>
      <c r="H2558" s="238" t="str">
        <f>IFERROR(__xludf.DUMMYFUNCTION("""COMPUTED_VALUE"""),"-")</f>
        <v>-</v>
      </c>
      <c r="I2558" s="237" t="str">
        <f t="shared" si="1"/>
        <v>Dentro</v>
      </c>
      <c r="J2558" s="239" t="e">
        <v>#VALUE!</v>
      </c>
    </row>
    <row r="2559">
      <c r="A2559" s="234" t="s">
        <v>230</v>
      </c>
      <c r="B2559" s="234" t="str">
        <f>IFERROR(__xludf.DUMMYFUNCTION("""COMPUTED_VALUE"""),"Fanout Desconhecido")</f>
        <v>Fanout Desconhecido</v>
      </c>
      <c r="C2559" s="234" t="str">
        <f>IFERROR(__xludf.DUMMYFUNCTION("""COMPUTED_VALUE"""),"-")</f>
        <v>-</v>
      </c>
      <c r="D2559" s="234"/>
      <c r="E2559" s="237" t="str">
        <f>IFERROR(__xludf.DUMMYFUNCTION("""COMPUTED_VALUE"""),"LT0PCC01TVYH2")</f>
        <v>LT0PCC01TVYH2</v>
      </c>
      <c r="F2559" s="238" t="str">
        <f>IFERROR(__xludf.DUMMYFUNCTION("""COMPUTED_VALUE"""),"-")</f>
        <v>-</v>
      </c>
      <c r="G2559" s="238" t="str">
        <f>IFERROR(__xludf.DUMMYFUNCTION("""COMPUTED_VALUE"""),"-")</f>
        <v>-</v>
      </c>
      <c r="H2559" s="238" t="str">
        <f>IFERROR(__xludf.DUMMYFUNCTION("""COMPUTED_VALUE"""),"-")</f>
        <v>-</v>
      </c>
      <c r="I2559" s="237" t="str">
        <f t="shared" si="1"/>
        <v>Dentro</v>
      </c>
      <c r="J2559" s="239" t="e">
        <v>#VALUE!</v>
      </c>
    </row>
    <row r="2560">
      <c r="A2560" s="234" t="s">
        <v>4118</v>
      </c>
      <c r="B2560" s="234" t="str">
        <f>IFERROR(__xludf.DUMMYFUNCTION("""COMPUTED_VALUE"""),"Fanout Desconhecido")</f>
        <v>Fanout Desconhecido</v>
      </c>
      <c r="C2560" s="234" t="str">
        <f>IFERROR(__xludf.DUMMYFUNCTION("""COMPUTED_VALUE"""),"-")</f>
        <v>-</v>
      </c>
      <c r="D2560" s="234">
        <f>IFERROR(__xludf.DUMMYFUNCTION("""COMPUTED_VALUE"""),49.0)</f>
        <v>49</v>
      </c>
      <c r="E2560" s="237" t="str">
        <f>IFERROR(__xludf.DUMMYFUNCTION("""COMPUTED_VALUE"""),"LT0PCC01TVYJ3")</f>
        <v>LT0PCC01TVYJ3</v>
      </c>
      <c r="F2560" s="238" t="str">
        <f>IFERROR(__xludf.DUMMYFUNCTION("""COMPUTED_VALUE"""),"-")</f>
        <v>-</v>
      </c>
      <c r="G2560" s="238" t="str">
        <f>IFERROR(__xludf.DUMMYFUNCTION("""COMPUTED_VALUE"""),"-")</f>
        <v>-</v>
      </c>
      <c r="H2560" s="238" t="str">
        <f>IFERROR(__xludf.DUMMYFUNCTION("""COMPUTED_VALUE"""),"-")</f>
        <v>-</v>
      </c>
      <c r="I2560" s="237" t="str">
        <f t="shared" si="1"/>
        <v>Dentro</v>
      </c>
      <c r="J2560" s="239" t="e">
        <v>#VALUE!</v>
      </c>
    </row>
    <row r="2561">
      <c r="A2561" s="234" t="s">
        <v>4119</v>
      </c>
      <c r="B2561" s="234" t="str">
        <f>IFERROR(__xludf.DUMMYFUNCTION("""COMPUTED_VALUE"""),"Fanout Desconhecido")</f>
        <v>Fanout Desconhecido</v>
      </c>
      <c r="C2561" s="234" t="str">
        <f>IFERROR(__xludf.DUMMYFUNCTION("""COMPUTED_VALUE"""),"-")</f>
        <v>-</v>
      </c>
      <c r="D2561" s="234"/>
      <c r="E2561" s="237" t="str">
        <f>IFERROR(__xludf.DUMMYFUNCTION("""COMPUTED_VALUE"""),"LT0PCC01TNYW2")</f>
        <v>LT0PCC01TNYW2</v>
      </c>
      <c r="F2561" s="238" t="str">
        <f>IFERROR(__xludf.DUMMYFUNCTION("""COMPUTED_VALUE"""),"-")</f>
        <v>-</v>
      </c>
      <c r="G2561" s="238" t="str">
        <f>IFERROR(__xludf.DUMMYFUNCTION("""COMPUTED_VALUE"""),"-")</f>
        <v>-</v>
      </c>
      <c r="H2561" s="238" t="str">
        <f>IFERROR(__xludf.DUMMYFUNCTION("""COMPUTED_VALUE"""),"-")</f>
        <v>-</v>
      </c>
      <c r="I2561" s="237" t="str">
        <f t="shared" si="1"/>
        <v>Dentro</v>
      </c>
      <c r="J2561" s="239" t="e">
        <v>#VALUE!</v>
      </c>
    </row>
    <row r="2562">
      <c r="A2562" s="234" t="s">
        <v>4120</v>
      </c>
      <c r="B2562" s="234" t="str">
        <f>IFERROR(__xludf.DUMMYFUNCTION("""COMPUTED_VALUE"""),"Fanout Desconhecido")</f>
        <v>Fanout Desconhecido</v>
      </c>
      <c r="C2562" s="234" t="str">
        <f>IFERROR(__xludf.DUMMYFUNCTION("""COMPUTED_VALUE"""),"-")</f>
        <v>-</v>
      </c>
      <c r="D2562" s="234"/>
      <c r="E2562" s="237" t="str">
        <f>IFERROR(__xludf.DUMMYFUNCTION("""COMPUTED_VALUE"""),"LT0PCC01TNYU1")</f>
        <v>LT0PCC01TNYU1</v>
      </c>
      <c r="F2562" s="238" t="str">
        <f>IFERROR(__xludf.DUMMYFUNCTION("""COMPUTED_VALUE"""),"-")</f>
        <v>-</v>
      </c>
      <c r="G2562" s="238" t="str">
        <f>IFERROR(__xludf.DUMMYFUNCTION("""COMPUTED_VALUE"""),"-")</f>
        <v>-</v>
      </c>
      <c r="H2562" s="238" t="str">
        <f>IFERROR(__xludf.DUMMYFUNCTION("""COMPUTED_VALUE"""),"-")</f>
        <v>-</v>
      </c>
      <c r="I2562" s="237" t="str">
        <f t="shared" si="1"/>
        <v>Dentro</v>
      </c>
      <c r="J2562" s="239" t="e">
        <v>#VALUE!</v>
      </c>
    </row>
    <row r="2563">
      <c r="A2563" s="234" t="s">
        <v>4121</v>
      </c>
      <c r="B2563" s="234" t="str">
        <f>IFERROR(__xludf.DUMMYFUNCTION("""COMPUTED_VALUE"""),"Fanout Desconhecido")</f>
        <v>Fanout Desconhecido</v>
      </c>
      <c r="C2563" s="234" t="str">
        <f>IFERROR(__xludf.DUMMYFUNCTION("""COMPUTED_VALUE"""),"-")</f>
        <v>-</v>
      </c>
      <c r="D2563" s="234"/>
      <c r="E2563" s="237" t="str">
        <f>IFERROR(__xludf.DUMMYFUNCTION("""COMPUTED_VALUE"""),"LT1PCC01U52I1")</f>
        <v>LT1PCC01U52I1</v>
      </c>
      <c r="F2563" s="238" t="str">
        <f>IFERROR(__xludf.DUMMYFUNCTION("""COMPUTED_VALUE"""),"-")</f>
        <v>-</v>
      </c>
      <c r="G2563" s="238" t="str">
        <f>IFERROR(__xludf.DUMMYFUNCTION("""COMPUTED_VALUE"""),"-")</f>
        <v>-</v>
      </c>
      <c r="H2563" s="238" t="str">
        <f>IFERROR(__xludf.DUMMYFUNCTION("""COMPUTED_VALUE"""),"-")</f>
        <v>-</v>
      </c>
      <c r="I2563" s="237" t="str">
        <f t="shared" si="1"/>
        <v>Dentro</v>
      </c>
      <c r="J2563" s="239" t="e">
        <v>#VALUE!</v>
      </c>
    </row>
    <row r="2564">
      <c r="A2564" s="234" t="s">
        <v>232</v>
      </c>
      <c r="B2564" s="234" t="str">
        <f>IFERROR(__xludf.DUMMYFUNCTION("""COMPUTED_VALUE"""),"Fanout Desconhecido")</f>
        <v>Fanout Desconhecido</v>
      </c>
      <c r="C2564" s="234" t="str">
        <f>IFERROR(__xludf.DUMMYFUNCTION("""COMPUTED_VALUE"""),"-")</f>
        <v>-</v>
      </c>
      <c r="D2564" s="234">
        <f>IFERROR(__xludf.DUMMYFUNCTION("""COMPUTED_VALUE"""),86.0)</f>
        <v>86</v>
      </c>
      <c r="E2564" s="237" t="str">
        <f>IFERROR(__xludf.DUMMYFUNCTION("""COMPUTED_VALUE"""),"LT1PCC01U52M1")</f>
        <v>LT1PCC01U52M1</v>
      </c>
      <c r="F2564" s="238" t="str">
        <f>IFERROR(__xludf.DUMMYFUNCTION("""COMPUTED_VALUE"""),"-")</f>
        <v>-</v>
      </c>
      <c r="G2564" s="238" t="str">
        <f>IFERROR(__xludf.DUMMYFUNCTION("""COMPUTED_VALUE"""),"-")</f>
        <v>-</v>
      </c>
      <c r="H2564" s="238" t="str">
        <f>IFERROR(__xludf.DUMMYFUNCTION("""COMPUTED_VALUE"""),"-")</f>
        <v>-</v>
      </c>
      <c r="I2564" s="237" t="str">
        <f t="shared" si="1"/>
        <v>Dentro</v>
      </c>
      <c r="J2564" s="239" t="e">
        <v>#VALUE!</v>
      </c>
    </row>
    <row r="2565">
      <c r="A2565" s="234" t="s">
        <v>234</v>
      </c>
      <c r="B2565" s="234" t="str">
        <f>IFERROR(__xludf.DUMMYFUNCTION("""COMPUTED_VALUE"""),"Fanout Desconhecido")</f>
        <v>Fanout Desconhecido</v>
      </c>
      <c r="C2565" s="234" t="str">
        <f>IFERROR(__xludf.DUMMYFUNCTION("""COMPUTED_VALUE"""),"-")</f>
        <v>-</v>
      </c>
      <c r="D2565" s="234">
        <f>IFERROR(__xludf.DUMMYFUNCTION("""COMPUTED_VALUE"""),90.0)</f>
        <v>90</v>
      </c>
      <c r="E2565" s="237" t="str">
        <f>IFERROR(__xludf.DUMMYFUNCTION("""COMPUTED_VALUE"""),"LT0PCC01TN8F1")</f>
        <v>LT0PCC01TN8F1</v>
      </c>
      <c r="F2565" s="238" t="str">
        <f>IFERROR(__xludf.DUMMYFUNCTION("""COMPUTED_VALUE"""),"-")</f>
        <v>-</v>
      </c>
      <c r="G2565" s="238" t="str">
        <f>IFERROR(__xludf.DUMMYFUNCTION("""COMPUTED_VALUE"""),"-")</f>
        <v>-</v>
      </c>
      <c r="H2565" s="238" t="str">
        <f>IFERROR(__xludf.DUMMYFUNCTION("""COMPUTED_VALUE"""),"-")</f>
        <v>-</v>
      </c>
      <c r="I2565" s="237" t="str">
        <f t="shared" si="1"/>
        <v>Dentro</v>
      </c>
      <c r="J2565" s="239" t="e">
        <v>#VALUE!</v>
      </c>
    </row>
    <row r="2566">
      <c r="A2566" s="234" t="s">
        <v>4122</v>
      </c>
      <c r="B2566" s="234" t="str">
        <f>IFERROR(__xludf.DUMMYFUNCTION("""COMPUTED_VALUE"""),"Fanout Desconhecido")</f>
        <v>Fanout Desconhecido</v>
      </c>
      <c r="C2566" s="234" t="str">
        <f>IFERROR(__xludf.DUMMYFUNCTION("""COMPUTED_VALUE"""),"-")</f>
        <v>-</v>
      </c>
      <c r="D2566" s="234">
        <f>IFERROR(__xludf.DUMMYFUNCTION("""COMPUTED_VALUE"""),91.0)</f>
        <v>91</v>
      </c>
      <c r="E2566" s="237" t="str">
        <f>IFERROR(__xludf.DUMMYFUNCTION("""COMPUTED_VALUE"""),"LT1PCC01U52E1")</f>
        <v>LT1PCC01U52E1</v>
      </c>
      <c r="F2566" s="238" t="str">
        <f>IFERROR(__xludf.DUMMYFUNCTION("""COMPUTED_VALUE"""),"-")</f>
        <v>-</v>
      </c>
      <c r="G2566" s="238" t="str">
        <f>IFERROR(__xludf.DUMMYFUNCTION("""COMPUTED_VALUE"""),"-")</f>
        <v>-</v>
      </c>
      <c r="H2566" s="238" t="str">
        <f>IFERROR(__xludf.DUMMYFUNCTION("""COMPUTED_VALUE"""),"-")</f>
        <v>-</v>
      </c>
      <c r="I2566" s="237" t="str">
        <f t="shared" si="1"/>
        <v>Dentro</v>
      </c>
      <c r="J2566" s="239" t="e">
        <v>#VALUE!</v>
      </c>
    </row>
    <row r="2567">
      <c r="A2567" s="234" t="s">
        <v>4123</v>
      </c>
      <c r="B2567" s="234" t="str">
        <f>IFERROR(__xludf.DUMMYFUNCTION("""COMPUTED_VALUE"""),"Fanout Desconhecido")</f>
        <v>Fanout Desconhecido</v>
      </c>
      <c r="C2567" s="234" t="str">
        <f>IFERROR(__xludf.DUMMYFUNCTION("""COMPUTED_VALUE"""),"-")</f>
        <v>-</v>
      </c>
      <c r="D2567" s="234">
        <f>IFERROR(__xludf.DUMMYFUNCTION("""COMPUTED_VALUE"""),7.0)</f>
        <v>7</v>
      </c>
      <c r="E2567" s="237" t="str">
        <f>IFERROR(__xludf.DUMMYFUNCTION("""COMPUTED_VALUE"""),"LT1PCC01U5271")</f>
        <v>LT1PCC01U5271</v>
      </c>
      <c r="F2567" s="238" t="str">
        <f>IFERROR(__xludf.DUMMYFUNCTION("""COMPUTED_VALUE"""),"-")</f>
        <v>-</v>
      </c>
      <c r="G2567" s="238" t="str">
        <f>IFERROR(__xludf.DUMMYFUNCTION("""COMPUTED_VALUE"""),"-")</f>
        <v>-</v>
      </c>
      <c r="H2567" s="238" t="str">
        <f>IFERROR(__xludf.DUMMYFUNCTION("""COMPUTED_VALUE"""),"-")</f>
        <v>-</v>
      </c>
      <c r="I2567" s="237" t="str">
        <f t="shared" si="1"/>
        <v>Dentro</v>
      </c>
      <c r="J2567" s="239" t="e">
        <v>#VALUE!</v>
      </c>
    </row>
    <row r="2568">
      <c r="A2568" s="234" t="s">
        <v>235</v>
      </c>
      <c r="B2568" s="234" t="str">
        <f>IFERROR(__xludf.DUMMYFUNCTION("""COMPUTED_VALUE"""),"Fanout Desconhecido")</f>
        <v>Fanout Desconhecido</v>
      </c>
      <c r="C2568" s="234" t="str">
        <f>IFERROR(__xludf.DUMMYFUNCTION("""COMPUTED_VALUE"""),"-")</f>
        <v>-</v>
      </c>
      <c r="D2568" s="234">
        <f>IFERROR(__xludf.DUMMYFUNCTION("""COMPUTED_VALUE"""),12.0)</f>
        <v>12</v>
      </c>
      <c r="E2568" s="237" t="str">
        <f>IFERROR(__xludf.DUMMYFUNCTION("""COMPUTED_VALUE"""),"LT0PCD01TV8Y1")</f>
        <v>LT0PCD01TV8Y1</v>
      </c>
      <c r="F2568" s="238" t="str">
        <f>IFERROR(__xludf.DUMMYFUNCTION("""COMPUTED_VALUE"""),"-")</f>
        <v>-</v>
      </c>
      <c r="G2568" s="238" t="str">
        <f>IFERROR(__xludf.DUMMYFUNCTION("""COMPUTED_VALUE"""),"-")</f>
        <v>-</v>
      </c>
      <c r="H2568" s="238" t="str">
        <f>IFERROR(__xludf.DUMMYFUNCTION("""COMPUTED_VALUE"""),"-")</f>
        <v>-</v>
      </c>
      <c r="I2568" s="237" t="str">
        <f t="shared" si="1"/>
        <v>Dentro</v>
      </c>
      <c r="J2568" s="239" t="e">
        <v>#VALUE!</v>
      </c>
    </row>
    <row r="2569">
      <c r="A2569" s="234" t="s">
        <v>242</v>
      </c>
      <c r="B2569" s="234" t="str">
        <f>IFERROR(__xludf.DUMMYFUNCTION("""COMPUTED_VALUE"""),"Fanout Desconhecido")</f>
        <v>Fanout Desconhecido</v>
      </c>
      <c r="C2569" s="234" t="str">
        <f>IFERROR(__xludf.DUMMYFUNCTION("""COMPUTED_VALUE"""),"-")</f>
        <v>-</v>
      </c>
      <c r="D2569" s="234">
        <f>IFERROR(__xludf.DUMMYFUNCTION("""COMPUTED_VALUE"""),7.0)</f>
        <v>7</v>
      </c>
      <c r="E2569" s="237" t="str">
        <f>IFERROR(__xludf.DUMMYFUNCTION("""COMPUTED_VALUE"""),"LT0PCD01TWTY1")</f>
        <v>LT0PCD01TWTY1</v>
      </c>
      <c r="F2569" s="238" t="str">
        <f>IFERROR(__xludf.DUMMYFUNCTION("""COMPUTED_VALUE"""),"-")</f>
        <v>-</v>
      </c>
      <c r="G2569" s="238" t="str">
        <f>IFERROR(__xludf.DUMMYFUNCTION("""COMPUTED_VALUE"""),"-")</f>
        <v>-</v>
      </c>
      <c r="H2569" s="238" t="str">
        <f>IFERROR(__xludf.DUMMYFUNCTION("""COMPUTED_VALUE"""),"-")</f>
        <v>-</v>
      </c>
      <c r="I2569" s="237" t="str">
        <f t="shared" si="1"/>
        <v>Dentro</v>
      </c>
      <c r="J2569" s="239" t="e">
        <v>#VALUE!</v>
      </c>
    </row>
    <row r="2570">
      <c r="A2570" s="234" t="s">
        <v>241</v>
      </c>
      <c r="B2570" s="234" t="str">
        <f>IFERROR(__xludf.DUMMYFUNCTION("""COMPUTED_VALUE"""),"Fanout Desconhecido")</f>
        <v>Fanout Desconhecido</v>
      </c>
      <c r="C2570" s="234" t="str">
        <f>IFERROR(__xludf.DUMMYFUNCTION("""COMPUTED_VALUE"""),"-")</f>
        <v>-</v>
      </c>
      <c r="D2570" s="234">
        <f>IFERROR(__xludf.DUMMYFUNCTION("""COMPUTED_VALUE"""),27.0)</f>
        <v>27</v>
      </c>
      <c r="E2570" s="237" t="str">
        <f>IFERROR(__xludf.DUMMYFUNCTION("""COMPUTED_VALUE"""),"LT0PCD01TPP51")</f>
        <v>LT0PCD01TPP51</v>
      </c>
      <c r="F2570" s="238" t="str">
        <f>IFERROR(__xludf.DUMMYFUNCTION("""COMPUTED_VALUE"""),"-")</f>
        <v>-</v>
      </c>
      <c r="G2570" s="238" t="str">
        <f>IFERROR(__xludf.DUMMYFUNCTION("""COMPUTED_VALUE"""),"-")</f>
        <v>-</v>
      </c>
      <c r="H2570" s="238" t="str">
        <f>IFERROR(__xludf.DUMMYFUNCTION("""COMPUTED_VALUE"""),"-")</f>
        <v>-</v>
      </c>
      <c r="I2570" s="237" t="str">
        <f t="shared" si="1"/>
        <v>Dentro</v>
      </c>
      <c r="J2570" s="239" t="e">
        <v>#VALUE!</v>
      </c>
    </row>
    <row r="2571">
      <c r="A2571" s="234" t="s">
        <v>4124</v>
      </c>
      <c r="B2571" s="234" t="str">
        <f>IFERROR(__xludf.DUMMYFUNCTION("""COMPUTED_VALUE"""),"Fanout Desconhecido")</f>
        <v>Fanout Desconhecido</v>
      </c>
      <c r="C2571" s="234" t="str">
        <f>IFERROR(__xludf.DUMMYFUNCTION("""COMPUTED_VALUE"""),"-")</f>
        <v>-</v>
      </c>
      <c r="D2571" s="234"/>
      <c r="E2571" s="237" t="str">
        <f>IFERROR(__xludf.DUMMYFUNCTION("""COMPUTED_VALUE"""),"LT0PCD01TQH11")</f>
        <v>LT0PCD01TQH11</v>
      </c>
      <c r="F2571" s="238" t="str">
        <f>IFERROR(__xludf.DUMMYFUNCTION("""COMPUTED_VALUE"""),"-")</f>
        <v>-</v>
      </c>
      <c r="G2571" s="238" t="str">
        <f>IFERROR(__xludf.DUMMYFUNCTION("""COMPUTED_VALUE"""),"-")</f>
        <v>-</v>
      </c>
      <c r="H2571" s="238" t="str">
        <f>IFERROR(__xludf.DUMMYFUNCTION("""COMPUTED_VALUE"""),"-")</f>
        <v>-</v>
      </c>
      <c r="I2571" s="237" t="str">
        <f t="shared" si="1"/>
        <v>Dentro</v>
      </c>
      <c r="J2571" s="239" t="e">
        <v>#VALUE!</v>
      </c>
    </row>
    <row r="2572">
      <c r="A2572" s="234" t="s">
        <v>236</v>
      </c>
      <c r="B2572" s="234" t="str">
        <f>IFERROR(__xludf.DUMMYFUNCTION("""COMPUTED_VALUE"""),"Fanout Desconhecido")</f>
        <v>Fanout Desconhecido</v>
      </c>
      <c r="C2572" s="234" t="str">
        <f>IFERROR(__xludf.DUMMYFUNCTION("""COMPUTED_VALUE"""),"-")</f>
        <v>-</v>
      </c>
      <c r="D2572" s="234">
        <f>IFERROR(__xludf.DUMMYFUNCTION("""COMPUTED_VALUE"""),26.0)</f>
        <v>26</v>
      </c>
      <c r="E2572" s="237" t="str">
        <f>IFERROR(__xludf.DUMMYFUNCTION("""COMPUTED_VALUE"""),"LT0PCD01TQJ41")</f>
        <v>LT0PCD01TQJ41</v>
      </c>
      <c r="F2572" s="238" t="str">
        <f>IFERROR(__xludf.DUMMYFUNCTION("""COMPUTED_VALUE"""),"-")</f>
        <v>-</v>
      </c>
      <c r="G2572" s="238" t="str">
        <f>IFERROR(__xludf.DUMMYFUNCTION("""COMPUTED_VALUE"""),"-")</f>
        <v>-</v>
      </c>
      <c r="H2572" s="238" t="str">
        <f>IFERROR(__xludf.DUMMYFUNCTION("""COMPUTED_VALUE"""),"-")</f>
        <v>-</v>
      </c>
      <c r="I2572" s="237" t="str">
        <f t="shared" si="1"/>
        <v>Dentro</v>
      </c>
      <c r="J2572" s="239" t="e">
        <v>#VALUE!</v>
      </c>
    </row>
    <row r="2573">
      <c r="A2573" s="234" t="s">
        <v>4125</v>
      </c>
      <c r="B2573" s="234" t="str">
        <f>IFERROR(__xludf.DUMMYFUNCTION("""COMPUTED_VALUE"""),"Fanout Desconhecido")</f>
        <v>Fanout Desconhecido</v>
      </c>
      <c r="C2573" s="234" t="str">
        <f>IFERROR(__xludf.DUMMYFUNCTION("""COMPUTED_VALUE"""),"-")</f>
        <v>-</v>
      </c>
      <c r="D2573" s="234">
        <f>IFERROR(__xludf.DUMMYFUNCTION("""COMPUTED_VALUE"""),33.0)</f>
        <v>33</v>
      </c>
      <c r="E2573" s="237" t="str">
        <f>IFERROR(__xludf.DUMMYFUNCTION("""COMPUTED_VALUE"""),"LT0PCD01TP431")</f>
        <v>LT0PCD01TP431</v>
      </c>
      <c r="F2573" s="238" t="str">
        <f>IFERROR(__xludf.DUMMYFUNCTION("""COMPUTED_VALUE"""),"-")</f>
        <v>-</v>
      </c>
      <c r="G2573" s="238" t="str">
        <f>IFERROR(__xludf.DUMMYFUNCTION("""COMPUTED_VALUE"""),"-")</f>
        <v>-</v>
      </c>
      <c r="H2573" s="238" t="str">
        <f>IFERROR(__xludf.DUMMYFUNCTION("""COMPUTED_VALUE"""),"-")</f>
        <v>-</v>
      </c>
      <c r="I2573" s="237" t="str">
        <f t="shared" si="1"/>
        <v>Dentro</v>
      </c>
      <c r="J2573" s="239" t="e">
        <v>#VALUE!</v>
      </c>
    </row>
    <row r="2574">
      <c r="A2574" s="234" t="s">
        <v>237</v>
      </c>
      <c r="B2574" s="234" t="str">
        <f>IFERROR(__xludf.DUMMYFUNCTION("""COMPUTED_VALUE"""),"Fanout Desconhecido")</f>
        <v>Fanout Desconhecido</v>
      </c>
      <c r="C2574" s="234" t="str">
        <f>IFERROR(__xludf.DUMMYFUNCTION("""COMPUTED_VALUE"""),"-")</f>
        <v>-</v>
      </c>
      <c r="D2574" s="234">
        <f>IFERROR(__xludf.DUMMYFUNCTION("""COMPUTED_VALUE"""),9.0)</f>
        <v>9</v>
      </c>
      <c r="E2574" s="237" t="str">
        <f>IFERROR(__xludf.DUMMYFUNCTION("""COMPUTED_VALUE"""),"LT0PCD01TQI11")</f>
        <v>LT0PCD01TQI11</v>
      </c>
      <c r="F2574" s="238" t="str">
        <f>IFERROR(__xludf.DUMMYFUNCTION("""COMPUTED_VALUE"""),"-")</f>
        <v>-</v>
      </c>
      <c r="G2574" s="238" t="str">
        <f>IFERROR(__xludf.DUMMYFUNCTION("""COMPUTED_VALUE"""),"-")</f>
        <v>-</v>
      </c>
      <c r="H2574" s="238" t="str">
        <f>IFERROR(__xludf.DUMMYFUNCTION("""COMPUTED_VALUE"""),"-")</f>
        <v>-</v>
      </c>
      <c r="I2574" s="237" t="str">
        <f t="shared" si="1"/>
        <v>Dentro</v>
      </c>
      <c r="J2574" s="239" t="e">
        <v>#VALUE!</v>
      </c>
    </row>
    <row r="2575">
      <c r="A2575" s="234" t="s">
        <v>4126</v>
      </c>
      <c r="B2575" s="234" t="str">
        <f>IFERROR(__xludf.DUMMYFUNCTION("""COMPUTED_VALUE"""),"Fanout Desconhecido")</f>
        <v>Fanout Desconhecido</v>
      </c>
      <c r="C2575" s="234" t="str">
        <f>IFERROR(__xludf.DUMMYFUNCTION("""COMPUTED_VALUE"""),"-")</f>
        <v>-</v>
      </c>
      <c r="D2575" s="234"/>
      <c r="E2575" s="237" t="str">
        <f>IFERROR(__xludf.DUMMYFUNCTION("""COMPUTED_VALUE"""),"LT0PCD01TQHV1")</f>
        <v>LT0PCD01TQHV1</v>
      </c>
      <c r="F2575" s="238" t="str">
        <f>IFERROR(__xludf.DUMMYFUNCTION("""COMPUTED_VALUE"""),"-")</f>
        <v>-</v>
      </c>
      <c r="G2575" s="238" t="str">
        <f>IFERROR(__xludf.DUMMYFUNCTION("""COMPUTED_VALUE"""),"-")</f>
        <v>-</v>
      </c>
      <c r="H2575" s="238" t="str">
        <f>IFERROR(__xludf.DUMMYFUNCTION("""COMPUTED_VALUE"""),"-")</f>
        <v>-</v>
      </c>
      <c r="I2575" s="237" t="str">
        <f t="shared" si="1"/>
        <v>Dentro</v>
      </c>
      <c r="J2575" s="239" t="e">
        <v>#VALUE!</v>
      </c>
    </row>
    <row r="2576">
      <c r="A2576" s="234" t="s">
        <v>239</v>
      </c>
      <c r="B2576" s="234" t="str">
        <f>IFERROR(__xludf.DUMMYFUNCTION("""COMPUTED_VALUE"""),"Fanout Desconhecido")</f>
        <v>Fanout Desconhecido</v>
      </c>
      <c r="C2576" s="234" t="str">
        <f>IFERROR(__xludf.DUMMYFUNCTION("""COMPUTED_VALUE"""),"-")</f>
        <v>-</v>
      </c>
      <c r="D2576" s="234">
        <f>IFERROR(__xludf.DUMMYFUNCTION("""COMPUTED_VALUE"""),22.0)</f>
        <v>22</v>
      </c>
      <c r="E2576" s="237" t="str">
        <f>IFERROR(__xludf.DUMMYFUNCTION("""COMPUTED_VALUE"""),"LT0PCD01TQIK1")</f>
        <v>LT0PCD01TQIK1</v>
      </c>
      <c r="F2576" s="238" t="str">
        <f>IFERROR(__xludf.DUMMYFUNCTION("""COMPUTED_VALUE"""),"-")</f>
        <v>-</v>
      </c>
      <c r="G2576" s="238" t="str">
        <f>IFERROR(__xludf.DUMMYFUNCTION("""COMPUTED_VALUE"""),"-")</f>
        <v>-</v>
      </c>
      <c r="H2576" s="238" t="str">
        <f>IFERROR(__xludf.DUMMYFUNCTION("""COMPUTED_VALUE"""),"-")</f>
        <v>-</v>
      </c>
      <c r="I2576" s="237" t="str">
        <f t="shared" si="1"/>
        <v>Dentro</v>
      </c>
      <c r="J2576" s="239" t="e">
        <v>#VALUE!</v>
      </c>
    </row>
    <row r="2577">
      <c r="A2577" s="234" t="s">
        <v>240</v>
      </c>
      <c r="B2577" s="234" t="str">
        <f>IFERROR(__xludf.DUMMYFUNCTION("""COMPUTED_VALUE"""),"Fanout Desconhecido")</f>
        <v>Fanout Desconhecido</v>
      </c>
      <c r="C2577" s="234" t="str">
        <f>IFERROR(__xludf.DUMMYFUNCTION("""COMPUTED_VALUE"""),"-")</f>
        <v>-</v>
      </c>
      <c r="D2577" s="234">
        <f>IFERROR(__xludf.DUMMYFUNCTION("""COMPUTED_VALUE"""),5.0)</f>
        <v>5</v>
      </c>
      <c r="E2577" s="237" t="str">
        <f>IFERROR(__xludf.DUMMYFUNCTION("""COMPUTED_VALUE"""),"LT0PCD01TO5D1")</f>
        <v>LT0PCD01TO5D1</v>
      </c>
      <c r="F2577" s="238" t="str">
        <f>IFERROR(__xludf.DUMMYFUNCTION("""COMPUTED_VALUE"""),"-")</f>
        <v>-</v>
      </c>
      <c r="G2577" s="238" t="str">
        <f>IFERROR(__xludf.DUMMYFUNCTION("""COMPUTED_VALUE"""),"-")</f>
        <v>-</v>
      </c>
      <c r="H2577" s="238" t="str">
        <f>IFERROR(__xludf.DUMMYFUNCTION("""COMPUTED_VALUE"""),"-")</f>
        <v>-</v>
      </c>
      <c r="I2577" s="237" t="str">
        <f t="shared" si="1"/>
        <v>Dentro</v>
      </c>
      <c r="J2577" s="239" t="e">
        <v>#VALUE!</v>
      </c>
    </row>
    <row r="2578">
      <c r="A2578" s="234" t="s">
        <v>243</v>
      </c>
      <c r="B2578" s="234" t="str">
        <f>IFERROR(__xludf.DUMMYFUNCTION("""COMPUTED_VALUE"""),"Fanout Desconhecido")</f>
        <v>Fanout Desconhecido</v>
      </c>
      <c r="C2578" s="234" t="str">
        <f>IFERROR(__xludf.DUMMYFUNCTION("""COMPUTED_VALUE"""),"-")</f>
        <v>-</v>
      </c>
      <c r="D2578" s="234">
        <f>IFERROR(__xludf.DUMMYFUNCTION("""COMPUTED_VALUE"""),14.0)</f>
        <v>14</v>
      </c>
      <c r="E2578" s="237" t="str">
        <f>IFERROR(__xludf.DUMMYFUNCTION("""COMPUTED_VALUE"""),"LT0PCD01TNRV1")</f>
        <v>LT0PCD01TNRV1</v>
      </c>
      <c r="F2578" s="238" t="str">
        <f>IFERROR(__xludf.DUMMYFUNCTION("""COMPUTED_VALUE"""),"-")</f>
        <v>-</v>
      </c>
      <c r="G2578" s="238" t="str">
        <f>IFERROR(__xludf.DUMMYFUNCTION("""COMPUTED_VALUE"""),"-")</f>
        <v>-</v>
      </c>
      <c r="H2578" s="238" t="str">
        <f>IFERROR(__xludf.DUMMYFUNCTION("""COMPUTED_VALUE"""),"-")</f>
        <v>-</v>
      </c>
      <c r="I2578" s="237" t="str">
        <f t="shared" si="1"/>
        <v>Dentro</v>
      </c>
      <c r="J2578" s="239" t="e">
        <v>#VALUE!</v>
      </c>
    </row>
    <row r="2579">
      <c r="A2579" s="234" t="s">
        <v>247</v>
      </c>
      <c r="B2579" s="234" t="str">
        <f>IFERROR(__xludf.DUMMYFUNCTION("""COMPUTED_VALUE"""),"Fanout Desconhecido")</f>
        <v>Fanout Desconhecido</v>
      </c>
      <c r="C2579" s="234" t="str">
        <f>IFERROR(__xludf.DUMMYFUNCTION("""COMPUTED_VALUE"""),"-")</f>
        <v>-</v>
      </c>
      <c r="D2579" s="234">
        <f>IFERROR(__xludf.DUMMYFUNCTION("""COMPUTED_VALUE"""),28.0)</f>
        <v>28</v>
      </c>
      <c r="E2579" s="237" t="str">
        <f>IFERROR(__xludf.DUMMYFUNCTION("""COMPUTED_VALUE"""),"LT0PCD01TQIT1")</f>
        <v>LT0PCD01TQIT1</v>
      </c>
      <c r="F2579" s="238" t="str">
        <f>IFERROR(__xludf.DUMMYFUNCTION("""COMPUTED_VALUE"""),"-")</f>
        <v>-</v>
      </c>
      <c r="G2579" s="238" t="str">
        <f>IFERROR(__xludf.DUMMYFUNCTION("""COMPUTED_VALUE"""),"-")</f>
        <v>-</v>
      </c>
      <c r="H2579" s="238" t="str">
        <f>IFERROR(__xludf.DUMMYFUNCTION("""COMPUTED_VALUE"""),"-")</f>
        <v>-</v>
      </c>
      <c r="I2579" s="237" t="str">
        <f t="shared" si="1"/>
        <v>Dentro</v>
      </c>
      <c r="J2579" s="239" t="e">
        <v>#VALUE!</v>
      </c>
    </row>
    <row r="2580">
      <c r="A2580" s="234" t="s">
        <v>250</v>
      </c>
      <c r="B2580" s="234" t="str">
        <f>IFERROR(__xludf.DUMMYFUNCTION("""COMPUTED_VALUE"""),"Fanout Desconhecido")</f>
        <v>Fanout Desconhecido</v>
      </c>
      <c r="C2580" s="234" t="str">
        <f>IFERROR(__xludf.DUMMYFUNCTION("""COMPUTED_VALUE"""),"-")</f>
        <v>-</v>
      </c>
      <c r="D2580" s="234">
        <f>IFERROR(__xludf.DUMMYFUNCTION("""COMPUTED_VALUE"""),32.0)</f>
        <v>32</v>
      </c>
      <c r="E2580" s="237" t="str">
        <f>IFERROR(__xludf.DUMMYFUNCTION("""COMPUTED_VALUE"""),"LT0PCD01TTJS1")</f>
        <v>LT0PCD01TTJS1</v>
      </c>
      <c r="F2580" s="238" t="str">
        <f>IFERROR(__xludf.DUMMYFUNCTION("""COMPUTED_VALUE"""),"-")</f>
        <v>-</v>
      </c>
      <c r="G2580" s="238" t="str">
        <f>IFERROR(__xludf.DUMMYFUNCTION("""COMPUTED_VALUE"""),"-")</f>
        <v>-</v>
      </c>
      <c r="H2580" s="238" t="str">
        <f>IFERROR(__xludf.DUMMYFUNCTION("""COMPUTED_VALUE"""),"-")</f>
        <v>-</v>
      </c>
      <c r="I2580" s="237" t="str">
        <f t="shared" si="1"/>
        <v>Dentro</v>
      </c>
      <c r="J2580" s="239" t="e">
        <v>#VALUE!</v>
      </c>
    </row>
    <row r="2581">
      <c r="A2581" s="234" t="s">
        <v>244</v>
      </c>
      <c r="B2581" s="234" t="str">
        <f>IFERROR(__xludf.DUMMYFUNCTION("""COMPUTED_VALUE"""),"Fanout Desconhecido")</f>
        <v>Fanout Desconhecido</v>
      </c>
      <c r="C2581" s="234" t="str">
        <f>IFERROR(__xludf.DUMMYFUNCTION("""COMPUTED_VALUE"""),"-")</f>
        <v>-</v>
      </c>
      <c r="D2581" s="234">
        <f>IFERROR(__xludf.DUMMYFUNCTION("""COMPUTED_VALUE"""),8.0)</f>
        <v>8</v>
      </c>
      <c r="E2581" s="237" t="str">
        <f>IFERROR(__xludf.DUMMYFUNCTION("""COMPUTED_VALUE"""),"LT0PCD01TQGL1")</f>
        <v>LT0PCD01TQGL1</v>
      </c>
      <c r="F2581" s="238" t="str">
        <f>IFERROR(__xludf.DUMMYFUNCTION("""COMPUTED_VALUE"""),"-")</f>
        <v>-</v>
      </c>
      <c r="G2581" s="238" t="str">
        <f>IFERROR(__xludf.DUMMYFUNCTION("""COMPUTED_VALUE"""),"-")</f>
        <v>-</v>
      </c>
      <c r="H2581" s="238" t="str">
        <f>IFERROR(__xludf.DUMMYFUNCTION("""COMPUTED_VALUE"""),"-")</f>
        <v>-</v>
      </c>
      <c r="I2581" s="237" t="str">
        <f t="shared" si="1"/>
        <v>Dentro</v>
      </c>
      <c r="J2581" s="239">
        <v>119.99999999301508</v>
      </c>
    </row>
    <row r="2582">
      <c r="A2582" s="238" t="s">
        <v>4127</v>
      </c>
      <c r="B2582" s="234" t="str">
        <f>IFERROR(__xludf.DUMMYFUNCTION("""COMPUTED_VALUE"""),"SoC_PE_Jaboatão dos Guararapes")</f>
        <v>SoC_PE_Jaboatão dos Guararapes</v>
      </c>
      <c r="C2582" s="234" t="str">
        <f>IFERROR(__xludf.DUMMYFUNCTION("""COMPUTED_VALUE"""),"SOC-PE2")</f>
        <v>SOC-PE2</v>
      </c>
      <c r="D2582" s="234">
        <f>IFERROR(__xludf.DUMMYFUNCTION("""COMPUTED_VALUE"""),25.0)</f>
        <v>25</v>
      </c>
      <c r="E2582" s="243" t="str">
        <f>IFERROR(__xludf.DUMMYFUNCTION("""COMPUTED_VALUE"""),"LT0PCD01TVJ91")</f>
        <v>LT0PCD01TVJ91</v>
      </c>
      <c r="F2582" s="238" t="str">
        <f>IFERROR(__xludf.DUMMYFUNCTION("""COMPUTED_VALUE"""),"IWA2D83,EMU9H00")</f>
        <v>IWA2D83,EMU9H00</v>
      </c>
      <c r="G2582" s="238">
        <f>IFERROR(__xludf.DUMMYFUNCTION("""COMPUTED_VALUE"""),46004.79166666667)</f>
        <v>46004.79167</v>
      </c>
      <c r="H2582" s="238">
        <f>IFERROR(__xludf.DUMMYFUNCTION("""COMPUTED_VALUE"""),46004.875)</f>
        <v>46004.875</v>
      </c>
      <c r="I2582" s="237" t="str">
        <f t="shared" si="1"/>
        <v>Fora</v>
      </c>
      <c r="J2582" s="239">
        <v>538.9999999967404</v>
      </c>
    </row>
    <row r="2583">
      <c r="A2583" s="238" t="s">
        <v>4128</v>
      </c>
      <c r="B2583" s="234" t="str">
        <f>IFERROR(__xludf.DUMMYFUNCTION("""COMPUTED_VALUE"""),"SoC_BA_Simoes Filho")</f>
        <v>SoC_BA_Simoes Filho</v>
      </c>
      <c r="C2583" s="234" t="str">
        <f>IFERROR(__xludf.DUMMYFUNCTION("""COMPUTED_VALUE"""),"SOC-BA2")</f>
        <v>SOC-BA2</v>
      </c>
      <c r="D2583" s="234" t="str">
        <f>IFERROR(__xludf.DUMMYFUNCTION("""COMPUTED_VALUE"""),"89/47")</f>
        <v>89/47</v>
      </c>
      <c r="E2583" s="243" t="str">
        <f>IFERROR(__xludf.DUMMYFUNCTION("""COMPUTED_VALUE"""),"LT0PCD01TVNN1")</f>
        <v>LT0PCD01TVNN1</v>
      </c>
      <c r="F2583" s="238" t="str">
        <f>IFERROR(__xludf.DUMMYFUNCTION("""COMPUTED_VALUE"""),"HAD2A97,OPW7G22")</f>
        <v>HAD2A97,OPW7G22</v>
      </c>
      <c r="G2583" s="238">
        <f>IFERROR(__xludf.DUMMYFUNCTION("""COMPUTED_VALUE"""),46004.584027777775)</f>
        <v>46004.58403</v>
      </c>
      <c r="H2583" s="238">
        <f>IFERROR(__xludf.DUMMYFUNCTION("""COMPUTED_VALUE"""),46004.95833333333)</f>
        <v>46004.95833</v>
      </c>
      <c r="I2583" s="237" t="str">
        <f t="shared" si="1"/>
        <v>Fora</v>
      </c>
      <c r="J2583" s="239">
        <v>537.9999999934807</v>
      </c>
    </row>
    <row r="2584">
      <c r="A2584" s="238" t="s">
        <v>4129</v>
      </c>
      <c r="B2584" s="234" t="str">
        <f>IFERROR(__xludf.DUMMYFUNCTION("""COMPUTED_VALUE"""),"SoC_GO_Goiânia_02")</f>
        <v>SoC_GO_Goiânia_02</v>
      </c>
      <c r="C2584" s="234" t="str">
        <f>IFERROR(__xludf.DUMMYFUNCTION("""COMPUTED_VALUE"""),"SOC-GO2")</f>
        <v>SOC-GO2</v>
      </c>
      <c r="D2584" s="234" t="str">
        <f>IFERROR(__xludf.DUMMYFUNCTION("""COMPUTED_VALUE"""),"86/46")</f>
        <v>86/46</v>
      </c>
      <c r="E2584" s="243" t="str">
        <f>IFERROR(__xludf.DUMMYFUNCTION("""COMPUTED_VALUE"""),"LT0PCD01TVY43")</f>
        <v>LT0PCD01TVY43</v>
      </c>
      <c r="F2584" s="238" t="str">
        <f>IFERROR(__xludf.DUMMYFUNCTION("""COMPUTED_VALUE"""),"OVC8144,ANC8G65")</f>
        <v>OVC8144,ANC8G65</v>
      </c>
      <c r="G2584" s="238">
        <f>IFERROR(__xludf.DUMMYFUNCTION("""COMPUTED_VALUE"""),46004.58472222222)</f>
        <v>46004.58472</v>
      </c>
      <c r="H2584" s="238">
        <f>IFERROR(__xludf.DUMMYFUNCTION("""COMPUTED_VALUE"""),46004.95833333333)</f>
        <v>46004.95833</v>
      </c>
      <c r="I2584" s="237" t="str">
        <f t="shared" si="1"/>
        <v>Fora</v>
      </c>
      <c r="J2584" s="239">
        <v>537.9999999934807</v>
      </c>
    </row>
    <row r="2585">
      <c r="A2585" s="238" t="s">
        <v>4130</v>
      </c>
      <c r="B2585" s="234" t="str">
        <f>IFERROR(__xludf.DUMMYFUNCTION("""COMPUTED_VALUE"""),"SoC_SP_Cravinhos")</f>
        <v>SoC_SP_Cravinhos</v>
      </c>
      <c r="C2585" s="234" t="str">
        <f>IFERROR(__xludf.DUMMYFUNCTION("""COMPUTED_VALUE"""),"SOC-SP5")</f>
        <v>SOC-SP5</v>
      </c>
      <c r="D2585" s="234">
        <f>IFERROR(__xludf.DUMMYFUNCTION("""COMPUTED_VALUE"""),94.0)</f>
        <v>94</v>
      </c>
      <c r="E2585" s="243" t="str">
        <f>IFERROR(__xludf.DUMMYFUNCTION("""COMPUTED_VALUE"""),"LT0PCD01TO1L2")</f>
        <v>LT0PCD01TO1L2</v>
      </c>
      <c r="F2585" s="238" t="str">
        <f>IFERROR(__xludf.DUMMYFUNCTION("""COMPUTED_VALUE"""),"FDB0D73,EFU2I35")</f>
        <v>FDB0D73,EFU2I35</v>
      </c>
      <c r="G2585" s="238">
        <f>IFERROR(__xludf.DUMMYFUNCTION("""COMPUTED_VALUE"""),46004.58472222222)</f>
        <v>46004.58472</v>
      </c>
      <c r="H2585" s="238">
        <f>IFERROR(__xludf.DUMMYFUNCTION("""COMPUTED_VALUE"""),46004.95833333333)</f>
        <v>46004.95833</v>
      </c>
      <c r="I2585" s="237" t="str">
        <f t="shared" si="1"/>
        <v>Fora</v>
      </c>
      <c r="J2585" s="239">
        <v>537.9999999934807</v>
      </c>
    </row>
    <row r="2586">
      <c r="A2586" s="238" t="s">
        <v>4131</v>
      </c>
      <c r="B2586" s="234" t="str">
        <f>IFERROR(__xludf.DUMMYFUNCTION("""COMPUTED_VALUE"""),"SoC_SP_Cravinhos")</f>
        <v>SoC_SP_Cravinhos</v>
      </c>
      <c r="C2586" s="234" t="str">
        <f>IFERROR(__xludf.DUMMYFUNCTION("""COMPUTED_VALUE"""),"SOC-SP5")</f>
        <v>SOC-SP5</v>
      </c>
      <c r="D2586" s="234" t="str">
        <f>IFERROR(__xludf.DUMMYFUNCTION("""COMPUTED_VALUE"""),"95/27")</f>
        <v>95/27</v>
      </c>
      <c r="E2586" s="243" t="str">
        <f>IFERROR(__xludf.DUMMYFUNCTION("""COMPUTED_VALUE"""),"LT0PCD01TO1J1")</f>
        <v>LT0PCD01TO1J1</v>
      </c>
      <c r="F2586" s="238" t="str">
        <f>IFERROR(__xludf.DUMMYFUNCTION("""COMPUTED_VALUE"""),"QXY1A00,SRI2G63")</f>
        <v>QXY1A00,SRI2G63</v>
      </c>
      <c r="G2586" s="238">
        <f>IFERROR(__xludf.DUMMYFUNCTION("""COMPUTED_VALUE"""),46004.58472222222)</f>
        <v>46004.58472</v>
      </c>
      <c r="H2586" s="238">
        <f>IFERROR(__xludf.DUMMYFUNCTION("""COMPUTED_VALUE"""),46004.95833333333)</f>
        <v>46004.95833</v>
      </c>
      <c r="I2586" s="237" t="str">
        <f t="shared" si="1"/>
        <v>Fora</v>
      </c>
      <c r="J2586" s="239">
        <v>120.00000001396984</v>
      </c>
    </row>
    <row r="2587">
      <c r="A2587" s="238" t="s">
        <v>4132</v>
      </c>
      <c r="B2587" s="234" t="str">
        <f>IFERROR(__xludf.DUMMYFUNCTION("""COMPUTED_VALUE"""),"LM Hub_SP_Itaqua_Zimba")</f>
        <v>LM Hub_SP_Itaqua_Zimba</v>
      </c>
      <c r="C2587" s="234" t="str">
        <f>IFERROR(__xludf.DUMMYFUNCTION("""COMPUTED_VALUE"""),"HUB-LSP-74")</f>
        <v>HUB-LSP-74</v>
      </c>
      <c r="D2587" s="234">
        <f>IFERROR(__xludf.DUMMYFUNCTION("""COMPUTED_VALUE"""),32.0)</f>
        <v>32</v>
      </c>
      <c r="E2587" s="243" t="str">
        <f>IFERROR(__xludf.DUMMYFUNCTION("""COMPUTED_VALUE"""),"LT0PCD01TO6V1")</f>
        <v>LT0PCD01TO6V1</v>
      </c>
      <c r="F2587" s="238" t="str">
        <f>IFERROR(__xludf.DUMMYFUNCTION("""COMPUTED_VALUE"""),"BZA4E78,ATP4A84")</f>
        <v>BZA4E78,ATP4A84</v>
      </c>
      <c r="G2587" s="238">
        <f>IFERROR(__xludf.DUMMYFUNCTION("""COMPUTED_VALUE"""),46004.89583333333)</f>
        <v>46004.89583</v>
      </c>
      <c r="H2587" s="238">
        <f>IFERROR(__xludf.DUMMYFUNCTION("""COMPUTED_VALUE"""),46004.97916666667)</f>
        <v>46004.97917</v>
      </c>
      <c r="I2587" s="237" t="str">
        <f t="shared" si="1"/>
        <v>Fora</v>
      </c>
      <c r="J2587" s="239">
        <v>120.00000001396984</v>
      </c>
    </row>
    <row r="2588">
      <c r="A2588" s="238" t="s">
        <v>4133</v>
      </c>
      <c r="B2588" s="234" t="str">
        <f>IFERROR(__xludf.DUMMYFUNCTION("""COMPUTED_VALUE"""),"LM Hub_SP_Jurubatuba")</f>
        <v>LM Hub_SP_Jurubatuba</v>
      </c>
      <c r="C2588" s="234" t="str">
        <f>IFERROR(__xludf.DUMMYFUNCTION("""COMPUTED_VALUE"""),"HUB-LSP-16")</f>
        <v>HUB-LSP-16</v>
      </c>
      <c r="D2588" s="234">
        <f>IFERROR(__xludf.DUMMYFUNCTION("""COMPUTED_VALUE"""),22.0)</f>
        <v>22</v>
      </c>
      <c r="E2588" s="243" t="str">
        <f>IFERROR(__xludf.DUMMYFUNCTION("""COMPUTED_VALUE"""),"LT0PCD01TO4A1")</f>
        <v>LT0PCD01TO4A1</v>
      </c>
      <c r="F2588" s="238" t="str">
        <f>IFERROR(__xludf.DUMMYFUNCTION("""COMPUTED_VALUE"""),"MQM6I27,FXB7G01")</f>
        <v>MQM6I27,FXB7G01</v>
      </c>
      <c r="G2588" s="238">
        <f>IFERROR(__xludf.DUMMYFUNCTION("""COMPUTED_VALUE"""),46004.89583333333)</f>
        <v>46004.89583</v>
      </c>
      <c r="H2588" s="238">
        <f>IFERROR(__xludf.DUMMYFUNCTION("""COMPUTED_VALUE"""),46004.97916666667)</f>
        <v>46004.97917</v>
      </c>
      <c r="I2588" s="237" t="str">
        <f t="shared" si="1"/>
        <v>Fora</v>
      </c>
      <c r="J2588" s="239">
        <v>120.00000001396984</v>
      </c>
    </row>
    <row r="2589">
      <c r="A2589" s="238" t="s">
        <v>4134</v>
      </c>
      <c r="B2589" s="234" t="str">
        <f>IFERROR(__xludf.DUMMYFUNCTION("""COMPUTED_VALUE"""),"LM Hub_SP_Mogi das Cruzes_Jund")</f>
        <v>LM Hub_SP_Mogi das Cruzes_Jund</v>
      </c>
      <c r="C2589" s="234" t="str">
        <f>IFERROR(__xludf.DUMMYFUNCTION("""COMPUTED_VALUE"""),"HUB-LSP-78")</f>
        <v>HUB-LSP-78</v>
      </c>
      <c r="D2589" s="234">
        <f>IFERROR(__xludf.DUMMYFUNCTION("""COMPUTED_VALUE"""),35.0)</f>
        <v>35</v>
      </c>
      <c r="E2589" s="243" t="str">
        <f>IFERROR(__xludf.DUMMYFUNCTION("""COMPUTED_VALUE"""),"LT0PCD01TSLY1")</f>
        <v>LT0PCD01TSLY1</v>
      </c>
      <c r="F2589" s="238" t="str">
        <f>IFERROR(__xludf.DUMMYFUNCTION("""COMPUTED_VALUE"""),"DPR5J10,FVZ1I26")</f>
        <v>DPR5J10,FVZ1I26</v>
      </c>
      <c r="G2589" s="238">
        <f>IFERROR(__xludf.DUMMYFUNCTION("""COMPUTED_VALUE"""),46004.89583333333)</f>
        <v>46004.89583</v>
      </c>
      <c r="H2589" s="238">
        <f>IFERROR(__xludf.DUMMYFUNCTION("""COMPUTED_VALUE"""),46004.97916666667)</f>
        <v>46004.97917</v>
      </c>
      <c r="I2589" s="237" t="str">
        <f t="shared" si="1"/>
        <v>Fora</v>
      </c>
      <c r="J2589" s="239">
        <v>120.00000001396984</v>
      </c>
    </row>
    <row r="2590">
      <c r="A2590" s="238" t="s">
        <v>4135</v>
      </c>
      <c r="B2590" s="234" t="str">
        <f>IFERROR(__xludf.DUMMYFUNCTION("""COMPUTED_VALUE"""),"LM Hub_SP_Santos_Praia Grande")</f>
        <v>LM Hub_SP_Santos_Praia Grande</v>
      </c>
      <c r="C2590" s="234" t="str">
        <f>IFERROR(__xludf.DUMMYFUNCTION("""COMPUTED_VALUE"""),"HUB-LSP-09")</f>
        <v>HUB-LSP-09</v>
      </c>
      <c r="D2590" s="234">
        <f>IFERROR(__xludf.DUMMYFUNCTION("""COMPUTED_VALUE"""),29.0)</f>
        <v>29</v>
      </c>
      <c r="E2590" s="243" t="str">
        <f>IFERROR(__xludf.DUMMYFUNCTION("""COMPUTED_VALUE"""),"LT0PCD01TO9X1")</f>
        <v>LT0PCD01TO9X1</v>
      </c>
      <c r="F2590" s="238" t="str">
        <f>IFERROR(__xludf.DUMMYFUNCTION("""COMPUTED_VALUE"""),"DLG7530,TJX2J70")</f>
        <v>DLG7530,TJX2J70</v>
      </c>
      <c r="G2590" s="238">
        <f>IFERROR(__xludf.DUMMYFUNCTION("""COMPUTED_VALUE"""),46004.89583333333)</f>
        <v>46004.89583</v>
      </c>
      <c r="H2590" s="238">
        <f>IFERROR(__xludf.DUMMYFUNCTION("""COMPUTED_VALUE"""),46004.97916666667)</f>
        <v>46004.97917</v>
      </c>
      <c r="I2590" s="237" t="str">
        <f t="shared" si="1"/>
        <v>Fora</v>
      </c>
      <c r="J2590" s="239">
        <v>120.00000001396984</v>
      </c>
    </row>
    <row r="2591">
      <c r="A2591" s="238" t="s">
        <v>4136</v>
      </c>
      <c r="B2591" s="234" t="str">
        <f>IFERROR(__xludf.DUMMYFUNCTION("""COMPUTED_VALUE"""),"LM Hub_SP_São Paulo_Lapa")</f>
        <v>LM Hub_SP_São Paulo_Lapa</v>
      </c>
      <c r="C2591" s="234" t="str">
        <f>IFERROR(__xludf.DUMMYFUNCTION("""COMPUTED_VALUE"""),"HUB-LSP-15")</f>
        <v>HUB-LSP-15</v>
      </c>
      <c r="D2591" s="234">
        <f>IFERROR(__xludf.DUMMYFUNCTION("""COMPUTED_VALUE"""),15.0)</f>
        <v>15</v>
      </c>
      <c r="E2591" s="243" t="str">
        <f>IFERROR(__xludf.DUMMYFUNCTION("""COMPUTED_VALUE"""),"LT0PCD01TO411")</f>
        <v>LT0PCD01TO411</v>
      </c>
      <c r="F2591" s="238" t="str">
        <f>IFERROR(__xludf.DUMMYFUNCTION("""COMPUTED_VALUE"""),"DIZ1A42,TJN2F17")</f>
        <v>DIZ1A42,TJN2F17</v>
      </c>
      <c r="G2591" s="238">
        <f>IFERROR(__xludf.DUMMYFUNCTION("""COMPUTED_VALUE"""),46004.89583333333)</f>
        <v>46004.89583</v>
      </c>
      <c r="H2591" s="238">
        <f>IFERROR(__xludf.DUMMYFUNCTION("""COMPUTED_VALUE"""),46004.97916666667)</f>
        <v>46004.97917</v>
      </c>
      <c r="I2591" s="237" t="str">
        <f t="shared" si="1"/>
        <v>Fora</v>
      </c>
      <c r="J2591" s="239">
        <v>119.00000001071021</v>
      </c>
    </row>
    <row r="2592">
      <c r="A2592" s="238" t="s">
        <v>4137</v>
      </c>
      <c r="B2592" s="234" t="str">
        <f>IFERROR(__xludf.DUMMYFUNCTION("""COMPUTED_VALUE"""),"LM Hub_SP_São José dos Campos")</f>
        <v>LM Hub_SP_São José dos Campos</v>
      </c>
      <c r="C2592" s="234" t="str">
        <f>IFERROR(__xludf.DUMMYFUNCTION("""COMPUTED_VALUE"""),"HUB-LSP-04")</f>
        <v>HUB-LSP-04</v>
      </c>
      <c r="D2592" s="234">
        <f>IFERROR(__xludf.DUMMYFUNCTION("""COMPUTED_VALUE"""),21.0)</f>
        <v>21</v>
      </c>
      <c r="E2592" s="243" t="str">
        <f>IFERROR(__xludf.DUMMYFUNCTION("""COMPUTED_VALUE"""),"LT0PCD01TNAC1")</f>
        <v>LT0PCD01TNAC1</v>
      </c>
      <c r="F2592" s="238" t="str">
        <f>IFERROR(__xludf.DUMMYFUNCTION("""COMPUTED_VALUE"""),"GBU4H81")</f>
        <v>GBU4H81</v>
      </c>
      <c r="G2592" s="238">
        <f>IFERROR(__xludf.DUMMYFUNCTION("""COMPUTED_VALUE"""),46004.896527777775)</f>
        <v>46004.89653</v>
      </c>
      <c r="H2592" s="238">
        <f>IFERROR(__xludf.DUMMYFUNCTION("""COMPUTED_VALUE"""),46004.97916666667)</f>
        <v>46004.97917</v>
      </c>
      <c r="I2592" s="237" t="str">
        <f t="shared" si="1"/>
        <v>Fora</v>
      </c>
      <c r="J2592" s="239">
        <v>118.99999998975545</v>
      </c>
    </row>
    <row r="2593">
      <c r="A2593" s="238" t="s">
        <v>4138</v>
      </c>
      <c r="B2593" s="234" t="str">
        <f>IFERROR(__xludf.DUMMYFUNCTION("""COMPUTED_VALUE"""),"LM Hub_SP_Guarujá")</f>
        <v>LM Hub_SP_Guarujá</v>
      </c>
      <c r="C2593" s="234" t="str">
        <f>IFERROR(__xludf.DUMMYFUNCTION("""COMPUTED_VALUE"""),"HUB-LSP-06")</f>
        <v>HUB-LSP-06</v>
      </c>
      <c r="D2593" s="234">
        <f>IFERROR(__xludf.DUMMYFUNCTION("""COMPUTED_VALUE"""),8.0)</f>
        <v>8</v>
      </c>
      <c r="E2593" s="243" t="str">
        <f>IFERROR(__xludf.DUMMYFUNCTION("""COMPUTED_VALUE"""),"LT0PCD01TO8J1")</f>
        <v>LT0PCD01TO8J1</v>
      </c>
      <c r="F2593" s="238" t="str">
        <f>IFERROR(__xludf.DUMMYFUNCTION("""COMPUTED_VALUE"""),"TJN5H17")</f>
        <v>TJN5H17</v>
      </c>
      <c r="G2593" s="238">
        <f>IFERROR(__xludf.DUMMYFUNCTION("""COMPUTED_VALUE"""),46004.91666666667)</f>
        <v>46004.91667</v>
      </c>
      <c r="H2593" s="238">
        <f>IFERROR(__xludf.DUMMYFUNCTION("""COMPUTED_VALUE"""),46004.99930555555)</f>
        <v>46004.99931</v>
      </c>
      <c r="I2593" s="237" t="str">
        <f t="shared" si="1"/>
        <v>Fora</v>
      </c>
      <c r="J2593" s="239">
        <v>119.99999999301508</v>
      </c>
    </row>
    <row r="2594">
      <c r="A2594" s="238" t="s">
        <v>4139</v>
      </c>
      <c r="B2594" s="234" t="str">
        <f>IFERROR(__xludf.DUMMYFUNCTION("""COMPUTED_VALUE"""),"LM Hub_SP_Artur Alvim")</f>
        <v>LM Hub_SP_Artur Alvim</v>
      </c>
      <c r="C2594" s="234" t="str">
        <f>IFERROR(__xludf.DUMMYFUNCTION("""COMPUTED_VALUE"""),"HUB-LSP-07")</f>
        <v>HUB-LSP-07</v>
      </c>
      <c r="D2594" s="234">
        <f>IFERROR(__xludf.DUMMYFUNCTION("""COMPUTED_VALUE"""),12.0)</f>
        <v>12</v>
      </c>
      <c r="E2594" s="243" t="str">
        <f>IFERROR(__xludf.DUMMYFUNCTION("""COMPUTED_VALUE"""),"LT0PCD01TO3H1")</f>
        <v>LT0PCD01TO3H1</v>
      </c>
      <c r="F2594" s="238" t="str">
        <f>IFERROR(__xludf.DUMMYFUNCTION("""COMPUTED_VALUE"""),"RJC0I36,RKO1I82")</f>
        <v>RJC0I36,RKO1I82</v>
      </c>
      <c r="G2594" s="238">
        <f>IFERROR(__xludf.DUMMYFUNCTION("""COMPUTED_VALUE"""),46004.91666666667)</f>
        <v>46004.91667</v>
      </c>
      <c r="H2594" s="238">
        <f>IFERROR(__xludf.DUMMYFUNCTION("""COMPUTED_VALUE"""),46005.0)</f>
        <v>46005</v>
      </c>
      <c r="I2594" s="237" t="str">
        <f t="shared" si="1"/>
        <v>Fora</v>
      </c>
      <c r="J2594" s="239">
        <v>119.99999999301508</v>
      </c>
    </row>
    <row r="2595">
      <c r="A2595" s="238" t="s">
        <v>4140</v>
      </c>
      <c r="B2595" s="234" t="str">
        <f>IFERROR(__xludf.DUMMYFUNCTION("""COMPUTED_VALUE"""),"LM Hub_SP_Barueri_01")</f>
        <v>LM Hub_SP_Barueri_01</v>
      </c>
      <c r="C2595" s="234" t="str">
        <f>IFERROR(__xludf.DUMMYFUNCTION("""COMPUTED_VALUE"""),"HUB-LSP-81")</f>
        <v>HUB-LSP-81</v>
      </c>
      <c r="D2595" s="234">
        <f>IFERROR(__xludf.DUMMYFUNCTION("""COMPUTED_VALUE"""),6.0)</f>
        <v>6</v>
      </c>
      <c r="E2595" s="243" t="str">
        <f>IFERROR(__xludf.DUMMYFUNCTION("""COMPUTED_VALUE"""),"LT0PCD01TV971")</f>
        <v>LT0PCD01TV971</v>
      </c>
      <c r="F2595" s="238" t="str">
        <f>IFERROR(__xludf.DUMMYFUNCTION("""COMPUTED_VALUE"""),"FQB9D27,GGI8F52")</f>
        <v>FQB9D27,GGI8F52</v>
      </c>
      <c r="G2595" s="238">
        <f>IFERROR(__xludf.DUMMYFUNCTION("""COMPUTED_VALUE"""),46004.91666666667)</f>
        <v>46004.91667</v>
      </c>
      <c r="H2595" s="238">
        <f>IFERROR(__xludf.DUMMYFUNCTION("""COMPUTED_VALUE"""),46005.0)</f>
        <v>46005</v>
      </c>
      <c r="I2595" s="237" t="str">
        <f t="shared" si="1"/>
        <v>Fora</v>
      </c>
      <c r="J2595" s="239">
        <v>119.99999999301508</v>
      </c>
    </row>
    <row r="2596">
      <c r="A2596" s="238" t="s">
        <v>4141</v>
      </c>
      <c r="B2596" s="234" t="str">
        <f>IFERROR(__xludf.DUMMYFUNCTION("""COMPUTED_VALUE"""),"LM Hub_SP_Guarulhos")</f>
        <v>LM Hub_SP_Guarulhos</v>
      </c>
      <c r="C2596" s="234" t="str">
        <f>IFERROR(__xludf.DUMMYFUNCTION("""COMPUTED_VALUE"""),"HUB-LSP-77")</f>
        <v>HUB-LSP-77</v>
      </c>
      <c r="D2596" s="234">
        <f>IFERROR(__xludf.DUMMYFUNCTION("""COMPUTED_VALUE"""),23.0)</f>
        <v>23</v>
      </c>
      <c r="E2596" s="243" t="str">
        <f>IFERROR(__xludf.DUMMYFUNCTION("""COMPUTED_VALUE"""),"LT0PCD01TPOZ1")</f>
        <v>LT0PCD01TPOZ1</v>
      </c>
      <c r="F2596" s="238" t="str">
        <f>IFERROR(__xludf.DUMMYFUNCTION("""COMPUTED_VALUE"""),"DTC1C41,JXA6G30")</f>
        <v>DTC1C41,JXA6G30</v>
      </c>
      <c r="G2596" s="238">
        <f>IFERROR(__xludf.DUMMYFUNCTION("""COMPUTED_VALUE"""),46004.91666666667)</f>
        <v>46004.91667</v>
      </c>
      <c r="H2596" s="238">
        <f>IFERROR(__xludf.DUMMYFUNCTION("""COMPUTED_VALUE"""),46005.0)</f>
        <v>46005</v>
      </c>
      <c r="I2596" s="237" t="str">
        <f t="shared" si="1"/>
        <v>Fora</v>
      </c>
      <c r="J2596" s="239">
        <v>119.99999999301508</v>
      </c>
    </row>
    <row r="2597">
      <c r="A2597" s="238" t="s">
        <v>4142</v>
      </c>
      <c r="B2597" s="234" t="str">
        <f>IFERROR(__xludf.DUMMYFUNCTION("""COMPUTED_VALUE"""),"LM Hub_SP_Itapevi")</f>
        <v>LM Hub_SP_Itapevi</v>
      </c>
      <c r="C2597" s="234" t="str">
        <f>IFERROR(__xludf.DUMMYFUNCTION("""COMPUTED_VALUE"""),"HUB-LSP-41")</f>
        <v>HUB-LSP-41</v>
      </c>
      <c r="D2597" s="234">
        <f>IFERROR(__xludf.DUMMYFUNCTION("""COMPUTED_VALUE"""),9.0)</f>
        <v>9</v>
      </c>
      <c r="E2597" s="243" t="str">
        <f>IFERROR(__xludf.DUMMYFUNCTION("""COMPUTED_VALUE"""),"LT0PCD01TO5P1")</f>
        <v>LT0PCD01TO5P1</v>
      </c>
      <c r="F2597" s="238" t="str">
        <f>IFERROR(__xludf.DUMMYFUNCTION("""COMPUTED_VALUE"""),"FRM9I93,UGN6B16")</f>
        <v>FRM9I93,UGN6B16</v>
      </c>
      <c r="G2597" s="238">
        <f>IFERROR(__xludf.DUMMYFUNCTION("""COMPUTED_VALUE"""),46004.91666666667)</f>
        <v>46004.91667</v>
      </c>
      <c r="H2597" s="238">
        <f>IFERROR(__xludf.DUMMYFUNCTION("""COMPUTED_VALUE"""),46005.0)</f>
        <v>46005</v>
      </c>
      <c r="I2597" s="237" t="str">
        <f t="shared" si="1"/>
        <v>Fora</v>
      </c>
      <c r="J2597" s="239">
        <v>119.99999999301508</v>
      </c>
    </row>
    <row r="2598">
      <c r="A2598" s="238" t="s">
        <v>4143</v>
      </c>
      <c r="B2598" s="234" t="str">
        <f>IFERROR(__xludf.DUMMYFUNCTION("""COMPUTED_VALUE"""),"LM Hub_SP_Mauá")</f>
        <v>LM Hub_SP_Mauá</v>
      </c>
      <c r="C2598" s="234" t="str">
        <f>IFERROR(__xludf.DUMMYFUNCTION("""COMPUTED_VALUE"""),"HUB-LSP-64")</f>
        <v>HUB-LSP-64</v>
      </c>
      <c r="D2598" s="234">
        <f>IFERROR(__xludf.DUMMYFUNCTION("""COMPUTED_VALUE"""),13.0)</f>
        <v>13</v>
      </c>
      <c r="E2598" s="243" t="str">
        <f>IFERROR(__xludf.DUMMYFUNCTION("""COMPUTED_VALUE"""),"LT0PCD01TO6C1")</f>
        <v>LT0PCD01TO6C1</v>
      </c>
      <c r="F2598" s="238" t="str">
        <f>IFERROR(__xludf.DUMMYFUNCTION("""COMPUTED_VALUE"""),"FQF6B98,DTA7802")</f>
        <v>FQF6B98,DTA7802</v>
      </c>
      <c r="G2598" s="238">
        <f>IFERROR(__xludf.DUMMYFUNCTION("""COMPUTED_VALUE"""),46004.91666666667)</f>
        <v>46004.91667</v>
      </c>
      <c r="H2598" s="238">
        <f>IFERROR(__xludf.DUMMYFUNCTION("""COMPUTED_VALUE"""),46005.0)</f>
        <v>46005</v>
      </c>
      <c r="I2598" s="237" t="str">
        <f t="shared" si="1"/>
        <v>Fora</v>
      </c>
      <c r="J2598" s="239">
        <v>119.99999999301508</v>
      </c>
    </row>
    <row r="2599">
      <c r="A2599" s="238" t="s">
        <v>4144</v>
      </c>
      <c r="B2599" s="234" t="str">
        <f>IFERROR(__xludf.DUMMYFUNCTION("""COMPUTED_VALUE"""),"LM Hub_SP_Osasco_02")</f>
        <v>LM Hub_SP_Osasco_02</v>
      </c>
      <c r="C2599" s="234" t="str">
        <f>IFERROR(__xludf.DUMMYFUNCTION("""COMPUTED_VALUE"""),"HUB-LSP-60")</f>
        <v>HUB-LSP-60</v>
      </c>
      <c r="D2599" s="234">
        <f>IFERROR(__xludf.DUMMYFUNCTION("""COMPUTED_VALUE"""),19.0)</f>
        <v>19</v>
      </c>
      <c r="E2599" s="243" t="str">
        <f>IFERROR(__xludf.DUMMYFUNCTION("""COMPUTED_VALUE"""),"LT0PCD01TO5Y1")</f>
        <v>LT0PCD01TO5Y1</v>
      </c>
      <c r="F2599" s="238" t="str">
        <f>IFERROR(__xludf.DUMMYFUNCTION("""COMPUTED_VALUE"""),"PYF4A02,TKC6A82")</f>
        <v>PYF4A02,TKC6A82</v>
      </c>
      <c r="G2599" s="238">
        <f>IFERROR(__xludf.DUMMYFUNCTION("""COMPUTED_VALUE"""),46004.91666666667)</f>
        <v>46004.91667</v>
      </c>
      <c r="H2599" s="238">
        <f>IFERROR(__xludf.DUMMYFUNCTION("""COMPUTED_VALUE"""),46005.0)</f>
        <v>46005</v>
      </c>
      <c r="I2599" s="237" t="str">
        <f t="shared" si="1"/>
        <v>Fora</v>
      </c>
      <c r="J2599" s="239">
        <v>119.99999999301508</v>
      </c>
    </row>
    <row r="2600">
      <c r="A2600" s="238" t="s">
        <v>4145</v>
      </c>
      <c r="B2600" s="234" t="str">
        <f>IFERROR(__xludf.DUMMYFUNCTION("""COMPUTED_VALUE"""),"LM Hub_SP_Taubaté")</f>
        <v>LM Hub_SP_Taubaté</v>
      </c>
      <c r="C2600" s="234" t="str">
        <f>IFERROR(__xludf.DUMMYFUNCTION("""COMPUTED_VALUE"""),"HUB-LSP-08")</f>
        <v>HUB-LSP-08</v>
      </c>
      <c r="D2600" s="234">
        <f>IFERROR(__xludf.DUMMYFUNCTION("""COMPUTED_VALUE"""),12.0)</f>
        <v>12</v>
      </c>
      <c r="E2600" s="243" t="str">
        <f>IFERROR(__xludf.DUMMYFUNCTION("""COMPUTED_VALUE"""),"LT0PCD01TO9N1")</f>
        <v>LT0PCD01TO9N1</v>
      </c>
      <c r="F2600" s="238" t="str">
        <f>IFERROR(__xludf.DUMMYFUNCTION("""COMPUTED_VALUE"""),"FXQ8H67,APK5F88")</f>
        <v>FXQ8H67,APK5F88</v>
      </c>
      <c r="G2600" s="238">
        <f>IFERROR(__xludf.DUMMYFUNCTION("""COMPUTED_VALUE"""),46004.91666666667)</f>
        <v>46004.91667</v>
      </c>
      <c r="H2600" s="238">
        <f>IFERROR(__xludf.DUMMYFUNCTION("""COMPUTED_VALUE"""),46005.0)</f>
        <v>46005</v>
      </c>
      <c r="I2600" s="237" t="str">
        <f t="shared" si="1"/>
        <v>Fora</v>
      </c>
      <c r="J2600" s="239">
        <v>119.99999999301508</v>
      </c>
    </row>
    <row r="2601">
      <c r="A2601" s="238" t="s">
        <v>4146</v>
      </c>
      <c r="B2601" s="234" t="str">
        <f>IFERROR(__xludf.DUMMYFUNCTION("""COMPUTED_VALUE"""),"SoC_RJ_Duque de Caxias")</f>
        <v>SoC_RJ_Duque de Caxias</v>
      </c>
      <c r="C2601" s="234" t="str">
        <f>IFERROR(__xludf.DUMMYFUNCTION("""COMPUTED_VALUE"""),"SOC-RJ2")</f>
        <v>SOC-RJ2</v>
      </c>
      <c r="D2601" s="234">
        <f>IFERROR(__xludf.DUMMYFUNCTION("""COMPUTED_VALUE"""),48.0)</f>
        <v>48</v>
      </c>
      <c r="E2601" s="243" t="str">
        <f>IFERROR(__xludf.DUMMYFUNCTION("""COMPUTED_VALUE"""),"LT0PCD01TRPW3")</f>
        <v>LT0PCD01TRPW3</v>
      </c>
      <c r="F2601" s="238" t="str">
        <f>IFERROR(__xludf.DUMMYFUNCTION("""COMPUTED_VALUE"""),"EPU5C78,TIV0I78")</f>
        <v>EPU5C78,TIV0I78</v>
      </c>
      <c r="G2601" s="238">
        <f>IFERROR(__xludf.DUMMYFUNCTION("""COMPUTED_VALUE"""),46004.91666666667)</f>
        <v>46004.91667</v>
      </c>
      <c r="H2601" s="238">
        <f>IFERROR(__xludf.DUMMYFUNCTION("""COMPUTED_VALUE"""),46005.0)</f>
        <v>46005</v>
      </c>
      <c r="I2601" s="237" t="str">
        <f t="shared" si="1"/>
        <v>Fora</v>
      </c>
      <c r="J2601" s="239">
        <v>119.99999999301508</v>
      </c>
    </row>
    <row r="2602">
      <c r="A2602" s="238" t="s">
        <v>4147</v>
      </c>
      <c r="B2602" s="234" t="str">
        <f>IFERROR(__xludf.DUMMYFUNCTION("""COMPUTED_VALUE"""),"SoC_RS_Gravataí_02")</f>
        <v>SoC_RS_Gravataí_02</v>
      </c>
      <c r="C2602" s="234" t="str">
        <f>IFERROR(__xludf.DUMMYFUNCTION("""COMPUTED_VALUE"""),"SOC-RS2")</f>
        <v>SOC-RS2</v>
      </c>
      <c r="D2602" s="234">
        <f>IFERROR(__xludf.DUMMYFUNCTION("""COMPUTED_VALUE"""),24.0)</f>
        <v>24</v>
      </c>
      <c r="E2602" s="243" t="str">
        <f>IFERROR(__xludf.DUMMYFUNCTION("""COMPUTED_VALUE"""),"LT1PCD01UKBL1")</f>
        <v>LT1PCD01UKBL1</v>
      </c>
      <c r="F2602" s="238" t="str">
        <f>IFERROR(__xludf.DUMMYFUNCTION("""COMPUTED_VALUE"""),"EWZ0A83,ETM2E01")</f>
        <v>EWZ0A83,ETM2E01</v>
      </c>
      <c r="G2602" s="238">
        <f>IFERROR(__xludf.DUMMYFUNCTION("""COMPUTED_VALUE"""),46004.91666666667)</f>
        <v>46004.91667</v>
      </c>
      <c r="H2602" s="238">
        <f>IFERROR(__xludf.DUMMYFUNCTION("""COMPUTED_VALUE"""),46005.0)</f>
        <v>46005</v>
      </c>
      <c r="I2602" s="237" t="str">
        <f t="shared" si="1"/>
        <v>Fora</v>
      </c>
      <c r="J2602" s="239">
        <v>119.00000000023283</v>
      </c>
    </row>
    <row r="2603">
      <c r="A2603" s="238" t="s">
        <v>4148</v>
      </c>
      <c r="B2603" s="234" t="str">
        <f>IFERROR(__xludf.DUMMYFUNCTION("""COMPUTED_VALUE"""),"LM Hub_SP_Santo André")</f>
        <v>LM Hub_SP_Santo André</v>
      </c>
      <c r="C2603" s="234" t="str">
        <f>IFERROR(__xludf.DUMMYFUNCTION("""COMPUTED_VALUE"""),"HUB-LSP-93")</f>
        <v>HUB-LSP-93</v>
      </c>
      <c r="D2603" s="234"/>
      <c r="E2603" s="243" t="str">
        <f>IFERROR(__xludf.DUMMYFUNCTION("""COMPUTED_VALUE"""),"LT0PCD01TSBT1")</f>
        <v>LT0PCD01TSBT1</v>
      </c>
      <c r="F2603" s="238" t="str">
        <f>IFERROR(__xludf.DUMMYFUNCTION("""COMPUTED_VALUE"""),"AUH5C55,AXE8E39")</f>
        <v>AUH5C55,AXE8E39</v>
      </c>
      <c r="G2603" s="238">
        <f>IFERROR(__xludf.DUMMYFUNCTION("""COMPUTED_VALUE"""),46004.91736111111)</f>
        <v>46004.91736</v>
      </c>
      <c r="H2603" s="238">
        <f>IFERROR(__xludf.DUMMYFUNCTION("""COMPUTED_VALUE"""),46005.0)</f>
        <v>46005</v>
      </c>
      <c r="I2603" s="237" t="str">
        <f t="shared" si="1"/>
        <v>Fora</v>
      </c>
      <c r="J2603" s="239">
        <v>119.99999999301508</v>
      </c>
    </row>
    <row r="2604">
      <c r="A2604" s="238" t="s">
        <v>4149</v>
      </c>
      <c r="B2604" s="234" t="str">
        <f>IFERROR(__xludf.DUMMYFUNCTION("""COMPUTED_VALUE"""),"LM Hub_SP_Jardim Adriana")</f>
        <v>LM Hub_SP_Jardim Adriana</v>
      </c>
      <c r="C2604" s="234" t="str">
        <f>IFERROR(__xludf.DUMMYFUNCTION("""COMPUTED_VALUE"""),"HUB-LSP-12")</f>
        <v>HUB-LSP-12</v>
      </c>
      <c r="D2604" s="234">
        <f>IFERROR(__xludf.DUMMYFUNCTION("""COMPUTED_VALUE"""),7.0)</f>
        <v>7</v>
      </c>
      <c r="E2604" s="243" t="str">
        <f>IFERROR(__xludf.DUMMYFUNCTION("""COMPUTED_VALUE"""),"LT0PCD01TO3N1")</f>
        <v>LT0PCD01TO3N1</v>
      </c>
      <c r="F2604" s="238" t="str">
        <f>IFERROR(__xludf.DUMMYFUNCTION("""COMPUTED_VALUE"""),"FYZ2D15")</f>
        <v>FYZ2D15</v>
      </c>
      <c r="G2604" s="238">
        <f>IFERROR(__xludf.DUMMYFUNCTION("""COMPUTED_VALUE"""),46004.9375)</f>
        <v>46004.9375</v>
      </c>
      <c r="H2604" s="238">
        <f>IFERROR(__xludf.DUMMYFUNCTION("""COMPUTED_VALUE"""),46005.02083333333)</f>
        <v>46005.02083</v>
      </c>
      <c r="I2604" s="237" t="str">
        <f t="shared" si="1"/>
        <v>Fora</v>
      </c>
      <c r="J2604" s="239">
        <v>119.99999999301508</v>
      </c>
    </row>
    <row r="2605">
      <c r="A2605" s="238" t="s">
        <v>4150</v>
      </c>
      <c r="B2605" s="234" t="str">
        <f>IFERROR(__xludf.DUMMYFUNCTION("""COMPUTED_VALUE"""),"LM Hub_SP_Piracicaba")</f>
        <v>LM Hub_SP_Piracicaba</v>
      </c>
      <c r="C2605" s="234" t="str">
        <f>IFERROR(__xludf.DUMMYFUNCTION("""COMPUTED_VALUE"""),"HUB-LSP-62")</f>
        <v>HUB-LSP-62</v>
      </c>
      <c r="D2605" s="234">
        <f>IFERROR(__xludf.DUMMYFUNCTION("""COMPUTED_VALUE"""),27.0)</f>
        <v>27</v>
      </c>
      <c r="E2605" s="243" t="str">
        <f>IFERROR(__xludf.DUMMYFUNCTION("""COMPUTED_VALUE"""),"LT0PCD01TPPF1")</f>
        <v>LT0PCD01TPPF1</v>
      </c>
      <c r="F2605" s="238" t="str">
        <f>IFERROR(__xludf.DUMMYFUNCTION("""COMPUTED_VALUE"""),"EOF4D32,EOF4D33")</f>
        <v>EOF4D32,EOF4D33</v>
      </c>
      <c r="G2605" s="238">
        <f>IFERROR(__xludf.DUMMYFUNCTION("""COMPUTED_VALUE"""),46004.9375)</f>
        <v>46004.9375</v>
      </c>
      <c r="H2605" s="238">
        <f>IFERROR(__xludf.DUMMYFUNCTION("""COMPUTED_VALUE"""),46005.02083333333)</f>
        <v>46005.02083</v>
      </c>
      <c r="I2605" s="237" t="str">
        <f t="shared" si="1"/>
        <v>Fora</v>
      </c>
      <c r="J2605" s="239">
        <v>118.99999998975545</v>
      </c>
    </row>
    <row r="2606">
      <c r="A2606" s="238" t="s">
        <v>4151</v>
      </c>
      <c r="B2606" s="234" t="str">
        <f>IFERROR(__xludf.DUMMYFUNCTION("""COMPUTED_VALUE"""),"LM Hub_SP_Parque Novo Mundo")</f>
        <v>LM Hub_SP_Parque Novo Mundo</v>
      </c>
      <c r="C2606" s="234" t="str">
        <f>IFERROR(__xludf.DUMMYFUNCTION("""COMPUTED_VALUE"""),"HUB-LSP-89")</f>
        <v>HUB-LSP-89</v>
      </c>
      <c r="D2606" s="234">
        <f>IFERROR(__xludf.DUMMYFUNCTION("""COMPUTED_VALUE"""),36.0)</f>
        <v>36</v>
      </c>
      <c r="E2606" s="243" t="str">
        <f>IFERROR(__xludf.DUMMYFUNCTION("""COMPUTED_VALUE"""),"LT0PCD01TNOV1")</f>
        <v>LT0PCD01TNOV1</v>
      </c>
      <c r="F2606" s="238" t="str">
        <f>IFERROR(__xludf.DUMMYFUNCTION("""COMPUTED_VALUE"""),"FNK8E47,FAM1829")</f>
        <v>FNK8E47,FAM1829</v>
      </c>
      <c r="G2606" s="238">
        <f>IFERROR(__xludf.DUMMYFUNCTION("""COMPUTED_VALUE"""),46004.93819444445)</f>
        <v>46004.93819</v>
      </c>
      <c r="H2606" s="238">
        <f>IFERROR(__xludf.DUMMYFUNCTION("""COMPUTED_VALUE"""),46005.02083333333)</f>
        <v>46005.02083</v>
      </c>
      <c r="I2606" s="237" t="str">
        <f t="shared" si="1"/>
        <v>Fora</v>
      </c>
      <c r="J2606" s="239">
        <v>118.99999998975545</v>
      </c>
    </row>
    <row r="2607">
      <c r="A2607" s="238" t="s">
        <v>4152</v>
      </c>
      <c r="B2607" s="234" t="str">
        <f>IFERROR(__xludf.DUMMYFUNCTION("""COMPUTED_VALUE"""),"LM Hub_SP_São Paulo_Carandiru")</f>
        <v>LM Hub_SP_São Paulo_Carandiru</v>
      </c>
      <c r="C2607" s="234" t="str">
        <f>IFERROR(__xludf.DUMMYFUNCTION("""COMPUTED_VALUE"""),"HUB-LSP-18")</f>
        <v>HUB-LSP-18</v>
      </c>
      <c r="D2607" s="234">
        <f>IFERROR(__xludf.DUMMYFUNCTION("""COMPUTED_VALUE"""),38.0)</f>
        <v>38</v>
      </c>
      <c r="E2607" s="243" t="str">
        <f>IFERROR(__xludf.DUMMYFUNCTION("""COMPUTED_VALUE"""),"LT0PCD01TN9L1")</f>
        <v>LT0PCD01TN9L1</v>
      </c>
      <c r="F2607" s="238" t="str">
        <f>IFERROR(__xludf.DUMMYFUNCTION("""COMPUTED_VALUE"""),"FZJ9H38")</f>
        <v>FZJ9H38</v>
      </c>
      <c r="G2607" s="238">
        <f>IFERROR(__xludf.DUMMYFUNCTION("""COMPUTED_VALUE"""),46004.93819444445)</f>
        <v>46004.93819</v>
      </c>
      <c r="H2607" s="238">
        <f>IFERROR(__xludf.DUMMYFUNCTION("""COMPUTED_VALUE"""),46005.02083333333)</f>
        <v>46005.02083</v>
      </c>
      <c r="I2607" s="237" t="str">
        <f t="shared" si="1"/>
        <v>Fora</v>
      </c>
      <c r="J2607" s="239">
        <v>118.99999998975545</v>
      </c>
    </row>
    <row r="2608">
      <c r="A2608" s="238" t="s">
        <v>4153</v>
      </c>
      <c r="B2608" s="234" t="str">
        <f>IFERROR(__xludf.DUMMYFUNCTION("""COMPUTED_VALUE"""),"LM Hub_SP_VilaGuilherme")</f>
        <v>LM Hub_SP_VilaGuilherme</v>
      </c>
      <c r="C2608" s="234" t="str">
        <f>IFERROR(__xludf.DUMMYFUNCTION("""COMPUTED_VALUE"""),"HUB-LSP-68")</f>
        <v>HUB-LSP-68</v>
      </c>
      <c r="D2608" s="234">
        <f>IFERROR(__xludf.DUMMYFUNCTION("""COMPUTED_VALUE"""),14.0)</f>
        <v>14</v>
      </c>
      <c r="E2608" s="243" t="str">
        <f>IFERROR(__xludf.DUMMYFUNCTION("""COMPUTED_VALUE"""),"LT0PCD01TN9T1")</f>
        <v>LT0PCD01TN9T1</v>
      </c>
      <c r="F2608" s="238" t="str">
        <f>IFERROR(__xludf.DUMMYFUNCTION("""COMPUTED_VALUE"""),"HFD4H27,JXG9745")</f>
        <v>HFD4H27,JXG9745</v>
      </c>
      <c r="G2608" s="238">
        <f>IFERROR(__xludf.DUMMYFUNCTION("""COMPUTED_VALUE"""),46004.93819444445)</f>
        <v>46004.93819</v>
      </c>
      <c r="H2608" s="238">
        <f>IFERROR(__xludf.DUMMYFUNCTION("""COMPUTED_VALUE"""),46005.02083333333)</f>
        <v>46005.02083</v>
      </c>
      <c r="I2608" s="237" t="str">
        <f t="shared" si="1"/>
        <v>Fora</v>
      </c>
      <c r="J2608" s="239">
        <v>120.00000001396984</v>
      </c>
    </row>
    <row r="2609">
      <c r="A2609" s="238" t="s">
        <v>4154</v>
      </c>
      <c r="B2609" s="234" t="str">
        <f>IFERROR(__xludf.DUMMYFUNCTION("""COMPUTED_VALUE"""),"SoC_MG_Betim")</f>
        <v>SoC_MG_Betim</v>
      </c>
      <c r="C2609" s="234" t="str">
        <f>IFERROR(__xludf.DUMMYFUNCTION("""COMPUTED_VALUE"""),"SOC-MG2")</f>
        <v>SOC-MG2</v>
      </c>
      <c r="D2609" s="234">
        <f>IFERROR(__xludf.DUMMYFUNCTION("""COMPUTED_VALUE"""),49.0)</f>
        <v>49</v>
      </c>
      <c r="E2609" s="243" t="str">
        <f>IFERROR(__xludf.DUMMYFUNCTION("""COMPUTED_VALUE"""),"LT1PCD01UNO71")</f>
        <v>LT1PCD01UNO71</v>
      </c>
      <c r="F2609" s="238" t="str">
        <f>IFERROR(__xludf.DUMMYFUNCTION("""COMPUTED_VALUE"""),"CPG0J56,EFW5282")</f>
        <v>CPG0J56,EFW5282</v>
      </c>
      <c r="G2609" s="238">
        <f>IFERROR(__xludf.DUMMYFUNCTION("""COMPUTED_VALUE"""),46004.95833333333)</f>
        <v>46004.95833</v>
      </c>
      <c r="H2609" s="238">
        <f>IFERROR(__xludf.DUMMYFUNCTION("""COMPUTED_VALUE"""),46005.04166666667)</f>
        <v>46005.04167</v>
      </c>
      <c r="I2609" s="237" t="str">
        <f t="shared" si="1"/>
        <v>Fora</v>
      </c>
      <c r="J2609" s="239">
        <v>119.99999999301508</v>
      </c>
    </row>
    <row r="2610">
      <c r="A2610" s="238" t="s">
        <v>4155</v>
      </c>
      <c r="B2610" s="234" t="str">
        <f>IFERROR(__xludf.DUMMYFUNCTION("""COMPUTED_VALUE"""),"LM Hub_SP_Araraquara")</f>
        <v>LM Hub_SP_Araraquara</v>
      </c>
      <c r="C2610" s="234" t="str">
        <f>IFERROR(__xludf.DUMMYFUNCTION("""COMPUTED_VALUE"""),"HUB-LSP-29")</f>
        <v>HUB-LSP-29</v>
      </c>
      <c r="D2610" s="234">
        <f>IFERROR(__xludf.DUMMYFUNCTION("""COMPUTED_VALUE"""),44.0)</f>
        <v>44</v>
      </c>
      <c r="E2610" s="243" t="str">
        <f>IFERROR(__xludf.DUMMYFUNCTION("""COMPUTED_VALUE"""),"LT0PCD01TODL1")</f>
        <v>LT0PCD01TODL1</v>
      </c>
      <c r="F2610" s="238" t="str">
        <f>IFERROR(__xludf.DUMMYFUNCTION("""COMPUTED_VALUE"""),"EWJ2H21")</f>
        <v>EWJ2H21</v>
      </c>
      <c r="G2610" s="238">
        <f>IFERROR(__xludf.DUMMYFUNCTION("""COMPUTED_VALUE"""),46004.97916666667)</f>
        <v>46004.97917</v>
      </c>
      <c r="H2610" s="238">
        <f>IFERROR(__xludf.DUMMYFUNCTION("""COMPUTED_VALUE"""),46005.0625)</f>
        <v>46005.0625</v>
      </c>
      <c r="I2610" s="237" t="str">
        <f t="shared" si="1"/>
        <v>Fora</v>
      </c>
      <c r="J2610" s="239">
        <v>120.00000001396984</v>
      </c>
    </row>
    <row r="2611">
      <c r="A2611" s="238" t="s">
        <v>4156</v>
      </c>
      <c r="B2611" s="234" t="str">
        <f>IFERROR(__xludf.DUMMYFUNCTION("""COMPUTED_VALUE"""),"SoC_RS_Gravataí_02")</f>
        <v>SoC_RS_Gravataí_02</v>
      </c>
      <c r="C2611" s="234" t="str">
        <f>IFERROR(__xludf.DUMMYFUNCTION("""COMPUTED_VALUE"""),"SOC-RS2")</f>
        <v>SOC-RS2</v>
      </c>
      <c r="D2611" s="234">
        <f>IFERROR(__xludf.DUMMYFUNCTION("""COMPUTED_VALUE"""),21.0)</f>
        <v>21</v>
      </c>
      <c r="E2611" s="243" t="str">
        <f>IFERROR(__xludf.DUMMYFUNCTION("""COMPUTED_VALUE"""),"LT1PCD01UNF61")</f>
        <v>LT1PCD01UNF61</v>
      </c>
      <c r="F2611" s="238" t="str">
        <f>IFERROR(__xludf.DUMMYFUNCTION("""COMPUTED_VALUE"""),"EML3G02,TJZ0C65")</f>
        <v>EML3G02,TJZ0C65</v>
      </c>
      <c r="G2611" s="238">
        <f>IFERROR(__xludf.DUMMYFUNCTION("""COMPUTED_VALUE"""),46005.08333333333)</f>
        <v>46005.08333</v>
      </c>
      <c r="H2611" s="238">
        <f>IFERROR(__xludf.DUMMYFUNCTION("""COMPUTED_VALUE"""),46005.16666666667)</f>
        <v>46005.16667</v>
      </c>
      <c r="I2611" s="237" t="str">
        <f t="shared" si="1"/>
        <v>Fora</v>
      </c>
      <c r="J2611" s="239">
        <v>119.99999999301508</v>
      </c>
    </row>
    <row r="2612">
      <c r="A2612" s="238" t="s">
        <v>4157</v>
      </c>
      <c r="B2612" s="234" t="str">
        <f>IFERROR(__xludf.DUMMYFUNCTION("""COMPUTED_VALUE"""),"SoC_BA_Simoes Filho")</f>
        <v>SoC_BA_Simoes Filho</v>
      </c>
      <c r="C2612" s="234" t="str">
        <f>IFERROR(__xludf.DUMMYFUNCTION("""COMPUTED_VALUE"""),"SOC-BA2")</f>
        <v>SOC-BA2</v>
      </c>
      <c r="D2612" s="234"/>
      <c r="E2612" s="243" t="str">
        <f>IFERROR(__xludf.DUMMYFUNCTION("""COMPUTED_VALUE"""),"LT1PCE01UKMD1")</f>
        <v>LT1PCE01UKMD1</v>
      </c>
      <c r="F2612" s="238" t="str">
        <f>IFERROR(__xludf.DUMMYFUNCTION("""COMPUTED_VALUE"""),"EGK5J52")</f>
        <v>EGK5J52</v>
      </c>
      <c r="G2612" s="238">
        <f>IFERROR(__xludf.DUMMYFUNCTION("""COMPUTED_VALUE"""),46005.125)</f>
        <v>46005.125</v>
      </c>
      <c r="H2612" s="238">
        <f>IFERROR(__xludf.DUMMYFUNCTION("""COMPUTED_VALUE"""),46005.20833333333)</f>
        <v>46005.20833</v>
      </c>
      <c r="I2612" s="237" t="str">
        <f t="shared" si="1"/>
        <v>Fora</v>
      </c>
      <c r="J2612" s="239">
        <v>119.99999999301508</v>
      </c>
    </row>
    <row r="2613">
      <c r="A2613" s="238" t="s">
        <v>4158</v>
      </c>
      <c r="B2613" s="234" t="str">
        <f>IFERROR(__xludf.DUMMYFUNCTION("""COMPUTED_VALUE"""),"SoC_PE_Jaboatão dos Guararapes")</f>
        <v>SoC_PE_Jaboatão dos Guararapes</v>
      </c>
      <c r="C2613" s="234" t="str">
        <f>IFERROR(__xludf.DUMMYFUNCTION("""COMPUTED_VALUE"""),"SOC-PE2")</f>
        <v>SOC-PE2</v>
      </c>
      <c r="D2613" s="234"/>
      <c r="E2613" s="243" t="str">
        <f>IFERROR(__xludf.DUMMYFUNCTION("""COMPUTED_VALUE"""),"LT0PCE01TVIR1")</f>
        <v>LT0PCE01TVIR1</v>
      </c>
      <c r="F2613" s="238" t="str">
        <f>IFERROR(__xludf.DUMMYFUNCTION("""COMPUTED_VALUE"""),"OZD1E48")</f>
        <v>OZD1E48</v>
      </c>
      <c r="G2613" s="238">
        <f>IFERROR(__xludf.DUMMYFUNCTION("""COMPUTED_VALUE"""),46005.125)</f>
        <v>46005.125</v>
      </c>
      <c r="H2613" s="238">
        <f>IFERROR(__xludf.DUMMYFUNCTION("""COMPUTED_VALUE"""),46005.20833333333)</f>
        <v>46005.20833</v>
      </c>
      <c r="I2613" s="237" t="str">
        <f t="shared" si="1"/>
        <v>Fora</v>
      </c>
      <c r="J2613" s="239">
        <v>119.99999999301508</v>
      </c>
    </row>
    <row r="2614">
      <c r="A2614" s="238" t="s">
        <v>4159</v>
      </c>
      <c r="B2614" s="234" t="str">
        <f>IFERROR(__xludf.DUMMYFUNCTION("""COMPUTED_VALUE"""),"SoC_BA_Simoes Filho")</f>
        <v>SoC_BA_Simoes Filho</v>
      </c>
      <c r="C2614" s="234" t="str">
        <f>IFERROR(__xludf.DUMMYFUNCTION("""COMPUTED_VALUE"""),"SOC-BA2")</f>
        <v>SOC-BA2</v>
      </c>
      <c r="D2614" s="234"/>
      <c r="E2614" s="243" t="str">
        <f>IFERROR(__xludf.DUMMYFUNCTION("""COMPUTED_VALUE"""),"LT1PCE01UKME1")</f>
        <v>LT1PCE01UKME1</v>
      </c>
      <c r="F2614" s="238" t="str">
        <f>IFERROR(__xludf.DUMMYFUNCTION("""COMPUTED_VALUE"""),"CUC6I08")</f>
        <v>CUC6I08</v>
      </c>
      <c r="G2614" s="238">
        <f>IFERROR(__xludf.DUMMYFUNCTION("""COMPUTED_VALUE"""),46005.16666666667)</f>
        <v>46005.16667</v>
      </c>
      <c r="H2614" s="238">
        <f>IFERROR(__xludf.DUMMYFUNCTION("""COMPUTED_VALUE"""),46005.25)</f>
        <v>46005.25</v>
      </c>
      <c r="I2614" s="237" t="str">
        <f t="shared" si="1"/>
        <v>Fora</v>
      </c>
      <c r="J2614" s="239">
        <v>119.99999999301508</v>
      </c>
    </row>
    <row r="2615">
      <c r="A2615" s="238" t="s">
        <v>4160</v>
      </c>
      <c r="B2615" s="234" t="str">
        <f>IFERROR(__xludf.DUMMYFUNCTION("""COMPUTED_VALUE"""),"SoC_MG_Betim")</f>
        <v>SoC_MG_Betim</v>
      </c>
      <c r="C2615" s="234" t="str">
        <f>IFERROR(__xludf.DUMMYFUNCTION("""COMPUTED_VALUE"""),"SOC-MG2")</f>
        <v>SOC-MG2</v>
      </c>
      <c r="D2615" s="234" t="str">
        <f>IFERROR(__xludf.DUMMYFUNCTION("""COMPUTED_VALUE"""),"91/13")</f>
        <v>91/13</v>
      </c>
      <c r="E2615" s="243" t="str">
        <f>IFERROR(__xludf.DUMMYFUNCTION("""COMPUTED_VALUE"""),"LT1PCE01UKMI1")</f>
        <v>LT1PCE01UKMI1</v>
      </c>
      <c r="F2615" s="238" t="str">
        <f>IFERROR(__xludf.DUMMYFUNCTION("""COMPUTED_VALUE"""),"TXM5A25,STM8B65")</f>
        <v>TXM5A25,STM8B65</v>
      </c>
      <c r="G2615" s="238">
        <f>IFERROR(__xludf.DUMMYFUNCTION("""COMPUTED_VALUE"""),46005.16666666667)</f>
        <v>46005.16667</v>
      </c>
      <c r="H2615" s="238">
        <f>IFERROR(__xludf.DUMMYFUNCTION("""COMPUTED_VALUE"""),46005.25)</f>
        <v>46005.25</v>
      </c>
      <c r="I2615" s="237" t="str">
        <f t="shared" si="1"/>
        <v>Fora</v>
      </c>
      <c r="J2615" s="239">
        <v>119.99999999301508</v>
      </c>
    </row>
    <row r="2616">
      <c r="A2616" s="238" t="s">
        <v>4161</v>
      </c>
      <c r="B2616" s="234" t="str">
        <f>IFERROR(__xludf.DUMMYFUNCTION("""COMPUTED_VALUE"""),"SoC_PE_Jaboatão dos Guararapes")</f>
        <v>SoC_PE_Jaboatão dos Guararapes</v>
      </c>
      <c r="C2616" s="234" t="str">
        <f>IFERROR(__xludf.DUMMYFUNCTION("""COMPUTED_VALUE"""),"SOC-PE2")</f>
        <v>SOC-PE2</v>
      </c>
      <c r="D2616" s="234">
        <f>IFERROR(__xludf.DUMMYFUNCTION("""COMPUTED_VALUE"""),25.0)</f>
        <v>25</v>
      </c>
      <c r="E2616" s="243" t="str">
        <f>IFERROR(__xludf.DUMMYFUNCTION("""COMPUTED_VALUE"""),"LT1PCE01UKMM1")</f>
        <v>LT1PCE01UKMM1</v>
      </c>
      <c r="F2616" s="238" t="str">
        <f>IFERROR(__xludf.DUMMYFUNCTION("""COMPUTED_VALUE"""),"PPO1H72,FDF9D87")</f>
        <v>PPO1H72,FDF9D87</v>
      </c>
      <c r="G2616" s="238">
        <f>IFERROR(__xludf.DUMMYFUNCTION("""COMPUTED_VALUE"""),46005.16666666667)</f>
        <v>46005.16667</v>
      </c>
      <c r="H2616" s="238">
        <f>IFERROR(__xludf.DUMMYFUNCTION("""COMPUTED_VALUE"""),46005.25)</f>
        <v>46005.25</v>
      </c>
      <c r="I2616" s="237" t="str">
        <f t="shared" si="1"/>
        <v>Fora</v>
      </c>
      <c r="J2616" s="239">
        <v>119.99999999301508</v>
      </c>
    </row>
    <row r="2617">
      <c r="A2617" s="238" t="s">
        <v>4162</v>
      </c>
      <c r="B2617" s="234" t="str">
        <f>IFERROR(__xludf.DUMMYFUNCTION("""COMPUTED_VALUE"""),"SoC_RJ_Duque de Caxias")</f>
        <v>SoC_RJ_Duque de Caxias</v>
      </c>
      <c r="C2617" s="234" t="str">
        <f>IFERROR(__xludf.DUMMYFUNCTION("""COMPUTED_VALUE"""),"SOC-RJ2")</f>
        <v>SOC-RJ2</v>
      </c>
      <c r="D2617" s="234">
        <f>IFERROR(__xludf.DUMMYFUNCTION("""COMPUTED_VALUE"""),8.0)</f>
        <v>8</v>
      </c>
      <c r="E2617" s="243" t="str">
        <f>IFERROR(__xludf.DUMMYFUNCTION("""COMPUTED_VALUE"""),"LT1PCE01UKMR1")</f>
        <v>LT1PCE01UKMR1</v>
      </c>
      <c r="F2617" s="238" t="str">
        <f>IFERROR(__xludf.DUMMYFUNCTION("""COMPUTED_VALUE"""),"MLO0H90,GIJ0E53")</f>
        <v>MLO0H90,GIJ0E53</v>
      </c>
      <c r="G2617" s="238">
        <f>IFERROR(__xludf.DUMMYFUNCTION("""COMPUTED_VALUE"""),46005.16666666667)</f>
        <v>46005.16667</v>
      </c>
      <c r="H2617" s="238">
        <f>IFERROR(__xludf.DUMMYFUNCTION("""COMPUTED_VALUE"""),46005.25)</f>
        <v>46005.25</v>
      </c>
      <c r="I2617" s="237" t="str">
        <f t="shared" si="1"/>
        <v>Fora</v>
      </c>
      <c r="J2617" s="239">
        <v>540.0</v>
      </c>
    </row>
    <row r="2618">
      <c r="A2618" s="244" t="s">
        <v>4163</v>
      </c>
      <c r="B2618" s="234" t="str">
        <f>IFERROR(__xludf.DUMMYFUNCTION("""COMPUTED_VALUE"""),"SoC_MG_Betim")</f>
        <v>SoC_MG_Betim</v>
      </c>
      <c r="C2618" s="234" t="str">
        <f>IFERROR(__xludf.DUMMYFUNCTION("""COMPUTED_VALUE"""),"SOC-MG2")</f>
        <v>SOC-MG2</v>
      </c>
      <c r="D2618" s="234">
        <f>IFERROR(__xludf.DUMMYFUNCTION("""COMPUTED_VALUE"""),50.0)</f>
        <v>50</v>
      </c>
      <c r="E2618" s="245" t="str">
        <f>IFERROR(__xludf.DUMMYFUNCTION("""COMPUTED_VALUE"""),"LT0PCD01TN8G1")</f>
        <v>LT0PCD01TN8G1</v>
      </c>
      <c r="F2618" s="238" t="str">
        <f>IFERROR(__xludf.DUMMYFUNCTION("""COMPUTED_VALUE"""),"RFE4B95,MLT4098")</f>
        <v>RFE4B95,MLT4098</v>
      </c>
      <c r="G2618" s="238">
        <f>IFERROR(__xludf.DUMMYFUNCTION("""COMPUTED_VALUE"""),46004.91666666667)</f>
        <v>46004.91667</v>
      </c>
      <c r="H2618" s="238">
        <f>IFERROR(__xludf.DUMMYFUNCTION("""COMPUTED_VALUE"""),46005.29166666667)</f>
        <v>46005.29167</v>
      </c>
      <c r="I2618" s="237" t="str">
        <f t="shared" si="1"/>
        <v>Fora</v>
      </c>
      <c r="J2618" s="239">
        <v>539.0000000072177</v>
      </c>
    </row>
    <row r="2619">
      <c r="A2619" s="238" t="s">
        <v>4164</v>
      </c>
      <c r="B2619" s="234" t="str">
        <f>IFERROR(__xludf.DUMMYFUNCTION("""COMPUTED_VALUE"""),"SoC_BA_Simoes Filho")</f>
        <v>SoC_BA_Simoes Filho</v>
      </c>
      <c r="C2619" s="234" t="str">
        <f>IFERROR(__xludf.DUMMYFUNCTION("""COMPUTED_VALUE"""),"SOC-BA2")</f>
        <v>SOC-BA2</v>
      </c>
      <c r="D2619" s="234" t="str">
        <f>IFERROR(__xludf.DUMMYFUNCTION("""COMPUTED_VALUE"""),"88/49")</f>
        <v>88/49</v>
      </c>
      <c r="E2619" s="243" t="str">
        <f>IFERROR(__xludf.DUMMYFUNCTION("""COMPUTED_VALUE"""),"LT0PCD01TVO62")</f>
        <v>LT0PCD01TVO62</v>
      </c>
      <c r="F2619" s="238" t="str">
        <f>IFERROR(__xludf.DUMMYFUNCTION("""COMPUTED_VALUE"""),"FZM2E38,SHH0J79")</f>
        <v>FZM2E38,SHH0J79</v>
      </c>
      <c r="G2619" s="238">
        <f>IFERROR(__xludf.DUMMYFUNCTION("""COMPUTED_VALUE"""),46004.91736111111)</f>
        <v>46004.91736</v>
      </c>
      <c r="H2619" s="238">
        <f>IFERROR(__xludf.DUMMYFUNCTION("""COMPUTED_VALUE"""),46005.29166666667)</f>
        <v>46005.29167</v>
      </c>
      <c r="I2619" s="237" t="str">
        <f t="shared" si="1"/>
        <v>Fora</v>
      </c>
      <c r="J2619" s="239">
        <v>539.0000000072177</v>
      </c>
    </row>
    <row r="2620">
      <c r="A2620" s="238" t="s">
        <v>4165</v>
      </c>
      <c r="B2620" s="234" t="str">
        <f>IFERROR(__xludf.DUMMYFUNCTION("""COMPUTED_VALUE"""),"SoC_BA_Simoes Filho")</f>
        <v>SoC_BA_Simoes Filho</v>
      </c>
      <c r="C2620" s="234" t="str">
        <f>IFERROR(__xludf.DUMMYFUNCTION("""COMPUTED_VALUE"""),"SOC-BA2")</f>
        <v>SOC-BA2</v>
      </c>
      <c r="D2620" s="234"/>
      <c r="E2620" s="243" t="str">
        <f>IFERROR(__xludf.DUMMYFUNCTION("""COMPUTED_VALUE"""),"LT0PCD01TVO41")</f>
        <v>LT0PCD01TVO41</v>
      </c>
      <c r="F2620" s="238" t="str">
        <f>IFERROR(__xludf.DUMMYFUNCTION("""COMPUTED_VALUE"""),"CUC6G09,EFV3440")</f>
        <v>CUC6G09,EFV3440</v>
      </c>
      <c r="G2620" s="238">
        <f>IFERROR(__xludf.DUMMYFUNCTION("""COMPUTED_VALUE"""),46004.91736111111)</f>
        <v>46004.91736</v>
      </c>
      <c r="H2620" s="238">
        <f>IFERROR(__xludf.DUMMYFUNCTION("""COMPUTED_VALUE"""),46005.29166666667)</f>
        <v>46005.29167</v>
      </c>
      <c r="I2620" s="237" t="str">
        <f t="shared" si="1"/>
        <v>Fora</v>
      </c>
      <c r="J2620" s="239">
        <v>539.0000000072177</v>
      </c>
    </row>
    <row r="2621">
      <c r="A2621" s="238" t="s">
        <v>4166</v>
      </c>
      <c r="B2621" s="234" t="str">
        <f>IFERROR(__xludf.DUMMYFUNCTION("""COMPUTED_VALUE"""),"SoC_BA_Simoes Filho")</f>
        <v>SoC_BA_Simoes Filho</v>
      </c>
      <c r="C2621" s="234" t="str">
        <f>IFERROR(__xludf.DUMMYFUNCTION("""COMPUTED_VALUE"""),"SOC-BA2")</f>
        <v>SOC-BA2</v>
      </c>
      <c r="D2621" s="234"/>
      <c r="E2621" s="243" t="str">
        <f>IFERROR(__xludf.DUMMYFUNCTION("""COMPUTED_VALUE"""),"LT0PCD01TVO83")</f>
        <v>LT0PCD01TVO83</v>
      </c>
      <c r="F2621" s="238" t="str">
        <f>IFERROR(__xludf.DUMMYFUNCTION("""COMPUTED_VALUE"""),"BEO5D91,RMK2B62")</f>
        <v>BEO5D91,RMK2B62</v>
      </c>
      <c r="G2621" s="238">
        <f>IFERROR(__xludf.DUMMYFUNCTION("""COMPUTED_VALUE"""),46004.91736111111)</f>
        <v>46004.91736</v>
      </c>
      <c r="H2621" s="238">
        <f>IFERROR(__xludf.DUMMYFUNCTION("""COMPUTED_VALUE"""),46005.29166666667)</f>
        <v>46005.29167</v>
      </c>
      <c r="I2621" s="237" t="str">
        <f t="shared" si="1"/>
        <v>Fora</v>
      </c>
      <c r="J2621" s="239">
        <v>539.0000000072177</v>
      </c>
    </row>
    <row r="2622">
      <c r="A2622" s="238" t="s">
        <v>4167</v>
      </c>
      <c r="B2622" s="234" t="str">
        <f>IFERROR(__xludf.DUMMYFUNCTION("""COMPUTED_VALUE"""),"SoC_GO_Goiânia_02")</f>
        <v>SoC_GO_Goiânia_02</v>
      </c>
      <c r="C2622" s="234" t="str">
        <f>IFERROR(__xludf.DUMMYFUNCTION("""COMPUTED_VALUE"""),"SOC-GO2")</f>
        <v>SOC-GO2</v>
      </c>
      <c r="D2622" s="234"/>
      <c r="E2622" s="243" t="str">
        <f>IFERROR(__xludf.DUMMYFUNCTION("""COMPUTED_VALUE"""),"LT0PCD01TVYM3")</f>
        <v>LT0PCD01TVYM3</v>
      </c>
      <c r="F2622" s="238" t="str">
        <f>IFERROR(__xludf.DUMMYFUNCTION("""COMPUTED_VALUE"""),"PUD3G65,FJP5G30")</f>
        <v>PUD3G65,FJP5G30</v>
      </c>
      <c r="G2622" s="238">
        <f>IFERROR(__xludf.DUMMYFUNCTION("""COMPUTED_VALUE"""),46004.91736111111)</f>
        <v>46004.91736</v>
      </c>
      <c r="H2622" s="238">
        <f>IFERROR(__xludf.DUMMYFUNCTION("""COMPUTED_VALUE"""),46005.29166666667)</f>
        <v>46005.29167</v>
      </c>
      <c r="I2622" s="237" t="str">
        <f t="shared" si="1"/>
        <v>Fora</v>
      </c>
      <c r="J2622" s="239">
        <v>539.0000000072177</v>
      </c>
    </row>
    <row r="2623">
      <c r="A2623" s="244" t="s">
        <v>4168</v>
      </c>
      <c r="B2623" s="234" t="str">
        <f>IFERROR(__xludf.DUMMYFUNCTION("""COMPUTED_VALUE"""),"SoC_GO_Goiânia_02")</f>
        <v>SoC_GO_Goiânia_02</v>
      </c>
      <c r="C2623" s="234" t="str">
        <f>IFERROR(__xludf.DUMMYFUNCTION("""COMPUTED_VALUE"""),"SOC-GO2")</f>
        <v>SOC-GO2</v>
      </c>
      <c r="D2623" s="234" t="str">
        <f>IFERROR(__xludf.DUMMYFUNCTION("""COMPUTED_VALUE"""),"87/24")</f>
        <v>87/24</v>
      </c>
      <c r="E2623" s="245" t="str">
        <f>IFERROR(__xludf.DUMMYFUNCTION("""COMPUTED_VALUE"""),"LT0PCD01TVYK2")</f>
        <v>LT0PCD01TVYK2</v>
      </c>
      <c r="F2623" s="238" t="str">
        <f>IFERROR(__xludf.DUMMYFUNCTION("""COMPUTED_VALUE"""),"QJN3J58,TJM9G80")</f>
        <v>QJN3J58,TJM9G80</v>
      </c>
      <c r="G2623" s="238">
        <f>IFERROR(__xludf.DUMMYFUNCTION("""COMPUTED_VALUE"""),46004.91736111111)</f>
        <v>46004.91736</v>
      </c>
      <c r="H2623" s="238">
        <f>IFERROR(__xludf.DUMMYFUNCTION("""COMPUTED_VALUE"""),46005.29166666667)</f>
        <v>46005.29167</v>
      </c>
      <c r="I2623" s="237" t="str">
        <f t="shared" si="1"/>
        <v>Fora</v>
      </c>
      <c r="J2623" s="239">
        <v>539.0000000072177</v>
      </c>
    </row>
    <row r="2624">
      <c r="A2624" s="238" t="s">
        <v>4169</v>
      </c>
      <c r="B2624" s="234" t="str">
        <f>IFERROR(__xludf.DUMMYFUNCTION("""COMPUTED_VALUE"""),"SoC_RJ_Duque de Caxias")</f>
        <v>SoC_RJ_Duque de Caxias</v>
      </c>
      <c r="C2624" s="234" t="str">
        <f>IFERROR(__xludf.DUMMYFUNCTION("""COMPUTED_VALUE"""),"SOC-RJ2")</f>
        <v>SOC-RJ2</v>
      </c>
      <c r="D2624" s="234">
        <f>IFERROR(__xludf.DUMMYFUNCTION("""COMPUTED_VALUE"""),48.0)</f>
        <v>48</v>
      </c>
      <c r="E2624" s="243" t="str">
        <f>IFERROR(__xludf.DUMMYFUNCTION("""COMPUTED_VALUE"""),"LT0PCD01TRR62")</f>
        <v>LT0PCD01TRR62</v>
      </c>
      <c r="F2624" s="238" t="str">
        <f>IFERROR(__xludf.DUMMYFUNCTION("""COMPUTED_VALUE"""),"ETU9F30,CLU2H96")</f>
        <v>ETU9F30,CLU2H96</v>
      </c>
      <c r="G2624" s="238">
        <f>IFERROR(__xludf.DUMMYFUNCTION("""COMPUTED_VALUE"""),46004.91736111111)</f>
        <v>46004.91736</v>
      </c>
      <c r="H2624" s="238">
        <f>IFERROR(__xludf.DUMMYFUNCTION("""COMPUTED_VALUE"""),46005.29166666667)</f>
        <v>46005.29167</v>
      </c>
      <c r="I2624" s="237" t="str">
        <f t="shared" si="1"/>
        <v>Fora</v>
      </c>
      <c r="J2624" s="239">
        <v>539.0000000072177</v>
      </c>
    </row>
    <row r="2625">
      <c r="A2625" s="238" t="s">
        <v>4170</v>
      </c>
      <c r="B2625" s="234" t="str">
        <f>IFERROR(__xludf.DUMMYFUNCTION("""COMPUTED_VALUE"""),"SoC_RJ_Duque de Caxias")</f>
        <v>SoC_RJ_Duque de Caxias</v>
      </c>
      <c r="C2625" s="234" t="str">
        <f>IFERROR(__xludf.DUMMYFUNCTION("""COMPUTED_VALUE"""),"SOC-RJ2")</f>
        <v>SOC-RJ2</v>
      </c>
      <c r="D2625" s="234"/>
      <c r="E2625" s="243" t="str">
        <f>IFERROR(__xludf.DUMMYFUNCTION("""COMPUTED_VALUE"""),"LT0PCD01TRR83")</f>
        <v>LT0PCD01TRR83</v>
      </c>
      <c r="F2625" s="238" t="str">
        <f>IFERROR(__xludf.DUMMYFUNCTION("""COMPUTED_VALUE"""),"BUS8C57")</f>
        <v>BUS8C57</v>
      </c>
      <c r="G2625" s="238">
        <f>IFERROR(__xludf.DUMMYFUNCTION("""COMPUTED_VALUE"""),46004.91736111111)</f>
        <v>46004.91736</v>
      </c>
      <c r="H2625" s="238">
        <f>IFERROR(__xludf.DUMMYFUNCTION("""COMPUTED_VALUE"""),46005.29166666667)</f>
        <v>46005.29167</v>
      </c>
      <c r="I2625" s="237" t="str">
        <f t="shared" si="1"/>
        <v>Fora</v>
      </c>
      <c r="J2625" s="239">
        <v>539.0000000072177</v>
      </c>
    </row>
    <row r="2626">
      <c r="A2626" s="238" t="s">
        <v>4171</v>
      </c>
      <c r="B2626" s="234" t="str">
        <f>IFERROR(__xludf.DUMMYFUNCTION("""COMPUTED_VALUE"""),"SoC_RJ_Duque de Caxias")</f>
        <v>SoC_RJ_Duque de Caxias</v>
      </c>
      <c r="C2626" s="234" t="str">
        <f>IFERROR(__xludf.DUMMYFUNCTION("""COMPUTED_VALUE"""),"SOC-RJ2")</f>
        <v>SOC-RJ2</v>
      </c>
      <c r="D2626" s="234">
        <f>IFERROR(__xludf.DUMMYFUNCTION("""COMPUTED_VALUE"""),9.0)</f>
        <v>9</v>
      </c>
      <c r="E2626" s="243" t="str">
        <f>IFERROR(__xludf.DUMMYFUNCTION("""COMPUTED_VALUE"""),"LT0PCD01TRRA4")</f>
        <v>LT0PCD01TRRA4</v>
      </c>
      <c r="F2626" s="238" t="str">
        <f>IFERROR(__xludf.DUMMYFUNCTION("""COMPUTED_VALUE"""),"ODM5D47,QIG2D94")</f>
        <v>ODM5D47,QIG2D94</v>
      </c>
      <c r="G2626" s="238">
        <f>IFERROR(__xludf.DUMMYFUNCTION("""COMPUTED_VALUE"""),46004.91736111111)</f>
        <v>46004.91736</v>
      </c>
      <c r="H2626" s="238">
        <f>IFERROR(__xludf.DUMMYFUNCTION("""COMPUTED_VALUE"""),46005.29166666667)</f>
        <v>46005.29167</v>
      </c>
      <c r="I2626" s="237" t="str">
        <f t="shared" si="1"/>
        <v>Fora</v>
      </c>
      <c r="J2626" s="239">
        <v>539.0000000072177</v>
      </c>
    </row>
    <row r="2627">
      <c r="A2627" s="238" t="s">
        <v>4172</v>
      </c>
      <c r="B2627" s="234" t="str">
        <f>IFERROR(__xludf.DUMMYFUNCTION("""COMPUTED_VALUE"""),"SoC_RJ_Duque de Caxias")</f>
        <v>SoC_RJ_Duque de Caxias</v>
      </c>
      <c r="C2627" s="234" t="str">
        <f>IFERROR(__xludf.DUMMYFUNCTION("""COMPUTED_VALUE"""),"SOC-RJ2")</f>
        <v>SOC-RJ2</v>
      </c>
      <c r="D2627" s="234">
        <f>IFERROR(__xludf.DUMMYFUNCTION("""COMPUTED_VALUE"""),96.0)</f>
        <v>96</v>
      </c>
      <c r="E2627" s="243" t="str">
        <f>IFERROR(__xludf.DUMMYFUNCTION("""COMPUTED_VALUE"""),"LT0PCD01TRR41")</f>
        <v>LT0PCD01TRR41</v>
      </c>
      <c r="F2627" s="238" t="str">
        <f>IFERROR(__xludf.DUMMYFUNCTION("""COMPUTED_VALUE"""),"FSN1I44,FWG8C04")</f>
        <v>FSN1I44,FWG8C04</v>
      </c>
      <c r="G2627" s="238">
        <f>IFERROR(__xludf.DUMMYFUNCTION("""COMPUTED_VALUE"""),46004.91736111111)</f>
        <v>46004.91736</v>
      </c>
      <c r="H2627" s="238">
        <f>IFERROR(__xludf.DUMMYFUNCTION("""COMPUTED_VALUE"""),46005.29166666667)</f>
        <v>46005.29167</v>
      </c>
      <c r="I2627" s="237" t="str">
        <f t="shared" si="1"/>
        <v>Fora</v>
      </c>
      <c r="J2627" s="239">
        <v>539.0000000072177</v>
      </c>
    </row>
    <row r="2628">
      <c r="A2628" s="238" t="s">
        <v>4173</v>
      </c>
      <c r="B2628" s="234" t="str">
        <f>IFERROR(__xludf.DUMMYFUNCTION("""COMPUTED_VALUE"""),"SoC_SP_Cravinhos")</f>
        <v>SoC_SP_Cravinhos</v>
      </c>
      <c r="C2628" s="234" t="str">
        <f>IFERROR(__xludf.DUMMYFUNCTION("""COMPUTED_VALUE"""),"SOC-SP5")</f>
        <v>SOC-SP5</v>
      </c>
      <c r="D2628" s="234">
        <f>IFERROR(__xludf.DUMMYFUNCTION("""COMPUTED_VALUE"""),47.0)</f>
        <v>47</v>
      </c>
      <c r="E2628" s="243" t="str">
        <f>IFERROR(__xludf.DUMMYFUNCTION("""COMPUTED_VALUE"""),"LT0PCD01TO231")</f>
        <v>LT0PCD01TO231</v>
      </c>
      <c r="F2628" s="238" t="str">
        <f>IFERROR(__xludf.DUMMYFUNCTION("""COMPUTED_VALUE"""),"EQN2H35,ERS9J88")</f>
        <v>EQN2H35,ERS9J88</v>
      </c>
      <c r="G2628" s="238">
        <f>IFERROR(__xludf.DUMMYFUNCTION("""COMPUTED_VALUE"""),46004.91736111111)</f>
        <v>46004.91736</v>
      </c>
      <c r="H2628" s="238">
        <f>IFERROR(__xludf.DUMMYFUNCTION("""COMPUTED_VALUE"""),46005.29166666667)</f>
        <v>46005.29167</v>
      </c>
      <c r="I2628" s="237" t="str">
        <f t="shared" si="1"/>
        <v>Fora</v>
      </c>
      <c r="J2628" s="239">
        <v>538.0000000144355</v>
      </c>
    </row>
    <row r="2629">
      <c r="A2629" s="238" t="s">
        <v>4174</v>
      </c>
      <c r="B2629" s="234" t="str">
        <f>IFERROR(__xludf.DUMMYFUNCTION("""COMPUTED_VALUE"""),"SoC_MG_Betim")</f>
        <v>SoC_MG_Betim</v>
      </c>
      <c r="C2629" s="234" t="str">
        <f>IFERROR(__xludf.DUMMYFUNCTION("""COMPUTED_VALUE"""),"SOC-MG2")</f>
        <v>SOC-MG2</v>
      </c>
      <c r="D2629" s="234"/>
      <c r="E2629" s="243" t="str">
        <f>IFERROR(__xludf.DUMMYFUNCTION("""COMPUTED_VALUE"""),"LT0PCD01TNZ02")</f>
        <v>LT0PCD01TNZ02</v>
      </c>
      <c r="F2629" s="238" t="str">
        <f>IFERROR(__xludf.DUMMYFUNCTION("""COMPUTED_VALUE"""),"FLN0H65")</f>
        <v>FLN0H65</v>
      </c>
      <c r="G2629" s="238">
        <f>IFERROR(__xludf.DUMMYFUNCTION("""COMPUTED_VALUE"""),46004.91805555555)</f>
        <v>46004.91806</v>
      </c>
      <c r="H2629" s="238">
        <f>IFERROR(__xludf.DUMMYFUNCTION("""COMPUTED_VALUE"""),46005.29166666667)</f>
        <v>46005.29167</v>
      </c>
      <c r="I2629" s="237" t="str">
        <f t="shared" si="1"/>
        <v>Fora</v>
      </c>
      <c r="J2629" s="239">
        <v>538.0000000144355</v>
      </c>
    </row>
    <row r="2630">
      <c r="A2630" s="238" t="s">
        <v>4175</v>
      </c>
      <c r="B2630" s="234" t="str">
        <f>IFERROR(__xludf.DUMMYFUNCTION("""COMPUTED_VALUE"""),"SoC_MG_Betim")</f>
        <v>SoC_MG_Betim</v>
      </c>
      <c r="C2630" s="234" t="str">
        <f>IFERROR(__xludf.DUMMYFUNCTION("""COMPUTED_VALUE"""),"SOC-MG2")</f>
        <v>SOC-MG2</v>
      </c>
      <c r="D2630" s="234"/>
      <c r="E2630" s="243" t="str">
        <f>IFERROR(__xludf.DUMMYFUNCTION("""COMPUTED_VALUE"""),"LT0PCD01TNZ23")</f>
        <v>LT0PCD01TNZ23</v>
      </c>
      <c r="F2630" s="238" t="str">
        <f>IFERROR(__xludf.DUMMYFUNCTION("""COMPUTED_VALUE"""),"FSW4I21")</f>
        <v>FSW4I21</v>
      </c>
      <c r="G2630" s="238">
        <f>IFERROR(__xludf.DUMMYFUNCTION("""COMPUTED_VALUE"""),46004.91805555555)</f>
        <v>46004.91806</v>
      </c>
      <c r="H2630" s="238">
        <f>IFERROR(__xludf.DUMMYFUNCTION("""COMPUTED_VALUE"""),46005.29166666667)</f>
        <v>46005.29167</v>
      </c>
      <c r="I2630" s="237" t="str">
        <f t="shared" si="1"/>
        <v>Fora</v>
      </c>
      <c r="J2630" s="239">
        <v>538.0000000144355</v>
      </c>
    </row>
    <row r="2631">
      <c r="A2631" s="244" t="s">
        <v>4176</v>
      </c>
      <c r="B2631" s="234" t="str">
        <f>IFERROR(__xludf.DUMMYFUNCTION("""COMPUTED_VALUE"""),"SoC_MG_Betim")</f>
        <v>SoC_MG_Betim</v>
      </c>
      <c r="C2631" s="234" t="str">
        <f>IFERROR(__xludf.DUMMYFUNCTION("""COMPUTED_VALUE"""),"SOC-MG2")</f>
        <v>SOC-MG2</v>
      </c>
      <c r="D2631" s="234" t="str">
        <f>IFERROR(__xludf.DUMMYFUNCTION("""COMPUTED_VALUE"""),"90/29")</f>
        <v>90/29</v>
      </c>
      <c r="E2631" s="245" t="str">
        <f>IFERROR(__xludf.DUMMYFUNCTION("""COMPUTED_VALUE"""),"LT0PCD01TNYY1")</f>
        <v>LT0PCD01TNYY1</v>
      </c>
      <c r="F2631" s="238" t="str">
        <f>IFERROR(__xludf.DUMMYFUNCTION("""COMPUTED_VALUE"""),"QWX3G36,RBA2B72")</f>
        <v>QWX3G36,RBA2B72</v>
      </c>
      <c r="G2631" s="238">
        <f>IFERROR(__xludf.DUMMYFUNCTION("""COMPUTED_VALUE"""),46004.91805555555)</f>
        <v>46004.91806</v>
      </c>
      <c r="H2631" s="238">
        <f>IFERROR(__xludf.DUMMYFUNCTION("""COMPUTED_VALUE"""),46005.29166666667)</f>
        <v>46005.29167</v>
      </c>
      <c r="I2631" s="237" t="str">
        <f t="shared" si="1"/>
        <v>Fora</v>
      </c>
      <c r="J2631" s="239">
        <v>480.00000001396984</v>
      </c>
    </row>
    <row r="2632">
      <c r="A2632" s="238" t="s">
        <v>4177</v>
      </c>
      <c r="B2632" s="234" t="str">
        <f>IFERROR(__xludf.DUMMYFUNCTION("""COMPUTED_VALUE"""),"SoC_GO_Goiânia_02")</f>
        <v>SoC_GO_Goiânia_02</v>
      </c>
      <c r="C2632" s="234" t="str">
        <f>IFERROR(__xludf.DUMMYFUNCTION("""COMPUTED_VALUE"""),"SOC-GO2")</f>
        <v>SOC-GO2</v>
      </c>
      <c r="D2632" s="234"/>
      <c r="E2632" s="243" t="str">
        <f>IFERROR(__xludf.DUMMYFUNCTION("""COMPUTED_VALUE"""),"LT0PCD01TVYI1")</f>
        <v>LT0PCD01TVYI1</v>
      </c>
      <c r="F2632" s="238" t="str">
        <f>IFERROR(__xludf.DUMMYFUNCTION("""COMPUTED_VALUE"""),"OII9A60,FSW7B71")</f>
        <v>OII9A60,FSW7B71</v>
      </c>
      <c r="G2632" s="238">
        <f>IFERROR(__xludf.DUMMYFUNCTION("""COMPUTED_VALUE"""),46004.95833333333)</f>
        <v>46004.95833</v>
      </c>
      <c r="H2632" s="238">
        <f>IFERROR(__xludf.DUMMYFUNCTION("""COMPUTED_VALUE"""),46005.29166666667)</f>
        <v>46005.29167</v>
      </c>
      <c r="I2632" s="237" t="str">
        <f t="shared" si="1"/>
        <v>Fora</v>
      </c>
      <c r="J2632" s="239">
        <v>240.00000000698492</v>
      </c>
    </row>
    <row r="2633">
      <c r="A2633" s="244" t="s">
        <v>4178</v>
      </c>
      <c r="B2633" s="234" t="str">
        <f>IFERROR(__xludf.DUMMYFUNCTION("""COMPUTED_VALUE"""),"SoC_SP_Cravinhos")</f>
        <v>SoC_SP_Cravinhos</v>
      </c>
      <c r="C2633" s="234" t="str">
        <f>IFERROR(__xludf.DUMMYFUNCTION("""COMPUTED_VALUE"""),"SOC-SP5")</f>
        <v>SOC-SP5</v>
      </c>
      <c r="D2633" s="234"/>
      <c r="E2633" s="245" t="str">
        <f>IFERROR(__xludf.DUMMYFUNCTION("""COMPUTED_VALUE"""),"LT0PCD01TO252")</f>
        <v>LT0PCD01TO252</v>
      </c>
      <c r="F2633" s="238" t="str">
        <f>IFERROR(__xludf.DUMMYFUNCTION("""COMPUTED_VALUE"""),"DPB7F10,KWP1D65")</f>
        <v>DPB7F10,KWP1D65</v>
      </c>
      <c r="G2633" s="238">
        <f>IFERROR(__xludf.DUMMYFUNCTION("""COMPUTED_VALUE"""),46005.125)</f>
        <v>46005.125</v>
      </c>
      <c r="H2633" s="238">
        <f>IFERROR(__xludf.DUMMYFUNCTION("""COMPUTED_VALUE"""),46005.29166666667)</f>
        <v>46005.29167</v>
      </c>
      <c r="I2633" s="237" t="str">
        <f t="shared" si="1"/>
        <v>Fora</v>
      </c>
      <c r="J2633" s="239">
        <v>180.0</v>
      </c>
    </row>
    <row r="2634">
      <c r="A2634" s="244" t="s">
        <v>4179</v>
      </c>
      <c r="B2634" s="234" t="str">
        <f>IFERROR(__xludf.DUMMYFUNCTION("""COMPUTED_VALUE"""),"SoC_SP_Cravinhos")</f>
        <v>SoC_SP_Cravinhos</v>
      </c>
      <c r="C2634" s="234" t="str">
        <f>IFERROR(__xludf.DUMMYFUNCTION("""COMPUTED_VALUE"""),"SOC-SP5")</f>
        <v>SOC-SP5</v>
      </c>
      <c r="D2634" s="234"/>
      <c r="E2634" s="245" t="str">
        <f>IFERROR(__xludf.DUMMYFUNCTION("""COMPUTED_VALUE"""),"LT0PCD01TO273")</f>
        <v>LT0PCD01TO273</v>
      </c>
      <c r="F2634" s="238" t="str">
        <f>IFERROR(__xludf.DUMMYFUNCTION("""COMPUTED_VALUE"""),"DPB7F10,KWP1D65")</f>
        <v>DPB7F10,KWP1D65</v>
      </c>
      <c r="G2634" s="238">
        <f>IFERROR(__xludf.DUMMYFUNCTION("""COMPUTED_VALUE"""),46005.16666666667)</f>
        <v>46005.16667</v>
      </c>
      <c r="H2634" s="238">
        <f>IFERROR(__xludf.DUMMYFUNCTION("""COMPUTED_VALUE"""),46005.29166666667)</f>
        <v>46005.29167</v>
      </c>
      <c r="I2634" s="237" t="str">
        <f t="shared" si="1"/>
        <v>Fora</v>
      </c>
      <c r="J2634" s="239" t="e">
        <v>#VALUE!</v>
      </c>
    </row>
    <row r="2635">
      <c r="A2635" s="234" t="s">
        <v>4180</v>
      </c>
      <c r="B2635" s="234" t="str">
        <f>IFERROR(__xludf.DUMMYFUNCTION("""COMPUTED_VALUE"""),"Fanout Desconhecido")</f>
        <v>Fanout Desconhecido</v>
      </c>
      <c r="C2635" s="234" t="str">
        <f>IFERROR(__xludf.DUMMYFUNCTION("""COMPUTED_VALUE"""),"-")</f>
        <v>-</v>
      </c>
      <c r="D2635" s="234">
        <f>IFERROR(__xludf.DUMMYFUNCTION("""COMPUTED_VALUE"""),19.0)</f>
        <v>19</v>
      </c>
      <c r="E2635" s="237" t="str">
        <f>IFERROR(__xludf.DUMMYFUNCTION("""COMPUTED_VALUE"""),"LT0PCG01UD4X2")</f>
        <v>LT0PCG01UD4X2</v>
      </c>
      <c r="F2635" s="238" t="str">
        <f>IFERROR(__xludf.DUMMYFUNCTION("""COMPUTED_VALUE"""),"-")</f>
        <v>-</v>
      </c>
      <c r="G2635" s="238" t="str">
        <f>IFERROR(__xludf.DUMMYFUNCTION("""COMPUTED_VALUE"""),"-")</f>
        <v>-</v>
      </c>
      <c r="H2635" s="238" t="str">
        <f>IFERROR(__xludf.DUMMYFUNCTION("""COMPUTED_VALUE"""),"-")</f>
        <v>-</v>
      </c>
      <c r="I2635" s="237" t="str">
        <f t="shared" si="1"/>
        <v>Dentro</v>
      </c>
      <c r="J2635" s="239" t="e">
        <v>#VALUE!</v>
      </c>
    </row>
    <row r="2636">
      <c r="A2636" s="244" t="s">
        <v>4181</v>
      </c>
      <c r="B2636" s="234" t="str">
        <f>IFERROR(__xludf.DUMMYFUNCTION("""COMPUTED_VALUE"""),"Fanout Desconhecido")</f>
        <v>Fanout Desconhecido</v>
      </c>
      <c r="C2636" s="234" t="str">
        <f>IFERROR(__xludf.DUMMYFUNCTION("""COMPUTED_VALUE"""),"-")</f>
        <v>-</v>
      </c>
      <c r="D2636" s="234"/>
      <c r="E2636" s="245" t="str">
        <f>IFERROR(__xludf.DUMMYFUNCTION("""COMPUTED_VALUE"""),"LT1PCD01UKD51")</f>
        <v>LT1PCD01UKD51</v>
      </c>
      <c r="F2636" s="238" t="str">
        <f>IFERROR(__xludf.DUMMYFUNCTION("""COMPUTED_VALUE"""),"-")</f>
        <v>-</v>
      </c>
      <c r="G2636" s="238" t="str">
        <f>IFERROR(__xludf.DUMMYFUNCTION("""COMPUTED_VALUE"""),"-")</f>
        <v>-</v>
      </c>
      <c r="H2636" s="238" t="str">
        <f>IFERROR(__xludf.DUMMYFUNCTION("""COMPUTED_VALUE"""),"-")</f>
        <v>-</v>
      </c>
      <c r="I2636" s="237" t="str">
        <f t="shared" si="1"/>
        <v>Dentro</v>
      </c>
      <c r="J2636" s="239" t="e">
        <v>#VALUE!</v>
      </c>
    </row>
    <row r="2637">
      <c r="A2637" s="234" t="s">
        <v>4182</v>
      </c>
      <c r="B2637" s="234" t="str">
        <f>IFERROR(__xludf.DUMMYFUNCTION("""COMPUTED_VALUE"""),"Fanout Desconhecido")</f>
        <v>Fanout Desconhecido</v>
      </c>
      <c r="C2637" s="234" t="str">
        <f>IFERROR(__xludf.DUMMYFUNCTION("""COMPUTED_VALUE"""),"-")</f>
        <v>-</v>
      </c>
      <c r="D2637" s="234"/>
      <c r="E2637" s="237" t="str">
        <f>IFERROR(__xludf.DUMMYFUNCTION("""COMPUTED_VALUE"""),"LT1PCG01UOBZ1")</f>
        <v>LT1PCG01UOBZ1</v>
      </c>
      <c r="F2637" s="238" t="str">
        <f>IFERROR(__xludf.DUMMYFUNCTION("""COMPUTED_VALUE"""),"-")</f>
        <v>-</v>
      </c>
      <c r="G2637" s="238" t="str">
        <f>IFERROR(__xludf.DUMMYFUNCTION("""COMPUTED_VALUE"""),"-")</f>
        <v>-</v>
      </c>
      <c r="H2637" s="238" t="str">
        <f>IFERROR(__xludf.DUMMYFUNCTION("""COMPUTED_VALUE"""),"-")</f>
        <v>-</v>
      </c>
      <c r="I2637" s="237" t="str">
        <f t="shared" si="1"/>
        <v>Dentro</v>
      </c>
      <c r="J2637" s="239">
        <v>119.99999999301508</v>
      </c>
    </row>
    <row r="2638">
      <c r="A2638" s="234" t="s">
        <v>4183</v>
      </c>
      <c r="B2638" s="234" t="str">
        <f>IFERROR(__xludf.DUMMYFUNCTION("""COMPUTED_VALUE"""),"SoC_BA_Simoes Filho")</f>
        <v>SoC_BA_Simoes Filho</v>
      </c>
      <c r="C2638" s="234" t="str">
        <f>IFERROR(__xludf.DUMMYFUNCTION("""COMPUTED_VALUE"""),"SOC-BA2")</f>
        <v>SOC-BA2</v>
      </c>
      <c r="D2638" s="234">
        <f>IFERROR(__xludf.DUMMYFUNCTION("""COMPUTED_VALUE"""),88.0)</f>
        <v>88</v>
      </c>
      <c r="E2638" s="237" t="str">
        <f>IFERROR(__xludf.DUMMYFUNCTION("""COMPUTED_VALUE"""),"LT1PCF01UOXU1")</f>
        <v>LT1PCF01UOXU1</v>
      </c>
      <c r="F2638" s="238" t="str">
        <f>IFERROR(__xludf.DUMMYFUNCTION("""COMPUTED_VALUE"""),"THC7E52,CQU6G64")</f>
        <v>THC7E52,CQU6G64</v>
      </c>
      <c r="G2638" s="238">
        <f>IFERROR(__xludf.DUMMYFUNCTION("""COMPUTED_VALUE"""),46006.75)</f>
        <v>46006.75</v>
      </c>
      <c r="H2638" s="238">
        <f>IFERROR(__xludf.DUMMYFUNCTION("""COMPUTED_VALUE"""),46006.83333333333)</f>
        <v>46006.83333</v>
      </c>
      <c r="I2638" s="237" t="str">
        <f t="shared" si="1"/>
        <v>Fora</v>
      </c>
      <c r="J2638" s="239">
        <v>299.9999999930151</v>
      </c>
    </row>
    <row r="2639">
      <c r="A2639" s="234" t="s">
        <v>4184</v>
      </c>
      <c r="B2639" s="234" t="str">
        <f>IFERROR(__xludf.DUMMYFUNCTION("""COMPUTED_VALUE"""),"SoC_MG_Betim")</f>
        <v>SoC_MG_Betim</v>
      </c>
      <c r="C2639" s="234" t="str">
        <f>IFERROR(__xludf.DUMMYFUNCTION("""COMPUTED_VALUE"""),"SOC-MG2")</f>
        <v>SOC-MG2</v>
      </c>
      <c r="D2639" s="234">
        <f>IFERROR(__xludf.DUMMYFUNCTION("""COMPUTED_VALUE"""),90.0)</f>
        <v>90</v>
      </c>
      <c r="E2639" s="237" t="str">
        <f>IFERROR(__xludf.DUMMYFUNCTION("""COMPUTED_VALUE"""),"LT0PCF01U8751")</f>
        <v>LT0PCF01U8751</v>
      </c>
      <c r="F2639" s="238" t="str">
        <f>IFERROR(__xludf.DUMMYFUNCTION("""COMPUTED_VALUE"""),"RFE4B95")</f>
        <v>RFE4B95</v>
      </c>
      <c r="G2639" s="238">
        <f>IFERROR(__xludf.DUMMYFUNCTION("""COMPUTED_VALUE"""),46006.75)</f>
        <v>46006.75</v>
      </c>
      <c r="H2639" s="238">
        <f>IFERROR(__xludf.DUMMYFUNCTION("""COMPUTED_VALUE"""),46006.95833333333)</f>
        <v>46006.95833</v>
      </c>
      <c r="I2639" s="237" t="str">
        <f t="shared" si="1"/>
        <v>Fora</v>
      </c>
      <c r="J2639" s="239">
        <v>119.99999999301508</v>
      </c>
    </row>
    <row r="2640">
      <c r="A2640" s="234" t="s">
        <v>4185</v>
      </c>
      <c r="B2640" s="234" t="str">
        <f>IFERROR(__xludf.DUMMYFUNCTION("""COMPUTED_VALUE"""),"SoC_RS_Gravataí_02")</f>
        <v>SoC_RS_Gravataí_02</v>
      </c>
      <c r="C2640" s="234" t="str">
        <f>IFERROR(__xludf.DUMMYFUNCTION("""COMPUTED_VALUE"""),"SOC-RS2")</f>
        <v>SOC-RS2</v>
      </c>
      <c r="D2640" s="234">
        <f>IFERROR(__xludf.DUMMYFUNCTION("""COMPUTED_VALUE"""),7.0)</f>
        <v>7</v>
      </c>
      <c r="E2640" s="237" t="str">
        <f>IFERROR(__xludf.DUMMYFUNCTION("""COMPUTED_VALUE"""),"LT1PCF01UOE21")</f>
        <v>LT1PCF01UOE21</v>
      </c>
      <c r="F2640" s="238" t="str">
        <f>IFERROR(__xludf.DUMMYFUNCTION("""COMPUTED_VALUE"""),"EWU8G43,NST0E38")</f>
        <v>EWU8G43,NST0E38</v>
      </c>
      <c r="G2640" s="238">
        <f>IFERROR(__xludf.DUMMYFUNCTION("""COMPUTED_VALUE"""),46006.875)</f>
        <v>46006.875</v>
      </c>
      <c r="H2640" s="238">
        <f>IFERROR(__xludf.DUMMYFUNCTION("""COMPUTED_VALUE"""),46006.95833333333)</f>
        <v>46006.95833</v>
      </c>
      <c r="I2640" s="237" t="str">
        <f t="shared" si="1"/>
        <v>Fora</v>
      </c>
      <c r="J2640" s="239">
        <v>59.99999998603016</v>
      </c>
    </row>
    <row r="2641">
      <c r="A2641" s="234" t="s">
        <v>4186</v>
      </c>
      <c r="B2641" s="234" t="str">
        <f>IFERROR(__xludf.DUMMYFUNCTION("""COMPUTED_VALUE"""),"LM Hub_SP_Guarulhos")</f>
        <v>LM Hub_SP_Guarulhos</v>
      </c>
      <c r="C2641" s="234" t="str">
        <f>IFERROR(__xludf.DUMMYFUNCTION("""COMPUTED_VALUE"""),"HUB-LSP-77")</f>
        <v>HUB-LSP-77</v>
      </c>
      <c r="D2641" s="234">
        <f>IFERROR(__xludf.DUMMYFUNCTION("""COMPUTED_VALUE"""),32.0)</f>
        <v>32</v>
      </c>
      <c r="E2641" s="237" t="str">
        <f>IFERROR(__xludf.DUMMYFUNCTION("""COMPUTED_VALUE"""),"LT1PCF01UONC1")</f>
        <v>LT1PCF01UONC1</v>
      </c>
      <c r="F2641" s="238" t="str">
        <f>IFERROR(__xludf.DUMMYFUNCTION("""COMPUTED_VALUE"""),"DTA1J86,BUS1940")</f>
        <v>DTA1J86,BUS1940</v>
      </c>
      <c r="G2641" s="238">
        <f>IFERROR(__xludf.DUMMYFUNCTION("""COMPUTED_VALUE"""),46006.91666666667)</f>
        <v>46006.91667</v>
      </c>
      <c r="H2641" s="238">
        <f>IFERROR(__xludf.DUMMYFUNCTION("""COMPUTED_VALUE"""),46006.95833333333)</f>
        <v>46006.95833</v>
      </c>
      <c r="I2641" s="237" t="str">
        <f t="shared" si="1"/>
        <v>Fora</v>
      </c>
      <c r="J2641" s="239">
        <v>120.00000001396984</v>
      </c>
    </row>
    <row r="2642">
      <c r="A2642" s="234" t="s">
        <v>4187</v>
      </c>
      <c r="B2642" s="234" t="str">
        <f>IFERROR(__xludf.DUMMYFUNCTION("""COMPUTED_VALUE"""),"LM Hub_MG_Uberlândia")</f>
        <v>LM Hub_MG_Uberlândia</v>
      </c>
      <c r="C2642" s="234" t="str">
        <f>IFERROR(__xludf.DUMMYFUNCTION("""COMPUTED_VALUE"""),"HUB-LMG-44")</f>
        <v>HUB-LMG-44</v>
      </c>
      <c r="D2642" s="234">
        <f>IFERROR(__xludf.DUMMYFUNCTION("""COMPUTED_VALUE"""),33.0)</f>
        <v>33</v>
      </c>
      <c r="E2642" s="237" t="str">
        <f>IFERROR(__xludf.DUMMYFUNCTION("""COMPUTED_VALUE"""),"LT0PCF01UGBR1")</f>
        <v>LT0PCF01UGBR1</v>
      </c>
      <c r="F2642" s="238" t="str">
        <f>IFERROR(__xludf.DUMMYFUNCTION("""COMPUTED_VALUE"""),"PYF4A02,TKC6A82")</f>
        <v>PYF4A02,TKC6A82</v>
      </c>
      <c r="G2642" s="238">
        <f>IFERROR(__xludf.DUMMYFUNCTION("""COMPUTED_VALUE"""),46006.89583333333)</f>
        <v>46006.89583</v>
      </c>
      <c r="H2642" s="238">
        <f>IFERROR(__xludf.DUMMYFUNCTION("""COMPUTED_VALUE"""),46006.97916666667)</f>
        <v>46006.97917</v>
      </c>
      <c r="I2642" s="237" t="str">
        <f t="shared" si="1"/>
        <v>Fora</v>
      </c>
      <c r="J2642" s="239">
        <v>120.00000001396984</v>
      </c>
    </row>
    <row r="2643">
      <c r="A2643" s="234" t="s">
        <v>4188</v>
      </c>
      <c r="B2643" s="234" t="str">
        <f>IFERROR(__xludf.DUMMYFUNCTION("""COMPUTED_VALUE"""),"LM Hub_SP_Itaqua_Zimba")</f>
        <v>LM Hub_SP_Itaqua_Zimba</v>
      </c>
      <c r="C2643" s="234" t="str">
        <f>IFERROR(__xludf.DUMMYFUNCTION("""COMPUTED_VALUE"""),"HUB-LSP-74")</f>
        <v>HUB-LSP-74</v>
      </c>
      <c r="D2643" s="234">
        <f>IFERROR(__xludf.DUMMYFUNCTION("""COMPUTED_VALUE"""),36.0)</f>
        <v>36</v>
      </c>
      <c r="E2643" s="237" t="str">
        <f>IFERROR(__xludf.DUMMYFUNCTION("""COMPUTED_VALUE"""),"LT0PCF01UBX61")</f>
        <v>LT0PCF01UBX61</v>
      </c>
      <c r="F2643" s="238" t="str">
        <f>IFERROR(__xludf.DUMMYFUNCTION("""COMPUTED_VALUE"""),"PHQ3F73,PHT4D43")</f>
        <v>PHQ3F73,PHT4D43</v>
      </c>
      <c r="G2643" s="238">
        <f>IFERROR(__xludf.DUMMYFUNCTION("""COMPUTED_VALUE"""),46006.89583333333)</f>
        <v>46006.89583</v>
      </c>
      <c r="H2643" s="238">
        <f>IFERROR(__xludf.DUMMYFUNCTION("""COMPUTED_VALUE"""),46006.97916666667)</f>
        <v>46006.97917</v>
      </c>
      <c r="I2643" s="237" t="str">
        <f t="shared" si="1"/>
        <v>Fora</v>
      </c>
      <c r="J2643" s="239">
        <v>120.00000001396984</v>
      </c>
    </row>
    <row r="2644">
      <c r="A2644" s="234" t="s">
        <v>4189</v>
      </c>
      <c r="B2644" s="234" t="str">
        <f>IFERROR(__xludf.DUMMYFUNCTION("""COMPUTED_VALUE"""),"LM Hub_SP_Jurubatuba")</f>
        <v>LM Hub_SP_Jurubatuba</v>
      </c>
      <c r="C2644" s="234" t="str">
        <f>IFERROR(__xludf.DUMMYFUNCTION("""COMPUTED_VALUE"""),"HUB-LSP-16")</f>
        <v>HUB-LSP-16</v>
      </c>
      <c r="D2644" s="234">
        <f>IFERROR(__xludf.DUMMYFUNCTION("""COMPUTED_VALUE"""),17.0)</f>
        <v>17</v>
      </c>
      <c r="E2644" s="237" t="str">
        <f>IFERROR(__xludf.DUMMYFUNCTION("""COMPUTED_VALUE"""),"LT0PCF01UBVV1")</f>
        <v>LT0PCF01UBVV1</v>
      </c>
      <c r="F2644" s="238" t="str">
        <f>IFERROR(__xludf.DUMMYFUNCTION("""COMPUTED_VALUE"""),"MQM6I27,FXB7G01")</f>
        <v>MQM6I27,FXB7G01</v>
      </c>
      <c r="G2644" s="238">
        <f>IFERROR(__xludf.DUMMYFUNCTION("""COMPUTED_VALUE"""),46006.89583333333)</f>
        <v>46006.89583</v>
      </c>
      <c r="H2644" s="238">
        <f>IFERROR(__xludf.DUMMYFUNCTION("""COMPUTED_VALUE"""),46006.97916666667)</f>
        <v>46006.97917</v>
      </c>
      <c r="I2644" s="237" t="str">
        <f t="shared" si="1"/>
        <v>Fora</v>
      </c>
      <c r="J2644" s="239">
        <v>120.00000001396984</v>
      </c>
    </row>
    <row r="2645">
      <c r="A2645" s="234" t="s">
        <v>4190</v>
      </c>
      <c r="B2645" s="234" t="str">
        <f>IFERROR(__xludf.DUMMYFUNCTION("""COMPUTED_VALUE"""),"LM Hub_SP_Mogi das Cruzes_Jund")</f>
        <v>LM Hub_SP_Mogi das Cruzes_Jund</v>
      </c>
      <c r="C2645" s="234" t="str">
        <f>IFERROR(__xludf.DUMMYFUNCTION("""COMPUTED_VALUE"""),"HUB-LSP-78")</f>
        <v>HUB-LSP-78</v>
      </c>
      <c r="D2645" s="234"/>
      <c r="E2645" s="237" t="str">
        <f>IFERROR(__xludf.DUMMYFUNCTION("""COMPUTED_VALUE"""),"LT0PCF01UF3R1")</f>
        <v>LT0PCF01UF3R1</v>
      </c>
      <c r="F2645" s="238" t="str">
        <f>IFERROR(__xludf.DUMMYFUNCTION("""COMPUTED_VALUE"""),"DPR5J10,FVZ1I26")</f>
        <v>DPR5J10,FVZ1I26</v>
      </c>
      <c r="G2645" s="238">
        <f>IFERROR(__xludf.DUMMYFUNCTION("""COMPUTED_VALUE"""),46006.89583333333)</f>
        <v>46006.89583</v>
      </c>
      <c r="H2645" s="238">
        <f>IFERROR(__xludf.DUMMYFUNCTION("""COMPUTED_VALUE"""),46006.97916666667)</f>
        <v>46006.97917</v>
      </c>
      <c r="I2645" s="237" t="str">
        <f t="shared" si="1"/>
        <v>Fora</v>
      </c>
      <c r="J2645" s="239">
        <v>120.00000001396984</v>
      </c>
    </row>
    <row r="2646">
      <c r="A2646" s="234" t="s">
        <v>4191</v>
      </c>
      <c r="B2646" s="234" t="str">
        <f>IFERROR(__xludf.DUMMYFUNCTION("""COMPUTED_VALUE"""),"LM Hub_SP_São Paulo_Lapa")</f>
        <v>LM Hub_SP_São Paulo_Lapa</v>
      </c>
      <c r="C2646" s="234" t="str">
        <f>IFERROR(__xludf.DUMMYFUNCTION("""COMPUTED_VALUE"""),"HUB-LSP-15")</f>
        <v>HUB-LSP-15</v>
      </c>
      <c r="D2646" s="234"/>
      <c r="E2646" s="237" t="str">
        <f>IFERROR(__xludf.DUMMYFUNCTION("""COMPUTED_VALUE"""),"LT0PCF01UBVN1")</f>
        <v>LT0PCF01UBVN1</v>
      </c>
      <c r="F2646" s="234"/>
      <c r="G2646" s="238">
        <f>IFERROR(__xludf.DUMMYFUNCTION("""COMPUTED_VALUE"""),46006.89583333333)</f>
        <v>46006.89583</v>
      </c>
      <c r="H2646" s="238">
        <f>IFERROR(__xludf.DUMMYFUNCTION("""COMPUTED_VALUE"""),46006.97916666667)</f>
        <v>46006.97917</v>
      </c>
      <c r="I2646" s="237" t="str">
        <f t="shared" si="1"/>
        <v>Fora</v>
      </c>
      <c r="J2646" s="239">
        <v>120.00000001396984</v>
      </c>
    </row>
    <row r="2647">
      <c r="A2647" s="234" t="s">
        <v>4192</v>
      </c>
      <c r="B2647" s="234" t="str">
        <f>IFERROR(__xludf.DUMMYFUNCTION("""COMPUTED_VALUE"""),"SoC_SP_São Bernardo do Campo")</f>
        <v>SoC_SP_São Bernardo do Campo</v>
      </c>
      <c r="C2647" s="234" t="str">
        <f>IFERROR(__xludf.DUMMYFUNCTION("""COMPUTED_VALUE"""),"SOC-SP8")</f>
        <v>SOC-SP8</v>
      </c>
      <c r="D2647" s="234">
        <f>IFERROR(__xludf.DUMMYFUNCTION("""COMPUTED_VALUE"""),27.0)</f>
        <v>27</v>
      </c>
      <c r="E2647" s="237" t="str">
        <f>IFERROR(__xludf.DUMMYFUNCTION("""COMPUTED_VALUE"""),"LT0PCF01UBZ21")</f>
        <v>LT0PCF01UBZ21</v>
      </c>
      <c r="F2647" s="238" t="str">
        <f>IFERROR(__xludf.DUMMYFUNCTION("""COMPUTED_VALUE"""),"GIV3H68,TLX8G42")</f>
        <v>GIV3H68,TLX8G42</v>
      </c>
      <c r="G2647" s="238">
        <f>IFERROR(__xludf.DUMMYFUNCTION("""COMPUTED_VALUE"""),46006.89583333333)</f>
        <v>46006.89583</v>
      </c>
      <c r="H2647" s="238">
        <f>IFERROR(__xludf.DUMMYFUNCTION("""COMPUTED_VALUE"""),46006.97916666667)</f>
        <v>46006.97917</v>
      </c>
      <c r="I2647" s="237" t="str">
        <f t="shared" si="1"/>
        <v>Fora</v>
      </c>
      <c r="J2647" s="239">
        <v>118.99999998975545</v>
      </c>
    </row>
    <row r="2648">
      <c r="A2648" s="234" t="s">
        <v>4193</v>
      </c>
      <c r="B2648" s="234" t="str">
        <f>IFERROR(__xludf.DUMMYFUNCTION("""COMPUTED_VALUE"""),"LM Hub_SP_Guarujá")</f>
        <v>LM Hub_SP_Guarujá</v>
      </c>
      <c r="C2648" s="234" t="str">
        <f>IFERROR(__xludf.DUMMYFUNCTION("""COMPUTED_VALUE"""),"HUB-LSP-06")</f>
        <v>HUB-LSP-06</v>
      </c>
      <c r="D2648" s="234">
        <f>IFERROR(__xludf.DUMMYFUNCTION("""COMPUTED_VALUE"""),20.0)</f>
        <v>20</v>
      </c>
      <c r="E2648" s="237" t="str">
        <f>IFERROR(__xludf.DUMMYFUNCTION("""COMPUTED_VALUE"""),"LT0PCF01UBY21")</f>
        <v>LT0PCF01UBY21</v>
      </c>
      <c r="F2648" s="238" t="str">
        <f>IFERROR(__xludf.DUMMYFUNCTION("""COMPUTED_VALUE"""),"SUW9G05")</f>
        <v>SUW9G05</v>
      </c>
      <c r="G2648" s="238">
        <f>IFERROR(__xludf.DUMMYFUNCTION("""COMPUTED_VALUE"""),46006.91666666667)</f>
        <v>46006.91667</v>
      </c>
      <c r="H2648" s="238">
        <f>IFERROR(__xludf.DUMMYFUNCTION("""COMPUTED_VALUE"""),46006.99930555555)</f>
        <v>46006.99931</v>
      </c>
      <c r="I2648" s="237" t="str">
        <f t="shared" si="1"/>
        <v>Fora</v>
      </c>
      <c r="J2648" s="239">
        <v>180.0</v>
      </c>
    </row>
    <row r="2649">
      <c r="A2649" s="234" t="s">
        <v>4194</v>
      </c>
      <c r="B2649" s="234" t="str">
        <f>IFERROR(__xludf.DUMMYFUNCTION("""COMPUTED_VALUE"""),"SoC_MG_Betim")</f>
        <v>SoC_MG_Betim</v>
      </c>
      <c r="C2649" s="234" t="str">
        <f>IFERROR(__xludf.DUMMYFUNCTION("""COMPUTED_VALUE"""),"SOC-MG2")</f>
        <v>SOC-MG2</v>
      </c>
      <c r="D2649" s="234" t="str">
        <f>IFERROR(__xludf.DUMMYFUNCTION("""COMPUTED_VALUE"""),"91/22")</f>
        <v>91/22</v>
      </c>
      <c r="E2649" s="237" t="str">
        <f>IFERROR(__xludf.DUMMYFUNCTION("""COMPUTED_VALUE"""),"LT1PCF01UONE1")</f>
        <v>LT1PCF01UONE1</v>
      </c>
      <c r="F2649" s="238" t="str">
        <f>IFERROR(__xludf.DUMMYFUNCTION("""COMPUTED_VALUE"""),"EOE9G43")</f>
        <v>EOE9G43</v>
      </c>
      <c r="G2649" s="238">
        <f>IFERROR(__xludf.DUMMYFUNCTION("""COMPUTED_VALUE"""),46006.875)</f>
        <v>46006.875</v>
      </c>
      <c r="H2649" s="238">
        <f>IFERROR(__xludf.DUMMYFUNCTION("""COMPUTED_VALUE"""),46007.0)</f>
        <v>46007</v>
      </c>
      <c r="I2649" s="237" t="str">
        <f t="shared" si="1"/>
        <v>Fora</v>
      </c>
      <c r="J2649" s="239">
        <v>119.99999999301508</v>
      </c>
    </row>
    <row r="2650">
      <c r="A2650" s="234" t="s">
        <v>4195</v>
      </c>
      <c r="B2650" s="234" t="str">
        <f>IFERROR(__xludf.DUMMYFUNCTION("""COMPUTED_VALUE"""),"LM Hub_RS_Porto Alegre_Floresta")</f>
        <v>LM Hub_RS_Porto Alegre_Floresta</v>
      </c>
      <c r="C2650" s="234" t="str">
        <f>IFERROR(__xludf.DUMMYFUNCTION("""COMPUTED_VALUE"""),"HUB-LRS-03")</f>
        <v>HUB-LRS-03</v>
      </c>
      <c r="D2650" s="234">
        <f>IFERROR(__xludf.DUMMYFUNCTION("""COMPUTED_VALUE"""),21.0)</f>
        <v>21</v>
      </c>
      <c r="E2650" s="237" t="str">
        <f>IFERROR(__xludf.DUMMYFUNCTION("""COMPUTED_VALUE"""),"LT0PCF01UIP91")</f>
        <v>LT0PCF01UIP91</v>
      </c>
      <c r="F2650" s="238" t="str">
        <f>IFERROR(__xludf.DUMMYFUNCTION("""COMPUTED_VALUE"""),"HJF7C38,CLK7A64")</f>
        <v>HJF7C38,CLK7A64</v>
      </c>
      <c r="G2650" s="238">
        <f>IFERROR(__xludf.DUMMYFUNCTION("""COMPUTED_VALUE"""),46006.91666666667)</f>
        <v>46006.91667</v>
      </c>
      <c r="H2650" s="238">
        <f>IFERROR(__xludf.DUMMYFUNCTION("""COMPUTED_VALUE"""),46007.0)</f>
        <v>46007</v>
      </c>
      <c r="I2650" s="237" t="str">
        <f t="shared" si="1"/>
        <v>Fora</v>
      </c>
      <c r="J2650" s="239">
        <v>119.99999999301508</v>
      </c>
    </row>
    <row r="2651">
      <c r="A2651" s="234" t="s">
        <v>4196</v>
      </c>
      <c r="B2651" s="234" t="str">
        <f>IFERROR(__xludf.DUMMYFUNCTION("""COMPUTED_VALUE"""),"LM Hub_SP_Artur Alvim")</f>
        <v>LM Hub_SP_Artur Alvim</v>
      </c>
      <c r="C2651" s="234" t="str">
        <f>IFERROR(__xludf.DUMMYFUNCTION("""COMPUTED_VALUE"""),"HUB-LSP-07")</f>
        <v>HUB-LSP-07</v>
      </c>
      <c r="D2651" s="234">
        <f>IFERROR(__xludf.DUMMYFUNCTION("""COMPUTED_VALUE"""),13.0)</f>
        <v>13</v>
      </c>
      <c r="E2651" s="237" t="str">
        <f>IFERROR(__xludf.DUMMYFUNCTION("""COMPUTED_VALUE"""),"LT0PCF01UBV81")</f>
        <v>LT0PCF01UBV81</v>
      </c>
      <c r="F2651" s="238" t="str">
        <f>IFERROR(__xludf.DUMMYFUNCTION("""COMPUTED_VALUE"""),"ASH4C66,BWP2G99")</f>
        <v>ASH4C66,BWP2G99</v>
      </c>
      <c r="G2651" s="238">
        <f>IFERROR(__xludf.DUMMYFUNCTION("""COMPUTED_VALUE"""),46006.91666666667)</f>
        <v>46006.91667</v>
      </c>
      <c r="H2651" s="238">
        <f>IFERROR(__xludf.DUMMYFUNCTION("""COMPUTED_VALUE"""),46007.0)</f>
        <v>46007</v>
      </c>
      <c r="I2651" s="237" t="str">
        <f t="shared" si="1"/>
        <v>Fora</v>
      </c>
      <c r="J2651" s="239">
        <v>119.99999999301508</v>
      </c>
    </row>
    <row r="2652">
      <c r="A2652" s="234" t="s">
        <v>4197</v>
      </c>
      <c r="B2652" s="234" t="str">
        <f>IFERROR(__xludf.DUMMYFUNCTION("""COMPUTED_VALUE"""),"LM Hub_SP_Barueri_01")</f>
        <v>LM Hub_SP_Barueri_01</v>
      </c>
      <c r="C2652" s="234" t="str">
        <f>IFERROR(__xludf.DUMMYFUNCTION("""COMPUTED_VALUE"""),"HUB-LSP-81")</f>
        <v>HUB-LSP-81</v>
      </c>
      <c r="D2652" s="234">
        <f>IFERROR(__xludf.DUMMYFUNCTION("""COMPUTED_VALUE"""),12.0)</f>
        <v>12</v>
      </c>
      <c r="E2652" s="237" t="str">
        <f>IFERROR(__xludf.DUMMYFUNCTION("""COMPUTED_VALUE"""),"LT0PCF01UHKX1")</f>
        <v>LT0PCF01UHKX1</v>
      </c>
      <c r="F2652" s="238" t="str">
        <f>IFERROR(__xludf.DUMMYFUNCTION("""COMPUTED_VALUE"""),"TIZ8A99,TLG4I97")</f>
        <v>TIZ8A99,TLG4I97</v>
      </c>
      <c r="G2652" s="238">
        <f>IFERROR(__xludf.DUMMYFUNCTION("""COMPUTED_VALUE"""),46006.91666666667)</f>
        <v>46006.91667</v>
      </c>
      <c r="H2652" s="238">
        <f>IFERROR(__xludf.DUMMYFUNCTION("""COMPUTED_VALUE"""),46007.0)</f>
        <v>46007</v>
      </c>
      <c r="I2652" s="237" t="str">
        <f t="shared" si="1"/>
        <v>Fora</v>
      </c>
      <c r="J2652" s="239">
        <v>119.99999999301508</v>
      </c>
    </row>
    <row r="2653">
      <c r="A2653" s="234" t="s">
        <v>4198</v>
      </c>
      <c r="B2653" s="234" t="str">
        <f>IFERROR(__xludf.DUMMYFUNCTION("""COMPUTED_VALUE"""),"LM Hub_SP_Guarulhos")</f>
        <v>LM Hub_SP_Guarulhos</v>
      </c>
      <c r="C2653" s="234" t="str">
        <f>IFERROR(__xludf.DUMMYFUNCTION("""COMPUTED_VALUE"""),"HUB-LSP-77")</f>
        <v>HUB-LSP-77</v>
      </c>
      <c r="D2653" s="234">
        <f>IFERROR(__xludf.DUMMYFUNCTION("""COMPUTED_VALUE"""),29.0)</f>
        <v>29</v>
      </c>
      <c r="E2653" s="237" t="str">
        <f>IFERROR(__xludf.DUMMYFUNCTION("""COMPUTED_VALUE"""),"LT0PCF01UCMQ1")</f>
        <v>LT0PCF01UCMQ1</v>
      </c>
      <c r="F2653" s="238" t="str">
        <f>IFERROR(__xludf.DUMMYFUNCTION("""COMPUTED_VALUE"""),"ISQ7F01,ANM9G89")</f>
        <v>ISQ7F01,ANM9G89</v>
      </c>
      <c r="G2653" s="238">
        <f>IFERROR(__xludf.DUMMYFUNCTION("""COMPUTED_VALUE"""),46006.91666666667)</f>
        <v>46006.91667</v>
      </c>
      <c r="H2653" s="238">
        <f>IFERROR(__xludf.DUMMYFUNCTION("""COMPUTED_VALUE"""),46007.0)</f>
        <v>46007</v>
      </c>
      <c r="I2653" s="237" t="str">
        <f t="shared" si="1"/>
        <v>Fora</v>
      </c>
      <c r="J2653" s="239">
        <v>119.99999999301508</v>
      </c>
    </row>
    <row r="2654">
      <c r="A2654" s="234" t="s">
        <v>4199</v>
      </c>
      <c r="B2654" s="234" t="str">
        <f>IFERROR(__xludf.DUMMYFUNCTION("""COMPUTED_VALUE"""),"LM Hub_SP_Itapevi")</f>
        <v>LM Hub_SP_Itapevi</v>
      </c>
      <c r="C2654" s="234" t="str">
        <f>IFERROR(__xludf.DUMMYFUNCTION("""COMPUTED_VALUE"""),"HUB-LSP-41")</f>
        <v>HUB-LSP-41</v>
      </c>
      <c r="D2654" s="234">
        <f>IFERROR(__xludf.DUMMYFUNCTION("""COMPUTED_VALUE"""),5.0)</f>
        <v>5</v>
      </c>
      <c r="E2654" s="237" t="str">
        <f>IFERROR(__xludf.DUMMYFUNCTION("""COMPUTED_VALUE"""),"LT0PCF01UBWI1")</f>
        <v>LT0PCF01UBWI1</v>
      </c>
      <c r="F2654" s="238" t="str">
        <f>IFERROR(__xludf.DUMMYFUNCTION("""COMPUTED_VALUE"""),"EMU5F62,FGK3A38")</f>
        <v>EMU5F62,FGK3A38</v>
      </c>
      <c r="G2654" s="238">
        <f>IFERROR(__xludf.DUMMYFUNCTION("""COMPUTED_VALUE"""),46006.91666666667)</f>
        <v>46006.91667</v>
      </c>
      <c r="H2654" s="238">
        <f>IFERROR(__xludf.DUMMYFUNCTION("""COMPUTED_VALUE"""),46007.0)</f>
        <v>46007</v>
      </c>
      <c r="I2654" s="237" t="str">
        <f t="shared" si="1"/>
        <v>Fora</v>
      </c>
      <c r="J2654" s="239">
        <v>119.99999999301508</v>
      </c>
    </row>
    <row r="2655">
      <c r="A2655" s="234" t="s">
        <v>4200</v>
      </c>
      <c r="B2655" s="234" t="str">
        <f>IFERROR(__xludf.DUMMYFUNCTION("""COMPUTED_VALUE"""),"LM Hub_SP_Limeira_Campo Belo")</f>
        <v>LM Hub_SP_Limeira_Campo Belo</v>
      </c>
      <c r="C2655" s="234" t="str">
        <f>IFERROR(__xludf.DUMMYFUNCTION("""COMPUTED_VALUE"""),"HUB-LSP-24")</f>
        <v>HUB-LSP-24</v>
      </c>
      <c r="D2655" s="234">
        <f>IFERROR(__xludf.DUMMYFUNCTION("""COMPUTED_VALUE"""),46.0)</f>
        <v>46</v>
      </c>
      <c r="E2655" s="237" t="str">
        <f>IFERROR(__xludf.DUMMYFUNCTION("""COMPUTED_VALUE"""),"LT0PCF01UBZP1")</f>
        <v>LT0PCF01UBZP1</v>
      </c>
      <c r="F2655" s="238" t="str">
        <f>IFERROR(__xludf.DUMMYFUNCTION("""COMPUTED_VALUE"""),"GFT5J70,RXK1F70")</f>
        <v>GFT5J70,RXK1F70</v>
      </c>
      <c r="G2655" s="238">
        <f>IFERROR(__xludf.DUMMYFUNCTION("""COMPUTED_VALUE"""),46006.91666666667)</f>
        <v>46006.91667</v>
      </c>
      <c r="H2655" s="238">
        <f>IFERROR(__xludf.DUMMYFUNCTION("""COMPUTED_VALUE"""),46007.0)</f>
        <v>46007</v>
      </c>
      <c r="I2655" s="237" t="str">
        <f t="shared" si="1"/>
        <v>Fora</v>
      </c>
      <c r="J2655" s="239">
        <v>119.99999999301508</v>
      </c>
    </row>
    <row r="2656">
      <c r="A2656" s="234" t="s">
        <v>4201</v>
      </c>
      <c r="B2656" s="234" t="str">
        <f>IFERROR(__xludf.DUMMYFUNCTION("""COMPUTED_VALUE"""),"LM Hub_SP_Mauá")</f>
        <v>LM Hub_SP_Mauá</v>
      </c>
      <c r="C2656" s="234" t="str">
        <f>IFERROR(__xludf.DUMMYFUNCTION("""COMPUTED_VALUE"""),"HUB-LSP-64")</f>
        <v>HUB-LSP-64</v>
      </c>
      <c r="D2656" s="234">
        <f>IFERROR(__xludf.DUMMYFUNCTION("""COMPUTED_VALUE"""),14.0)</f>
        <v>14</v>
      </c>
      <c r="E2656" s="237" t="str">
        <f>IFERROR(__xludf.DUMMYFUNCTION("""COMPUTED_VALUE"""),"LT0PCF01UBWY1")</f>
        <v>LT0PCF01UBWY1</v>
      </c>
      <c r="F2656" s="238" t="str">
        <f>IFERROR(__xludf.DUMMYFUNCTION("""COMPUTED_VALUE"""),"AUH5C55,AXE8E39")</f>
        <v>AUH5C55,AXE8E39</v>
      </c>
      <c r="G2656" s="238">
        <f>IFERROR(__xludf.DUMMYFUNCTION("""COMPUTED_VALUE"""),46006.91666666667)</f>
        <v>46006.91667</v>
      </c>
      <c r="H2656" s="238">
        <f>IFERROR(__xludf.DUMMYFUNCTION("""COMPUTED_VALUE"""),46007.0)</f>
        <v>46007</v>
      </c>
      <c r="I2656" s="237" t="str">
        <f t="shared" si="1"/>
        <v>Fora</v>
      </c>
      <c r="J2656" s="239">
        <v>119.99999999301508</v>
      </c>
    </row>
    <row r="2657">
      <c r="A2657" s="234" t="s">
        <v>4202</v>
      </c>
      <c r="B2657" s="234" t="str">
        <f>IFERROR(__xludf.DUMMYFUNCTION("""COMPUTED_VALUE"""),"LM Hub_SP_Osasco_02")</f>
        <v>LM Hub_SP_Osasco_02</v>
      </c>
      <c r="C2657" s="234" t="str">
        <f>IFERROR(__xludf.DUMMYFUNCTION("""COMPUTED_VALUE"""),"HUB-LSP-60")</f>
        <v>HUB-LSP-60</v>
      </c>
      <c r="D2657" s="234">
        <f>IFERROR(__xludf.DUMMYFUNCTION("""COMPUTED_VALUE"""),22.0)</f>
        <v>22</v>
      </c>
      <c r="E2657" s="237" t="str">
        <f>IFERROR(__xludf.DUMMYFUNCTION("""COMPUTED_VALUE"""),"LT0PCF01UBWP1")</f>
        <v>LT0PCF01UBWP1</v>
      </c>
      <c r="F2657" s="238" t="str">
        <f>IFERROR(__xludf.DUMMYFUNCTION("""COMPUTED_VALUE"""),"AZZ7H09,EZU5701")</f>
        <v>AZZ7H09,EZU5701</v>
      </c>
      <c r="G2657" s="238">
        <f>IFERROR(__xludf.DUMMYFUNCTION("""COMPUTED_VALUE"""),46006.91666666667)</f>
        <v>46006.91667</v>
      </c>
      <c r="H2657" s="238">
        <f>IFERROR(__xludf.DUMMYFUNCTION("""COMPUTED_VALUE"""),46007.0)</f>
        <v>46007</v>
      </c>
      <c r="I2657" s="237" t="str">
        <f t="shared" si="1"/>
        <v>Fora</v>
      </c>
      <c r="J2657" s="239">
        <v>119.99999999301508</v>
      </c>
    </row>
    <row r="2658">
      <c r="A2658" s="234" t="s">
        <v>4203</v>
      </c>
      <c r="B2658" s="234" t="str">
        <f>IFERROR(__xludf.DUMMYFUNCTION("""COMPUTED_VALUE"""),"LM Hub_SP_São José do Rio P")</f>
        <v>LM Hub_SP_São José do Rio P</v>
      </c>
      <c r="C2658" s="234" t="str">
        <f>IFERROR(__xludf.DUMMYFUNCTION("""COMPUTED_VALUE"""),"HUB-LSP-27")</f>
        <v>HUB-LSP-27</v>
      </c>
      <c r="D2658" s="234">
        <f>IFERROR(__xludf.DUMMYFUNCTION("""COMPUTED_VALUE"""),45.0)</f>
        <v>45</v>
      </c>
      <c r="E2658" s="237" t="str">
        <f>IFERROR(__xludf.DUMMYFUNCTION("""COMPUTED_VALUE"""),"LT0PCF01UGAZ1")</f>
        <v>LT0PCF01UGAZ1</v>
      </c>
      <c r="F2658" s="238" t="str">
        <f>IFERROR(__xludf.DUMMYFUNCTION("""COMPUTED_VALUE"""),"GAQ8825,FYK3F47")</f>
        <v>GAQ8825,FYK3F47</v>
      </c>
      <c r="G2658" s="238">
        <f>IFERROR(__xludf.DUMMYFUNCTION("""COMPUTED_VALUE"""),46006.91666666667)</f>
        <v>46006.91667</v>
      </c>
      <c r="H2658" s="238">
        <f>IFERROR(__xludf.DUMMYFUNCTION("""COMPUTED_VALUE"""),46007.0)</f>
        <v>46007</v>
      </c>
      <c r="I2658" s="237" t="str">
        <f t="shared" si="1"/>
        <v>Fora</v>
      </c>
      <c r="J2658" s="239">
        <v>119.99999999301508</v>
      </c>
    </row>
    <row r="2659">
      <c r="A2659" s="234" t="s">
        <v>4204</v>
      </c>
      <c r="B2659" s="234" t="str">
        <f>IFERROR(__xludf.DUMMYFUNCTION("""COMPUTED_VALUE"""),"SoC_RS_Gravataí_02")</f>
        <v>SoC_RS_Gravataí_02</v>
      </c>
      <c r="C2659" s="234" t="str">
        <f>IFERROR(__xludf.DUMMYFUNCTION("""COMPUTED_VALUE"""),"SOC-RS2")</f>
        <v>SOC-RS2</v>
      </c>
      <c r="D2659" s="234">
        <f>IFERROR(__xludf.DUMMYFUNCTION("""COMPUTED_VALUE"""),9.0)</f>
        <v>9</v>
      </c>
      <c r="E2659" s="237" t="str">
        <f>IFERROR(__xludf.DUMMYFUNCTION("""COMPUTED_VALUE"""),"LT1PCF01UOKM1")</f>
        <v>LT1PCF01UOKM1</v>
      </c>
      <c r="F2659" s="238" t="str">
        <f>IFERROR(__xludf.DUMMYFUNCTION("""COMPUTED_VALUE"""),"EMT3D32")</f>
        <v>EMT3D32</v>
      </c>
      <c r="G2659" s="238">
        <f>IFERROR(__xludf.DUMMYFUNCTION("""COMPUTED_VALUE"""),46006.91666666667)</f>
        <v>46006.91667</v>
      </c>
      <c r="H2659" s="238">
        <f>IFERROR(__xludf.DUMMYFUNCTION("""COMPUTED_VALUE"""),46007.0)</f>
        <v>46007</v>
      </c>
      <c r="I2659" s="237" t="str">
        <f t="shared" si="1"/>
        <v>Fora</v>
      </c>
      <c r="J2659" s="239">
        <v>119.99999999301508</v>
      </c>
    </row>
    <row r="2660">
      <c r="A2660" s="234" t="s">
        <v>4205</v>
      </c>
      <c r="B2660" s="234" t="str">
        <f>IFERROR(__xludf.DUMMYFUNCTION("""COMPUTED_VALUE"""),"SoC_RS_Gravataí_02")</f>
        <v>SoC_RS_Gravataí_02</v>
      </c>
      <c r="C2660" s="234" t="str">
        <f>IFERROR(__xludf.DUMMYFUNCTION("""COMPUTED_VALUE"""),"SOC-RS2")</f>
        <v>SOC-RS2</v>
      </c>
      <c r="D2660" s="234">
        <f>IFERROR(__xludf.DUMMYFUNCTION("""COMPUTED_VALUE"""),44.0)</f>
        <v>44</v>
      </c>
      <c r="E2660" s="237" t="str">
        <f>IFERROR(__xludf.DUMMYFUNCTION("""COMPUTED_VALUE"""),"LT1PCF01UOKN2")</f>
        <v>LT1PCF01UOKN2</v>
      </c>
      <c r="F2660" s="238" t="str">
        <f>IFERROR(__xludf.DUMMYFUNCTION("""COMPUTED_VALUE"""),"BEL3I78")</f>
        <v>BEL3I78</v>
      </c>
      <c r="G2660" s="238">
        <f>IFERROR(__xludf.DUMMYFUNCTION("""COMPUTED_VALUE"""),46006.91666666667)</f>
        <v>46006.91667</v>
      </c>
      <c r="H2660" s="238">
        <f>IFERROR(__xludf.DUMMYFUNCTION("""COMPUTED_VALUE"""),46007.0)</f>
        <v>46007</v>
      </c>
      <c r="I2660" s="237" t="str">
        <f t="shared" si="1"/>
        <v>Fora</v>
      </c>
      <c r="J2660" s="239">
        <v>119.99999999301508</v>
      </c>
    </row>
    <row r="2661">
      <c r="A2661" s="234" t="s">
        <v>4206</v>
      </c>
      <c r="B2661" s="234" t="str">
        <f>IFERROR(__xludf.DUMMYFUNCTION("""COMPUTED_VALUE"""),"LM Hub_SP_Jardim Adriana")</f>
        <v>LM Hub_SP_Jardim Adriana</v>
      </c>
      <c r="C2661" s="234" t="str">
        <f>IFERROR(__xludf.DUMMYFUNCTION("""COMPUTED_VALUE"""),"HUB-LSP-12")</f>
        <v>HUB-LSP-12</v>
      </c>
      <c r="D2661" s="234">
        <f>IFERROR(__xludf.DUMMYFUNCTION("""COMPUTED_VALUE"""),16.0)</f>
        <v>16</v>
      </c>
      <c r="E2661" s="237" t="str">
        <f>IFERROR(__xludf.DUMMYFUNCTION("""COMPUTED_VALUE"""),"LT0PCF01UBVF1")</f>
        <v>LT0PCF01UBVF1</v>
      </c>
      <c r="F2661" s="238" t="str">
        <f>IFERROR(__xludf.DUMMYFUNCTION("""COMPUTED_VALUE"""),"DJB5B15")</f>
        <v>DJB5B15</v>
      </c>
      <c r="G2661" s="238">
        <f>IFERROR(__xludf.DUMMYFUNCTION("""COMPUTED_VALUE"""),46006.9375)</f>
        <v>46006.9375</v>
      </c>
      <c r="H2661" s="238">
        <f>IFERROR(__xludf.DUMMYFUNCTION("""COMPUTED_VALUE"""),46007.02083333333)</f>
        <v>46007.02083</v>
      </c>
      <c r="I2661" s="237" t="str">
        <f t="shared" si="1"/>
        <v>Fora</v>
      </c>
      <c r="J2661" s="239">
        <v>119.99999999301508</v>
      </c>
    </row>
    <row r="2662">
      <c r="A2662" s="234" t="s">
        <v>4207</v>
      </c>
      <c r="B2662" s="234" t="str">
        <f>IFERROR(__xludf.DUMMYFUNCTION("""COMPUTED_VALUE"""),"LM Hub_SP_Piracicaba")</f>
        <v>LM Hub_SP_Piracicaba</v>
      </c>
      <c r="C2662" s="234" t="str">
        <f>IFERROR(__xludf.DUMMYFUNCTION("""COMPUTED_VALUE"""),"HUB-LSP-62")</f>
        <v>HUB-LSP-62</v>
      </c>
      <c r="D2662" s="234">
        <f>IFERROR(__xludf.DUMMYFUNCTION("""COMPUTED_VALUE"""),25.0)</f>
        <v>25</v>
      </c>
      <c r="E2662" s="237" t="str">
        <f>IFERROR(__xludf.DUMMYFUNCTION("""COMPUTED_VALUE"""),"LT0PCF01UCN21")</f>
        <v>LT0PCF01UCN21</v>
      </c>
      <c r="F2662" s="238" t="str">
        <f>IFERROR(__xludf.DUMMYFUNCTION("""COMPUTED_VALUE"""),"EOF4D32,EOF4D33")</f>
        <v>EOF4D32,EOF4D33</v>
      </c>
      <c r="G2662" s="238">
        <f>IFERROR(__xludf.DUMMYFUNCTION("""COMPUTED_VALUE"""),46006.9375)</f>
        <v>46006.9375</v>
      </c>
      <c r="H2662" s="238">
        <f>IFERROR(__xludf.DUMMYFUNCTION("""COMPUTED_VALUE"""),46007.02083333333)</f>
        <v>46007.02083</v>
      </c>
      <c r="I2662" s="237" t="str">
        <f t="shared" si="1"/>
        <v>Fora</v>
      </c>
      <c r="J2662" s="239">
        <v>119.99999999301508</v>
      </c>
    </row>
    <row r="2663">
      <c r="A2663" s="234" t="s">
        <v>4208</v>
      </c>
      <c r="B2663" s="234" t="str">
        <f>IFERROR(__xludf.DUMMYFUNCTION("""COMPUTED_VALUE"""),"LM Hub_SP_São Paulo_Carandiru")</f>
        <v>LM Hub_SP_São Paulo_Carandiru</v>
      </c>
      <c r="C2663" s="234" t="str">
        <f>IFERROR(__xludf.DUMMYFUNCTION("""COMPUTED_VALUE"""),"HUB-LSP-18")</f>
        <v>HUB-LSP-18</v>
      </c>
      <c r="D2663" s="234">
        <f>IFERROR(__xludf.DUMMYFUNCTION("""COMPUTED_VALUE"""),38.0)</f>
        <v>38</v>
      </c>
      <c r="E2663" s="237" t="str">
        <f>IFERROR(__xludf.DUMMYFUNCTION("""COMPUTED_VALUE"""),"LT0PCF01UBW11")</f>
        <v>LT0PCF01UBW11</v>
      </c>
      <c r="F2663" s="238" t="str">
        <f>IFERROR(__xludf.DUMMYFUNCTION("""COMPUTED_VALUE"""),"SWA1B76")</f>
        <v>SWA1B76</v>
      </c>
      <c r="G2663" s="238">
        <f>IFERROR(__xludf.DUMMYFUNCTION("""COMPUTED_VALUE"""),46006.9375)</f>
        <v>46006.9375</v>
      </c>
      <c r="H2663" s="238">
        <f>IFERROR(__xludf.DUMMYFUNCTION("""COMPUTED_VALUE"""),46007.02083333333)</f>
        <v>46007.02083</v>
      </c>
      <c r="I2663" s="237" t="str">
        <f t="shared" si="1"/>
        <v>Fora</v>
      </c>
      <c r="J2663" s="239">
        <v>119.99999999301508</v>
      </c>
    </row>
    <row r="2664">
      <c r="A2664" s="234" t="s">
        <v>4209</v>
      </c>
      <c r="B2664" s="234" t="str">
        <f>IFERROR(__xludf.DUMMYFUNCTION("""COMPUTED_VALUE"""),"LM Hub_SP_São Paulo_Mooca")</f>
        <v>LM Hub_SP_São Paulo_Mooca</v>
      </c>
      <c r="C2664" s="234" t="str">
        <f>IFERROR(__xludf.DUMMYFUNCTION("""COMPUTED_VALUE"""),"HUB-LSP-13")</f>
        <v>HUB-LSP-13</v>
      </c>
      <c r="D2664" s="234">
        <f>IFERROR(__xludf.DUMMYFUNCTION("""COMPUTED_VALUE"""),8.0)</f>
        <v>8</v>
      </c>
      <c r="E2664" s="237" t="str">
        <f>IFERROR(__xludf.DUMMYFUNCTION("""COMPUTED_VALUE"""),"LT0PCF01U87Q1")</f>
        <v>LT0PCF01U87Q1</v>
      </c>
      <c r="F2664" s="238" t="str">
        <f>IFERROR(__xludf.DUMMYFUNCTION("""COMPUTED_VALUE"""),"GBU4H81")</f>
        <v>GBU4H81</v>
      </c>
      <c r="G2664" s="238">
        <f>IFERROR(__xludf.DUMMYFUNCTION("""COMPUTED_VALUE"""),46006.9375)</f>
        <v>46006.9375</v>
      </c>
      <c r="H2664" s="238">
        <f>IFERROR(__xludf.DUMMYFUNCTION("""COMPUTED_VALUE"""),46007.02083333333)</f>
        <v>46007.02083</v>
      </c>
      <c r="I2664" s="237" t="str">
        <f t="shared" si="1"/>
        <v>Fora</v>
      </c>
      <c r="J2664" s="239">
        <v>119.99999999301508</v>
      </c>
    </row>
    <row r="2665">
      <c r="A2665" s="234" t="s">
        <v>4210</v>
      </c>
      <c r="B2665" s="234" t="str">
        <f>IFERROR(__xludf.DUMMYFUNCTION("""COMPUTED_VALUE"""),"LM Hub_SP_VilaGuilherme")</f>
        <v>LM Hub_SP_VilaGuilherme</v>
      </c>
      <c r="C2665" s="234" t="str">
        <f>IFERROR(__xludf.DUMMYFUNCTION("""COMPUTED_VALUE"""),"HUB-LSP-68")</f>
        <v>HUB-LSP-68</v>
      </c>
      <c r="D2665" s="234">
        <f>IFERROR(__xludf.DUMMYFUNCTION("""COMPUTED_VALUE"""),15.0)</f>
        <v>15</v>
      </c>
      <c r="E2665" s="237" t="str">
        <f>IFERROR(__xludf.DUMMYFUNCTION("""COMPUTED_VALUE"""),"LT0PCF01UBX41")</f>
        <v>LT0PCF01UBX41</v>
      </c>
      <c r="F2665" s="238" t="str">
        <f>IFERROR(__xludf.DUMMYFUNCTION("""COMPUTED_VALUE"""),"EZL3F51,DJB2582")</f>
        <v>EZL3F51,DJB2582</v>
      </c>
      <c r="G2665" s="238">
        <f>IFERROR(__xludf.DUMMYFUNCTION("""COMPUTED_VALUE"""),46006.9375)</f>
        <v>46006.9375</v>
      </c>
      <c r="H2665" s="238">
        <f>IFERROR(__xludf.DUMMYFUNCTION("""COMPUTED_VALUE"""),46007.02083333333)</f>
        <v>46007.02083</v>
      </c>
      <c r="I2665" s="237" t="str">
        <f t="shared" si="1"/>
        <v>Fora</v>
      </c>
      <c r="J2665" s="239">
        <v>118.99999998975545</v>
      </c>
    </row>
    <row r="2666">
      <c r="A2666" s="234" t="s">
        <v>4211</v>
      </c>
      <c r="B2666" s="234" t="str">
        <f>IFERROR(__xludf.DUMMYFUNCTION("""COMPUTED_VALUE"""),"LM Hub_SP_Parque Novo Mundo")</f>
        <v>LM Hub_SP_Parque Novo Mundo</v>
      </c>
      <c r="C2666" s="234" t="str">
        <f>IFERROR(__xludf.DUMMYFUNCTION("""COMPUTED_VALUE"""),"HUB-LSP-89")</f>
        <v>HUB-LSP-89</v>
      </c>
      <c r="D2666" s="234">
        <f>IFERROR(__xludf.DUMMYFUNCTION("""COMPUTED_VALUE"""),35.0)</f>
        <v>35</v>
      </c>
      <c r="E2666" s="237" t="str">
        <f>IFERROR(__xludf.DUMMYFUNCTION("""COMPUTED_VALUE"""),"LT0PCF01UCUX1")</f>
        <v>LT0PCF01UCUX1</v>
      </c>
      <c r="F2666" s="238" t="str">
        <f>IFERROR(__xludf.DUMMYFUNCTION("""COMPUTED_VALUE"""),"FUF6H46,NVV7D82")</f>
        <v>FUF6H46,NVV7D82</v>
      </c>
      <c r="G2666" s="238">
        <f>IFERROR(__xludf.DUMMYFUNCTION("""COMPUTED_VALUE"""),46006.93819444445)</f>
        <v>46006.93819</v>
      </c>
      <c r="H2666" s="238">
        <f>IFERROR(__xludf.DUMMYFUNCTION("""COMPUTED_VALUE"""),46007.02083333333)</f>
        <v>46007.02083</v>
      </c>
      <c r="I2666" s="237" t="str">
        <f t="shared" si="1"/>
        <v>Fora</v>
      </c>
      <c r="J2666" s="239">
        <v>120.00000001396984</v>
      </c>
    </row>
    <row r="2667">
      <c r="A2667" s="234" t="s">
        <v>4212</v>
      </c>
      <c r="B2667" s="234" t="str">
        <f>IFERROR(__xludf.DUMMYFUNCTION("""COMPUTED_VALUE"""),"LM Hub_ES_Viana")</f>
        <v>LM Hub_ES_Viana</v>
      </c>
      <c r="C2667" s="234" t="str">
        <f>IFERROR(__xludf.DUMMYFUNCTION("""COMPUTED_VALUE"""),"HUB-LES-09")</f>
        <v>HUB-LES-09</v>
      </c>
      <c r="D2667" s="234">
        <f>IFERROR(__xludf.DUMMYFUNCTION("""COMPUTED_VALUE"""),26.0)</f>
        <v>26</v>
      </c>
      <c r="E2667" s="237" t="str">
        <f>IFERROR(__xludf.DUMMYFUNCTION("""COMPUTED_VALUE"""),"LT0PCF01UGCN1")</f>
        <v>LT0PCF01UGCN1</v>
      </c>
      <c r="F2667" s="238" t="str">
        <f>IFERROR(__xludf.DUMMYFUNCTION("""COMPUTED_VALUE"""),"TMD5G27,UGQ1F92")</f>
        <v>TMD5G27,UGQ1F92</v>
      </c>
      <c r="G2667" s="238">
        <f>IFERROR(__xludf.DUMMYFUNCTION("""COMPUTED_VALUE"""),46006.95833333333)</f>
        <v>46006.95833</v>
      </c>
      <c r="H2667" s="238">
        <f>IFERROR(__xludf.DUMMYFUNCTION("""COMPUTED_VALUE"""),46007.04166666667)</f>
        <v>46007.04167</v>
      </c>
      <c r="I2667" s="237" t="str">
        <f t="shared" si="1"/>
        <v>Fora</v>
      </c>
      <c r="J2667" s="239">
        <v>120.00000001396984</v>
      </c>
    </row>
    <row r="2668">
      <c r="A2668" s="234" t="s">
        <v>4213</v>
      </c>
      <c r="B2668" s="234" t="str">
        <f>IFERROR(__xludf.DUMMYFUNCTION("""COMPUTED_VALUE"""),"LM Hub_SP_Jundiaí")</f>
        <v>LM Hub_SP_Jundiaí</v>
      </c>
      <c r="C2668" s="234" t="str">
        <f>IFERROR(__xludf.DUMMYFUNCTION("""COMPUTED_VALUE"""),"HUB-LSP-100")</f>
        <v>HUB-LSP-100</v>
      </c>
      <c r="D2668" s="234">
        <f>IFERROR(__xludf.DUMMYFUNCTION("""COMPUTED_VALUE"""),6.0)</f>
        <v>6</v>
      </c>
      <c r="E2668" s="237" t="str">
        <f>IFERROR(__xludf.DUMMYFUNCTION("""COMPUTED_VALUE"""),"LT0PCF01UJ051")</f>
        <v>LT0PCF01UJ051</v>
      </c>
      <c r="F2668" s="238" t="str">
        <f>IFERROR(__xludf.DUMMYFUNCTION("""COMPUTED_VALUE"""),"EDI5J16,TPO5B25")</f>
        <v>EDI5J16,TPO5B25</v>
      </c>
      <c r="G2668" s="238">
        <f>IFERROR(__xludf.DUMMYFUNCTION("""COMPUTED_VALUE"""),46006.95833333333)</f>
        <v>46006.95833</v>
      </c>
      <c r="H2668" s="238">
        <f>IFERROR(__xludf.DUMMYFUNCTION("""COMPUTED_VALUE"""),46007.04166666667)</f>
        <v>46007.04167</v>
      </c>
      <c r="I2668" s="237" t="str">
        <f t="shared" si="1"/>
        <v>Fora</v>
      </c>
      <c r="J2668" s="239">
        <v>120.00000001396984</v>
      </c>
    </row>
    <row r="2669">
      <c r="A2669" s="234" t="s">
        <v>4214</v>
      </c>
      <c r="B2669" s="234" t="str">
        <f>IFERROR(__xludf.DUMMYFUNCTION("""COMPUTED_VALUE"""),"LM Hub_SP_Mogi Mirim")</f>
        <v>LM Hub_SP_Mogi Mirim</v>
      </c>
      <c r="C2669" s="234" t="str">
        <f>IFERROR(__xludf.DUMMYFUNCTION("""COMPUTED_VALUE"""),"HUB-LSP-37")</f>
        <v>HUB-LSP-37</v>
      </c>
      <c r="D2669" s="234">
        <f>IFERROR(__xludf.DUMMYFUNCTION("""COMPUTED_VALUE"""),39.0)</f>
        <v>39</v>
      </c>
      <c r="E2669" s="237" t="str">
        <f>IFERROR(__xludf.DUMMYFUNCTION("""COMPUTED_VALUE"""),"LT0PCF01UC0J1")</f>
        <v>LT0PCF01UC0J1</v>
      </c>
      <c r="F2669" s="238" t="str">
        <f>IFERROR(__xludf.DUMMYFUNCTION("""COMPUTED_VALUE"""),"BPQ9C21")</f>
        <v>BPQ9C21</v>
      </c>
      <c r="G2669" s="238">
        <f>IFERROR(__xludf.DUMMYFUNCTION("""COMPUTED_VALUE"""),46006.95833333333)</f>
        <v>46006.95833</v>
      </c>
      <c r="H2669" s="238">
        <f>IFERROR(__xludf.DUMMYFUNCTION("""COMPUTED_VALUE"""),46007.04166666667)</f>
        <v>46007.04167</v>
      </c>
      <c r="I2669" s="237" t="str">
        <f t="shared" si="1"/>
        <v>Fora</v>
      </c>
      <c r="J2669" s="239">
        <v>119.99999999301508</v>
      </c>
    </row>
    <row r="2670">
      <c r="A2670" s="234" t="s">
        <v>4215</v>
      </c>
      <c r="B2670" s="234" t="str">
        <f>IFERROR(__xludf.DUMMYFUNCTION("""COMPUTED_VALUE"""),"LM Hub_SP_Atibaia_Ponte_Alta")</f>
        <v>LM Hub_SP_Atibaia_Ponte_Alta</v>
      </c>
      <c r="C2670" s="234" t="str">
        <f>IFERROR(__xludf.DUMMYFUNCTION("""COMPUTED_VALUE"""),"HUB-LSP-87")</f>
        <v>HUB-LSP-87</v>
      </c>
      <c r="D2670" s="234">
        <f>IFERROR(__xludf.DUMMYFUNCTION("""COMPUTED_VALUE"""),15.0)</f>
        <v>15</v>
      </c>
      <c r="E2670" s="237" t="str">
        <f>IFERROR(__xludf.DUMMYFUNCTION("""COMPUTED_VALUE"""),"LT0PCF01UG6S1")</f>
        <v>LT0PCF01UG6S1</v>
      </c>
      <c r="F2670" s="238" t="str">
        <f>IFERROR(__xludf.DUMMYFUNCTION("""COMPUTED_VALUE"""),"EQT2I59,TPO3D25")</f>
        <v>EQT2I59,TPO3D25</v>
      </c>
      <c r="G2670" s="238">
        <f>IFERROR(__xludf.DUMMYFUNCTION("""COMPUTED_VALUE"""),46006.97916666667)</f>
        <v>46006.97917</v>
      </c>
      <c r="H2670" s="238">
        <f>IFERROR(__xludf.DUMMYFUNCTION("""COMPUTED_VALUE"""),46007.0625)</f>
        <v>46007.0625</v>
      </c>
      <c r="I2670" s="237" t="str">
        <f t="shared" si="1"/>
        <v>Fora</v>
      </c>
      <c r="J2670" s="239">
        <v>119.99999999301508</v>
      </c>
    </row>
    <row r="2671">
      <c r="A2671" s="234" t="s">
        <v>4216</v>
      </c>
      <c r="B2671" s="234" t="str">
        <f>IFERROR(__xludf.DUMMYFUNCTION("""COMPUTED_VALUE"""),"LM Hub_SP_Várzea Paulista")</f>
        <v>LM Hub_SP_Várzea Paulista</v>
      </c>
      <c r="C2671" s="234" t="str">
        <f>IFERROR(__xludf.DUMMYFUNCTION("""COMPUTED_VALUE"""),"HUB-LSP-61")</f>
        <v>HUB-LSP-61</v>
      </c>
      <c r="D2671" s="234">
        <f>IFERROR(__xludf.DUMMYFUNCTION("""COMPUTED_VALUE"""),42.0)</f>
        <v>42</v>
      </c>
      <c r="E2671" s="237" t="str">
        <f>IFERROR(__xludf.DUMMYFUNCTION("""COMPUTED_VALUE"""),"LT0PCF01UBZY1")</f>
        <v>LT0PCF01UBZY1</v>
      </c>
      <c r="F2671" s="238" t="str">
        <f>IFERROR(__xludf.DUMMYFUNCTION("""COMPUTED_VALUE"""),"RBG0F94,PXI5321")</f>
        <v>RBG0F94,PXI5321</v>
      </c>
      <c r="G2671" s="238">
        <f>IFERROR(__xludf.DUMMYFUNCTION("""COMPUTED_VALUE"""),46006.97916666667)</f>
        <v>46006.97917</v>
      </c>
      <c r="H2671" s="238">
        <f>IFERROR(__xludf.DUMMYFUNCTION("""COMPUTED_VALUE"""),46007.0625)</f>
        <v>46007.0625</v>
      </c>
      <c r="I2671" s="237" t="str">
        <f t="shared" si="1"/>
        <v>Fora</v>
      </c>
      <c r="J2671" s="239">
        <v>360.0</v>
      </c>
    </row>
    <row r="2672">
      <c r="A2672" s="234" t="s">
        <v>4217</v>
      </c>
      <c r="B2672" s="234" t="str">
        <f>IFERROR(__xludf.DUMMYFUNCTION("""COMPUTED_VALUE"""),"SoC_GO_Goiânia_02")</f>
        <v>SoC_GO_Goiânia_02</v>
      </c>
      <c r="C2672" s="234" t="str">
        <f>IFERROR(__xludf.DUMMYFUNCTION("""COMPUTED_VALUE"""),"SOC-GO2")</f>
        <v>SOC-GO2</v>
      </c>
      <c r="D2672" s="234">
        <f>IFERROR(__xludf.DUMMYFUNCTION("""COMPUTED_VALUE"""),86.0)</f>
        <v>86</v>
      </c>
      <c r="E2672" s="237" t="str">
        <f>IFERROR(__xludf.DUMMYFUNCTION("""COMPUTED_VALUE"""),"LT0PCF01UI6T1")</f>
        <v>LT0PCF01UI6T1</v>
      </c>
      <c r="F2672" s="238" t="str">
        <f>IFERROR(__xludf.DUMMYFUNCTION("""COMPUTED_VALUE"""),"RFD3G51,EFW6D40")</f>
        <v>RFD3G51,EFW6D40</v>
      </c>
      <c r="G2672" s="238">
        <f>IFERROR(__xludf.DUMMYFUNCTION("""COMPUTED_VALUE"""),46006.83333333333)</f>
        <v>46006.83333</v>
      </c>
      <c r="H2672" s="238">
        <f>IFERROR(__xludf.DUMMYFUNCTION("""COMPUTED_VALUE"""),46007.08333333333)</f>
        <v>46007.08333</v>
      </c>
      <c r="I2672" s="237" t="str">
        <f t="shared" si="1"/>
        <v>Fora</v>
      </c>
      <c r="J2672" s="239">
        <v>119.99999999301508</v>
      </c>
    </row>
    <row r="2673">
      <c r="A2673" s="234" t="s">
        <v>4218</v>
      </c>
      <c r="B2673" s="234" t="str">
        <f>IFERROR(__xludf.DUMMYFUNCTION("""COMPUTED_VALUE"""),"SoC_PE_Jaboatão dos Guararapes")</f>
        <v>SoC_PE_Jaboatão dos Guararapes</v>
      </c>
      <c r="C2673" s="234" t="str">
        <f>IFERROR(__xludf.DUMMYFUNCTION("""COMPUTED_VALUE"""),"SOC-PE2")</f>
        <v>SOC-PE2</v>
      </c>
      <c r="D2673" s="234">
        <f>IFERROR(__xludf.DUMMYFUNCTION("""COMPUTED_VALUE"""),23.0)</f>
        <v>23</v>
      </c>
      <c r="E2673" s="237" t="str">
        <f>IFERROR(__xludf.DUMMYFUNCTION("""COMPUTED_VALUE"""),"LT0PCG01UHU91")</f>
        <v>LT0PCG01UHU91</v>
      </c>
      <c r="F2673" s="238" t="str">
        <f>IFERROR(__xludf.DUMMYFUNCTION("""COMPUTED_VALUE"""),"RBM4A10,OGP0C93")</f>
        <v>RBM4A10,OGP0C93</v>
      </c>
      <c r="G2673" s="238">
        <f>IFERROR(__xludf.DUMMYFUNCTION("""COMPUTED_VALUE"""),46007.0)</f>
        <v>46007</v>
      </c>
      <c r="H2673" s="238">
        <f>IFERROR(__xludf.DUMMYFUNCTION("""COMPUTED_VALUE"""),46007.08333333333)</f>
        <v>46007.08333</v>
      </c>
      <c r="I2673" s="237" t="str">
        <f t="shared" si="1"/>
        <v>Fora</v>
      </c>
      <c r="J2673" s="239">
        <v>119.99999999301508</v>
      </c>
    </row>
    <row r="2674">
      <c r="A2674" s="234" t="s">
        <v>4219</v>
      </c>
      <c r="B2674" s="234" t="str">
        <f>IFERROR(__xludf.DUMMYFUNCTION("""COMPUTED_VALUE"""),"SoC_PR_Curitiba")</f>
        <v>SoC_PR_Curitiba</v>
      </c>
      <c r="C2674" s="234" t="str">
        <f>IFERROR(__xludf.DUMMYFUNCTION("""COMPUTED_VALUE"""),"SOC-PR1")</f>
        <v>SOC-PR1</v>
      </c>
      <c r="D2674" s="234"/>
      <c r="E2674" s="237" t="str">
        <f>IFERROR(__xludf.DUMMYFUNCTION("""COMPUTED_VALUE"""),"LT0PCG01UBT41")</f>
        <v>LT0PCG01UBT41</v>
      </c>
      <c r="F2674" s="238" t="str">
        <f>IFERROR(__xludf.DUMMYFUNCTION("""COMPUTED_VALUE"""),"GFS4E73,FOP7H75")</f>
        <v>GFS4E73,FOP7H75</v>
      </c>
      <c r="G2674" s="238">
        <f>IFERROR(__xludf.DUMMYFUNCTION("""COMPUTED_VALUE"""),46007.0)</f>
        <v>46007</v>
      </c>
      <c r="H2674" s="238">
        <f>IFERROR(__xludf.DUMMYFUNCTION("""COMPUTED_VALUE"""),46007.08333333333)</f>
        <v>46007.08333</v>
      </c>
      <c r="I2674" s="237" t="str">
        <f t="shared" si="1"/>
        <v>Fora</v>
      </c>
      <c r="J2674" s="239">
        <v>119.99999999301508</v>
      </c>
    </row>
    <row r="2675">
      <c r="A2675" s="234" t="s">
        <v>4220</v>
      </c>
      <c r="B2675" s="234" t="str">
        <f>IFERROR(__xludf.DUMMYFUNCTION("""COMPUTED_VALUE"""),"SoC_RS_Gravataí_02")</f>
        <v>SoC_RS_Gravataí_02</v>
      </c>
      <c r="C2675" s="234" t="str">
        <f>IFERROR(__xludf.DUMMYFUNCTION("""COMPUTED_VALUE"""),"SOC-RS2")</f>
        <v>SOC-RS2</v>
      </c>
      <c r="D2675" s="234">
        <f>IFERROR(__xludf.DUMMYFUNCTION("""COMPUTED_VALUE"""),24.0)</f>
        <v>24</v>
      </c>
      <c r="E2675" s="237" t="str">
        <f>IFERROR(__xludf.DUMMYFUNCTION("""COMPUTED_VALUE"""),"LT0PCG01UI9E1")</f>
        <v>LT0PCG01UI9E1</v>
      </c>
      <c r="F2675" s="238" t="str">
        <f>IFERROR(__xludf.DUMMYFUNCTION("""COMPUTED_VALUE"""),"QJR4J09,JCW2A95")</f>
        <v>QJR4J09,JCW2A95</v>
      </c>
      <c r="G2675" s="238">
        <f>IFERROR(__xludf.DUMMYFUNCTION("""COMPUTED_VALUE"""),46007.0)</f>
        <v>46007</v>
      </c>
      <c r="H2675" s="238">
        <f>IFERROR(__xludf.DUMMYFUNCTION("""COMPUTED_VALUE"""),46007.08333333333)</f>
        <v>46007.08333</v>
      </c>
      <c r="I2675" s="237" t="str">
        <f t="shared" si="1"/>
        <v>Fora</v>
      </c>
      <c r="J2675" s="239">
        <v>119.99999999301508</v>
      </c>
    </row>
    <row r="2676">
      <c r="A2676" s="234" t="s">
        <v>4221</v>
      </c>
      <c r="B2676" s="234" t="str">
        <f>IFERROR(__xludf.DUMMYFUNCTION("""COMPUTED_VALUE"""),"SoC_SC_Itajaí")</f>
        <v>SoC_SC_Itajaí</v>
      </c>
      <c r="C2676" s="234" t="str">
        <f>IFERROR(__xludf.DUMMYFUNCTION("""COMPUTED_VALUE"""),"SOC-SC1")</f>
        <v>SOC-SC1</v>
      </c>
      <c r="D2676" s="234"/>
      <c r="E2676" s="237" t="str">
        <f>IFERROR(__xludf.DUMMYFUNCTION("""COMPUTED_VALUE"""),"LT0PCG01UGWK1")</f>
        <v>LT0PCG01UGWK1</v>
      </c>
      <c r="F2676" s="238" t="str">
        <f>IFERROR(__xludf.DUMMYFUNCTION("""COMPUTED_VALUE"""),"RYN1D89,SXT9D73")</f>
        <v>RYN1D89,SXT9D73</v>
      </c>
      <c r="G2676" s="238">
        <f>IFERROR(__xludf.DUMMYFUNCTION("""COMPUTED_VALUE"""),46007.0)</f>
        <v>46007</v>
      </c>
      <c r="H2676" s="238">
        <f>IFERROR(__xludf.DUMMYFUNCTION("""COMPUTED_VALUE"""),46007.08333333333)</f>
        <v>46007.08333</v>
      </c>
      <c r="I2676" s="237" t="str">
        <f t="shared" si="1"/>
        <v>Fora</v>
      </c>
      <c r="J2676" s="239">
        <v>119.99999999301508</v>
      </c>
    </row>
    <row r="2677">
      <c r="A2677" s="234" t="s">
        <v>4222</v>
      </c>
      <c r="B2677" s="234" t="str">
        <f>IFERROR(__xludf.DUMMYFUNCTION("""COMPUTED_VALUE"""),"SoC_SP_Louveira")</f>
        <v>SoC_SP_Louveira</v>
      </c>
      <c r="C2677" s="234" t="str">
        <f>IFERROR(__xludf.DUMMYFUNCTION("""COMPUTED_VALUE"""),"SOC-SP7")</f>
        <v>SOC-SP7</v>
      </c>
      <c r="D2677" s="234">
        <f>IFERROR(__xludf.DUMMYFUNCTION("""COMPUTED_VALUE"""),18.0)</f>
        <v>18</v>
      </c>
      <c r="E2677" s="237" t="str">
        <f>IFERROR(__xludf.DUMMYFUNCTION("""COMPUTED_VALUE"""),"LT0PCG01UBUO1")</f>
        <v>LT0PCG01UBUO1</v>
      </c>
      <c r="F2677" s="238" t="str">
        <f>IFERROR(__xludf.DUMMYFUNCTION("""COMPUTED_VALUE"""),"DCU9C23,TJQ3B56")</f>
        <v>DCU9C23,TJQ3B56</v>
      </c>
      <c r="G2677" s="238">
        <f>IFERROR(__xludf.DUMMYFUNCTION("""COMPUTED_VALUE"""),46007.0)</f>
        <v>46007</v>
      </c>
      <c r="H2677" s="238">
        <f>IFERROR(__xludf.DUMMYFUNCTION("""COMPUTED_VALUE"""),46007.08333333333)</f>
        <v>46007.08333</v>
      </c>
      <c r="I2677" s="237" t="str">
        <f t="shared" si="1"/>
        <v>Fora</v>
      </c>
      <c r="J2677" s="239">
        <v>120.00000001396984</v>
      </c>
    </row>
    <row r="2678">
      <c r="A2678" s="234" t="s">
        <v>4223</v>
      </c>
      <c r="B2678" s="234" t="str">
        <f>IFERROR(__xludf.DUMMYFUNCTION("""COMPUTED_VALUE"""),"LM Hub_MG_Varginha_Fausto")</f>
        <v>LM Hub_MG_Varginha_Fausto</v>
      </c>
      <c r="C2678" s="234" t="str">
        <f>IFERROR(__xludf.DUMMYFUNCTION("""COMPUTED_VALUE"""),"HUB-LMG-45")</f>
        <v>HUB-LMG-45</v>
      </c>
      <c r="D2678" s="234">
        <f>IFERROR(__xludf.DUMMYFUNCTION("""COMPUTED_VALUE"""),14.0)</f>
        <v>14</v>
      </c>
      <c r="E2678" s="237" t="str">
        <f>IFERROR(__xludf.DUMMYFUNCTION("""COMPUTED_VALUE"""),"LT0PCG01UHKI1")</f>
        <v>LT0PCG01UHKI1</v>
      </c>
      <c r="F2678" s="238" t="str">
        <f>IFERROR(__xludf.DUMMYFUNCTION("""COMPUTED_VALUE"""),"GJA4J12,EML4F81")</f>
        <v>GJA4J12,EML4F81</v>
      </c>
      <c r="G2678" s="238">
        <f>IFERROR(__xludf.DUMMYFUNCTION("""COMPUTED_VALUE"""),46007.02083333333)</f>
        <v>46007.02083</v>
      </c>
      <c r="H2678" s="238">
        <f>IFERROR(__xludf.DUMMYFUNCTION("""COMPUTED_VALUE"""),46007.10416666667)</f>
        <v>46007.10417</v>
      </c>
      <c r="I2678" s="237" t="str">
        <f t="shared" si="1"/>
        <v>Fora</v>
      </c>
      <c r="J2678" s="239">
        <v>119.99999999301508</v>
      </c>
    </row>
    <row r="2679">
      <c r="A2679" s="234" t="s">
        <v>4224</v>
      </c>
      <c r="B2679" s="234" t="str">
        <f>IFERROR(__xludf.DUMMYFUNCTION("""COMPUTED_VALUE"""),"SoC_PE_Jaboatão dos Guararapes")</f>
        <v>SoC_PE_Jaboatão dos Guararapes</v>
      </c>
      <c r="C2679" s="234" t="str">
        <f>IFERROR(__xludf.DUMMYFUNCTION("""COMPUTED_VALUE"""),"SOC-PE2")</f>
        <v>SOC-PE2</v>
      </c>
      <c r="D2679" s="234"/>
      <c r="E2679" s="237" t="str">
        <f>IFERROR(__xludf.DUMMYFUNCTION("""COMPUTED_VALUE"""),"LT0PCG01UHUE1")</f>
        <v>LT0PCG01UHUE1</v>
      </c>
      <c r="F2679" s="238" t="str">
        <f>IFERROR(__xludf.DUMMYFUNCTION("""COMPUTED_VALUE"""),"MQX1896,EZU9G35")</f>
        <v>MQX1896,EZU9G35</v>
      </c>
      <c r="G2679" s="238">
        <f>IFERROR(__xludf.DUMMYFUNCTION("""COMPUTED_VALUE"""),46007.04166666667)</f>
        <v>46007.04167</v>
      </c>
      <c r="H2679" s="238">
        <f>IFERROR(__xludf.DUMMYFUNCTION("""COMPUTED_VALUE"""),46007.125)</f>
        <v>46007.125</v>
      </c>
      <c r="I2679" s="237" t="str">
        <f t="shared" si="1"/>
        <v>Fora</v>
      </c>
      <c r="J2679" s="239">
        <v>119.99999999301508</v>
      </c>
    </row>
    <row r="2680">
      <c r="A2680" s="234" t="s">
        <v>4225</v>
      </c>
      <c r="B2680" s="234" t="str">
        <f>IFERROR(__xludf.DUMMYFUNCTION("""COMPUTED_VALUE"""),"SoC_RS_Gravataí_02")</f>
        <v>SoC_RS_Gravataí_02</v>
      </c>
      <c r="C2680" s="234" t="str">
        <f>IFERROR(__xludf.DUMMYFUNCTION("""COMPUTED_VALUE"""),"SOC-RS2")</f>
        <v>SOC-RS2</v>
      </c>
      <c r="D2680" s="234"/>
      <c r="E2680" s="237" t="str">
        <f>IFERROR(__xludf.DUMMYFUNCTION("""COMPUTED_VALUE"""),"LT0PCG01UI9J1")</f>
        <v>LT0PCG01UI9J1</v>
      </c>
      <c r="F2680" s="238" t="str">
        <f>IFERROR(__xludf.DUMMYFUNCTION("""COMPUTED_VALUE"""),"IPJ5821,JAA7E21")</f>
        <v>IPJ5821,JAA7E21</v>
      </c>
      <c r="G2680" s="238">
        <f>IFERROR(__xludf.DUMMYFUNCTION("""COMPUTED_VALUE"""),46007.04166666667)</f>
        <v>46007.04167</v>
      </c>
      <c r="H2680" s="238">
        <f>IFERROR(__xludf.DUMMYFUNCTION("""COMPUTED_VALUE"""),46007.125)</f>
        <v>46007.125</v>
      </c>
      <c r="I2680" s="237" t="str">
        <f t="shared" si="1"/>
        <v>Fora</v>
      </c>
      <c r="J2680" s="239">
        <v>480.00000001396984</v>
      </c>
    </row>
    <row r="2681">
      <c r="A2681" s="234" t="s">
        <v>4226</v>
      </c>
      <c r="B2681" s="234" t="str">
        <f>IFERROR(__xludf.DUMMYFUNCTION("""COMPUTED_VALUE"""),"SoC_RJ_Duque de Caxias")</f>
        <v>SoC_RJ_Duque de Caxias</v>
      </c>
      <c r="C2681" s="234" t="str">
        <f>IFERROR(__xludf.DUMMYFUNCTION("""COMPUTED_VALUE"""),"SOC-RJ2")</f>
        <v>SOC-RJ2</v>
      </c>
      <c r="D2681" s="234">
        <f>IFERROR(__xludf.DUMMYFUNCTION("""COMPUTED_VALUE"""),91.0)</f>
        <v>91</v>
      </c>
      <c r="E2681" s="237" t="str">
        <f>IFERROR(__xludf.DUMMYFUNCTION("""COMPUTED_VALUE"""),"LT0PCF01UEAK1")</f>
        <v>LT0PCF01UEAK1</v>
      </c>
      <c r="F2681" s="238" t="str">
        <f>IFERROR(__xludf.DUMMYFUNCTION("""COMPUTED_VALUE"""),"MIE3A76,NFV9C52")</f>
        <v>MIE3A76,NFV9C52</v>
      </c>
      <c r="G2681" s="238">
        <f>IFERROR(__xludf.DUMMYFUNCTION("""COMPUTED_VALUE"""),46006.83333333333)</f>
        <v>46006.83333</v>
      </c>
      <c r="H2681" s="238">
        <f>IFERROR(__xludf.DUMMYFUNCTION("""COMPUTED_VALUE"""),46007.16666666667)</f>
        <v>46007.16667</v>
      </c>
      <c r="I2681" s="237" t="str">
        <f t="shared" si="1"/>
        <v>Fora</v>
      </c>
      <c r="J2681" s="239">
        <v>120.00000001396984</v>
      </c>
    </row>
    <row r="2682">
      <c r="A2682" s="234" t="s">
        <v>4227</v>
      </c>
      <c r="B2682" s="234" t="str">
        <f>IFERROR(__xludf.DUMMYFUNCTION("""COMPUTED_VALUE"""),"LM Hub_SP_Tatuí")</f>
        <v>LM Hub_SP_Tatuí</v>
      </c>
      <c r="C2682" s="234" t="str">
        <f>IFERROR(__xludf.DUMMYFUNCTION("""COMPUTED_VALUE"""),"HUB-LSP-51")</f>
        <v>HUB-LSP-51</v>
      </c>
      <c r="D2682" s="234">
        <f>IFERROR(__xludf.DUMMYFUNCTION("""COMPUTED_VALUE"""),21.0)</f>
        <v>21</v>
      </c>
      <c r="E2682" s="237" t="str">
        <f>IFERROR(__xludf.DUMMYFUNCTION("""COMPUTED_VALUE"""),"LT0PCG01UBXH1")</f>
        <v>LT0PCG01UBXH1</v>
      </c>
      <c r="F2682" s="238" t="str">
        <f>IFERROR(__xludf.DUMMYFUNCTION("""COMPUTED_VALUE"""),"SVC6I57,SWO1G45")</f>
        <v>SVC6I57,SWO1G45</v>
      </c>
      <c r="G2682" s="238">
        <f>IFERROR(__xludf.DUMMYFUNCTION("""COMPUTED_VALUE"""),46007.08333333333)</f>
        <v>46007.08333</v>
      </c>
      <c r="H2682" s="238">
        <f>IFERROR(__xludf.DUMMYFUNCTION("""COMPUTED_VALUE"""),46007.16666666667)</f>
        <v>46007.16667</v>
      </c>
      <c r="I2682" s="237" t="str">
        <f t="shared" si="1"/>
        <v>Fora</v>
      </c>
      <c r="J2682" s="239">
        <v>120.00000001396984</v>
      </c>
    </row>
    <row r="2683">
      <c r="A2683" s="234" t="s">
        <v>4228</v>
      </c>
      <c r="B2683" s="234" t="str">
        <f>IFERROR(__xludf.DUMMYFUNCTION("""COMPUTED_VALUE"""),"LM Hub_SP_Tatuí")</f>
        <v>LM Hub_SP_Tatuí</v>
      </c>
      <c r="C2683" s="234" t="str">
        <f>IFERROR(__xludf.DUMMYFUNCTION("""COMPUTED_VALUE"""),"HUB-LSP-51")</f>
        <v>HUB-LSP-51</v>
      </c>
      <c r="D2683" s="234"/>
      <c r="E2683" s="237" t="str">
        <f>IFERROR(__xludf.DUMMYFUNCTION("""COMPUTED_VALUE"""),"LT0PCG01UBXJ2")</f>
        <v>LT0PCG01UBXJ2</v>
      </c>
      <c r="F2683" s="238" t="str">
        <f>IFERROR(__xludf.DUMMYFUNCTION("""COMPUTED_VALUE"""),"FLO1G76,FLO1G70")</f>
        <v>FLO1G76,FLO1G70</v>
      </c>
      <c r="G2683" s="238">
        <f>IFERROR(__xludf.DUMMYFUNCTION("""COMPUTED_VALUE"""),46007.08333333333)</f>
        <v>46007.08333</v>
      </c>
      <c r="H2683" s="238">
        <f>IFERROR(__xludf.DUMMYFUNCTION("""COMPUTED_VALUE"""),46007.16666666667)</f>
        <v>46007.16667</v>
      </c>
      <c r="I2683" s="237" t="str">
        <f t="shared" si="1"/>
        <v>Fora</v>
      </c>
      <c r="J2683" s="239">
        <v>120.00000001396984</v>
      </c>
    </row>
    <row r="2684">
      <c r="A2684" s="234" t="s">
        <v>4229</v>
      </c>
      <c r="B2684" s="234" t="str">
        <f>IFERROR(__xludf.DUMMYFUNCTION("""COMPUTED_VALUE"""),"SoC_SP_Guarulhos")</f>
        <v>SoC_SP_Guarulhos</v>
      </c>
      <c r="C2684" s="234" t="str">
        <f>IFERROR(__xludf.DUMMYFUNCTION("""COMPUTED_VALUE"""),"SOC-SP6")</f>
        <v>SOC-SP6</v>
      </c>
      <c r="D2684" s="234">
        <f>IFERROR(__xludf.DUMMYFUNCTION("""COMPUTED_VALUE"""),48.0)</f>
        <v>48</v>
      </c>
      <c r="E2684" s="237" t="str">
        <f>IFERROR(__xludf.DUMMYFUNCTION("""COMPUTED_VALUE"""),"LT0PCG01UCWV1")</f>
        <v>LT0PCG01UCWV1</v>
      </c>
      <c r="F2684" s="238" t="str">
        <f>IFERROR(__xludf.DUMMYFUNCTION("""COMPUTED_VALUE"""),"HID2600,TLW4C75")</f>
        <v>HID2600,TLW4C75</v>
      </c>
      <c r="G2684" s="238">
        <f>IFERROR(__xludf.DUMMYFUNCTION("""COMPUTED_VALUE"""),46007.08333333333)</f>
        <v>46007.08333</v>
      </c>
      <c r="H2684" s="238">
        <f>IFERROR(__xludf.DUMMYFUNCTION("""COMPUTED_VALUE"""),46007.16666666667)</f>
        <v>46007.16667</v>
      </c>
      <c r="I2684" s="237" t="str">
        <f t="shared" si="1"/>
        <v>Fora</v>
      </c>
      <c r="J2684" s="239">
        <v>119.99999999301508</v>
      </c>
    </row>
    <row r="2685">
      <c r="A2685" s="234" t="s">
        <v>4230</v>
      </c>
      <c r="B2685" s="234" t="str">
        <f>IFERROR(__xludf.DUMMYFUNCTION("""COMPUTED_VALUE"""),"LM Hub_SP_Itapetininga")</f>
        <v>LM Hub_SP_Itapetininga</v>
      </c>
      <c r="C2685" s="234" t="str">
        <f>IFERROR(__xludf.DUMMYFUNCTION("""COMPUTED_VALUE"""),"HUB-LSP-53")</f>
        <v>HUB-LSP-53</v>
      </c>
      <c r="D2685" s="234">
        <f>IFERROR(__xludf.DUMMYFUNCTION("""COMPUTED_VALUE"""),40.0)</f>
        <v>40</v>
      </c>
      <c r="E2685" s="237" t="str">
        <f>IFERROR(__xludf.DUMMYFUNCTION("""COMPUTED_VALUE"""),"LT0PCG01UBXC1")</f>
        <v>LT0PCG01UBXC1</v>
      </c>
      <c r="F2685" s="238" t="str">
        <f>IFERROR(__xludf.DUMMYFUNCTION("""COMPUTED_VALUE"""),"FLQ1E34,FLQ1E30")</f>
        <v>FLQ1E34,FLQ1E30</v>
      </c>
      <c r="G2685" s="238">
        <f>IFERROR(__xludf.DUMMYFUNCTION("""COMPUTED_VALUE"""),46007.10416666667)</f>
        <v>46007.10417</v>
      </c>
      <c r="H2685" s="238">
        <f>IFERROR(__xludf.DUMMYFUNCTION("""COMPUTED_VALUE"""),46007.1875)</f>
        <v>46007.1875</v>
      </c>
      <c r="I2685" s="237" t="str">
        <f t="shared" si="1"/>
        <v>Fora</v>
      </c>
      <c r="J2685" s="239">
        <v>119.99999999301508</v>
      </c>
    </row>
    <row r="2686">
      <c r="A2686" s="234" t="s">
        <v>4231</v>
      </c>
      <c r="B2686" s="234" t="str">
        <f>IFERROR(__xludf.DUMMYFUNCTION("""COMPUTED_VALUE"""),"LM Hub_SP_São Carlos")</f>
        <v>LM Hub_SP_São Carlos</v>
      </c>
      <c r="C2686" s="234" t="str">
        <f>IFERROR(__xludf.DUMMYFUNCTION("""COMPUTED_VALUE"""),"HUB-LSP-31")</f>
        <v>HUB-LSP-31</v>
      </c>
      <c r="D2686" s="234">
        <f>IFERROR(__xludf.DUMMYFUNCTION("""COMPUTED_VALUE"""),34.0)</f>
        <v>34</v>
      </c>
      <c r="E2686" s="237" t="str">
        <f>IFERROR(__xludf.DUMMYFUNCTION("""COMPUTED_VALUE"""),"LT0PCG01UC031")</f>
        <v>LT0PCG01UC031</v>
      </c>
      <c r="F2686" s="238" t="str">
        <f>IFERROR(__xludf.DUMMYFUNCTION("""COMPUTED_VALUE"""),"FZQ1I50,FZQ1I51")</f>
        <v>FZQ1I50,FZQ1I51</v>
      </c>
      <c r="G2686" s="238">
        <f>IFERROR(__xludf.DUMMYFUNCTION("""COMPUTED_VALUE"""),46007.10416666667)</f>
        <v>46007.10417</v>
      </c>
      <c r="H2686" s="238">
        <f>IFERROR(__xludf.DUMMYFUNCTION("""COMPUTED_VALUE"""),46007.1875)</f>
        <v>46007.1875</v>
      </c>
      <c r="I2686" s="237" t="str">
        <f t="shared" si="1"/>
        <v>Fora</v>
      </c>
      <c r="J2686" s="239">
        <v>119.99999999301508</v>
      </c>
    </row>
    <row r="2687">
      <c r="A2687" s="234" t="s">
        <v>4232</v>
      </c>
      <c r="B2687" s="234" t="str">
        <f>IFERROR(__xludf.DUMMYFUNCTION("""COMPUTED_VALUE"""),"LM Hub_SP_Itapeva")</f>
        <v>LM Hub_SP_Itapeva</v>
      </c>
      <c r="C2687" s="234" t="str">
        <f>IFERROR(__xludf.DUMMYFUNCTION("""COMPUTED_VALUE"""),"HUB-LSP-39")</f>
        <v>HUB-LSP-39</v>
      </c>
      <c r="D2687" s="234">
        <f>IFERROR(__xludf.DUMMYFUNCTION("""COMPUTED_VALUE"""),13.0)</f>
        <v>13</v>
      </c>
      <c r="E2687" s="237" t="str">
        <f>IFERROR(__xludf.DUMMYFUNCTION("""COMPUTED_VALUE"""),"LT0PCG01UBXN1")</f>
        <v>LT0PCG01UBXN1</v>
      </c>
      <c r="F2687" s="238" t="str">
        <f>IFERROR(__xludf.DUMMYFUNCTION("""COMPUTED_VALUE"""),"AIL6H56")</f>
        <v>AIL6H56</v>
      </c>
      <c r="G2687" s="238">
        <f>IFERROR(__xludf.DUMMYFUNCTION("""COMPUTED_VALUE"""),46007.125)</f>
        <v>46007.125</v>
      </c>
      <c r="H2687" s="238">
        <f>IFERROR(__xludf.DUMMYFUNCTION("""COMPUTED_VALUE"""),46007.20833333333)</f>
        <v>46007.20833</v>
      </c>
      <c r="I2687" s="237" t="str">
        <f t="shared" si="1"/>
        <v>Fora</v>
      </c>
      <c r="J2687" s="239">
        <v>119.99999999301508</v>
      </c>
    </row>
    <row r="2688">
      <c r="A2688" s="234" t="s">
        <v>4233</v>
      </c>
      <c r="B2688" s="234" t="str">
        <f>IFERROR(__xludf.DUMMYFUNCTION("""COMPUTED_VALUE"""),"LM Hub_SP_Sumaré_Nova Veneza_1")</f>
        <v>LM Hub_SP_Sumaré_Nova Veneza_1</v>
      </c>
      <c r="C2688" s="234" t="str">
        <f>IFERROR(__xludf.DUMMYFUNCTION("""COMPUTED_VALUE"""),"HUB-LSP-88")</f>
        <v>HUB-LSP-88</v>
      </c>
      <c r="D2688" s="234">
        <f>IFERROR(__xludf.DUMMYFUNCTION("""COMPUTED_VALUE"""),43.0)</f>
        <v>43</v>
      </c>
      <c r="E2688" s="237" t="str">
        <f>IFERROR(__xludf.DUMMYFUNCTION("""COMPUTED_VALUE"""),"LT0PCG01UHGS1")</f>
        <v>LT0PCG01UHGS1</v>
      </c>
      <c r="F2688" s="238" t="str">
        <f>IFERROR(__xludf.DUMMYFUNCTION("""COMPUTED_VALUE"""),"DCU8E76")</f>
        <v>DCU8E76</v>
      </c>
      <c r="G2688" s="238">
        <f>IFERROR(__xludf.DUMMYFUNCTION("""COMPUTED_VALUE"""),46007.125)</f>
        <v>46007.125</v>
      </c>
      <c r="H2688" s="238">
        <f>IFERROR(__xludf.DUMMYFUNCTION("""COMPUTED_VALUE"""),46007.20833333333)</f>
        <v>46007.20833</v>
      </c>
      <c r="I2688" s="237" t="str">
        <f t="shared" si="1"/>
        <v>Fora</v>
      </c>
      <c r="J2688" s="239">
        <v>119.99999999301508</v>
      </c>
    </row>
    <row r="2689">
      <c r="A2689" s="234" t="s">
        <v>4234</v>
      </c>
      <c r="B2689" s="234" t="str">
        <f>IFERROR(__xludf.DUMMYFUNCTION("""COMPUTED_VALUE"""),"SoC_PR_Curitiba")</f>
        <v>SoC_PR_Curitiba</v>
      </c>
      <c r="C2689" s="234" t="str">
        <f>IFERROR(__xludf.DUMMYFUNCTION("""COMPUTED_VALUE"""),"SOC-PR1")</f>
        <v>SOC-PR1</v>
      </c>
      <c r="D2689" s="234"/>
      <c r="E2689" s="237" t="str">
        <f>IFERROR(__xludf.DUMMYFUNCTION("""COMPUTED_VALUE"""),"LT1PCG01UOBQ1")</f>
        <v>LT1PCG01UOBQ1</v>
      </c>
      <c r="F2689" s="238" t="str">
        <f>IFERROR(__xludf.DUMMYFUNCTION("""COMPUTED_VALUE"""),"GFS4E73,RXU3C73")</f>
        <v>GFS4E73,RXU3C73</v>
      </c>
      <c r="G2689" s="238">
        <f>IFERROR(__xludf.DUMMYFUNCTION("""COMPUTED_VALUE"""),46007.125)</f>
        <v>46007.125</v>
      </c>
      <c r="H2689" s="238">
        <f>IFERROR(__xludf.DUMMYFUNCTION("""COMPUTED_VALUE"""),46007.20833333333)</f>
        <v>46007.20833</v>
      </c>
      <c r="I2689" s="237" t="str">
        <f t="shared" si="1"/>
        <v>Fora</v>
      </c>
      <c r="J2689" s="239">
        <v>119.99999999301508</v>
      </c>
    </row>
    <row r="2690">
      <c r="A2690" s="234" t="s">
        <v>4235</v>
      </c>
      <c r="B2690" s="234" t="str">
        <f>IFERROR(__xludf.DUMMYFUNCTION("""COMPUTED_VALUE"""),"SoC_SC_Itajaí")</f>
        <v>SoC_SC_Itajaí</v>
      </c>
      <c r="C2690" s="234" t="str">
        <f>IFERROR(__xludf.DUMMYFUNCTION("""COMPUTED_VALUE"""),"SOC-SC1")</f>
        <v>SOC-SC1</v>
      </c>
      <c r="D2690" s="234"/>
      <c r="E2690" s="237" t="str">
        <f>IFERROR(__xludf.DUMMYFUNCTION("""COMPUTED_VALUE"""),"LT0PCG01UGWP1")</f>
        <v>LT0PCG01UGWP1</v>
      </c>
      <c r="F2690" s="234"/>
      <c r="G2690" s="238">
        <f>IFERROR(__xludf.DUMMYFUNCTION("""COMPUTED_VALUE"""),46007.125)</f>
        <v>46007.125</v>
      </c>
      <c r="H2690" s="238">
        <f>IFERROR(__xludf.DUMMYFUNCTION("""COMPUTED_VALUE"""),46007.20833333333)</f>
        <v>46007.20833</v>
      </c>
      <c r="I2690" s="237" t="str">
        <f t="shared" si="1"/>
        <v>Fora</v>
      </c>
      <c r="J2690" s="239">
        <v>120.00000001396984</v>
      </c>
    </row>
    <row r="2691">
      <c r="A2691" s="234" t="s">
        <v>4236</v>
      </c>
      <c r="B2691" s="234" t="str">
        <f>IFERROR(__xludf.DUMMYFUNCTION("""COMPUTED_VALUE"""),"LM Hub_SP_Campinas_São Martinho")</f>
        <v>LM Hub_SP_Campinas_São Martinho</v>
      </c>
      <c r="C2691" s="234" t="str">
        <f>IFERROR(__xludf.DUMMYFUNCTION("""COMPUTED_VALUE"""),"HUB-LSP-19")</f>
        <v>HUB-LSP-19</v>
      </c>
      <c r="D2691" s="234"/>
      <c r="E2691" s="237" t="str">
        <f>IFERROR(__xludf.DUMMYFUNCTION("""COMPUTED_VALUE"""),"LT0PCG01UC181")</f>
        <v>LT0PCG01UC181</v>
      </c>
      <c r="F2691" s="238" t="str">
        <f>IFERROR(__xludf.DUMMYFUNCTION("""COMPUTED_VALUE"""),"-")</f>
        <v>-</v>
      </c>
      <c r="G2691" s="238">
        <f>IFERROR(__xludf.DUMMYFUNCTION("""COMPUTED_VALUE"""),46007.14583333333)</f>
        <v>46007.14583</v>
      </c>
      <c r="H2691" s="238">
        <f>IFERROR(__xludf.DUMMYFUNCTION("""COMPUTED_VALUE"""),46007.22916666667)</f>
        <v>46007.22917</v>
      </c>
      <c r="I2691" s="237" t="str">
        <f t="shared" si="1"/>
        <v>Fora</v>
      </c>
      <c r="J2691" s="239">
        <v>120.00000001396984</v>
      </c>
    </row>
    <row r="2692">
      <c r="A2692" s="234" t="s">
        <v>4237</v>
      </c>
      <c r="B2692" s="234" t="str">
        <f>IFERROR(__xludf.DUMMYFUNCTION("""COMPUTED_VALUE"""),"LM Hub_SP_Mogi Mirim")</f>
        <v>LM Hub_SP_Mogi Mirim</v>
      </c>
      <c r="C2692" s="234" t="str">
        <f>IFERROR(__xludf.DUMMYFUNCTION("""COMPUTED_VALUE"""),"HUB-LSP-37")</f>
        <v>HUB-LSP-37</v>
      </c>
      <c r="D2692" s="234"/>
      <c r="E2692" s="237" t="str">
        <f>IFERROR(__xludf.DUMMYFUNCTION("""COMPUTED_VALUE"""),"LT0PCG01UC0E1")</f>
        <v>LT0PCG01UC0E1</v>
      </c>
      <c r="F2692" s="238" t="str">
        <f>IFERROR(__xludf.DUMMYFUNCTION("""COMPUTED_VALUE"""),"BPQ9C21,SVW8A72")</f>
        <v>BPQ9C21,SVW8A72</v>
      </c>
      <c r="G2692" s="238">
        <f>IFERROR(__xludf.DUMMYFUNCTION("""COMPUTED_VALUE"""),46007.14583333333)</f>
        <v>46007.14583</v>
      </c>
      <c r="H2692" s="238">
        <f>IFERROR(__xludf.DUMMYFUNCTION("""COMPUTED_VALUE"""),46007.22916666667)</f>
        <v>46007.22917</v>
      </c>
      <c r="I2692" s="237" t="str">
        <f t="shared" si="1"/>
        <v>Fora</v>
      </c>
      <c r="J2692" s="239">
        <v>120.00000001396984</v>
      </c>
    </row>
    <row r="2693">
      <c r="A2693" s="234" t="s">
        <v>4238</v>
      </c>
      <c r="B2693" s="234" t="str">
        <f>IFERROR(__xludf.DUMMYFUNCTION("""COMPUTED_VALUE"""),"LM Hub_SP_Osasco_02")</f>
        <v>LM Hub_SP_Osasco_02</v>
      </c>
      <c r="C2693" s="234" t="str">
        <f>IFERROR(__xludf.DUMMYFUNCTION("""COMPUTED_VALUE"""),"HUB-LSP-60")</f>
        <v>HUB-LSP-60</v>
      </c>
      <c r="D2693" s="234"/>
      <c r="E2693" s="237" t="str">
        <f>IFERROR(__xludf.DUMMYFUNCTION("""COMPUTED_VALUE"""),"LT0PCG01UD461")</f>
        <v>LT0PCG01UD461</v>
      </c>
      <c r="F2693" s="238" t="str">
        <f>IFERROR(__xludf.DUMMYFUNCTION("""COMPUTED_VALUE"""),"-")</f>
        <v>-</v>
      </c>
      <c r="G2693" s="238">
        <f>IFERROR(__xludf.DUMMYFUNCTION("""COMPUTED_VALUE"""),46007.14583333333)</f>
        <v>46007.14583</v>
      </c>
      <c r="H2693" s="238">
        <f>IFERROR(__xludf.DUMMYFUNCTION("""COMPUTED_VALUE"""),46007.22916666667)</f>
        <v>46007.22917</v>
      </c>
      <c r="I2693" s="237" t="str">
        <f t="shared" si="1"/>
        <v>Fora</v>
      </c>
      <c r="J2693" s="239">
        <v>119.00000001071021</v>
      </c>
    </row>
    <row r="2694">
      <c r="A2694" s="234" t="s">
        <v>4239</v>
      </c>
      <c r="B2694" s="234" t="str">
        <f>IFERROR(__xludf.DUMMYFUNCTION("""COMPUTED_VALUE"""),"LM Hub_SP_Sorocaba_Região Norte")</f>
        <v>LM Hub_SP_Sorocaba_Região Norte</v>
      </c>
      <c r="C2694" s="234" t="str">
        <f>IFERROR(__xludf.DUMMYFUNCTION("""COMPUTED_VALUE"""),"HUB-LSP-10")</f>
        <v>HUB-LSP-10</v>
      </c>
      <c r="D2694" s="234"/>
      <c r="E2694" s="237" t="str">
        <f>IFERROR(__xludf.DUMMYFUNCTION("""COMPUTED_VALUE"""),"LT0PCG01U88G1")</f>
        <v>LT0PCG01U88G1</v>
      </c>
      <c r="F2694" s="238" t="str">
        <f>IFERROR(__xludf.DUMMYFUNCTION("""COMPUTED_VALUE"""),"FDZ3A56,DBC5I22")</f>
        <v>FDZ3A56,DBC5I22</v>
      </c>
      <c r="G2694" s="238">
        <f>IFERROR(__xludf.DUMMYFUNCTION("""COMPUTED_VALUE"""),46007.146527777775)</f>
        <v>46007.14653</v>
      </c>
      <c r="H2694" s="238">
        <f>IFERROR(__xludf.DUMMYFUNCTION("""COMPUTED_VALUE"""),46007.22916666667)</f>
        <v>46007.22917</v>
      </c>
      <c r="I2694" s="237" t="str">
        <f t="shared" si="1"/>
        <v>Fora</v>
      </c>
      <c r="J2694" s="239">
        <v>118.00000000745058</v>
      </c>
    </row>
    <row r="2695">
      <c r="A2695" s="234" t="s">
        <v>4240</v>
      </c>
      <c r="B2695" s="234" t="str">
        <f>IFERROR(__xludf.DUMMYFUNCTION("""COMPUTED_VALUE"""),"LM Hub_SP_Sorocaba_Região Norte")</f>
        <v>LM Hub_SP_Sorocaba_Região Norte</v>
      </c>
      <c r="C2695" s="234" t="str">
        <f>IFERROR(__xludf.DUMMYFUNCTION("""COMPUTED_VALUE"""),"HUB-LSP-10")</f>
        <v>HUB-LSP-10</v>
      </c>
      <c r="D2695" s="234">
        <f>IFERROR(__xludf.DUMMYFUNCTION("""COMPUTED_VALUE"""),18.0)</f>
        <v>18</v>
      </c>
      <c r="E2695" s="237" t="str">
        <f>IFERROR(__xludf.DUMMYFUNCTION("""COMPUTED_VALUE"""),"LT0PCG01UBZ91")</f>
        <v>LT0PCG01UBZ91</v>
      </c>
      <c r="F2695" s="238" t="str">
        <f>IFERROR(__xludf.DUMMYFUNCTION("""COMPUTED_VALUE"""),"EFO6B06,MJH0C66")</f>
        <v>EFO6B06,MJH0C66</v>
      </c>
      <c r="G2695" s="238">
        <f>IFERROR(__xludf.DUMMYFUNCTION("""COMPUTED_VALUE"""),46007.14722222222)</f>
        <v>46007.14722</v>
      </c>
      <c r="H2695" s="238">
        <f>IFERROR(__xludf.DUMMYFUNCTION("""COMPUTED_VALUE"""),46007.22916666667)</f>
        <v>46007.22917</v>
      </c>
      <c r="I2695" s="237" t="str">
        <f t="shared" si="1"/>
        <v>Fora</v>
      </c>
      <c r="J2695" s="239">
        <v>119.99999999301508</v>
      </c>
    </row>
    <row r="2696">
      <c r="A2696" s="234" t="s">
        <v>254</v>
      </c>
      <c r="B2696" s="234" t="str">
        <f>IFERROR(__xludf.DUMMYFUNCTION("""COMPUTED_VALUE"""),"LM Hub_SP_Guaratinguetá")</f>
        <v>LM Hub_SP_Guaratinguetá</v>
      </c>
      <c r="C2696" s="234" t="str">
        <f>IFERROR(__xludf.DUMMYFUNCTION("""COMPUTED_VALUE"""),"HUB-LSP-33")</f>
        <v>HUB-LSP-33</v>
      </c>
      <c r="D2696" s="234">
        <f>IFERROR(__xludf.DUMMYFUNCTION("""COMPUTED_VALUE"""),14.0)</f>
        <v>14</v>
      </c>
      <c r="E2696" s="237" t="str">
        <f>IFERROR(__xludf.DUMMYFUNCTION("""COMPUTED_VALUE"""),"LT0PCG01UBYJ1")</f>
        <v>LT0PCG01UBYJ1</v>
      </c>
      <c r="F2696" s="238" t="str">
        <f>IFERROR(__xludf.DUMMYFUNCTION("""COMPUTED_VALUE"""),"EKH3880")</f>
        <v>EKH3880</v>
      </c>
      <c r="G2696" s="238">
        <f>IFERROR(__xludf.DUMMYFUNCTION("""COMPUTED_VALUE"""),46007.16666666667)</f>
        <v>46007.16667</v>
      </c>
      <c r="H2696" s="238">
        <f>IFERROR(__xludf.DUMMYFUNCTION("""COMPUTED_VALUE"""),46007.25)</f>
        <v>46007.25</v>
      </c>
      <c r="I2696" s="237" t="str">
        <f t="shared" si="1"/>
        <v>Fora</v>
      </c>
      <c r="J2696" s="239">
        <v>119.99999999301508</v>
      </c>
    </row>
    <row r="2697">
      <c r="A2697" s="234" t="s">
        <v>255</v>
      </c>
      <c r="B2697" s="234" t="str">
        <f>IFERROR(__xludf.DUMMYFUNCTION("""COMPUTED_VALUE"""),"LM Hub_SP_Limeira_Campo Belo")</f>
        <v>LM Hub_SP_Limeira_Campo Belo</v>
      </c>
      <c r="C2697" s="234" t="str">
        <f>IFERROR(__xludf.DUMMYFUNCTION("""COMPUTED_VALUE"""),"HUB-LSP-24")</f>
        <v>HUB-LSP-24</v>
      </c>
      <c r="D2697" s="234">
        <f>IFERROR(__xludf.DUMMYFUNCTION("""COMPUTED_VALUE"""),38.0)</f>
        <v>38</v>
      </c>
      <c r="E2697" s="237" t="str">
        <f>IFERROR(__xludf.DUMMYFUNCTION("""COMPUTED_VALUE"""),"LT0PCG01UBZK1")</f>
        <v>LT0PCG01UBZK1</v>
      </c>
      <c r="F2697" s="238" t="str">
        <f>IFERROR(__xludf.DUMMYFUNCTION("""COMPUTED_VALUE"""),"TLE4D84")</f>
        <v>TLE4D84</v>
      </c>
      <c r="G2697" s="238">
        <f>IFERROR(__xludf.DUMMYFUNCTION("""COMPUTED_VALUE"""),46007.16666666667)</f>
        <v>46007.16667</v>
      </c>
      <c r="H2697" s="238">
        <f>IFERROR(__xludf.DUMMYFUNCTION("""COMPUTED_VALUE"""),46007.25)</f>
        <v>46007.25</v>
      </c>
      <c r="I2697" s="237" t="str">
        <f t="shared" si="1"/>
        <v>Fora</v>
      </c>
      <c r="J2697" s="239">
        <v>119.99999999301508</v>
      </c>
    </row>
    <row r="2698">
      <c r="A2698" s="234" t="s">
        <v>257</v>
      </c>
      <c r="B2698" s="234" t="str">
        <f>IFERROR(__xludf.DUMMYFUNCTION("""COMPUTED_VALUE"""),"LM Hub_SP_São Bernardo do Campo")</f>
        <v>LM Hub_SP_São Bernardo do Campo</v>
      </c>
      <c r="C2698" s="234" t="str">
        <f>IFERROR(__xludf.DUMMYFUNCTION("""COMPUTED_VALUE"""),"HUB-LSP-79")</f>
        <v>HUB-LSP-79</v>
      </c>
      <c r="D2698" s="234">
        <f>IFERROR(__xludf.DUMMYFUNCTION("""COMPUTED_VALUE"""),29.0)</f>
        <v>29</v>
      </c>
      <c r="E2698" s="237" t="str">
        <f>IFERROR(__xludf.DUMMYFUNCTION("""COMPUTED_VALUE"""),"LT0PCG01UCJ71")</f>
        <v>LT0PCG01UCJ71</v>
      </c>
      <c r="F2698" s="238" t="str">
        <f>IFERROR(__xludf.DUMMYFUNCTION("""COMPUTED_VALUE"""),"GBE0G47")</f>
        <v>GBE0G47</v>
      </c>
      <c r="G2698" s="238">
        <f>IFERROR(__xludf.DUMMYFUNCTION("""COMPUTED_VALUE"""),46007.16666666667)</f>
        <v>46007.16667</v>
      </c>
      <c r="H2698" s="238">
        <f>IFERROR(__xludf.DUMMYFUNCTION("""COMPUTED_VALUE"""),46007.25)</f>
        <v>46007.25</v>
      </c>
      <c r="I2698" s="237" t="str">
        <f t="shared" si="1"/>
        <v>Fora</v>
      </c>
      <c r="J2698" s="239">
        <v>119.99999999301508</v>
      </c>
    </row>
    <row r="2699">
      <c r="A2699" s="234" t="s">
        <v>4241</v>
      </c>
      <c r="B2699" s="234" t="str">
        <f>IFERROR(__xludf.DUMMYFUNCTION("""COMPUTED_VALUE"""),"LM Hub_SP_São Bernardo do Campo")</f>
        <v>LM Hub_SP_São Bernardo do Campo</v>
      </c>
      <c r="C2699" s="234" t="str">
        <f>IFERROR(__xludf.DUMMYFUNCTION("""COMPUTED_VALUE"""),"HUB-LSP-79")</f>
        <v>HUB-LSP-79</v>
      </c>
      <c r="D2699" s="234"/>
      <c r="E2699" s="237" t="str">
        <f>IFERROR(__xludf.DUMMYFUNCTION("""COMPUTED_VALUE"""),"LT1PCG01UOTA1")</f>
        <v>LT1PCG01UOTA1</v>
      </c>
      <c r="F2699" s="234"/>
      <c r="G2699" s="238">
        <f>IFERROR(__xludf.DUMMYFUNCTION("""COMPUTED_VALUE"""),46007.16666666667)</f>
        <v>46007.16667</v>
      </c>
      <c r="H2699" s="238">
        <f>IFERROR(__xludf.DUMMYFUNCTION("""COMPUTED_VALUE"""),46007.25)</f>
        <v>46007.25</v>
      </c>
      <c r="I2699" s="237" t="str">
        <f t="shared" si="1"/>
        <v>Fora</v>
      </c>
      <c r="J2699" s="239">
        <v>119.99999999301508</v>
      </c>
    </row>
    <row r="2700">
      <c r="A2700" s="234" t="s">
        <v>256</v>
      </c>
      <c r="B2700" s="234" t="str">
        <f>IFERROR(__xludf.DUMMYFUNCTION("""COMPUTED_VALUE"""),"LM Hub_SP_Várzea Paulista")</f>
        <v>LM Hub_SP_Várzea Paulista</v>
      </c>
      <c r="C2700" s="234" t="str">
        <f>IFERROR(__xludf.DUMMYFUNCTION("""COMPUTED_VALUE"""),"HUB-LSP-61")</f>
        <v>HUB-LSP-61</v>
      </c>
      <c r="D2700" s="234">
        <f>IFERROR(__xludf.DUMMYFUNCTION("""COMPUTED_VALUE"""),49.0)</f>
        <v>49</v>
      </c>
      <c r="E2700" s="237" t="str">
        <f>IFERROR(__xludf.DUMMYFUNCTION("""COMPUTED_VALUE"""),"LT0PCG01UBZT1")</f>
        <v>LT0PCG01UBZT1</v>
      </c>
      <c r="F2700" s="238" t="str">
        <f>IFERROR(__xludf.DUMMYFUNCTION("""COMPUTED_VALUE"""),"RJG8E37")</f>
        <v>RJG8E37</v>
      </c>
      <c r="G2700" s="238">
        <f>IFERROR(__xludf.DUMMYFUNCTION("""COMPUTED_VALUE"""),46007.16666666667)</f>
        <v>46007.16667</v>
      </c>
      <c r="H2700" s="238">
        <f>IFERROR(__xludf.DUMMYFUNCTION("""COMPUTED_VALUE"""),46007.25)</f>
        <v>46007.25</v>
      </c>
      <c r="I2700" s="237" t="str">
        <f t="shared" si="1"/>
        <v>Fora</v>
      </c>
      <c r="J2700" s="239">
        <v>119.99999999301508</v>
      </c>
    </row>
    <row r="2701">
      <c r="A2701" s="234" t="s">
        <v>253</v>
      </c>
      <c r="B2701" s="234" t="str">
        <f>IFERROR(__xludf.DUMMYFUNCTION("""COMPUTED_VALUE"""),"LM_Hub_SP_Registro")</f>
        <v>LM_Hub_SP_Registro</v>
      </c>
      <c r="C2701" s="234" t="str">
        <f>IFERROR(__xludf.DUMMYFUNCTION("""COMPUTED_VALUE"""),"HUB-LSP-40")</f>
        <v>HUB-LSP-40</v>
      </c>
      <c r="D2701" s="234">
        <f>IFERROR(__xludf.DUMMYFUNCTION("""COMPUTED_VALUE"""),16.0)</f>
        <v>16</v>
      </c>
      <c r="E2701" s="237" t="str">
        <f>IFERROR(__xludf.DUMMYFUNCTION("""COMPUTED_VALUE"""),"LT0PCG01UBY81")</f>
        <v>LT0PCG01UBY81</v>
      </c>
      <c r="F2701" s="238" t="str">
        <f>IFERROR(__xludf.DUMMYFUNCTION("""COMPUTED_VALUE"""),"FLG8F16")</f>
        <v>FLG8F16</v>
      </c>
      <c r="G2701" s="238">
        <f>IFERROR(__xludf.DUMMYFUNCTION("""COMPUTED_VALUE"""),46007.16666666667)</f>
        <v>46007.16667</v>
      </c>
      <c r="H2701" s="238">
        <f>IFERROR(__xludf.DUMMYFUNCTION("""COMPUTED_VALUE"""),46007.25)</f>
        <v>46007.25</v>
      </c>
      <c r="I2701" s="237" t="str">
        <f t="shared" si="1"/>
        <v>Fora</v>
      </c>
      <c r="J2701" s="239">
        <v>119.99999999301508</v>
      </c>
    </row>
    <row r="2702">
      <c r="A2702" s="234" t="s">
        <v>263</v>
      </c>
      <c r="B2702" s="234" t="str">
        <f>IFERROR(__xludf.DUMMYFUNCTION("""COMPUTED_VALUE"""),"SoC_PE_Jaboatão dos Guararapes")</f>
        <v>SoC_PE_Jaboatão dos Guararapes</v>
      </c>
      <c r="C2702" s="234" t="str">
        <f>IFERROR(__xludf.DUMMYFUNCTION("""COMPUTED_VALUE"""),"SOC-PE2")</f>
        <v>SOC-PE2</v>
      </c>
      <c r="D2702" s="234">
        <f>IFERROR(__xludf.DUMMYFUNCTION("""COMPUTED_VALUE"""),23.0)</f>
        <v>23</v>
      </c>
      <c r="E2702" s="237" t="str">
        <f>IFERROR(__xludf.DUMMYFUNCTION("""COMPUTED_VALUE"""),"LT0PCG01UHUF1")</f>
        <v>LT0PCG01UHUF1</v>
      </c>
      <c r="F2702" s="238" t="str">
        <f>IFERROR(__xludf.DUMMYFUNCTION("""COMPUTED_VALUE"""),"OKJ8B74,CLH4A64")</f>
        <v>OKJ8B74,CLH4A64</v>
      </c>
      <c r="G2702" s="238">
        <f>IFERROR(__xludf.DUMMYFUNCTION("""COMPUTED_VALUE"""),46007.16666666667)</f>
        <v>46007.16667</v>
      </c>
      <c r="H2702" s="238">
        <f>IFERROR(__xludf.DUMMYFUNCTION("""COMPUTED_VALUE"""),46007.25)</f>
        <v>46007.25</v>
      </c>
      <c r="I2702" s="237" t="str">
        <f t="shared" si="1"/>
        <v>Fora</v>
      </c>
      <c r="J2702" s="239">
        <v>119.99999999301508</v>
      </c>
    </row>
    <row r="2703">
      <c r="A2703" s="234" t="s">
        <v>4242</v>
      </c>
      <c r="B2703" s="234" t="str">
        <f>IFERROR(__xludf.DUMMYFUNCTION("""COMPUTED_VALUE"""),"SoC_RS_Gravataí_02")</f>
        <v>SoC_RS_Gravataí_02</v>
      </c>
      <c r="C2703" s="234" t="str">
        <f>IFERROR(__xludf.DUMMYFUNCTION("""COMPUTED_VALUE"""),"SOC-RS2")</f>
        <v>SOC-RS2</v>
      </c>
      <c r="D2703" s="234"/>
      <c r="E2703" s="237" t="str">
        <f>IFERROR(__xludf.DUMMYFUNCTION("""COMPUTED_VALUE"""),"LT0PCG01UI9O1")</f>
        <v>LT0PCG01UI9O1</v>
      </c>
      <c r="F2703" s="238" t="str">
        <f>IFERROR(__xludf.DUMMYFUNCTION("""COMPUTED_VALUE"""),"QKE1B60,JDF5E09")</f>
        <v>QKE1B60,JDF5E09</v>
      </c>
      <c r="G2703" s="238">
        <f>IFERROR(__xludf.DUMMYFUNCTION("""COMPUTED_VALUE"""),46007.16666666667)</f>
        <v>46007.16667</v>
      </c>
      <c r="H2703" s="238">
        <f>IFERROR(__xludf.DUMMYFUNCTION("""COMPUTED_VALUE"""),46007.25)</f>
        <v>46007.25</v>
      </c>
      <c r="I2703" s="237" t="str">
        <f t="shared" si="1"/>
        <v>Fora</v>
      </c>
      <c r="J2703" s="239">
        <v>119.99999999301508</v>
      </c>
    </row>
    <row r="2704">
      <c r="A2704" s="234" t="s">
        <v>259</v>
      </c>
      <c r="B2704" s="234" t="str">
        <f>IFERROR(__xludf.DUMMYFUNCTION("""COMPUTED_VALUE"""),"SoC_SP_Guarulhos")</f>
        <v>SoC_SP_Guarulhos</v>
      </c>
      <c r="C2704" s="234" t="str">
        <f>IFERROR(__xludf.DUMMYFUNCTION("""COMPUTED_VALUE"""),"SOC-SP6")</f>
        <v>SOC-SP6</v>
      </c>
      <c r="D2704" s="234">
        <f>IFERROR(__xludf.DUMMYFUNCTION("""COMPUTED_VALUE"""),27.0)</f>
        <v>27</v>
      </c>
      <c r="E2704" s="237" t="str">
        <f>IFERROR(__xludf.DUMMYFUNCTION("""COMPUTED_VALUE"""),"LT0PCG01UCX01")</f>
        <v>LT0PCG01UCX01</v>
      </c>
      <c r="F2704" s="238" t="str">
        <f>IFERROR(__xludf.DUMMYFUNCTION("""COMPUTED_VALUE"""),"HNQ8267")</f>
        <v>HNQ8267</v>
      </c>
      <c r="G2704" s="238">
        <f>IFERROR(__xludf.DUMMYFUNCTION("""COMPUTED_VALUE"""),46007.16666666667)</f>
        <v>46007.16667</v>
      </c>
      <c r="H2704" s="238">
        <f>IFERROR(__xludf.DUMMYFUNCTION("""COMPUTED_VALUE"""),46007.25)</f>
        <v>46007.25</v>
      </c>
      <c r="I2704" s="237" t="str">
        <f t="shared" si="1"/>
        <v>Fora</v>
      </c>
      <c r="J2704" s="239">
        <v>119.00000000023283</v>
      </c>
    </row>
    <row r="2705">
      <c r="A2705" s="234" t="s">
        <v>265</v>
      </c>
      <c r="B2705" s="234" t="str">
        <f>IFERROR(__xludf.DUMMYFUNCTION("""COMPUTED_VALUE"""),"SoC_SP_Louveira")</f>
        <v>SoC_SP_Louveira</v>
      </c>
      <c r="C2705" s="234" t="str">
        <f>IFERROR(__xludf.DUMMYFUNCTION("""COMPUTED_VALUE"""),"SOC-SP7")</f>
        <v>SOC-SP7</v>
      </c>
      <c r="D2705" s="234">
        <f>IFERROR(__xludf.DUMMYFUNCTION("""COMPUTED_VALUE"""),33.0)</f>
        <v>33</v>
      </c>
      <c r="E2705" s="237" t="str">
        <f>IFERROR(__xludf.DUMMYFUNCTION("""COMPUTED_VALUE"""),"LT0PCG01UBUU1")</f>
        <v>LT0PCG01UBUU1</v>
      </c>
      <c r="F2705" s="238" t="str">
        <f>IFERROR(__xludf.DUMMYFUNCTION("""COMPUTED_VALUE"""),"SWH0E90")</f>
        <v>SWH0E90</v>
      </c>
      <c r="G2705" s="238">
        <f>IFERROR(__xludf.DUMMYFUNCTION("""COMPUTED_VALUE"""),46007.16736111111)</f>
        <v>46007.16736</v>
      </c>
      <c r="H2705" s="238">
        <f>IFERROR(__xludf.DUMMYFUNCTION("""COMPUTED_VALUE"""),46007.25)</f>
        <v>46007.25</v>
      </c>
      <c r="I2705" s="237" t="str">
        <f t="shared" si="1"/>
        <v>Fora</v>
      </c>
      <c r="J2705" s="239">
        <v>119.99999999301508</v>
      </c>
    </row>
    <row r="2706">
      <c r="A2706" s="234" t="s">
        <v>270</v>
      </c>
      <c r="B2706" s="234" t="str">
        <f>IFERROR(__xludf.DUMMYFUNCTION("""COMPUTED_VALUE"""),"LM Hub_SP_Atibaia_Ponte_Alta")</f>
        <v>LM Hub_SP_Atibaia_Ponte_Alta</v>
      </c>
      <c r="C2706" s="234" t="str">
        <f>IFERROR(__xludf.DUMMYFUNCTION("""COMPUTED_VALUE"""),"HUB-LSP-87")</f>
        <v>HUB-LSP-87</v>
      </c>
      <c r="D2706" s="234">
        <f>IFERROR(__xludf.DUMMYFUNCTION("""COMPUTED_VALUE"""),17.0)</f>
        <v>17</v>
      </c>
      <c r="E2706" s="237" t="str">
        <f>IFERROR(__xludf.DUMMYFUNCTION("""COMPUTED_VALUE"""),"LT0PCG01UG6N1")</f>
        <v>LT0PCG01UG6N1</v>
      </c>
      <c r="F2706" s="238" t="str">
        <f>IFERROR(__xludf.DUMMYFUNCTION("""COMPUTED_VALUE"""),"-")</f>
        <v>-</v>
      </c>
      <c r="G2706" s="238">
        <f>IFERROR(__xludf.DUMMYFUNCTION("""COMPUTED_VALUE"""),46007.1875)</f>
        <v>46007.1875</v>
      </c>
      <c r="H2706" s="238">
        <f>IFERROR(__xludf.DUMMYFUNCTION("""COMPUTED_VALUE"""),46007.27083333333)</f>
        <v>46007.27083</v>
      </c>
      <c r="I2706" s="237" t="str">
        <f t="shared" si="1"/>
        <v>Fora</v>
      </c>
      <c r="J2706" s="239">
        <v>119.99999999301508</v>
      </c>
    </row>
    <row r="2707">
      <c r="A2707" s="234" t="s">
        <v>269</v>
      </c>
      <c r="B2707" s="234" t="str">
        <f>IFERROR(__xludf.DUMMYFUNCTION("""COMPUTED_VALUE"""),"LM Hub_SP_Embu das Artes")</f>
        <v>LM Hub_SP_Embu das Artes</v>
      </c>
      <c r="C2707" s="234" t="str">
        <f>IFERROR(__xludf.DUMMYFUNCTION("""COMPUTED_VALUE"""),"HUB-LSP-36")</f>
        <v>HUB-LSP-36</v>
      </c>
      <c r="D2707" s="234">
        <f>IFERROR(__xludf.DUMMYFUNCTION("""COMPUTED_VALUE"""),32.0)</f>
        <v>32</v>
      </c>
      <c r="E2707" s="237" t="str">
        <f>IFERROR(__xludf.DUMMYFUNCTION("""COMPUTED_VALUE"""),"LT0PCG01UD5H1")</f>
        <v>LT0PCG01UD5H1</v>
      </c>
      <c r="F2707" s="238" t="str">
        <f>IFERROR(__xludf.DUMMYFUNCTION("""COMPUTED_VALUE"""),"BTZ0G54")</f>
        <v>BTZ0G54</v>
      </c>
      <c r="G2707" s="238">
        <f>IFERROR(__xludf.DUMMYFUNCTION("""COMPUTED_VALUE"""),46007.1875)</f>
        <v>46007.1875</v>
      </c>
      <c r="H2707" s="238">
        <f>IFERROR(__xludf.DUMMYFUNCTION("""COMPUTED_VALUE"""),46007.27083333333)</f>
        <v>46007.27083</v>
      </c>
      <c r="I2707" s="237" t="str">
        <f t="shared" si="1"/>
        <v>Fora</v>
      </c>
      <c r="J2707" s="239">
        <v>119.99999999301508</v>
      </c>
    </row>
    <row r="2708">
      <c r="A2708" s="234" t="s">
        <v>4243</v>
      </c>
      <c r="B2708" s="234" t="str">
        <f>IFERROR(__xludf.DUMMYFUNCTION("""COMPUTED_VALUE"""),"LM Hub_SP_Embu das Artes")</f>
        <v>LM Hub_SP_Embu das Artes</v>
      </c>
      <c r="C2708" s="234" t="str">
        <f>IFERROR(__xludf.DUMMYFUNCTION("""COMPUTED_VALUE"""),"HUB-LSP-36")</f>
        <v>HUB-LSP-36</v>
      </c>
      <c r="D2708" s="234"/>
      <c r="E2708" s="237" t="str">
        <f>IFERROR(__xludf.DUMMYFUNCTION("""COMPUTED_VALUE"""),"LT0PCG01UD5I2")</f>
        <v>LT0PCG01UD5I2</v>
      </c>
      <c r="F2708" s="238" t="str">
        <f>IFERROR(__xludf.DUMMYFUNCTION("""COMPUTED_VALUE"""),"SUQ5C99")</f>
        <v>SUQ5C99</v>
      </c>
      <c r="G2708" s="238">
        <f>IFERROR(__xludf.DUMMYFUNCTION("""COMPUTED_VALUE"""),46007.1875)</f>
        <v>46007.1875</v>
      </c>
      <c r="H2708" s="238">
        <f>IFERROR(__xludf.DUMMYFUNCTION("""COMPUTED_VALUE"""),46007.27083333333)</f>
        <v>46007.27083</v>
      </c>
      <c r="I2708" s="237" t="str">
        <f t="shared" si="1"/>
        <v>Fora</v>
      </c>
      <c r="J2708" s="239">
        <v>119.99999999301508</v>
      </c>
    </row>
    <row r="2709">
      <c r="A2709" s="234" t="s">
        <v>4244</v>
      </c>
      <c r="B2709" s="234" t="str">
        <f>IFERROR(__xludf.DUMMYFUNCTION("""COMPUTED_VALUE"""),"LM Hub_SP_Embu das Artes")</f>
        <v>LM Hub_SP_Embu das Artes</v>
      </c>
      <c r="C2709" s="234" t="str">
        <f>IFERROR(__xludf.DUMMYFUNCTION("""COMPUTED_VALUE"""),"HUB-LSP-36")</f>
        <v>HUB-LSP-36</v>
      </c>
      <c r="D2709" s="234"/>
      <c r="E2709" s="237" t="str">
        <f>IFERROR(__xludf.DUMMYFUNCTION("""COMPUTED_VALUE"""),"LT1PCG01UOTS1")</f>
        <v>LT1PCG01UOTS1</v>
      </c>
      <c r="F2709" s="234"/>
      <c r="G2709" s="238">
        <f>IFERROR(__xludf.DUMMYFUNCTION("""COMPUTED_VALUE"""),46007.1875)</f>
        <v>46007.1875</v>
      </c>
      <c r="H2709" s="238">
        <f>IFERROR(__xludf.DUMMYFUNCTION("""COMPUTED_VALUE"""),46007.27083333333)</f>
        <v>46007.27083</v>
      </c>
      <c r="I2709" s="237" t="str">
        <f t="shared" si="1"/>
        <v>Fora</v>
      </c>
      <c r="J2709" s="239">
        <v>119.99999999301508</v>
      </c>
    </row>
    <row r="2710">
      <c r="A2710" s="234" t="s">
        <v>268</v>
      </c>
      <c r="B2710" s="234" t="str">
        <f>IFERROR(__xludf.DUMMYFUNCTION("""COMPUTED_VALUE"""),"LM Hub_SP_Taubaté")</f>
        <v>LM Hub_SP_Taubaté</v>
      </c>
      <c r="C2710" s="234" t="str">
        <f>IFERROR(__xludf.DUMMYFUNCTION("""COMPUTED_VALUE"""),"HUB-LSP-08")</f>
        <v>HUB-LSP-08</v>
      </c>
      <c r="D2710" s="234">
        <f>IFERROR(__xludf.DUMMYFUNCTION("""COMPUTED_VALUE"""),8.0)</f>
        <v>8</v>
      </c>
      <c r="E2710" s="237" t="str">
        <f>IFERROR(__xludf.DUMMYFUNCTION("""COMPUTED_VALUE"""),"LT0PCG01U88B1")</f>
        <v>LT0PCG01U88B1</v>
      </c>
      <c r="F2710" s="238" t="str">
        <f>IFERROR(__xludf.DUMMYFUNCTION("""COMPUTED_VALUE"""),"ASN0C15")</f>
        <v>ASN0C15</v>
      </c>
      <c r="G2710" s="238">
        <f>IFERROR(__xludf.DUMMYFUNCTION("""COMPUTED_VALUE"""),46007.1875)</f>
        <v>46007.1875</v>
      </c>
      <c r="H2710" s="238">
        <f>IFERROR(__xludf.DUMMYFUNCTION("""COMPUTED_VALUE"""),46007.27083333333)</f>
        <v>46007.27083</v>
      </c>
      <c r="I2710" s="237" t="str">
        <f t="shared" si="1"/>
        <v>Fora</v>
      </c>
      <c r="J2710" s="239">
        <v>540.0</v>
      </c>
    </row>
    <row r="2711">
      <c r="A2711" s="234" t="s">
        <v>4245</v>
      </c>
      <c r="B2711" s="234" t="str">
        <f>IFERROR(__xludf.DUMMYFUNCTION("""COMPUTED_VALUE"""),"SoC_BA_Simoes Filho")</f>
        <v>SoC_BA_Simoes Filho</v>
      </c>
      <c r="C2711" s="234" t="str">
        <f>IFERROR(__xludf.DUMMYFUNCTION("""COMPUTED_VALUE"""),"SOC-BA2")</f>
        <v>SOC-BA2</v>
      </c>
      <c r="D2711" s="234">
        <f>IFERROR(__xludf.DUMMYFUNCTION("""COMPUTED_VALUE"""),89.0)</f>
        <v>89</v>
      </c>
      <c r="E2711" s="237" t="str">
        <f>IFERROR(__xludf.DUMMYFUNCTION("""COMPUTED_VALUE"""),"LT0PCF01UHYY1")</f>
        <v>LT0PCF01UHYY1</v>
      </c>
      <c r="F2711" s="238" t="str">
        <f>IFERROR(__xludf.DUMMYFUNCTION("""COMPUTED_VALUE"""),"FBD7E37,TJR5G33")</f>
        <v>FBD7E37,TJR5G33</v>
      </c>
      <c r="G2711" s="238">
        <f>IFERROR(__xludf.DUMMYFUNCTION("""COMPUTED_VALUE"""),46006.91666666667)</f>
        <v>46006.91667</v>
      </c>
      <c r="H2711" s="238">
        <f>IFERROR(__xludf.DUMMYFUNCTION("""COMPUTED_VALUE"""),46007.29166666667)</f>
        <v>46007.29167</v>
      </c>
      <c r="I2711" s="237" t="str">
        <f t="shared" si="1"/>
        <v>Fora</v>
      </c>
      <c r="J2711" s="239">
        <v>540.0</v>
      </c>
    </row>
    <row r="2712">
      <c r="A2712" s="234" t="s">
        <v>4246</v>
      </c>
      <c r="B2712" s="234" t="str">
        <f>IFERROR(__xludf.DUMMYFUNCTION("""COMPUTED_VALUE"""),"SoC_GO_Goiânia_02")</f>
        <v>SoC_GO_Goiânia_02</v>
      </c>
      <c r="C2712" s="234" t="str">
        <f>IFERROR(__xludf.DUMMYFUNCTION("""COMPUTED_VALUE"""),"SOC-GO2")</f>
        <v>SOC-GO2</v>
      </c>
      <c r="D2712" s="234">
        <f>IFERROR(__xludf.DUMMYFUNCTION("""COMPUTED_VALUE"""),87.0)</f>
        <v>87</v>
      </c>
      <c r="E2712" s="237" t="str">
        <f>IFERROR(__xludf.DUMMYFUNCTION("""COMPUTED_VALUE"""),"LT0PCF01UI741")</f>
        <v>LT0PCF01UI741</v>
      </c>
      <c r="F2712" s="238" t="str">
        <f>IFERROR(__xludf.DUMMYFUNCTION("""COMPUTED_VALUE"""),"NPK1883,RZD4C56")</f>
        <v>NPK1883,RZD4C56</v>
      </c>
      <c r="G2712" s="238">
        <f>IFERROR(__xludf.DUMMYFUNCTION("""COMPUTED_VALUE"""),46006.91666666667)</f>
        <v>46006.91667</v>
      </c>
      <c r="H2712" s="238">
        <f>IFERROR(__xludf.DUMMYFUNCTION("""COMPUTED_VALUE"""),46007.29166666667)</f>
        <v>46007.29167</v>
      </c>
      <c r="I2712" s="237" t="str">
        <f t="shared" si="1"/>
        <v>Fora</v>
      </c>
      <c r="J2712" s="239">
        <v>540.0</v>
      </c>
    </row>
    <row r="2713">
      <c r="A2713" s="234" t="s">
        <v>4247</v>
      </c>
      <c r="B2713" s="234" t="str">
        <f>IFERROR(__xludf.DUMMYFUNCTION("""COMPUTED_VALUE"""),"SoC_MG_Betim")</f>
        <v>SoC_MG_Betim</v>
      </c>
      <c r="C2713" s="234" t="str">
        <f>IFERROR(__xludf.DUMMYFUNCTION("""COMPUTED_VALUE"""),"SOC-MG2")</f>
        <v>SOC-MG2</v>
      </c>
      <c r="D2713" s="234"/>
      <c r="E2713" s="237" t="str">
        <f>IFERROR(__xludf.DUMMYFUNCTION("""COMPUTED_VALUE"""),"LT0PCF01UBSU1")</f>
        <v>LT0PCF01UBSU1</v>
      </c>
      <c r="F2713" s="238" t="str">
        <f>IFERROR(__xludf.DUMMYFUNCTION("""COMPUTED_VALUE"""),"FWE9D62")</f>
        <v>FWE9D62</v>
      </c>
      <c r="G2713" s="238">
        <f>IFERROR(__xludf.DUMMYFUNCTION("""COMPUTED_VALUE"""),46006.91666666667)</f>
        <v>46006.91667</v>
      </c>
      <c r="H2713" s="238">
        <f>IFERROR(__xludf.DUMMYFUNCTION("""COMPUTED_VALUE"""),46007.29166666667)</f>
        <v>46007.29167</v>
      </c>
      <c r="I2713" s="237" t="str">
        <f t="shared" si="1"/>
        <v>Fora</v>
      </c>
      <c r="J2713" s="239">
        <v>540.0</v>
      </c>
    </row>
    <row r="2714">
      <c r="A2714" s="234" t="s">
        <v>271</v>
      </c>
      <c r="B2714" s="234" t="str">
        <f>IFERROR(__xludf.DUMMYFUNCTION("""COMPUTED_VALUE"""),"SoC_SP_Cravinhos")</f>
        <v>SoC_SP_Cravinhos</v>
      </c>
      <c r="C2714" s="234" t="str">
        <f>IFERROR(__xludf.DUMMYFUNCTION("""COMPUTED_VALUE"""),"SOC-SP5")</f>
        <v>SOC-SP5</v>
      </c>
      <c r="D2714" s="234">
        <f>IFERROR(__xludf.DUMMYFUNCTION("""COMPUTED_VALUE"""),94.0)</f>
        <v>94</v>
      </c>
      <c r="E2714" s="237" t="str">
        <f>IFERROR(__xludf.DUMMYFUNCTION("""COMPUTED_VALUE"""),"LT0PCF01UBUE1")</f>
        <v>LT0PCF01UBUE1</v>
      </c>
      <c r="F2714" s="238" t="str">
        <f>IFERROR(__xludf.DUMMYFUNCTION("""COMPUTED_VALUE"""),"QQN6I76")</f>
        <v>QQN6I76</v>
      </c>
      <c r="G2714" s="238">
        <f>IFERROR(__xludf.DUMMYFUNCTION("""COMPUTED_VALUE"""),46006.91666666667)</f>
        <v>46006.91667</v>
      </c>
      <c r="H2714" s="238">
        <f>IFERROR(__xludf.DUMMYFUNCTION("""COMPUTED_VALUE"""),46007.29166666667)</f>
        <v>46007.29167</v>
      </c>
      <c r="I2714" s="237" t="str">
        <f t="shared" si="1"/>
        <v>Fora</v>
      </c>
      <c r="J2714" s="239">
        <v>539.0000000072177</v>
      </c>
    </row>
    <row r="2715">
      <c r="A2715" s="234" t="s">
        <v>4248</v>
      </c>
      <c r="B2715" s="234" t="str">
        <f>IFERROR(__xludf.DUMMYFUNCTION("""COMPUTED_VALUE"""),"SoC_MG_Betim")</f>
        <v>SoC_MG_Betim</v>
      </c>
      <c r="C2715" s="234" t="str">
        <f>IFERROR(__xludf.DUMMYFUNCTION("""COMPUTED_VALUE"""),"SOC-MG2")</f>
        <v>SOC-MG2</v>
      </c>
      <c r="D2715" s="234">
        <f>IFERROR(__xludf.DUMMYFUNCTION("""COMPUTED_VALUE"""),91.0)</f>
        <v>91</v>
      </c>
      <c r="E2715" s="237" t="str">
        <f>IFERROR(__xludf.DUMMYFUNCTION("""COMPUTED_VALUE"""),"LT0PCF01U8781")</f>
        <v>LT0PCF01U8781</v>
      </c>
      <c r="F2715" s="238" t="str">
        <f>IFERROR(__xludf.DUMMYFUNCTION("""COMPUTED_VALUE"""),"HGN5I58")</f>
        <v>HGN5I58</v>
      </c>
      <c r="G2715" s="238">
        <f>IFERROR(__xludf.DUMMYFUNCTION("""COMPUTED_VALUE"""),46006.91736111111)</f>
        <v>46006.91736</v>
      </c>
      <c r="H2715" s="238">
        <f>IFERROR(__xludf.DUMMYFUNCTION("""COMPUTED_VALUE"""),46007.29166666667)</f>
        <v>46007.29167</v>
      </c>
      <c r="I2715" s="237" t="str">
        <f t="shared" si="1"/>
        <v>Fora</v>
      </c>
      <c r="J2715" s="239">
        <v>539.0000000072177</v>
      </c>
    </row>
    <row r="2716">
      <c r="A2716" s="234" t="s">
        <v>4249</v>
      </c>
      <c r="B2716" s="234" t="str">
        <f>IFERROR(__xludf.DUMMYFUNCTION("""COMPUTED_VALUE"""),"SoC_SP_Cravinhos")</f>
        <v>SoC_SP_Cravinhos</v>
      </c>
      <c r="C2716" s="234" t="str">
        <f>IFERROR(__xludf.DUMMYFUNCTION("""COMPUTED_VALUE"""),"SOC-SP5")</f>
        <v>SOC-SP5</v>
      </c>
      <c r="D2716" s="234"/>
      <c r="E2716" s="237" t="str">
        <f>IFERROR(__xludf.DUMMYFUNCTION("""COMPUTED_VALUE"""),"LT0PCF01U87G1")</f>
        <v>LT0PCF01U87G1</v>
      </c>
      <c r="F2716" s="234"/>
      <c r="G2716" s="238">
        <f>IFERROR(__xludf.DUMMYFUNCTION("""COMPUTED_VALUE"""),46006.91736111111)</f>
        <v>46006.91736</v>
      </c>
      <c r="H2716" s="238">
        <f>IFERROR(__xludf.DUMMYFUNCTION("""COMPUTED_VALUE"""),46007.29166666667)</f>
        <v>46007.29167</v>
      </c>
      <c r="I2716" s="237" t="str">
        <f t="shared" si="1"/>
        <v>Fora</v>
      </c>
      <c r="J2716" s="239">
        <v>538.0000000144355</v>
      </c>
    </row>
    <row r="2717">
      <c r="A2717" s="234" t="s">
        <v>4250</v>
      </c>
      <c r="B2717" s="234" t="str">
        <f>IFERROR(__xludf.DUMMYFUNCTION("""COMPUTED_VALUE"""),"SoC_RJ_Duque de Caxias")</f>
        <v>SoC_RJ_Duque de Caxias</v>
      </c>
      <c r="C2717" s="234" t="str">
        <f>IFERROR(__xludf.DUMMYFUNCTION("""COMPUTED_VALUE"""),"SOC-RJ2")</f>
        <v>SOC-RJ2</v>
      </c>
      <c r="D2717" s="234"/>
      <c r="E2717" s="237" t="str">
        <f>IFERROR(__xludf.DUMMYFUNCTION("""COMPUTED_VALUE"""),"LT0PCF01UEB11")</f>
        <v>LT0PCF01UEB11</v>
      </c>
      <c r="F2717" s="238" t="str">
        <f>IFERROR(__xludf.DUMMYFUNCTION("""COMPUTED_VALUE"""),"FVH9G29")</f>
        <v>FVH9G29</v>
      </c>
      <c r="G2717" s="238">
        <f>IFERROR(__xludf.DUMMYFUNCTION("""COMPUTED_VALUE"""),46006.91805555555)</f>
        <v>46006.91806</v>
      </c>
      <c r="H2717" s="238">
        <f>IFERROR(__xludf.DUMMYFUNCTION("""COMPUTED_VALUE"""),46007.29166666667)</f>
        <v>46007.29167</v>
      </c>
      <c r="I2717" s="237" t="str">
        <f t="shared" si="1"/>
        <v>Fora</v>
      </c>
      <c r="J2717" s="239">
        <v>538.0000000144355</v>
      </c>
    </row>
    <row r="2718">
      <c r="A2718" s="234" t="s">
        <v>4251</v>
      </c>
      <c r="B2718" s="234" t="str">
        <f>IFERROR(__xludf.DUMMYFUNCTION("""COMPUTED_VALUE"""),"SoC_RJ_Duque de Caxias")</f>
        <v>SoC_RJ_Duque de Caxias</v>
      </c>
      <c r="C2718" s="234" t="str">
        <f>IFERROR(__xludf.DUMMYFUNCTION("""COMPUTED_VALUE"""),"SOC-RJ2")</f>
        <v>SOC-RJ2</v>
      </c>
      <c r="D2718" s="234">
        <f>IFERROR(__xludf.DUMMYFUNCTION("""COMPUTED_VALUE"""),96.0)</f>
        <v>96</v>
      </c>
      <c r="E2718" s="237" t="str">
        <f>IFERROR(__xludf.DUMMYFUNCTION("""COMPUTED_VALUE"""),"LT0PCF01UEB32")</f>
        <v>LT0PCF01UEB32</v>
      </c>
      <c r="F2718" s="238" t="str">
        <f>IFERROR(__xludf.DUMMYFUNCTION("""COMPUTED_VALUE"""),"QST0H68")</f>
        <v>QST0H68</v>
      </c>
      <c r="G2718" s="238">
        <f>IFERROR(__xludf.DUMMYFUNCTION("""COMPUTED_VALUE"""),46006.91805555555)</f>
        <v>46006.91806</v>
      </c>
      <c r="H2718" s="238">
        <f>IFERROR(__xludf.DUMMYFUNCTION("""COMPUTED_VALUE"""),46007.29166666667)</f>
        <v>46007.29167</v>
      </c>
      <c r="I2718" s="237" t="str">
        <f t="shared" si="1"/>
        <v>Fora</v>
      </c>
      <c r="J2718" s="239">
        <v>120.00000001396984</v>
      </c>
    </row>
    <row r="2719">
      <c r="A2719" s="234" t="s">
        <v>4252</v>
      </c>
      <c r="B2719" s="234" t="str">
        <f>IFERROR(__xludf.DUMMYFUNCTION("""COMPUTED_VALUE"""),"LM Hub_SP_Campinas_São Martinho")</f>
        <v>LM Hub_SP_Campinas_São Martinho</v>
      </c>
      <c r="C2719" s="234" t="str">
        <f>IFERROR(__xludf.DUMMYFUNCTION("""COMPUTED_VALUE"""),"HUB-LSP-19")</f>
        <v>HUB-LSP-19</v>
      </c>
      <c r="D2719" s="234"/>
      <c r="E2719" s="237" t="str">
        <f>IFERROR(__xludf.DUMMYFUNCTION("""COMPUTED_VALUE"""),"LT0PCG01UC1A2")</f>
        <v>LT0PCG01UC1A2</v>
      </c>
      <c r="F2719" s="238" t="str">
        <f>IFERROR(__xludf.DUMMYFUNCTION("""COMPUTED_VALUE"""),"GCJ6G71,EFW1695")</f>
        <v>GCJ6G71,EFW1695</v>
      </c>
      <c r="G2719" s="238">
        <f>IFERROR(__xludf.DUMMYFUNCTION("""COMPUTED_VALUE"""),46007.20833333333)</f>
        <v>46007.20833</v>
      </c>
      <c r="H2719" s="238">
        <f>IFERROR(__xludf.DUMMYFUNCTION("""COMPUTED_VALUE"""),46007.29166666667)</f>
        <v>46007.29167</v>
      </c>
      <c r="I2719" s="237" t="str">
        <f t="shared" si="1"/>
        <v>Fora</v>
      </c>
      <c r="J2719" s="239">
        <v>120.00000001396984</v>
      </c>
    </row>
    <row r="2720">
      <c r="A2720" s="234" t="s">
        <v>4253</v>
      </c>
      <c r="B2720" s="234" t="str">
        <f>IFERROR(__xludf.DUMMYFUNCTION("""COMPUTED_VALUE"""),"LM Hub_SP_Jundiaí")</f>
        <v>LM Hub_SP_Jundiaí</v>
      </c>
      <c r="C2720" s="234" t="str">
        <f>IFERROR(__xludf.DUMMYFUNCTION("""COMPUTED_VALUE"""),"HUB-LSP-100")</f>
        <v>HUB-LSP-100</v>
      </c>
      <c r="D2720" s="234"/>
      <c r="E2720" s="237" t="str">
        <f>IFERROR(__xludf.DUMMYFUNCTION("""COMPUTED_VALUE"""),"LT0PCG01UJ001")</f>
        <v>LT0PCG01UJ001</v>
      </c>
      <c r="F2720" s="238" t="str">
        <f>IFERROR(__xludf.DUMMYFUNCTION("""COMPUTED_VALUE"""),"-")</f>
        <v>-</v>
      </c>
      <c r="G2720" s="238">
        <f>IFERROR(__xludf.DUMMYFUNCTION("""COMPUTED_VALUE"""),46007.20833333333)</f>
        <v>46007.20833</v>
      </c>
      <c r="H2720" s="238">
        <f>IFERROR(__xludf.DUMMYFUNCTION("""COMPUTED_VALUE"""),46007.29166666667)</f>
        <v>46007.29167</v>
      </c>
      <c r="I2720" s="237" t="str">
        <f t="shared" si="1"/>
        <v>Fora</v>
      </c>
      <c r="J2720" s="239">
        <v>120.00000001396984</v>
      </c>
    </row>
    <row r="2721">
      <c r="A2721" s="234" t="s">
        <v>4254</v>
      </c>
      <c r="B2721" s="234" t="str">
        <f>IFERROR(__xludf.DUMMYFUNCTION("""COMPUTED_VALUE"""),"LM Hub_SP_Piracicaba")</f>
        <v>LM Hub_SP_Piracicaba</v>
      </c>
      <c r="C2721" s="234" t="str">
        <f>IFERROR(__xludf.DUMMYFUNCTION("""COMPUTED_VALUE"""),"HUB-LSP-62")</f>
        <v>HUB-LSP-62</v>
      </c>
      <c r="D2721" s="234"/>
      <c r="E2721" s="237" t="str">
        <f>IFERROR(__xludf.DUMMYFUNCTION("""COMPUTED_VALUE"""),"LT0PCG01UCMW1")</f>
        <v>LT0PCG01UCMW1</v>
      </c>
      <c r="F2721" s="238" t="str">
        <f>IFERROR(__xludf.DUMMYFUNCTION("""COMPUTED_VALUE"""),"OMY3I62")</f>
        <v>OMY3I62</v>
      </c>
      <c r="G2721" s="238">
        <f>IFERROR(__xludf.DUMMYFUNCTION("""COMPUTED_VALUE"""),46007.20833333333)</f>
        <v>46007.20833</v>
      </c>
      <c r="H2721" s="238">
        <f>IFERROR(__xludf.DUMMYFUNCTION("""COMPUTED_VALUE"""),46007.29166666667)</f>
        <v>46007.29167</v>
      </c>
      <c r="I2721" s="237" t="str">
        <f t="shared" si="1"/>
        <v>Fora</v>
      </c>
      <c r="J2721" s="239">
        <v>120.00000001396984</v>
      </c>
    </row>
    <row r="2722">
      <c r="A2722" s="234" t="s">
        <v>275</v>
      </c>
      <c r="B2722" s="234" t="str">
        <f>IFERROR(__xludf.DUMMYFUNCTION("""COMPUTED_VALUE"""),"LM Hub_SP_Santos_PraiaGrande_02")</f>
        <v>LM Hub_SP_Santos_PraiaGrande_02</v>
      </c>
      <c r="C2722" s="234" t="str">
        <f>IFERROR(__xludf.DUMMYFUNCTION("""COMPUTED_VALUE"""),"HUB-LSP-63")</f>
        <v>HUB-LSP-63</v>
      </c>
      <c r="D2722" s="234">
        <f>IFERROR(__xludf.DUMMYFUNCTION("""COMPUTED_VALUE"""),25.0)</f>
        <v>25</v>
      </c>
      <c r="E2722" s="237" t="str">
        <f>IFERROR(__xludf.DUMMYFUNCTION("""COMPUTED_VALUE"""),"LT0PCG01UD591")</f>
        <v>LT0PCG01UD591</v>
      </c>
      <c r="F2722" s="238" t="str">
        <f>IFERROR(__xludf.DUMMYFUNCTION("""COMPUTED_VALUE"""),"GEJ6E62,TLV2A95")</f>
        <v>GEJ6E62,TLV2A95</v>
      </c>
      <c r="G2722" s="238">
        <f>IFERROR(__xludf.DUMMYFUNCTION("""COMPUTED_VALUE"""),46007.20833333333)</f>
        <v>46007.20833</v>
      </c>
      <c r="H2722" s="238">
        <f>IFERROR(__xludf.DUMMYFUNCTION("""COMPUTED_VALUE"""),46007.29166666667)</f>
        <v>46007.29167</v>
      </c>
      <c r="I2722" s="237" t="str">
        <f t="shared" si="1"/>
        <v>Fora</v>
      </c>
      <c r="J2722" s="239">
        <v>120.00000001396984</v>
      </c>
    </row>
    <row r="2723">
      <c r="A2723" s="234" t="s">
        <v>4255</v>
      </c>
      <c r="B2723" s="234" t="str">
        <f>IFERROR(__xludf.DUMMYFUNCTION("""COMPUTED_VALUE"""),"LM Hub_SP_Santos_PraiaGrande_02")</f>
        <v>LM Hub_SP_Santos_PraiaGrande_02</v>
      </c>
      <c r="C2723" s="234" t="str">
        <f>IFERROR(__xludf.DUMMYFUNCTION("""COMPUTED_VALUE"""),"HUB-LSP-63")</f>
        <v>HUB-LSP-63</v>
      </c>
      <c r="D2723" s="234"/>
      <c r="E2723" s="237" t="str">
        <f>IFERROR(__xludf.DUMMYFUNCTION("""COMPUTED_VALUE"""),"LT0PCG01UD5B2")</f>
        <v>LT0PCG01UD5B2</v>
      </c>
      <c r="F2723" s="238" t="str">
        <f>IFERROR(__xludf.DUMMYFUNCTION("""COMPUTED_VALUE"""),"BZL9H33")</f>
        <v>BZL9H33</v>
      </c>
      <c r="G2723" s="238">
        <f>IFERROR(__xludf.DUMMYFUNCTION("""COMPUTED_VALUE"""),46007.20833333333)</f>
        <v>46007.20833</v>
      </c>
      <c r="H2723" s="238">
        <f>IFERROR(__xludf.DUMMYFUNCTION("""COMPUTED_VALUE"""),46007.29166666667)</f>
        <v>46007.29167</v>
      </c>
      <c r="I2723" s="237" t="str">
        <f t="shared" si="1"/>
        <v>Fora</v>
      </c>
      <c r="J2723" s="239">
        <v>119.00000001071021</v>
      </c>
    </row>
    <row r="2724">
      <c r="A2724" s="234" t="s">
        <v>273</v>
      </c>
      <c r="B2724" s="234" t="str">
        <f>IFERROR(__xludf.DUMMYFUNCTION("""COMPUTED_VALUE"""),"LM Hub_SP_Barueri_01")</f>
        <v>LM Hub_SP_Barueri_01</v>
      </c>
      <c r="C2724" s="234" t="str">
        <f>IFERROR(__xludf.DUMMYFUNCTION("""COMPUTED_VALUE"""),"HUB-LSP-81")</f>
        <v>HUB-LSP-81</v>
      </c>
      <c r="D2724" s="234">
        <f>IFERROR(__xludf.DUMMYFUNCTION("""COMPUTED_VALUE"""),12.0)</f>
        <v>12</v>
      </c>
      <c r="E2724" s="237" t="str">
        <f>IFERROR(__xludf.DUMMYFUNCTION("""COMPUTED_VALUE"""),"LT0PCG01UK391")</f>
        <v>LT0PCG01UK391</v>
      </c>
      <c r="F2724" s="238" t="str">
        <f>IFERROR(__xludf.DUMMYFUNCTION("""COMPUTED_VALUE"""),"EFU9C99")</f>
        <v>EFU9C99</v>
      </c>
      <c r="G2724" s="238">
        <f>IFERROR(__xludf.DUMMYFUNCTION("""COMPUTED_VALUE"""),46007.209027777775)</f>
        <v>46007.20903</v>
      </c>
      <c r="H2724" s="238">
        <f>IFERROR(__xludf.DUMMYFUNCTION("""COMPUTED_VALUE"""),46007.29166666667)</f>
        <v>46007.29167</v>
      </c>
      <c r="I2724" s="237" t="str">
        <f t="shared" si="1"/>
        <v>Fora</v>
      </c>
      <c r="J2724" s="239">
        <v>119.00000001071021</v>
      </c>
    </row>
    <row r="2725">
      <c r="A2725" s="234" t="s">
        <v>4256</v>
      </c>
      <c r="B2725" s="234" t="str">
        <f>IFERROR(__xludf.DUMMYFUNCTION("""COMPUTED_VALUE"""),"LM Hub_SP_Jurubatuba")</f>
        <v>LM Hub_SP_Jurubatuba</v>
      </c>
      <c r="C2725" s="234" t="str">
        <f>IFERROR(__xludf.DUMMYFUNCTION("""COMPUTED_VALUE"""),"HUB-LSP-16")</f>
        <v>HUB-LSP-16</v>
      </c>
      <c r="D2725" s="234"/>
      <c r="E2725" s="237" t="str">
        <f>IFERROR(__xludf.DUMMYFUNCTION("""COMPUTED_VALUE"""),"LT0PCG01UD3Z1")</f>
        <v>LT0PCG01UD3Z1</v>
      </c>
      <c r="F2725" s="238" t="str">
        <f>IFERROR(__xludf.DUMMYFUNCTION("""COMPUTED_VALUE"""),"MQM6I27")</f>
        <v>MQM6I27</v>
      </c>
      <c r="G2725" s="238">
        <f>IFERROR(__xludf.DUMMYFUNCTION("""COMPUTED_VALUE"""),46007.209027777775)</f>
        <v>46007.20903</v>
      </c>
      <c r="H2725" s="238">
        <f>IFERROR(__xludf.DUMMYFUNCTION("""COMPUTED_VALUE"""),46007.29166666667)</f>
        <v>46007.29167</v>
      </c>
      <c r="I2725" s="237" t="str">
        <f t="shared" si="1"/>
        <v>Fora</v>
      </c>
      <c r="J2725" s="239">
        <v>119.00000001071021</v>
      </c>
    </row>
    <row r="2726">
      <c r="A2726" s="234" t="s">
        <v>272</v>
      </c>
      <c r="B2726" s="234" t="str">
        <f>IFERROR(__xludf.DUMMYFUNCTION("""COMPUTED_VALUE"""),"LM Hub_SP_Jurubatuba")</f>
        <v>LM Hub_SP_Jurubatuba</v>
      </c>
      <c r="C2726" s="234" t="str">
        <f>IFERROR(__xludf.DUMMYFUNCTION("""COMPUTED_VALUE"""),"HUB-LSP-16")</f>
        <v>HUB-LSP-16</v>
      </c>
      <c r="D2726" s="234">
        <f>IFERROR(__xludf.DUMMYFUNCTION("""COMPUTED_VALUE"""),9.0)</f>
        <v>9</v>
      </c>
      <c r="E2726" s="237" t="str">
        <f>IFERROR(__xludf.DUMMYFUNCTION("""COMPUTED_VALUE"""),"LT0PCG01UD422")</f>
        <v>LT0PCG01UD422</v>
      </c>
      <c r="F2726" s="238" t="str">
        <f>IFERROR(__xludf.DUMMYFUNCTION("""COMPUTED_VALUE"""),"CUA7C61")</f>
        <v>CUA7C61</v>
      </c>
      <c r="G2726" s="238">
        <f>IFERROR(__xludf.DUMMYFUNCTION("""COMPUTED_VALUE"""),46007.209027777775)</f>
        <v>46007.20903</v>
      </c>
      <c r="H2726" s="238">
        <f>IFERROR(__xludf.DUMMYFUNCTION("""COMPUTED_VALUE"""),46007.29166666667)</f>
        <v>46007.29167</v>
      </c>
      <c r="I2726" s="237" t="str">
        <f t="shared" si="1"/>
        <v>Fora</v>
      </c>
      <c r="J2726" s="239">
        <v>119.99999999301508</v>
      </c>
    </row>
    <row r="2727">
      <c r="A2727" s="234" t="s">
        <v>276</v>
      </c>
      <c r="B2727" s="234" t="str">
        <f>IFERROR(__xludf.DUMMYFUNCTION("""COMPUTED_VALUE"""),"LM Hub_SP_Guarujá")</f>
        <v>LM Hub_SP_Guarujá</v>
      </c>
      <c r="C2727" s="234" t="str">
        <f>IFERROR(__xludf.DUMMYFUNCTION("""COMPUTED_VALUE"""),"HUB-LSP-06")</f>
        <v>HUB-LSP-06</v>
      </c>
      <c r="D2727" s="234">
        <f>IFERROR(__xludf.DUMMYFUNCTION("""COMPUTED_VALUE"""),5.0)</f>
        <v>5</v>
      </c>
      <c r="E2727" s="237" t="str">
        <f>IFERROR(__xludf.DUMMYFUNCTION("""COMPUTED_VALUE"""),"LT0PCG01UD4L1")</f>
        <v>LT0PCG01UD4L1</v>
      </c>
      <c r="F2727" s="238" t="str">
        <f>IFERROR(__xludf.DUMMYFUNCTION("""COMPUTED_VALUE"""),"DIK3532")</f>
        <v>DIK3532</v>
      </c>
      <c r="G2727" s="238">
        <f>IFERROR(__xludf.DUMMYFUNCTION("""COMPUTED_VALUE"""),46007.22916666667)</f>
        <v>46007.22917</v>
      </c>
      <c r="H2727" s="238">
        <f>IFERROR(__xludf.DUMMYFUNCTION("""COMPUTED_VALUE"""),46007.3125)</f>
        <v>46007.3125</v>
      </c>
      <c r="I2727" s="237" t="str">
        <f t="shared" si="1"/>
        <v>Fora</v>
      </c>
      <c r="J2727" s="239">
        <v>119.99999999301508</v>
      </c>
    </row>
    <row r="2728">
      <c r="A2728" s="234" t="s">
        <v>274</v>
      </c>
      <c r="B2728" s="234" t="str">
        <f>IFERROR(__xludf.DUMMYFUNCTION("""COMPUTED_VALUE"""),"LM Hub_SP_Itapevi")</f>
        <v>LM Hub_SP_Itapevi</v>
      </c>
      <c r="C2728" s="234" t="str">
        <f>IFERROR(__xludf.DUMMYFUNCTION("""COMPUTED_VALUE"""),"HUB-LSP-41")</f>
        <v>HUB-LSP-41</v>
      </c>
      <c r="D2728" s="234">
        <f>IFERROR(__xludf.DUMMYFUNCTION("""COMPUTED_VALUE"""),15.0)</f>
        <v>15</v>
      </c>
      <c r="E2728" s="237" t="str">
        <f>IFERROR(__xludf.DUMMYFUNCTION("""COMPUTED_VALUE"""),"LT0PCG01U8851")</f>
        <v>LT0PCG01U8851</v>
      </c>
      <c r="F2728" s="238" t="str">
        <f>IFERROR(__xludf.DUMMYFUNCTION("""COMPUTED_VALUE"""),"HFD4H27")</f>
        <v>HFD4H27</v>
      </c>
      <c r="G2728" s="238">
        <f>IFERROR(__xludf.DUMMYFUNCTION("""COMPUTED_VALUE"""),46007.22916666667)</f>
        <v>46007.22917</v>
      </c>
      <c r="H2728" s="238">
        <f>IFERROR(__xludf.DUMMYFUNCTION("""COMPUTED_VALUE"""),46007.3125)</f>
        <v>46007.3125</v>
      </c>
      <c r="I2728" s="237" t="str">
        <f t="shared" si="1"/>
        <v>Fora</v>
      </c>
      <c r="J2728" s="239">
        <v>119.99999999301508</v>
      </c>
    </row>
    <row r="2729">
      <c r="A2729" s="234" t="s">
        <v>4257</v>
      </c>
      <c r="B2729" s="234" t="str">
        <f>IFERROR(__xludf.DUMMYFUNCTION("""COMPUTED_VALUE"""),"LM Hub_SP_Itaqua_Zimba")</f>
        <v>LM Hub_SP_Itaqua_Zimba</v>
      </c>
      <c r="C2729" s="234" t="str">
        <f>IFERROR(__xludf.DUMMYFUNCTION("""COMPUTED_VALUE"""),"HUB-LSP-74")</f>
        <v>HUB-LSP-74</v>
      </c>
      <c r="D2729" s="234"/>
      <c r="E2729" s="237" t="str">
        <f>IFERROR(__xludf.DUMMYFUNCTION("""COMPUTED_VALUE"""),"LT0PCG01UD4G1")</f>
        <v>LT0PCG01UD4G1</v>
      </c>
      <c r="F2729" s="238" t="str">
        <f>IFERROR(__xludf.DUMMYFUNCTION("""COMPUTED_VALUE"""),"EPU6B00")</f>
        <v>EPU6B00</v>
      </c>
      <c r="G2729" s="238">
        <f>IFERROR(__xludf.DUMMYFUNCTION("""COMPUTED_VALUE"""),46007.22916666667)</f>
        <v>46007.22917</v>
      </c>
      <c r="H2729" s="238">
        <f>IFERROR(__xludf.DUMMYFUNCTION("""COMPUTED_VALUE"""),46007.3125)</f>
        <v>46007.3125</v>
      </c>
      <c r="I2729" s="237" t="str">
        <f t="shared" si="1"/>
        <v>Fora</v>
      </c>
      <c r="J2729" s="239">
        <v>119.99999999301508</v>
      </c>
    </row>
    <row r="2730">
      <c r="A2730" s="234" t="s">
        <v>277</v>
      </c>
      <c r="B2730" s="234" t="str">
        <f>IFERROR(__xludf.DUMMYFUNCTION("""COMPUTED_VALUE"""),"LM Hub_SP_Santos_Praia Grande")</f>
        <v>LM Hub_SP_Santos_Praia Grande</v>
      </c>
      <c r="C2730" s="234" t="str">
        <f>IFERROR(__xludf.DUMMYFUNCTION("""COMPUTED_VALUE"""),"HUB-LSP-09")</f>
        <v>HUB-LSP-09</v>
      </c>
      <c r="D2730" s="234">
        <f>IFERROR(__xludf.DUMMYFUNCTION("""COMPUTED_VALUE"""),28.0)</f>
        <v>28</v>
      </c>
      <c r="E2730" s="237" t="str">
        <f>IFERROR(__xludf.DUMMYFUNCTION("""COMPUTED_VALUE"""),"LT0PCG01UD4S2")</f>
        <v>LT0PCG01UD4S2</v>
      </c>
      <c r="F2730" s="238" t="str">
        <f>IFERROR(__xludf.DUMMYFUNCTION("""COMPUTED_VALUE"""),"FPE7J82")</f>
        <v>FPE7J82</v>
      </c>
      <c r="G2730" s="238">
        <f>IFERROR(__xludf.DUMMYFUNCTION("""COMPUTED_VALUE"""),46007.22916666667)</f>
        <v>46007.22917</v>
      </c>
      <c r="H2730" s="238">
        <f>IFERROR(__xludf.DUMMYFUNCTION("""COMPUTED_VALUE"""),46007.3125)</f>
        <v>46007.3125</v>
      </c>
      <c r="I2730" s="237" t="str">
        <f t="shared" si="1"/>
        <v>Fora</v>
      </c>
      <c r="J2730" s="239">
        <v>119.99999999301508</v>
      </c>
    </row>
    <row r="2731">
      <c r="A2731" s="234" t="s">
        <v>4258</v>
      </c>
      <c r="B2731" s="234" t="str">
        <f>IFERROR(__xludf.DUMMYFUNCTION("""COMPUTED_VALUE"""),"LM Hub_SP_São José dos Campos")</f>
        <v>LM Hub_SP_São José dos Campos</v>
      </c>
      <c r="C2731" s="234" t="str">
        <f>IFERROR(__xludf.DUMMYFUNCTION("""COMPUTED_VALUE"""),"HUB-LSP-04")</f>
        <v>HUB-LSP-04</v>
      </c>
      <c r="D2731" s="234"/>
      <c r="E2731" s="237" t="str">
        <f>IFERROR(__xludf.DUMMYFUNCTION("""COMPUTED_VALUE"""),"LT1PCG01UOSJ1")</f>
        <v>LT1PCG01UOSJ1</v>
      </c>
      <c r="F2731" s="234"/>
      <c r="G2731" s="238">
        <f>IFERROR(__xludf.DUMMYFUNCTION("""COMPUTED_VALUE"""),46007.22916666667)</f>
        <v>46007.22917</v>
      </c>
      <c r="H2731" s="238">
        <f>IFERROR(__xludf.DUMMYFUNCTION("""COMPUTED_VALUE"""),46007.3125)</f>
        <v>46007.3125</v>
      </c>
      <c r="I2731" s="237" t="str">
        <f t="shared" si="1"/>
        <v>Fora</v>
      </c>
      <c r="J2731" s="239">
        <v>119.00000000023283</v>
      </c>
    </row>
    <row r="2732">
      <c r="A2732" s="234" t="s">
        <v>4259</v>
      </c>
      <c r="B2732" s="234" t="str">
        <f>IFERROR(__xludf.DUMMYFUNCTION("""COMPUTED_VALUE"""),"LM Hub_SP_São Paulo_Mooca")</f>
        <v>LM Hub_SP_São Paulo_Mooca</v>
      </c>
      <c r="C2732" s="234" t="str">
        <f>IFERROR(__xludf.DUMMYFUNCTION("""COMPUTED_VALUE"""),"HUB-LSP-13")</f>
        <v>HUB-LSP-13</v>
      </c>
      <c r="D2732" s="234">
        <f>IFERROR(__xludf.DUMMYFUNCTION("""COMPUTED_VALUE"""),7.0)</f>
        <v>7</v>
      </c>
      <c r="E2732" s="237" t="str">
        <f>IFERROR(__xludf.DUMMYFUNCTION("""COMPUTED_VALUE"""),"LT0PCG01U8H51")</f>
        <v>LT0PCG01U8H51</v>
      </c>
      <c r="F2732" s="238" t="str">
        <f>IFERROR(__xludf.DUMMYFUNCTION("""COMPUTED_VALUE"""),"PEP9J38")</f>
        <v>PEP9J38</v>
      </c>
      <c r="G2732" s="238">
        <f>IFERROR(__xludf.DUMMYFUNCTION("""COMPUTED_VALUE"""),46007.22986111111)</f>
        <v>46007.22986</v>
      </c>
      <c r="H2732" s="238">
        <f>IFERROR(__xludf.DUMMYFUNCTION("""COMPUTED_VALUE"""),46007.3125)</f>
        <v>46007.3125</v>
      </c>
      <c r="I2732" s="237" t="str">
        <f t="shared" si="1"/>
        <v>Fora</v>
      </c>
      <c r="J2732" s="239">
        <v>597.0000000076834</v>
      </c>
    </row>
    <row r="2733">
      <c r="A2733" s="234" t="s">
        <v>279</v>
      </c>
      <c r="B2733" s="234" t="str">
        <f>IFERROR(__xludf.DUMMYFUNCTION("""COMPUTED_VALUE"""),"SoC_MG_Betim")</f>
        <v>SoC_MG_Betim</v>
      </c>
      <c r="C2733" s="234" t="str">
        <f>IFERROR(__xludf.DUMMYFUNCTION("""COMPUTED_VALUE"""),"SOC-MG2")</f>
        <v>SOC-MG2</v>
      </c>
      <c r="D2733" s="234">
        <f>IFERROR(__xludf.DUMMYFUNCTION("""COMPUTED_VALUE"""),48.0)</f>
        <v>48</v>
      </c>
      <c r="E2733" s="237" t="str">
        <f>IFERROR(__xludf.DUMMYFUNCTION("""COMPUTED_VALUE"""),"LT0PCG01UBS52")</f>
        <v>LT0PCG01UBS52</v>
      </c>
      <c r="F2733" s="238" t="str">
        <f>IFERROR(__xludf.DUMMYFUNCTION("""COMPUTED_VALUE"""),"STO4D24,SWV4F52")</f>
        <v>STO4D24,SWV4F52</v>
      </c>
      <c r="G2733" s="238">
        <f>IFERROR(__xludf.DUMMYFUNCTION("""COMPUTED_VALUE"""),46007.25208333333)</f>
        <v>46007.25208</v>
      </c>
      <c r="H2733" s="238">
        <f>IFERROR(__xludf.DUMMYFUNCTION("""COMPUTED_VALUE"""),46007.66666666667)</f>
        <v>46007.66667</v>
      </c>
      <c r="I2733" s="237" t="str">
        <f t="shared" si="1"/>
        <v>Fora</v>
      </c>
      <c r="J2733" s="239" t="e">
        <v>#VALUE!</v>
      </c>
    </row>
    <row r="2734">
      <c r="A2734" s="234" t="s">
        <v>4260</v>
      </c>
      <c r="B2734" s="234" t="str">
        <f>IFERROR(__xludf.DUMMYFUNCTION("""COMPUTED_VALUE"""),"Fanout Desconhecido")</f>
        <v>Fanout Desconhecido</v>
      </c>
      <c r="C2734" s="234" t="str">
        <f>IFERROR(__xludf.DUMMYFUNCTION("""COMPUTED_VALUE"""),"-")</f>
        <v>-</v>
      </c>
      <c r="D2734" s="234"/>
      <c r="E2734" s="237" t="str">
        <f>IFERROR(__xludf.DUMMYFUNCTION("""COMPUTED_VALUE"""),"LT0PCF01UC021")</f>
        <v>LT0PCF01UC021</v>
      </c>
      <c r="F2734" s="238" t="str">
        <f>IFERROR(__xludf.DUMMYFUNCTION("""COMPUTED_VALUE"""),"-")</f>
        <v>-</v>
      </c>
      <c r="G2734" s="238" t="str">
        <f>IFERROR(__xludf.DUMMYFUNCTION("""COMPUTED_VALUE"""),"-")</f>
        <v>-</v>
      </c>
      <c r="H2734" s="238" t="str">
        <f>IFERROR(__xludf.DUMMYFUNCTION("""COMPUTED_VALUE"""),"-")</f>
        <v>-</v>
      </c>
      <c r="I2734" s="237" t="str">
        <f t="shared" si="1"/>
        <v>Dentro</v>
      </c>
      <c r="J2734" s="239" t="e">
        <v>#VALUE!</v>
      </c>
    </row>
    <row r="2735">
      <c r="A2735" s="234" t="s">
        <v>4261</v>
      </c>
      <c r="B2735" s="234" t="str">
        <f>IFERROR(__xludf.DUMMYFUNCTION("""COMPUTED_VALUE"""),"Fanout Desconhecido")</f>
        <v>Fanout Desconhecido</v>
      </c>
      <c r="C2735" s="234" t="str">
        <f>IFERROR(__xludf.DUMMYFUNCTION("""COMPUTED_VALUE"""),"-")</f>
        <v>-</v>
      </c>
      <c r="D2735" s="234"/>
      <c r="E2735" s="237" t="str">
        <f>IFERROR(__xludf.DUMMYFUNCTION("""COMPUTED_VALUE"""),"LT0PCF01UETW1")</f>
        <v>LT0PCF01UETW1</v>
      </c>
      <c r="F2735" s="238" t="str">
        <f>IFERROR(__xludf.DUMMYFUNCTION("""COMPUTED_VALUE"""),"-")</f>
        <v>-</v>
      </c>
      <c r="G2735" s="238" t="str">
        <f>IFERROR(__xludf.DUMMYFUNCTION("""COMPUTED_VALUE"""),"-")</f>
        <v>-</v>
      </c>
      <c r="H2735" s="238" t="str">
        <f>IFERROR(__xludf.DUMMYFUNCTION("""COMPUTED_VALUE"""),"-")</f>
        <v>-</v>
      </c>
      <c r="I2735" s="237" t="str">
        <f t="shared" si="1"/>
        <v>Dentro</v>
      </c>
      <c r="J2735" s="239" t="e">
        <v>#VALUE!</v>
      </c>
    </row>
    <row r="2736">
      <c r="A2736" s="234" t="s">
        <v>4262</v>
      </c>
      <c r="B2736" s="234" t="str">
        <f>IFERROR(__xludf.DUMMYFUNCTION("""COMPUTED_VALUE"""),"Fanout Desconhecido")</f>
        <v>Fanout Desconhecido</v>
      </c>
      <c r="C2736" s="234" t="str">
        <f>IFERROR(__xludf.DUMMYFUNCTION("""COMPUTED_VALUE"""),"-")</f>
        <v>-</v>
      </c>
      <c r="D2736" s="234"/>
      <c r="E2736" s="237" t="str">
        <f>IFERROR(__xludf.DUMMYFUNCTION("""COMPUTED_VALUE"""),"LT1PCF01UOXW1")</f>
        <v>LT1PCF01UOXW1</v>
      </c>
      <c r="F2736" s="238" t="str">
        <f>IFERROR(__xludf.DUMMYFUNCTION("""COMPUTED_VALUE"""),"-")</f>
        <v>-</v>
      </c>
      <c r="G2736" s="238" t="str">
        <f>IFERROR(__xludf.DUMMYFUNCTION("""COMPUTED_VALUE"""),"-")</f>
        <v>-</v>
      </c>
      <c r="H2736" s="238" t="str">
        <f>IFERROR(__xludf.DUMMYFUNCTION("""COMPUTED_VALUE"""),"-")</f>
        <v>-</v>
      </c>
      <c r="I2736" s="237" t="str">
        <f t="shared" si="1"/>
        <v>Dentro</v>
      </c>
      <c r="J2736" s="239" t="e">
        <v>#VALUE!</v>
      </c>
    </row>
    <row r="2737">
      <c r="A2737" s="234" t="s">
        <v>4263</v>
      </c>
      <c r="B2737" s="234" t="str">
        <f>IFERROR(__xludf.DUMMYFUNCTION("""COMPUTED_VALUE"""),"Fanout Desconhecido")</f>
        <v>Fanout Desconhecido</v>
      </c>
      <c r="C2737" s="234" t="str">
        <f>IFERROR(__xludf.DUMMYFUNCTION("""COMPUTED_VALUE"""),"-")</f>
        <v>-</v>
      </c>
      <c r="D2737" s="234"/>
      <c r="E2737" s="237" t="str">
        <f>IFERROR(__xludf.DUMMYFUNCTION("""COMPUTED_VALUE"""),"LT0PCF01UC0O1")</f>
        <v>LT0PCF01UC0O1</v>
      </c>
      <c r="F2737" s="238" t="str">
        <f>IFERROR(__xludf.DUMMYFUNCTION("""COMPUTED_VALUE"""),"-")</f>
        <v>-</v>
      </c>
      <c r="G2737" s="238" t="str">
        <f>IFERROR(__xludf.DUMMYFUNCTION("""COMPUTED_VALUE"""),"-")</f>
        <v>-</v>
      </c>
      <c r="H2737" s="238" t="str">
        <f>IFERROR(__xludf.DUMMYFUNCTION("""COMPUTED_VALUE"""),"-")</f>
        <v>-</v>
      </c>
      <c r="I2737" s="237" t="str">
        <f t="shared" si="1"/>
        <v>Dentro</v>
      </c>
      <c r="J2737" s="239">
        <v>119.99999999301508</v>
      </c>
    </row>
    <row r="2738">
      <c r="A2738" s="234" t="s">
        <v>4264</v>
      </c>
      <c r="B2738" s="234" t="str">
        <f>IFERROR(__xludf.DUMMYFUNCTION("""COMPUTED_VALUE"""),"SoC_RS_Gravataí_02")</f>
        <v>SoC_RS_Gravataí_02</v>
      </c>
      <c r="C2738" s="234" t="str">
        <f>IFERROR(__xludf.DUMMYFUNCTION("""COMPUTED_VALUE"""),"SOC-RS2")</f>
        <v>SOC-RS2</v>
      </c>
      <c r="D2738" s="234">
        <f>IFERROR(__xludf.DUMMYFUNCTION("""COMPUTED_VALUE"""),28.0)</f>
        <v>28</v>
      </c>
      <c r="E2738" s="237" t="str">
        <f>IFERROR(__xludf.DUMMYFUNCTION("""COMPUTED_VALUE"""),"LT0PCG01UIA21")</f>
        <v>LT0PCG01UIA21</v>
      </c>
      <c r="F2738" s="238" t="str">
        <f>IFERROR(__xludf.DUMMYFUNCTION("""COMPUTED_VALUE"""),"GBW5A22,STX0D54")</f>
        <v>GBW5A22,STX0D54</v>
      </c>
      <c r="G2738" s="238">
        <f>IFERROR(__xludf.DUMMYFUNCTION("""COMPUTED_VALUE"""),46007.75)</f>
        <v>46007.75</v>
      </c>
      <c r="H2738" s="238">
        <f>IFERROR(__xludf.DUMMYFUNCTION("""COMPUTED_VALUE"""),46007.83333333333)</f>
        <v>46007.83333</v>
      </c>
      <c r="I2738" s="237" t="str">
        <f t="shared" si="1"/>
        <v>Fora</v>
      </c>
      <c r="J2738" s="239">
        <v>119.99999999301508</v>
      </c>
    </row>
    <row r="2739">
      <c r="A2739" s="234" t="s">
        <v>4265</v>
      </c>
      <c r="B2739" s="234" t="str">
        <f>IFERROR(__xludf.DUMMYFUNCTION("""COMPUTED_VALUE"""),"LM Hub_SP_Parque Novo Mundo")</f>
        <v>LM Hub_SP_Parque Novo Mundo</v>
      </c>
      <c r="C2739" s="234" t="str">
        <f>IFERROR(__xludf.DUMMYFUNCTION("""COMPUTED_VALUE"""),"HUB-LSP-89")</f>
        <v>HUB-LSP-89</v>
      </c>
      <c r="D2739" s="234">
        <f>IFERROR(__xludf.DUMMYFUNCTION("""COMPUTED_VALUE"""),32.0)</f>
        <v>32</v>
      </c>
      <c r="E2739" s="237" t="str">
        <f>IFERROR(__xludf.DUMMYFUNCTION("""COMPUTED_VALUE"""),"LT0PCG01UCUV1")</f>
        <v>LT0PCG01UCUV1</v>
      </c>
      <c r="F2739" s="238" t="str">
        <f>IFERROR(__xludf.DUMMYFUNCTION("""COMPUTED_VALUE"""),"CKH5G56,EMU0I83")</f>
        <v>CKH5G56,EMU0I83</v>
      </c>
      <c r="G2739" s="238">
        <f>IFERROR(__xludf.DUMMYFUNCTION("""COMPUTED_VALUE"""),46007.85416666667)</f>
        <v>46007.85417</v>
      </c>
      <c r="H2739" s="238">
        <f>IFERROR(__xludf.DUMMYFUNCTION("""COMPUTED_VALUE"""),46007.9375)</f>
        <v>46007.9375</v>
      </c>
      <c r="I2739" s="237" t="str">
        <f t="shared" si="1"/>
        <v>Fora</v>
      </c>
      <c r="J2739" s="239">
        <v>538.9999999967404</v>
      </c>
    </row>
    <row r="2740">
      <c r="A2740" s="234" t="s">
        <v>4266</v>
      </c>
      <c r="B2740" s="234" t="str">
        <f>IFERROR(__xludf.DUMMYFUNCTION("""COMPUTED_VALUE"""),"SoC_GO_Goiânia_02")</f>
        <v>SoC_GO_Goiânia_02</v>
      </c>
      <c r="C2740" s="234" t="str">
        <f>IFERROR(__xludf.DUMMYFUNCTION("""COMPUTED_VALUE"""),"SOC-GO2")</f>
        <v>SOC-GO2</v>
      </c>
      <c r="D2740" s="234">
        <f>IFERROR(__xludf.DUMMYFUNCTION("""COMPUTED_VALUE"""),89.0)</f>
        <v>89</v>
      </c>
      <c r="E2740" s="237" t="str">
        <f>IFERROR(__xludf.DUMMYFUNCTION("""COMPUTED_VALUE"""),"LT0PCG01UI723")</f>
        <v>LT0PCG01UI723</v>
      </c>
      <c r="F2740" s="234"/>
      <c r="G2740" s="238">
        <f>IFERROR(__xludf.DUMMYFUNCTION("""COMPUTED_VALUE"""),46007.584027777775)</f>
        <v>46007.58403</v>
      </c>
      <c r="H2740" s="238">
        <f>IFERROR(__xludf.DUMMYFUNCTION("""COMPUTED_VALUE"""),46007.95833333333)</f>
        <v>46007.95833</v>
      </c>
      <c r="I2740" s="237" t="str">
        <f t="shared" si="1"/>
        <v>Fora</v>
      </c>
      <c r="J2740" s="239">
        <v>536.9999999902211</v>
      </c>
    </row>
    <row r="2741">
      <c r="A2741" s="234" t="s">
        <v>4267</v>
      </c>
      <c r="B2741" s="234" t="str">
        <f>IFERROR(__xludf.DUMMYFUNCTION("""COMPUTED_VALUE"""),"SoC_MG_Betim")</f>
        <v>SoC_MG_Betim</v>
      </c>
      <c r="C2741" s="234" t="str">
        <f>IFERROR(__xludf.DUMMYFUNCTION("""COMPUTED_VALUE"""),"SOC-MG2")</f>
        <v>SOC-MG2</v>
      </c>
      <c r="D2741" s="234">
        <f>IFERROR(__xludf.DUMMYFUNCTION("""COMPUTED_VALUE"""),41.0)</f>
        <v>41</v>
      </c>
      <c r="E2741" s="237" t="str">
        <f>IFERROR(__xludf.DUMMYFUNCTION("""COMPUTED_VALUE"""),"LT0PCG01UBSL2")</f>
        <v>LT0PCG01UBSL2</v>
      </c>
      <c r="F2741" s="238" t="str">
        <f>IFERROR(__xludf.DUMMYFUNCTION("""COMPUTED_VALUE"""),"SVD8C95,SWW6E22")</f>
        <v>SVD8C95,SWW6E22</v>
      </c>
      <c r="G2741" s="238">
        <f>IFERROR(__xludf.DUMMYFUNCTION("""COMPUTED_VALUE"""),46007.58541666667)</f>
        <v>46007.58542</v>
      </c>
      <c r="H2741" s="238">
        <f>IFERROR(__xludf.DUMMYFUNCTION("""COMPUTED_VALUE"""),46007.95833333333)</f>
        <v>46007.95833</v>
      </c>
      <c r="I2741" s="237" t="str">
        <f t="shared" si="1"/>
        <v>Fora</v>
      </c>
      <c r="J2741" s="239">
        <v>536.9999999902211</v>
      </c>
    </row>
    <row r="2742">
      <c r="A2742" s="234" t="s">
        <v>4268</v>
      </c>
      <c r="B2742" s="234" t="str">
        <f>IFERROR(__xludf.DUMMYFUNCTION("""COMPUTED_VALUE"""),"SoC_MG_Betim")</f>
        <v>SoC_MG_Betim</v>
      </c>
      <c r="C2742" s="234" t="str">
        <f>IFERROR(__xludf.DUMMYFUNCTION("""COMPUTED_VALUE"""),"SOC-MG2")</f>
        <v>SOC-MG2</v>
      </c>
      <c r="D2742" s="234">
        <f>IFERROR(__xludf.DUMMYFUNCTION("""COMPUTED_VALUE"""),19.0)</f>
        <v>19</v>
      </c>
      <c r="E2742" s="237" t="str">
        <f>IFERROR(__xludf.DUMMYFUNCTION("""COMPUTED_VALUE"""),"LT0PCG01UBST6")</f>
        <v>LT0PCG01UBST6</v>
      </c>
      <c r="F2742" s="238" t="str">
        <f>IFERROR(__xludf.DUMMYFUNCTION("""COMPUTED_VALUE"""),"FVV1B52,STW1J68")</f>
        <v>FVV1B52,STW1J68</v>
      </c>
      <c r="G2742" s="238">
        <f>IFERROR(__xludf.DUMMYFUNCTION("""COMPUTED_VALUE"""),46007.58541666667)</f>
        <v>46007.58542</v>
      </c>
      <c r="H2742" s="238">
        <f>IFERROR(__xludf.DUMMYFUNCTION("""COMPUTED_VALUE"""),46007.95833333333)</f>
        <v>46007.95833</v>
      </c>
      <c r="I2742" s="237" t="str">
        <f t="shared" si="1"/>
        <v>Fora</v>
      </c>
      <c r="J2742" s="239">
        <v>536.9999999902211</v>
      </c>
    </row>
    <row r="2743">
      <c r="A2743" s="234" t="s">
        <v>4269</v>
      </c>
      <c r="B2743" s="234" t="str">
        <f>IFERROR(__xludf.DUMMYFUNCTION("""COMPUTED_VALUE"""),"SoC_MG_Betim")</f>
        <v>SoC_MG_Betim</v>
      </c>
      <c r="C2743" s="234" t="str">
        <f>IFERROR(__xludf.DUMMYFUNCTION("""COMPUTED_VALUE"""),"SOC-MG2")</f>
        <v>SOC-MG2</v>
      </c>
      <c r="D2743" s="234">
        <f>IFERROR(__xludf.DUMMYFUNCTION("""COMPUTED_VALUE"""),18.0)</f>
        <v>18</v>
      </c>
      <c r="E2743" s="237" t="str">
        <f>IFERROR(__xludf.DUMMYFUNCTION("""COMPUTED_VALUE"""),"LT0PCG01UBSJ1")</f>
        <v>LT0PCG01UBSJ1</v>
      </c>
      <c r="F2743" s="238" t="str">
        <f>IFERROR(__xludf.DUMMYFUNCTION("""COMPUTED_VALUE"""),"SWX3E45,DVS4J05")</f>
        <v>SWX3E45,DVS4J05</v>
      </c>
      <c r="G2743" s="238">
        <f>IFERROR(__xludf.DUMMYFUNCTION("""COMPUTED_VALUE"""),46007.58541666667)</f>
        <v>46007.58542</v>
      </c>
      <c r="H2743" s="238">
        <f>IFERROR(__xludf.DUMMYFUNCTION("""COMPUTED_VALUE"""),46007.95833333333)</f>
        <v>46007.95833</v>
      </c>
      <c r="I2743" s="237" t="str">
        <f t="shared" si="1"/>
        <v>Fora</v>
      </c>
      <c r="J2743" s="239">
        <v>360.0</v>
      </c>
    </row>
    <row r="2744">
      <c r="A2744" s="234" t="s">
        <v>4270</v>
      </c>
      <c r="B2744" s="234" t="str">
        <f>IFERROR(__xludf.DUMMYFUNCTION("""COMPUTED_VALUE"""),"SoC_RJ_Duque de Caxias")</f>
        <v>SoC_RJ_Duque de Caxias</v>
      </c>
      <c r="C2744" s="234" t="str">
        <f>IFERROR(__xludf.DUMMYFUNCTION("""COMPUTED_VALUE"""),"SOC-RJ2")</f>
        <v>SOC-RJ2</v>
      </c>
      <c r="D2744" s="234">
        <f>IFERROR(__xludf.DUMMYFUNCTION("""COMPUTED_VALUE"""),12.0)</f>
        <v>12</v>
      </c>
      <c r="E2744" s="237" t="str">
        <f>IFERROR(__xludf.DUMMYFUNCTION("""COMPUTED_VALUE"""),"LT0PCG01UEAO1")</f>
        <v>LT0PCG01UEAO1</v>
      </c>
      <c r="F2744" s="238" t="str">
        <f>IFERROR(__xludf.DUMMYFUNCTION("""COMPUTED_VALUE"""),"UFV3D66,DKP0140")</f>
        <v>UFV3D66,DKP0140</v>
      </c>
      <c r="G2744" s="238">
        <f>IFERROR(__xludf.DUMMYFUNCTION("""COMPUTED_VALUE"""),46007.70833333333)</f>
        <v>46007.70833</v>
      </c>
      <c r="H2744" s="238">
        <f>IFERROR(__xludf.DUMMYFUNCTION("""COMPUTED_VALUE"""),46007.95833333333)</f>
        <v>46007.95833</v>
      </c>
      <c r="I2744" s="237" t="str">
        <f t="shared" si="1"/>
        <v>Fora</v>
      </c>
      <c r="J2744" s="239">
        <v>119.99999999301508</v>
      </c>
    </row>
    <row r="2745">
      <c r="A2745" s="234" t="s">
        <v>4271</v>
      </c>
      <c r="B2745" s="234" t="str">
        <f>IFERROR(__xludf.DUMMYFUNCTION("""COMPUTED_VALUE"""),"LM Hub_SP_Jardim Adriana")</f>
        <v>LM Hub_SP_Jardim Adriana</v>
      </c>
      <c r="C2745" s="234" t="str">
        <f>IFERROR(__xludf.DUMMYFUNCTION("""COMPUTED_VALUE"""),"HUB-LSP-12")</f>
        <v>HUB-LSP-12</v>
      </c>
      <c r="D2745" s="234">
        <f>IFERROR(__xludf.DUMMYFUNCTION("""COMPUTED_VALUE"""),12.0)</f>
        <v>12</v>
      </c>
      <c r="E2745" s="237" t="str">
        <f>IFERROR(__xludf.DUMMYFUNCTION("""COMPUTED_VALUE"""),"LT0PCG01UBVE1")</f>
        <v>LT0PCG01UBVE1</v>
      </c>
      <c r="F2745" s="238" t="str">
        <f>IFERROR(__xludf.DUMMYFUNCTION("""COMPUTED_VALUE"""),"CSK0A38")</f>
        <v>CSK0A38</v>
      </c>
      <c r="G2745" s="238">
        <f>IFERROR(__xludf.DUMMYFUNCTION("""COMPUTED_VALUE"""),46007.875)</f>
        <v>46007.875</v>
      </c>
      <c r="H2745" s="238">
        <f>IFERROR(__xludf.DUMMYFUNCTION("""COMPUTED_VALUE"""),46007.95833333333)</f>
        <v>46007.95833</v>
      </c>
      <c r="I2745" s="237" t="str">
        <f t="shared" si="1"/>
        <v>Fora</v>
      </c>
      <c r="J2745" s="239">
        <v>120.00000001396984</v>
      </c>
    </row>
    <row r="2746">
      <c r="A2746" s="234" t="s">
        <v>4272</v>
      </c>
      <c r="B2746" s="234" t="str">
        <f>IFERROR(__xludf.DUMMYFUNCTION("""COMPUTED_VALUE"""),"LM Hub_SP_Jurubatuba")</f>
        <v>LM Hub_SP_Jurubatuba</v>
      </c>
      <c r="C2746" s="234" t="str">
        <f>IFERROR(__xludf.DUMMYFUNCTION("""COMPUTED_VALUE"""),"HUB-LSP-16")</f>
        <v>HUB-LSP-16</v>
      </c>
      <c r="D2746" s="234">
        <f>IFERROR(__xludf.DUMMYFUNCTION("""COMPUTED_VALUE"""),15.0)</f>
        <v>15</v>
      </c>
      <c r="E2746" s="237" t="str">
        <f>IFERROR(__xludf.DUMMYFUNCTION("""COMPUTED_VALUE"""),"LT0PCG01UBVW1")</f>
        <v>LT0PCG01UBVW1</v>
      </c>
      <c r="F2746" s="238" t="str">
        <f>IFERROR(__xludf.DUMMYFUNCTION("""COMPUTED_VALUE"""),"MQM6I27,FXB7G01")</f>
        <v>MQM6I27,FXB7G01</v>
      </c>
      <c r="G2746" s="238">
        <f>IFERROR(__xludf.DUMMYFUNCTION("""COMPUTED_VALUE"""),46007.89583333333)</f>
        <v>46007.89583</v>
      </c>
      <c r="H2746" s="238">
        <f>IFERROR(__xludf.DUMMYFUNCTION("""COMPUTED_VALUE"""),46007.97916666667)</f>
        <v>46007.97917</v>
      </c>
      <c r="I2746" s="237" t="str">
        <f t="shared" si="1"/>
        <v>Fora</v>
      </c>
      <c r="J2746" s="239">
        <v>120.00000001396984</v>
      </c>
    </row>
    <row r="2747">
      <c r="A2747" s="234" t="s">
        <v>4273</v>
      </c>
      <c r="B2747" s="234" t="str">
        <f>IFERROR(__xludf.DUMMYFUNCTION("""COMPUTED_VALUE"""),"LM Hub_SP_Santos_Praia Grande")</f>
        <v>LM Hub_SP_Santos_Praia Grande</v>
      </c>
      <c r="C2747" s="234" t="str">
        <f>IFERROR(__xludf.DUMMYFUNCTION("""COMPUTED_VALUE"""),"HUB-LSP-09")</f>
        <v>HUB-LSP-09</v>
      </c>
      <c r="D2747" s="234">
        <f>IFERROR(__xludf.DUMMYFUNCTION("""COMPUTED_VALUE"""),28.0)</f>
        <v>28</v>
      </c>
      <c r="E2747" s="237" t="str">
        <f>IFERROR(__xludf.DUMMYFUNCTION("""COMPUTED_VALUE"""),"LT0PCG01UBZ31")</f>
        <v>LT0PCG01UBZ31</v>
      </c>
      <c r="F2747" s="238" t="str">
        <f>IFERROR(__xludf.DUMMYFUNCTION("""COMPUTED_VALUE"""),"DLG7530,TJX2J70")</f>
        <v>DLG7530,TJX2J70</v>
      </c>
      <c r="G2747" s="238">
        <f>IFERROR(__xludf.DUMMYFUNCTION("""COMPUTED_VALUE"""),46007.89583333333)</f>
        <v>46007.89583</v>
      </c>
      <c r="H2747" s="238">
        <f>IFERROR(__xludf.DUMMYFUNCTION("""COMPUTED_VALUE"""),46007.97916666667)</f>
        <v>46007.97917</v>
      </c>
      <c r="I2747" s="237" t="str">
        <f t="shared" si="1"/>
        <v>Fora</v>
      </c>
      <c r="J2747" s="239">
        <v>118.00000000745058</v>
      </c>
    </row>
    <row r="2748">
      <c r="A2748" s="234" t="s">
        <v>4274</v>
      </c>
      <c r="B2748" s="234" t="str">
        <f>IFERROR(__xludf.DUMMYFUNCTION("""COMPUTED_VALUE"""),"LM Hub_SP_São José dos Campos")</f>
        <v>LM Hub_SP_São José dos Campos</v>
      </c>
      <c r="C2748" s="234" t="str">
        <f>IFERROR(__xludf.DUMMYFUNCTION("""COMPUTED_VALUE"""),"HUB-LSP-04")</f>
        <v>HUB-LSP-04</v>
      </c>
      <c r="D2748" s="234">
        <f>IFERROR(__xludf.DUMMYFUNCTION("""COMPUTED_VALUE"""),21.0)</f>
        <v>21</v>
      </c>
      <c r="E2748" s="237" t="str">
        <f>IFERROR(__xludf.DUMMYFUNCTION("""COMPUTED_VALUE"""),"LT0PCG01U88P1")</f>
        <v>LT0PCG01U88P1</v>
      </c>
      <c r="F2748" s="238" t="str">
        <f>IFERROR(__xludf.DUMMYFUNCTION("""COMPUTED_VALUE"""),"TIR7J78")</f>
        <v>TIR7J78</v>
      </c>
      <c r="G2748" s="238">
        <f>IFERROR(__xludf.DUMMYFUNCTION("""COMPUTED_VALUE"""),46007.89722222222)</f>
        <v>46007.89722</v>
      </c>
      <c r="H2748" s="238">
        <f>IFERROR(__xludf.DUMMYFUNCTION("""COMPUTED_VALUE"""),46007.97916666667)</f>
        <v>46007.97917</v>
      </c>
      <c r="I2748" s="237" t="str">
        <f t="shared" si="1"/>
        <v>Fora</v>
      </c>
      <c r="J2748" s="239">
        <v>118.99999998975545</v>
      </c>
    </row>
    <row r="2749">
      <c r="A2749" s="234" t="s">
        <v>4275</v>
      </c>
      <c r="B2749" s="234" t="str">
        <f>IFERROR(__xludf.DUMMYFUNCTION("""COMPUTED_VALUE"""),"LM Hub_SP_Guarujá")</f>
        <v>LM Hub_SP_Guarujá</v>
      </c>
      <c r="C2749" s="234" t="str">
        <f>IFERROR(__xludf.DUMMYFUNCTION("""COMPUTED_VALUE"""),"HUB-LSP-06")</f>
        <v>HUB-LSP-06</v>
      </c>
      <c r="D2749" s="234">
        <f>IFERROR(__xludf.DUMMYFUNCTION("""COMPUTED_VALUE"""),5.0)</f>
        <v>5</v>
      </c>
      <c r="E2749" s="237" t="str">
        <f>IFERROR(__xludf.DUMMYFUNCTION("""COMPUTED_VALUE"""),"LT0PCG01UBY31")</f>
        <v>LT0PCG01UBY31</v>
      </c>
      <c r="F2749" s="238" t="str">
        <f>IFERROR(__xludf.DUMMYFUNCTION("""COMPUTED_VALUE"""),"TJN5H17")</f>
        <v>TJN5H17</v>
      </c>
      <c r="G2749" s="238">
        <f>IFERROR(__xludf.DUMMYFUNCTION("""COMPUTED_VALUE"""),46007.91666666667)</f>
        <v>46007.91667</v>
      </c>
      <c r="H2749" s="238">
        <f>IFERROR(__xludf.DUMMYFUNCTION("""COMPUTED_VALUE"""),46007.99930555555)</f>
        <v>46007.99931</v>
      </c>
      <c r="I2749" s="237" t="str">
        <f t="shared" si="1"/>
        <v>Fora</v>
      </c>
      <c r="J2749" s="239">
        <v>119.99999999301508</v>
      </c>
    </row>
    <row r="2750">
      <c r="A2750" s="234" t="s">
        <v>4276</v>
      </c>
      <c r="B2750" s="234" t="str">
        <f>IFERROR(__xludf.DUMMYFUNCTION("""COMPUTED_VALUE"""),"LM Hub_RS_Porto Alegre_Floresta")</f>
        <v>LM Hub_RS_Porto Alegre_Floresta</v>
      </c>
      <c r="C2750" s="234" t="str">
        <f>IFERROR(__xludf.DUMMYFUNCTION("""COMPUTED_VALUE"""),"HUB-LRS-03")</f>
        <v>HUB-LRS-03</v>
      </c>
      <c r="D2750" s="234">
        <f>IFERROR(__xludf.DUMMYFUNCTION("""COMPUTED_VALUE"""),22.0)</f>
        <v>22</v>
      </c>
      <c r="E2750" s="237" t="str">
        <f>IFERROR(__xludf.DUMMYFUNCTION("""COMPUTED_VALUE"""),"LT0PCG01UIPA1")</f>
        <v>LT0PCG01UIPA1</v>
      </c>
      <c r="F2750" s="238" t="str">
        <f>IFERROR(__xludf.DUMMYFUNCTION("""COMPUTED_VALUE"""),"SXU6E06,SXT4I87")</f>
        <v>SXU6E06,SXT4I87</v>
      </c>
      <c r="G2750" s="238">
        <f>IFERROR(__xludf.DUMMYFUNCTION("""COMPUTED_VALUE"""),46007.91666666667)</f>
        <v>46007.91667</v>
      </c>
      <c r="H2750" s="238">
        <f>IFERROR(__xludf.DUMMYFUNCTION("""COMPUTED_VALUE"""),46008.0)</f>
        <v>46008</v>
      </c>
      <c r="I2750" s="237" t="str">
        <f t="shared" si="1"/>
        <v>Fora</v>
      </c>
      <c r="J2750" s="239">
        <v>119.99999999301508</v>
      </c>
    </row>
    <row r="2751">
      <c r="A2751" s="234" t="s">
        <v>4277</v>
      </c>
      <c r="B2751" s="234" t="str">
        <f>IFERROR(__xludf.DUMMYFUNCTION("""COMPUTED_VALUE"""),"LM Hub_SP_Artur Alvim")</f>
        <v>LM Hub_SP_Artur Alvim</v>
      </c>
      <c r="C2751" s="234" t="str">
        <f>IFERROR(__xludf.DUMMYFUNCTION("""COMPUTED_VALUE"""),"HUB-LSP-07")</f>
        <v>HUB-LSP-07</v>
      </c>
      <c r="D2751" s="234">
        <f>IFERROR(__xludf.DUMMYFUNCTION("""COMPUTED_VALUE"""),14.0)</f>
        <v>14</v>
      </c>
      <c r="E2751" s="237" t="str">
        <f>IFERROR(__xludf.DUMMYFUNCTION("""COMPUTED_VALUE"""),"LT0PCG01UBV91")</f>
        <v>LT0PCG01UBV91</v>
      </c>
      <c r="F2751" s="238" t="str">
        <f>IFERROR(__xludf.DUMMYFUNCTION("""COMPUTED_VALUE"""),"EBS3J90")</f>
        <v>EBS3J90</v>
      </c>
      <c r="G2751" s="238">
        <f>IFERROR(__xludf.DUMMYFUNCTION("""COMPUTED_VALUE"""),46007.91666666667)</f>
        <v>46007.91667</v>
      </c>
      <c r="H2751" s="238">
        <f>IFERROR(__xludf.DUMMYFUNCTION("""COMPUTED_VALUE"""),46008.0)</f>
        <v>46008</v>
      </c>
      <c r="I2751" s="237" t="str">
        <f t="shared" si="1"/>
        <v>Fora</v>
      </c>
      <c r="J2751" s="239">
        <v>119.99999999301508</v>
      </c>
    </row>
    <row r="2752">
      <c r="A2752" s="234" t="s">
        <v>4278</v>
      </c>
      <c r="B2752" s="234" t="str">
        <f>IFERROR(__xludf.DUMMYFUNCTION("""COMPUTED_VALUE"""),"LM Hub_SP_Barueri_01")</f>
        <v>LM Hub_SP_Barueri_01</v>
      </c>
      <c r="C2752" s="234" t="str">
        <f>IFERROR(__xludf.DUMMYFUNCTION("""COMPUTED_VALUE"""),"HUB-LSP-81")</f>
        <v>HUB-LSP-81</v>
      </c>
      <c r="D2752" s="234">
        <f>IFERROR(__xludf.DUMMYFUNCTION("""COMPUTED_VALUE"""),8.0)</f>
        <v>8</v>
      </c>
      <c r="E2752" s="237" t="str">
        <f>IFERROR(__xludf.DUMMYFUNCTION("""COMPUTED_VALUE"""),"LT0PCG01UHKY1")</f>
        <v>LT0PCG01UHKY1</v>
      </c>
      <c r="F2752" s="238" t="str">
        <f>IFERROR(__xludf.DUMMYFUNCTION("""COMPUTED_VALUE"""),"FNY8F71,TMH5F48")</f>
        <v>FNY8F71,TMH5F48</v>
      </c>
      <c r="G2752" s="238">
        <f>IFERROR(__xludf.DUMMYFUNCTION("""COMPUTED_VALUE"""),46007.91666666667)</f>
        <v>46007.91667</v>
      </c>
      <c r="H2752" s="238">
        <f>IFERROR(__xludf.DUMMYFUNCTION("""COMPUTED_VALUE"""),46008.0)</f>
        <v>46008</v>
      </c>
      <c r="I2752" s="237" t="str">
        <f t="shared" si="1"/>
        <v>Fora</v>
      </c>
      <c r="J2752" s="239">
        <v>119.99999999301508</v>
      </c>
    </row>
    <row r="2753">
      <c r="A2753" s="234" t="s">
        <v>4279</v>
      </c>
      <c r="B2753" s="234" t="str">
        <f>IFERROR(__xludf.DUMMYFUNCTION("""COMPUTED_VALUE"""),"LM Hub_SP_Itapevi")</f>
        <v>LM Hub_SP_Itapevi</v>
      </c>
      <c r="C2753" s="234" t="str">
        <f>IFERROR(__xludf.DUMMYFUNCTION("""COMPUTED_VALUE"""),"HUB-LSP-41")</f>
        <v>HUB-LSP-41</v>
      </c>
      <c r="D2753" s="234">
        <f>IFERROR(__xludf.DUMMYFUNCTION("""COMPUTED_VALUE"""),6.0)</f>
        <v>6</v>
      </c>
      <c r="E2753" s="237" t="str">
        <f>IFERROR(__xludf.DUMMYFUNCTION("""COMPUTED_VALUE"""),"LT0PCG01UBWJ1")</f>
        <v>LT0PCG01UBWJ1</v>
      </c>
      <c r="F2753" s="238" t="str">
        <f>IFERROR(__xludf.DUMMYFUNCTION("""COMPUTED_VALUE"""),"DPR5J10")</f>
        <v>DPR5J10</v>
      </c>
      <c r="G2753" s="238">
        <f>IFERROR(__xludf.DUMMYFUNCTION("""COMPUTED_VALUE"""),46007.91666666667)</f>
        <v>46007.91667</v>
      </c>
      <c r="H2753" s="238">
        <f>IFERROR(__xludf.DUMMYFUNCTION("""COMPUTED_VALUE"""),46008.0)</f>
        <v>46008</v>
      </c>
      <c r="I2753" s="237" t="str">
        <f t="shared" si="1"/>
        <v>Fora</v>
      </c>
      <c r="J2753" s="239">
        <v>119.99999999301508</v>
      </c>
    </row>
    <row r="2754">
      <c r="A2754" s="234" t="s">
        <v>4280</v>
      </c>
      <c r="B2754" s="234" t="str">
        <f>IFERROR(__xludf.DUMMYFUNCTION("""COMPUTED_VALUE"""),"LM Hub_SP_Limeira_Campo Belo")</f>
        <v>LM Hub_SP_Limeira_Campo Belo</v>
      </c>
      <c r="C2754" s="234" t="str">
        <f>IFERROR(__xludf.DUMMYFUNCTION("""COMPUTED_VALUE"""),"HUB-LSP-24")</f>
        <v>HUB-LSP-24</v>
      </c>
      <c r="D2754" s="234">
        <f>IFERROR(__xludf.DUMMYFUNCTION("""COMPUTED_VALUE"""),38.0)</f>
        <v>38</v>
      </c>
      <c r="E2754" s="237" t="str">
        <f>IFERROR(__xludf.DUMMYFUNCTION("""COMPUTED_VALUE"""),"LT0PCG01UBZQ1")</f>
        <v>LT0PCG01UBZQ1</v>
      </c>
      <c r="F2754" s="238" t="str">
        <f>IFERROR(__xludf.DUMMYFUNCTION("""COMPUTED_VALUE"""),"FNU0D51,RXK7160")</f>
        <v>FNU0D51,RXK7160</v>
      </c>
      <c r="G2754" s="238">
        <f>IFERROR(__xludf.DUMMYFUNCTION("""COMPUTED_VALUE"""),46007.91666666667)</f>
        <v>46007.91667</v>
      </c>
      <c r="H2754" s="238">
        <f>IFERROR(__xludf.DUMMYFUNCTION("""COMPUTED_VALUE"""),46008.0)</f>
        <v>46008</v>
      </c>
      <c r="I2754" s="237" t="str">
        <f t="shared" si="1"/>
        <v>Fora</v>
      </c>
      <c r="J2754" s="239">
        <v>119.99999999301508</v>
      </c>
    </row>
    <row r="2755">
      <c r="A2755" s="234" t="s">
        <v>4281</v>
      </c>
      <c r="B2755" s="234" t="str">
        <f>IFERROR(__xludf.DUMMYFUNCTION("""COMPUTED_VALUE"""),"LM Hub_SP_Mauá")</f>
        <v>LM Hub_SP_Mauá</v>
      </c>
      <c r="C2755" s="234" t="str">
        <f>IFERROR(__xludf.DUMMYFUNCTION("""COMPUTED_VALUE"""),"HUB-LSP-64")</f>
        <v>HUB-LSP-64</v>
      </c>
      <c r="D2755" s="234"/>
      <c r="E2755" s="237" t="str">
        <f>IFERROR(__xludf.DUMMYFUNCTION("""COMPUTED_VALUE"""),"LT0PCG01UBWZ1")</f>
        <v>LT0PCG01UBWZ1</v>
      </c>
      <c r="F2755" s="238" t="str">
        <f>IFERROR(__xludf.DUMMYFUNCTION("""COMPUTED_VALUE"""),"AUH5C55")</f>
        <v>AUH5C55</v>
      </c>
      <c r="G2755" s="238">
        <f>IFERROR(__xludf.DUMMYFUNCTION("""COMPUTED_VALUE"""),46007.91666666667)</f>
        <v>46007.91667</v>
      </c>
      <c r="H2755" s="238">
        <f>IFERROR(__xludf.DUMMYFUNCTION("""COMPUTED_VALUE"""),46008.0)</f>
        <v>46008</v>
      </c>
      <c r="I2755" s="237" t="str">
        <f t="shared" si="1"/>
        <v>Fora</v>
      </c>
      <c r="J2755" s="239">
        <v>119.99999999301508</v>
      </c>
    </row>
    <row r="2756">
      <c r="A2756" s="234" t="s">
        <v>4282</v>
      </c>
      <c r="B2756" s="234" t="str">
        <f>IFERROR(__xludf.DUMMYFUNCTION("""COMPUTED_VALUE"""),"LM Hub_SP_São José do Rio P")</f>
        <v>LM Hub_SP_São José do Rio P</v>
      </c>
      <c r="C2756" s="234" t="str">
        <f>IFERROR(__xludf.DUMMYFUNCTION("""COMPUTED_VALUE"""),"HUB-LSP-27")</f>
        <v>HUB-LSP-27</v>
      </c>
      <c r="D2756" s="234"/>
      <c r="E2756" s="237" t="str">
        <f>IFERROR(__xludf.DUMMYFUNCTION("""COMPUTED_VALUE"""),"LT0PCG01UGB01")</f>
        <v>LT0PCG01UGB01</v>
      </c>
      <c r="F2756" s="238" t="str">
        <f>IFERROR(__xludf.DUMMYFUNCTION("""COMPUTED_VALUE"""),"DKI3I03,EWJ0B84")</f>
        <v>DKI3I03,EWJ0B84</v>
      </c>
      <c r="G2756" s="238">
        <f>IFERROR(__xludf.DUMMYFUNCTION("""COMPUTED_VALUE"""),46007.91666666667)</f>
        <v>46007.91667</v>
      </c>
      <c r="H2756" s="238">
        <f>IFERROR(__xludf.DUMMYFUNCTION("""COMPUTED_VALUE"""),46008.0)</f>
        <v>46008</v>
      </c>
      <c r="I2756" s="237" t="str">
        <f t="shared" si="1"/>
        <v>Fora</v>
      </c>
      <c r="J2756" s="239">
        <v>119.99999999301508</v>
      </c>
    </row>
    <row r="2757">
      <c r="A2757" s="234" t="s">
        <v>4283</v>
      </c>
      <c r="B2757" s="234" t="str">
        <f>IFERROR(__xludf.DUMMYFUNCTION("""COMPUTED_VALUE"""),"SoC_GO_Goiânia_02")</f>
        <v>SoC_GO_Goiânia_02</v>
      </c>
      <c r="C2757" s="234" t="str">
        <f>IFERROR(__xludf.DUMMYFUNCTION("""COMPUTED_VALUE"""),"SOC-GO2")</f>
        <v>SOC-GO2</v>
      </c>
      <c r="D2757" s="234">
        <f>IFERROR(__xludf.DUMMYFUNCTION("""COMPUTED_VALUE"""),16.0)</f>
        <v>16</v>
      </c>
      <c r="E2757" s="237" t="str">
        <f>IFERROR(__xludf.DUMMYFUNCTION("""COMPUTED_VALUE"""),"LT1PCG01UPCK1")</f>
        <v>LT1PCG01UPCK1</v>
      </c>
      <c r="F2757" s="238" t="str">
        <f>IFERROR(__xludf.DUMMYFUNCTION("""COMPUTED_VALUE"""),"FDZ4H37,CPJ0D49")</f>
        <v>FDZ4H37,CPJ0D49</v>
      </c>
      <c r="G2757" s="238">
        <f>IFERROR(__xludf.DUMMYFUNCTION("""COMPUTED_VALUE"""),46007.91666666667)</f>
        <v>46007.91667</v>
      </c>
      <c r="H2757" s="238">
        <f>IFERROR(__xludf.DUMMYFUNCTION("""COMPUTED_VALUE"""),46008.0)</f>
        <v>46008</v>
      </c>
      <c r="I2757" s="237" t="str">
        <f t="shared" si="1"/>
        <v>Fora</v>
      </c>
      <c r="J2757" s="239">
        <v>119.99999999301508</v>
      </c>
    </row>
    <row r="2758">
      <c r="A2758" s="234" t="s">
        <v>4284</v>
      </c>
      <c r="B2758" s="234" t="str">
        <f>IFERROR(__xludf.DUMMYFUNCTION("""COMPUTED_VALUE"""),"SoC_SC_Itajaí")</f>
        <v>SoC_SC_Itajaí</v>
      </c>
      <c r="C2758" s="234" t="str">
        <f>IFERROR(__xludf.DUMMYFUNCTION("""COMPUTED_VALUE"""),"SOC-SC1")</f>
        <v>SOC-SC1</v>
      </c>
      <c r="D2758" s="234"/>
      <c r="E2758" s="237" t="str">
        <f>IFERROR(__xludf.DUMMYFUNCTION("""COMPUTED_VALUE"""),"LT1PCG01UOQL1")</f>
        <v>LT1PCG01UOQL1</v>
      </c>
      <c r="F2758" s="238" t="str">
        <f>IFERROR(__xludf.DUMMYFUNCTION("""COMPUTED_VALUE"""),"SXX3H06,SXW7B62")</f>
        <v>SXX3H06,SXW7B62</v>
      </c>
      <c r="G2758" s="238">
        <f>IFERROR(__xludf.DUMMYFUNCTION("""COMPUTED_VALUE"""),46007.91666666667)</f>
        <v>46007.91667</v>
      </c>
      <c r="H2758" s="238">
        <f>IFERROR(__xludf.DUMMYFUNCTION("""COMPUTED_VALUE"""),46008.0)</f>
        <v>46008</v>
      </c>
      <c r="I2758" s="237" t="str">
        <f t="shared" si="1"/>
        <v>Fora</v>
      </c>
      <c r="J2758" s="239">
        <v>119.99999999301508</v>
      </c>
    </row>
    <row r="2759">
      <c r="A2759" s="234" t="s">
        <v>4285</v>
      </c>
      <c r="B2759" s="234" t="str">
        <f>IFERROR(__xludf.DUMMYFUNCTION("""COMPUTED_VALUE"""),"LM Hub_SP_Jardim Adriana")</f>
        <v>LM Hub_SP_Jardim Adriana</v>
      </c>
      <c r="C2759" s="234" t="str">
        <f>IFERROR(__xludf.DUMMYFUNCTION("""COMPUTED_VALUE"""),"HUB-LSP-12")</f>
        <v>HUB-LSP-12</v>
      </c>
      <c r="D2759" s="234">
        <f>IFERROR(__xludf.DUMMYFUNCTION("""COMPUTED_VALUE"""),13.0)</f>
        <v>13</v>
      </c>
      <c r="E2759" s="237" t="str">
        <f>IFERROR(__xludf.DUMMYFUNCTION("""COMPUTED_VALUE"""),"LT0PCG01UBVG1")</f>
        <v>LT0PCG01UBVG1</v>
      </c>
      <c r="F2759" s="238" t="str">
        <f>IFERROR(__xludf.DUMMYFUNCTION("""COMPUTED_VALUE"""),"CUA4J46")</f>
        <v>CUA4J46</v>
      </c>
      <c r="G2759" s="238">
        <f>IFERROR(__xludf.DUMMYFUNCTION("""COMPUTED_VALUE"""),46007.9375)</f>
        <v>46007.9375</v>
      </c>
      <c r="H2759" s="238">
        <f>IFERROR(__xludf.DUMMYFUNCTION("""COMPUTED_VALUE"""),46008.02083333333)</f>
        <v>46008.02083</v>
      </c>
      <c r="I2759" s="237" t="str">
        <f t="shared" si="1"/>
        <v>Fora</v>
      </c>
      <c r="J2759" s="239">
        <v>119.99999999301508</v>
      </c>
    </row>
    <row r="2760">
      <c r="A2760" s="234" t="s">
        <v>4286</v>
      </c>
      <c r="B2760" s="234" t="str">
        <f>IFERROR(__xludf.DUMMYFUNCTION("""COMPUTED_VALUE"""),"LM Hub_SP_Piracicaba")</f>
        <v>LM Hub_SP_Piracicaba</v>
      </c>
      <c r="C2760" s="234" t="str">
        <f>IFERROR(__xludf.DUMMYFUNCTION("""COMPUTED_VALUE"""),"HUB-LSP-62")</f>
        <v>HUB-LSP-62</v>
      </c>
      <c r="D2760" s="234"/>
      <c r="E2760" s="237" t="str">
        <f>IFERROR(__xludf.DUMMYFUNCTION("""COMPUTED_VALUE"""),"LT0PCG01UCN31")</f>
        <v>LT0PCG01UCN31</v>
      </c>
      <c r="F2760" s="238" t="str">
        <f>IFERROR(__xludf.DUMMYFUNCTION("""COMPUTED_VALUE"""),"EOF4D32")</f>
        <v>EOF4D32</v>
      </c>
      <c r="G2760" s="238">
        <f>IFERROR(__xludf.DUMMYFUNCTION("""COMPUTED_VALUE"""),46007.9375)</f>
        <v>46007.9375</v>
      </c>
      <c r="H2760" s="238">
        <f>IFERROR(__xludf.DUMMYFUNCTION("""COMPUTED_VALUE"""),46008.02083333333)</f>
        <v>46008.02083</v>
      </c>
      <c r="I2760" s="237" t="str">
        <f t="shared" si="1"/>
        <v>Fora</v>
      </c>
      <c r="J2760" s="239">
        <v>118.99999998975545</v>
      </c>
    </row>
    <row r="2761">
      <c r="A2761" s="234" t="s">
        <v>4287</v>
      </c>
      <c r="B2761" s="234" t="str">
        <f>IFERROR(__xludf.DUMMYFUNCTION("""COMPUTED_VALUE"""),"LM Hub_SP_Parque Novo Mundo")</f>
        <v>LM Hub_SP_Parque Novo Mundo</v>
      </c>
      <c r="C2761" s="234" t="str">
        <f>IFERROR(__xludf.DUMMYFUNCTION("""COMPUTED_VALUE"""),"HUB-LSP-89")</f>
        <v>HUB-LSP-89</v>
      </c>
      <c r="D2761" s="234">
        <f>IFERROR(__xludf.DUMMYFUNCTION("""COMPUTED_VALUE"""),42.0)</f>
        <v>42</v>
      </c>
      <c r="E2761" s="237" t="str">
        <f>IFERROR(__xludf.DUMMYFUNCTION("""COMPUTED_VALUE"""),"LT0PCG01UCUY1")</f>
        <v>LT0PCG01UCUY1</v>
      </c>
      <c r="F2761" s="238" t="str">
        <f>IFERROR(__xludf.DUMMYFUNCTION("""COMPUTED_VALUE"""),"GIQ1C13,AKZ0B43")</f>
        <v>GIQ1C13,AKZ0B43</v>
      </c>
      <c r="G2761" s="238">
        <f>IFERROR(__xludf.DUMMYFUNCTION("""COMPUTED_VALUE"""),46007.93819444445)</f>
        <v>46007.93819</v>
      </c>
      <c r="H2761" s="238">
        <f>IFERROR(__xludf.DUMMYFUNCTION("""COMPUTED_VALUE"""),46008.02083333333)</f>
        <v>46008.02083</v>
      </c>
      <c r="I2761" s="237" t="str">
        <f t="shared" si="1"/>
        <v>Fora</v>
      </c>
      <c r="J2761" s="239">
        <v>118.99999998975545</v>
      </c>
    </row>
    <row r="2762">
      <c r="A2762" s="234" t="s">
        <v>4288</v>
      </c>
      <c r="B2762" s="234" t="str">
        <f>IFERROR(__xludf.DUMMYFUNCTION("""COMPUTED_VALUE"""),"LM Hub_SP_São Paulo_Carandiru")</f>
        <v>LM Hub_SP_São Paulo_Carandiru</v>
      </c>
      <c r="C2762" s="234" t="str">
        <f>IFERROR(__xludf.DUMMYFUNCTION("""COMPUTED_VALUE"""),"HUB-LSP-18")</f>
        <v>HUB-LSP-18</v>
      </c>
      <c r="D2762" s="234"/>
      <c r="E2762" s="237" t="str">
        <f>IFERROR(__xludf.DUMMYFUNCTION("""COMPUTED_VALUE"""),"LT0PCG01U8841")</f>
        <v>LT0PCG01U8841</v>
      </c>
      <c r="F2762" s="238" t="str">
        <f>IFERROR(__xludf.DUMMYFUNCTION("""COMPUTED_VALUE"""),"OOA7H79")</f>
        <v>OOA7H79</v>
      </c>
      <c r="G2762" s="238">
        <f>IFERROR(__xludf.DUMMYFUNCTION("""COMPUTED_VALUE"""),46007.93819444445)</f>
        <v>46007.93819</v>
      </c>
      <c r="H2762" s="238">
        <f>IFERROR(__xludf.DUMMYFUNCTION("""COMPUTED_VALUE"""),46008.02083333333)</f>
        <v>46008.02083</v>
      </c>
      <c r="I2762" s="237" t="str">
        <f t="shared" si="1"/>
        <v>Fora</v>
      </c>
      <c r="J2762" s="239">
        <v>118.99999998975545</v>
      </c>
    </row>
    <row r="2763">
      <c r="A2763" s="234" t="s">
        <v>4289</v>
      </c>
      <c r="B2763" s="234" t="str">
        <f>IFERROR(__xludf.DUMMYFUNCTION("""COMPUTED_VALUE"""),"LM Hub_SP_VilaGuilherme")</f>
        <v>LM Hub_SP_VilaGuilherme</v>
      </c>
      <c r="C2763" s="234" t="str">
        <f>IFERROR(__xludf.DUMMYFUNCTION("""COMPUTED_VALUE"""),"HUB-LSP-68")</f>
        <v>HUB-LSP-68</v>
      </c>
      <c r="D2763" s="234">
        <f>IFERROR(__xludf.DUMMYFUNCTION("""COMPUTED_VALUE"""),19.0)</f>
        <v>19</v>
      </c>
      <c r="E2763" s="237" t="str">
        <f>IFERROR(__xludf.DUMMYFUNCTION("""COMPUTED_VALUE"""),"LT0PCG01U8861")</f>
        <v>LT0PCG01U8861</v>
      </c>
      <c r="F2763" s="238" t="str">
        <f>IFERROR(__xludf.DUMMYFUNCTION("""COMPUTED_VALUE"""),"HFD4H27")</f>
        <v>HFD4H27</v>
      </c>
      <c r="G2763" s="238">
        <f>IFERROR(__xludf.DUMMYFUNCTION("""COMPUTED_VALUE"""),46007.93819444445)</f>
        <v>46007.93819</v>
      </c>
      <c r="H2763" s="238">
        <f>IFERROR(__xludf.DUMMYFUNCTION("""COMPUTED_VALUE"""),46008.02083333333)</f>
        <v>46008.02083</v>
      </c>
      <c r="I2763" s="237" t="str">
        <f t="shared" si="1"/>
        <v>Fora</v>
      </c>
      <c r="J2763" s="239">
        <v>180.0</v>
      </c>
    </row>
    <row r="2764">
      <c r="A2764" s="234" t="s">
        <v>4290</v>
      </c>
      <c r="B2764" s="234" t="str">
        <f>IFERROR(__xludf.DUMMYFUNCTION("""COMPUTED_VALUE"""),"SoC_SP_Cravinhos")</f>
        <v>SoC_SP_Cravinhos</v>
      </c>
      <c r="C2764" s="234" t="str">
        <f>IFERROR(__xludf.DUMMYFUNCTION("""COMPUTED_VALUE"""),"SOC-SP5")</f>
        <v>SOC-SP5</v>
      </c>
      <c r="D2764" s="234">
        <f>IFERROR(__xludf.DUMMYFUNCTION("""COMPUTED_VALUE"""),43.0)</f>
        <v>43</v>
      </c>
      <c r="E2764" s="237" t="str">
        <f>IFERROR(__xludf.DUMMYFUNCTION("""COMPUTED_VALUE"""),"LT1PCG01UPCD1")</f>
        <v>LT1PCG01UPCD1</v>
      </c>
      <c r="F2764" s="238" t="str">
        <f>IFERROR(__xludf.DUMMYFUNCTION("""COMPUTED_VALUE"""),"MLO0H90,GIJ0E53")</f>
        <v>MLO0H90,GIJ0E53</v>
      </c>
      <c r="G2764" s="238">
        <f>IFERROR(__xludf.DUMMYFUNCTION("""COMPUTED_VALUE"""),46007.91666666667)</f>
        <v>46007.91667</v>
      </c>
      <c r="H2764" s="238">
        <f>IFERROR(__xludf.DUMMYFUNCTION("""COMPUTED_VALUE"""),46008.04166666667)</f>
        <v>46008.04167</v>
      </c>
      <c r="I2764" s="237" t="str">
        <f t="shared" si="1"/>
        <v>Fora</v>
      </c>
      <c r="J2764" s="239">
        <v>120.00000001396984</v>
      </c>
    </row>
    <row r="2765">
      <c r="A2765" s="234" t="s">
        <v>4291</v>
      </c>
      <c r="B2765" s="234" t="str">
        <f>IFERROR(__xludf.DUMMYFUNCTION("""COMPUTED_VALUE"""),"LM Hub_SP_Jundiaí")</f>
        <v>LM Hub_SP_Jundiaí</v>
      </c>
      <c r="C2765" s="234" t="str">
        <f>IFERROR(__xludf.DUMMYFUNCTION("""COMPUTED_VALUE"""),"HUB-LSP-100")</f>
        <v>HUB-LSP-100</v>
      </c>
      <c r="D2765" s="234">
        <f>IFERROR(__xludf.DUMMYFUNCTION("""COMPUTED_VALUE"""),9.0)</f>
        <v>9</v>
      </c>
      <c r="E2765" s="237" t="str">
        <f>IFERROR(__xludf.DUMMYFUNCTION("""COMPUTED_VALUE"""),"LT0PCG01UJ061")</f>
        <v>LT0PCG01UJ061</v>
      </c>
      <c r="F2765" s="238" t="str">
        <f>IFERROR(__xludf.DUMMYFUNCTION("""COMPUTED_VALUE"""),"FTJ1G96,TPO4I05")</f>
        <v>FTJ1G96,TPO4I05</v>
      </c>
      <c r="G2765" s="238">
        <f>IFERROR(__xludf.DUMMYFUNCTION("""COMPUTED_VALUE"""),46007.95833333333)</f>
        <v>46007.95833</v>
      </c>
      <c r="H2765" s="238">
        <f>IFERROR(__xludf.DUMMYFUNCTION("""COMPUTED_VALUE"""),46008.04166666667)</f>
        <v>46008.04167</v>
      </c>
      <c r="I2765" s="237" t="str">
        <f t="shared" si="1"/>
        <v>Fora</v>
      </c>
      <c r="J2765" s="239">
        <v>120.00000001396984</v>
      </c>
    </row>
    <row r="2766">
      <c r="A2766" s="234" t="s">
        <v>4292</v>
      </c>
      <c r="B2766" s="234" t="str">
        <f>IFERROR(__xludf.DUMMYFUNCTION("""COMPUTED_VALUE"""),"LM Hub_SP_Mogi Mirim")</f>
        <v>LM Hub_SP_Mogi Mirim</v>
      </c>
      <c r="C2766" s="234" t="str">
        <f>IFERROR(__xludf.DUMMYFUNCTION("""COMPUTED_VALUE"""),"HUB-LSP-37")</f>
        <v>HUB-LSP-37</v>
      </c>
      <c r="D2766" s="234">
        <f>IFERROR(__xludf.DUMMYFUNCTION("""COMPUTED_VALUE"""),45.0)</f>
        <v>45</v>
      </c>
      <c r="E2766" s="237" t="str">
        <f>IFERROR(__xludf.DUMMYFUNCTION("""COMPUTED_VALUE"""),"LT0PCG01UC0K1")</f>
        <v>LT0PCG01UC0K1</v>
      </c>
      <c r="F2766" s="238" t="str">
        <f>IFERROR(__xludf.DUMMYFUNCTION("""COMPUTED_VALUE"""),"GFT5J70,RXK1F70")</f>
        <v>GFT5J70,RXK1F70</v>
      </c>
      <c r="G2766" s="238">
        <f>IFERROR(__xludf.DUMMYFUNCTION("""COMPUTED_VALUE"""),46007.95833333333)</f>
        <v>46007.95833</v>
      </c>
      <c r="H2766" s="238">
        <f>IFERROR(__xludf.DUMMYFUNCTION("""COMPUTED_VALUE"""),46008.04166666667)</f>
        <v>46008.04167</v>
      </c>
      <c r="I2766" s="237" t="str">
        <f t="shared" si="1"/>
        <v>Fora</v>
      </c>
      <c r="J2766" s="239">
        <v>120.00000001396984</v>
      </c>
    </row>
    <row r="2767">
      <c r="A2767" s="234" t="s">
        <v>4293</v>
      </c>
      <c r="B2767" s="234" t="str">
        <f>IFERROR(__xludf.DUMMYFUNCTION("""COMPUTED_VALUE"""),"SoC_PE_Jaboatão dos Guararapes")</f>
        <v>SoC_PE_Jaboatão dos Guararapes</v>
      </c>
      <c r="C2767" s="234" t="str">
        <f>IFERROR(__xludf.DUMMYFUNCTION("""COMPUTED_VALUE"""),"SOC-PE2")</f>
        <v>SOC-PE2</v>
      </c>
      <c r="D2767" s="234">
        <f>IFERROR(__xludf.DUMMYFUNCTION("""COMPUTED_VALUE"""),25.0)</f>
        <v>25</v>
      </c>
      <c r="E2767" s="237" t="str">
        <f>IFERROR(__xludf.DUMMYFUNCTION("""COMPUTED_VALUE"""),"LT1PCG01UOQJ1")</f>
        <v>LT1PCG01UOQJ1</v>
      </c>
      <c r="F2767" s="238" t="str">
        <f>IFERROR(__xludf.DUMMYFUNCTION("""COMPUTED_VALUE"""),"DTB6F00,CFY7B28")</f>
        <v>DTB6F00,CFY7B28</v>
      </c>
      <c r="G2767" s="238">
        <f>IFERROR(__xludf.DUMMYFUNCTION("""COMPUTED_VALUE"""),46007.95833333333)</f>
        <v>46007.95833</v>
      </c>
      <c r="H2767" s="238">
        <f>IFERROR(__xludf.DUMMYFUNCTION("""COMPUTED_VALUE"""),46008.04166666667)</f>
        <v>46008.04167</v>
      </c>
      <c r="I2767" s="237" t="str">
        <f t="shared" si="1"/>
        <v>Fora</v>
      </c>
      <c r="J2767" s="239">
        <v>120.00000001396984</v>
      </c>
    </row>
    <row r="2768">
      <c r="A2768" s="234" t="s">
        <v>4294</v>
      </c>
      <c r="B2768" s="234" t="str">
        <f>IFERROR(__xludf.DUMMYFUNCTION("""COMPUTED_VALUE"""),"SoC_SC_Itajaí")</f>
        <v>SoC_SC_Itajaí</v>
      </c>
      <c r="C2768" s="234" t="str">
        <f>IFERROR(__xludf.DUMMYFUNCTION("""COMPUTED_VALUE"""),"SOC-SC1")</f>
        <v>SOC-SC1</v>
      </c>
      <c r="D2768" s="234">
        <f>IFERROR(__xludf.DUMMYFUNCTION("""COMPUTED_VALUE"""),7.0)</f>
        <v>7</v>
      </c>
      <c r="E2768" s="237" t="str">
        <f>IFERROR(__xludf.DUMMYFUNCTION("""COMPUTED_VALUE"""),"LT1PCG01UPNH1")</f>
        <v>LT1PCG01UPNH1</v>
      </c>
      <c r="F2768" s="238" t="str">
        <f>IFERROR(__xludf.DUMMYFUNCTION("""COMPUTED_VALUE"""),"RLF4B54,RYH0J55")</f>
        <v>RLF4B54,RYH0J55</v>
      </c>
      <c r="G2768" s="238">
        <f>IFERROR(__xludf.DUMMYFUNCTION("""COMPUTED_VALUE"""),46007.95833333333)</f>
        <v>46007.95833</v>
      </c>
      <c r="H2768" s="238">
        <f>IFERROR(__xludf.DUMMYFUNCTION("""COMPUTED_VALUE"""),46008.04166666667)</f>
        <v>46008.04167</v>
      </c>
      <c r="I2768" s="237" t="str">
        <f t="shared" si="1"/>
        <v>Fora</v>
      </c>
      <c r="J2768" s="239">
        <v>119.00000001071021</v>
      </c>
    </row>
    <row r="2769">
      <c r="A2769" s="234" t="s">
        <v>4295</v>
      </c>
      <c r="B2769" s="234" t="str">
        <f>IFERROR(__xludf.DUMMYFUNCTION("""COMPUTED_VALUE"""),"LM Hub_ES_Viana")</f>
        <v>LM Hub_ES_Viana</v>
      </c>
      <c r="C2769" s="234" t="str">
        <f>IFERROR(__xludf.DUMMYFUNCTION("""COMPUTED_VALUE"""),"HUB-LES-09")</f>
        <v>HUB-LES-09</v>
      </c>
      <c r="D2769" s="234">
        <f>IFERROR(__xludf.DUMMYFUNCTION("""COMPUTED_VALUE"""),27.0)</f>
        <v>27</v>
      </c>
      <c r="E2769" s="237" t="str">
        <f>IFERROR(__xludf.DUMMYFUNCTION("""COMPUTED_VALUE"""),"LT0PCG01U90C1")</f>
        <v>LT0PCG01U90C1</v>
      </c>
      <c r="F2769" s="238" t="str">
        <f>IFERROR(__xludf.DUMMYFUNCTION("""COMPUTED_VALUE"""),"MFQ8I56,DBM1I20")</f>
        <v>MFQ8I56,DBM1I20</v>
      </c>
      <c r="G2769" s="238">
        <f>IFERROR(__xludf.DUMMYFUNCTION("""COMPUTED_VALUE"""),46007.959027777775)</f>
        <v>46007.95903</v>
      </c>
      <c r="H2769" s="238">
        <f>IFERROR(__xludf.DUMMYFUNCTION("""COMPUTED_VALUE"""),46008.04166666667)</f>
        <v>46008.04167</v>
      </c>
      <c r="I2769" s="237" t="str">
        <f t="shared" si="1"/>
        <v>Fora</v>
      </c>
      <c r="J2769" s="239">
        <v>119.99999999301508</v>
      </c>
    </row>
    <row r="2770">
      <c r="A2770" s="234" t="s">
        <v>4296</v>
      </c>
      <c r="B2770" s="234" t="str">
        <f>IFERROR(__xludf.DUMMYFUNCTION("""COMPUTED_VALUE"""),"LM Hub_SP_Araraquara")</f>
        <v>LM Hub_SP_Araraquara</v>
      </c>
      <c r="C2770" s="234" t="str">
        <f>IFERROR(__xludf.DUMMYFUNCTION("""COMPUTED_VALUE"""),"HUB-LSP-29")</f>
        <v>HUB-LSP-29</v>
      </c>
      <c r="D2770" s="234">
        <f>IFERROR(__xludf.DUMMYFUNCTION("""COMPUTED_VALUE"""),46.0)</f>
        <v>46</v>
      </c>
      <c r="E2770" s="237" t="str">
        <f>IFERROR(__xludf.DUMMYFUNCTION("""COMPUTED_VALUE"""),"LT0PCG01UC0P1")</f>
        <v>LT0PCG01UC0P1</v>
      </c>
      <c r="F2770" s="238" t="str">
        <f>IFERROR(__xludf.DUMMYFUNCTION("""COMPUTED_VALUE"""),"FVM9I18,GEH6H31")</f>
        <v>FVM9I18,GEH6H31</v>
      </c>
      <c r="G2770" s="238">
        <f>IFERROR(__xludf.DUMMYFUNCTION("""COMPUTED_VALUE"""),46007.97916666667)</f>
        <v>46007.97917</v>
      </c>
      <c r="H2770" s="238">
        <f>IFERROR(__xludf.DUMMYFUNCTION("""COMPUTED_VALUE"""),46008.0625)</f>
        <v>46008.0625</v>
      </c>
      <c r="I2770" s="237" t="str">
        <f t="shared" si="1"/>
        <v>Fora</v>
      </c>
      <c r="J2770" s="239">
        <v>119.99999999301508</v>
      </c>
    </row>
    <row r="2771">
      <c r="A2771" s="234" t="s">
        <v>4297</v>
      </c>
      <c r="B2771" s="234" t="str">
        <f>IFERROR(__xludf.DUMMYFUNCTION("""COMPUTED_VALUE"""),"LM Hub_SP_Várzea Paulista")</f>
        <v>LM Hub_SP_Várzea Paulista</v>
      </c>
      <c r="C2771" s="234" t="str">
        <f>IFERROR(__xludf.DUMMYFUNCTION("""COMPUTED_VALUE"""),"HUB-LSP-61")</f>
        <v>HUB-LSP-61</v>
      </c>
      <c r="D2771" s="234">
        <f>IFERROR(__xludf.DUMMYFUNCTION("""COMPUTED_VALUE"""),44.0)</f>
        <v>44</v>
      </c>
      <c r="E2771" s="237" t="str">
        <f>IFERROR(__xludf.DUMMYFUNCTION("""COMPUTED_VALUE"""),"LT0PCG01UBZZ1")</f>
        <v>LT0PCG01UBZZ1</v>
      </c>
      <c r="F2771" s="238" t="str">
        <f>IFERROR(__xludf.DUMMYFUNCTION("""COMPUTED_VALUE"""),"CUC6J82,CUB1E64")</f>
        <v>CUC6J82,CUB1E64</v>
      </c>
      <c r="G2771" s="238">
        <f>IFERROR(__xludf.DUMMYFUNCTION("""COMPUTED_VALUE"""),46007.97916666667)</f>
        <v>46007.97917</v>
      </c>
      <c r="H2771" s="238">
        <f>IFERROR(__xludf.DUMMYFUNCTION("""COMPUTED_VALUE"""),46008.0625)</f>
        <v>46008.0625</v>
      </c>
      <c r="I2771" s="237" t="str">
        <f t="shared" si="1"/>
        <v>Fora</v>
      </c>
      <c r="J2771" s="239">
        <v>360.0</v>
      </c>
    </row>
    <row r="2772">
      <c r="A2772" s="234" t="s">
        <v>4298</v>
      </c>
      <c r="B2772" s="234" t="str">
        <f>IFERROR(__xludf.DUMMYFUNCTION("""COMPUTED_VALUE"""),"SoC_SP_Cravinhos")</f>
        <v>SoC_SP_Cravinhos</v>
      </c>
      <c r="C2772" s="234" t="str">
        <f>IFERROR(__xludf.DUMMYFUNCTION("""COMPUTED_VALUE"""),"SOC-SP5")</f>
        <v>SOC-SP5</v>
      </c>
      <c r="D2772" s="234">
        <f>IFERROR(__xludf.DUMMYFUNCTION("""COMPUTED_VALUE"""),95.0)</f>
        <v>95</v>
      </c>
      <c r="E2772" s="237" t="str">
        <f>IFERROR(__xludf.DUMMYFUNCTION("""COMPUTED_VALUE"""),"LT1PCG01UPCC1")</f>
        <v>LT1PCG01UPCC1</v>
      </c>
      <c r="F2772" s="238" t="str">
        <f>IFERROR(__xludf.DUMMYFUNCTION("""COMPUTED_VALUE"""),"FCU5E86,FYY5J94")</f>
        <v>FCU5E86,FYY5J94</v>
      </c>
      <c r="G2772" s="238">
        <f>IFERROR(__xludf.DUMMYFUNCTION("""COMPUTED_VALUE"""),46007.83333333333)</f>
        <v>46007.83333</v>
      </c>
      <c r="H2772" s="238">
        <f>IFERROR(__xludf.DUMMYFUNCTION("""COMPUTED_VALUE"""),46008.08333333333)</f>
        <v>46008.08333</v>
      </c>
      <c r="I2772" s="237" t="str">
        <f t="shared" si="1"/>
        <v>Fora</v>
      </c>
      <c r="J2772" s="239">
        <v>119.99999999301508</v>
      </c>
    </row>
    <row r="2773">
      <c r="A2773" s="234" t="s">
        <v>4299</v>
      </c>
      <c r="B2773" s="234" t="str">
        <f>IFERROR(__xludf.DUMMYFUNCTION("""COMPUTED_VALUE"""),"SoC_PE_Jaboatão dos Guararapes")</f>
        <v>SoC_PE_Jaboatão dos Guararapes</v>
      </c>
      <c r="C2773" s="234" t="str">
        <f>IFERROR(__xludf.DUMMYFUNCTION("""COMPUTED_VALUE"""),"SOC-PE2")</f>
        <v>SOC-PE2</v>
      </c>
      <c r="D2773" s="234">
        <f>IFERROR(__xludf.DUMMYFUNCTION("""COMPUTED_VALUE"""),18.0)</f>
        <v>18</v>
      </c>
      <c r="E2773" s="237" t="str">
        <f>IFERROR(__xludf.DUMMYFUNCTION("""COMPUTED_VALUE"""),"LT0PCH01UHUA1")</f>
        <v>LT0PCH01UHUA1</v>
      </c>
      <c r="F2773" s="238" t="str">
        <f>IFERROR(__xludf.DUMMYFUNCTION("""COMPUTED_VALUE"""),"CUE5D47,JXA8420")</f>
        <v>CUE5D47,JXA8420</v>
      </c>
      <c r="G2773" s="238">
        <f>IFERROR(__xludf.DUMMYFUNCTION("""COMPUTED_VALUE"""),46008.0)</f>
        <v>46008</v>
      </c>
      <c r="H2773" s="238">
        <f>IFERROR(__xludf.DUMMYFUNCTION("""COMPUTED_VALUE"""),46008.08333333333)</f>
        <v>46008.08333</v>
      </c>
      <c r="I2773" s="237" t="str">
        <f t="shared" si="1"/>
        <v>Fora</v>
      </c>
      <c r="J2773" s="239">
        <v>119.99999999301508</v>
      </c>
    </row>
    <row r="2774">
      <c r="A2774" s="234" t="s">
        <v>4300</v>
      </c>
      <c r="B2774" s="234" t="str">
        <f>IFERROR(__xludf.DUMMYFUNCTION("""COMPUTED_VALUE"""),"SoC_PR_Curitiba")</f>
        <v>SoC_PR_Curitiba</v>
      </c>
      <c r="C2774" s="234" t="str">
        <f>IFERROR(__xludf.DUMMYFUNCTION("""COMPUTED_VALUE"""),"SOC-PR1")</f>
        <v>SOC-PR1</v>
      </c>
      <c r="D2774" s="234">
        <f>IFERROR(__xludf.DUMMYFUNCTION("""COMPUTED_VALUE"""),48.0)</f>
        <v>48</v>
      </c>
      <c r="E2774" s="237" t="str">
        <f>IFERROR(__xludf.DUMMYFUNCTION("""COMPUTED_VALUE"""),"LT0PCH01UBT51")</f>
        <v>LT0PCH01UBT51</v>
      </c>
      <c r="F2774" s="238" t="str">
        <f>IFERROR(__xludf.DUMMYFUNCTION("""COMPUTED_VALUE"""),"TAO3B16,TJS0F27")</f>
        <v>TAO3B16,TJS0F27</v>
      </c>
      <c r="G2774" s="238">
        <f>IFERROR(__xludf.DUMMYFUNCTION("""COMPUTED_VALUE"""),46008.0)</f>
        <v>46008</v>
      </c>
      <c r="H2774" s="238">
        <f>IFERROR(__xludf.DUMMYFUNCTION("""COMPUTED_VALUE"""),46008.08333333333)</f>
        <v>46008.08333</v>
      </c>
      <c r="I2774" s="237" t="str">
        <f t="shared" si="1"/>
        <v>Fora</v>
      </c>
      <c r="J2774" s="239">
        <v>119.99999999301508</v>
      </c>
    </row>
    <row r="2775">
      <c r="A2775" s="234" t="s">
        <v>4301</v>
      </c>
      <c r="B2775" s="234" t="str">
        <f>IFERROR(__xludf.DUMMYFUNCTION("""COMPUTED_VALUE"""),"SoC_RS_Gravataí_02")</f>
        <v>SoC_RS_Gravataí_02</v>
      </c>
      <c r="C2775" s="234" t="str">
        <f>IFERROR(__xludf.DUMMYFUNCTION("""COMPUTED_VALUE"""),"SOC-RS2")</f>
        <v>SOC-RS2</v>
      </c>
      <c r="D2775" s="234">
        <f>IFERROR(__xludf.DUMMYFUNCTION("""COMPUTED_VALUE"""),26.0)</f>
        <v>26</v>
      </c>
      <c r="E2775" s="237" t="str">
        <f>IFERROR(__xludf.DUMMYFUNCTION("""COMPUTED_VALUE"""),"LT0PCH01UI9F1")</f>
        <v>LT0PCH01UI9F1</v>
      </c>
      <c r="F2775" s="238" t="str">
        <f>IFERROR(__xludf.DUMMYFUNCTION("""COMPUTED_VALUE"""),"TBH7I48,SWI0H98")</f>
        <v>TBH7I48,SWI0H98</v>
      </c>
      <c r="G2775" s="238">
        <f>IFERROR(__xludf.DUMMYFUNCTION("""COMPUTED_VALUE"""),46008.0)</f>
        <v>46008</v>
      </c>
      <c r="H2775" s="238">
        <f>IFERROR(__xludf.DUMMYFUNCTION("""COMPUTED_VALUE"""),46008.08333333333)</f>
        <v>46008.08333</v>
      </c>
      <c r="I2775" s="237" t="str">
        <f t="shared" si="1"/>
        <v>Fora</v>
      </c>
      <c r="J2775" s="239">
        <v>119.99999999301508</v>
      </c>
    </row>
    <row r="2776">
      <c r="A2776" s="234" t="s">
        <v>4302</v>
      </c>
      <c r="B2776" s="234" t="str">
        <f>IFERROR(__xludf.DUMMYFUNCTION("""COMPUTED_VALUE"""),"SoC_SC_Itajaí")</f>
        <v>SoC_SC_Itajaí</v>
      </c>
      <c r="C2776" s="234" t="str">
        <f>IFERROR(__xludf.DUMMYFUNCTION("""COMPUTED_VALUE"""),"SOC-SC1")</f>
        <v>SOC-SC1</v>
      </c>
      <c r="D2776" s="234">
        <f>IFERROR(__xludf.DUMMYFUNCTION("""COMPUTED_VALUE"""),24.0)</f>
        <v>24</v>
      </c>
      <c r="E2776" s="237" t="str">
        <f>IFERROR(__xludf.DUMMYFUNCTION("""COMPUTED_VALUE"""),"LT0PCH01UGWL1")</f>
        <v>LT0PCH01UGWL1</v>
      </c>
      <c r="F2776" s="238" t="str">
        <f>IFERROR(__xludf.DUMMYFUNCTION("""COMPUTED_VALUE"""),"FDB0I10,TBJ8G26")</f>
        <v>FDB0I10,TBJ8G26</v>
      </c>
      <c r="G2776" s="238">
        <f>IFERROR(__xludf.DUMMYFUNCTION("""COMPUTED_VALUE"""),46008.0)</f>
        <v>46008</v>
      </c>
      <c r="H2776" s="238">
        <f>IFERROR(__xludf.DUMMYFUNCTION("""COMPUTED_VALUE"""),46008.08333333333)</f>
        <v>46008.08333</v>
      </c>
      <c r="I2776" s="237" t="str">
        <f t="shared" si="1"/>
        <v>Fora</v>
      </c>
      <c r="J2776" s="239">
        <v>119.99999999301508</v>
      </c>
    </row>
    <row r="2777">
      <c r="A2777" s="234" t="s">
        <v>4303</v>
      </c>
      <c r="B2777" s="234" t="str">
        <f>IFERROR(__xludf.DUMMYFUNCTION("""COMPUTED_VALUE"""),"SoC_SP_Louveira")</f>
        <v>SoC_SP_Louveira</v>
      </c>
      <c r="C2777" s="234" t="str">
        <f>IFERROR(__xludf.DUMMYFUNCTION("""COMPUTED_VALUE"""),"SOC-SP7")</f>
        <v>SOC-SP7</v>
      </c>
      <c r="D2777" s="234">
        <f>IFERROR(__xludf.DUMMYFUNCTION("""COMPUTED_VALUE"""),33.0)</f>
        <v>33</v>
      </c>
      <c r="E2777" s="237" t="str">
        <f>IFERROR(__xludf.DUMMYFUNCTION("""COMPUTED_VALUE"""),"LT0PCH01UBUQ1")</f>
        <v>LT0PCH01UBUQ1</v>
      </c>
      <c r="F2777" s="238" t="str">
        <f>IFERROR(__xludf.DUMMYFUNCTION("""COMPUTED_VALUE"""),"FNY2B06,FCR2E04")</f>
        <v>FNY2B06,FCR2E04</v>
      </c>
      <c r="G2777" s="238">
        <f>IFERROR(__xludf.DUMMYFUNCTION("""COMPUTED_VALUE"""),46008.0)</f>
        <v>46008</v>
      </c>
      <c r="H2777" s="238">
        <f>IFERROR(__xludf.DUMMYFUNCTION("""COMPUTED_VALUE"""),46008.08333333333)</f>
        <v>46008.08333</v>
      </c>
      <c r="I2777" s="237" t="str">
        <f t="shared" si="1"/>
        <v>Fora</v>
      </c>
      <c r="J2777" s="239">
        <v>120.00000001396984</v>
      </c>
    </row>
    <row r="2778">
      <c r="A2778" s="234" t="s">
        <v>4304</v>
      </c>
      <c r="B2778" s="234" t="str">
        <f>IFERROR(__xludf.DUMMYFUNCTION("""COMPUTED_VALUE"""),"LM Hub_MG_Varginha_Fausto")</f>
        <v>LM Hub_MG_Varginha_Fausto</v>
      </c>
      <c r="C2778" s="234" t="str">
        <f>IFERROR(__xludf.DUMMYFUNCTION("""COMPUTED_VALUE"""),"HUB-LMG-45")</f>
        <v>HUB-LMG-45</v>
      </c>
      <c r="D2778" s="234">
        <f>IFERROR(__xludf.DUMMYFUNCTION("""COMPUTED_VALUE"""),14.0)</f>
        <v>14</v>
      </c>
      <c r="E2778" s="237" t="str">
        <f>IFERROR(__xludf.DUMMYFUNCTION("""COMPUTED_VALUE"""),"LT0PCH01UHKJ1")</f>
        <v>LT0PCH01UHKJ1</v>
      </c>
      <c r="F2778" s="238" t="str">
        <f>IFERROR(__xludf.DUMMYFUNCTION("""COMPUTED_VALUE"""),"JBA9J65,EML4J11")</f>
        <v>JBA9J65,EML4J11</v>
      </c>
      <c r="G2778" s="238">
        <f>IFERROR(__xludf.DUMMYFUNCTION("""COMPUTED_VALUE"""),46008.02083333333)</f>
        <v>46008.02083</v>
      </c>
      <c r="H2778" s="238">
        <f>IFERROR(__xludf.DUMMYFUNCTION("""COMPUTED_VALUE"""),46008.10416666667)</f>
        <v>46008.10417</v>
      </c>
      <c r="I2778" s="237" t="str">
        <f t="shared" si="1"/>
        <v>Fora</v>
      </c>
      <c r="J2778" s="239">
        <v>60.00000000698492</v>
      </c>
    </row>
    <row r="2779">
      <c r="A2779" s="234" t="s">
        <v>4305</v>
      </c>
      <c r="B2779" s="234" t="str">
        <f>IFERROR(__xludf.DUMMYFUNCTION("""COMPUTED_VALUE"""),"LM Hub_SP_Atibaia_Ponte_Alta")</f>
        <v>LM Hub_SP_Atibaia_Ponte_Alta</v>
      </c>
      <c r="C2779" s="234" t="str">
        <f>IFERROR(__xludf.DUMMYFUNCTION("""COMPUTED_VALUE"""),"HUB-LSP-87")</f>
        <v>HUB-LSP-87</v>
      </c>
      <c r="D2779" s="234">
        <f>IFERROR(__xludf.DUMMYFUNCTION("""COMPUTED_VALUE"""),9.0)</f>
        <v>9</v>
      </c>
      <c r="E2779" s="237" t="str">
        <f>IFERROR(__xludf.DUMMYFUNCTION("""COMPUTED_VALUE"""),"LT0PCG01UG6T1")</f>
        <v>LT0PCG01UG6T1</v>
      </c>
      <c r="F2779" s="238" t="str">
        <f>IFERROR(__xludf.DUMMYFUNCTION("""COMPUTED_VALUE"""),"PCW9A46")</f>
        <v>PCW9A46</v>
      </c>
      <c r="G2779" s="238">
        <f>IFERROR(__xludf.DUMMYFUNCTION("""COMPUTED_VALUE"""),46008.0625)</f>
        <v>46008.0625</v>
      </c>
      <c r="H2779" s="238">
        <f>IFERROR(__xludf.DUMMYFUNCTION("""COMPUTED_VALUE"""),46008.10416666667)</f>
        <v>46008.10417</v>
      </c>
      <c r="I2779" s="237" t="str">
        <f t="shared" si="1"/>
        <v>Fora</v>
      </c>
      <c r="J2779" s="239">
        <v>120.00000001396984</v>
      </c>
    </row>
    <row r="2780">
      <c r="A2780" s="234" t="s">
        <v>4306</v>
      </c>
      <c r="B2780" s="234" t="str">
        <f>IFERROR(__xludf.DUMMYFUNCTION("""COMPUTED_VALUE"""),"SoC_SP_Guarulhos")</f>
        <v>SoC_SP_Guarulhos</v>
      </c>
      <c r="C2780" s="234" t="str">
        <f>IFERROR(__xludf.DUMMYFUNCTION("""COMPUTED_VALUE"""),"SOC-SP6")</f>
        <v>SOC-SP6</v>
      </c>
      <c r="D2780" s="234">
        <f>IFERROR(__xludf.DUMMYFUNCTION("""COMPUTED_VALUE"""),29.0)</f>
        <v>29</v>
      </c>
      <c r="E2780" s="237" t="str">
        <f>IFERROR(__xludf.DUMMYFUNCTION("""COMPUTED_VALUE"""),"LT0PCH01UCWW1")</f>
        <v>LT0PCH01UCWW1</v>
      </c>
      <c r="F2780" s="238" t="str">
        <f>IFERROR(__xludf.DUMMYFUNCTION("""COMPUTED_VALUE"""),"HEL8635,UGE7G44")</f>
        <v>HEL8635,UGE7G44</v>
      </c>
      <c r="G2780" s="238">
        <f>IFERROR(__xludf.DUMMYFUNCTION("""COMPUTED_VALUE"""),46008.08333333333)</f>
        <v>46008.08333</v>
      </c>
      <c r="H2780" s="238">
        <f>IFERROR(__xludf.DUMMYFUNCTION("""COMPUTED_VALUE"""),46008.16666666667)</f>
        <v>46008.16667</v>
      </c>
      <c r="I2780" s="237" t="str">
        <f t="shared" si="1"/>
        <v>Fora</v>
      </c>
      <c r="J2780" s="239">
        <v>119.00000001071021</v>
      </c>
    </row>
    <row r="2781">
      <c r="A2781" s="234" t="s">
        <v>4307</v>
      </c>
      <c r="B2781" s="234" t="str">
        <f>IFERROR(__xludf.DUMMYFUNCTION("""COMPUTED_VALUE"""),"LM Hub_SP_Tatuí")</f>
        <v>LM Hub_SP_Tatuí</v>
      </c>
      <c r="C2781" s="234" t="str">
        <f>IFERROR(__xludf.DUMMYFUNCTION("""COMPUTED_VALUE"""),"HUB-LSP-51")</f>
        <v>HUB-LSP-51</v>
      </c>
      <c r="D2781" s="234">
        <f>IFERROR(__xludf.DUMMYFUNCTION("""COMPUTED_VALUE"""),13.0)</f>
        <v>13</v>
      </c>
      <c r="E2781" s="237" t="str">
        <f>IFERROR(__xludf.DUMMYFUNCTION("""COMPUTED_VALUE"""),"LT0PCH01UBXI1")</f>
        <v>LT0PCH01UBXI1</v>
      </c>
      <c r="F2781" s="238" t="str">
        <f>IFERROR(__xludf.DUMMYFUNCTION("""COMPUTED_VALUE"""),"SVC6I57,SWO1G45")</f>
        <v>SVC6I57,SWO1G45</v>
      </c>
      <c r="G2781" s="238">
        <f>IFERROR(__xludf.DUMMYFUNCTION("""COMPUTED_VALUE"""),46008.084027777775)</f>
        <v>46008.08403</v>
      </c>
      <c r="H2781" s="238">
        <f>IFERROR(__xludf.DUMMYFUNCTION("""COMPUTED_VALUE"""),46008.16666666667)</f>
        <v>46008.16667</v>
      </c>
      <c r="I2781" s="237" t="str">
        <f t="shared" si="1"/>
        <v>Fora</v>
      </c>
      <c r="J2781" s="239">
        <v>119.99999999301508</v>
      </c>
    </row>
    <row r="2782">
      <c r="A2782" s="234" t="s">
        <v>4308</v>
      </c>
      <c r="B2782" s="234" t="str">
        <f>IFERROR(__xludf.DUMMYFUNCTION("""COMPUTED_VALUE"""),"LM Hub_SP_Itapetininga")</f>
        <v>LM Hub_SP_Itapetininga</v>
      </c>
      <c r="C2782" s="234" t="str">
        <f>IFERROR(__xludf.DUMMYFUNCTION("""COMPUTED_VALUE"""),"HUB-LSP-53")</f>
        <v>HUB-LSP-53</v>
      </c>
      <c r="D2782" s="234">
        <f>IFERROR(__xludf.DUMMYFUNCTION("""COMPUTED_VALUE"""),41.0)</f>
        <v>41</v>
      </c>
      <c r="E2782" s="237" t="str">
        <f>IFERROR(__xludf.DUMMYFUNCTION("""COMPUTED_VALUE"""),"LT0PCH01UBXD1")</f>
        <v>LT0PCH01UBXD1</v>
      </c>
      <c r="F2782" s="238" t="str">
        <f>IFERROR(__xludf.DUMMYFUNCTION("""COMPUTED_VALUE"""),"FLQ1E34,FLQ1E30")</f>
        <v>FLQ1E34,FLQ1E30</v>
      </c>
      <c r="G2782" s="238">
        <f>IFERROR(__xludf.DUMMYFUNCTION("""COMPUTED_VALUE"""),46008.10416666667)</f>
        <v>46008.10417</v>
      </c>
      <c r="H2782" s="238">
        <f>IFERROR(__xludf.DUMMYFUNCTION("""COMPUTED_VALUE"""),46008.1875)</f>
        <v>46008.1875</v>
      </c>
      <c r="I2782" s="237" t="str">
        <f t="shared" si="1"/>
        <v>Fora</v>
      </c>
      <c r="J2782" s="239">
        <v>119.99999999301508</v>
      </c>
    </row>
    <row r="2783">
      <c r="A2783" s="234" t="s">
        <v>4309</v>
      </c>
      <c r="B2783" s="234" t="str">
        <f>IFERROR(__xludf.DUMMYFUNCTION("""COMPUTED_VALUE"""),"LM Hub_SP_São Carlos")</f>
        <v>LM Hub_SP_São Carlos</v>
      </c>
      <c r="C2783" s="234" t="str">
        <f>IFERROR(__xludf.DUMMYFUNCTION("""COMPUTED_VALUE"""),"HUB-LSP-31")</f>
        <v>HUB-LSP-31</v>
      </c>
      <c r="D2783" s="234">
        <f>IFERROR(__xludf.DUMMYFUNCTION("""COMPUTED_VALUE"""),33.0)</f>
        <v>33</v>
      </c>
      <c r="E2783" s="237" t="str">
        <f>IFERROR(__xludf.DUMMYFUNCTION("""COMPUTED_VALUE"""),"LT0PCH01UC041")</f>
        <v>LT0PCH01UC041</v>
      </c>
      <c r="F2783" s="238" t="str">
        <f>IFERROR(__xludf.DUMMYFUNCTION("""COMPUTED_VALUE"""),"DPB2D66,CDM2116")</f>
        <v>DPB2D66,CDM2116</v>
      </c>
      <c r="G2783" s="238">
        <f>IFERROR(__xludf.DUMMYFUNCTION("""COMPUTED_VALUE"""),46008.10416666667)</f>
        <v>46008.10417</v>
      </c>
      <c r="H2783" s="238">
        <f>IFERROR(__xludf.DUMMYFUNCTION("""COMPUTED_VALUE"""),46008.1875)</f>
        <v>46008.1875</v>
      </c>
      <c r="I2783" s="237" t="str">
        <f t="shared" si="1"/>
        <v>Fora</v>
      </c>
      <c r="J2783" s="239">
        <v>479.9999999930151</v>
      </c>
    </row>
    <row r="2784">
      <c r="A2784" s="234" t="s">
        <v>4310</v>
      </c>
      <c r="B2784" s="234" t="str">
        <f>IFERROR(__xludf.DUMMYFUNCTION("""COMPUTED_VALUE"""),"SoC_SP_Cravinhos")</f>
        <v>SoC_SP_Cravinhos</v>
      </c>
      <c r="C2784" s="234" t="str">
        <f>IFERROR(__xludf.DUMMYFUNCTION("""COMPUTED_VALUE"""),"SOC-SP5")</f>
        <v>SOC-SP5</v>
      </c>
      <c r="D2784" s="234">
        <f>IFERROR(__xludf.DUMMYFUNCTION("""COMPUTED_VALUE"""),5.0)</f>
        <v>5</v>
      </c>
      <c r="E2784" s="237" t="str">
        <f>IFERROR(__xludf.DUMMYFUNCTION("""COMPUTED_VALUE"""),"LT1PCG01UPCE1")</f>
        <v>LT1PCG01UPCE1</v>
      </c>
      <c r="F2784" s="238" t="str">
        <f>IFERROR(__xludf.DUMMYFUNCTION("""COMPUTED_VALUE"""),"ARW6H90,DBL9F03")</f>
        <v>ARW6H90,DBL9F03</v>
      </c>
      <c r="G2784" s="238">
        <f>IFERROR(__xludf.DUMMYFUNCTION("""COMPUTED_VALUE"""),46007.875)</f>
        <v>46007.875</v>
      </c>
      <c r="H2784" s="238">
        <f>IFERROR(__xludf.DUMMYFUNCTION("""COMPUTED_VALUE"""),46008.20833333333)</f>
        <v>46008.20833</v>
      </c>
      <c r="I2784" s="237" t="str">
        <f t="shared" si="1"/>
        <v>Fora</v>
      </c>
      <c r="J2784" s="239">
        <v>180.0</v>
      </c>
    </row>
    <row r="2785">
      <c r="A2785" s="234" t="s">
        <v>4311</v>
      </c>
      <c r="B2785" s="234" t="str">
        <f>IFERROR(__xludf.DUMMYFUNCTION("""COMPUTED_VALUE"""),"SoC_SP_Santana")</f>
        <v>SoC_SP_Santana</v>
      </c>
      <c r="C2785" s="234" t="str">
        <f>IFERROR(__xludf.DUMMYFUNCTION("""COMPUTED_VALUE"""),"SOC-SP2")</f>
        <v>SOC-SP2</v>
      </c>
      <c r="D2785" s="234"/>
      <c r="E2785" s="237" t="str">
        <f>IFERROR(__xludf.DUMMYFUNCTION("""COMPUTED_VALUE"""),"LT0PCH01UCDW1")</f>
        <v>LT0PCH01UCDW1</v>
      </c>
      <c r="F2785" s="238" t="str">
        <f>IFERROR(__xludf.DUMMYFUNCTION("""COMPUTED_VALUE"""),"FOT6A80,FTH9H90")</f>
        <v>FOT6A80,FTH9H90</v>
      </c>
      <c r="G2785" s="238">
        <f>IFERROR(__xludf.DUMMYFUNCTION("""COMPUTED_VALUE"""),46008.08333333333)</f>
        <v>46008.08333</v>
      </c>
      <c r="H2785" s="238">
        <f>IFERROR(__xludf.DUMMYFUNCTION("""COMPUTED_VALUE"""),46008.20833333333)</f>
        <v>46008.20833</v>
      </c>
      <c r="I2785" s="237" t="str">
        <f t="shared" si="1"/>
        <v>Fora</v>
      </c>
      <c r="J2785" s="239">
        <v>119.99999999301508</v>
      </c>
    </row>
    <row r="2786">
      <c r="A2786" s="234" t="s">
        <v>4312</v>
      </c>
      <c r="B2786" s="234" t="str">
        <f>IFERROR(__xludf.DUMMYFUNCTION("""COMPUTED_VALUE"""),"LM Hub_SP_Itapeva")</f>
        <v>LM Hub_SP_Itapeva</v>
      </c>
      <c r="C2786" s="234" t="str">
        <f>IFERROR(__xludf.DUMMYFUNCTION("""COMPUTED_VALUE"""),"HUB-LSP-39")</f>
        <v>HUB-LSP-39</v>
      </c>
      <c r="D2786" s="234">
        <f>IFERROR(__xludf.DUMMYFUNCTION("""COMPUTED_VALUE"""),6.0)</f>
        <v>6</v>
      </c>
      <c r="E2786" s="237" t="str">
        <f>IFERROR(__xludf.DUMMYFUNCTION("""COMPUTED_VALUE"""),"LT0PCH01UBXO1")</f>
        <v>LT0PCH01UBXO1</v>
      </c>
      <c r="F2786" s="238" t="str">
        <f>IFERROR(__xludf.DUMMYFUNCTION("""COMPUTED_VALUE"""),"ATR7J98,BDT8C21")</f>
        <v>ATR7J98,BDT8C21</v>
      </c>
      <c r="G2786" s="238">
        <f>IFERROR(__xludf.DUMMYFUNCTION("""COMPUTED_VALUE"""),46008.125)</f>
        <v>46008.125</v>
      </c>
      <c r="H2786" s="238">
        <f>IFERROR(__xludf.DUMMYFUNCTION("""COMPUTED_VALUE"""),46008.20833333333)</f>
        <v>46008.20833</v>
      </c>
      <c r="I2786" s="237" t="str">
        <f t="shared" si="1"/>
        <v>Fora</v>
      </c>
      <c r="J2786" s="239">
        <v>119.99999999301508</v>
      </c>
    </row>
    <row r="2787">
      <c r="A2787" s="234" t="s">
        <v>4313</v>
      </c>
      <c r="B2787" s="234" t="str">
        <f>IFERROR(__xludf.DUMMYFUNCTION("""COMPUTED_VALUE"""),"LM Hub_SP_Sumaré_Nova Veneza_1")</f>
        <v>LM Hub_SP_Sumaré_Nova Veneza_1</v>
      </c>
      <c r="C2787" s="234" t="str">
        <f>IFERROR(__xludf.DUMMYFUNCTION("""COMPUTED_VALUE"""),"HUB-LSP-88")</f>
        <v>HUB-LSP-88</v>
      </c>
      <c r="D2787" s="234">
        <f>IFERROR(__xludf.DUMMYFUNCTION("""COMPUTED_VALUE"""),36.0)</f>
        <v>36</v>
      </c>
      <c r="E2787" s="237" t="str">
        <f>IFERROR(__xludf.DUMMYFUNCTION("""COMPUTED_VALUE"""),"LT0PCH01UHGU1")</f>
        <v>LT0PCH01UHGU1</v>
      </c>
      <c r="F2787" s="238" t="str">
        <f>IFERROR(__xludf.DUMMYFUNCTION("""COMPUTED_VALUE"""),"SXK8E70,SXS2F29")</f>
        <v>SXK8E70,SXS2F29</v>
      </c>
      <c r="G2787" s="238">
        <f>IFERROR(__xludf.DUMMYFUNCTION("""COMPUTED_VALUE"""),46008.125)</f>
        <v>46008.125</v>
      </c>
      <c r="H2787" s="238">
        <f>IFERROR(__xludf.DUMMYFUNCTION("""COMPUTED_VALUE"""),46008.20833333333)</f>
        <v>46008.20833</v>
      </c>
      <c r="I2787" s="237" t="str">
        <f t="shared" si="1"/>
        <v>Fora</v>
      </c>
      <c r="J2787" s="239">
        <v>119.99999999301508</v>
      </c>
    </row>
    <row r="2788">
      <c r="A2788" s="234" t="s">
        <v>4314</v>
      </c>
      <c r="B2788" s="234" t="str">
        <f>IFERROR(__xludf.DUMMYFUNCTION("""COMPUTED_VALUE"""),"SoC_PR_Curitiba")</f>
        <v>SoC_PR_Curitiba</v>
      </c>
      <c r="C2788" s="234" t="str">
        <f>IFERROR(__xludf.DUMMYFUNCTION("""COMPUTED_VALUE"""),"SOC-PR1")</f>
        <v>SOC-PR1</v>
      </c>
      <c r="D2788" s="234">
        <f>IFERROR(__xludf.DUMMYFUNCTION("""COMPUTED_VALUE"""),47.0)</f>
        <v>47</v>
      </c>
      <c r="E2788" s="237" t="str">
        <f>IFERROR(__xludf.DUMMYFUNCTION("""COMPUTED_VALUE"""),"LT0PCH01UBT91")</f>
        <v>LT0PCH01UBT91</v>
      </c>
      <c r="F2788" s="238" t="str">
        <f>IFERROR(__xludf.DUMMYFUNCTION("""COMPUTED_VALUE"""),"FSN5E96,SWY6F75")</f>
        <v>FSN5E96,SWY6F75</v>
      </c>
      <c r="G2788" s="238">
        <f>IFERROR(__xludf.DUMMYFUNCTION("""COMPUTED_VALUE"""),46008.125)</f>
        <v>46008.125</v>
      </c>
      <c r="H2788" s="238">
        <f>IFERROR(__xludf.DUMMYFUNCTION("""COMPUTED_VALUE"""),46008.20833333333)</f>
        <v>46008.20833</v>
      </c>
      <c r="I2788" s="237" t="str">
        <f t="shared" si="1"/>
        <v>Fora</v>
      </c>
      <c r="J2788" s="239">
        <v>119.99999999301508</v>
      </c>
    </row>
    <row r="2789">
      <c r="A2789" s="234" t="s">
        <v>4315</v>
      </c>
      <c r="B2789" s="234" t="str">
        <f>IFERROR(__xludf.DUMMYFUNCTION("""COMPUTED_VALUE"""),"SoC_SC_Itajaí")</f>
        <v>SoC_SC_Itajaí</v>
      </c>
      <c r="C2789" s="234" t="str">
        <f>IFERROR(__xludf.DUMMYFUNCTION("""COMPUTED_VALUE"""),"SOC-SC1")</f>
        <v>SOC-SC1</v>
      </c>
      <c r="D2789" s="234">
        <f>IFERROR(__xludf.DUMMYFUNCTION("""COMPUTED_VALUE"""),7.0)</f>
        <v>7</v>
      </c>
      <c r="E2789" s="237" t="str">
        <f>IFERROR(__xludf.DUMMYFUNCTION("""COMPUTED_VALUE"""),"LT0PCH01UGWQ1")</f>
        <v>LT0PCH01UGWQ1</v>
      </c>
      <c r="F2789" s="238" t="str">
        <f>IFERROR(__xludf.DUMMYFUNCTION("""COMPUTED_VALUE"""),"RLF4B54,RYH0J55")</f>
        <v>RLF4B54,RYH0J55</v>
      </c>
      <c r="G2789" s="238">
        <f>IFERROR(__xludf.DUMMYFUNCTION("""COMPUTED_VALUE"""),46008.125)</f>
        <v>46008.125</v>
      </c>
      <c r="H2789" s="238">
        <f>IFERROR(__xludf.DUMMYFUNCTION("""COMPUTED_VALUE"""),46008.20833333333)</f>
        <v>46008.20833</v>
      </c>
      <c r="I2789" s="237" t="str">
        <f t="shared" si="1"/>
        <v>Fora</v>
      </c>
      <c r="J2789" s="239">
        <v>119.99999999301508</v>
      </c>
    </row>
    <row r="2790">
      <c r="A2790" s="234" t="s">
        <v>4316</v>
      </c>
      <c r="B2790" s="234" t="str">
        <f>IFERROR(__xludf.DUMMYFUNCTION("""COMPUTED_VALUE"""),"SoC_SP_Louveira")</f>
        <v>SoC_SP_Louveira</v>
      </c>
      <c r="C2790" s="234" t="str">
        <f>IFERROR(__xludf.DUMMYFUNCTION("""COMPUTED_VALUE"""),"SOC-SP7")</f>
        <v>SOC-SP7</v>
      </c>
      <c r="D2790" s="234"/>
      <c r="E2790" s="237" t="str">
        <f>IFERROR(__xludf.DUMMYFUNCTION("""COMPUTED_VALUE"""),"LT1PCH01UPCT1")</f>
        <v>LT1PCH01UPCT1</v>
      </c>
      <c r="F2790" s="238" t="str">
        <f>IFERROR(__xludf.DUMMYFUNCTION("""COMPUTED_VALUE"""),"ISQ7F01,ANM9G89")</f>
        <v>ISQ7F01,ANM9G89</v>
      </c>
      <c r="G2790" s="238">
        <f>IFERROR(__xludf.DUMMYFUNCTION("""COMPUTED_VALUE"""),46008.125)</f>
        <v>46008.125</v>
      </c>
      <c r="H2790" s="238">
        <f>IFERROR(__xludf.DUMMYFUNCTION("""COMPUTED_VALUE"""),46008.20833333333)</f>
        <v>46008.20833</v>
      </c>
      <c r="I2790" s="237" t="str">
        <f t="shared" si="1"/>
        <v>Fora</v>
      </c>
      <c r="J2790" s="239">
        <v>120.00000001396984</v>
      </c>
    </row>
    <row r="2791">
      <c r="A2791" s="234" t="s">
        <v>4317</v>
      </c>
      <c r="B2791" s="234" t="str">
        <f>IFERROR(__xludf.DUMMYFUNCTION("""COMPUTED_VALUE"""),"LM Hub_SP_Mogi Mirim")</f>
        <v>LM Hub_SP_Mogi Mirim</v>
      </c>
      <c r="C2791" s="234" t="str">
        <f>IFERROR(__xludf.DUMMYFUNCTION("""COMPUTED_VALUE"""),"HUB-LSP-37")</f>
        <v>HUB-LSP-37</v>
      </c>
      <c r="D2791" s="234">
        <f>IFERROR(__xludf.DUMMYFUNCTION("""COMPUTED_VALUE"""),45.0)</f>
        <v>45</v>
      </c>
      <c r="E2791" s="237" t="str">
        <f>IFERROR(__xludf.DUMMYFUNCTION("""COMPUTED_VALUE"""),"LT0PCH01UC0F1")</f>
        <v>LT0PCH01UC0F1</v>
      </c>
      <c r="F2791" s="238" t="str">
        <f>IFERROR(__xludf.DUMMYFUNCTION("""COMPUTED_VALUE"""),"FGU5I81,JXA7D06")</f>
        <v>FGU5I81,JXA7D06</v>
      </c>
      <c r="G2791" s="238">
        <f>IFERROR(__xludf.DUMMYFUNCTION("""COMPUTED_VALUE"""),46008.14583333333)</f>
        <v>46008.14583</v>
      </c>
      <c r="H2791" s="238">
        <f>IFERROR(__xludf.DUMMYFUNCTION("""COMPUTED_VALUE"""),46008.22916666667)</f>
        <v>46008.22917</v>
      </c>
      <c r="I2791" s="237" t="str">
        <f t="shared" si="1"/>
        <v>Fora</v>
      </c>
      <c r="J2791" s="239">
        <v>120.00000001396984</v>
      </c>
    </row>
    <row r="2792">
      <c r="A2792" s="234" t="s">
        <v>4318</v>
      </c>
      <c r="B2792" s="234" t="str">
        <f>IFERROR(__xludf.DUMMYFUNCTION("""COMPUTED_VALUE"""),"LM Hub_SP_Osasco_02")</f>
        <v>LM Hub_SP_Osasco_02</v>
      </c>
      <c r="C2792" s="234" t="str">
        <f>IFERROR(__xludf.DUMMYFUNCTION("""COMPUTED_VALUE"""),"HUB-LSP-60")</f>
        <v>HUB-LSP-60</v>
      </c>
      <c r="D2792" s="234"/>
      <c r="E2792" s="237" t="str">
        <f>IFERROR(__xludf.DUMMYFUNCTION("""COMPUTED_VALUE"""),"LT0PCH01UD471")</f>
        <v>LT0PCH01UD471</v>
      </c>
      <c r="F2792" s="238" t="str">
        <f>IFERROR(__xludf.DUMMYFUNCTION("""COMPUTED_VALUE"""),"AZZ7H09,EZU5701")</f>
        <v>AZZ7H09,EZU5701</v>
      </c>
      <c r="G2792" s="238">
        <f>IFERROR(__xludf.DUMMYFUNCTION("""COMPUTED_VALUE"""),46008.14583333333)</f>
        <v>46008.14583</v>
      </c>
      <c r="H2792" s="238">
        <f>IFERROR(__xludf.DUMMYFUNCTION("""COMPUTED_VALUE"""),46008.22916666667)</f>
        <v>46008.22917</v>
      </c>
      <c r="I2792" s="237" t="str">
        <f t="shared" si="1"/>
        <v>Fora</v>
      </c>
      <c r="J2792" s="239">
        <v>119.00000001071021</v>
      </c>
    </row>
    <row r="2793">
      <c r="A2793" s="234" t="s">
        <v>4319</v>
      </c>
      <c r="B2793" s="234" t="str">
        <f>IFERROR(__xludf.DUMMYFUNCTION("""COMPUTED_VALUE"""),"LM Hub_SP_Campinas_São Martinho")</f>
        <v>LM Hub_SP_Campinas_São Martinho</v>
      </c>
      <c r="C2793" s="234" t="str">
        <f>IFERROR(__xludf.DUMMYFUNCTION("""COMPUTED_VALUE"""),"HUB-LSP-19")</f>
        <v>HUB-LSP-19</v>
      </c>
      <c r="D2793" s="234"/>
      <c r="E2793" s="237" t="str">
        <f>IFERROR(__xludf.DUMMYFUNCTION("""COMPUTED_VALUE"""),"LT0PCH01UC1B1")</f>
        <v>LT0PCH01UC1B1</v>
      </c>
      <c r="F2793" s="238" t="str">
        <f>IFERROR(__xludf.DUMMYFUNCTION("""COMPUTED_VALUE"""),"JWK7337,LLF2E94")</f>
        <v>JWK7337,LLF2E94</v>
      </c>
      <c r="G2793" s="238">
        <f>IFERROR(__xludf.DUMMYFUNCTION("""COMPUTED_VALUE"""),46008.146527777775)</f>
        <v>46008.14653</v>
      </c>
      <c r="H2793" s="238">
        <f>IFERROR(__xludf.DUMMYFUNCTION("""COMPUTED_VALUE"""),46008.22916666667)</f>
        <v>46008.22917</v>
      </c>
      <c r="I2793" s="237" t="str">
        <f t="shared" si="1"/>
        <v>Fora</v>
      </c>
      <c r="J2793" s="239">
        <v>118.00000000745058</v>
      </c>
    </row>
    <row r="2794">
      <c r="A2794" s="234" t="s">
        <v>4320</v>
      </c>
      <c r="B2794" s="234" t="str">
        <f>IFERROR(__xludf.DUMMYFUNCTION("""COMPUTED_VALUE"""),"LM Hub_SP_Sorocaba_Região Norte")</f>
        <v>LM Hub_SP_Sorocaba_Região Norte</v>
      </c>
      <c r="C2794" s="234" t="str">
        <f>IFERROR(__xludf.DUMMYFUNCTION("""COMPUTED_VALUE"""),"HUB-LSP-10")</f>
        <v>HUB-LSP-10</v>
      </c>
      <c r="D2794" s="234">
        <f>IFERROR(__xludf.DUMMYFUNCTION("""COMPUTED_VALUE"""),19.0)</f>
        <v>19</v>
      </c>
      <c r="E2794" s="237" t="str">
        <f>IFERROR(__xludf.DUMMYFUNCTION("""COMPUTED_VALUE"""),"LT0PCH01UBZB1")</f>
        <v>LT0PCH01UBZB1</v>
      </c>
      <c r="F2794" s="238" t="str">
        <f>IFERROR(__xludf.DUMMYFUNCTION("""COMPUTED_VALUE"""),"MYP2D33,MYP2D31")</f>
        <v>MYP2D33,MYP2D31</v>
      </c>
      <c r="G2794" s="238">
        <f>IFERROR(__xludf.DUMMYFUNCTION("""COMPUTED_VALUE"""),46008.14722222222)</f>
        <v>46008.14722</v>
      </c>
      <c r="H2794" s="238">
        <f>IFERROR(__xludf.DUMMYFUNCTION("""COMPUTED_VALUE"""),46008.22916666667)</f>
        <v>46008.22917</v>
      </c>
      <c r="I2794" s="237" t="str">
        <f t="shared" si="1"/>
        <v>Fora</v>
      </c>
      <c r="J2794" s="239">
        <v>119.99999999301508</v>
      </c>
    </row>
    <row r="2795">
      <c r="A2795" s="234" t="s">
        <v>280</v>
      </c>
      <c r="B2795" s="234" t="str">
        <f>IFERROR(__xludf.DUMMYFUNCTION("""COMPUTED_VALUE"""),"LM Hub_SP_Guaratinguetá")</f>
        <v>LM Hub_SP_Guaratinguetá</v>
      </c>
      <c r="C2795" s="234" t="str">
        <f>IFERROR(__xludf.DUMMYFUNCTION("""COMPUTED_VALUE"""),"HUB-LSP-33")</f>
        <v>HUB-LSP-33</v>
      </c>
      <c r="D2795" s="234">
        <f>IFERROR(__xludf.DUMMYFUNCTION("""COMPUTED_VALUE"""),14.0)</f>
        <v>14</v>
      </c>
      <c r="E2795" s="237" t="str">
        <f>IFERROR(__xludf.DUMMYFUNCTION("""COMPUTED_VALUE"""),"LT0PCH01UBYK1")</f>
        <v>LT0PCH01UBYK1</v>
      </c>
      <c r="F2795" s="238" t="str">
        <f>IFERROR(__xludf.DUMMYFUNCTION("""COMPUTED_VALUE"""),"EKH3880,EKH3800")</f>
        <v>EKH3880,EKH3800</v>
      </c>
      <c r="G2795" s="238">
        <f>IFERROR(__xludf.DUMMYFUNCTION("""COMPUTED_VALUE"""),46008.16666666667)</f>
        <v>46008.16667</v>
      </c>
      <c r="H2795" s="238">
        <f>IFERROR(__xludf.DUMMYFUNCTION("""COMPUTED_VALUE"""),46008.25)</f>
        <v>46008.25</v>
      </c>
      <c r="I2795" s="237" t="str">
        <f t="shared" si="1"/>
        <v>Fora</v>
      </c>
      <c r="J2795" s="239">
        <v>119.99999999301508</v>
      </c>
    </row>
    <row r="2796">
      <c r="A2796" s="234" t="s">
        <v>281</v>
      </c>
      <c r="B2796" s="234" t="str">
        <f>IFERROR(__xludf.DUMMYFUNCTION("""COMPUTED_VALUE"""),"LM Hub_SP_Limeira_Campo Belo")</f>
        <v>LM Hub_SP_Limeira_Campo Belo</v>
      </c>
      <c r="C2796" s="234" t="str">
        <f>IFERROR(__xludf.DUMMYFUNCTION("""COMPUTED_VALUE"""),"HUB-LSP-24")</f>
        <v>HUB-LSP-24</v>
      </c>
      <c r="D2796" s="234">
        <f>IFERROR(__xludf.DUMMYFUNCTION("""COMPUTED_VALUE"""),38.0)</f>
        <v>38</v>
      </c>
      <c r="E2796" s="237" t="str">
        <f>IFERROR(__xludf.DUMMYFUNCTION("""COMPUTED_VALUE"""),"LT0PCH01UBZL1")</f>
        <v>LT0PCH01UBZL1</v>
      </c>
      <c r="F2796" s="238" t="str">
        <f>IFERROR(__xludf.DUMMYFUNCTION("""COMPUTED_VALUE"""),"TLE4D84,TLE4D80")</f>
        <v>TLE4D84,TLE4D80</v>
      </c>
      <c r="G2796" s="238">
        <f>IFERROR(__xludf.DUMMYFUNCTION("""COMPUTED_VALUE"""),46008.16666666667)</f>
        <v>46008.16667</v>
      </c>
      <c r="H2796" s="238">
        <f>IFERROR(__xludf.DUMMYFUNCTION("""COMPUTED_VALUE"""),46008.25)</f>
        <v>46008.25</v>
      </c>
      <c r="I2796" s="237" t="str">
        <f t="shared" si="1"/>
        <v>Fora</v>
      </c>
      <c r="J2796" s="239">
        <v>119.99999999301508</v>
      </c>
    </row>
    <row r="2797">
      <c r="A2797" s="234" t="s">
        <v>282</v>
      </c>
      <c r="B2797" s="234" t="str">
        <f>IFERROR(__xludf.DUMMYFUNCTION("""COMPUTED_VALUE"""),"LM Hub_SP_Registro")</f>
        <v>LM Hub_SP_Registro</v>
      </c>
      <c r="C2797" s="234" t="str">
        <f>IFERROR(__xludf.DUMMYFUNCTION("""COMPUTED_VALUE"""),"-")</f>
        <v>-</v>
      </c>
      <c r="D2797" s="234">
        <f>IFERROR(__xludf.DUMMYFUNCTION("""COMPUTED_VALUE"""),7.0)</f>
        <v>7</v>
      </c>
      <c r="E2797" s="237" t="str">
        <f>IFERROR(__xludf.DUMMYFUNCTION("""COMPUTED_VALUE"""),"LT0PCH01UBY91")</f>
        <v>LT0PCH01UBY91</v>
      </c>
      <c r="F2797" s="238" t="str">
        <f>IFERROR(__xludf.DUMMYFUNCTION("""COMPUTED_VALUE"""),"CSK6J01,CSK6J00")</f>
        <v>CSK6J01,CSK6J00</v>
      </c>
      <c r="G2797" s="238">
        <f>IFERROR(__xludf.DUMMYFUNCTION("""COMPUTED_VALUE"""),46008.16666666667)</f>
        <v>46008.16667</v>
      </c>
      <c r="H2797" s="238">
        <f>IFERROR(__xludf.DUMMYFUNCTION("""COMPUTED_VALUE"""),46008.25)</f>
        <v>46008.25</v>
      </c>
      <c r="I2797" s="237" t="str">
        <f t="shared" si="1"/>
        <v>Fora</v>
      </c>
      <c r="J2797" s="239">
        <v>119.99999999301508</v>
      </c>
    </row>
    <row r="2798">
      <c r="A2798" s="234" t="s">
        <v>283</v>
      </c>
      <c r="B2798" s="234" t="str">
        <f>IFERROR(__xludf.DUMMYFUNCTION("""COMPUTED_VALUE"""),"LM Hub_SP_São Bernardo do Campo")</f>
        <v>LM Hub_SP_São Bernardo do Campo</v>
      </c>
      <c r="C2798" s="234" t="str">
        <f>IFERROR(__xludf.DUMMYFUNCTION("""COMPUTED_VALUE"""),"HUB-LSP-79")</f>
        <v>HUB-LSP-79</v>
      </c>
      <c r="D2798" s="234">
        <f>IFERROR(__xludf.DUMMYFUNCTION("""COMPUTED_VALUE"""),27.0)</f>
        <v>27</v>
      </c>
      <c r="E2798" s="237" t="str">
        <f>IFERROR(__xludf.DUMMYFUNCTION("""COMPUTED_VALUE"""),"LT0PCH01UCJ81")</f>
        <v>LT0PCH01UCJ81</v>
      </c>
      <c r="F2798" s="238" t="str">
        <f>IFERROR(__xludf.DUMMYFUNCTION("""COMPUTED_VALUE"""),"FUF6H46,NVV7D82")</f>
        <v>FUF6H46,NVV7D82</v>
      </c>
      <c r="G2798" s="238">
        <f>IFERROR(__xludf.DUMMYFUNCTION("""COMPUTED_VALUE"""),46008.16666666667)</f>
        <v>46008.16667</v>
      </c>
      <c r="H2798" s="238">
        <f>IFERROR(__xludf.DUMMYFUNCTION("""COMPUTED_VALUE"""),46008.25)</f>
        <v>46008.25</v>
      </c>
      <c r="I2798" s="237" t="str">
        <f t="shared" si="1"/>
        <v>Fora</v>
      </c>
      <c r="J2798" s="239">
        <v>119.99999999301508</v>
      </c>
    </row>
    <row r="2799">
      <c r="A2799" s="234" t="s">
        <v>284</v>
      </c>
      <c r="B2799" s="234" t="str">
        <f>IFERROR(__xludf.DUMMYFUNCTION("""COMPUTED_VALUE"""),"LM Hub_SP_Várzea Paulista")</f>
        <v>LM Hub_SP_Várzea Paulista</v>
      </c>
      <c r="C2799" s="234" t="str">
        <f>IFERROR(__xludf.DUMMYFUNCTION("""COMPUTED_VALUE"""),"HUB-LSP-61")</f>
        <v>HUB-LSP-61</v>
      </c>
      <c r="D2799" s="234">
        <f>IFERROR(__xludf.DUMMYFUNCTION("""COMPUTED_VALUE"""),46.0)</f>
        <v>46</v>
      </c>
      <c r="E2799" s="237" t="str">
        <f>IFERROR(__xludf.DUMMYFUNCTION("""COMPUTED_VALUE"""),"LT0PCH01UBZU1")</f>
        <v>LT0PCH01UBZU1</v>
      </c>
      <c r="F2799" s="238" t="str">
        <f>IFERROR(__xludf.DUMMYFUNCTION("""COMPUTED_VALUE"""),"HID2600,TLW4C75")</f>
        <v>HID2600,TLW4C75</v>
      </c>
      <c r="G2799" s="238">
        <f>IFERROR(__xludf.DUMMYFUNCTION("""COMPUTED_VALUE"""),46008.16666666667)</f>
        <v>46008.16667</v>
      </c>
      <c r="H2799" s="238">
        <f>IFERROR(__xludf.DUMMYFUNCTION("""COMPUTED_VALUE"""),46008.25)</f>
        <v>46008.25</v>
      </c>
      <c r="I2799" s="237" t="str">
        <f t="shared" si="1"/>
        <v>Fora</v>
      </c>
      <c r="J2799" s="239">
        <v>119.99999999301508</v>
      </c>
    </row>
    <row r="2800">
      <c r="A2800" s="234" t="s">
        <v>4321</v>
      </c>
      <c r="B2800" s="234" t="str">
        <f>IFERROR(__xludf.DUMMYFUNCTION("""COMPUTED_VALUE"""),"SoC_PE_Jaboatão dos Guararapes")</f>
        <v>SoC_PE_Jaboatão dos Guararapes</v>
      </c>
      <c r="C2800" s="234" t="str">
        <f>IFERROR(__xludf.DUMMYFUNCTION("""COMPUTED_VALUE"""),"SOC-PE2")</f>
        <v>SOC-PE2</v>
      </c>
      <c r="D2800" s="234"/>
      <c r="E2800" s="237" t="str">
        <f>IFERROR(__xludf.DUMMYFUNCTION("""COMPUTED_VALUE"""),"LT0PCH01UHUG1")</f>
        <v>LT0PCH01UHUG1</v>
      </c>
      <c r="F2800" s="238" t="str">
        <f>IFERROR(__xludf.DUMMYFUNCTION("""COMPUTED_VALUE"""),"DVT6I40,NDF2C37")</f>
        <v>DVT6I40,NDF2C37</v>
      </c>
      <c r="G2800" s="238">
        <f>IFERROR(__xludf.DUMMYFUNCTION("""COMPUTED_VALUE"""),46008.16666666667)</f>
        <v>46008.16667</v>
      </c>
      <c r="H2800" s="238">
        <f>IFERROR(__xludf.DUMMYFUNCTION("""COMPUTED_VALUE"""),46008.25)</f>
        <v>46008.25</v>
      </c>
      <c r="I2800" s="237" t="str">
        <f t="shared" si="1"/>
        <v>Fora</v>
      </c>
      <c r="J2800" s="239">
        <v>119.99999999301508</v>
      </c>
    </row>
    <row r="2801">
      <c r="A2801" s="234" t="s">
        <v>287</v>
      </c>
      <c r="B2801" s="234" t="str">
        <f>IFERROR(__xludf.DUMMYFUNCTION("""COMPUTED_VALUE"""),"SoC_PR_Curitiba")</f>
        <v>SoC_PR_Curitiba</v>
      </c>
      <c r="C2801" s="234" t="str">
        <f>IFERROR(__xludf.DUMMYFUNCTION("""COMPUTED_VALUE"""),"SOC-PR1")</f>
        <v>SOC-PR1</v>
      </c>
      <c r="D2801" s="234">
        <f>IFERROR(__xludf.DUMMYFUNCTION("""COMPUTED_VALUE"""),48.0)</f>
        <v>48</v>
      </c>
      <c r="E2801" s="237" t="str">
        <f>IFERROR(__xludf.DUMMYFUNCTION("""COMPUTED_VALUE"""),"LT0PCH01UBTC1")</f>
        <v>LT0PCH01UBTC1</v>
      </c>
      <c r="F2801" s="238" t="str">
        <f>IFERROR(__xludf.DUMMYFUNCTION("""COMPUTED_VALUE"""),"TAU0C31,FOP7H75")</f>
        <v>TAU0C31,FOP7H75</v>
      </c>
      <c r="G2801" s="238">
        <f>IFERROR(__xludf.DUMMYFUNCTION("""COMPUTED_VALUE"""),46008.16666666667)</f>
        <v>46008.16667</v>
      </c>
      <c r="H2801" s="238">
        <f>IFERROR(__xludf.DUMMYFUNCTION("""COMPUTED_VALUE"""),46008.25)</f>
        <v>46008.25</v>
      </c>
      <c r="I2801" s="237" t="str">
        <f t="shared" si="1"/>
        <v>Fora</v>
      </c>
      <c r="J2801" s="239">
        <v>119.99999999301508</v>
      </c>
    </row>
    <row r="2802">
      <c r="A2802" s="234" t="s">
        <v>291</v>
      </c>
      <c r="B2802" s="234" t="str">
        <f>IFERROR(__xludf.DUMMYFUNCTION("""COMPUTED_VALUE"""),"SoC_RS_Gravataí_02")</f>
        <v>SoC_RS_Gravataí_02</v>
      </c>
      <c r="C2802" s="234" t="str">
        <f>IFERROR(__xludf.DUMMYFUNCTION("""COMPUTED_VALUE"""),"SOC-RS2")</f>
        <v>SOC-RS2</v>
      </c>
      <c r="D2802" s="234">
        <f>IFERROR(__xludf.DUMMYFUNCTION("""COMPUTED_VALUE"""),25.0)</f>
        <v>25</v>
      </c>
      <c r="E2802" s="237" t="str">
        <f>IFERROR(__xludf.DUMMYFUNCTION("""COMPUTED_VALUE"""),"LT0PCH01UI9P1")</f>
        <v>LT0PCH01UI9P1</v>
      </c>
      <c r="F2802" s="238" t="str">
        <f>IFERROR(__xludf.DUMMYFUNCTION("""COMPUTED_VALUE"""),"FYB4J63,UDN7D17")</f>
        <v>FYB4J63,UDN7D17</v>
      </c>
      <c r="G2802" s="238">
        <f>IFERROR(__xludf.DUMMYFUNCTION("""COMPUTED_VALUE"""),46008.16666666667)</f>
        <v>46008.16667</v>
      </c>
      <c r="H2802" s="238">
        <f>IFERROR(__xludf.DUMMYFUNCTION("""COMPUTED_VALUE"""),46008.25)</f>
        <v>46008.25</v>
      </c>
      <c r="I2802" s="237" t="str">
        <f t="shared" si="1"/>
        <v>Fora</v>
      </c>
      <c r="J2802" s="239">
        <v>119.00000000023283</v>
      </c>
    </row>
    <row r="2803">
      <c r="A2803" s="234" t="s">
        <v>293</v>
      </c>
      <c r="B2803" s="234" t="str">
        <f>IFERROR(__xludf.DUMMYFUNCTION("""COMPUTED_VALUE"""),"SoC_SP_Louveira")</f>
        <v>SoC_SP_Louveira</v>
      </c>
      <c r="C2803" s="234" t="str">
        <f>IFERROR(__xludf.DUMMYFUNCTION("""COMPUTED_VALUE"""),"SOC-SP7")</f>
        <v>SOC-SP7</v>
      </c>
      <c r="D2803" s="234">
        <f>IFERROR(__xludf.DUMMYFUNCTION("""COMPUTED_VALUE"""),32.0)</f>
        <v>32</v>
      </c>
      <c r="E2803" s="237" t="str">
        <f>IFERROR(__xludf.DUMMYFUNCTION("""COMPUTED_VALUE"""),"LT0PCH01UBUV1")</f>
        <v>LT0PCH01UBUV1</v>
      </c>
      <c r="F2803" s="238" t="str">
        <f>IFERROR(__xludf.DUMMYFUNCTION("""COMPUTED_VALUE"""),"DCU9C23,TJQ3B56")</f>
        <v>DCU9C23,TJQ3B56</v>
      </c>
      <c r="G2803" s="238">
        <f>IFERROR(__xludf.DUMMYFUNCTION("""COMPUTED_VALUE"""),46008.16736111111)</f>
        <v>46008.16736</v>
      </c>
      <c r="H2803" s="238">
        <f>IFERROR(__xludf.DUMMYFUNCTION("""COMPUTED_VALUE"""),46008.25)</f>
        <v>46008.25</v>
      </c>
      <c r="I2803" s="237" t="str">
        <f t="shared" si="1"/>
        <v>Fora</v>
      </c>
      <c r="J2803" s="239">
        <v>119.99999999301508</v>
      </c>
    </row>
    <row r="2804">
      <c r="A2804" s="234" t="s">
        <v>4322</v>
      </c>
      <c r="B2804" s="234" t="str">
        <f>IFERROR(__xludf.DUMMYFUNCTION("""COMPUTED_VALUE"""),"LM Hub_SP_Atibaia_Ponte_Alta")</f>
        <v>LM Hub_SP_Atibaia_Ponte_Alta</v>
      </c>
      <c r="C2804" s="234" t="str">
        <f>IFERROR(__xludf.DUMMYFUNCTION("""COMPUTED_VALUE"""),"HUB-LSP-87")</f>
        <v>HUB-LSP-87</v>
      </c>
      <c r="D2804" s="234"/>
      <c r="E2804" s="237" t="str">
        <f>IFERROR(__xludf.DUMMYFUNCTION("""COMPUTED_VALUE"""),"LT0PCH01UG6O1")</f>
        <v>LT0PCH01UG6O1</v>
      </c>
      <c r="F2804" s="234"/>
      <c r="G2804" s="238">
        <f>IFERROR(__xludf.DUMMYFUNCTION("""COMPUTED_VALUE"""),46008.1875)</f>
        <v>46008.1875</v>
      </c>
      <c r="H2804" s="238">
        <f>IFERROR(__xludf.DUMMYFUNCTION("""COMPUTED_VALUE"""),46008.27083333333)</f>
        <v>46008.27083</v>
      </c>
      <c r="I2804" s="237" t="str">
        <f t="shared" si="1"/>
        <v>Fora</v>
      </c>
      <c r="J2804" s="239">
        <v>118.99999998975545</v>
      </c>
    </row>
    <row r="2805">
      <c r="A2805" s="234" t="s">
        <v>295</v>
      </c>
      <c r="B2805" s="234" t="str">
        <f>IFERROR(__xludf.DUMMYFUNCTION("""COMPUTED_VALUE"""),"LM Hub_SP_Embu das Artes")</f>
        <v>LM Hub_SP_Embu das Artes</v>
      </c>
      <c r="C2805" s="234" t="str">
        <f>IFERROR(__xludf.DUMMYFUNCTION("""COMPUTED_VALUE"""),"HUB-LSP-36")</f>
        <v>HUB-LSP-36</v>
      </c>
      <c r="D2805" s="234">
        <f>IFERROR(__xludf.DUMMYFUNCTION("""COMPUTED_VALUE"""),13.0)</f>
        <v>13</v>
      </c>
      <c r="E2805" s="237" t="str">
        <f>IFERROR(__xludf.DUMMYFUNCTION("""COMPUTED_VALUE"""),"LT0PCH01UD5J1")</f>
        <v>LT0PCH01UD5J1</v>
      </c>
      <c r="F2805" s="238" t="str">
        <f>IFERROR(__xludf.DUMMYFUNCTION("""COMPUTED_VALUE"""),"SUQ5C99,TLD5B82")</f>
        <v>SUQ5C99,TLD5B82</v>
      </c>
      <c r="G2805" s="238">
        <f>IFERROR(__xludf.DUMMYFUNCTION("""COMPUTED_VALUE"""),46008.18819444445)</f>
        <v>46008.18819</v>
      </c>
      <c r="H2805" s="238">
        <f>IFERROR(__xludf.DUMMYFUNCTION("""COMPUTED_VALUE"""),46008.27083333333)</f>
        <v>46008.27083</v>
      </c>
      <c r="I2805" s="237" t="str">
        <f t="shared" si="1"/>
        <v>Fora</v>
      </c>
      <c r="J2805" s="239">
        <v>118.99999998975545</v>
      </c>
    </row>
    <row r="2806">
      <c r="A2806" s="234" t="s">
        <v>296</v>
      </c>
      <c r="B2806" s="234" t="str">
        <f>IFERROR(__xludf.DUMMYFUNCTION("""COMPUTED_VALUE"""),"LM Hub_SP_Taubaté")</f>
        <v>LM Hub_SP_Taubaté</v>
      </c>
      <c r="C2806" s="234" t="str">
        <f>IFERROR(__xludf.DUMMYFUNCTION("""COMPUTED_VALUE"""),"HUB-LSP-08")</f>
        <v>HUB-LSP-08</v>
      </c>
      <c r="D2806" s="234">
        <f>IFERROR(__xludf.DUMMYFUNCTION("""COMPUTED_VALUE"""),8.0)</f>
        <v>8</v>
      </c>
      <c r="E2806" s="237" t="str">
        <f>IFERROR(__xludf.DUMMYFUNCTION("""COMPUTED_VALUE"""),"LT0PCH01UBYU1")</f>
        <v>LT0PCH01UBYU1</v>
      </c>
      <c r="F2806" s="238" t="str">
        <f>IFERROR(__xludf.DUMMYFUNCTION("""COMPUTED_VALUE"""),"FXQ8H67,APK5F88")</f>
        <v>FXQ8H67,APK5F88</v>
      </c>
      <c r="G2806" s="238">
        <f>IFERROR(__xludf.DUMMYFUNCTION("""COMPUTED_VALUE"""),46008.18819444445)</f>
        <v>46008.18819</v>
      </c>
      <c r="H2806" s="238">
        <f>IFERROR(__xludf.DUMMYFUNCTION("""COMPUTED_VALUE"""),46008.27083333333)</f>
        <v>46008.27083</v>
      </c>
      <c r="I2806" s="237" t="str">
        <f t="shared" si="1"/>
        <v>Fora</v>
      </c>
      <c r="J2806" s="239">
        <v>540.0</v>
      </c>
    </row>
    <row r="2807">
      <c r="A2807" s="234" t="s">
        <v>297</v>
      </c>
      <c r="B2807" s="234" t="str">
        <f>IFERROR(__xludf.DUMMYFUNCTION("""COMPUTED_VALUE"""),"SoC_BA_Simoes Filho")</f>
        <v>SoC_BA_Simoes Filho</v>
      </c>
      <c r="C2807" s="234" t="str">
        <f>IFERROR(__xludf.DUMMYFUNCTION("""COMPUTED_VALUE"""),"SOC-BA2")</f>
        <v>SOC-BA2</v>
      </c>
      <c r="D2807" s="234">
        <f>IFERROR(__xludf.DUMMYFUNCTION("""COMPUTED_VALUE"""),89.0)</f>
        <v>89</v>
      </c>
      <c r="E2807" s="237" t="str">
        <f>IFERROR(__xludf.DUMMYFUNCTION("""COMPUTED_VALUE"""),"LT0PCG01UHZ01")</f>
        <v>LT0PCG01UHZ01</v>
      </c>
      <c r="F2807" s="238" t="str">
        <f>IFERROR(__xludf.DUMMYFUNCTION("""COMPUTED_VALUE"""),"ELQ1D50,MME4B74")</f>
        <v>ELQ1D50,MME4B74</v>
      </c>
      <c r="G2807" s="238">
        <f>IFERROR(__xludf.DUMMYFUNCTION("""COMPUTED_VALUE"""),46007.91666666667)</f>
        <v>46007.91667</v>
      </c>
      <c r="H2807" s="238">
        <f>IFERROR(__xludf.DUMMYFUNCTION("""COMPUTED_VALUE"""),46008.29166666667)</f>
        <v>46008.29167</v>
      </c>
      <c r="I2807" s="237" t="str">
        <f t="shared" si="1"/>
        <v>Fora</v>
      </c>
      <c r="J2807" s="239">
        <v>539.0000000072177</v>
      </c>
    </row>
    <row r="2808">
      <c r="A2808" s="234" t="s">
        <v>4323</v>
      </c>
      <c r="B2808" s="234" t="str">
        <f>IFERROR(__xludf.DUMMYFUNCTION("""COMPUTED_VALUE"""),"SoC_MG_Betim")</f>
        <v>SoC_MG_Betim</v>
      </c>
      <c r="C2808" s="234" t="str">
        <f>IFERROR(__xludf.DUMMYFUNCTION("""COMPUTED_VALUE"""),"SOC-MG2")</f>
        <v>SOC-MG2</v>
      </c>
      <c r="D2808" s="234"/>
      <c r="E2808" s="237" t="str">
        <f>IFERROR(__xludf.DUMMYFUNCTION("""COMPUTED_VALUE"""),"LT0PCG01U8791")</f>
        <v>LT0PCG01U8791</v>
      </c>
      <c r="F2808" s="234"/>
      <c r="G2808" s="238">
        <f>IFERROR(__xludf.DUMMYFUNCTION("""COMPUTED_VALUE"""),46007.91736111111)</f>
        <v>46007.91736</v>
      </c>
      <c r="H2808" s="238">
        <f>IFERROR(__xludf.DUMMYFUNCTION("""COMPUTED_VALUE"""),46008.29166666667)</f>
        <v>46008.29167</v>
      </c>
      <c r="I2808" s="237" t="str">
        <f t="shared" si="1"/>
        <v>Fora</v>
      </c>
      <c r="J2808" s="239">
        <v>538.0000000144355</v>
      </c>
    </row>
    <row r="2809">
      <c r="A2809" s="234" t="s">
        <v>298</v>
      </c>
      <c r="B2809" s="234" t="str">
        <f>IFERROR(__xludf.DUMMYFUNCTION("""COMPUTED_VALUE"""),"SoC_SP_Cravinhos")</f>
        <v>SoC_SP_Cravinhos</v>
      </c>
      <c r="C2809" s="234" t="str">
        <f>IFERROR(__xludf.DUMMYFUNCTION("""COMPUTED_VALUE"""),"SOC-SP5")</f>
        <v>SOC-SP5</v>
      </c>
      <c r="D2809" s="234">
        <f>IFERROR(__xludf.DUMMYFUNCTION("""COMPUTED_VALUE"""),94.0)</f>
        <v>94</v>
      </c>
      <c r="E2809" s="237" t="str">
        <f>IFERROR(__xludf.DUMMYFUNCTION("""COMPUTED_VALUE"""),"LT0PCG01UBUI2")</f>
        <v>LT0PCG01UBUI2</v>
      </c>
      <c r="F2809" s="238" t="str">
        <f>IFERROR(__xludf.DUMMYFUNCTION("""COMPUTED_VALUE"""),"UDR9D90,GFK1D06")</f>
        <v>UDR9D90,GFK1D06</v>
      </c>
      <c r="G2809" s="238">
        <f>IFERROR(__xludf.DUMMYFUNCTION("""COMPUTED_VALUE"""),46007.91805555555)</f>
        <v>46007.91806</v>
      </c>
      <c r="H2809" s="238">
        <f>IFERROR(__xludf.DUMMYFUNCTION("""COMPUTED_VALUE"""),46008.29166666667)</f>
        <v>46008.29167</v>
      </c>
      <c r="I2809" s="237" t="str">
        <f t="shared" si="1"/>
        <v>Fora</v>
      </c>
      <c r="J2809" s="239">
        <v>537.0000000111759</v>
      </c>
    </row>
    <row r="2810">
      <c r="A2810" s="234" t="s">
        <v>4324</v>
      </c>
      <c r="B2810" s="234" t="str">
        <f>IFERROR(__xludf.DUMMYFUNCTION("""COMPUTED_VALUE"""),"SoC_MG_Betim")</f>
        <v>SoC_MG_Betim</v>
      </c>
      <c r="C2810" s="234" t="str">
        <f>IFERROR(__xludf.DUMMYFUNCTION("""COMPUTED_VALUE"""),"SOC-MG2")</f>
        <v>SOC-MG2</v>
      </c>
      <c r="D2810" s="234">
        <f>IFERROR(__xludf.DUMMYFUNCTION("""COMPUTED_VALUE"""),91.0)</f>
        <v>91</v>
      </c>
      <c r="E2810" s="237" t="str">
        <f>IFERROR(__xludf.DUMMYFUNCTION("""COMPUTED_VALUE"""),"LT0PCG01UBSW1")</f>
        <v>LT0PCG01UBSW1</v>
      </c>
      <c r="F2810" s="238" t="str">
        <f>IFERROR(__xludf.DUMMYFUNCTION("""COMPUTED_VALUE"""),"SUK3I00,RXK2F90")</f>
        <v>SUK3I00,RXK2F90</v>
      </c>
      <c r="G2810" s="238">
        <f>IFERROR(__xludf.DUMMYFUNCTION("""COMPUTED_VALUE"""),46007.91875)</f>
        <v>46007.91875</v>
      </c>
      <c r="H2810" s="238">
        <f>IFERROR(__xludf.DUMMYFUNCTION("""COMPUTED_VALUE"""),46008.29166666667)</f>
        <v>46008.29167</v>
      </c>
      <c r="I2810" s="237" t="str">
        <f t="shared" si="1"/>
        <v>Fora</v>
      </c>
      <c r="J2810" s="239">
        <v>537.0000000111759</v>
      </c>
    </row>
    <row r="2811">
      <c r="A2811" s="234" t="s">
        <v>299</v>
      </c>
      <c r="B2811" s="234" t="str">
        <f>IFERROR(__xludf.DUMMYFUNCTION("""COMPUTED_VALUE"""),"SoC_MG_Betim")</f>
        <v>SoC_MG_Betim</v>
      </c>
      <c r="C2811" s="234" t="str">
        <f>IFERROR(__xludf.DUMMYFUNCTION("""COMPUTED_VALUE"""),"SOC-MG2")</f>
        <v>SOC-MG2</v>
      </c>
      <c r="D2811" s="234">
        <f>IFERROR(__xludf.DUMMYFUNCTION("""COMPUTED_VALUE"""),90.0)</f>
        <v>90</v>
      </c>
      <c r="E2811" s="237" t="str">
        <f>IFERROR(__xludf.DUMMYFUNCTION("""COMPUTED_VALUE"""),"LT0PCG01UBSY2")</f>
        <v>LT0PCG01UBSY2</v>
      </c>
      <c r="F2811" s="238" t="str">
        <f>IFERROR(__xludf.DUMMYFUNCTION("""COMPUTED_VALUE"""),"SWP1G25,GBX4F42")</f>
        <v>SWP1G25,GBX4F42</v>
      </c>
      <c r="G2811" s="238">
        <f>IFERROR(__xludf.DUMMYFUNCTION("""COMPUTED_VALUE"""),46007.91875)</f>
        <v>46007.91875</v>
      </c>
      <c r="H2811" s="238">
        <f>IFERROR(__xludf.DUMMYFUNCTION("""COMPUTED_VALUE"""),46008.29166666667)</f>
        <v>46008.29167</v>
      </c>
      <c r="I2811" s="237" t="str">
        <f t="shared" si="1"/>
        <v>Fora</v>
      </c>
      <c r="J2811" s="239">
        <v>537.0000000111759</v>
      </c>
    </row>
    <row r="2812">
      <c r="A2812" s="234" t="s">
        <v>300</v>
      </c>
      <c r="B2812" s="234" t="str">
        <f>IFERROR(__xludf.DUMMYFUNCTION("""COMPUTED_VALUE"""),"SoC_MG_Betim")</f>
        <v>SoC_MG_Betim</v>
      </c>
      <c r="C2812" s="234" t="str">
        <f>IFERROR(__xludf.DUMMYFUNCTION("""COMPUTED_VALUE"""),"SOC-MG2")</f>
        <v>SOC-MG2</v>
      </c>
      <c r="D2812" s="234"/>
      <c r="E2812" s="237" t="str">
        <f>IFERROR(__xludf.DUMMYFUNCTION("""COMPUTED_VALUE"""),"LT0PCG01UBT03")</f>
        <v>LT0PCG01UBT03</v>
      </c>
      <c r="F2812" s="238" t="str">
        <f>IFERROR(__xludf.DUMMYFUNCTION("""COMPUTED_VALUE"""),"BQU6H11,UDF4J25")</f>
        <v>BQU6H11,UDF4J25</v>
      </c>
      <c r="G2812" s="238">
        <f>IFERROR(__xludf.DUMMYFUNCTION("""COMPUTED_VALUE"""),46007.91875)</f>
        <v>46007.91875</v>
      </c>
      <c r="H2812" s="238">
        <f>IFERROR(__xludf.DUMMYFUNCTION("""COMPUTED_VALUE"""),46008.29166666667)</f>
        <v>46008.29167</v>
      </c>
      <c r="I2812" s="237" t="str">
        <f t="shared" si="1"/>
        <v>Fora</v>
      </c>
      <c r="J2812" s="239">
        <v>536.0000000079162</v>
      </c>
    </row>
    <row r="2813">
      <c r="A2813" s="234" t="s">
        <v>4325</v>
      </c>
      <c r="B2813" s="234" t="str">
        <f>IFERROR(__xludf.DUMMYFUNCTION("""COMPUTED_VALUE"""),"SoC_RJ_Duque de Caxias")</f>
        <v>SoC_RJ_Duque de Caxias</v>
      </c>
      <c r="C2813" s="234" t="str">
        <f>IFERROR(__xludf.DUMMYFUNCTION("""COMPUTED_VALUE"""),"SOC-RJ2")</f>
        <v>SOC-RJ2</v>
      </c>
      <c r="D2813" s="234">
        <f>IFERROR(__xludf.DUMMYFUNCTION("""COMPUTED_VALUE"""),90.0)</f>
        <v>90</v>
      </c>
      <c r="E2813" s="237" t="str">
        <f>IFERROR(__xludf.DUMMYFUNCTION("""COMPUTED_VALUE"""),"LT0PCG01UEB51")</f>
        <v>LT0PCG01UEB51</v>
      </c>
      <c r="F2813" s="238" t="str">
        <f>IFERROR(__xludf.DUMMYFUNCTION("""COMPUTED_VALUE"""),"TME8D82,QSX3C83")</f>
        <v>TME8D82,QSX3C83</v>
      </c>
      <c r="G2813" s="238">
        <f>IFERROR(__xludf.DUMMYFUNCTION("""COMPUTED_VALUE"""),46007.919444444444)</f>
        <v>46007.91944</v>
      </c>
      <c r="H2813" s="238">
        <f>IFERROR(__xludf.DUMMYFUNCTION("""COMPUTED_VALUE"""),46008.29166666667)</f>
        <v>46008.29167</v>
      </c>
      <c r="I2813" s="237" t="str">
        <f t="shared" si="1"/>
        <v>Fora</v>
      </c>
      <c r="J2813" s="239">
        <v>536.0000000079162</v>
      </c>
    </row>
    <row r="2814">
      <c r="A2814" s="234" t="s">
        <v>301</v>
      </c>
      <c r="B2814" s="234" t="str">
        <f>IFERROR(__xludf.DUMMYFUNCTION("""COMPUTED_VALUE"""),"SoC_RJ_Duque de Caxias")</f>
        <v>SoC_RJ_Duque de Caxias</v>
      </c>
      <c r="C2814" s="234" t="str">
        <f>IFERROR(__xludf.DUMMYFUNCTION("""COMPUTED_VALUE"""),"SOC-RJ2")</f>
        <v>SOC-RJ2</v>
      </c>
      <c r="D2814" s="234"/>
      <c r="E2814" s="237" t="str">
        <f>IFERROR(__xludf.DUMMYFUNCTION("""COMPUTED_VALUE"""),"LT0PCG01UEB72")</f>
        <v>LT0PCG01UEB72</v>
      </c>
      <c r="F2814" s="238" t="str">
        <f>IFERROR(__xludf.DUMMYFUNCTION("""COMPUTED_VALUE"""),"IWG0J80,TJY5B43")</f>
        <v>IWG0J80,TJY5B43</v>
      </c>
      <c r="G2814" s="238">
        <f>IFERROR(__xludf.DUMMYFUNCTION("""COMPUTED_VALUE"""),46007.919444444444)</f>
        <v>46007.91944</v>
      </c>
      <c r="H2814" s="238">
        <f>IFERROR(__xludf.DUMMYFUNCTION("""COMPUTED_VALUE"""),46008.29166666667)</f>
        <v>46008.29167</v>
      </c>
      <c r="I2814" s="237" t="str">
        <f t="shared" si="1"/>
        <v>Fora</v>
      </c>
      <c r="J2814" s="239">
        <v>536.0000000079162</v>
      </c>
    </row>
    <row r="2815">
      <c r="A2815" s="234" t="s">
        <v>302</v>
      </c>
      <c r="B2815" s="234" t="str">
        <f>IFERROR(__xludf.DUMMYFUNCTION("""COMPUTED_VALUE"""),"SoC_RJ_Duque de Caxias")</f>
        <v>SoC_RJ_Duque de Caxias</v>
      </c>
      <c r="C2815" s="234" t="str">
        <f>IFERROR(__xludf.DUMMYFUNCTION("""COMPUTED_VALUE"""),"SOC-RJ2")</f>
        <v>SOC-RJ2</v>
      </c>
      <c r="D2815" s="234">
        <f>IFERROR(__xludf.DUMMYFUNCTION("""COMPUTED_VALUE"""),96.0)</f>
        <v>96</v>
      </c>
      <c r="E2815" s="237" t="str">
        <f>IFERROR(__xludf.DUMMYFUNCTION("""COMPUTED_VALUE"""),"LT0PCG01UEB93")</f>
        <v>LT0PCG01UEB93</v>
      </c>
      <c r="F2815" s="238" t="str">
        <f>IFERROR(__xludf.DUMMYFUNCTION("""COMPUTED_VALUE"""),"MAR6J89,NUN8J32")</f>
        <v>MAR6J89,NUN8J32</v>
      </c>
      <c r="G2815" s="238">
        <f>IFERROR(__xludf.DUMMYFUNCTION("""COMPUTED_VALUE"""),46007.919444444444)</f>
        <v>46007.91944</v>
      </c>
      <c r="H2815" s="238">
        <f>IFERROR(__xludf.DUMMYFUNCTION("""COMPUTED_VALUE"""),46008.29166666667)</f>
        <v>46008.29167</v>
      </c>
      <c r="I2815" s="237" t="str">
        <f t="shared" si="1"/>
        <v>Fora</v>
      </c>
      <c r="J2815" s="239">
        <v>535.0000000046566</v>
      </c>
    </row>
    <row r="2816">
      <c r="A2816" s="234" t="s">
        <v>303</v>
      </c>
      <c r="B2816" s="234" t="str">
        <f>IFERROR(__xludf.DUMMYFUNCTION("""COMPUTED_VALUE"""),"SoC_RJ_Duque de Caxias")</f>
        <v>SoC_RJ_Duque de Caxias</v>
      </c>
      <c r="C2816" s="234" t="str">
        <f>IFERROR(__xludf.DUMMYFUNCTION("""COMPUTED_VALUE"""),"SOC-RJ2")</f>
        <v>SOC-RJ2</v>
      </c>
      <c r="D2816" s="234"/>
      <c r="E2816" s="237" t="str">
        <f>IFERROR(__xludf.DUMMYFUNCTION("""COMPUTED_VALUE"""),"LT0PCG01U8OF1")</f>
        <v>LT0PCG01U8OF1</v>
      </c>
      <c r="F2816" s="238" t="str">
        <f>IFERROR(__xludf.DUMMYFUNCTION("""COMPUTED_VALUE"""),"IYX1J37,ODH9G75")</f>
        <v>IYX1J37,ODH9G75</v>
      </c>
      <c r="G2816" s="238">
        <f>IFERROR(__xludf.DUMMYFUNCTION("""COMPUTED_VALUE"""),46007.92013888889)</f>
        <v>46007.92014</v>
      </c>
      <c r="H2816" s="238">
        <f>IFERROR(__xludf.DUMMYFUNCTION("""COMPUTED_VALUE"""),46008.29166666667)</f>
        <v>46008.29167</v>
      </c>
      <c r="I2816" s="237" t="str">
        <f t="shared" si="1"/>
        <v>Fora</v>
      </c>
      <c r="J2816" s="239">
        <v>535.0000000046566</v>
      </c>
    </row>
    <row r="2817">
      <c r="A2817" s="234" t="s">
        <v>4326</v>
      </c>
      <c r="B2817" s="234" t="str">
        <f>IFERROR(__xludf.DUMMYFUNCTION("""COMPUTED_VALUE"""),"SoC_RJ_Duque de Caxias")</f>
        <v>SoC_RJ_Duque de Caxias</v>
      </c>
      <c r="C2817" s="234" t="str">
        <f>IFERROR(__xludf.DUMMYFUNCTION("""COMPUTED_VALUE"""),"SOC-RJ2")</f>
        <v>SOC-RJ2</v>
      </c>
      <c r="D2817" s="234">
        <f>IFERROR(__xludf.DUMMYFUNCTION("""COMPUTED_VALUE"""),90.0)</f>
        <v>90</v>
      </c>
      <c r="E2817" s="237" t="str">
        <f>IFERROR(__xludf.DUMMYFUNCTION("""COMPUTED_VALUE"""),"LT0PCG01U8OJ3")</f>
        <v>LT0PCG01U8OJ3</v>
      </c>
      <c r="F2817" s="238" t="str">
        <f>IFERROR(__xludf.DUMMYFUNCTION("""COMPUTED_VALUE"""),"OXK6H63,TXD2H97")</f>
        <v>OXK6H63,TXD2H97</v>
      </c>
      <c r="G2817" s="238">
        <f>IFERROR(__xludf.DUMMYFUNCTION("""COMPUTED_VALUE"""),46007.92013888889)</f>
        <v>46007.92014</v>
      </c>
      <c r="H2817" s="238">
        <f>IFERROR(__xludf.DUMMYFUNCTION("""COMPUTED_VALUE"""),46008.29166666667)</f>
        <v>46008.29167</v>
      </c>
      <c r="I2817" s="237" t="str">
        <f t="shared" si="1"/>
        <v>Fora</v>
      </c>
      <c r="J2817" s="239">
        <v>535.0000000046566</v>
      </c>
    </row>
    <row r="2818">
      <c r="A2818" s="234" t="s">
        <v>4327</v>
      </c>
      <c r="B2818" s="234" t="str">
        <f>IFERROR(__xludf.DUMMYFUNCTION("""COMPUTED_VALUE"""),"SoC_RJ_Duque de Caxias")</f>
        <v>SoC_RJ_Duque de Caxias</v>
      </c>
      <c r="C2818" s="234" t="str">
        <f>IFERROR(__xludf.DUMMYFUNCTION("""COMPUTED_VALUE"""),"SOC-RJ2")</f>
        <v>SOC-RJ2</v>
      </c>
      <c r="D2818" s="234">
        <f>IFERROR(__xludf.DUMMYFUNCTION("""COMPUTED_VALUE"""),90.0)</f>
        <v>90</v>
      </c>
      <c r="E2818" s="237" t="str">
        <f>IFERROR(__xludf.DUMMYFUNCTION("""COMPUTED_VALUE"""),"LT0PCG01U8OH2")</f>
        <v>LT0PCG01U8OH2</v>
      </c>
      <c r="F2818" s="238" t="str">
        <f>IFERROR(__xludf.DUMMYFUNCTION("""COMPUTED_VALUE"""),"LPO6D50,JXN8E78")</f>
        <v>LPO6D50,JXN8E78</v>
      </c>
      <c r="G2818" s="238">
        <f>IFERROR(__xludf.DUMMYFUNCTION("""COMPUTED_VALUE"""),46007.92013888889)</f>
        <v>46007.92014</v>
      </c>
      <c r="H2818" s="238">
        <f>IFERROR(__xludf.DUMMYFUNCTION("""COMPUTED_VALUE"""),46008.29166666667)</f>
        <v>46008.29167</v>
      </c>
      <c r="I2818" s="237" t="str">
        <f t="shared" si="1"/>
        <v>Fora</v>
      </c>
      <c r="J2818" s="239">
        <v>120.00000001396984</v>
      </c>
    </row>
    <row r="2819">
      <c r="A2819" s="234" t="s">
        <v>304</v>
      </c>
      <c r="B2819" s="234" t="str">
        <f>IFERROR(__xludf.DUMMYFUNCTION("""COMPUTED_VALUE"""),"LM Hub_SP_Jundiaí")</f>
        <v>LM Hub_SP_Jundiaí</v>
      </c>
      <c r="C2819" s="234" t="str">
        <f>IFERROR(__xludf.DUMMYFUNCTION("""COMPUTED_VALUE"""),"HUB-LSP-100")</f>
        <v>HUB-LSP-100</v>
      </c>
      <c r="D2819" s="234"/>
      <c r="E2819" s="237" t="str">
        <f>IFERROR(__xludf.DUMMYFUNCTION("""COMPUTED_VALUE"""),"LT0PCH01UJ011")</f>
        <v>LT0PCH01UJ011</v>
      </c>
      <c r="F2819" s="238" t="str">
        <f>IFERROR(__xludf.DUMMYFUNCTION("""COMPUTED_VALUE"""),"TBQ8J61,GEE0H72")</f>
        <v>TBQ8J61,GEE0H72</v>
      </c>
      <c r="G2819" s="238">
        <f>IFERROR(__xludf.DUMMYFUNCTION("""COMPUTED_VALUE"""),46008.20833333333)</f>
        <v>46008.20833</v>
      </c>
      <c r="H2819" s="238">
        <f>IFERROR(__xludf.DUMMYFUNCTION("""COMPUTED_VALUE"""),46008.29166666667)</f>
        <v>46008.29167</v>
      </c>
      <c r="I2819" s="237" t="str">
        <f t="shared" si="1"/>
        <v>Fora</v>
      </c>
      <c r="J2819" s="239">
        <v>120.00000001396984</v>
      </c>
    </row>
    <row r="2820">
      <c r="A2820" s="234" t="s">
        <v>305</v>
      </c>
      <c r="B2820" s="234" t="str">
        <f>IFERROR(__xludf.DUMMYFUNCTION("""COMPUTED_VALUE"""),"LM Hub_SP_Piracicaba")</f>
        <v>LM Hub_SP_Piracicaba</v>
      </c>
      <c r="C2820" s="234" t="str">
        <f>IFERROR(__xludf.DUMMYFUNCTION("""COMPUTED_VALUE"""),"HUB-LSP-62")</f>
        <v>HUB-LSP-62</v>
      </c>
      <c r="D2820" s="234"/>
      <c r="E2820" s="237" t="str">
        <f>IFERROR(__xludf.DUMMYFUNCTION("""COMPUTED_VALUE"""),"LT0PCH01UCMX1")</f>
        <v>LT0PCH01UCMX1</v>
      </c>
      <c r="F2820" s="238" t="str">
        <f>IFERROR(__xludf.DUMMYFUNCTION("""COMPUTED_VALUE"""),"OMY3I62,OMY3I60")</f>
        <v>OMY3I62,OMY3I60</v>
      </c>
      <c r="G2820" s="238">
        <f>IFERROR(__xludf.DUMMYFUNCTION("""COMPUTED_VALUE"""),46008.20833333333)</f>
        <v>46008.20833</v>
      </c>
      <c r="H2820" s="238">
        <f>IFERROR(__xludf.DUMMYFUNCTION("""COMPUTED_VALUE"""),46008.29166666667)</f>
        <v>46008.29167</v>
      </c>
      <c r="I2820" s="237" t="str">
        <f t="shared" si="1"/>
        <v>Fora</v>
      </c>
      <c r="J2820" s="239">
        <v>119.00000001071021</v>
      </c>
    </row>
    <row r="2821">
      <c r="A2821" s="234" t="s">
        <v>306</v>
      </c>
      <c r="B2821" s="234" t="str">
        <f>IFERROR(__xludf.DUMMYFUNCTION("""COMPUTED_VALUE"""),"LM Hub_SP_Barueri_01")</f>
        <v>LM Hub_SP_Barueri_01</v>
      </c>
      <c r="C2821" s="234" t="str">
        <f>IFERROR(__xludf.DUMMYFUNCTION("""COMPUTED_VALUE"""),"HUB-LSP-81")</f>
        <v>HUB-LSP-81</v>
      </c>
      <c r="D2821" s="234"/>
      <c r="E2821" s="237" t="str">
        <f>IFERROR(__xludf.DUMMYFUNCTION("""COMPUTED_VALUE"""),"LT0PCH01UK3A1")</f>
        <v>LT0PCH01UK3A1</v>
      </c>
      <c r="F2821" s="238" t="str">
        <f>IFERROR(__xludf.DUMMYFUNCTION("""COMPUTED_VALUE"""),"EFU9C99,IND2879")</f>
        <v>EFU9C99,IND2879</v>
      </c>
      <c r="G2821" s="238">
        <f>IFERROR(__xludf.DUMMYFUNCTION("""COMPUTED_VALUE"""),46008.209027777775)</f>
        <v>46008.20903</v>
      </c>
      <c r="H2821" s="238">
        <f>IFERROR(__xludf.DUMMYFUNCTION("""COMPUTED_VALUE"""),46008.29166666667)</f>
        <v>46008.29167</v>
      </c>
      <c r="I2821" s="237" t="str">
        <f t="shared" si="1"/>
        <v>Fora</v>
      </c>
      <c r="J2821" s="239">
        <v>119.00000001071021</v>
      </c>
    </row>
    <row r="2822">
      <c r="A2822" s="234" t="s">
        <v>307</v>
      </c>
      <c r="B2822" s="234" t="str">
        <f>IFERROR(__xludf.DUMMYFUNCTION("""COMPUTED_VALUE"""),"LM Hub_SP_Jurubatuba")</f>
        <v>LM Hub_SP_Jurubatuba</v>
      </c>
      <c r="C2822" s="234" t="str">
        <f>IFERROR(__xludf.DUMMYFUNCTION("""COMPUTED_VALUE"""),"HUB-LSP-16")</f>
        <v>HUB-LSP-16</v>
      </c>
      <c r="D2822" s="234">
        <f>IFERROR(__xludf.DUMMYFUNCTION("""COMPUTED_VALUE"""),15.0)</f>
        <v>15</v>
      </c>
      <c r="E2822" s="237" t="str">
        <f>IFERROR(__xludf.DUMMYFUNCTION("""COMPUTED_VALUE"""),"LT0PCH01UD401")</f>
        <v>LT0PCH01UD401</v>
      </c>
      <c r="F2822" s="238" t="str">
        <f>IFERROR(__xludf.DUMMYFUNCTION("""COMPUTED_VALUE"""),"CUA7C61,FPW0F14")</f>
        <v>CUA7C61,FPW0F14</v>
      </c>
      <c r="G2822" s="238">
        <f>IFERROR(__xludf.DUMMYFUNCTION("""COMPUTED_VALUE"""),46008.209027777775)</f>
        <v>46008.20903</v>
      </c>
      <c r="H2822" s="238">
        <f>IFERROR(__xludf.DUMMYFUNCTION("""COMPUTED_VALUE"""),46008.29166666667)</f>
        <v>46008.29167</v>
      </c>
      <c r="I2822" s="237" t="str">
        <f t="shared" si="1"/>
        <v>Fora</v>
      </c>
      <c r="J2822" s="239">
        <v>119.00000001071021</v>
      </c>
    </row>
    <row r="2823">
      <c r="A2823" s="234" t="s">
        <v>308</v>
      </c>
      <c r="B2823" s="234" t="str">
        <f>IFERROR(__xludf.DUMMYFUNCTION("""COMPUTED_VALUE"""),"LM Hub_SP_Jurubatuba")</f>
        <v>LM Hub_SP_Jurubatuba</v>
      </c>
      <c r="C2823" s="234" t="str">
        <f>IFERROR(__xludf.DUMMYFUNCTION("""COMPUTED_VALUE"""),"HUB-LSP-16")</f>
        <v>HUB-LSP-16</v>
      </c>
      <c r="D2823" s="234"/>
      <c r="E2823" s="237" t="str">
        <f>IFERROR(__xludf.DUMMYFUNCTION("""COMPUTED_VALUE"""),"LT0PCH01UD412")</f>
        <v>LT0PCH01UD412</v>
      </c>
      <c r="F2823" s="238" t="str">
        <f>IFERROR(__xludf.DUMMYFUNCTION("""COMPUTED_VALUE"""),"MQM6I27,FXB7G01")</f>
        <v>MQM6I27,FXB7G01</v>
      </c>
      <c r="G2823" s="238">
        <f>IFERROR(__xludf.DUMMYFUNCTION("""COMPUTED_VALUE"""),46008.209027777775)</f>
        <v>46008.20903</v>
      </c>
      <c r="H2823" s="238">
        <f>IFERROR(__xludf.DUMMYFUNCTION("""COMPUTED_VALUE"""),46008.29166666667)</f>
        <v>46008.29167</v>
      </c>
      <c r="I2823" s="237" t="str">
        <f t="shared" si="1"/>
        <v>Fora</v>
      </c>
      <c r="J2823" s="239">
        <v>119.00000001071021</v>
      </c>
    </row>
    <row r="2824">
      <c r="A2824" s="234" t="s">
        <v>309</v>
      </c>
      <c r="B2824" s="234" t="str">
        <f>IFERROR(__xludf.DUMMYFUNCTION("""COMPUTED_VALUE"""),"LM Hub_SP_Santos_PraiaGrande_02")</f>
        <v>LM Hub_SP_Santos_PraiaGrande_02</v>
      </c>
      <c r="C2824" s="234" t="str">
        <f>IFERROR(__xludf.DUMMYFUNCTION("""COMPUTED_VALUE"""),"HUB-LSP-63")</f>
        <v>HUB-LSP-63</v>
      </c>
      <c r="D2824" s="234"/>
      <c r="E2824" s="237" t="str">
        <f>IFERROR(__xludf.DUMMYFUNCTION("""COMPUTED_VALUE"""),"LT0PCH01UD5E1")</f>
        <v>LT0PCH01UD5E1</v>
      </c>
      <c r="F2824" s="238" t="str">
        <f>IFERROR(__xludf.DUMMYFUNCTION("""COMPUTED_VALUE"""),"GEJ6E62,TLV2A95")</f>
        <v>GEJ6E62,TLV2A95</v>
      </c>
      <c r="G2824" s="238">
        <f>IFERROR(__xludf.DUMMYFUNCTION("""COMPUTED_VALUE"""),46008.209027777775)</f>
        <v>46008.20903</v>
      </c>
      <c r="H2824" s="238">
        <f>IFERROR(__xludf.DUMMYFUNCTION("""COMPUTED_VALUE"""),46008.29166666667)</f>
        <v>46008.29167</v>
      </c>
      <c r="I2824" s="237" t="str">
        <f t="shared" si="1"/>
        <v>Fora</v>
      </c>
      <c r="J2824" s="239">
        <v>60.00000000698492</v>
      </c>
    </row>
    <row r="2825">
      <c r="A2825" s="234" t="s">
        <v>310</v>
      </c>
      <c r="B2825" s="234" t="str">
        <f>IFERROR(__xludf.DUMMYFUNCTION("""COMPUTED_VALUE"""),"LM Hub_SP_Mauá")</f>
        <v>LM Hub_SP_Mauá</v>
      </c>
      <c r="C2825" s="234" t="str">
        <f>IFERROR(__xludf.DUMMYFUNCTION("""COMPUTED_VALUE"""),"HUB-LSP-64")</f>
        <v>HUB-LSP-64</v>
      </c>
      <c r="D2825" s="234">
        <f>IFERROR(__xludf.DUMMYFUNCTION("""COMPUTED_VALUE"""),6.0)</f>
        <v>6</v>
      </c>
      <c r="E2825" s="237" t="str">
        <f>IFERROR(__xludf.DUMMYFUNCTION("""COMPUTED_VALUE"""),"LT0PCH01U8HF1")</f>
        <v>LT0PCH01U8HF1</v>
      </c>
      <c r="F2825" s="238" t="str">
        <f>IFERROR(__xludf.DUMMYFUNCTION("""COMPUTED_VALUE"""),"PQV0E87")</f>
        <v>PQV0E87</v>
      </c>
      <c r="G2825" s="238">
        <f>IFERROR(__xludf.DUMMYFUNCTION("""COMPUTED_VALUE"""),46008.25)</f>
        <v>46008.25</v>
      </c>
      <c r="H2825" s="238">
        <f>IFERROR(__xludf.DUMMYFUNCTION("""COMPUTED_VALUE"""),46008.29166666667)</f>
        <v>46008.29167</v>
      </c>
      <c r="I2825" s="237" t="str">
        <f t="shared" si="1"/>
        <v>Fora</v>
      </c>
      <c r="J2825" s="239">
        <v>540.0</v>
      </c>
    </row>
    <row r="2826">
      <c r="A2826" s="234" t="s">
        <v>311</v>
      </c>
      <c r="B2826" s="234" t="str">
        <f>IFERROR(__xludf.DUMMYFUNCTION("""COMPUTED_VALUE"""),"SoC_BA_Simoes Filho")</f>
        <v>SoC_BA_Simoes Filho</v>
      </c>
      <c r="C2826" s="234" t="str">
        <f>IFERROR(__xludf.DUMMYFUNCTION("""COMPUTED_VALUE"""),"SOC-BA2")</f>
        <v>SOC-BA2</v>
      </c>
      <c r="D2826" s="234">
        <f>IFERROR(__xludf.DUMMYFUNCTION("""COMPUTED_VALUE"""),88.0)</f>
        <v>88</v>
      </c>
      <c r="E2826" s="237" t="str">
        <f>IFERROR(__xludf.DUMMYFUNCTION("""COMPUTED_VALUE"""),"LT0PCG01UHYS1")</f>
        <v>LT0PCG01UHYS1</v>
      </c>
      <c r="F2826" s="238" t="str">
        <f>IFERROR(__xludf.DUMMYFUNCTION("""COMPUTED_VALUE"""),"EFW7G95,GHF4B12")</f>
        <v>EFW7G95,GHF4B12</v>
      </c>
      <c r="G2826" s="238">
        <f>IFERROR(__xludf.DUMMYFUNCTION("""COMPUTED_VALUE"""),46007.9375)</f>
        <v>46007.9375</v>
      </c>
      <c r="H2826" s="238">
        <f>IFERROR(__xludf.DUMMYFUNCTION("""COMPUTED_VALUE"""),46008.3125)</f>
        <v>46008.3125</v>
      </c>
      <c r="I2826" s="237" t="str">
        <f t="shared" si="1"/>
        <v>Fora</v>
      </c>
      <c r="J2826" s="239">
        <v>119.99999999301508</v>
      </c>
    </row>
    <row r="2827">
      <c r="A2827" s="234" t="s">
        <v>312</v>
      </c>
      <c r="B2827" s="234" t="str">
        <f>IFERROR(__xludf.DUMMYFUNCTION("""COMPUTED_VALUE"""),"LM Hub_SP_Guarujá")</f>
        <v>LM Hub_SP_Guarujá</v>
      </c>
      <c r="C2827" s="234" t="str">
        <f>IFERROR(__xludf.DUMMYFUNCTION("""COMPUTED_VALUE"""),"HUB-LSP-06")</f>
        <v>HUB-LSP-06</v>
      </c>
      <c r="D2827" s="234"/>
      <c r="E2827" s="237" t="str">
        <f>IFERROR(__xludf.DUMMYFUNCTION("""COMPUTED_VALUE"""),"LT0PCH01UD4M1")</f>
        <v>LT0PCH01UD4M1</v>
      </c>
      <c r="F2827" s="238" t="str">
        <f>IFERROR(__xludf.DUMMYFUNCTION("""COMPUTED_VALUE"""),"GFQ6J64")</f>
        <v>GFQ6J64</v>
      </c>
      <c r="G2827" s="238">
        <f>IFERROR(__xludf.DUMMYFUNCTION("""COMPUTED_VALUE"""),46008.22916666667)</f>
        <v>46008.22917</v>
      </c>
      <c r="H2827" s="238">
        <f>IFERROR(__xludf.DUMMYFUNCTION("""COMPUTED_VALUE"""),46008.3125)</f>
        <v>46008.3125</v>
      </c>
      <c r="I2827" s="237" t="str">
        <f t="shared" si="1"/>
        <v>Fora</v>
      </c>
      <c r="J2827" s="239">
        <v>119.99999999301508</v>
      </c>
    </row>
    <row r="2828">
      <c r="A2828" s="234" t="s">
        <v>313</v>
      </c>
      <c r="B2828" s="234" t="str">
        <f>IFERROR(__xludf.DUMMYFUNCTION("""COMPUTED_VALUE"""),"LM Hub_SP_Itaqua_Zimba")</f>
        <v>LM Hub_SP_Itaqua_Zimba</v>
      </c>
      <c r="C2828" s="234" t="str">
        <f>IFERROR(__xludf.DUMMYFUNCTION("""COMPUTED_VALUE"""),"HUB-LSP-74")</f>
        <v>HUB-LSP-74</v>
      </c>
      <c r="D2828" s="234"/>
      <c r="E2828" s="237" t="str">
        <f>IFERROR(__xludf.DUMMYFUNCTION("""COMPUTED_VALUE"""),"LT0PCH01UD4H1")</f>
        <v>LT0PCH01UD4H1</v>
      </c>
      <c r="F2828" s="238" t="str">
        <f>IFERROR(__xludf.DUMMYFUNCTION("""COMPUTED_VALUE"""),"EPU6B00,UFF0H10")</f>
        <v>EPU6B00,UFF0H10</v>
      </c>
      <c r="G2828" s="238">
        <f>IFERROR(__xludf.DUMMYFUNCTION("""COMPUTED_VALUE"""),46008.22916666667)</f>
        <v>46008.22917</v>
      </c>
      <c r="H2828" s="238">
        <f>IFERROR(__xludf.DUMMYFUNCTION("""COMPUTED_VALUE"""),46008.3125)</f>
        <v>46008.3125</v>
      </c>
      <c r="I2828" s="237" t="str">
        <f t="shared" si="1"/>
        <v>Fora</v>
      </c>
      <c r="J2828" s="239">
        <v>119.99999999301508</v>
      </c>
    </row>
    <row r="2829">
      <c r="A2829" s="234" t="s">
        <v>314</v>
      </c>
      <c r="B2829" s="234" t="str">
        <f>IFERROR(__xludf.DUMMYFUNCTION("""COMPUTED_VALUE"""),"LM Hub_SP_São Paulo_Mooca")</f>
        <v>LM Hub_SP_São Paulo_Mooca</v>
      </c>
      <c r="C2829" s="234" t="str">
        <f>IFERROR(__xludf.DUMMYFUNCTION("""COMPUTED_VALUE"""),"HUB-LSP-13")</f>
        <v>HUB-LSP-13</v>
      </c>
      <c r="D2829" s="234">
        <f>IFERROR(__xludf.DUMMYFUNCTION("""COMPUTED_VALUE"""),20.0)</f>
        <v>20</v>
      </c>
      <c r="E2829" s="237" t="str">
        <f>IFERROR(__xludf.DUMMYFUNCTION("""COMPUTED_VALUE"""),"LT1PCH01UOU61")</f>
        <v>LT1PCH01UOU61</v>
      </c>
      <c r="F2829" s="238" t="str">
        <f>IFERROR(__xludf.DUMMYFUNCTION("""COMPUTED_VALUE"""),"BTR6092")</f>
        <v>BTR6092</v>
      </c>
      <c r="G2829" s="238">
        <f>IFERROR(__xludf.DUMMYFUNCTION("""COMPUTED_VALUE"""),46008.22916666667)</f>
        <v>46008.22917</v>
      </c>
      <c r="H2829" s="238">
        <f>IFERROR(__xludf.DUMMYFUNCTION("""COMPUTED_VALUE"""),46008.3125)</f>
        <v>46008.3125</v>
      </c>
      <c r="I2829" s="237" t="str">
        <f t="shared" si="1"/>
        <v>Fora</v>
      </c>
      <c r="J2829" s="239">
        <v>119.00000000023283</v>
      </c>
    </row>
    <row r="2830">
      <c r="A2830" s="234" t="s">
        <v>315</v>
      </c>
      <c r="B2830" s="234" t="str">
        <f>IFERROR(__xludf.DUMMYFUNCTION("""COMPUTED_VALUE"""),"LM Hub_SP_Itapevi")</f>
        <v>LM Hub_SP_Itapevi</v>
      </c>
      <c r="C2830" s="234" t="str">
        <f>IFERROR(__xludf.DUMMYFUNCTION("""COMPUTED_VALUE"""),"HUB-LSP-41")</f>
        <v>HUB-LSP-41</v>
      </c>
      <c r="D2830" s="234">
        <f>IFERROR(__xludf.DUMMYFUNCTION("""COMPUTED_VALUE"""),5.0)</f>
        <v>5</v>
      </c>
      <c r="E2830" s="237" t="str">
        <f>IFERROR(__xludf.DUMMYFUNCTION("""COMPUTED_VALUE"""),"LT0PCH01UBWE1")</f>
        <v>LT0PCH01UBWE1</v>
      </c>
      <c r="F2830" s="238" t="str">
        <f>IFERROR(__xludf.DUMMYFUNCTION("""COMPUTED_VALUE"""),"EMU5F62,FGK3A38")</f>
        <v>EMU5F62,FGK3A38</v>
      </c>
      <c r="G2830" s="238">
        <f>IFERROR(__xludf.DUMMYFUNCTION("""COMPUTED_VALUE"""),46008.22986111111)</f>
        <v>46008.22986</v>
      </c>
      <c r="H2830" s="238">
        <f>IFERROR(__xludf.DUMMYFUNCTION("""COMPUTED_VALUE"""),46008.3125)</f>
        <v>46008.3125</v>
      </c>
      <c r="I2830" s="237" t="str">
        <f t="shared" si="1"/>
        <v>Fora</v>
      </c>
      <c r="J2830" s="239">
        <v>119.00000000023283</v>
      </c>
    </row>
    <row r="2831">
      <c r="A2831" s="234" t="s">
        <v>316</v>
      </c>
      <c r="B2831" s="234" t="str">
        <f>IFERROR(__xludf.DUMMYFUNCTION("""COMPUTED_VALUE"""),"LM Hub_SP_São José dos Campos")</f>
        <v>LM Hub_SP_São José dos Campos</v>
      </c>
      <c r="C2831" s="234" t="str">
        <f>IFERROR(__xludf.DUMMYFUNCTION("""COMPUTED_VALUE"""),"HUB-LSP-04")</f>
        <v>HUB-LSP-04</v>
      </c>
      <c r="D2831" s="234">
        <f>IFERROR(__xludf.DUMMYFUNCTION("""COMPUTED_VALUE"""),17.0)</f>
        <v>17</v>
      </c>
      <c r="E2831" s="237" t="str">
        <f>IFERROR(__xludf.DUMMYFUNCTION("""COMPUTED_VALUE"""),"LT0PCH01UD501")</f>
        <v>LT0PCH01UD501</v>
      </c>
      <c r="F2831" s="238" t="str">
        <f>IFERROR(__xludf.DUMMYFUNCTION("""COMPUTED_VALUE"""),"UGN5F59")</f>
        <v>UGN5F59</v>
      </c>
      <c r="G2831" s="238">
        <f>IFERROR(__xludf.DUMMYFUNCTION("""COMPUTED_VALUE"""),46008.22986111111)</f>
        <v>46008.22986</v>
      </c>
      <c r="H2831" s="238">
        <f>IFERROR(__xludf.DUMMYFUNCTION("""COMPUTED_VALUE"""),46008.3125)</f>
        <v>46008.3125</v>
      </c>
      <c r="I2831" s="237" t="str">
        <f t="shared" si="1"/>
        <v>Fora</v>
      </c>
      <c r="J2831" s="239">
        <v>120.00000001396984</v>
      </c>
    </row>
    <row r="2832">
      <c r="A2832" s="234" t="s">
        <v>4328</v>
      </c>
      <c r="B2832" s="234" t="str">
        <f>IFERROR(__xludf.DUMMYFUNCTION("""COMPUTED_VALUE"""),"LM Hub_SP_Itapeva")</f>
        <v>LM Hub_SP_Itapeva</v>
      </c>
      <c r="C2832" s="234" t="str">
        <f>IFERROR(__xludf.DUMMYFUNCTION("""COMPUTED_VALUE"""),"HUB-LSP-39")</f>
        <v>HUB-LSP-39</v>
      </c>
      <c r="D2832" s="234">
        <f>IFERROR(__xludf.DUMMYFUNCTION("""COMPUTED_VALUE"""),12.0)</f>
        <v>12</v>
      </c>
      <c r="E2832" s="237" t="str">
        <f>IFERROR(__xludf.DUMMYFUNCTION("""COMPUTED_VALUE"""),"LT0PCH01UBXU1")</f>
        <v>LT0PCH01UBXU1</v>
      </c>
      <c r="F2832" s="238" t="str">
        <f>IFERROR(__xludf.DUMMYFUNCTION("""COMPUTED_VALUE"""),"GEU6F03,FCT0F11")</f>
        <v>GEU6F03,FCT0F11</v>
      </c>
      <c r="G2832" s="238">
        <f>IFERROR(__xludf.DUMMYFUNCTION("""COMPUTED_VALUE"""),46008.83333333333)</f>
        <v>46008.83333</v>
      </c>
      <c r="H2832" s="238">
        <f>IFERROR(__xludf.DUMMYFUNCTION("""COMPUTED_VALUE"""),46008.91666666667)</f>
        <v>46008.91667</v>
      </c>
      <c r="I2832" s="237" t="str">
        <f t="shared" si="1"/>
        <v>Fora</v>
      </c>
      <c r="J2832" s="239">
        <v>120.00000001396984</v>
      </c>
    </row>
    <row r="2833">
      <c r="A2833" s="234" t="s">
        <v>4329</v>
      </c>
      <c r="B2833" s="234" t="str">
        <f>IFERROR(__xludf.DUMMYFUNCTION("""COMPUTED_VALUE"""),"SoC_MG_Betim")</f>
        <v>SoC_MG_Betim</v>
      </c>
      <c r="C2833" s="234" t="str">
        <f>IFERROR(__xludf.DUMMYFUNCTION("""COMPUTED_VALUE"""),"SOC-MG2")</f>
        <v>SOC-MG2</v>
      </c>
      <c r="D2833" s="234">
        <f>IFERROR(__xludf.DUMMYFUNCTION("""COMPUTED_VALUE"""),13.0)</f>
        <v>13</v>
      </c>
      <c r="E2833" s="237" t="str">
        <f>IFERROR(__xludf.DUMMYFUNCTION("""COMPUTED_VALUE"""),"LT1PCH01UOZ41")</f>
        <v>LT1PCH01UOZ41</v>
      </c>
      <c r="F2833" s="238" t="str">
        <f>IFERROR(__xludf.DUMMYFUNCTION("""COMPUTED_VALUE"""),"EOE9G43,GHP3437")</f>
        <v>EOE9G43,GHP3437</v>
      </c>
      <c r="G2833" s="238">
        <f>IFERROR(__xludf.DUMMYFUNCTION("""COMPUTED_VALUE"""),46008.83333333333)</f>
        <v>46008.83333</v>
      </c>
      <c r="H2833" s="238">
        <f>IFERROR(__xludf.DUMMYFUNCTION("""COMPUTED_VALUE"""),46008.91666666667)</f>
        <v>46008.91667</v>
      </c>
      <c r="I2833" s="237" t="str">
        <f t="shared" si="1"/>
        <v>Fora</v>
      </c>
      <c r="J2833" s="239">
        <v>535.9999999869615</v>
      </c>
    </row>
    <row r="2834">
      <c r="A2834" s="234" t="s">
        <v>4330</v>
      </c>
      <c r="B2834" s="234" t="str">
        <f>IFERROR(__xludf.DUMMYFUNCTION("""COMPUTED_VALUE"""),"SoC_MG_Betim")</f>
        <v>SoC_MG_Betim</v>
      </c>
      <c r="C2834" s="234" t="str">
        <f>IFERROR(__xludf.DUMMYFUNCTION("""COMPUTED_VALUE"""),"SOC-MG2")</f>
        <v>SOC-MG2</v>
      </c>
      <c r="D2834" s="234">
        <f>IFERROR(__xludf.DUMMYFUNCTION("""COMPUTED_VALUE"""),5.0)</f>
        <v>5</v>
      </c>
      <c r="E2834" s="237" t="str">
        <f>IFERROR(__xludf.DUMMYFUNCTION("""COMPUTED_VALUE"""),"LT0PCH01UBSS5")</f>
        <v>LT0PCH01UBSS5</v>
      </c>
      <c r="F2834" s="238" t="str">
        <f>IFERROR(__xludf.DUMMYFUNCTION("""COMPUTED_VALUE"""),"ECM3J37,OWI2J37")</f>
        <v>ECM3J37,OWI2J37</v>
      </c>
      <c r="G2834" s="238">
        <f>IFERROR(__xludf.DUMMYFUNCTION("""COMPUTED_VALUE"""),46008.586111111115)</f>
        <v>46008.58611</v>
      </c>
      <c r="H2834" s="238">
        <f>IFERROR(__xludf.DUMMYFUNCTION("""COMPUTED_VALUE"""),46008.95833333333)</f>
        <v>46008.95833</v>
      </c>
      <c r="I2834" s="237" t="str">
        <f t="shared" si="1"/>
        <v>Fora</v>
      </c>
      <c r="J2834" s="239">
        <v>59.99999998603016</v>
      </c>
    </row>
    <row r="2835">
      <c r="A2835" s="234" t="s">
        <v>4331</v>
      </c>
      <c r="B2835" s="234" t="str">
        <f>IFERROR(__xludf.DUMMYFUNCTION("""COMPUTED_VALUE"""),"LM Hub_SP_Mogi das Cruzes_Jund")</f>
        <v>LM Hub_SP_Mogi das Cruzes_Jund</v>
      </c>
      <c r="C2835" s="234" t="str">
        <f>IFERROR(__xludf.DUMMYFUNCTION("""COMPUTED_VALUE"""),"HUB-LSP-78")</f>
        <v>HUB-LSP-78</v>
      </c>
      <c r="D2835" s="234"/>
      <c r="E2835" s="237" t="str">
        <f>IFERROR(__xludf.DUMMYFUNCTION("""COMPUTED_VALUE"""),"LT1PCH01UPSY1")</f>
        <v>LT1PCH01UPSY1</v>
      </c>
      <c r="F2835" s="234"/>
      <c r="G2835" s="238">
        <f>IFERROR(__xludf.DUMMYFUNCTION("""COMPUTED_VALUE"""),46008.91666666667)</f>
        <v>46008.91667</v>
      </c>
      <c r="H2835" s="238">
        <f>IFERROR(__xludf.DUMMYFUNCTION("""COMPUTED_VALUE"""),46008.95833333333)</f>
        <v>46008.95833</v>
      </c>
      <c r="I2835" s="237" t="str">
        <f t="shared" si="1"/>
        <v>Fora</v>
      </c>
      <c r="J2835" s="239">
        <v>120.00000001396984</v>
      </c>
    </row>
    <row r="2836">
      <c r="A2836" s="234" t="s">
        <v>4332</v>
      </c>
      <c r="B2836" s="234" t="str">
        <f>IFERROR(__xludf.DUMMYFUNCTION("""COMPUTED_VALUE"""),"LM Hub_SP_Itaqua_Zimba")</f>
        <v>LM Hub_SP_Itaqua_Zimba</v>
      </c>
      <c r="C2836" s="234" t="str">
        <f>IFERROR(__xludf.DUMMYFUNCTION("""COMPUTED_VALUE"""),"HUB-LSP-74")</f>
        <v>HUB-LSP-74</v>
      </c>
      <c r="D2836" s="234">
        <f>IFERROR(__xludf.DUMMYFUNCTION("""COMPUTED_VALUE"""),8.0)</f>
        <v>8</v>
      </c>
      <c r="E2836" s="237" t="str">
        <f>IFERROR(__xludf.DUMMYFUNCTION("""COMPUTED_VALUE"""),"LT0PCH01UBX81")</f>
        <v>LT0PCH01UBX81</v>
      </c>
      <c r="F2836" s="238" t="str">
        <f>IFERROR(__xludf.DUMMYFUNCTION("""COMPUTED_VALUE"""),"TIZ8A99,TLG4I97")</f>
        <v>TIZ8A99,TLG4I97</v>
      </c>
      <c r="G2836" s="238">
        <f>IFERROR(__xludf.DUMMYFUNCTION("""COMPUTED_VALUE"""),46008.89583333333)</f>
        <v>46008.89583</v>
      </c>
      <c r="H2836" s="238">
        <f>IFERROR(__xludf.DUMMYFUNCTION("""COMPUTED_VALUE"""),46008.97916666667)</f>
        <v>46008.97917</v>
      </c>
      <c r="I2836" s="237" t="str">
        <f t="shared" si="1"/>
        <v>Fora</v>
      </c>
      <c r="J2836" s="239">
        <v>120.00000001396984</v>
      </c>
    </row>
    <row r="2837">
      <c r="A2837" s="234" t="s">
        <v>4333</v>
      </c>
      <c r="B2837" s="234" t="str">
        <f>IFERROR(__xludf.DUMMYFUNCTION("""COMPUTED_VALUE"""),"LM Hub_SP_Jurubatuba")</f>
        <v>LM Hub_SP_Jurubatuba</v>
      </c>
      <c r="C2837" s="234" t="str">
        <f>IFERROR(__xludf.DUMMYFUNCTION("""COMPUTED_VALUE"""),"HUB-LSP-16")</f>
        <v>HUB-LSP-16</v>
      </c>
      <c r="D2837" s="234">
        <f>IFERROR(__xludf.DUMMYFUNCTION("""COMPUTED_VALUE"""),26.0)</f>
        <v>26</v>
      </c>
      <c r="E2837" s="237" t="str">
        <f>IFERROR(__xludf.DUMMYFUNCTION("""COMPUTED_VALUE"""),"LT0PCH01UBVX1")</f>
        <v>LT0PCH01UBVX1</v>
      </c>
      <c r="F2837" s="238" t="str">
        <f>IFERROR(__xludf.DUMMYFUNCTION("""COMPUTED_VALUE"""),"CUA7C61,FPW0F14")</f>
        <v>CUA7C61,FPW0F14</v>
      </c>
      <c r="G2837" s="238">
        <f>IFERROR(__xludf.DUMMYFUNCTION("""COMPUTED_VALUE"""),46008.89583333333)</f>
        <v>46008.89583</v>
      </c>
      <c r="H2837" s="238">
        <f>IFERROR(__xludf.DUMMYFUNCTION("""COMPUTED_VALUE"""),46008.97916666667)</f>
        <v>46008.97917</v>
      </c>
      <c r="I2837" s="237" t="str">
        <f t="shared" si="1"/>
        <v>Fora</v>
      </c>
      <c r="J2837" s="239">
        <v>120.00000001396984</v>
      </c>
    </row>
    <row r="2838">
      <c r="A2838" s="234" t="s">
        <v>4334</v>
      </c>
      <c r="B2838" s="234" t="str">
        <f>IFERROR(__xludf.DUMMYFUNCTION("""COMPUTED_VALUE"""),"LM Hub_SP_Mogi das Cruzes_Jund")</f>
        <v>LM Hub_SP_Mogi das Cruzes_Jund</v>
      </c>
      <c r="C2838" s="234" t="str">
        <f>IFERROR(__xludf.DUMMYFUNCTION("""COMPUTED_VALUE"""),"HUB-LSP-78")</f>
        <v>HUB-LSP-78</v>
      </c>
      <c r="D2838" s="234">
        <f>IFERROR(__xludf.DUMMYFUNCTION("""COMPUTED_VALUE"""),33.0)</f>
        <v>33</v>
      </c>
      <c r="E2838" s="237" t="str">
        <f>IFERROR(__xludf.DUMMYFUNCTION("""COMPUTED_VALUE"""),"LT0PCH01UF3T1")</f>
        <v>LT0PCH01UF3T1</v>
      </c>
      <c r="F2838" s="238" t="str">
        <f>IFERROR(__xludf.DUMMYFUNCTION("""COMPUTED_VALUE"""),"DPR5J10,FVZ1I26")</f>
        <v>DPR5J10,FVZ1I26</v>
      </c>
      <c r="G2838" s="238">
        <f>IFERROR(__xludf.DUMMYFUNCTION("""COMPUTED_VALUE"""),46008.89583333333)</f>
        <v>46008.89583</v>
      </c>
      <c r="H2838" s="238">
        <f>IFERROR(__xludf.DUMMYFUNCTION("""COMPUTED_VALUE"""),46008.97916666667)</f>
        <v>46008.97917</v>
      </c>
      <c r="I2838" s="237" t="str">
        <f t="shared" si="1"/>
        <v>Fora</v>
      </c>
      <c r="J2838" s="239">
        <v>120.00000001396984</v>
      </c>
    </row>
    <row r="2839">
      <c r="A2839" s="234" t="s">
        <v>4335</v>
      </c>
      <c r="B2839" s="234" t="str">
        <f>IFERROR(__xludf.DUMMYFUNCTION("""COMPUTED_VALUE"""),"LM Hub_SP_Santos_Praia Grande")</f>
        <v>LM Hub_SP_Santos_Praia Grande</v>
      </c>
      <c r="C2839" s="234" t="str">
        <f>IFERROR(__xludf.DUMMYFUNCTION("""COMPUTED_VALUE"""),"HUB-LSP-09")</f>
        <v>HUB-LSP-09</v>
      </c>
      <c r="D2839" s="234"/>
      <c r="E2839" s="237" t="str">
        <f>IFERROR(__xludf.DUMMYFUNCTION("""COMPUTED_VALUE"""),"LT0PCH01UBZ41")</f>
        <v>LT0PCH01UBZ41</v>
      </c>
      <c r="F2839" s="238" t="str">
        <f>IFERROR(__xludf.DUMMYFUNCTION("""COMPUTED_VALUE"""),"FPU9I91,TLV9C88")</f>
        <v>FPU9I91,TLV9C88</v>
      </c>
      <c r="G2839" s="238">
        <f>IFERROR(__xludf.DUMMYFUNCTION("""COMPUTED_VALUE"""),46008.89583333333)</f>
        <v>46008.89583</v>
      </c>
      <c r="H2839" s="238">
        <f>IFERROR(__xludf.DUMMYFUNCTION("""COMPUTED_VALUE"""),46008.97916666667)</f>
        <v>46008.97917</v>
      </c>
      <c r="I2839" s="237" t="str">
        <f t="shared" si="1"/>
        <v>Fora</v>
      </c>
      <c r="J2839" s="239">
        <v>120.00000001396984</v>
      </c>
    </row>
    <row r="2840">
      <c r="A2840" s="234" t="s">
        <v>4336</v>
      </c>
      <c r="B2840" s="234" t="str">
        <f>IFERROR(__xludf.DUMMYFUNCTION("""COMPUTED_VALUE"""),"LM Hub_SP_Santos_PraiaGrande_02")</f>
        <v>LM Hub_SP_Santos_PraiaGrande_02</v>
      </c>
      <c r="C2840" s="234" t="str">
        <f>IFERROR(__xludf.DUMMYFUNCTION("""COMPUTED_VALUE"""),"HUB-LSP-63")</f>
        <v>HUB-LSP-63</v>
      </c>
      <c r="D2840" s="234"/>
      <c r="E2840" s="237" t="str">
        <f>IFERROR(__xludf.DUMMYFUNCTION("""COMPUTED_VALUE"""),"LT1PCH01UQSN1")</f>
        <v>LT1PCH01UQSN1</v>
      </c>
      <c r="F2840" s="234"/>
      <c r="G2840" s="238">
        <f>IFERROR(__xludf.DUMMYFUNCTION("""COMPUTED_VALUE"""),46008.89583333333)</f>
        <v>46008.89583</v>
      </c>
      <c r="H2840" s="238">
        <f>IFERROR(__xludf.DUMMYFUNCTION("""COMPUTED_VALUE"""),46008.97916666667)</f>
        <v>46008.97917</v>
      </c>
      <c r="I2840" s="237" t="str">
        <f t="shared" si="1"/>
        <v>Fora</v>
      </c>
      <c r="J2840" s="239">
        <v>120.00000001396984</v>
      </c>
    </row>
    <row r="2841">
      <c r="A2841" s="234" t="s">
        <v>4337</v>
      </c>
      <c r="B2841" s="234" t="str">
        <f>IFERROR(__xludf.DUMMYFUNCTION("""COMPUTED_VALUE"""),"LM Hub_SP_São Paulo_Lapa")</f>
        <v>LM Hub_SP_São Paulo_Lapa</v>
      </c>
      <c r="C2841" s="234" t="str">
        <f>IFERROR(__xludf.DUMMYFUNCTION("""COMPUTED_VALUE"""),"HUB-LSP-15")</f>
        <v>HUB-LSP-15</v>
      </c>
      <c r="D2841" s="234"/>
      <c r="E2841" s="237" t="str">
        <f>IFERROR(__xludf.DUMMYFUNCTION("""COMPUTED_VALUE"""),"LT0PCH01UBVP1")</f>
        <v>LT0PCH01UBVP1</v>
      </c>
      <c r="F2841" s="234"/>
      <c r="G2841" s="238">
        <f>IFERROR(__xludf.DUMMYFUNCTION("""COMPUTED_VALUE"""),46008.89583333333)</f>
        <v>46008.89583</v>
      </c>
      <c r="H2841" s="238">
        <f>IFERROR(__xludf.DUMMYFUNCTION("""COMPUTED_VALUE"""),46008.97916666667)</f>
        <v>46008.97917</v>
      </c>
      <c r="I2841" s="237" t="str">
        <f t="shared" si="1"/>
        <v>Fora</v>
      </c>
      <c r="J2841" s="239">
        <v>118.00000000745058</v>
      </c>
    </row>
    <row r="2842">
      <c r="A2842" s="234" t="s">
        <v>4338</v>
      </c>
      <c r="B2842" s="234" t="str">
        <f>IFERROR(__xludf.DUMMYFUNCTION("""COMPUTED_VALUE"""),"LM Hub_SP_São José dos Campos")</f>
        <v>LM Hub_SP_São José dos Campos</v>
      </c>
      <c r="C2842" s="234" t="str">
        <f>IFERROR(__xludf.DUMMYFUNCTION("""COMPUTED_VALUE"""),"HUB-LSP-04")</f>
        <v>HUB-LSP-04</v>
      </c>
      <c r="D2842" s="234">
        <f>IFERROR(__xludf.DUMMYFUNCTION("""COMPUTED_VALUE"""),16.0)</f>
        <v>16</v>
      </c>
      <c r="E2842" s="237" t="str">
        <f>IFERROR(__xludf.DUMMYFUNCTION("""COMPUTED_VALUE"""),"LT0PCH01U88R1")</f>
        <v>LT0PCH01U88R1</v>
      </c>
      <c r="F2842" s="238" t="str">
        <f>IFERROR(__xludf.DUMMYFUNCTION("""COMPUTED_VALUE"""),"TIR7J78")</f>
        <v>TIR7J78</v>
      </c>
      <c r="G2842" s="238">
        <f>IFERROR(__xludf.DUMMYFUNCTION("""COMPUTED_VALUE"""),46008.89722222222)</f>
        <v>46008.89722</v>
      </c>
      <c r="H2842" s="238">
        <f>IFERROR(__xludf.DUMMYFUNCTION("""COMPUTED_VALUE"""),46008.97916666667)</f>
        <v>46008.97917</v>
      </c>
      <c r="I2842" s="237" t="str">
        <f t="shared" si="1"/>
        <v>Fora</v>
      </c>
      <c r="J2842" s="239">
        <v>118.99999998975545</v>
      </c>
    </row>
    <row r="2843">
      <c r="A2843" s="234" t="s">
        <v>4339</v>
      </c>
      <c r="B2843" s="234" t="str">
        <f>IFERROR(__xludf.DUMMYFUNCTION("""COMPUTED_VALUE"""),"LM Hub_SP_Guarujá")</f>
        <v>LM Hub_SP_Guarujá</v>
      </c>
      <c r="C2843" s="234" t="str">
        <f>IFERROR(__xludf.DUMMYFUNCTION("""COMPUTED_VALUE"""),"HUB-LSP-06")</f>
        <v>HUB-LSP-06</v>
      </c>
      <c r="D2843" s="234">
        <f>IFERROR(__xludf.DUMMYFUNCTION("""COMPUTED_VALUE"""),7.0)</f>
        <v>7</v>
      </c>
      <c r="E2843" s="237" t="str">
        <f>IFERROR(__xludf.DUMMYFUNCTION("""COMPUTED_VALUE"""),"LT0PCH01UBY41")</f>
        <v>LT0PCH01UBY41</v>
      </c>
      <c r="F2843" s="238" t="str">
        <f>IFERROR(__xludf.DUMMYFUNCTION("""COMPUTED_VALUE"""),"TJN5H17")</f>
        <v>TJN5H17</v>
      </c>
      <c r="G2843" s="238">
        <f>IFERROR(__xludf.DUMMYFUNCTION("""COMPUTED_VALUE"""),46008.91666666667)</f>
        <v>46008.91667</v>
      </c>
      <c r="H2843" s="238">
        <f>IFERROR(__xludf.DUMMYFUNCTION("""COMPUTED_VALUE"""),46008.99930555555)</f>
        <v>46008.99931</v>
      </c>
      <c r="I2843" s="237" t="str">
        <f t="shared" si="1"/>
        <v>Fora</v>
      </c>
      <c r="J2843" s="239">
        <v>119.99999999301508</v>
      </c>
    </row>
    <row r="2844">
      <c r="A2844" s="234" t="s">
        <v>4340</v>
      </c>
      <c r="B2844" s="234" t="str">
        <f>IFERROR(__xludf.DUMMYFUNCTION("""COMPUTED_VALUE"""),"LM Hub_RS_Porto Alegre_Floresta")</f>
        <v>LM Hub_RS_Porto Alegre_Floresta</v>
      </c>
      <c r="C2844" s="234" t="str">
        <f>IFERROR(__xludf.DUMMYFUNCTION("""COMPUTED_VALUE"""),"HUB-LRS-03")</f>
        <v>HUB-LRS-03</v>
      </c>
      <c r="D2844" s="234"/>
      <c r="E2844" s="237" t="str">
        <f>IFERROR(__xludf.DUMMYFUNCTION("""COMPUTED_VALUE"""),"LT0PCH01UIPB1")</f>
        <v>LT0PCH01UIPB1</v>
      </c>
      <c r="F2844" s="238" t="str">
        <f>IFERROR(__xludf.DUMMYFUNCTION("""COMPUTED_VALUE"""),"IYJ8H95,IZW3G59")</f>
        <v>IYJ8H95,IZW3G59</v>
      </c>
      <c r="G2844" s="238">
        <f>IFERROR(__xludf.DUMMYFUNCTION("""COMPUTED_VALUE"""),46008.91666666667)</f>
        <v>46008.91667</v>
      </c>
      <c r="H2844" s="238">
        <f>IFERROR(__xludf.DUMMYFUNCTION("""COMPUTED_VALUE"""),46009.0)</f>
        <v>46009</v>
      </c>
      <c r="I2844" s="237" t="str">
        <f t="shared" si="1"/>
        <v>Fora</v>
      </c>
      <c r="J2844" s="239">
        <v>119.99999999301508</v>
      </c>
    </row>
    <row r="2845">
      <c r="A2845" s="234" t="s">
        <v>4341</v>
      </c>
      <c r="B2845" s="234" t="str">
        <f>IFERROR(__xludf.DUMMYFUNCTION("""COMPUTED_VALUE"""),"LM Hub_SP_Artur Alvim")</f>
        <v>LM Hub_SP_Artur Alvim</v>
      </c>
      <c r="C2845" s="234" t="str">
        <f>IFERROR(__xludf.DUMMYFUNCTION("""COMPUTED_VALUE"""),"HUB-LSP-07")</f>
        <v>HUB-LSP-07</v>
      </c>
      <c r="D2845" s="234">
        <f>IFERROR(__xludf.DUMMYFUNCTION("""COMPUTED_VALUE"""),15.0)</f>
        <v>15</v>
      </c>
      <c r="E2845" s="237" t="str">
        <f>IFERROR(__xludf.DUMMYFUNCTION("""COMPUTED_VALUE"""),"LT0PCH01UBVA1")</f>
        <v>LT0PCH01UBVA1</v>
      </c>
      <c r="F2845" s="238" t="str">
        <f>IFERROR(__xludf.DUMMYFUNCTION("""COMPUTED_VALUE"""),"EBS3J90,JXA3594")</f>
        <v>EBS3J90,JXA3594</v>
      </c>
      <c r="G2845" s="238">
        <f>IFERROR(__xludf.DUMMYFUNCTION("""COMPUTED_VALUE"""),46008.91666666667)</f>
        <v>46008.91667</v>
      </c>
      <c r="H2845" s="238">
        <f>IFERROR(__xludf.DUMMYFUNCTION("""COMPUTED_VALUE"""),46009.0)</f>
        <v>46009</v>
      </c>
      <c r="I2845" s="237" t="str">
        <f t="shared" si="1"/>
        <v>Fora</v>
      </c>
      <c r="J2845" s="239">
        <v>119.99999999301508</v>
      </c>
    </row>
    <row r="2846">
      <c r="A2846" s="234" t="s">
        <v>4342</v>
      </c>
      <c r="B2846" s="234" t="str">
        <f>IFERROR(__xludf.DUMMYFUNCTION("""COMPUTED_VALUE"""),"LM Hub_SP_Barueri_01")</f>
        <v>LM Hub_SP_Barueri_01</v>
      </c>
      <c r="C2846" s="234" t="str">
        <f>IFERROR(__xludf.DUMMYFUNCTION("""COMPUTED_VALUE"""),"HUB-LSP-81")</f>
        <v>HUB-LSP-81</v>
      </c>
      <c r="D2846" s="234"/>
      <c r="E2846" s="237" t="str">
        <f>IFERROR(__xludf.DUMMYFUNCTION("""COMPUTED_VALUE"""),"LT0PCH01UHKZ1")</f>
        <v>LT0PCH01UHKZ1</v>
      </c>
      <c r="F2846" s="238" t="str">
        <f>IFERROR(__xludf.DUMMYFUNCTION("""COMPUTED_VALUE"""),"FNY8F71,TMH5F48")</f>
        <v>FNY8F71,TMH5F48</v>
      </c>
      <c r="G2846" s="238">
        <f>IFERROR(__xludf.DUMMYFUNCTION("""COMPUTED_VALUE"""),46008.91666666667)</f>
        <v>46008.91667</v>
      </c>
      <c r="H2846" s="238">
        <f>IFERROR(__xludf.DUMMYFUNCTION("""COMPUTED_VALUE"""),46009.0)</f>
        <v>46009</v>
      </c>
      <c r="I2846" s="237" t="str">
        <f t="shared" si="1"/>
        <v>Fora</v>
      </c>
      <c r="J2846" s="239">
        <v>119.99999999301508</v>
      </c>
    </row>
    <row r="2847">
      <c r="A2847" s="234" t="s">
        <v>4343</v>
      </c>
      <c r="B2847" s="234" t="str">
        <f>IFERROR(__xludf.DUMMYFUNCTION("""COMPUTED_VALUE"""),"LM Hub_SP_Guarulhos")</f>
        <v>LM Hub_SP_Guarulhos</v>
      </c>
      <c r="C2847" s="234" t="str">
        <f>IFERROR(__xludf.DUMMYFUNCTION("""COMPUTED_VALUE"""),"HUB-LSP-77")</f>
        <v>HUB-LSP-77</v>
      </c>
      <c r="D2847" s="234">
        <f>IFERROR(__xludf.DUMMYFUNCTION("""COMPUTED_VALUE"""),24.0)</f>
        <v>24</v>
      </c>
      <c r="E2847" s="237" t="str">
        <f>IFERROR(__xludf.DUMMYFUNCTION("""COMPUTED_VALUE"""),"LT0PCH01UCMS1")</f>
        <v>LT0PCH01UCMS1</v>
      </c>
      <c r="F2847" s="238" t="str">
        <f>IFERROR(__xludf.DUMMYFUNCTION("""COMPUTED_VALUE"""),"PRB0D29,NKH4A83")</f>
        <v>PRB0D29,NKH4A83</v>
      </c>
      <c r="G2847" s="238">
        <f>IFERROR(__xludf.DUMMYFUNCTION("""COMPUTED_VALUE"""),46008.91666666667)</f>
        <v>46008.91667</v>
      </c>
      <c r="H2847" s="238">
        <f>IFERROR(__xludf.DUMMYFUNCTION("""COMPUTED_VALUE"""),46009.0)</f>
        <v>46009</v>
      </c>
      <c r="I2847" s="237" t="str">
        <f t="shared" si="1"/>
        <v>Fora</v>
      </c>
      <c r="J2847" s="239">
        <v>119.99999999301508</v>
      </c>
    </row>
    <row r="2848">
      <c r="A2848" s="234" t="s">
        <v>4344</v>
      </c>
      <c r="B2848" s="234" t="str">
        <f>IFERROR(__xludf.DUMMYFUNCTION("""COMPUTED_VALUE"""),"LM Hub_SP_Itapevi")</f>
        <v>LM Hub_SP_Itapevi</v>
      </c>
      <c r="C2848" s="234" t="str">
        <f>IFERROR(__xludf.DUMMYFUNCTION("""COMPUTED_VALUE"""),"HUB-LSP-41")</f>
        <v>HUB-LSP-41</v>
      </c>
      <c r="D2848" s="234">
        <f>IFERROR(__xludf.DUMMYFUNCTION("""COMPUTED_VALUE"""),17.0)</f>
        <v>17</v>
      </c>
      <c r="E2848" s="237" t="str">
        <f>IFERROR(__xludf.DUMMYFUNCTION("""COMPUTED_VALUE"""),"LT0PCH01UBWK1")</f>
        <v>LT0PCH01UBWK1</v>
      </c>
      <c r="F2848" s="238" t="str">
        <f>IFERROR(__xludf.DUMMYFUNCTION("""COMPUTED_VALUE"""),"DPF6F59,UGE7G47")</f>
        <v>DPF6F59,UGE7G47</v>
      </c>
      <c r="G2848" s="238">
        <f>IFERROR(__xludf.DUMMYFUNCTION("""COMPUTED_VALUE"""),46008.91666666667)</f>
        <v>46008.91667</v>
      </c>
      <c r="H2848" s="238">
        <f>IFERROR(__xludf.DUMMYFUNCTION("""COMPUTED_VALUE"""),46009.0)</f>
        <v>46009</v>
      </c>
      <c r="I2848" s="237" t="str">
        <f t="shared" si="1"/>
        <v>Fora</v>
      </c>
      <c r="J2848" s="239">
        <v>119.99999999301508</v>
      </c>
    </row>
    <row r="2849">
      <c r="A2849" s="234" t="s">
        <v>4345</v>
      </c>
      <c r="B2849" s="234" t="str">
        <f>IFERROR(__xludf.DUMMYFUNCTION("""COMPUTED_VALUE"""),"LM Hub_SP_Limeira_Campo Belo")</f>
        <v>LM Hub_SP_Limeira_Campo Belo</v>
      </c>
      <c r="C2849" s="234" t="str">
        <f>IFERROR(__xludf.DUMMYFUNCTION("""COMPUTED_VALUE"""),"HUB-LSP-24")</f>
        <v>HUB-LSP-24</v>
      </c>
      <c r="D2849" s="234"/>
      <c r="E2849" s="237" t="str">
        <f>IFERROR(__xludf.DUMMYFUNCTION("""COMPUTED_VALUE"""),"LT0PCH01UBZR1")</f>
        <v>LT0PCH01UBZR1</v>
      </c>
      <c r="F2849" s="238" t="str">
        <f>IFERROR(__xludf.DUMMYFUNCTION("""COMPUTED_VALUE"""),"FNU0D51,RXK7160")</f>
        <v>FNU0D51,RXK7160</v>
      </c>
      <c r="G2849" s="238">
        <f>IFERROR(__xludf.DUMMYFUNCTION("""COMPUTED_VALUE"""),46008.91666666667)</f>
        <v>46008.91667</v>
      </c>
      <c r="H2849" s="238">
        <f>IFERROR(__xludf.DUMMYFUNCTION("""COMPUTED_VALUE"""),46009.0)</f>
        <v>46009</v>
      </c>
      <c r="I2849" s="237" t="str">
        <f t="shared" si="1"/>
        <v>Fora</v>
      </c>
      <c r="J2849" s="239">
        <v>119.99999999301508</v>
      </c>
    </row>
    <row r="2850">
      <c r="A2850" s="234" t="s">
        <v>4346</v>
      </c>
      <c r="B2850" s="234" t="str">
        <f>IFERROR(__xludf.DUMMYFUNCTION("""COMPUTED_VALUE"""),"LM Hub_SP_Mauá")</f>
        <v>LM Hub_SP_Mauá</v>
      </c>
      <c r="C2850" s="234" t="str">
        <f>IFERROR(__xludf.DUMMYFUNCTION("""COMPUTED_VALUE"""),"HUB-LSP-64")</f>
        <v>HUB-LSP-64</v>
      </c>
      <c r="D2850" s="234">
        <f>IFERROR(__xludf.DUMMYFUNCTION("""COMPUTED_VALUE"""),19.0)</f>
        <v>19</v>
      </c>
      <c r="E2850" s="237" t="str">
        <f>IFERROR(__xludf.DUMMYFUNCTION("""COMPUTED_VALUE"""),"LT0PCH01UBX01")</f>
        <v>LT0PCH01UBX01</v>
      </c>
      <c r="F2850" s="238" t="str">
        <f>IFERROR(__xludf.DUMMYFUNCTION("""COMPUTED_VALUE"""),"QQO8H42,FSO9H65")</f>
        <v>QQO8H42,FSO9H65</v>
      </c>
      <c r="G2850" s="238">
        <f>IFERROR(__xludf.DUMMYFUNCTION("""COMPUTED_VALUE"""),46008.91666666667)</f>
        <v>46008.91667</v>
      </c>
      <c r="H2850" s="238">
        <f>IFERROR(__xludf.DUMMYFUNCTION("""COMPUTED_VALUE"""),46009.0)</f>
        <v>46009</v>
      </c>
      <c r="I2850" s="237" t="str">
        <f t="shared" si="1"/>
        <v>Fora</v>
      </c>
      <c r="J2850" s="239">
        <v>119.99999999301508</v>
      </c>
    </row>
    <row r="2851">
      <c r="A2851" s="234" t="s">
        <v>4347</v>
      </c>
      <c r="B2851" s="234" t="str">
        <f>IFERROR(__xludf.DUMMYFUNCTION("""COMPUTED_VALUE"""),"LM Hub_SP_Osasco_02")</f>
        <v>LM Hub_SP_Osasco_02</v>
      </c>
      <c r="C2851" s="234" t="str">
        <f>IFERROR(__xludf.DUMMYFUNCTION("""COMPUTED_VALUE"""),"HUB-LSP-60")</f>
        <v>HUB-LSP-60</v>
      </c>
      <c r="D2851" s="234">
        <f>IFERROR(__xludf.DUMMYFUNCTION("""COMPUTED_VALUE"""),37.0)</f>
        <v>37</v>
      </c>
      <c r="E2851" s="237" t="str">
        <f>IFERROR(__xludf.DUMMYFUNCTION("""COMPUTED_VALUE"""),"LT0PCH01UBWR1")</f>
        <v>LT0PCH01UBWR1</v>
      </c>
      <c r="F2851" s="238" t="str">
        <f>IFERROR(__xludf.DUMMYFUNCTION("""COMPUTED_VALUE"""),"AZZ7H09,EZU5701")</f>
        <v>AZZ7H09,EZU5701</v>
      </c>
      <c r="G2851" s="238">
        <f>IFERROR(__xludf.DUMMYFUNCTION("""COMPUTED_VALUE"""),46008.91666666667)</f>
        <v>46008.91667</v>
      </c>
      <c r="H2851" s="238">
        <f>IFERROR(__xludf.DUMMYFUNCTION("""COMPUTED_VALUE"""),46009.0)</f>
        <v>46009</v>
      </c>
      <c r="I2851" s="237" t="str">
        <f t="shared" si="1"/>
        <v>Fora</v>
      </c>
      <c r="J2851" s="239">
        <v>119.99999999301508</v>
      </c>
    </row>
    <row r="2852">
      <c r="A2852" s="234" t="s">
        <v>4348</v>
      </c>
      <c r="B2852" s="234" t="str">
        <f>IFERROR(__xludf.DUMMYFUNCTION("""COMPUTED_VALUE"""),"LM Hub_SP_Santo André")</f>
        <v>LM Hub_SP_Santo André</v>
      </c>
      <c r="C2852" s="234" t="str">
        <f>IFERROR(__xludf.DUMMYFUNCTION("""COMPUTED_VALUE"""),"HUB-LSP-93")</f>
        <v>HUB-LSP-93</v>
      </c>
      <c r="D2852" s="234"/>
      <c r="E2852" s="237" t="str">
        <f>IFERROR(__xludf.DUMMYFUNCTION("""COMPUTED_VALUE"""),"LT0PCH01UETX1")</f>
        <v>LT0PCH01UETX1</v>
      </c>
      <c r="F2852" s="238" t="str">
        <f>IFERROR(__xludf.DUMMYFUNCTION("""COMPUTED_VALUE"""),"QQO8H42,FSO9H65")</f>
        <v>QQO8H42,FSO9H65</v>
      </c>
      <c r="G2852" s="238">
        <f>IFERROR(__xludf.DUMMYFUNCTION("""COMPUTED_VALUE"""),46008.91666666667)</f>
        <v>46008.91667</v>
      </c>
      <c r="H2852" s="238">
        <f>IFERROR(__xludf.DUMMYFUNCTION("""COMPUTED_VALUE"""),46009.0)</f>
        <v>46009</v>
      </c>
      <c r="I2852" s="237" t="str">
        <f t="shared" si="1"/>
        <v>Fora</v>
      </c>
      <c r="J2852" s="239">
        <v>119.99999999301508</v>
      </c>
    </row>
    <row r="2853">
      <c r="A2853" s="234" t="s">
        <v>4349</v>
      </c>
      <c r="B2853" s="234" t="str">
        <f>IFERROR(__xludf.DUMMYFUNCTION("""COMPUTED_VALUE"""),"LM Hub_SP_Santo André")</f>
        <v>LM Hub_SP_Santo André</v>
      </c>
      <c r="C2853" s="234" t="str">
        <f>IFERROR(__xludf.DUMMYFUNCTION("""COMPUTED_VALUE"""),"HUB-LSP-93")</f>
        <v>HUB-LSP-93</v>
      </c>
      <c r="D2853" s="234">
        <f>IFERROR(__xludf.DUMMYFUNCTION("""COMPUTED_VALUE"""),25.0)</f>
        <v>25</v>
      </c>
      <c r="E2853" s="237" t="str">
        <f>IFERROR(__xludf.DUMMYFUNCTION("""COMPUTED_VALUE"""),"LT1PCH01UOT51")</f>
        <v>LT1PCH01UOT51</v>
      </c>
      <c r="F2853" s="238" t="str">
        <f>IFERROR(__xludf.DUMMYFUNCTION("""COMPUTED_VALUE"""),"AUH5C55,AXE8E39")</f>
        <v>AUH5C55,AXE8E39</v>
      </c>
      <c r="G2853" s="238">
        <f>IFERROR(__xludf.DUMMYFUNCTION("""COMPUTED_VALUE"""),46008.91666666667)</f>
        <v>46008.91667</v>
      </c>
      <c r="H2853" s="238">
        <f>IFERROR(__xludf.DUMMYFUNCTION("""COMPUTED_VALUE"""),46009.0)</f>
        <v>46009</v>
      </c>
      <c r="I2853" s="237" t="str">
        <f t="shared" si="1"/>
        <v>Fora</v>
      </c>
      <c r="J2853" s="239">
        <v>119.99999999301508</v>
      </c>
    </row>
    <row r="2854">
      <c r="A2854" s="234" t="s">
        <v>4350</v>
      </c>
      <c r="B2854" s="234" t="str">
        <f>IFERROR(__xludf.DUMMYFUNCTION("""COMPUTED_VALUE"""),"LM Hub_SP_Santo André")</f>
        <v>LM Hub_SP_Santo André</v>
      </c>
      <c r="C2854" s="234" t="str">
        <f>IFERROR(__xludf.DUMMYFUNCTION("""COMPUTED_VALUE"""),"HUB-LSP-93")</f>
        <v>HUB-LSP-93</v>
      </c>
      <c r="D2854" s="234">
        <f>IFERROR(__xludf.DUMMYFUNCTION("""COMPUTED_VALUE"""),49.0)</f>
        <v>49</v>
      </c>
      <c r="E2854" s="237" t="str">
        <f>IFERROR(__xludf.DUMMYFUNCTION("""COMPUTED_VALUE"""),"LT1PCH01UOT61")</f>
        <v>LT1PCH01UOT61</v>
      </c>
      <c r="F2854" s="238" t="str">
        <f>IFERROR(__xludf.DUMMYFUNCTION("""COMPUTED_VALUE"""),"FXQ8H67,APK5F88")</f>
        <v>FXQ8H67,APK5F88</v>
      </c>
      <c r="G2854" s="238">
        <f>IFERROR(__xludf.DUMMYFUNCTION("""COMPUTED_VALUE"""),46008.91666666667)</f>
        <v>46008.91667</v>
      </c>
      <c r="H2854" s="238">
        <f>IFERROR(__xludf.DUMMYFUNCTION("""COMPUTED_VALUE"""),46009.0)</f>
        <v>46009</v>
      </c>
      <c r="I2854" s="237" t="str">
        <f t="shared" si="1"/>
        <v>Fora</v>
      </c>
      <c r="J2854" s="239">
        <v>119.99999999301508</v>
      </c>
    </row>
    <row r="2855">
      <c r="A2855" s="234" t="s">
        <v>4351</v>
      </c>
      <c r="B2855" s="234" t="str">
        <f>IFERROR(__xludf.DUMMYFUNCTION("""COMPUTED_VALUE"""),"LM Hub_SP_Santo André")</f>
        <v>LM Hub_SP_Santo André</v>
      </c>
      <c r="C2855" s="234" t="str">
        <f>IFERROR(__xludf.DUMMYFUNCTION("""COMPUTED_VALUE"""),"HUB-LSP-93")</f>
        <v>HUB-LSP-93</v>
      </c>
      <c r="D2855" s="234"/>
      <c r="E2855" s="237" t="str">
        <f>IFERROR(__xludf.DUMMYFUNCTION("""COMPUTED_VALUE"""),"LT1PCH01UPT21")</f>
        <v>LT1PCH01UPT21</v>
      </c>
      <c r="F2855" s="234"/>
      <c r="G2855" s="238">
        <f>IFERROR(__xludf.DUMMYFUNCTION("""COMPUTED_VALUE"""),46008.91666666667)</f>
        <v>46008.91667</v>
      </c>
      <c r="H2855" s="238">
        <f>IFERROR(__xludf.DUMMYFUNCTION("""COMPUTED_VALUE"""),46009.0)</f>
        <v>46009</v>
      </c>
      <c r="I2855" s="237" t="str">
        <f t="shared" si="1"/>
        <v>Fora</v>
      </c>
      <c r="J2855" s="239">
        <v>119.99999999301508</v>
      </c>
    </row>
    <row r="2856">
      <c r="A2856" s="234" t="s">
        <v>4352</v>
      </c>
      <c r="B2856" s="234" t="str">
        <f>IFERROR(__xludf.DUMMYFUNCTION("""COMPUTED_VALUE"""),"LM Hub_SP_Santo André")</f>
        <v>LM Hub_SP_Santo André</v>
      </c>
      <c r="C2856" s="234" t="str">
        <f>IFERROR(__xludf.DUMMYFUNCTION("""COMPUTED_VALUE"""),"HUB-LSP-93")</f>
        <v>HUB-LSP-93</v>
      </c>
      <c r="D2856" s="234"/>
      <c r="E2856" s="237" t="str">
        <f>IFERROR(__xludf.DUMMYFUNCTION("""COMPUTED_VALUE"""),"LT1PCH01UPT31")</f>
        <v>LT1PCH01UPT31</v>
      </c>
      <c r="F2856" s="234"/>
      <c r="G2856" s="238">
        <f>IFERROR(__xludf.DUMMYFUNCTION("""COMPUTED_VALUE"""),46008.91666666667)</f>
        <v>46008.91667</v>
      </c>
      <c r="H2856" s="238">
        <f>IFERROR(__xludf.DUMMYFUNCTION("""COMPUTED_VALUE"""),46009.0)</f>
        <v>46009</v>
      </c>
      <c r="I2856" s="237" t="str">
        <f t="shared" si="1"/>
        <v>Fora</v>
      </c>
      <c r="J2856" s="239">
        <v>119.99999999301508</v>
      </c>
    </row>
    <row r="2857">
      <c r="A2857" s="234" t="s">
        <v>4353</v>
      </c>
      <c r="B2857" s="234" t="str">
        <f>IFERROR(__xludf.DUMMYFUNCTION("""COMPUTED_VALUE"""),"LM Hub_SP_Santo André")</f>
        <v>LM Hub_SP_Santo André</v>
      </c>
      <c r="C2857" s="234" t="str">
        <f>IFERROR(__xludf.DUMMYFUNCTION("""COMPUTED_VALUE"""),"HUB-LSP-93")</f>
        <v>HUB-LSP-93</v>
      </c>
      <c r="D2857" s="234"/>
      <c r="E2857" s="237" t="str">
        <f>IFERROR(__xludf.DUMMYFUNCTION("""COMPUTED_VALUE"""),"LT1PCH01UPT41")</f>
        <v>LT1PCH01UPT41</v>
      </c>
      <c r="F2857" s="234"/>
      <c r="G2857" s="238">
        <f>IFERROR(__xludf.DUMMYFUNCTION("""COMPUTED_VALUE"""),46008.91666666667)</f>
        <v>46008.91667</v>
      </c>
      <c r="H2857" s="238">
        <f>IFERROR(__xludf.DUMMYFUNCTION("""COMPUTED_VALUE"""),46009.0)</f>
        <v>46009</v>
      </c>
      <c r="I2857" s="237" t="str">
        <f t="shared" si="1"/>
        <v>Fora</v>
      </c>
      <c r="J2857" s="239">
        <v>119.99999999301508</v>
      </c>
    </row>
    <row r="2858">
      <c r="A2858" s="234" t="s">
        <v>4354</v>
      </c>
      <c r="B2858" s="234" t="str">
        <f>IFERROR(__xludf.DUMMYFUNCTION("""COMPUTED_VALUE"""),"LM Hub_SP_São José do Rio P")</f>
        <v>LM Hub_SP_São José do Rio P</v>
      </c>
      <c r="C2858" s="234" t="str">
        <f>IFERROR(__xludf.DUMMYFUNCTION("""COMPUTED_VALUE"""),"HUB-LSP-27")</f>
        <v>HUB-LSP-27</v>
      </c>
      <c r="D2858" s="234"/>
      <c r="E2858" s="237" t="str">
        <f>IFERROR(__xludf.DUMMYFUNCTION("""COMPUTED_VALUE"""),"LT0PCH01UGB11")</f>
        <v>LT0PCH01UGB11</v>
      </c>
      <c r="F2858" s="238" t="str">
        <f>IFERROR(__xludf.DUMMYFUNCTION("""COMPUTED_VALUE"""),"ELO8399,FAX1G72")</f>
        <v>ELO8399,FAX1G72</v>
      </c>
      <c r="G2858" s="238">
        <f>IFERROR(__xludf.DUMMYFUNCTION("""COMPUTED_VALUE"""),46008.91666666667)</f>
        <v>46008.91667</v>
      </c>
      <c r="H2858" s="238">
        <f>IFERROR(__xludf.DUMMYFUNCTION("""COMPUTED_VALUE"""),46009.0)</f>
        <v>46009</v>
      </c>
      <c r="I2858" s="237" t="str">
        <f t="shared" si="1"/>
        <v>Fora</v>
      </c>
      <c r="J2858" s="239">
        <v>119.99999999301508</v>
      </c>
    </row>
    <row r="2859">
      <c r="A2859" s="234" t="s">
        <v>4355</v>
      </c>
      <c r="B2859" s="234" t="str">
        <f>IFERROR(__xludf.DUMMYFUNCTION("""COMPUTED_VALUE"""),"LM Hub_SP_São Paulo_Carandiru")</f>
        <v>LM Hub_SP_São Paulo_Carandiru</v>
      </c>
      <c r="C2859" s="234" t="str">
        <f>IFERROR(__xludf.DUMMYFUNCTION("""COMPUTED_VALUE"""),"HUB-LSP-18")</f>
        <v>HUB-LSP-18</v>
      </c>
      <c r="D2859" s="234"/>
      <c r="E2859" s="237" t="str">
        <f>IFERROR(__xludf.DUMMYFUNCTION("""COMPUTED_VALUE"""),"LT1PCH01UQRD1")</f>
        <v>LT1PCH01UQRD1</v>
      </c>
      <c r="F2859" s="234"/>
      <c r="G2859" s="238">
        <f>IFERROR(__xludf.DUMMYFUNCTION("""COMPUTED_VALUE"""),46008.91666666667)</f>
        <v>46008.91667</v>
      </c>
      <c r="H2859" s="238">
        <f>IFERROR(__xludf.DUMMYFUNCTION("""COMPUTED_VALUE"""),46009.0)</f>
        <v>46009</v>
      </c>
      <c r="I2859" s="237" t="str">
        <f t="shared" si="1"/>
        <v>Fora</v>
      </c>
      <c r="J2859" s="239">
        <v>119.99999999301508</v>
      </c>
    </row>
    <row r="2860">
      <c r="A2860" s="234" t="s">
        <v>4356</v>
      </c>
      <c r="B2860" s="234" t="str">
        <f>IFERROR(__xludf.DUMMYFUNCTION("""COMPUTED_VALUE"""),"LM Hub_SP_São Paulo_Mooca")</f>
        <v>LM Hub_SP_São Paulo_Mooca</v>
      </c>
      <c r="C2860" s="234" t="str">
        <f>IFERROR(__xludf.DUMMYFUNCTION("""COMPUTED_VALUE"""),"HUB-LSP-13")</f>
        <v>HUB-LSP-13</v>
      </c>
      <c r="D2860" s="234"/>
      <c r="E2860" s="237" t="str">
        <f>IFERROR(__xludf.DUMMYFUNCTION("""COMPUTED_VALUE"""),"LT1PCH01UQRC1")</f>
        <v>LT1PCH01UQRC1</v>
      </c>
      <c r="F2860" s="234"/>
      <c r="G2860" s="238">
        <f>IFERROR(__xludf.DUMMYFUNCTION("""COMPUTED_VALUE"""),46008.91666666667)</f>
        <v>46008.91667</v>
      </c>
      <c r="H2860" s="238">
        <f>IFERROR(__xludf.DUMMYFUNCTION("""COMPUTED_VALUE"""),46009.0)</f>
        <v>46009</v>
      </c>
      <c r="I2860" s="237" t="str">
        <f t="shared" si="1"/>
        <v>Fora</v>
      </c>
      <c r="J2860" s="239">
        <v>119.99999999301508</v>
      </c>
    </row>
    <row r="2861">
      <c r="A2861" s="234" t="s">
        <v>4357</v>
      </c>
      <c r="B2861" s="234" t="str">
        <f>IFERROR(__xludf.DUMMYFUNCTION("""COMPUTED_VALUE"""),"SoC_RJ_Duque de Caxias")</f>
        <v>SoC_RJ_Duque de Caxias</v>
      </c>
      <c r="C2861" s="234" t="str">
        <f>IFERROR(__xludf.DUMMYFUNCTION("""COMPUTED_VALUE"""),"SOC-RJ2")</f>
        <v>SOC-RJ2</v>
      </c>
      <c r="D2861" s="234">
        <f>IFERROR(__xludf.DUMMYFUNCTION("""COMPUTED_VALUE"""),23.0)</f>
        <v>23</v>
      </c>
      <c r="E2861" s="237" t="str">
        <f>IFERROR(__xludf.DUMMYFUNCTION("""COMPUTED_VALUE"""),"LT1PCH01UQAQ1")</f>
        <v>LT1PCH01UQAQ1</v>
      </c>
      <c r="F2861" s="238" t="str">
        <f>IFERROR(__xludf.DUMMYFUNCTION("""COMPUTED_VALUE"""),"RHW6B03,UAW9I16")</f>
        <v>RHW6B03,UAW9I16</v>
      </c>
      <c r="G2861" s="238">
        <f>IFERROR(__xludf.DUMMYFUNCTION("""COMPUTED_VALUE"""),46008.91666666667)</f>
        <v>46008.91667</v>
      </c>
      <c r="H2861" s="238">
        <f>IFERROR(__xludf.DUMMYFUNCTION("""COMPUTED_VALUE"""),46009.0)</f>
        <v>46009</v>
      </c>
      <c r="I2861" s="237" t="str">
        <f t="shared" si="1"/>
        <v>Fora</v>
      </c>
      <c r="J2861" s="239">
        <v>119.99999999301508</v>
      </c>
    </row>
    <row r="2862">
      <c r="A2862" s="234" t="s">
        <v>4358</v>
      </c>
      <c r="B2862" s="234" t="str">
        <f>IFERROR(__xludf.DUMMYFUNCTION("""COMPUTED_VALUE"""),"SoC_RS_Gravataí_02")</f>
        <v>SoC_RS_Gravataí_02</v>
      </c>
      <c r="C2862" s="234" t="str">
        <f>IFERROR(__xludf.DUMMYFUNCTION("""COMPUTED_VALUE"""),"SOC-RS2")</f>
        <v>SOC-RS2</v>
      </c>
      <c r="D2862" s="234">
        <f>IFERROR(__xludf.DUMMYFUNCTION("""COMPUTED_VALUE"""),29.0)</f>
        <v>29</v>
      </c>
      <c r="E2862" s="237" t="str">
        <f>IFERROR(__xludf.DUMMYFUNCTION("""COMPUTED_VALUE"""),"LT1PCH01UQAW1")</f>
        <v>LT1PCH01UQAW1</v>
      </c>
      <c r="F2862" s="238" t="str">
        <f>IFERROR(__xludf.DUMMYFUNCTION("""COMPUTED_VALUE"""),"DUH0F52,TPN2F19")</f>
        <v>DUH0F52,TPN2F19</v>
      </c>
      <c r="G2862" s="238">
        <f>IFERROR(__xludf.DUMMYFUNCTION("""COMPUTED_VALUE"""),46008.91666666667)</f>
        <v>46008.91667</v>
      </c>
      <c r="H2862" s="238">
        <f>IFERROR(__xludf.DUMMYFUNCTION("""COMPUTED_VALUE"""),46009.0)</f>
        <v>46009</v>
      </c>
      <c r="I2862" s="237" t="str">
        <f t="shared" si="1"/>
        <v>Fora</v>
      </c>
      <c r="J2862" s="239">
        <v>119.99999999301508</v>
      </c>
    </row>
    <row r="2863">
      <c r="A2863" s="234" t="s">
        <v>4359</v>
      </c>
      <c r="B2863" s="234" t="str">
        <f>IFERROR(__xludf.DUMMYFUNCTION("""COMPUTED_VALUE"""),"SoC_SP_Louveira")</f>
        <v>SoC_SP_Louveira</v>
      </c>
      <c r="C2863" s="234" t="str">
        <f>IFERROR(__xludf.DUMMYFUNCTION("""COMPUTED_VALUE"""),"SOC-SP7")</f>
        <v>SOC-SP7</v>
      </c>
      <c r="D2863" s="234"/>
      <c r="E2863" s="237" t="str">
        <f>IFERROR(__xludf.DUMMYFUNCTION("""COMPUTED_VALUE"""),"LT1PCH01UPP81")</f>
        <v>LT1PCH01UPP81</v>
      </c>
      <c r="F2863" s="234"/>
      <c r="G2863" s="238">
        <f>IFERROR(__xludf.DUMMYFUNCTION("""COMPUTED_VALUE"""),46008.91666666667)</f>
        <v>46008.91667</v>
      </c>
      <c r="H2863" s="238">
        <f>IFERROR(__xludf.DUMMYFUNCTION("""COMPUTED_VALUE"""),46009.0)</f>
        <v>46009</v>
      </c>
      <c r="I2863" s="237" t="str">
        <f t="shared" si="1"/>
        <v>Fora</v>
      </c>
      <c r="J2863" s="239">
        <v>119.99999999301508</v>
      </c>
    </row>
    <row r="2864">
      <c r="A2864" s="234" t="s">
        <v>4360</v>
      </c>
      <c r="B2864" s="234" t="str">
        <f>IFERROR(__xludf.DUMMYFUNCTION("""COMPUTED_VALUE"""),"LM Hub_SP_Jardim Adriana")</f>
        <v>LM Hub_SP_Jardim Adriana</v>
      </c>
      <c r="C2864" s="234" t="str">
        <f>IFERROR(__xludf.DUMMYFUNCTION("""COMPUTED_VALUE"""),"HUB-LSP-12")</f>
        <v>HUB-LSP-12</v>
      </c>
      <c r="D2864" s="234">
        <f>IFERROR(__xludf.DUMMYFUNCTION("""COMPUTED_VALUE"""),27.0)</f>
        <v>27</v>
      </c>
      <c r="E2864" s="237" t="str">
        <f>IFERROR(__xludf.DUMMYFUNCTION("""COMPUTED_VALUE"""),"LT0PCH01UBVH1")</f>
        <v>LT0PCH01UBVH1</v>
      </c>
      <c r="F2864" s="238" t="str">
        <f>IFERROR(__xludf.DUMMYFUNCTION("""COMPUTED_VALUE"""),"CSK0A38")</f>
        <v>CSK0A38</v>
      </c>
      <c r="G2864" s="238">
        <f>IFERROR(__xludf.DUMMYFUNCTION("""COMPUTED_VALUE"""),46008.9375)</f>
        <v>46008.9375</v>
      </c>
      <c r="H2864" s="238">
        <f>IFERROR(__xludf.DUMMYFUNCTION("""COMPUTED_VALUE"""),46009.02083333333)</f>
        <v>46009.02083</v>
      </c>
      <c r="I2864" s="237" t="str">
        <f t="shared" si="1"/>
        <v>Fora</v>
      </c>
      <c r="J2864" s="239">
        <v>119.99999999301508</v>
      </c>
    </row>
    <row r="2865">
      <c r="A2865" s="234" t="s">
        <v>4361</v>
      </c>
      <c r="B2865" s="234" t="str">
        <f>IFERROR(__xludf.DUMMYFUNCTION("""COMPUTED_VALUE"""),"LM Hub_SP_Piracicaba")</f>
        <v>LM Hub_SP_Piracicaba</v>
      </c>
      <c r="C2865" s="234" t="str">
        <f>IFERROR(__xludf.DUMMYFUNCTION("""COMPUTED_VALUE"""),"HUB-LSP-62")</f>
        <v>HUB-LSP-62</v>
      </c>
      <c r="D2865" s="234">
        <f>IFERROR(__xludf.DUMMYFUNCTION("""COMPUTED_VALUE"""),45.0)</f>
        <v>45</v>
      </c>
      <c r="E2865" s="237" t="str">
        <f>IFERROR(__xludf.DUMMYFUNCTION("""COMPUTED_VALUE"""),"LT0PCH01UCN41")</f>
        <v>LT0PCH01UCN41</v>
      </c>
      <c r="F2865" s="238" t="str">
        <f>IFERROR(__xludf.DUMMYFUNCTION("""COMPUTED_VALUE"""),"EOF4D32,EOF4D33")</f>
        <v>EOF4D32,EOF4D33</v>
      </c>
      <c r="G2865" s="238">
        <f>IFERROR(__xludf.DUMMYFUNCTION("""COMPUTED_VALUE"""),46008.9375)</f>
        <v>46008.9375</v>
      </c>
      <c r="H2865" s="238">
        <f>IFERROR(__xludf.DUMMYFUNCTION("""COMPUTED_VALUE"""),46009.02083333333)</f>
        <v>46009.02083</v>
      </c>
      <c r="I2865" s="237" t="str">
        <f t="shared" si="1"/>
        <v>Fora</v>
      </c>
      <c r="J2865" s="239">
        <v>119.99999999301508</v>
      </c>
    </row>
    <row r="2866">
      <c r="A2866" s="234" t="s">
        <v>4362</v>
      </c>
      <c r="B2866" s="234" t="str">
        <f>IFERROR(__xludf.DUMMYFUNCTION("""COMPUTED_VALUE"""),"LM Hub_SP_São Paulo_Carandiru")</f>
        <v>LM Hub_SP_São Paulo_Carandiru</v>
      </c>
      <c r="C2866" s="234" t="str">
        <f>IFERROR(__xludf.DUMMYFUNCTION("""COMPUTED_VALUE"""),"HUB-LSP-18")</f>
        <v>HUB-LSP-18</v>
      </c>
      <c r="D2866" s="234">
        <f>IFERROR(__xludf.DUMMYFUNCTION("""COMPUTED_VALUE"""),34.0)</f>
        <v>34</v>
      </c>
      <c r="E2866" s="237" t="str">
        <f>IFERROR(__xludf.DUMMYFUNCTION("""COMPUTED_VALUE"""),"LT0PCH01UBW21")</f>
        <v>LT0PCH01UBW21</v>
      </c>
      <c r="F2866" s="238" t="str">
        <f>IFERROR(__xludf.DUMMYFUNCTION("""COMPUTED_VALUE"""),"GDB4E59")</f>
        <v>GDB4E59</v>
      </c>
      <c r="G2866" s="238">
        <f>IFERROR(__xludf.DUMMYFUNCTION("""COMPUTED_VALUE"""),46008.9375)</f>
        <v>46008.9375</v>
      </c>
      <c r="H2866" s="238">
        <f>IFERROR(__xludf.DUMMYFUNCTION("""COMPUTED_VALUE"""),46009.02083333333)</f>
        <v>46009.02083</v>
      </c>
      <c r="I2866" s="237" t="str">
        <f t="shared" si="1"/>
        <v>Fora</v>
      </c>
      <c r="J2866" s="239">
        <v>118.99999998975545</v>
      </c>
    </row>
    <row r="2867">
      <c r="A2867" s="234" t="s">
        <v>4363</v>
      </c>
      <c r="B2867" s="234" t="str">
        <f>IFERROR(__xludf.DUMMYFUNCTION("""COMPUTED_VALUE"""),"LM Hub_SP_Parque Novo Mundo")</f>
        <v>LM Hub_SP_Parque Novo Mundo</v>
      </c>
      <c r="C2867" s="234" t="str">
        <f>IFERROR(__xludf.DUMMYFUNCTION("""COMPUTED_VALUE"""),"HUB-LSP-89")</f>
        <v>HUB-LSP-89</v>
      </c>
      <c r="D2867" s="234">
        <f>IFERROR(__xludf.DUMMYFUNCTION("""COMPUTED_VALUE"""),44.0)</f>
        <v>44</v>
      </c>
      <c r="E2867" s="237" t="str">
        <f>IFERROR(__xludf.DUMMYFUNCTION("""COMPUTED_VALUE"""),"LT0PCH01UCUZ1")</f>
        <v>LT0PCH01UCUZ1</v>
      </c>
      <c r="F2867" s="238" t="str">
        <f>IFERROR(__xludf.DUMMYFUNCTION("""COMPUTED_VALUE"""),"GIQ1C13,AKZ0B43")</f>
        <v>GIQ1C13,AKZ0B43</v>
      </c>
      <c r="G2867" s="238">
        <f>IFERROR(__xludf.DUMMYFUNCTION("""COMPUTED_VALUE"""),46008.93819444445)</f>
        <v>46008.93819</v>
      </c>
      <c r="H2867" s="238">
        <f>IFERROR(__xludf.DUMMYFUNCTION("""COMPUTED_VALUE"""),46009.02083333333)</f>
        <v>46009.02083</v>
      </c>
      <c r="I2867" s="237" t="str">
        <f t="shared" si="1"/>
        <v>Fora</v>
      </c>
      <c r="J2867" s="239">
        <v>118.99999998975545</v>
      </c>
    </row>
    <row r="2868">
      <c r="A2868" s="234" t="s">
        <v>4364</v>
      </c>
      <c r="B2868" s="234" t="str">
        <f>IFERROR(__xludf.DUMMYFUNCTION("""COMPUTED_VALUE"""),"LM Hub_SP_VilaGuilherme")</f>
        <v>LM Hub_SP_VilaGuilherme</v>
      </c>
      <c r="C2868" s="234" t="str">
        <f>IFERROR(__xludf.DUMMYFUNCTION("""COMPUTED_VALUE"""),"HUB-LSP-68")</f>
        <v>HUB-LSP-68</v>
      </c>
      <c r="D2868" s="234">
        <f>IFERROR(__xludf.DUMMYFUNCTION("""COMPUTED_VALUE"""),21.0)</f>
        <v>21</v>
      </c>
      <c r="E2868" s="237" t="str">
        <f>IFERROR(__xludf.DUMMYFUNCTION("""COMPUTED_VALUE"""),"LT0PCH01U8871")</f>
        <v>LT0PCH01U8871</v>
      </c>
      <c r="F2868" s="238" t="str">
        <f>IFERROR(__xludf.DUMMYFUNCTION("""COMPUTED_VALUE"""),"FDZ3A56,DBC5I22")</f>
        <v>FDZ3A56,DBC5I22</v>
      </c>
      <c r="G2868" s="238">
        <f>IFERROR(__xludf.DUMMYFUNCTION("""COMPUTED_VALUE"""),46008.93819444445)</f>
        <v>46008.93819</v>
      </c>
      <c r="H2868" s="238">
        <f>IFERROR(__xludf.DUMMYFUNCTION("""COMPUTED_VALUE"""),46009.02083333333)</f>
        <v>46009.02083</v>
      </c>
      <c r="I2868" s="237" t="str">
        <f t="shared" si="1"/>
        <v>Fora</v>
      </c>
      <c r="J2868" s="239">
        <v>120.00000001396984</v>
      </c>
    </row>
    <row r="2869">
      <c r="A2869" s="234" t="s">
        <v>4365</v>
      </c>
      <c r="B2869" s="234" t="str">
        <f>IFERROR(__xludf.DUMMYFUNCTION("""COMPUTED_VALUE"""),"LM Hub_SP_Jundiaí")</f>
        <v>LM Hub_SP_Jundiaí</v>
      </c>
      <c r="C2869" s="234" t="str">
        <f>IFERROR(__xludf.DUMMYFUNCTION("""COMPUTED_VALUE"""),"HUB-LSP-100")</f>
        <v>HUB-LSP-100</v>
      </c>
      <c r="D2869" s="234">
        <f>IFERROR(__xludf.DUMMYFUNCTION("""COMPUTED_VALUE"""),9.0)</f>
        <v>9</v>
      </c>
      <c r="E2869" s="237" t="str">
        <f>IFERROR(__xludf.DUMMYFUNCTION("""COMPUTED_VALUE"""),"LT0PCH01UJ071")</f>
        <v>LT0PCH01UJ071</v>
      </c>
      <c r="F2869" s="238" t="str">
        <f>IFERROR(__xludf.DUMMYFUNCTION("""COMPUTED_VALUE"""),"ENU2E00,DPC3G59")</f>
        <v>ENU2E00,DPC3G59</v>
      </c>
      <c r="G2869" s="238">
        <f>IFERROR(__xludf.DUMMYFUNCTION("""COMPUTED_VALUE"""),46008.95833333333)</f>
        <v>46008.95833</v>
      </c>
      <c r="H2869" s="238">
        <f>IFERROR(__xludf.DUMMYFUNCTION("""COMPUTED_VALUE"""),46009.04166666667)</f>
        <v>46009.04167</v>
      </c>
      <c r="I2869" s="237" t="str">
        <f t="shared" si="1"/>
        <v>Fora</v>
      </c>
      <c r="J2869" s="239">
        <v>120.00000001396984</v>
      </c>
    </row>
    <row r="2870">
      <c r="A2870" s="234" t="s">
        <v>4366</v>
      </c>
      <c r="B2870" s="234" t="str">
        <f>IFERROR(__xludf.DUMMYFUNCTION("""COMPUTED_VALUE"""),"LM Hub_SP_Mogi Mirim")</f>
        <v>LM Hub_SP_Mogi Mirim</v>
      </c>
      <c r="C2870" s="234" t="str">
        <f>IFERROR(__xludf.DUMMYFUNCTION("""COMPUTED_VALUE"""),"HUB-LSP-37")</f>
        <v>HUB-LSP-37</v>
      </c>
      <c r="D2870" s="234">
        <f>IFERROR(__xludf.DUMMYFUNCTION("""COMPUTED_VALUE"""),39.0)</f>
        <v>39</v>
      </c>
      <c r="E2870" s="237" t="str">
        <f>IFERROR(__xludf.DUMMYFUNCTION("""COMPUTED_VALUE"""),"LT0PCH01UC0L1")</f>
        <v>LT0PCH01UC0L1</v>
      </c>
      <c r="F2870" s="238" t="str">
        <f>IFERROR(__xludf.DUMMYFUNCTION("""COMPUTED_VALUE"""),"FPO2A72,UEG6I38")</f>
        <v>FPO2A72,UEG6I38</v>
      </c>
      <c r="G2870" s="238">
        <f>IFERROR(__xludf.DUMMYFUNCTION("""COMPUTED_VALUE"""),46008.95833333333)</f>
        <v>46008.95833</v>
      </c>
      <c r="H2870" s="238">
        <f>IFERROR(__xludf.DUMMYFUNCTION("""COMPUTED_VALUE"""),46009.04166666667)</f>
        <v>46009.04167</v>
      </c>
      <c r="I2870" s="237" t="str">
        <f t="shared" si="1"/>
        <v>Fora</v>
      </c>
      <c r="J2870" s="239">
        <v>120.00000001396984</v>
      </c>
    </row>
    <row r="2871">
      <c r="A2871" s="234" t="s">
        <v>4367</v>
      </c>
      <c r="B2871" s="234" t="str">
        <f>IFERROR(__xludf.DUMMYFUNCTION("""COMPUTED_VALUE"""),"SoC_SP_Cravinhos")</f>
        <v>SoC_SP_Cravinhos</v>
      </c>
      <c r="C2871" s="234" t="str">
        <f>IFERROR(__xludf.DUMMYFUNCTION("""COMPUTED_VALUE"""),"SOC-SP5")</f>
        <v>SOC-SP5</v>
      </c>
      <c r="D2871" s="234">
        <f>IFERROR(__xludf.DUMMYFUNCTION("""COMPUTED_VALUE"""),95.0)</f>
        <v>95</v>
      </c>
      <c r="E2871" s="237" t="str">
        <f>IFERROR(__xludf.DUMMYFUNCTION("""COMPUTED_VALUE"""),"LT1PCH01UQAP1")</f>
        <v>LT1PCH01UQAP1</v>
      </c>
      <c r="F2871" s="238" t="str">
        <f>IFERROR(__xludf.DUMMYFUNCTION("""COMPUTED_VALUE"""),"IPR2A36,ITH3D53")</f>
        <v>IPR2A36,ITH3D53</v>
      </c>
      <c r="G2871" s="238">
        <f>IFERROR(__xludf.DUMMYFUNCTION("""COMPUTED_VALUE"""),46008.95833333333)</f>
        <v>46008.95833</v>
      </c>
      <c r="H2871" s="238">
        <f>IFERROR(__xludf.DUMMYFUNCTION("""COMPUTED_VALUE"""),46009.04166666667)</f>
        <v>46009.04167</v>
      </c>
      <c r="I2871" s="237" t="str">
        <f t="shared" si="1"/>
        <v>Fora</v>
      </c>
      <c r="J2871" s="239">
        <v>119.00000001071021</v>
      </c>
    </row>
    <row r="2872">
      <c r="A2872" s="234" t="s">
        <v>4368</v>
      </c>
      <c r="B2872" s="234" t="str">
        <f>IFERROR(__xludf.DUMMYFUNCTION("""COMPUTED_VALUE"""),"LM Hub_ES_Viana")</f>
        <v>LM Hub_ES_Viana</v>
      </c>
      <c r="C2872" s="234" t="str">
        <f>IFERROR(__xludf.DUMMYFUNCTION("""COMPUTED_VALUE"""),"HUB-LES-09")</f>
        <v>HUB-LES-09</v>
      </c>
      <c r="D2872" s="234"/>
      <c r="E2872" s="237" t="str">
        <f>IFERROR(__xludf.DUMMYFUNCTION("""COMPUTED_VALUE"""),"LT0PCH01U90B1")</f>
        <v>LT0PCH01U90B1</v>
      </c>
      <c r="F2872" s="238" t="str">
        <f>IFERROR(__xludf.DUMMYFUNCTION("""COMPUTED_VALUE"""),"ODL4H77,CLK6H59")</f>
        <v>ODL4H77,CLK6H59</v>
      </c>
      <c r="G2872" s="238">
        <f>IFERROR(__xludf.DUMMYFUNCTION("""COMPUTED_VALUE"""),46008.959027777775)</f>
        <v>46008.95903</v>
      </c>
      <c r="H2872" s="238">
        <f>IFERROR(__xludf.DUMMYFUNCTION("""COMPUTED_VALUE"""),46009.04166666667)</f>
        <v>46009.04167</v>
      </c>
      <c r="I2872" s="237" t="str">
        <f t="shared" si="1"/>
        <v>Fora</v>
      </c>
      <c r="J2872" s="239">
        <v>119.99999999301508</v>
      </c>
    </row>
    <row r="2873">
      <c r="A2873" s="234" t="s">
        <v>4369</v>
      </c>
      <c r="B2873" s="234" t="str">
        <f>IFERROR(__xludf.DUMMYFUNCTION("""COMPUTED_VALUE"""),"LM Hub_SP_Araraquara")</f>
        <v>LM Hub_SP_Araraquara</v>
      </c>
      <c r="C2873" s="234" t="str">
        <f>IFERROR(__xludf.DUMMYFUNCTION("""COMPUTED_VALUE"""),"HUB-LSP-29")</f>
        <v>HUB-LSP-29</v>
      </c>
      <c r="D2873" s="234">
        <f>IFERROR(__xludf.DUMMYFUNCTION("""COMPUTED_VALUE"""),41.0)</f>
        <v>41</v>
      </c>
      <c r="E2873" s="237" t="str">
        <f>IFERROR(__xludf.DUMMYFUNCTION("""COMPUTED_VALUE"""),"LT0PCH01UC0R1")</f>
        <v>LT0PCH01UC0R1</v>
      </c>
      <c r="F2873" s="238" t="str">
        <f>IFERROR(__xludf.DUMMYFUNCTION("""COMPUTED_VALUE"""),"FVM9I18,GEH6H31")</f>
        <v>FVM9I18,GEH6H31</v>
      </c>
      <c r="G2873" s="238">
        <f>IFERROR(__xludf.DUMMYFUNCTION("""COMPUTED_VALUE"""),46008.97916666667)</f>
        <v>46008.97917</v>
      </c>
      <c r="H2873" s="238">
        <f>IFERROR(__xludf.DUMMYFUNCTION("""COMPUTED_VALUE"""),46009.0625)</f>
        <v>46009.0625</v>
      </c>
      <c r="I2873" s="237" t="str">
        <f t="shared" si="1"/>
        <v>Fora</v>
      </c>
      <c r="J2873" s="239">
        <v>119.99999999301508</v>
      </c>
    </row>
    <row r="2874">
      <c r="A2874" s="234" t="s">
        <v>4370</v>
      </c>
      <c r="B2874" s="234" t="str">
        <f>IFERROR(__xludf.DUMMYFUNCTION("""COMPUTED_VALUE"""),"LM Hub_SP_Atibaia_Ponte_Alta")</f>
        <v>LM Hub_SP_Atibaia_Ponte_Alta</v>
      </c>
      <c r="C2874" s="234" t="str">
        <f>IFERROR(__xludf.DUMMYFUNCTION("""COMPUTED_VALUE"""),"HUB-LSP-87")</f>
        <v>HUB-LSP-87</v>
      </c>
      <c r="D2874" s="234">
        <f>IFERROR(__xludf.DUMMYFUNCTION("""COMPUTED_VALUE"""),6.0)</f>
        <v>6</v>
      </c>
      <c r="E2874" s="237" t="str">
        <f>IFERROR(__xludf.DUMMYFUNCTION("""COMPUTED_VALUE"""),"LT0PCH01UG6U1")</f>
        <v>LT0PCH01UG6U1</v>
      </c>
      <c r="F2874" s="238" t="str">
        <f>IFERROR(__xludf.DUMMYFUNCTION("""COMPUTED_VALUE"""),"TBQ8J48,SVU1B07")</f>
        <v>TBQ8J48,SVU1B07</v>
      </c>
      <c r="G2874" s="238">
        <f>IFERROR(__xludf.DUMMYFUNCTION("""COMPUTED_VALUE"""),46008.97916666667)</f>
        <v>46008.97917</v>
      </c>
      <c r="H2874" s="238">
        <f>IFERROR(__xludf.DUMMYFUNCTION("""COMPUTED_VALUE"""),46009.0625)</f>
        <v>46009.0625</v>
      </c>
      <c r="I2874" s="237" t="str">
        <f t="shared" si="1"/>
        <v>Fora</v>
      </c>
      <c r="J2874" s="239">
        <v>119.99999999301508</v>
      </c>
    </row>
    <row r="2875">
      <c r="A2875" s="234" t="s">
        <v>4371</v>
      </c>
      <c r="B2875" s="234" t="str">
        <f>IFERROR(__xludf.DUMMYFUNCTION("""COMPUTED_VALUE"""),"LM Hub_SP_Várzea Paulista")</f>
        <v>LM Hub_SP_Várzea Paulista</v>
      </c>
      <c r="C2875" s="234" t="str">
        <f>IFERROR(__xludf.DUMMYFUNCTION("""COMPUTED_VALUE"""),"HUB-LSP-61")</f>
        <v>HUB-LSP-61</v>
      </c>
      <c r="D2875" s="234">
        <f>IFERROR(__xludf.DUMMYFUNCTION("""COMPUTED_VALUE"""),42.0)</f>
        <v>42</v>
      </c>
      <c r="E2875" s="237" t="str">
        <f>IFERROR(__xludf.DUMMYFUNCTION("""COMPUTED_VALUE"""),"LT0PCH01UC001")</f>
        <v>LT0PCH01UC001</v>
      </c>
      <c r="F2875" s="238" t="str">
        <f>IFERROR(__xludf.DUMMYFUNCTION("""COMPUTED_VALUE"""),"CUC6J82,CUB1E64")</f>
        <v>CUC6J82,CUB1E64</v>
      </c>
      <c r="G2875" s="238">
        <f>IFERROR(__xludf.DUMMYFUNCTION("""COMPUTED_VALUE"""),46008.97916666667)</f>
        <v>46008.97917</v>
      </c>
      <c r="H2875" s="238">
        <f>IFERROR(__xludf.DUMMYFUNCTION("""COMPUTED_VALUE"""),46009.0625)</f>
        <v>46009.0625</v>
      </c>
      <c r="I2875" s="237" t="str">
        <f t="shared" si="1"/>
        <v>Fora</v>
      </c>
      <c r="J2875" s="239">
        <v>119.99999999301508</v>
      </c>
    </row>
    <row r="2876">
      <c r="A2876" s="234" t="s">
        <v>4372</v>
      </c>
      <c r="B2876" s="234" t="str">
        <f>IFERROR(__xludf.DUMMYFUNCTION("""COMPUTED_VALUE"""),"SoC_PE_Jaboatão dos Guararapes")</f>
        <v>SoC_PE_Jaboatão dos Guararapes</v>
      </c>
      <c r="C2876" s="234" t="str">
        <f>IFERROR(__xludf.DUMMYFUNCTION("""COMPUTED_VALUE"""),"SOC-PE2")</f>
        <v>SOC-PE2</v>
      </c>
      <c r="D2876" s="234">
        <f>IFERROR(__xludf.DUMMYFUNCTION("""COMPUTED_VALUE"""),22.0)</f>
        <v>22</v>
      </c>
      <c r="E2876" s="237" t="str">
        <f>IFERROR(__xludf.DUMMYFUNCTION("""COMPUTED_VALUE"""),"LT0PCI01UHUB1")</f>
        <v>LT0PCI01UHUB1</v>
      </c>
      <c r="F2876" s="238" t="str">
        <f>IFERROR(__xludf.DUMMYFUNCTION("""COMPUTED_VALUE"""),"RDT1I36,QTK1E46")</f>
        <v>RDT1I36,QTK1E46</v>
      </c>
      <c r="G2876" s="238">
        <f>IFERROR(__xludf.DUMMYFUNCTION("""COMPUTED_VALUE"""),46009.0)</f>
        <v>46009</v>
      </c>
      <c r="H2876" s="238">
        <f>IFERROR(__xludf.DUMMYFUNCTION("""COMPUTED_VALUE"""),46009.08333333333)</f>
        <v>46009.08333</v>
      </c>
      <c r="I2876" s="237" t="str">
        <f t="shared" si="1"/>
        <v>Fora</v>
      </c>
      <c r="J2876" s="239">
        <v>119.99999999301508</v>
      </c>
    </row>
    <row r="2877">
      <c r="A2877" s="234" t="s">
        <v>4373</v>
      </c>
      <c r="B2877" s="234" t="str">
        <f>IFERROR(__xludf.DUMMYFUNCTION("""COMPUTED_VALUE"""),"SoC_PR_Curitiba")</f>
        <v>SoC_PR_Curitiba</v>
      </c>
      <c r="C2877" s="234" t="str">
        <f>IFERROR(__xludf.DUMMYFUNCTION("""COMPUTED_VALUE"""),"SOC-PR1")</f>
        <v>SOC-PR1</v>
      </c>
      <c r="D2877" s="234">
        <f>IFERROR(__xludf.DUMMYFUNCTION("""COMPUTED_VALUE"""),40.0)</f>
        <v>40</v>
      </c>
      <c r="E2877" s="237" t="str">
        <f>IFERROR(__xludf.DUMMYFUNCTION("""COMPUTED_VALUE"""),"LT0PCI01UBT61")</f>
        <v>LT0PCI01UBT61</v>
      </c>
      <c r="F2877" s="238" t="str">
        <f>IFERROR(__xludf.DUMMYFUNCTION("""COMPUTED_VALUE"""),"TAW1D02,BEX8B12")</f>
        <v>TAW1D02,BEX8B12</v>
      </c>
      <c r="G2877" s="238">
        <f>IFERROR(__xludf.DUMMYFUNCTION("""COMPUTED_VALUE"""),46009.0)</f>
        <v>46009</v>
      </c>
      <c r="H2877" s="238">
        <f>IFERROR(__xludf.DUMMYFUNCTION("""COMPUTED_VALUE"""),46009.08333333333)</f>
        <v>46009.08333</v>
      </c>
      <c r="I2877" s="237" t="str">
        <f t="shared" si="1"/>
        <v>Fora</v>
      </c>
      <c r="J2877" s="239">
        <v>119.99999999301508</v>
      </c>
    </row>
    <row r="2878">
      <c r="A2878" s="234" t="s">
        <v>4374</v>
      </c>
      <c r="B2878" s="234" t="str">
        <f>IFERROR(__xludf.DUMMYFUNCTION("""COMPUTED_VALUE"""),"SoC_RS_Gravataí_02")</f>
        <v>SoC_RS_Gravataí_02</v>
      </c>
      <c r="C2878" s="234" t="str">
        <f>IFERROR(__xludf.DUMMYFUNCTION("""COMPUTED_VALUE"""),"SOC-RS2")</f>
        <v>SOC-RS2</v>
      </c>
      <c r="D2878" s="234">
        <f>IFERROR(__xludf.DUMMYFUNCTION("""COMPUTED_VALUE"""),36.0)</f>
        <v>36</v>
      </c>
      <c r="E2878" s="237" t="str">
        <f>IFERROR(__xludf.DUMMYFUNCTION("""COMPUTED_VALUE"""),"LT0PCI01UI9G1")</f>
        <v>LT0PCI01UI9G1</v>
      </c>
      <c r="F2878" s="238" t="str">
        <f>IFERROR(__xludf.DUMMYFUNCTION("""COMPUTED_VALUE"""),"IYJ8H95,IZW3G59")</f>
        <v>IYJ8H95,IZW3G59</v>
      </c>
      <c r="G2878" s="238">
        <f>IFERROR(__xludf.DUMMYFUNCTION("""COMPUTED_VALUE"""),46009.0)</f>
        <v>46009</v>
      </c>
      <c r="H2878" s="238">
        <f>IFERROR(__xludf.DUMMYFUNCTION("""COMPUTED_VALUE"""),46009.08333333333)</f>
        <v>46009.08333</v>
      </c>
      <c r="I2878" s="237" t="str">
        <f t="shared" si="1"/>
        <v>Fora</v>
      </c>
      <c r="J2878" s="239">
        <v>119.99999999301508</v>
      </c>
    </row>
    <row r="2879">
      <c r="A2879" s="234" t="s">
        <v>4375</v>
      </c>
      <c r="B2879" s="234" t="str">
        <f>IFERROR(__xludf.DUMMYFUNCTION("""COMPUTED_VALUE"""),"SoC_SC_Itajaí")</f>
        <v>SoC_SC_Itajaí</v>
      </c>
      <c r="C2879" s="234" t="str">
        <f>IFERROR(__xludf.DUMMYFUNCTION("""COMPUTED_VALUE"""),"SOC-SC1")</f>
        <v>SOC-SC1</v>
      </c>
      <c r="D2879" s="234">
        <f>IFERROR(__xludf.DUMMYFUNCTION("""COMPUTED_VALUE"""),23.0)</f>
        <v>23</v>
      </c>
      <c r="E2879" s="237" t="str">
        <f>IFERROR(__xludf.DUMMYFUNCTION("""COMPUTED_VALUE"""),"LT0PCI01UGWM1")</f>
        <v>LT0PCI01UGWM1</v>
      </c>
      <c r="F2879" s="238" t="str">
        <f>IFERROR(__xludf.DUMMYFUNCTION("""COMPUTED_VALUE"""),"OPN3H95,IPN8J87")</f>
        <v>OPN3H95,IPN8J87</v>
      </c>
      <c r="G2879" s="238">
        <f>IFERROR(__xludf.DUMMYFUNCTION("""COMPUTED_VALUE"""),46009.0)</f>
        <v>46009</v>
      </c>
      <c r="H2879" s="238">
        <f>IFERROR(__xludf.DUMMYFUNCTION("""COMPUTED_VALUE"""),46009.08333333333)</f>
        <v>46009.08333</v>
      </c>
      <c r="I2879" s="237" t="str">
        <f t="shared" si="1"/>
        <v>Fora</v>
      </c>
      <c r="J2879" s="239">
        <v>119.99999999301508</v>
      </c>
    </row>
    <row r="2880">
      <c r="A2880" s="234" t="s">
        <v>4376</v>
      </c>
      <c r="B2880" s="234" t="str">
        <f>IFERROR(__xludf.DUMMYFUNCTION("""COMPUTED_VALUE"""),"SoC_SP_Louveira")</f>
        <v>SoC_SP_Louveira</v>
      </c>
      <c r="C2880" s="234" t="str">
        <f>IFERROR(__xludf.DUMMYFUNCTION("""COMPUTED_VALUE"""),"SOC-SP7")</f>
        <v>SOC-SP7</v>
      </c>
      <c r="D2880" s="234">
        <f>IFERROR(__xludf.DUMMYFUNCTION("""COMPUTED_VALUE"""),32.0)</f>
        <v>32</v>
      </c>
      <c r="E2880" s="237" t="str">
        <f>IFERROR(__xludf.DUMMYFUNCTION("""COMPUTED_VALUE"""),"LT0PCI01UBUR1")</f>
        <v>LT0PCI01UBUR1</v>
      </c>
      <c r="F2880" s="238" t="str">
        <f>IFERROR(__xludf.DUMMYFUNCTION("""COMPUTED_VALUE"""),"STW5B17,TLF7F34")</f>
        <v>STW5B17,TLF7F34</v>
      </c>
      <c r="G2880" s="238">
        <f>IFERROR(__xludf.DUMMYFUNCTION("""COMPUTED_VALUE"""),46009.0)</f>
        <v>46009</v>
      </c>
      <c r="H2880" s="238">
        <f>IFERROR(__xludf.DUMMYFUNCTION("""COMPUTED_VALUE"""),46009.08333333333)</f>
        <v>46009.08333</v>
      </c>
      <c r="I2880" s="237" t="str">
        <f t="shared" si="1"/>
        <v>Fora</v>
      </c>
      <c r="J2880" s="239">
        <v>120.00000001396984</v>
      </c>
    </row>
    <row r="2881">
      <c r="A2881" s="234" t="s">
        <v>4377</v>
      </c>
      <c r="B2881" s="234" t="str">
        <f>IFERROR(__xludf.DUMMYFUNCTION("""COMPUTED_VALUE"""),"LM Hub_MG_Varginha_Fausto")</f>
        <v>LM Hub_MG_Varginha_Fausto</v>
      </c>
      <c r="C2881" s="234" t="str">
        <f>IFERROR(__xludf.DUMMYFUNCTION("""COMPUTED_VALUE"""),"HUB-LMG-45")</f>
        <v>HUB-LMG-45</v>
      </c>
      <c r="D2881" s="234">
        <f>IFERROR(__xludf.DUMMYFUNCTION("""COMPUTED_VALUE"""),15.0)</f>
        <v>15</v>
      </c>
      <c r="E2881" s="237" t="str">
        <f>IFERROR(__xludf.DUMMYFUNCTION("""COMPUTED_VALUE"""),"LT0PCI01UHKK1")</f>
        <v>LT0PCI01UHKK1</v>
      </c>
      <c r="F2881" s="238" t="str">
        <f>IFERROR(__xludf.DUMMYFUNCTION("""COMPUTED_VALUE"""),"EMT5A22,EMT0B42")</f>
        <v>EMT5A22,EMT0B42</v>
      </c>
      <c r="G2881" s="238">
        <f>IFERROR(__xludf.DUMMYFUNCTION("""COMPUTED_VALUE"""),46009.02083333333)</f>
        <v>46009.02083</v>
      </c>
      <c r="H2881" s="238">
        <f>IFERROR(__xludf.DUMMYFUNCTION("""COMPUTED_VALUE"""),46009.10416666667)</f>
        <v>46009.10417</v>
      </c>
      <c r="I2881" s="237" t="str">
        <f t="shared" si="1"/>
        <v>Fora</v>
      </c>
      <c r="J2881" s="239">
        <v>119.99999999301508</v>
      </c>
    </row>
    <row r="2882">
      <c r="A2882" s="234" t="s">
        <v>4378</v>
      </c>
      <c r="B2882" s="234" t="str">
        <f>IFERROR(__xludf.DUMMYFUNCTION("""COMPUTED_VALUE"""),"SoC_RJ_Duque de Caxias")</f>
        <v>SoC_RJ_Duque de Caxias</v>
      </c>
      <c r="C2882" s="234" t="str">
        <f>IFERROR(__xludf.DUMMYFUNCTION("""COMPUTED_VALUE"""),"SOC-RJ2")</f>
        <v>SOC-RJ2</v>
      </c>
      <c r="D2882" s="234">
        <f>IFERROR(__xludf.DUMMYFUNCTION("""COMPUTED_VALUE"""),19.0)</f>
        <v>19</v>
      </c>
      <c r="E2882" s="237" t="str">
        <f>IFERROR(__xludf.DUMMYFUNCTION("""COMPUTED_VALUE"""),"LT1PCI01UQAR1")</f>
        <v>LT1PCI01UQAR1</v>
      </c>
      <c r="F2882" s="238" t="str">
        <f>IFERROR(__xludf.DUMMYFUNCTION("""COMPUTED_VALUE"""),"DVS7H95,HOA1D64")</f>
        <v>DVS7H95,HOA1D64</v>
      </c>
      <c r="G2882" s="238">
        <f>IFERROR(__xludf.DUMMYFUNCTION("""COMPUTED_VALUE"""),46009.04166666667)</f>
        <v>46009.04167</v>
      </c>
      <c r="H2882" s="238">
        <f>IFERROR(__xludf.DUMMYFUNCTION("""COMPUTED_VALUE"""),46009.125)</f>
        <v>46009.125</v>
      </c>
      <c r="I2882" s="237" t="str">
        <f t="shared" si="1"/>
        <v>Fora</v>
      </c>
      <c r="J2882" s="239">
        <v>540.0</v>
      </c>
    </row>
    <row r="2883">
      <c r="A2883" s="234" t="s">
        <v>4379</v>
      </c>
      <c r="B2883" s="234" t="str">
        <f>IFERROR(__xludf.DUMMYFUNCTION("""COMPUTED_VALUE"""),"SoC_BA_Simoes Filho")</f>
        <v>SoC_BA_Simoes Filho</v>
      </c>
      <c r="C2883" s="234" t="str">
        <f>IFERROR(__xludf.DUMMYFUNCTION("""COMPUTED_VALUE"""),"SOC-BA2")</f>
        <v>SOC-BA2</v>
      </c>
      <c r="D2883" s="234">
        <f>IFERROR(__xludf.DUMMYFUNCTION("""COMPUTED_VALUE"""),89.0)</f>
        <v>89</v>
      </c>
      <c r="E2883" s="237" t="str">
        <f>IFERROR(__xludf.DUMMYFUNCTION("""COMPUTED_VALUE"""),"LT0PCH01UHYR1")</f>
        <v>LT0PCH01UHYR1</v>
      </c>
      <c r="F2883" s="238" t="str">
        <f>IFERROR(__xludf.DUMMYFUNCTION("""COMPUTED_VALUE"""),"FZZ4F91,TEI0G74")</f>
        <v>FZZ4F91,TEI0G74</v>
      </c>
      <c r="G2883" s="238">
        <f>IFERROR(__xludf.DUMMYFUNCTION("""COMPUTED_VALUE"""),46008.79166666667)</f>
        <v>46008.79167</v>
      </c>
      <c r="H2883" s="238">
        <f>IFERROR(__xludf.DUMMYFUNCTION("""COMPUTED_VALUE"""),46009.16666666667)</f>
        <v>46009.16667</v>
      </c>
      <c r="I2883" s="237" t="str">
        <f t="shared" si="1"/>
        <v>Fora</v>
      </c>
      <c r="J2883" s="239">
        <v>120.00000001396984</v>
      </c>
    </row>
    <row r="2884">
      <c r="A2884" s="234" t="s">
        <v>4380</v>
      </c>
      <c r="B2884" s="234" t="str">
        <f>IFERROR(__xludf.DUMMYFUNCTION("""COMPUTED_VALUE"""),"SoC_SP_Guarulhos")</f>
        <v>SoC_SP_Guarulhos</v>
      </c>
      <c r="C2884" s="234" t="str">
        <f>IFERROR(__xludf.DUMMYFUNCTION("""COMPUTED_VALUE"""),"SOC-SP6")</f>
        <v>SOC-SP6</v>
      </c>
      <c r="D2884" s="234">
        <f>IFERROR(__xludf.DUMMYFUNCTION("""COMPUTED_VALUE"""),16.0)</f>
        <v>16</v>
      </c>
      <c r="E2884" s="237" t="str">
        <f>IFERROR(__xludf.DUMMYFUNCTION("""COMPUTED_VALUE"""),"LT0PCI01UCWX1")</f>
        <v>LT0PCI01UCWX1</v>
      </c>
      <c r="F2884" s="238" t="str">
        <f>IFERROR(__xludf.DUMMYFUNCTION("""COMPUTED_VALUE"""),"RBG0F94,PXI5321")</f>
        <v>RBG0F94,PXI5321</v>
      </c>
      <c r="G2884" s="238">
        <f>IFERROR(__xludf.DUMMYFUNCTION("""COMPUTED_VALUE"""),46009.08333333333)</f>
        <v>46009.08333</v>
      </c>
      <c r="H2884" s="238">
        <f>IFERROR(__xludf.DUMMYFUNCTION("""COMPUTED_VALUE"""),46009.16666666667)</f>
        <v>46009.16667</v>
      </c>
      <c r="I2884" s="237" t="str">
        <f t="shared" si="1"/>
        <v>Fora</v>
      </c>
      <c r="J2884" s="239">
        <v>119.00000001071021</v>
      </c>
    </row>
    <row r="2885">
      <c r="A2885" s="234" t="s">
        <v>4381</v>
      </c>
      <c r="B2885" s="234" t="str">
        <f>IFERROR(__xludf.DUMMYFUNCTION("""COMPUTED_VALUE"""),"LM Hub_SP_Tatuí")</f>
        <v>LM Hub_SP_Tatuí</v>
      </c>
      <c r="C2885" s="234" t="str">
        <f>IFERROR(__xludf.DUMMYFUNCTION("""COMPUTED_VALUE"""),"HUB-LSP-51")</f>
        <v>HUB-LSP-51</v>
      </c>
      <c r="D2885" s="234">
        <f>IFERROR(__xludf.DUMMYFUNCTION("""COMPUTED_VALUE"""),12.0)</f>
        <v>12</v>
      </c>
      <c r="E2885" s="237" t="str">
        <f>IFERROR(__xludf.DUMMYFUNCTION("""COMPUTED_VALUE"""),"LT0PCI01UBXK1")</f>
        <v>LT0PCI01UBXK1</v>
      </c>
      <c r="F2885" s="234" t="str">
        <f>IFERROR(__xludf.DUMMYFUNCTION("""COMPUTED_VALUE"""),"FLO1G76 ")</f>
        <v>FLO1G76 </v>
      </c>
      <c r="G2885" s="238">
        <f>IFERROR(__xludf.DUMMYFUNCTION("""COMPUTED_VALUE"""),46009.084027777775)</f>
        <v>46009.08403</v>
      </c>
      <c r="H2885" s="238">
        <f>IFERROR(__xludf.DUMMYFUNCTION("""COMPUTED_VALUE"""),46009.16666666667)</f>
        <v>46009.16667</v>
      </c>
      <c r="I2885" s="237" t="str">
        <f t="shared" si="1"/>
        <v>Fora</v>
      </c>
      <c r="J2885" s="239">
        <v>119.99999999301508</v>
      </c>
    </row>
    <row r="2886">
      <c r="A2886" s="234" t="s">
        <v>4382</v>
      </c>
      <c r="B2886" s="234" t="str">
        <f>IFERROR(__xludf.DUMMYFUNCTION("""COMPUTED_VALUE"""),"LM Hub_SP_Itapetininga")</f>
        <v>LM Hub_SP_Itapetininga</v>
      </c>
      <c r="C2886" s="234" t="str">
        <f>IFERROR(__xludf.DUMMYFUNCTION("""COMPUTED_VALUE"""),"HUB-LSP-53")</f>
        <v>HUB-LSP-53</v>
      </c>
      <c r="D2886" s="234">
        <f>IFERROR(__xludf.DUMMYFUNCTION("""COMPUTED_VALUE"""),46.0)</f>
        <v>46</v>
      </c>
      <c r="E2886" s="237" t="str">
        <f>IFERROR(__xludf.DUMMYFUNCTION("""COMPUTED_VALUE"""),"LT0PCI01UBXE1")</f>
        <v>LT0PCI01UBXE1</v>
      </c>
      <c r="F2886" s="238" t="str">
        <f>IFERROR(__xludf.DUMMYFUNCTION("""COMPUTED_VALUE"""),"FLQ1E34,FLQ1E35")</f>
        <v>FLQ1E34,FLQ1E35</v>
      </c>
      <c r="G2886" s="238">
        <f>IFERROR(__xludf.DUMMYFUNCTION("""COMPUTED_VALUE"""),46009.10416666667)</f>
        <v>46009.10417</v>
      </c>
      <c r="H2886" s="238">
        <f>IFERROR(__xludf.DUMMYFUNCTION("""COMPUTED_VALUE"""),46009.1875)</f>
        <v>46009.1875</v>
      </c>
      <c r="I2886" s="237" t="str">
        <f t="shared" si="1"/>
        <v>Fora</v>
      </c>
      <c r="J2886" s="239">
        <v>119.99999999301508</v>
      </c>
    </row>
    <row r="2887">
      <c r="A2887" s="234" t="s">
        <v>4383</v>
      </c>
      <c r="B2887" s="234" t="str">
        <f>IFERROR(__xludf.DUMMYFUNCTION("""COMPUTED_VALUE"""),"LM Hub_SP_São Carlos")</f>
        <v>LM Hub_SP_São Carlos</v>
      </c>
      <c r="C2887" s="234" t="str">
        <f>IFERROR(__xludf.DUMMYFUNCTION("""COMPUTED_VALUE"""),"HUB-LSP-31")</f>
        <v>HUB-LSP-31</v>
      </c>
      <c r="D2887" s="234">
        <f>IFERROR(__xludf.DUMMYFUNCTION("""COMPUTED_VALUE"""),33.0)</f>
        <v>33</v>
      </c>
      <c r="E2887" s="237" t="str">
        <f>IFERROR(__xludf.DUMMYFUNCTION("""COMPUTED_VALUE"""),"LT0PCI01UC051")</f>
        <v>LT0PCI01UC051</v>
      </c>
      <c r="F2887" s="238" t="str">
        <f>IFERROR(__xludf.DUMMYFUNCTION("""COMPUTED_VALUE"""),"EFO6B06,MJH0C66")</f>
        <v>EFO6B06,MJH0C66</v>
      </c>
      <c r="G2887" s="238">
        <f>IFERROR(__xludf.DUMMYFUNCTION("""COMPUTED_VALUE"""),46009.10416666667)</f>
        <v>46009.10417</v>
      </c>
      <c r="H2887" s="238">
        <f>IFERROR(__xludf.DUMMYFUNCTION("""COMPUTED_VALUE"""),46009.1875)</f>
        <v>46009.1875</v>
      </c>
      <c r="I2887" s="237" t="str">
        <f t="shared" si="1"/>
        <v>Fora</v>
      </c>
      <c r="J2887" s="239">
        <v>537.9999999934807</v>
      </c>
    </row>
    <row r="2888">
      <c r="A2888" s="234" t="s">
        <v>4384</v>
      </c>
      <c r="B2888" s="234" t="str">
        <f>IFERROR(__xludf.DUMMYFUNCTION("""COMPUTED_VALUE"""),"SoC_BA_Simoes Filho")</f>
        <v>SoC_BA_Simoes Filho</v>
      </c>
      <c r="C2888" s="234" t="str">
        <f>IFERROR(__xludf.DUMMYFUNCTION("""COMPUTED_VALUE"""),"SOC-BA2")</f>
        <v>SOC-BA2</v>
      </c>
      <c r="D2888" s="234">
        <f>IFERROR(__xludf.DUMMYFUNCTION("""COMPUTED_VALUE"""),88.0)</f>
        <v>88</v>
      </c>
      <c r="E2888" s="237" t="str">
        <f>IFERROR(__xludf.DUMMYFUNCTION("""COMPUTED_VALUE"""),"LT0PCH01UHYX1")</f>
        <v>LT0PCH01UHYX1</v>
      </c>
      <c r="F2888" s="238" t="str">
        <f>IFERROR(__xludf.DUMMYFUNCTION("""COMPUTED_VALUE"""),"IPE7830,GAO5C15")</f>
        <v>IPE7830,GAO5C15</v>
      </c>
      <c r="G2888" s="238">
        <f>IFERROR(__xludf.DUMMYFUNCTION("""COMPUTED_VALUE"""),46008.83472222222)</f>
        <v>46008.83472</v>
      </c>
      <c r="H2888" s="238">
        <f>IFERROR(__xludf.DUMMYFUNCTION("""COMPUTED_VALUE"""),46009.20833333333)</f>
        <v>46009.20833</v>
      </c>
      <c r="I2888" s="237" t="str">
        <f t="shared" si="1"/>
        <v>Fora</v>
      </c>
      <c r="J2888" s="239">
        <v>533.9999999909196</v>
      </c>
    </row>
    <row r="2889">
      <c r="A2889" s="234" t="s">
        <v>4385</v>
      </c>
      <c r="B2889" s="234" t="str">
        <f>IFERROR(__xludf.DUMMYFUNCTION("""COMPUTED_VALUE"""),"SoC_RJ_Duque de Caxias")</f>
        <v>SoC_RJ_Duque de Caxias</v>
      </c>
      <c r="C2889" s="234" t="str">
        <f>IFERROR(__xludf.DUMMYFUNCTION("""COMPUTED_VALUE"""),"SOC-RJ2")</f>
        <v>SOC-RJ2</v>
      </c>
      <c r="D2889" s="234"/>
      <c r="E2889" s="237" t="str">
        <f>IFERROR(__xludf.DUMMYFUNCTION("""COMPUTED_VALUE"""),"LT0PCH01UEBF5")</f>
        <v>LT0PCH01UEBF5</v>
      </c>
      <c r="F2889" s="238" t="str">
        <f>IFERROR(__xludf.DUMMYFUNCTION("""COMPUTED_VALUE"""),"OLE2G02,NFC1G78")</f>
        <v>OLE2G02,NFC1G78</v>
      </c>
      <c r="G2889" s="238">
        <f>IFERROR(__xludf.DUMMYFUNCTION("""COMPUTED_VALUE"""),46008.8375)</f>
        <v>46008.8375</v>
      </c>
      <c r="H2889" s="238">
        <f>IFERROR(__xludf.DUMMYFUNCTION("""COMPUTED_VALUE"""),46009.20833333333)</f>
        <v>46009.20833</v>
      </c>
      <c r="I2889" s="237" t="str">
        <f t="shared" si="1"/>
        <v>Fora</v>
      </c>
      <c r="J2889" s="239" t="e">
        <v>#VALUE!</v>
      </c>
    </row>
    <row r="2890">
      <c r="A2890" s="234" t="s">
        <v>4386</v>
      </c>
      <c r="B2890" s="234" t="str">
        <f>IFERROR(__xludf.DUMMYFUNCTION("""COMPUTED_VALUE"""),"Fanout Desconhecido")</f>
        <v>Fanout Desconhecido</v>
      </c>
      <c r="C2890" s="234" t="str">
        <f>IFERROR(__xludf.DUMMYFUNCTION("""COMPUTED_VALUE"""),"-")</f>
        <v>-</v>
      </c>
      <c r="D2890" s="234">
        <f>IFERROR(__xludf.DUMMYFUNCTION("""COMPUTED_VALUE"""),48.0)</f>
        <v>48</v>
      </c>
      <c r="E2890" s="237" t="str">
        <f>IFERROR(__xludf.DUMMYFUNCTION("""COMPUTED_VALUE"""),"LT0PCH01UEBC3")</f>
        <v>LT0PCH01UEBC3</v>
      </c>
      <c r="F2890" s="238" t="str">
        <f>IFERROR(__xludf.DUMMYFUNCTION("""COMPUTED_VALUE"""),"-")</f>
        <v>-</v>
      </c>
      <c r="G2890" s="238" t="str">
        <f>IFERROR(__xludf.DUMMYFUNCTION("""COMPUTED_VALUE"""),"-")</f>
        <v>-</v>
      </c>
      <c r="H2890" s="238" t="str">
        <f>IFERROR(__xludf.DUMMYFUNCTION("""COMPUTED_VALUE"""),"-")</f>
        <v>-</v>
      </c>
      <c r="I2890" s="237" t="str">
        <f t="shared" si="1"/>
        <v>Dentro</v>
      </c>
      <c r="J2890" s="239">
        <v>533.9999999909196</v>
      </c>
    </row>
    <row r="2891">
      <c r="A2891" s="234" t="s">
        <v>4387</v>
      </c>
      <c r="B2891" s="234" t="str">
        <f>IFERROR(__xludf.DUMMYFUNCTION("""COMPUTED_VALUE"""),"SoC_RJ_Duque de Caxias")</f>
        <v>SoC_RJ_Duque de Caxias</v>
      </c>
      <c r="C2891" s="234" t="str">
        <f>IFERROR(__xludf.DUMMYFUNCTION("""COMPUTED_VALUE"""),"SOC-RJ2")</f>
        <v>SOC-RJ2</v>
      </c>
      <c r="D2891" s="234">
        <f>IFERROR(__xludf.DUMMYFUNCTION("""COMPUTED_VALUE"""),96.0)</f>
        <v>96</v>
      </c>
      <c r="E2891" s="237" t="str">
        <f>IFERROR(__xludf.DUMMYFUNCTION("""COMPUTED_VALUE"""),"LT0PCH01UEBH6")</f>
        <v>LT0PCH01UEBH6</v>
      </c>
      <c r="F2891" s="238" t="str">
        <f>IFERROR(__xludf.DUMMYFUNCTION("""COMPUTED_VALUE"""),"FXK2E00,NLQ2F75")</f>
        <v>FXK2E00,NLQ2F75</v>
      </c>
      <c r="G2891" s="238">
        <f>IFERROR(__xludf.DUMMYFUNCTION("""COMPUTED_VALUE"""),46008.8375)</f>
        <v>46008.8375</v>
      </c>
      <c r="H2891" s="238">
        <f>IFERROR(__xludf.DUMMYFUNCTION("""COMPUTED_VALUE"""),46009.20833333333)</f>
        <v>46009.20833</v>
      </c>
      <c r="I2891" s="237" t="str">
        <f t="shared" si="1"/>
        <v>Fora</v>
      </c>
      <c r="J2891" s="239">
        <v>119.99999999301508</v>
      </c>
    </row>
    <row r="2892">
      <c r="A2892" s="234" t="s">
        <v>4388</v>
      </c>
      <c r="B2892" s="234" t="str">
        <f>IFERROR(__xludf.DUMMYFUNCTION("""COMPUTED_VALUE"""),"LM Hub_SP_Itapeva")</f>
        <v>LM Hub_SP_Itapeva</v>
      </c>
      <c r="C2892" s="234" t="str">
        <f>IFERROR(__xludf.DUMMYFUNCTION("""COMPUTED_VALUE"""),"HUB-LSP-39")</f>
        <v>HUB-LSP-39</v>
      </c>
      <c r="D2892" s="234">
        <f>IFERROR(__xludf.DUMMYFUNCTION("""COMPUTED_VALUE"""),13.0)</f>
        <v>13</v>
      </c>
      <c r="E2892" s="237" t="str">
        <f>IFERROR(__xludf.DUMMYFUNCTION("""COMPUTED_VALUE"""),"LT0PCI01UBXP1")</f>
        <v>LT0PCI01UBXP1</v>
      </c>
      <c r="F2892" s="238" t="str">
        <f>IFERROR(__xludf.DUMMYFUNCTION("""COMPUTED_VALUE"""),"MJA0J76,TPL2F98")</f>
        <v>MJA0J76,TPL2F98</v>
      </c>
      <c r="G2892" s="238">
        <f>IFERROR(__xludf.DUMMYFUNCTION("""COMPUTED_VALUE"""),46009.125)</f>
        <v>46009.125</v>
      </c>
      <c r="H2892" s="238">
        <f>IFERROR(__xludf.DUMMYFUNCTION("""COMPUTED_VALUE"""),46009.20833333333)</f>
        <v>46009.20833</v>
      </c>
      <c r="I2892" s="237" t="str">
        <f t="shared" si="1"/>
        <v>Fora</v>
      </c>
      <c r="J2892" s="239">
        <v>119.99999999301508</v>
      </c>
    </row>
    <row r="2893">
      <c r="A2893" s="234" t="s">
        <v>4389</v>
      </c>
      <c r="B2893" s="234" t="str">
        <f>IFERROR(__xludf.DUMMYFUNCTION("""COMPUTED_VALUE"""),"LM Hub_SP_Sorocaba_Região Norte")</f>
        <v>LM Hub_SP_Sorocaba_Região Norte</v>
      </c>
      <c r="C2893" s="234" t="str">
        <f>IFERROR(__xludf.DUMMYFUNCTION("""COMPUTED_VALUE"""),"HUB-LSP-10")</f>
        <v>HUB-LSP-10</v>
      </c>
      <c r="D2893" s="234"/>
      <c r="E2893" s="237" t="str">
        <f>IFERROR(__xludf.DUMMYFUNCTION("""COMPUTED_VALUE"""),"LT1PCI01UQP01")</f>
        <v>LT1PCI01UQP01</v>
      </c>
      <c r="F2893" s="234"/>
      <c r="G2893" s="238">
        <f>IFERROR(__xludf.DUMMYFUNCTION("""COMPUTED_VALUE"""),46009.125)</f>
        <v>46009.125</v>
      </c>
      <c r="H2893" s="238">
        <f>IFERROR(__xludf.DUMMYFUNCTION("""COMPUTED_VALUE"""),46009.20833333333)</f>
        <v>46009.20833</v>
      </c>
      <c r="I2893" s="237" t="str">
        <f t="shared" si="1"/>
        <v>Fora</v>
      </c>
      <c r="J2893" s="239">
        <v>119.99999999301508</v>
      </c>
    </row>
    <row r="2894">
      <c r="A2894" s="234" t="s">
        <v>4390</v>
      </c>
      <c r="B2894" s="234" t="str">
        <f>IFERROR(__xludf.DUMMYFUNCTION("""COMPUTED_VALUE"""),"LM Hub_SP_Sumaré_Nova Veneza_1")</f>
        <v>LM Hub_SP_Sumaré_Nova Veneza_1</v>
      </c>
      <c r="C2894" s="234" t="str">
        <f>IFERROR(__xludf.DUMMYFUNCTION("""COMPUTED_VALUE"""),"HUB-LSP-88")</f>
        <v>HUB-LSP-88</v>
      </c>
      <c r="D2894" s="234">
        <f>IFERROR(__xludf.DUMMYFUNCTION("""COMPUTED_VALUE"""),44.0)</f>
        <v>44</v>
      </c>
      <c r="E2894" s="237" t="str">
        <f>IFERROR(__xludf.DUMMYFUNCTION("""COMPUTED_VALUE"""),"LT0PCI01UHGV1")</f>
        <v>LT0PCI01UHGV1</v>
      </c>
      <c r="F2894" s="238" t="str">
        <f>IFERROR(__xludf.DUMMYFUNCTION("""COMPUTED_VALUE"""),"SXK8E70,SXS2F29")</f>
        <v>SXK8E70,SXS2F29</v>
      </c>
      <c r="G2894" s="238">
        <f>IFERROR(__xludf.DUMMYFUNCTION("""COMPUTED_VALUE"""),46009.125)</f>
        <v>46009.125</v>
      </c>
      <c r="H2894" s="238">
        <f>IFERROR(__xludf.DUMMYFUNCTION("""COMPUTED_VALUE"""),46009.20833333333)</f>
        <v>46009.20833</v>
      </c>
      <c r="I2894" s="237" t="str">
        <f t="shared" si="1"/>
        <v>Fora</v>
      </c>
      <c r="J2894" s="239">
        <v>119.99999999301508</v>
      </c>
    </row>
    <row r="2895">
      <c r="A2895" s="234" t="s">
        <v>4391</v>
      </c>
      <c r="B2895" s="234" t="str">
        <f>IFERROR(__xludf.DUMMYFUNCTION("""COMPUTED_VALUE"""),"SoC_PR_Curitiba")</f>
        <v>SoC_PR_Curitiba</v>
      </c>
      <c r="C2895" s="234" t="str">
        <f>IFERROR(__xludf.DUMMYFUNCTION("""COMPUTED_VALUE"""),"SOC-PR1")</f>
        <v>SOC-PR1</v>
      </c>
      <c r="D2895" s="234">
        <f>IFERROR(__xludf.DUMMYFUNCTION("""COMPUTED_VALUE"""),43.0)</f>
        <v>43</v>
      </c>
      <c r="E2895" s="237" t="str">
        <f>IFERROR(__xludf.DUMMYFUNCTION("""COMPUTED_VALUE"""),"LT0PCI01UBTA1")</f>
        <v>LT0PCI01UBTA1</v>
      </c>
      <c r="F2895" s="238" t="str">
        <f>IFERROR(__xludf.DUMMYFUNCTION("""COMPUTED_VALUE"""),"TAO3B06,RYS7I60")</f>
        <v>TAO3B06,RYS7I60</v>
      </c>
      <c r="G2895" s="238">
        <f>IFERROR(__xludf.DUMMYFUNCTION("""COMPUTED_VALUE"""),46009.125)</f>
        <v>46009.125</v>
      </c>
      <c r="H2895" s="238">
        <f>IFERROR(__xludf.DUMMYFUNCTION("""COMPUTED_VALUE"""),46009.20833333333)</f>
        <v>46009.20833</v>
      </c>
      <c r="I2895" s="237" t="str">
        <f t="shared" si="1"/>
        <v>Fora</v>
      </c>
      <c r="J2895" s="239">
        <v>119.99999999301508</v>
      </c>
    </row>
    <row r="2896">
      <c r="A2896" s="234" t="s">
        <v>4392</v>
      </c>
      <c r="B2896" s="234" t="str">
        <f>IFERROR(__xludf.DUMMYFUNCTION("""COMPUTED_VALUE"""),"SoC_RS_Gravataí_02")</f>
        <v>SoC_RS_Gravataí_02</v>
      </c>
      <c r="C2896" s="234" t="str">
        <f>IFERROR(__xludf.DUMMYFUNCTION("""COMPUTED_VALUE"""),"SOC-RS2")</f>
        <v>SOC-RS2</v>
      </c>
      <c r="D2896" s="234"/>
      <c r="E2896" s="237" t="str">
        <f>IFERROR(__xludf.DUMMYFUNCTION("""COMPUTED_VALUE"""),"LT0PCI01UI9L1")</f>
        <v>LT0PCI01UI9L1</v>
      </c>
      <c r="F2896" s="238" t="str">
        <f>IFERROR(__xludf.DUMMYFUNCTION("""COMPUTED_VALUE"""),"EMP9D51,UEO2I86")</f>
        <v>EMP9D51,UEO2I86</v>
      </c>
      <c r="G2896" s="238">
        <f>IFERROR(__xludf.DUMMYFUNCTION("""COMPUTED_VALUE"""),46009.125)</f>
        <v>46009.125</v>
      </c>
      <c r="H2896" s="238">
        <f>IFERROR(__xludf.DUMMYFUNCTION("""COMPUTED_VALUE"""),46009.20833333333)</f>
        <v>46009.20833</v>
      </c>
      <c r="I2896" s="237" t="str">
        <f t="shared" si="1"/>
        <v>Fora</v>
      </c>
      <c r="J2896" s="239" t="e">
        <v>#VALUE!</v>
      </c>
    </row>
    <row r="2897">
      <c r="A2897" s="234" t="s">
        <v>4393</v>
      </c>
      <c r="B2897" s="234" t="str">
        <f>IFERROR(__xludf.DUMMYFUNCTION("""COMPUTED_VALUE"""),"Fanout Desconhecido")</f>
        <v>Fanout Desconhecido</v>
      </c>
      <c r="C2897" s="234" t="str">
        <f>IFERROR(__xludf.DUMMYFUNCTION("""COMPUTED_VALUE"""),"-")</f>
        <v>-</v>
      </c>
      <c r="D2897" s="234">
        <f>IFERROR(__xludf.DUMMYFUNCTION("""COMPUTED_VALUE"""),25.0)</f>
        <v>25</v>
      </c>
      <c r="E2897" s="237" t="str">
        <f>IFERROR(__xludf.DUMMYFUNCTION("""COMPUTED_VALUE"""),"LT1PCI01UQJE1")</f>
        <v>LT1PCI01UQJE1</v>
      </c>
      <c r="F2897" s="238" t="str">
        <f>IFERROR(__xludf.DUMMYFUNCTION("""COMPUTED_VALUE"""),"-")</f>
        <v>-</v>
      </c>
      <c r="G2897" s="238" t="str">
        <f>IFERROR(__xludf.DUMMYFUNCTION("""COMPUTED_VALUE"""),"-")</f>
        <v>-</v>
      </c>
      <c r="H2897" s="238" t="str">
        <f>IFERROR(__xludf.DUMMYFUNCTION("""COMPUTED_VALUE"""),"-")</f>
        <v>-</v>
      </c>
      <c r="I2897" s="237" t="str">
        <f t="shared" si="1"/>
        <v>Dentro</v>
      </c>
      <c r="J2897" s="239" t="e">
        <v>#VALUE!</v>
      </c>
    </row>
    <row r="2898">
      <c r="A2898" s="234" t="s">
        <v>4394</v>
      </c>
      <c r="B2898" s="234" t="str">
        <f>IFERROR(__xludf.DUMMYFUNCTION("""COMPUTED_VALUE"""),"Fanout Desconhecido")</f>
        <v>Fanout Desconhecido</v>
      </c>
      <c r="C2898" s="234" t="str">
        <f>IFERROR(__xludf.DUMMYFUNCTION("""COMPUTED_VALUE"""),"-")</f>
        <v>-</v>
      </c>
      <c r="D2898" s="234">
        <f>IFERROR(__xludf.DUMMYFUNCTION("""COMPUTED_VALUE"""),28.0)</f>
        <v>28</v>
      </c>
      <c r="E2898" s="237" t="str">
        <f>IFERROR(__xludf.DUMMYFUNCTION("""COMPUTED_VALUE"""),"LT0PCI01UGWR1")</f>
        <v>LT0PCI01UGWR1</v>
      </c>
      <c r="F2898" s="238" t="str">
        <f>IFERROR(__xludf.DUMMYFUNCTION("""COMPUTED_VALUE"""),"-")</f>
        <v>-</v>
      </c>
      <c r="G2898" s="238" t="str">
        <f>IFERROR(__xludf.DUMMYFUNCTION("""COMPUTED_VALUE"""),"-")</f>
        <v>-</v>
      </c>
      <c r="H2898" s="238" t="str">
        <f>IFERROR(__xludf.DUMMYFUNCTION("""COMPUTED_VALUE"""),"-")</f>
        <v>-</v>
      </c>
      <c r="I2898" s="237" t="str">
        <f t="shared" si="1"/>
        <v>Dentro</v>
      </c>
      <c r="J2898" s="239">
        <v>119.99999999301508</v>
      </c>
    </row>
    <row r="2899">
      <c r="A2899" s="234" t="s">
        <v>317</v>
      </c>
      <c r="B2899" s="234" t="str">
        <f>IFERROR(__xludf.DUMMYFUNCTION("""COMPUTED_VALUE"""),"SoC_SC_Itajaí")</f>
        <v>SoC_SC_Itajaí</v>
      </c>
      <c r="C2899" s="234" t="str">
        <f>IFERROR(__xludf.DUMMYFUNCTION("""COMPUTED_VALUE"""),"SOC-SC1")</f>
        <v>SOC-SC1</v>
      </c>
      <c r="D2899" s="234">
        <f>IFERROR(__xludf.DUMMYFUNCTION("""COMPUTED_VALUE"""),26.0)</f>
        <v>26</v>
      </c>
      <c r="E2899" s="237" t="str">
        <f>IFERROR(__xludf.DUMMYFUNCTION("""COMPUTED_VALUE"""),"LT1PCI01UQJI1")</f>
        <v>LT1PCI01UQJI1</v>
      </c>
      <c r="F2899" s="238" t="str">
        <f>IFERROR(__xludf.DUMMYFUNCTION("""COMPUTED_VALUE"""),"QIN3629,SXS0B20")</f>
        <v>QIN3629,SXS0B20</v>
      </c>
      <c r="G2899" s="238">
        <f>IFERROR(__xludf.DUMMYFUNCTION("""COMPUTED_VALUE"""),46009.125)</f>
        <v>46009.125</v>
      </c>
      <c r="H2899" s="238">
        <f>IFERROR(__xludf.DUMMYFUNCTION("""COMPUTED_VALUE"""),46009.20833333333)</f>
        <v>46009.20833</v>
      </c>
      <c r="I2899" s="237" t="str">
        <f t="shared" si="1"/>
        <v>Fora</v>
      </c>
      <c r="J2899" s="239" t="e">
        <v>#VALUE!</v>
      </c>
    </row>
    <row r="2900">
      <c r="A2900" s="234" t="s">
        <v>4395</v>
      </c>
      <c r="B2900" s="234" t="str">
        <f>IFERROR(__xludf.DUMMYFUNCTION("""COMPUTED_VALUE"""),"Fanout Desconhecido")</f>
        <v>Fanout Desconhecido</v>
      </c>
      <c r="C2900" s="234" t="str">
        <f>IFERROR(__xludf.DUMMYFUNCTION("""COMPUTED_VALUE"""),"-")</f>
        <v>-</v>
      </c>
      <c r="D2900" s="234">
        <f>IFERROR(__xludf.DUMMYFUNCTION("""COMPUTED_VALUE"""),39.0)</f>
        <v>39</v>
      </c>
      <c r="E2900" s="237" t="str">
        <f>IFERROR(__xludf.DUMMYFUNCTION("""COMPUTED_VALUE"""),"LT0PCI01UC0G1")</f>
        <v>LT0PCI01UC0G1</v>
      </c>
      <c r="F2900" s="238" t="str">
        <f>IFERROR(__xludf.DUMMYFUNCTION("""COMPUTED_VALUE"""),"-")</f>
        <v>-</v>
      </c>
      <c r="G2900" s="238" t="str">
        <f>IFERROR(__xludf.DUMMYFUNCTION("""COMPUTED_VALUE"""),"-")</f>
        <v>-</v>
      </c>
      <c r="H2900" s="238" t="str">
        <f>IFERROR(__xludf.DUMMYFUNCTION("""COMPUTED_VALUE"""),"-")</f>
        <v>-</v>
      </c>
      <c r="I2900" s="237" t="str">
        <f t="shared" si="1"/>
        <v>Dentro</v>
      </c>
      <c r="J2900" s="239">
        <v>120.00000001396984</v>
      </c>
    </row>
    <row r="2901">
      <c r="A2901" s="234" t="s">
        <v>4396</v>
      </c>
      <c r="B2901" s="234" t="str">
        <f>IFERROR(__xludf.DUMMYFUNCTION("""COMPUTED_VALUE"""),"LM Hub_SP_Osasco_02")</f>
        <v>LM Hub_SP_Osasco_02</v>
      </c>
      <c r="C2901" s="234" t="str">
        <f>IFERROR(__xludf.DUMMYFUNCTION("""COMPUTED_VALUE"""),"HUB-LSP-60")</f>
        <v>HUB-LSP-60</v>
      </c>
      <c r="D2901" s="234"/>
      <c r="E2901" s="237" t="str">
        <f>IFERROR(__xludf.DUMMYFUNCTION("""COMPUTED_VALUE"""),"LT0PCI01UD481")</f>
        <v>LT0PCI01UD481</v>
      </c>
      <c r="F2901" s="234"/>
      <c r="G2901" s="238">
        <f>IFERROR(__xludf.DUMMYFUNCTION("""COMPUTED_VALUE"""),46009.14583333333)</f>
        <v>46009.14583</v>
      </c>
      <c r="H2901" s="238">
        <f>IFERROR(__xludf.DUMMYFUNCTION("""COMPUTED_VALUE"""),46009.22916666667)</f>
        <v>46009.22917</v>
      </c>
      <c r="I2901" s="237" t="str">
        <f t="shared" si="1"/>
        <v>Fora</v>
      </c>
      <c r="J2901" s="239" t="e">
        <v>#VALUE!</v>
      </c>
    </row>
    <row r="2902">
      <c r="A2902" s="234" t="s">
        <v>4397</v>
      </c>
      <c r="B2902" s="234" t="str">
        <f>IFERROR(__xludf.DUMMYFUNCTION("""COMPUTED_VALUE"""),"Fanout Desconhecido")</f>
        <v>Fanout Desconhecido</v>
      </c>
      <c r="C2902" s="234" t="str">
        <f>IFERROR(__xludf.DUMMYFUNCTION("""COMPUTED_VALUE"""),"-")</f>
        <v>-</v>
      </c>
      <c r="D2902" s="234">
        <f>IFERROR(__xludf.DUMMYFUNCTION("""COMPUTED_VALUE"""),16.0)</f>
        <v>16</v>
      </c>
      <c r="E2902" s="237" t="str">
        <f>IFERROR(__xludf.DUMMYFUNCTION("""COMPUTED_VALUE"""),"LT0PCI01UC1C1")</f>
        <v>LT0PCI01UC1C1</v>
      </c>
      <c r="F2902" s="238" t="str">
        <f>IFERROR(__xludf.DUMMYFUNCTION("""COMPUTED_VALUE"""),"-")</f>
        <v>-</v>
      </c>
      <c r="G2902" s="238" t="str">
        <f>IFERROR(__xludf.DUMMYFUNCTION("""COMPUTED_VALUE"""),"-")</f>
        <v>-</v>
      </c>
      <c r="H2902" s="238" t="str">
        <f>IFERROR(__xludf.DUMMYFUNCTION("""COMPUTED_VALUE"""),"-")</f>
        <v>-</v>
      </c>
      <c r="I2902" s="237" t="str">
        <f t="shared" si="1"/>
        <v>Dentro</v>
      </c>
      <c r="J2902" s="239">
        <v>119.00000001071021</v>
      </c>
    </row>
    <row r="2903">
      <c r="A2903" s="234" t="s">
        <v>4398</v>
      </c>
      <c r="B2903" s="234" t="str">
        <f>IFERROR(__xludf.DUMMYFUNCTION("""COMPUTED_VALUE"""),"LM Hub_SP_Sorocaba_Região Norte")</f>
        <v>LM Hub_SP_Sorocaba_Região Norte</v>
      </c>
      <c r="C2903" s="234" t="str">
        <f>IFERROR(__xludf.DUMMYFUNCTION("""COMPUTED_VALUE"""),"HUB-LSP-10")</f>
        <v>HUB-LSP-10</v>
      </c>
      <c r="D2903" s="234"/>
      <c r="E2903" s="237" t="str">
        <f>IFERROR(__xludf.DUMMYFUNCTION("""COMPUTED_VALUE"""),"LT0PCI01U88H1")</f>
        <v>LT0PCI01U88H1</v>
      </c>
      <c r="F2903" s="238" t="str">
        <f>IFERROR(__xludf.DUMMYFUNCTION("""COMPUTED_VALUE"""),"FDZ3A56,DBC5I22")</f>
        <v>FDZ3A56,DBC5I22</v>
      </c>
      <c r="G2903" s="238">
        <f>IFERROR(__xludf.DUMMYFUNCTION("""COMPUTED_VALUE"""),46009.146527777775)</f>
        <v>46009.14653</v>
      </c>
      <c r="H2903" s="238">
        <f>IFERROR(__xludf.DUMMYFUNCTION("""COMPUTED_VALUE"""),46009.22916666667)</f>
        <v>46009.22917</v>
      </c>
      <c r="I2903" s="237" t="str">
        <f t="shared" si="1"/>
        <v>Fora</v>
      </c>
      <c r="J2903" s="239">
        <v>118.00000000745058</v>
      </c>
    </row>
    <row r="2904">
      <c r="A2904" s="234" t="s">
        <v>4399</v>
      </c>
      <c r="B2904" s="234" t="str">
        <f>IFERROR(__xludf.DUMMYFUNCTION("""COMPUTED_VALUE"""),"LM Hub_SP_Sorocaba_Região Norte")</f>
        <v>LM Hub_SP_Sorocaba_Região Norte</v>
      </c>
      <c r="C2904" s="234" t="str">
        <f>IFERROR(__xludf.DUMMYFUNCTION("""COMPUTED_VALUE"""),"HUB-LSP-10")</f>
        <v>HUB-LSP-10</v>
      </c>
      <c r="D2904" s="234">
        <f>IFERROR(__xludf.DUMMYFUNCTION("""COMPUTED_VALUE"""),7.0)</f>
        <v>7</v>
      </c>
      <c r="E2904" s="237" t="str">
        <f>IFERROR(__xludf.DUMMYFUNCTION("""COMPUTED_VALUE"""),"LT0PCI01UBZC1")</f>
        <v>LT0PCI01UBZC1</v>
      </c>
      <c r="F2904" s="238" t="str">
        <f>IFERROR(__xludf.DUMMYFUNCTION("""COMPUTED_VALUE"""),"DNU8E03,MGA6B94")</f>
        <v>DNU8E03,MGA6B94</v>
      </c>
      <c r="G2904" s="238">
        <f>IFERROR(__xludf.DUMMYFUNCTION("""COMPUTED_VALUE"""),46009.14722222222)</f>
        <v>46009.14722</v>
      </c>
      <c r="H2904" s="238">
        <f>IFERROR(__xludf.DUMMYFUNCTION("""COMPUTED_VALUE"""),46009.22916666667)</f>
        <v>46009.22917</v>
      </c>
      <c r="I2904" s="237" t="str">
        <f t="shared" si="1"/>
        <v>Fora</v>
      </c>
      <c r="J2904" s="239">
        <v>119.99999999301508</v>
      </c>
    </row>
    <row r="2905">
      <c r="A2905" s="234" t="s">
        <v>320</v>
      </c>
      <c r="B2905" s="234" t="str">
        <f>IFERROR(__xludf.DUMMYFUNCTION("""COMPUTED_VALUE"""),"LM Hub_SP_Guaratinguetá")</f>
        <v>LM Hub_SP_Guaratinguetá</v>
      </c>
      <c r="C2905" s="234" t="str">
        <f>IFERROR(__xludf.DUMMYFUNCTION("""COMPUTED_VALUE"""),"HUB-LSP-33")</f>
        <v>HUB-LSP-33</v>
      </c>
      <c r="D2905" s="234">
        <f>IFERROR(__xludf.DUMMYFUNCTION("""COMPUTED_VALUE"""),18.0)</f>
        <v>18</v>
      </c>
      <c r="E2905" s="237" t="str">
        <f>IFERROR(__xludf.DUMMYFUNCTION("""COMPUTED_VALUE"""),"LT0PCI01UBYL1")</f>
        <v>LT0PCI01UBYL1</v>
      </c>
      <c r="F2905" s="238" t="str">
        <f>IFERROR(__xludf.DUMMYFUNCTION("""COMPUTED_VALUE"""),"EKH3880,EKH3800")</f>
        <v>EKH3880,EKH3800</v>
      </c>
      <c r="G2905" s="238">
        <f>IFERROR(__xludf.DUMMYFUNCTION("""COMPUTED_VALUE"""),46009.16666666667)</f>
        <v>46009.16667</v>
      </c>
      <c r="H2905" s="238">
        <f>IFERROR(__xludf.DUMMYFUNCTION("""COMPUTED_VALUE"""),46009.25)</f>
        <v>46009.25</v>
      </c>
      <c r="I2905" s="237" t="str">
        <f t="shared" si="1"/>
        <v>Fora</v>
      </c>
      <c r="J2905" s="239">
        <v>119.99999999301508</v>
      </c>
    </row>
    <row r="2906">
      <c r="A2906" s="234" t="s">
        <v>4400</v>
      </c>
      <c r="B2906" s="234" t="str">
        <f>IFERROR(__xludf.DUMMYFUNCTION("""COMPUTED_VALUE"""),"LM Hub_SP_Limeira_Campo Belo")</f>
        <v>LM Hub_SP_Limeira_Campo Belo</v>
      </c>
      <c r="C2906" s="234" t="str">
        <f>IFERROR(__xludf.DUMMYFUNCTION("""COMPUTED_VALUE"""),"HUB-LSP-24")</f>
        <v>HUB-LSP-24</v>
      </c>
      <c r="D2906" s="234"/>
      <c r="E2906" s="237" t="str">
        <f>IFERROR(__xludf.DUMMYFUNCTION("""COMPUTED_VALUE"""),"LT0PCI01UBZM1")</f>
        <v>LT0PCI01UBZM1</v>
      </c>
      <c r="F2906" s="238" t="str">
        <f>IFERROR(__xludf.DUMMYFUNCTION("""COMPUTED_VALUE"""),"TLE4D84,TLE4D80")</f>
        <v>TLE4D84,TLE4D80</v>
      </c>
      <c r="G2906" s="238">
        <f>IFERROR(__xludf.DUMMYFUNCTION("""COMPUTED_VALUE"""),46009.16666666667)</f>
        <v>46009.16667</v>
      </c>
      <c r="H2906" s="238">
        <f>IFERROR(__xludf.DUMMYFUNCTION("""COMPUTED_VALUE"""),46009.25)</f>
        <v>46009.25</v>
      </c>
      <c r="I2906" s="237" t="str">
        <f t="shared" si="1"/>
        <v>Fora</v>
      </c>
      <c r="J2906" s="239">
        <v>119.99999999301508</v>
      </c>
    </row>
    <row r="2907">
      <c r="A2907" s="234" t="s">
        <v>321</v>
      </c>
      <c r="B2907" s="234" t="str">
        <f>IFERROR(__xludf.DUMMYFUNCTION("""COMPUTED_VALUE"""),"LM Hub_SP_Registro")</f>
        <v>LM Hub_SP_Registro</v>
      </c>
      <c r="C2907" s="234" t="str">
        <f>IFERROR(__xludf.DUMMYFUNCTION("""COMPUTED_VALUE"""),"-")</f>
        <v>-</v>
      </c>
      <c r="D2907" s="234">
        <f>IFERROR(__xludf.DUMMYFUNCTION("""COMPUTED_VALUE"""),14.0)</f>
        <v>14</v>
      </c>
      <c r="E2907" s="237" t="str">
        <f>IFERROR(__xludf.DUMMYFUNCTION("""COMPUTED_VALUE"""),"LT0PCI01UBYA1")</f>
        <v>LT0PCI01UBYA1</v>
      </c>
      <c r="F2907" s="238" t="str">
        <f>IFERROR(__xludf.DUMMYFUNCTION("""COMPUTED_VALUE"""),"DSS2A37,EFO2725")</f>
        <v>DSS2A37,EFO2725</v>
      </c>
      <c r="G2907" s="238">
        <f>IFERROR(__xludf.DUMMYFUNCTION("""COMPUTED_VALUE"""),46009.16666666667)</f>
        <v>46009.16667</v>
      </c>
      <c r="H2907" s="238">
        <f>IFERROR(__xludf.DUMMYFUNCTION("""COMPUTED_VALUE"""),46009.25)</f>
        <v>46009.25</v>
      </c>
      <c r="I2907" s="237" t="str">
        <f t="shared" si="1"/>
        <v>Fora</v>
      </c>
      <c r="J2907" s="239">
        <v>119.99999999301508</v>
      </c>
    </row>
    <row r="2908">
      <c r="A2908" s="234" t="s">
        <v>322</v>
      </c>
      <c r="B2908" s="234" t="str">
        <f>IFERROR(__xludf.DUMMYFUNCTION("""COMPUTED_VALUE"""),"LM Hub_SP_São Bernardo do Campo")</f>
        <v>LM Hub_SP_São Bernardo do Campo</v>
      </c>
      <c r="C2908" s="234" t="str">
        <f>IFERROR(__xludf.DUMMYFUNCTION("""COMPUTED_VALUE"""),"HUB-LSP-79")</f>
        <v>HUB-LSP-79</v>
      </c>
      <c r="D2908" s="234">
        <f>IFERROR(__xludf.DUMMYFUNCTION("""COMPUTED_VALUE"""),29.0)</f>
        <v>29</v>
      </c>
      <c r="E2908" s="237" t="str">
        <f>IFERROR(__xludf.DUMMYFUNCTION("""COMPUTED_VALUE"""),"LT0PCI01UCJ91")</f>
        <v>LT0PCI01UCJ91</v>
      </c>
      <c r="F2908" s="238" t="str">
        <f>IFERROR(__xludf.DUMMYFUNCTION("""COMPUTED_VALUE"""),"GBE0G47,FJP5G21")</f>
        <v>GBE0G47,FJP5G21</v>
      </c>
      <c r="G2908" s="238">
        <f>IFERROR(__xludf.DUMMYFUNCTION("""COMPUTED_VALUE"""),46009.16666666667)</f>
        <v>46009.16667</v>
      </c>
      <c r="H2908" s="238">
        <f>IFERROR(__xludf.DUMMYFUNCTION("""COMPUTED_VALUE"""),46009.25)</f>
        <v>46009.25</v>
      </c>
      <c r="I2908" s="237" t="str">
        <f t="shared" si="1"/>
        <v>Fora</v>
      </c>
      <c r="J2908" s="239">
        <v>119.99999999301508</v>
      </c>
    </row>
    <row r="2909">
      <c r="A2909" s="234" t="s">
        <v>323</v>
      </c>
      <c r="B2909" s="234" t="str">
        <f>IFERROR(__xludf.DUMMYFUNCTION("""COMPUTED_VALUE"""),"LM Hub_SP_Várzea Paulista")</f>
        <v>LM Hub_SP_Várzea Paulista</v>
      </c>
      <c r="C2909" s="234" t="str">
        <f>IFERROR(__xludf.DUMMYFUNCTION("""COMPUTED_VALUE"""),"HUB-LSP-61")</f>
        <v>HUB-LSP-61</v>
      </c>
      <c r="D2909" s="234">
        <f>IFERROR(__xludf.DUMMYFUNCTION("""COMPUTED_VALUE"""),45.0)</f>
        <v>45</v>
      </c>
      <c r="E2909" s="237" t="str">
        <f>IFERROR(__xludf.DUMMYFUNCTION("""COMPUTED_VALUE"""),"LT0PCI01UBZV1")</f>
        <v>LT0PCI01UBZV1</v>
      </c>
      <c r="F2909" s="238" t="str">
        <f>IFERROR(__xludf.DUMMYFUNCTION("""COMPUTED_VALUE"""),"RTC1F91,TLW4C77")</f>
        <v>RTC1F91,TLW4C77</v>
      </c>
      <c r="G2909" s="238">
        <f>IFERROR(__xludf.DUMMYFUNCTION("""COMPUTED_VALUE"""),46009.16666666667)</f>
        <v>46009.16667</v>
      </c>
      <c r="H2909" s="238">
        <f>IFERROR(__xludf.DUMMYFUNCTION("""COMPUTED_VALUE"""),46009.25)</f>
        <v>46009.25</v>
      </c>
      <c r="I2909" s="237" t="str">
        <f t="shared" si="1"/>
        <v>Fora</v>
      </c>
      <c r="J2909" s="239">
        <v>119.99999999301508</v>
      </c>
    </row>
    <row r="2910">
      <c r="A2910" s="234" t="s">
        <v>324</v>
      </c>
      <c r="B2910" s="234" t="str">
        <f>IFERROR(__xludf.DUMMYFUNCTION("""COMPUTED_VALUE"""),"SoC_PE_Jaboatão dos Guararapes")</f>
        <v>SoC_PE_Jaboatão dos Guararapes</v>
      </c>
      <c r="C2910" s="234" t="str">
        <f>IFERROR(__xludf.DUMMYFUNCTION("""COMPUTED_VALUE"""),"SOC-PE2")</f>
        <v>SOC-PE2</v>
      </c>
      <c r="D2910" s="234">
        <f>IFERROR(__xludf.DUMMYFUNCTION("""COMPUTED_VALUE"""),47.0)</f>
        <v>47</v>
      </c>
      <c r="E2910" s="237" t="str">
        <f>IFERROR(__xludf.DUMMYFUNCTION("""COMPUTED_VALUE"""),"LT0PCI01UHUH1")</f>
        <v>LT0PCI01UHUH1</v>
      </c>
      <c r="F2910" s="238" t="str">
        <f>IFERROR(__xludf.DUMMYFUNCTION("""COMPUTED_VALUE"""),"JAJ9B96,PCM8G08")</f>
        <v>JAJ9B96,PCM8G08</v>
      </c>
      <c r="G2910" s="238">
        <f>IFERROR(__xludf.DUMMYFUNCTION("""COMPUTED_VALUE"""),46009.16666666667)</f>
        <v>46009.16667</v>
      </c>
      <c r="H2910" s="238">
        <f>IFERROR(__xludf.DUMMYFUNCTION("""COMPUTED_VALUE"""),46009.25)</f>
        <v>46009.25</v>
      </c>
      <c r="I2910" s="237" t="str">
        <f t="shared" si="1"/>
        <v>Fora</v>
      </c>
      <c r="J2910" s="239" t="e">
        <v>#VALUE!</v>
      </c>
    </row>
    <row r="2911">
      <c r="A2911" s="234" t="s">
        <v>4401</v>
      </c>
      <c r="B2911" s="234" t="str">
        <f>IFERROR(__xludf.DUMMYFUNCTION("""COMPUTED_VALUE"""),"Fanout Desconhecido")</f>
        <v>Fanout Desconhecido</v>
      </c>
      <c r="C2911" s="234" t="str">
        <f>IFERROR(__xludf.DUMMYFUNCTION("""COMPUTED_VALUE"""),"-")</f>
        <v>-</v>
      </c>
      <c r="D2911" s="234">
        <f>IFERROR(__xludf.DUMMYFUNCTION("""COMPUTED_VALUE"""),23.0)</f>
        <v>23</v>
      </c>
      <c r="E2911" s="237" t="str">
        <f>IFERROR(__xludf.DUMMYFUNCTION("""COMPUTED_VALUE"""),"LT1PCI01UQJB1")</f>
        <v>LT1PCI01UQJB1</v>
      </c>
      <c r="F2911" s="238" t="str">
        <f>IFERROR(__xludf.DUMMYFUNCTION("""COMPUTED_VALUE"""),"-")</f>
        <v>-</v>
      </c>
      <c r="G2911" s="238" t="str">
        <f>IFERROR(__xludf.DUMMYFUNCTION("""COMPUTED_VALUE"""),"-")</f>
        <v>-</v>
      </c>
      <c r="H2911" s="238" t="str">
        <f>IFERROR(__xludf.DUMMYFUNCTION("""COMPUTED_VALUE"""),"-")</f>
        <v>-</v>
      </c>
      <c r="I2911" s="237" t="str">
        <f t="shared" si="1"/>
        <v>Dentro</v>
      </c>
      <c r="J2911" s="239">
        <v>119.99999999301508</v>
      </c>
    </row>
    <row r="2912">
      <c r="A2912" s="234" t="s">
        <v>325</v>
      </c>
      <c r="B2912" s="234" t="str">
        <f>IFERROR(__xludf.DUMMYFUNCTION("""COMPUTED_VALUE"""),"SoC_PR_Curitiba")</f>
        <v>SoC_PR_Curitiba</v>
      </c>
      <c r="C2912" s="234" t="str">
        <f>IFERROR(__xludf.DUMMYFUNCTION("""COMPUTED_VALUE"""),"SOC-PR1")</f>
        <v>SOC-PR1</v>
      </c>
      <c r="D2912" s="234">
        <f>IFERROR(__xludf.DUMMYFUNCTION("""COMPUTED_VALUE"""),9.0)</f>
        <v>9</v>
      </c>
      <c r="E2912" s="237" t="str">
        <f>IFERROR(__xludf.DUMMYFUNCTION("""COMPUTED_VALUE"""),"LT0PCI01UBTD1")</f>
        <v>LT0PCI01UBTD1</v>
      </c>
      <c r="F2912" s="238" t="str">
        <f>IFERROR(__xludf.DUMMYFUNCTION("""COMPUTED_VALUE"""),"EUK1H71,TAL2F34")</f>
        <v>EUK1H71,TAL2F34</v>
      </c>
      <c r="G2912" s="238">
        <f>IFERROR(__xludf.DUMMYFUNCTION("""COMPUTED_VALUE"""),46009.16666666667)</f>
        <v>46009.16667</v>
      </c>
      <c r="H2912" s="238">
        <f>IFERROR(__xludf.DUMMYFUNCTION("""COMPUTED_VALUE"""),46009.25)</f>
        <v>46009.25</v>
      </c>
      <c r="I2912" s="237" t="str">
        <f t="shared" si="1"/>
        <v>Fora</v>
      </c>
      <c r="J2912" s="239">
        <v>119.99999999301508</v>
      </c>
    </row>
    <row r="2913">
      <c r="A2913" s="234" t="s">
        <v>328</v>
      </c>
      <c r="B2913" s="234" t="str">
        <f>IFERROR(__xludf.DUMMYFUNCTION("""COMPUTED_VALUE"""),"SoC_PR_Curitiba")</f>
        <v>SoC_PR_Curitiba</v>
      </c>
      <c r="C2913" s="234" t="str">
        <f>IFERROR(__xludf.DUMMYFUNCTION("""COMPUTED_VALUE"""),"SOC-PR1")</f>
        <v>SOC-PR1</v>
      </c>
      <c r="D2913" s="234">
        <f>IFERROR(__xludf.DUMMYFUNCTION("""COMPUTED_VALUE"""),34.0)</f>
        <v>34</v>
      </c>
      <c r="E2913" s="237" t="str">
        <f>IFERROR(__xludf.DUMMYFUNCTION("""COMPUTED_VALUE"""),"LT1PCI01UQAU1")</f>
        <v>LT1PCI01UQAU1</v>
      </c>
      <c r="F2913" s="238" t="str">
        <f>IFERROR(__xludf.DUMMYFUNCTION("""COMPUTED_VALUE"""),"RLI9I48,RKY9J63")</f>
        <v>RLI9I48,RKY9J63</v>
      </c>
      <c r="G2913" s="238">
        <f>IFERROR(__xludf.DUMMYFUNCTION("""COMPUTED_VALUE"""),46009.16666666667)</f>
        <v>46009.16667</v>
      </c>
      <c r="H2913" s="238">
        <f>IFERROR(__xludf.DUMMYFUNCTION("""COMPUTED_VALUE"""),46009.25)</f>
        <v>46009.25</v>
      </c>
      <c r="I2913" s="237" t="str">
        <f t="shared" si="1"/>
        <v>Fora</v>
      </c>
      <c r="J2913" s="239" t="e">
        <v>#VALUE!</v>
      </c>
    </row>
    <row r="2914">
      <c r="A2914" s="234" t="s">
        <v>4402</v>
      </c>
      <c r="B2914" s="234" t="str">
        <f>IFERROR(__xludf.DUMMYFUNCTION("""COMPUTED_VALUE"""),"Fanout Desconhecido")</f>
        <v>Fanout Desconhecido</v>
      </c>
      <c r="C2914" s="234" t="str">
        <f>IFERROR(__xludf.DUMMYFUNCTION("""COMPUTED_VALUE"""),"-")</f>
        <v>-</v>
      </c>
      <c r="D2914" s="234">
        <f>IFERROR(__xludf.DUMMYFUNCTION("""COMPUTED_VALUE"""),24.0)</f>
        <v>24</v>
      </c>
      <c r="E2914" s="237" t="str">
        <f>IFERROR(__xludf.DUMMYFUNCTION("""COMPUTED_VALUE"""),"LT1PCI01UQB11")</f>
        <v>LT1PCI01UQB11</v>
      </c>
      <c r="F2914" s="238" t="str">
        <f>IFERROR(__xludf.DUMMYFUNCTION("""COMPUTED_VALUE"""),"-")</f>
        <v>-</v>
      </c>
      <c r="G2914" s="238" t="str">
        <f>IFERROR(__xludf.DUMMYFUNCTION("""COMPUTED_VALUE"""),"-")</f>
        <v>-</v>
      </c>
      <c r="H2914" s="238" t="str">
        <f>IFERROR(__xludf.DUMMYFUNCTION("""COMPUTED_VALUE"""),"-")</f>
        <v>-</v>
      </c>
      <c r="I2914" s="237" t="str">
        <f t="shared" si="1"/>
        <v>Dentro</v>
      </c>
      <c r="J2914" s="239">
        <v>119.99999999301508</v>
      </c>
    </row>
    <row r="2915">
      <c r="A2915" s="234" t="s">
        <v>329</v>
      </c>
      <c r="B2915" s="234" t="str">
        <f>IFERROR(__xludf.DUMMYFUNCTION("""COMPUTED_VALUE"""),"LM Hub_SP_Atibaia_Ponte_Alta")</f>
        <v>LM Hub_SP_Atibaia_Ponte_Alta</v>
      </c>
      <c r="C2915" s="234" t="str">
        <f>IFERROR(__xludf.DUMMYFUNCTION("""COMPUTED_VALUE"""),"HUB-LSP-87")</f>
        <v>HUB-LSP-87</v>
      </c>
      <c r="D2915" s="234"/>
      <c r="E2915" s="237" t="str">
        <f>IFERROR(__xludf.DUMMYFUNCTION("""COMPUTED_VALUE"""),"LT0PCI01UG6P1")</f>
        <v>LT0PCI01UG6P1</v>
      </c>
      <c r="F2915" s="238" t="str">
        <f>IFERROR(__xludf.DUMMYFUNCTION("""COMPUTED_VALUE"""),"TBQ8J43,GEN6I73")</f>
        <v>TBQ8J43,GEN6I73</v>
      </c>
      <c r="G2915" s="238">
        <f>IFERROR(__xludf.DUMMYFUNCTION("""COMPUTED_VALUE"""),46009.1875)</f>
        <v>46009.1875</v>
      </c>
      <c r="H2915" s="238">
        <f>IFERROR(__xludf.DUMMYFUNCTION("""COMPUTED_VALUE"""),46009.27083333333)</f>
        <v>46009.27083</v>
      </c>
      <c r="I2915" s="237" t="str">
        <f t="shared" si="1"/>
        <v>Fora</v>
      </c>
      <c r="J2915" s="239">
        <v>119.99999999301508</v>
      </c>
    </row>
    <row r="2916">
      <c r="A2916" s="234" t="s">
        <v>330</v>
      </c>
      <c r="B2916" s="234" t="str">
        <f>IFERROR(__xludf.DUMMYFUNCTION("""COMPUTED_VALUE"""),"LM Hub_SP_Taubaté")</f>
        <v>LM Hub_SP_Taubaté</v>
      </c>
      <c r="C2916" s="234" t="str">
        <f>IFERROR(__xludf.DUMMYFUNCTION("""COMPUTED_VALUE"""),"HUB-LSP-08")</f>
        <v>HUB-LSP-08</v>
      </c>
      <c r="D2916" s="234">
        <f>IFERROR(__xludf.DUMMYFUNCTION("""COMPUTED_VALUE"""),8.0)</f>
        <v>8</v>
      </c>
      <c r="E2916" s="237" t="str">
        <f>IFERROR(__xludf.DUMMYFUNCTION("""COMPUTED_VALUE"""),"LT0PCI01U88C1")</f>
        <v>LT0PCI01U88C1</v>
      </c>
      <c r="F2916" s="238" t="str">
        <f>IFERROR(__xludf.DUMMYFUNCTION("""COMPUTED_VALUE"""),"ASN0C15,MBC2C84")</f>
        <v>ASN0C15,MBC2C84</v>
      </c>
      <c r="G2916" s="238">
        <f>IFERROR(__xludf.DUMMYFUNCTION("""COMPUTED_VALUE"""),46009.1875)</f>
        <v>46009.1875</v>
      </c>
      <c r="H2916" s="238">
        <f>IFERROR(__xludf.DUMMYFUNCTION("""COMPUTED_VALUE"""),46009.27083333333)</f>
        <v>46009.27083</v>
      </c>
      <c r="I2916" s="237" t="str">
        <f t="shared" si="1"/>
        <v>Fora</v>
      </c>
      <c r="J2916" s="239">
        <v>118.99999998975545</v>
      </c>
    </row>
    <row r="2917">
      <c r="A2917" s="234" t="s">
        <v>331</v>
      </c>
      <c r="B2917" s="234" t="str">
        <f>IFERROR(__xludf.DUMMYFUNCTION("""COMPUTED_VALUE"""),"LM Hub_SP_Embu das Artes")</f>
        <v>LM Hub_SP_Embu das Artes</v>
      </c>
      <c r="C2917" s="234" t="str">
        <f>IFERROR(__xludf.DUMMYFUNCTION("""COMPUTED_VALUE"""),"HUB-LSP-36")</f>
        <v>HUB-LSP-36</v>
      </c>
      <c r="D2917" s="234">
        <f>IFERROR(__xludf.DUMMYFUNCTION("""COMPUTED_VALUE"""),33.0)</f>
        <v>33</v>
      </c>
      <c r="E2917" s="237" t="str">
        <f>IFERROR(__xludf.DUMMYFUNCTION("""COMPUTED_VALUE"""),"LT0PCI01UD5K1")</f>
        <v>LT0PCI01UD5K1</v>
      </c>
      <c r="F2917" s="238" t="str">
        <f>IFERROR(__xludf.DUMMYFUNCTION("""COMPUTED_VALUE"""),"SUQ5C99,TLD5B82")</f>
        <v>SUQ5C99,TLD5B82</v>
      </c>
      <c r="G2917" s="238">
        <f>IFERROR(__xludf.DUMMYFUNCTION("""COMPUTED_VALUE"""),46009.18819444445)</f>
        <v>46009.18819</v>
      </c>
      <c r="H2917" s="238">
        <f>IFERROR(__xludf.DUMMYFUNCTION("""COMPUTED_VALUE"""),46009.27083333333)</f>
        <v>46009.27083</v>
      </c>
      <c r="I2917" s="237" t="str">
        <f t="shared" si="1"/>
        <v>Fora</v>
      </c>
      <c r="J2917" s="239" t="e">
        <v>#VALUE!</v>
      </c>
    </row>
    <row r="2918">
      <c r="A2918" s="234" t="s">
        <v>333</v>
      </c>
      <c r="B2918" s="234" t="str">
        <f>IFERROR(__xludf.DUMMYFUNCTION("""COMPUTED_VALUE"""),"Fanout Desconhecido")</f>
        <v>Fanout Desconhecido</v>
      </c>
      <c r="C2918" s="234" t="str">
        <f>IFERROR(__xludf.DUMMYFUNCTION("""COMPUTED_VALUE"""),"-")</f>
        <v>-</v>
      </c>
      <c r="D2918" s="234"/>
      <c r="E2918" s="237" t="str">
        <f>IFERROR(__xludf.DUMMYFUNCTION("""COMPUTED_VALUE"""),"LT0PCH01UHZ11")</f>
        <v>LT0PCH01UHZ11</v>
      </c>
      <c r="F2918" s="238" t="str">
        <f>IFERROR(__xludf.DUMMYFUNCTION("""COMPUTED_VALUE"""),"-")</f>
        <v>-</v>
      </c>
      <c r="G2918" s="238" t="str">
        <f>IFERROR(__xludf.DUMMYFUNCTION("""COMPUTED_VALUE"""),"-")</f>
        <v>-</v>
      </c>
      <c r="H2918" s="238" t="str">
        <f>IFERROR(__xludf.DUMMYFUNCTION("""COMPUTED_VALUE"""),"-")</f>
        <v>-</v>
      </c>
      <c r="I2918" s="237" t="str">
        <f t="shared" si="1"/>
        <v>Dentro</v>
      </c>
      <c r="J2918" s="239">
        <v>540.0</v>
      </c>
    </row>
    <row r="2919">
      <c r="A2919" s="234" t="s">
        <v>334</v>
      </c>
      <c r="B2919" s="234" t="str">
        <f>IFERROR(__xludf.DUMMYFUNCTION("""COMPUTED_VALUE"""),"SoC_BA_Simoes Filho")</f>
        <v>SoC_BA_Simoes Filho</v>
      </c>
      <c r="C2919" s="234" t="str">
        <f>IFERROR(__xludf.DUMMYFUNCTION("""COMPUTED_VALUE"""),"SOC-BA2")</f>
        <v>SOC-BA2</v>
      </c>
      <c r="D2919" s="234">
        <f>IFERROR(__xludf.DUMMYFUNCTION("""COMPUTED_VALUE"""),48.0)</f>
        <v>48</v>
      </c>
      <c r="E2919" s="237" t="str">
        <f>IFERROR(__xludf.DUMMYFUNCTION("""COMPUTED_VALUE"""),"LT1PCH01UPNJ1")</f>
        <v>LT1PCH01UPNJ1</v>
      </c>
      <c r="F2919" s="238" t="str">
        <f>IFERROR(__xludf.DUMMYFUNCTION("""COMPUTED_VALUE"""),"IRK4623,FFE2D04")</f>
        <v>IRK4623,FFE2D04</v>
      </c>
      <c r="G2919" s="238">
        <f>IFERROR(__xludf.DUMMYFUNCTION("""COMPUTED_VALUE"""),46008.91666666667)</f>
        <v>46008.91667</v>
      </c>
      <c r="H2919" s="238">
        <f>IFERROR(__xludf.DUMMYFUNCTION("""COMPUTED_VALUE"""),46009.29166666667)</f>
        <v>46009.29167</v>
      </c>
      <c r="I2919" s="237" t="str">
        <f t="shared" si="1"/>
        <v>Fora</v>
      </c>
      <c r="J2919" s="239">
        <v>540.0</v>
      </c>
    </row>
    <row r="2920">
      <c r="A2920" s="234" t="s">
        <v>335</v>
      </c>
      <c r="B2920" s="234" t="str">
        <f>IFERROR(__xludf.DUMMYFUNCTION("""COMPUTED_VALUE"""),"SoC_BA_Simoes Filho")</f>
        <v>SoC_BA_Simoes Filho</v>
      </c>
      <c r="C2920" s="234" t="str">
        <f>IFERROR(__xludf.DUMMYFUNCTION("""COMPUTED_VALUE"""),"SOC-BA2")</f>
        <v>SOC-BA2</v>
      </c>
      <c r="D2920" s="234"/>
      <c r="E2920" s="237" t="str">
        <f>IFERROR(__xludf.DUMMYFUNCTION("""COMPUTED_VALUE"""),"LT1PCH01UQJC1")</f>
        <v>LT1PCH01UQJC1</v>
      </c>
      <c r="F2920" s="238" t="str">
        <f>IFERROR(__xludf.DUMMYFUNCTION("""COMPUTED_VALUE"""),"FPL9G07,TWY1I90")</f>
        <v>FPL9G07,TWY1I90</v>
      </c>
      <c r="G2920" s="238">
        <f>IFERROR(__xludf.DUMMYFUNCTION("""COMPUTED_VALUE"""),46008.91666666667)</f>
        <v>46008.91667</v>
      </c>
      <c r="H2920" s="238">
        <f>IFERROR(__xludf.DUMMYFUNCTION("""COMPUTED_VALUE"""),46009.29166666667)</f>
        <v>46009.29167</v>
      </c>
      <c r="I2920" s="237" t="str">
        <f t="shared" si="1"/>
        <v>Fora</v>
      </c>
      <c r="J2920" s="239">
        <v>540.0</v>
      </c>
    </row>
    <row r="2921">
      <c r="A2921" s="234" t="s">
        <v>336</v>
      </c>
      <c r="B2921" s="234" t="str">
        <f>IFERROR(__xludf.DUMMYFUNCTION("""COMPUTED_VALUE"""),"SoC_GO_Goiânia_02")</f>
        <v>SoC_GO_Goiânia_02</v>
      </c>
      <c r="C2921" s="234" t="str">
        <f>IFERROR(__xludf.DUMMYFUNCTION("""COMPUTED_VALUE"""),"SOC-GO2")</f>
        <v>SOC-GO2</v>
      </c>
      <c r="D2921" s="234">
        <f>IFERROR(__xludf.DUMMYFUNCTION("""COMPUTED_VALUE"""),87.0)</f>
        <v>87</v>
      </c>
      <c r="E2921" s="237" t="str">
        <f>IFERROR(__xludf.DUMMYFUNCTION("""COMPUTED_VALUE"""),"LT1PCH01UQJP1")</f>
        <v>LT1PCH01UQJP1</v>
      </c>
      <c r="F2921" s="238" t="str">
        <f>IFERROR(__xludf.DUMMYFUNCTION("""COMPUTED_VALUE"""),"AMO9A77,LOP1208")</f>
        <v>AMO9A77,LOP1208</v>
      </c>
      <c r="G2921" s="238">
        <f>IFERROR(__xludf.DUMMYFUNCTION("""COMPUTED_VALUE"""),46008.91666666667)</f>
        <v>46008.91667</v>
      </c>
      <c r="H2921" s="238">
        <f>IFERROR(__xludf.DUMMYFUNCTION("""COMPUTED_VALUE"""),46009.29166666667)</f>
        <v>46009.29167</v>
      </c>
      <c r="I2921" s="237" t="str">
        <f t="shared" si="1"/>
        <v>Fora</v>
      </c>
      <c r="J2921" s="239">
        <v>538.0000000144355</v>
      </c>
    </row>
    <row r="2922">
      <c r="A2922" s="234" t="s">
        <v>337</v>
      </c>
      <c r="B2922" s="234" t="str">
        <f>IFERROR(__xludf.DUMMYFUNCTION("""COMPUTED_VALUE"""),"SoC_BA_Simoes Filho")</f>
        <v>SoC_BA_Simoes Filho</v>
      </c>
      <c r="C2922" s="234" t="str">
        <f>IFERROR(__xludf.DUMMYFUNCTION("""COMPUTED_VALUE"""),"SOC-BA2")</f>
        <v>SOC-BA2</v>
      </c>
      <c r="D2922" s="234"/>
      <c r="E2922" s="237" t="str">
        <f>IFERROR(__xludf.DUMMYFUNCTION("""COMPUTED_VALUE"""),"LT0PCH01UHYZ2")</f>
        <v>LT0PCH01UHYZ2</v>
      </c>
      <c r="F2922" s="238" t="str">
        <f>IFERROR(__xludf.DUMMYFUNCTION("""COMPUTED_VALUE"""),"EZL6E05,FLT0713")</f>
        <v>EZL6E05,FLT0713</v>
      </c>
      <c r="G2922" s="238">
        <f>IFERROR(__xludf.DUMMYFUNCTION("""COMPUTED_VALUE"""),46008.91805555555)</f>
        <v>46008.91806</v>
      </c>
      <c r="H2922" s="238">
        <f>IFERROR(__xludf.DUMMYFUNCTION("""COMPUTED_VALUE"""),46009.29166666667)</f>
        <v>46009.29167</v>
      </c>
      <c r="I2922" s="237" t="str">
        <f t="shared" si="1"/>
        <v>Fora</v>
      </c>
      <c r="J2922" s="239">
        <v>538.0000000144355</v>
      </c>
    </row>
    <row r="2923">
      <c r="A2923" s="234" t="s">
        <v>338</v>
      </c>
      <c r="B2923" s="234" t="str">
        <f>IFERROR(__xludf.DUMMYFUNCTION("""COMPUTED_VALUE"""),"SoC_GO_Goiânia_02")</f>
        <v>SoC_GO_Goiânia_02</v>
      </c>
      <c r="C2923" s="234" t="str">
        <f>IFERROR(__xludf.DUMMYFUNCTION("""COMPUTED_VALUE"""),"SOC-GO2")</f>
        <v>SOC-GO2</v>
      </c>
      <c r="D2923" s="234"/>
      <c r="E2923" s="237" t="str">
        <f>IFERROR(__xludf.DUMMYFUNCTION("""COMPUTED_VALUE"""),"LT0PCH01UI7B1")</f>
        <v>LT0PCH01UI7B1</v>
      </c>
      <c r="F2923" s="238" t="str">
        <f>IFERROR(__xludf.DUMMYFUNCTION("""COMPUTED_VALUE"""),"FST5E90,FFW3E68")</f>
        <v>FST5E90,FFW3E68</v>
      </c>
      <c r="G2923" s="238">
        <f>IFERROR(__xludf.DUMMYFUNCTION("""COMPUTED_VALUE"""),46008.91805555555)</f>
        <v>46008.91806</v>
      </c>
      <c r="H2923" s="238">
        <f>IFERROR(__xludf.DUMMYFUNCTION("""COMPUTED_VALUE"""),46009.29166666667)</f>
        <v>46009.29167</v>
      </c>
      <c r="I2923" s="237" t="str">
        <f t="shared" si="1"/>
        <v>Fora</v>
      </c>
      <c r="J2923" s="239">
        <v>538.0000000144355</v>
      </c>
    </row>
    <row r="2924">
      <c r="A2924" s="234" t="s">
        <v>352</v>
      </c>
      <c r="B2924" s="234" t="str">
        <f>IFERROR(__xludf.DUMMYFUNCTION("""COMPUTED_VALUE"""),"SoC_GO_Goiânia_02")</f>
        <v>SoC_GO_Goiânia_02</v>
      </c>
      <c r="C2924" s="234" t="str">
        <f>IFERROR(__xludf.DUMMYFUNCTION("""COMPUTED_VALUE"""),"SOC-GO2")</f>
        <v>SOC-GO2</v>
      </c>
      <c r="D2924" s="234">
        <f>IFERROR(__xludf.DUMMYFUNCTION("""COMPUTED_VALUE"""),12.0)</f>
        <v>12</v>
      </c>
      <c r="E2924" s="237" t="str">
        <f>IFERROR(__xludf.DUMMYFUNCTION("""COMPUTED_VALUE"""),"LT0PCH01UI7D2")</f>
        <v>LT0PCH01UI7D2</v>
      </c>
      <c r="F2924" s="238" t="str">
        <f>IFERROR(__xludf.DUMMYFUNCTION("""COMPUTED_VALUE"""),"EFO3C06,FOU3I56")</f>
        <v>EFO3C06,FOU3I56</v>
      </c>
      <c r="G2924" s="238">
        <f>IFERROR(__xludf.DUMMYFUNCTION("""COMPUTED_VALUE"""),46008.91805555555)</f>
        <v>46008.91806</v>
      </c>
      <c r="H2924" s="238">
        <f>IFERROR(__xludf.DUMMYFUNCTION("""COMPUTED_VALUE"""),46009.29166666667)</f>
        <v>46009.29167</v>
      </c>
      <c r="I2924" s="237" t="str">
        <f t="shared" si="1"/>
        <v>Fora</v>
      </c>
      <c r="J2924" s="239">
        <v>538.0000000144355</v>
      </c>
    </row>
    <row r="2925">
      <c r="A2925" s="234" t="s">
        <v>339</v>
      </c>
      <c r="B2925" s="234" t="str">
        <f>IFERROR(__xludf.DUMMYFUNCTION("""COMPUTED_VALUE"""),"SoC_SP_Cravinhos")</f>
        <v>SoC_SP_Cravinhos</v>
      </c>
      <c r="C2925" s="234" t="str">
        <f>IFERROR(__xludf.DUMMYFUNCTION("""COMPUTED_VALUE"""),"SOC-SP5")</f>
        <v>SOC-SP5</v>
      </c>
      <c r="D2925" s="234"/>
      <c r="E2925" s="237" t="str">
        <f>IFERROR(__xludf.DUMMYFUNCTION("""COMPUTED_VALUE"""),"LT0PCH01UBUH2")</f>
        <v>LT0PCH01UBUH2</v>
      </c>
      <c r="F2925" s="238" t="str">
        <f>IFERROR(__xludf.DUMMYFUNCTION("""COMPUTED_VALUE"""),"FYC5A56,SVD2F42")</f>
        <v>FYC5A56,SVD2F42</v>
      </c>
      <c r="G2925" s="238">
        <f>IFERROR(__xludf.DUMMYFUNCTION("""COMPUTED_VALUE"""),46008.91805555555)</f>
        <v>46008.91806</v>
      </c>
      <c r="H2925" s="238">
        <f>IFERROR(__xludf.DUMMYFUNCTION("""COMPUTED_VALUE"""),46009.29166666667)</f>
        <v>46009.29167</v>
      </c>
      <c r="I2925" s="237" t="str">
        <f t="shared" si="1"/>
        <v>Fora</v>
      </c>
      <c r="J2925" s="239" t="e">
        <v>#VALUE!</v>
      </c>
    </row>
    <row r="2926">
      <c r="A2926" s="234" t="s">
        <v>343</v>
      </c>
      <c r="B2926" s="234" t="str">
        <f>IFERROR(__xludf.DUMMYFUNCTION("""COMPUTED_VALUE"""),"Fanout Desconhecido")</f>
        <v>Fanout Desconhecido</v>
      </c>
      <c r="C2926" s="234" t="str">
        <f>IFERROR(__xludf.DUMMYFUNCTION("""COMPUTED_VALUE"""),"-")</f>
        <v>-</v>
      </c>
      <c r="D2926" s="234"/>
      <c r="E2926" s="237" t="str">
        <f>IFERROR(__xludf.DUMMYFUNCTION("""COMPUTED_VALUE"""),"LT0PCH01UBT34")</f>
        <v>LT0PCH01UBT34</v>
      </c>
      <c r="F2926" s="238" t="str">
        <f>IFERROR(__xludf.DUMMYFUNCTION("""COMPUTED_VALUE"""),"-")</f>
        <v>-</v>
      </c>
      <c r="G2926" s="238" t="str">
        <f>IFERROR(__xludf.DUMMYFUNCTION("""COMPUTED_VALUE"""),"-")</f>
        <v>-</v>
      </c>
      <c r="H2926" s="238" t="str">
        <f>IFERROR(__xludf.DUMMYFUNCTION("""COMPUTED_VALUE"""),"-")</f>
        <v>-</v>
      </c>
      <c r="I2926" s="237" t="str">
        <f t="shared" si="1"/>
        <v>Dentro</v>
      </c>
      <c r="J2926" s="239" t="e">
        <v>#VALUE!</v>
      </c>
    </row>
    <row r="2927">
      <c r="A2927" s="234" t="s">
        <v>344</v>
      </c>
      <c r="B2927" s="234" t="str">
        <f>IFERROR(__xludf.DUMMYFUNCTION("""COMPUTED_VALUE"""),"Fanout Desconhecido")</f>
        <v>Fanout Desconhecido</v>
      </c>
      <c r="C2927" s="234" t="str">
        <f>IFERROR(__xludf.DUMMYFUNCTION("""COMPUTED_VALUE"""),"-")</f>
        <v>-</v>
      </c>
      <c r="D2927" s="234"/>
      <c r="E2927" s="237" t="str">
        <f>IFERROR(__xludf.DUMMYFUNCTION("""COMPUTED_VALUE"""),"LT0PCH01UEB81")</f>
        <v>LT0PCH01UEB81</v>
      </c>
      <c r="F2927" s="238" t="str">
        <f>IFERROR(__xludf.DUMMYFUNCTION("""COMPUTED_VALUE"""),"-")</f>
        <v>-</v>
      </c>
      <c r="G2927" s="238" t="str">
        <f>IFERROR(__xludf.DUMMYFUNCTION("""COMPUTED_VALUE"""),"-")</f>
        <v>-</v>
      </c>
      <c r="H2927" s="238" t="str">
        <f>IFERROR(__xludf.DUMMYFUNCTION("""COMPUTED_VALUE"""),"-")</f>
        <v>-</v>
      </c>
      <c r="I2927" s="237" t="str">
        <f t="shared" si="1"/>
        <v>Dentro</v>
      </c>
      <c r="J2927" s="239">
        <v>534.000000001397</v>
      </c>
    </row>
    <row r="2928">
      <c r="A2928" s="234" t="s">
        <v>4403</v>
      </c>
      <c r="B2928" s="234" t="str">
        <f>IFERROR(__xludf.DUMMYFUNCTION("""COMPUTED_VALUE"""),"SoC_RJ_Duque de Caxias")</f>
        <v>SoC_RJ_Duque de Caxias</v>
      </c>
      <c r="C2928" s="234" t="str">
        <f>IFERROR(__xludf.DUMMYFUNCTION("""COMPUTED_VALUE"""),"SOC-RJ2")</f>
        <v>SOC-RJ2</v>
      </c>
      <c r="D2928" s="234">
        <f>IFERROR(__xludf.DUMMYFUNCTION("""COMPUTED_VALUE"""),6.0)</f>
        <v>6</v>
      </c>
      <c r="E2928" s="237" t="str">
        <f>IFERROR(__xludf.DUMMYFUNCTION("""COMPUTED_VALUE"""),"LT0PCH01UEBA2")</f>
        <v>LT0PCH01UEBA2</v>
      </c>
      <c r="F2928" s="238" t="str">
        <f>IFERROR(__xludf.DUMMYFUNCTION("""COMPUTED_VALUE"""),"MMH2F35,HRS6C42")</f>
        <v>MMH2F35,HRS6C42</v>
      </c>
      <c r="G2928" s="238">
        <f>IFERROR(__xludf.DUMMYFUNCTION("""COMPUTED_VALUE"""),46008.92083333334)</f>
        <v>46008.92083</v>
      </c>
      <c r="H2928" s="238">
        <f>IFERROR(__xludf.DUMMYFUNCTION("""COMPUTED_VALUE"""),46009.29166666667)</f>
        <v>46009.29167</v>
      </c>
      <c r="I2928" s="237" t="str">
        <f t="shared" si="1"/>
        <v>Fora</v>
      </c>
      <c r="J2928" s="239" t="e">
        <v>#VALUE!</v>
      </c>
    </row>
    <row r="2929">
      <c r="A2929" s="234" t="s">
        <v>345</v>
      </c>
      <c r="B2929" s="234" t="str">
        <f>IFERROR(__xludf.DUMMYFUNCTION("""COMPUTED_VALUE"""),"Fanout Desconhecido")</f>
        <v>Fanout Desconhecido</v>
      </c>
      <c r="C2929" s="234" t="str">
        <f>IFERROR(__xludf.DUMMYFUNCTION("""COMPUTED_VALUE"""),"-")</f>
        <v>-</v>
      </c>
      <c r="D2929" s="234"/>
      <c r="E2929" s="237" t="str">
        <f>IFERROR(__xludf.DUMMYFUNCTION("""COMPUTED_VALUE"""),"LT0PCH01UEBD4")</f>
        <v>LT0PCH01UEBD4</v>
      </c>
      <c r="F2929" s="238" t="str">
        <f>IFERROR(__xludf.DUMMYFUNCTION("""COMPUTED_VALUE"""),"-")</f>
        <v>-</v>
      </c>
      <c r="G2929" s="238" t="str">
        <f>IFERROR(__xludf.DUMMYFUNCTION("""COMPUTED_VALUE"""),"-")</f>
        <v>-</v>
      </c>
      <c r="H2929" s="238" t="str">
        <f>IFERROR(__xludf.DUMMYFUNCTION("""COMPUTED_VALUE"""),"-")</f>
        <v>-</v>
      </c>
      <c r="I2929" s="237" t="str">
        <f t="shared" si="1"/>
        <v>Dentro</v>
      </c>
      <c r="J2929" s="239">
        <v>510.0000000069849</v>
      </c>
    </row>
    <row r="2930">
      <c r="A2930" s="234" t="s">
        <v>340</v>
      </c>
      <c r="B2930" s="234" t="str">
        <f>IFERROR(__xludf.DUMMYFUNCTION("""COMPUTED_VALUE"""),"SoC_MG_Betim")</f>
        <v>SoC_MG_Betim</v>
      </c>
      <c r="C2930" s="234" t="str">
        <f>IFERROR(__xludf.DUMMYFUNCTION("""COMPUTED_VALUE"""),"SOC-MG2")</f>
        <v>SOC-MG2</v>
      </c>
      <c r="D2930" s="234">
        <f>IFERROR(__xludf.DUMMYFUNCTION("""COMPUTED_VALUE"""),49.0)</f>
        <v>49</v>
      </c>
      <c r="E2930" s="237" t="str">
        <f>IFERROR(__xludf.DUMMYFUNCTION("""COMPUTED_VALUE"""),"LT0PCH01UBSZ1")</f>
        <v>LT0PCH01UBSZ1</v>
      </c>
      <c r="F2930" s="238" t="str">
        <f>IFERROR(__xludf.DUMMYFUNCTION("""COMPUTED_VALUE"""),"CUT9D89,UFG8E47")</f>
        <v>CUT9D89,UFG8E47</v>
      </c>
      <c r="G2930" s="238">
        <f>IFERROR(__xludf.DUMMYFUNCTION("""COMPUTED_VALUE"""),46008.9375)</f>
        <v>46008.9375</v>
      </c>
      <c r="H2930" s="238">
        <f>IFERROR(__xludf.DUMMYFUNCTION("""COMPUTED_VALUE"""),46009.29166666667)</f>
        <v>46009.29167</v>
      </c>
      <c r="I2930" s="237" t="str">
        <f t="shared" si="1"/>
        <v>Fora</v>
      </c>
      <c r="J2930" s="239">
        <v>510.0000000069849</v>
      </c>
    </row>
    <row r="2931">
      <c r="A2931" s="234" t="s">
        <v>341</v>
      </c>
      <c r="B2931" s="234" t="str">
        <f>IFERROR(__xludf.DUMMYFUNCTION("""COMPUTED_VALUE"""),"SoC_MG_Betim")</f>
        <v>SoC_MG_Betim</v>
      </c>
      <c r="C2931" s="234" t="str">
        <f>IFERROR(__xludf.DUMMYFUNCTION("""COMPUTED_VALUE"""),"SOC-MG2")</f>
        <v>SOC-MG2</v>
      </c>
      <c r="D2931" s="234"/>
      <c r="E2931" s="237" t="str">
        <f>IFERROR(__xludf.DUMMYFUNCTION("""COMPUTED_VALUE"""),"LT0PCH01UBT12")</f>
        <v>LT0PCH01UBT12</v>
      </c>
      <c r="F2931" s="238" t="str">
        <f>IFERROR(__xludf.DUMMYFUNCTION("""COMPUTED_VALUE"""),"ESU3H82,UDQ3B86")</f>
        <v>ESU3H82,UDQ3B86</v>
      </c>
      <c r="G2931" s="238">
        <f>IFERROR(__xludf.DUMMYFUNCTION("""COMPUTED_VALUE"""),46008.9375)</f>
        <v>46008.9375</v>
      </c>
      <c r="H2931" s="238">
        <f>IFERROR(__xludf.DUMMYFUNCTION("""COMPUTED_VALUE"""),46009.29166666667)</f>
        <v>46009.29167</v>
      </c>
      <c r="I2931" s="237" t="str">
        <f t="shared" si="1"/>
        <v>Fora</v>
      </c>
      <c r="J2931" s="239">
        <v>510.0000000069849</v>
      </c>
    </row>
    <row r="2932">
      <c r="A2932" s="234" t="s">
        <v>342</v>
      </c>
      <c r="B2932" s="234" t="str">
        <f>IFERROR(__xludf.DUMMYFUNCTION("""COMPUTED_VALUE"""),"SoC_MG_Betim")</f>
        <v>SoC_MG_Betim</v>
      </c>
      <c r="C2932" s="234" t="str">
        <f>IFERROR(__xludf.DUMMYFUNCTION("""COMPUTED_VALUE"""),"SOC-MG2")</f>
        <v>SOC-MG2</v>
      </c>
      <c r="D2932" s="234"/>
      <c r="E2932" s="237" t="str">
        <f>IFERROR(__xludf.DUMMYFUNCTION("""COMPUTED_VALUE"""),"LT0PCH01UBT23")</f>
        <v>LT0PCH01UBT23</v>
      </c>
      <c r="F2932" s="238" t="str">
        <f>IFERROR(__xludf.DUMMYFUNCTION("""COMPUTED_VALUE"""),"TAJ5D50")</f>
        <v>TAJ5D50</v>
      </c>
      <c r="G2932" s="238">
        <f>IFERROR(__xludf.DUMMYFUNCTION("""COMPUTED_VALUE"""),46008.9375)</f>
        <v>46008.9375</v>
      </c>
      <c r="H2932" s="238">
        <f>IFERROR(__xludf.DUMMYFUNCTION("""COMPUTED_VALUE"""),46009.29166666667)</f>
        <v>46009.29167</v>
      </c>
      <c r="I2932" s="237" t="str">
        <f t="shared" si="1"/>
        <v>Fora</v>
      </c>
      <c r="J2932" s="239">
        <v>120.00000001396984</v>
      </c>
    </row>
    <row r="2933">
      <c r="A2933" s="234" t="s">
        <v>346</v>
      </c>
      <c r="B2933" s="234" t="str">
        <f>IFERROR(__xludf.DUMMYFUNCTION("""COMPUTED_VALUE"""),"LM Hub_SP_Barueri_01")</f>
        <v>LM Hub_SP_Barueri_01</v>
      </c>
      <c r="C2933" s="234" t="str">
        <f>IFERROR(__xludf.DUMMYFUNCTION("""COMPUTED_VALUE"""),"HUB-LSP-81")</f>
        <v>HUB-LSP-81</v>
      </c>
      <c r="D2933" s="234">
        <f>IFERROR(__xludf.DUMMYFUNCTION("""COMPUTED_VALUE"""),22.0)</f>
        <v>22</v>
      </c>
      <c r="E2933" s="237" t="str">
        <f>IFERROR(__xludf.DUMMYFUNCTION("""COMPUTED_VALUE"""),"LT0PCI01UHKS1")</f>
        <v>LT0PCI01UHKS1</v>
      </c>
      <c r="F2933" s="238" t="str">
        <f>IFERROR(__xludf.DUMMYFUNCTION("""COMPUTED_VALUE"""),"FEJ6098,ETU7705")</f>
        <v>FEJ6098,ETU7705</v>
      </c>
      <c r="G2933" s="238">
        <f>IFERROR(__xludf.DUMMYFUNCTION("""COMPUTED_VALUE"""),46009.20833333333)</f>
        <v>46009.20833</v>
      </c>
      <c r="H2933" s="238">
        <f>IFERROR(__xludf.DUMMYFUNCTION("""COMPUTED_VALUE"""),46009.29166666667)</f>
        <v>46009.29167</v>
      </c>
      <c r="I2933" s="237" t="str">
        <f t="shared" si="1"/>
        <v>Fora</v>
      </c>
      <c r="J2933" s="239">
        <v>120.00000001396984</v>
      </c>
    </row>
    <row r="2934">
      <c r="A2934" s="234" t="s">
        <v>347</v>
      </c>
      <c r="B2934" s="234" t="str">
        <f>IFERROR(__xludf.DUMMYFUNCTION("""COMPUTED_VALUE"""),"LM Hub_SP_Jundiaí")</f>
        <v>LM Hub_SP_Jundiaí</v>
      </c>
      <c r="C2934" s="234" t="str">
        <f>IFERROR(__xludf.DUMMYFUNCTION("""COMPUTED_VALUE"""),"HUB-LSP-100")</f>
        <v>HUB-LSP-100</v>
      </c>
      <c r="D2934" s="234">
        <f>IFERROR(__xludf.DUMMYFUNCTION("""COMPUTED_VALUE"""),6.0)</f>
        <v>6</v>
      </c>
      <c r="E2934" s="237" t="str">
        <f>IFERROR(__xludf.DUMMYFUNCTION("""COMPUTED_VALUE"""),"LT0PCI01UJ021")</f>
        <v>LT0PCI01UJ021</v>
      </c>
      <c r="F2934" s="238" t="str">
        <f>IFERROR(__xludf.DUMMYFUNCTION("""COMPUTED_VALUE"""),"DBM1893")</f>
        <v>DBM1893</v>
      </c>
      <c r="G2934" s="238">
        <f>IFERROR(__xludf.DUMMYFUNCTION("""COMPUTED_VALUE"""),46009.20833333333)</f>
        <v>46009.20833</v>
      </c>
      <c r="H2934" s="238">
        <f>IFERROR(__xludf.DUMMYFUNCTION("""COMPUTED_VALUE"""),46009.29166666667)</f>
        <v>46009.29167</v>
      </c>
      <c r="I2934" s="237" t="str">
        <f t="shared" si="1"/>
        <v>Fora</v>
      </c>
      <c r="J2934" s="239">
        <v>120.00000001396984</v>
      </c>
    </row>
    <row r="2935">
      <c r="A2935" s="234" t="s">
        <v>348</v>
      </c>
      <c r="B2935" s="234" t="str">
        <f>IFERROR(__xludf.DUMMYFUNCTION("""COMPUTED_VALUE"""),"LM Hub_SP_Jurubatuba")</f>
        <v>LM Hub_SP_Jurubatuba</v>
      </c>
      <c r="C2935" s="234" t="str">
        <f>IFERROR(__xludf.DUMMYFUNCTION("""COMPUTED_VALUE"""),"HUB-LSP-16")</f>
        <v>HUB-LSP-16</v>
      </c>
      <c r="D2935" s="234">
        <f>IFERROR(__xludf.DUMMYFUNCTION("""COMPUTED_VALUE"""),17.0)</f>
        <v>17</v>
      </c>
      <c r="E2935" s="237" t="str">
        <f>IFERROR(__xludf.DUMMYFUNCTION("""COMPUTED_VALUE"""),"LT0PCI01UD3X1")</f>
        <v>LT0PCI01UD3X1</v>
      </c>
      <c r="F2935" s="238" t="str">
        <f>IFERROR(__xludf.DUMMYFUNCTION("""COMPUTED_VALUE"""),"MQM6I27,FXB7G01")</f>
        <v>MQM6I27,FXB7G01</v>
      </c>
      <c r="G2935" s="238">
        <f>IFERROR(__xludf.DUMMYFUNCTION("""COMPUTED_VALUE"""),46009.20833333333)</f>
        <v>46009.20833</v>
      </c>
      <c r="H2935" s="238">
        <f>IFERROR(__xludf.DUMMYFUNCTION("""COMPUTED_VALUE"""),46009.29166666667)</f>
        <v>46009.29167</v>
      </c>
      <c r="I2935" s="237" t="str">
        <f t="shared" si="1"/>
        <v>Fora</v>
      </c>
      <c r="J2935" s="239">
        <v>120.00000001396984</v>
      </c>
    </row>
    <row r="2936">
      <c r="A2936" s="234" t="s">
        <v>349</v>
      </c>
      <c r="B2936" s="234" t="str">
        <f>IFERROR(__xludf.DUMMYFUNCTION("""COMPUTED_VALUE"""),"LM Hub_SP_Piracicaba")</f>
        <v>LM Hub_SP_Piracicaba</v>
      </c>
      <c r="C2936" s="234" t="str">
        <f>IFERROR(__xludf.DUMMYFUNCTION("""COMPUTED_VALUE"""),"HUB-LSP-62")</f>
        <v>HUB-LSP-62</v>
      </c>
      <c r="D2936" s="234">
        <f>IFERROR(__xludf.DUMMYFUNCTION("""COMPUTED_VALUE"""),27.0)</f>
        <v>27</v>
      </c>
      <c r="E2936" s="237" t="str">
        <f>IFERROR(__xludf.DUMMYFUNCTION("""COMPUTED_VALUE"""),"LT0PCI01UCMY1")</f>
        <v>LT0PCI01UCMY1</v>
      </c>
      <c r="F2936" s="238" t="str">
        <f>IFERROR(__xludf.DUMMYFUNCTION("""COMPUTED_VALUE"""),"OMY3I62,OMY3I60")</f>
        <v>OMY3I62,OMY3I60</v>
      </c>
      <c r="G2936" s="238">
        <f>IFERROR(__xludf.DUMMYFUNCTION("""COMPUTED_VALUE"""),46009.20833333333)</f>
        <v>46009.20833</v>
      </c>
      <c r="H2936" s="238">
        <f>IFERROR(__xludf.DUMMYFUNCTION("""COMPUTED_VALUE"""),46009.29166666667)</f>
        <v>46009.29167</v>
      </c>
      <c r="I2936" s="237" t="str">
        <f t="shared" si="1"/>
        <v>Fora</v>
      </c>
      <c r="J2936" s="239">
        <v>120.00000001396984</v>
      </c>
    </row>
    <row r="2937">
      <c r="A2937" s="234" t="s">
        <v>350</v>
      </c>
      <c r="B2937" s="234" t="str">
        <f>IFERROR(__xludf.DUMMYFUNCTION("""COMPUTED_VALUE"""),"LM Hub_SP_Santos_PraiaGrande_02")</f>
        <v>LM Hub_SP_Santos_PraiaGrande_02</v>
      </c>
      <c r="C2937" s="234" t="str">
        <f>IFERROR(__xludf.DUMMYFUNCTION("""COMPUTED_VALUE"""),"HUB-LSP-63")</f>
        <v>HUB-LSP-63</v>
      </c>
      <c r="D2937" s="234">
        <f>IFERROR(__xludf.DUMMYFUNCTION("""COMPUTED_VALUE"""),21.0)</f>
        <v>21</v>
      </c>
      <c r="E2937" s="237" t="str">
        <f>IFERROR(__xludf.DUMMYFUNCTION("""COMPUTED_VALUE"""),"LT0PCI01UD5A1")</f>
        <v>LT0PCI01UD5A1</v>
      </c>
      <c r="F2937" s="238" t="str">
        <f>IFERROR(__xludf.DUMMYFUNCTION("""COMPUTED_VALUE"""),"GEJ6E62,TLV2A95")</f>
        <v>GEJ6E62,TLV2A95</v>
      </c>
      <c r="G2937" s="238">
        <f>IFERROR(__xludf.DUMMYFUNCTION("""COMPUTED_VALUE"""),46009.20833333333)</f>
        <v>46009.20833</v>
      </c>
      <c r="H2937" s="238">
        <f>IFERROR(__xludf.DUMMYFUNCTION("""COMPUTED_VALUE"""),46009.29166666667)</f>
        <v>46009.29167</v>
      </c>
      <c r="I2937" s="237" t="str">
        <f t="shared" si="1"/>
        <v>Fora</v>
      </c>
      <c r="J2937" s="239">
        <v>120.00000001396984</v>
      </c>
    </row>
    <row r="2938">
      <c r="A2938" s="234" t="s">
        <v>351</v>
      </c>
      <c r="B2938" s="234" t="str">
        <f>IFERROR(__xludf.DUMMYFUNCTION("""COMPUTED_VALUE"""),"LM Hub_SP_Santos_PraiaGrande_02")</f>
        <v>LM Hub_SP_Santos_PraiaGrande_02</v>
      </c>
      <c r="C2938" s="234" t="str">
        <f>IFERROR(__xludf.DUMMYFUNCTION("""COMPUTED_VALUE"""),"HUB-LSP-63")</f>
        <v>HUB-LSP-63</v>
      </c>
      <c r="D2938" s="234">
        <f>IFERROR(__xludf.DUMMYFUNCTION("""COMPUTED_VALUE"""),25.0)</f>
        <v>25</v>
      </c>
      <c r="E2938" s="237" t="str">
        <f>IFERROR(__xludf.DUMMYFUNCTION("""COMPUTED_VALUE"""),"LT0PCI01UD5C2")</f>
        <v>LT0PCI01UD5C2</v>
      </c>
      <c r="F2938" s="238" t="str">
        <f>IFERROR(__xludf.DUMMYFUNCTION("""COMPUTED_VALUE"""),"FNB9I85,TJH9A17")</f>
        <v>FNB9I85,TJH9A17</v>
      </c>
      <c r="G2938" s="238">
        <f>IFERROR(__xludf.DUMMYFUNCTION("""COMPUTED_VALUE"""),46009.20833333333)</f>
        <v>46009.20833</v>
      </c>
      <c r="H2938" s="238">
        <f>IFERROR(__xludf.DUMMYFUNCTION("""COMPUTED_VALUE"""),46009.29166666667)</f>
        <v>46009.29167</v>
      </c>
      <c r="I2938" s="237" t="str">
        <f t="shared" si="1"/>
        <v>Fora</v>
      </c>
      <c r="J2938" s="239">
        <v>119.00000001071021</v>
      </c>
    </row>
    <row r="2939">
      <c r="A2939" s="234" t="s">
        <v>4404</v>
      </c>
      <c r="B2939" s="234" t="str">
        <f>IFERROR(__xludf.DUMMYFUNCTION("""COMPUTED_VALUE"""),"LM Hub_SP_Barueri_01")</f>
        <v>LM Hub_SP_Barueri_01</v>
      </c>
      <c r="C2939" s="234" t="str">
        <f>IFERROR(__xludf.DUMMYFUNCTION("""COMPUTED_VALUE"""),"HUB-LSP-81")</f>
        <v>HUB-LSP-81</v>
      </c>
      <c r="D2939" s="234"/>
      <c r="E2939" s="237" t="str">
        <f>IFERROR(__xludf.DUMMYFUNCTION("""COMPUTED_VALUE"""),"LT0PCI01UK3B1")</f>
        <v>LT0PCI01UK3B1</v>
      </c>
      <c r="F2939" s="238" t="str">
        <f>IFERROR(__xludf.DUMMYFUNCTION("""COMPUTED_VALUE"""),"EFU9C99,IND2879")</f>
        <v>EFU9C99,IND2879</v>
      </c>
      <c r="G2939" s="238">
        <f>IFERROR(__xludf.DUMMYFUNCTION("""COMPUTED_VALUE"""),46009.209027777775)</f>
        <v>46009.20903</v>
      </c>
      <c r="H2939" s="238">
        <f>IFERROR(__xludf.DUMMYFUNCTION("""COMPUTED_VALUE"""),46009.29166666667)</f>
        <v>46009.29167</v>
      </c>
      <c r="I2939" s="237" t="str">
        <f t="shared" si="1"/>
        <v>Fora</v>
      </c>
      <c r="J2939" s="239">
        <v>119.00000001071021</v>
      </c>
    </row>
    <row r="2940">
      <c r="A2940" s="234" t="s">
        <v>332</v>
      </c>
      <c r="B2940" s="234" t="str">
        <f>IFERROR(__xludf.DUMMYFUNCTION("""COMPUTED_VALUE"""),"SoC_SP_Louveira")</f>
        <v>SoC_SP_Louveira</v>
      </c>
      <c r="C2940" s="234" t="str">
        <f>IFERROR(__xludf.DUMMYFUNCTION("""COMPUTED_VALUE"""),"SOC-SP7")</f>
        <v>SOC-SP7</v>
      </c>
      <c r="D2940" s="234">
        <f>IFERROR(__xludf.DUMMYFUNCTION("""COMPUTED_VALUE"""),32.0)</f>
        <v>32</v>
      </c>
      <c r="E2940" s="237" t="str">
        <f>IFERROR(__xludf.DUMMYFUNCTION("""COMPUTED_VALUE"""),"LT0PCI01UBUW1")</f>
        <v>LT0PCI01UBUW1</v>
      </c>
      <c r="F2940" s="238" t="str">
        <f>IFERROR(__xludf.DUMMYFUNCTION("""COMPUTED_VALUE"""),"STJ6A96,RBD1F58")</f>
        <v>STJ6A96,RBD1F58</v>
      </c>
      <c r="G2940" s="238">
        <f>IFERROR(__xludf.DUMMYFUNCTION("""COMPUTED_VALUE"""),46009.209027777775)</f>
        <v>46009.20903</v>
      </c>
      <c r="H2940" s="238">
        <f>IFERROR(__xludf.DUMMYFUNCTION("""COMPUTED_VALUE"""),46009.29166666667)</f>
        <v>46009.29167</v>
      </c>
      <c r="I2940" s="237" t="str">
        <f t="shared" si="1"/>
        <v>Fora</v>
      </c>
      <c r="J2940" s="239">
        <v>180.0</v>
      </c>
    </row>
    <row r="2941">
      <c r="A2941" s="234" t="s">
        <v>4405</v>
      </c>
      <c r="B2941" s="234" t="str">
        <f>IFERROR(__xludf.DUMMYFUNCTION("""COMPUTED_VALUE"""),"SoC_SP_Santana")</f>
        <v>SoC_SP_Santana</v>
      </c>
      <c r="C2941" s="234" t="str">
        <f>IFERROR(__xludf.DUMMYFUNCTION("""COMPUTED_VALUE"""),"SOC-SP2")</f>
        <v>SOC-SP2</v>
      </c>
      <c r="D2941" s="234">
        <f>IFERROR(__xludf.DUMMYFUNCTION("""COMPUTED_VALUE"""),35.0)</f>
        <v>35</v>
      </c>
      <c r="E2941" s="237" t="str">
        <f>IFERROR(__xludf.DUMMYFUNCTION("""COMPUTED_VALUE"""),"LT0PCI01UCDV1")</f>
        <v>LT0PCI01UCDV1</v>
      </c>
      <c r="F2941" s="238" t="str">
        <f>IFERROR(__xludf.DUMMYFUNCTION("""COMPUTED_VALUE"""),"OKQ5H03,FJP9A36")</f>
        <v>OKQ5H03,FJP9A36</v>
      </c>
      <c r="G2941" s="238">
        <f>IFERROR(__xludf.DUMMYFUNCTION("""COMPUTED_VALUE"""),46009.1875)</f>
        <v>46009.1875</v>
      </c>
      <c r="H2941" s="238">
        <f>IFERROR(__xludf.DUMMYFUNCTION("""COMPUTED_VALUE"""),46009.3125)</f>
        <v>46009.3125</v>
      </c>
      <c r="I2941" s="237" t="str">
        <f t="shared" si="1"/>
        <v>Fora</v>
      </c>
      <c r="J2941" s="239">
        <v>119.99999999301508</v>
      </c>
    </row>
    <row r="2942">
      <c r="A2942" s="234" t="s">
        <v>353</v>
      </c>
      <c r="B2942" s="234" t="str">
        <f>IFERROR(__xludf.DUMMYFUNCTION("""COMPUTED_VALUE"""),"LM Hub_SP_Guarujá")</f>
        <v>LM Hub_SP_Guarujá</v>
      </c>
      <c r="C2942" s="234" t="str">
        <f>IFERROR(__xludf.DUMMYFUNCTION("""COMPUTED_VALUE"""),"HUB-LSP-06")</f>
        <v>HUB-LSP-06</v>
      </c>
      <c r="D2942" s="234">
        <f>IFERROR(__xludf.DUMMYFUNCTION("""COMPUTED_VALUE"""),15.0)</f>
        <v>15</v>
      </c>
      <c r="E2942" s="237" t="str">
        <f>IFERROR(__xludf.DUMMYFUNCTION("""COMPUTED_VALUE"""),"LT0PCI01UD4N1")</f>
        <v>LT0PCI01UD4N1</v>
      </c>
      <c r="F2942" s="238" t="str">
        <f>IFERROR(__xludf.DUMMYFUNCTION("""COMPUTED_VALUE"""),"DIK3532")</f>
        <v>DIK3532</v>
      </c>
      <c r="G2942" s="238">
        <f>IFERROR(__xludf.DUMMYFUNCTION("""COMPUTED_VALUE"""),46009.22916666667)</f>
        <v>46009.22917</v>
      </c>
      <c r="H2942" s="238">
        <f>IFERROR(__xludf.DUMMYFUNCTION("""COMPUTED_VALUE"""),46009.3125)</f>
        <v>46009.3125</v>
      </c>
      <c r="I2942" s="237" t="str">
        <f t="shared" si="1"/>
        <v>Fora</v>
      </c>
      <c r="J2942" s="239">
        <v>119.99999999301508</v>
      </c>
    </row>
    <row r="2943">
      <c r="A2943" s="234" t="s">
        <v>354</v>
      </c>
      <c r="B2943" s="234" t="str">
        <f>IFERROR(__xludf.DUMMYFUNCTION("""COMPUTED_VALUE"""),"LM Hub_SP_Itaqua_Zimba")</f>
        <v>LM Hub_SP_Itaqua_Zimba</v>
      </c>
      <c r="C2943" s="234" t="str">
        <f>IFERROR(__xludf.DUMMYFUNCTION("""COMPUTED_VALUE"""),"HUB-LSP-74")</f>
        <v>HUB-LSP-74</v>
      </c>
      <c r="D2943" s="234">
        <f>IFERROR(__xludf.DUMMYFUNCTION("""COMPUTED_VALUE"""),36.0)</f>
        <v>36</v>
      </c>
      <c r="E2943" s="237" t="str">
        <f>IFERROR(__xludf.DUMMYFUNCTION("""COMPUTED_VALUE"""),"LT0PCI01UD4I1")</f>
        <v>LT0PCI01UD4I1</v>
      </c>
      <c r="F2943" s="238" t="str">
        <f>IFERROR(__xludf.DUMMYFUNCTION("""COMPUTED_VALUE"""),"EPU6B00,UFF0H10")</f>
        <v>EPU6B00,UFF0H10</v>
      </c>
      <c r="G2943" s="238">
        <f>IFERROR(__xludf.DUMMYFUNCTION("""COMPUTED_VALUE"""),46009.22916666667)</f>
        <v>46009.22917</v>
      </c>
      <c r="H2943" s="238">
        <f>IFERROR(__xludf.DUMMYFUNCTION("""COMPUTED_VALUE"""),46009.3125)</f>
        <v>46009.3125</v>
      </c>
      <c r="I2943" s="237" t="str">
        <f t="shared" si="1"/>
        <v>Fora</v>
      </c>
      <c r="J2943" s="239">
        <v>119.99999999301508</v>
      </c>
    </row>
    <row r="2944">
      <c r="A2944" s="234" t="s">
        <v>4406</v>
      </c>
      <c r="B2944" s="234" t="str">
        <f>IFERROR(__xludf.DUMMYFUNCTION("""COMPUTED_VALUE"""),"LM Hub_SP_São José dos Campos")</f>
        <v>LM Hub_SP_São José dos Campos</v>
      </c>
      <c r="C2944" s="234" t="str">
        <f>IFERROR(__xludf.DUMMYFUNCTION("""COMPUTED_VALUE"""),"HUB-LSP-04")</f>
        <v>HUB-LSP-04</v>
      </c>
      <c r="D2944" s="234"/>
      <c r="E2944" s="237" t="str">
        <f>IFERROR(__xludf.DUMMYFUNCTION("""COMPUTED_VALUE"""),"LT0PCI01UD4Y1")</f>
        <v>LT0PCI01UD4Y1</v>
      </c>
      <c r="F2944" s="238" t="str">
        <f>IFERROR(__xludf.DUMMYFUNCTION("""COMPUTED_VALUE"""),"DBM1893")</f>
        <v>DBM1893</v>
      </c>
      <c r="G2944" s="238">
        <f>IFERROR(__xludf.DUMMYFUNCTION("""COMPUTED_VALUE"""),46009.22916666667)</f>
        <v>46009.22917</v>
      </c>
      <c r="H2944" s="238">
        <f>IFERROR(__xludf.DUMMYFUNCTION("""COMPUTED_VALUE"""),46009.3125)</f>
        <v>46009.3125</v>
      </c>
      <c r="I2944" s="237" t="str">
        <f t="shared" si="1"/>
        <v>Fora</v>
      </c>
      <c r="J2944" s="239">
        <v>119.99999999301508</v>
      </c>
    </row>
    <row r="2945">
      <c r="A2945" s="234" t="s">
        <v>355</v>
      </c>
      <c r="B2945" s="234" t="str">
        <f>IFERROR(__xludf.DUMMYFUNCTION("""COMPUTED_VALUE"""),"LM Hub_SP_São José dos Campos")</f>
        <v>LM Hub_SP_São José dos Campos</v>
      </c>
      <c r="C2945" s="234" t="str">
        <f>IFERROR(__xludf.DUMMYFUNCTION("""COMPUTED_VALUE"""),"HUB-LSP-04")</f>
        <v>HUB-LSP-04</v>
      </c>
      <c r="D2945" s="234">
        <f>IFERROR(__xludf.DUMMYFUNCTION("""COMPUTED_VALUE"""),20.0)</f>
        <v>20</v>
      </c>
      <c r="E2945" s="237" t="str">
        <f>IFERROR(__xludf.DUMMYFUNCTION("""COMPUTED_VALUE"""),"LT0PCI01UD4Z2")</f>
        <v>LT0PCI01UD4Z2</v>
      </c>
      <c r="F2945" s="238" t="str">
        <f>IFERROR(__xludf.DUMMYFUNCTION("""COMPUTED_VALUE"""),"UGN5F59")</f>
        <v>UGN5F59</v>
      </c>
      <c r="G2945" s="238">
        <f>IFERROR(__xludf.DUMMYFUNCTION("""COMPUTED_VALUE"""),46009.22916666667)</f>
        <v>46009.22917</v>
      </c>
      <c r="H2945" s="238">
        <f>IFERROR(__xludf.DUMMYFUNCTION("""COMPUTED_VALUE"""),46009.3125)</f>
        <v>46009.3125</v>
      </c>
      <c r="I2945" s="237" t="str">
        <f t="shared" si="1"/>
        <v>Fora</v>
      </c>
      <c r="J2945" s="239">
        <v>119.99999999301508</v>
      </c>
    </row>
    <row r="2946">
      <c r="A2946" s="234" t="s">
        <v>356</v>
      </c>
      <c r="B2946" s="234" t="str">
        <f>IFERROR(__xludf.DUMMYFUNCTION("""COMPUTED_VALUE"""),"LM Hub_SP_São Paulo_Mooca")</f>
        <v>LM Hub_SP_São Paulo_Mooca</v>
      </c>
      <c r="C2946" s="234" t="str">
        <f>IFERROR(__xludf.DUMMYFUNCTION("""COMPUTED_VALUE"""),"HUB-LSP-13")</f>
        <v>HUB-LSP-13</v>
      </c>
      <c r="D2946" s="234">
        <f>IFERROR(__xludf.DUMMYFUNCTION("""COMPUTED_VALUE"""),7.0)</f>
        <v>7</v>
      </c>
      <c r="E2946" s="237" t="str">
        <f>IFERROR(__xludf.DUMMYFUNCTION("""COMPUTED_VALUE"""),"LT0PCI01U8H41")</f>
        <v>LT0PCI01U8H41</v>
      </c>
      <c r="F2946" s="238" t="str">
        <f>IFERROR(__xludf.DUMMYFUNCTION("""COMPUTED_VALUE"""),"FGI1F79")</f>
        <v>FGI1F79</v>
      </c>
      <c r="G2946" s="238">
        <f>IFERROR(__xludf.DUMMYFUNCTION("""COMPUTED_VALUE"""),46009.22916666667)</f>
        <v>46009.22917</v>
      </c>
      <c r="H2946" s="238">
        <f>IFERROR(__xludf.DUMMYFUNCTION("""COMPUTED_VALUE"""),46009.3125)</f>
        <v>46009.3125</v>
      </c>
      <c r="I2946" s="237" t="str">
        <f t="shared" si="1"/>
        <v>Fora</v>
      </c>
      <c r="J2946" s="239">
        <v>119.99999999301508</v>
      </c>
    </row>
    <row r="2947">
      <c r="A2947" s="234" t="s">
        <v>357</v>
      </c>
      <c r="B2947" s="234" t="str">
        <f>IFERROR(__xludf.DUMMYFUNCTION("""COMPUTED_VALUE"""),"LM Hub_SP_São Paulo_Mooca")</f>
        <v>LM Hub_SP_São Paulo_Mooca</v>
      </c>
      <c r="C2947" s="234" t="str">
        <f>IFERROR(__xludf.DUMMYFUNCTION("""COMPUTED_VALUE"""),"HUB-LSP-13")</f>
        <v>HUB-LSP-13</v>
      </c>
      <c r="D2947" s="234"/>
      <c r="E2947" s="237" t="str">
        <f>IFERROR(__xludf.DUMMYFUNCTION("""COMPUTED_VALUE"""),"LT0PCI01U8H62")</f>
        <v>LT0PCI01U8H62</v>
      </c>
      <c r="F2947" s="238" t="str">
        <f>IFERROR(__xludf.DUMMYFUNCTION("""COMPUTED_VALUE"""),"PEP9J38")</f>
        <v>PEP9J38</v>
      </c>
      <c r="G2947" s="238">
        <f>IFERROR(__xludf.DUMMYFUNCTION("""COMPUTED_VALUE"""),46009.22916666667)</f>
        <v>46009.22917</v>
      </c>
      <c r="H2947" s="238">
        <f>IFERROR(__xludf.DUMMYFUNCTION("""COMPUTED_VALUE"""),46009.3125)</f>
        <v>46009.3125</v>
      </c>
      <c r="I2947" s="237" t="str">
        <f t="shared" si="1"/>
        <v>Fora</v>
      </c>
      <c r="J2947" s="239">
        <v>119.00000000023283</v>
      </c>
    </row>
    <row r="2948">
      <c r="A2948" s="234" t="s">
        <v>358</v>
      </c>
      <c r="B2948" s="234" t="str">
        <f>IFERROR(__xludf.DUMMYFUNCTION("""COMPUTED_VALUE"""),"LM Hub_SP_Itapevi")</f>
        <v>LM Hub_SP_Itapevi</v>
      </c>
      <c r="C2948" s="234" t="str">
        <f>IFERROR(__xludf.DUMMYFUNCTION("""COMPUTED_VALUE"""),"HUB-LSP-41")</f>
        <v>HUB-LSP-41</v>
      </c>
      <c r="D2948" s="234">
        <f>IFERROR(__xludf.DUMMYFUNCTION("""COMPUTED_VALUE"""),5.0)</f>
        <v>5</v>
      </c>
      <c r="E2948" s="237" t="str">
        <f>IFERROR(__xludf.DUMMYFUNCTION("""COMPUTED_VALUE"""),"LT0PCI01UBWF1")</f>
        <v>LT0PCI01UBWF1</v>
      </c>
      <c r="F2948" s="238" t="str">
        <f>IFERROR(__xludf.DUMMYFUNCTION("""COMPUTED_VALUE"""),"EMU5F62,FGK3A38")</f>
        <v>EMU5F62,FGK3A38</v>
      </c>
      <c r="G2948" s="238">
        <f>IFERROR(__xludf.DUMMYFUNCTION("""COMPUTED_VALUE"""),46009.22986111111)</f>
        <v>46009.22986</v>
      </c>
      <c r="H2948" s="238">
        <f>IFERROR(__xludf.DUMMYFUNCTION("""COMPUTED_VALUE"""),46009.3125)</f>
        <v>46009.3125</v>
      </c>
      <c r="I2948" s="237" t="str">
        <f t="shared" si="1"/>
        <v>Fora</v>
      </c>
      <c r="J2948" s="239">
        <v>540.0</v>
      </c>
    </row>
    <row r="2949">
      <c r="A2949" s="234" t="s">
        <v>359</v>
      </c>
      <c r="B2949" s="234" t="str">
        <f>IFERROR(__xludf.DUMMYFUNCTION("""COMPUTED_VALUE"""),"SoC_BA_Simoes Filho")</f>
        <v>SoC_BA_Simoes Filho</v>
      </c>
      <c r="C2949" s="234" t="str">
        <f>IFERROR(__xludf.DUMMYFUNCTION("""COMPUTED_VALUE"""),"SOC-BA2")</f>
        <v>SOC-BA2</v>
      </c>
      <c r="D2949" s="234"/>
      <c r="E2949" s="237" t="str">
        <f>IFERROR(__xludf.DUMMYFUNCTION("""COMPUTED_VALUE"""),"LT1PCH01UPNK1")</f>
        <v>LT1PCH01UPNK1</v>
      </c>
      <c r="F2949" s="238" t="str">
        <f>IFERROR(__xludf.DUMMYFUNCTION("""COMPUTED_VALUE"""),"EGJ7201,JMD9631")</f>
        <v>EGJ7201,JMD9631</v>
      </c>
      <c r="G2949" s="238">
        <f>IFERROR(__xludf.DUMMYFUNCTION("""COMPUTED_VALUE"""),46008.95833333333)</f>
        <v>46008.95833</v>
      </c>
      <c r="H2949" s="238">
        <f>IFERROR(__xludf.DUMMYFUNCTION("""COMPUTED_VALUE"""),46009.33333333333)</f>
        <v>46009.33333</v>
      </c>
      <c r="I2949" s="237" t="str">
        <f t="shared" si="1"/>
        <v>Fora</v>
      </c>
      <c r="J2949" s="239">
        <v>540.0</v>
      </c>
    </row>
    <row r="2950">
      <c r="A2950" s="234" t="s">
        <v>360</v>
      </c>
      <c r="B2950" s="234" t="str">
        <f>IFERROR(__xludf.DUMMYFUNCTION("""COMPUTED_VALUE"""),"SoC_BA_Simoes Filho")</f>
        <v>SoC_BA_Simoes Filho</v>
      </c>
      <c r="C2950" s="234" t="str">
        <f>IFERROR(__xludf.DUMMYFUNCTION("""COMPUTED_VALUE"""),"SOC-BA2")</f>
        <v>SOC-BA2</v>
      </c>
      <c r="D2950" s="234"/>
      <c r="E2950" s="237" t="str">
        <f>IFERROR(__xludf.DUMMYFUNCTION("""COMPUTED_VALUE"""),"LT1PCH01UQAV1")</f>
        <v>LT1PCH01UQAV1</v>
      </c>
      <c r="F2950" s="238" t="str">
        <f>IFERROR(__xludf.DUMMYFUNCTION("""COMPUTED_VALUE"""),"GVQ4C55,EFW2E85")</f>
        <v>GVQ4C55,EFW2E85</v>
      </c>
      <c r="G2950" s="238">
        <f>IFERROR(__xludf.DUMMYFUNCTION("""COMPUTED_VALUE"""),46008.95833333333)</f>
        <v>46008.95833</v>
      </c>
      <c r="H2950" s="238">
        <f>IFERROR(__xludf.DUMMYFUNCTION("""COMPUTED_VALUE"""),46009.33333333333)</f>
        <v>46009.33333</v>
      </c>
      <c r="I2950" s="237" t="str">
        <f t="shared" si="1"/>
        <v>Fora</v>
      </c>
      <c r="J2950" s="239">
        <v>718.0000000144355</v>
      </c>
    </row>
    <row r="2951">
      <c r="A2951" s="234" t="s">
        <v>361</v>
      </c>
      <c r="B2951" s="234" t="str">
        <f>IFERROR(__xludf.DUMMYFUNCTION("""COMPUTED_VALUE"""),"SoC_GO_Goiânia_02")</f>
        <v>SoC_GO_Goiânia_02</v>
      </c>
      <c r="C2951" s="234" t="str">
        <f>IFERROR(__xludf.DUMMYFUNCTION("""COMPUTED_VALUE"""),"SOC-GO2")</f>
        <v>SOC-GO2</v>
      </c>
      <c r="D2951" s="234"/>
      <c r="E2951" s="237" t="str">
        <f>IFERROR(__xludf.DUMMYFUNCTION("""COMPUTED_VALUE"""),"LT0PCH01UI7F3")</f>
        <v>LT0PCH01UI7F3</v>
      </c>
      <c r="F2951" s="238" t="str">
        <f>IFERROR(__xludf.DUMMYFUNCTION("""COMPUTED_VALUE"""),"RNB8G81,RFD3C52")</f>
        <v>RNB8G81,RFD3C52</v>
      </c>
      <c r="G2951" s="238">
        <f>IFERROR(__xludf.DUMMYFUNCTION("""COMPUTED_VALUE"""),46009.29305555555)</f>
        <v>46009.29306</v>
      </c>
      <c r="H2951" s="238">
        <f>IFERROR(__xludf.DUMMYFUNCTION("""COMPUTED_VALUE"""),46009.79166666667)</f>
        <v>46009.79167</v>
      </c>
      <c r="I2951" s="237" t="str">
        <f t="shared" si="1"/>
        <v>Fora</v>
      </c>
      <c r="J2951" s="239">
        <v>119.99999999301508</v>
      </c>
    </row>
    <row r="2952">
      <c r="A2952" s="234" t="s">
        <v>4407</v>
      </c>
      <c r="B2952" s="234" t="str">
        <f>IFERROR(__xludf.DUMMYFUNCTION("""COMPUTED_VALUE"""),"LM Hub_PR_SaoJosedosPinhais")</f>
        <v>LM Hub_PR_SaoJosedosPinhais</v>
      </c>
      <c r="C2952" s="234" t="str">
        <f>IFERROR(__xludf.DUMMYFUNCTION("""COMPUTED_VALUE"""),"HUB-LPR-24")</f>
        <v>HUB-LPR-24</v>
      </c>
      <c r="D2952" s="234">
        <f>IFERROR(__xludf.DUMMYFUNCTION("""COMPUTED_VALUE"""),22.0)</f>
        <v>22</v>
      </c>
      <c r="E2952" s="237" t="str">
        <f>IFERROR(__xludf.DUMMYFUNCTION("""COMPUTED_VALUE"""),"LT0PCI01UI5E1")</f>
        <v>LT0PCI01UI5E1</v>
      </c>
      <c r="F2952" s="238" t="str">
        <f>IFERROR(__xludf.DUMMYFUNCTION("""COMPUTED_VALUE"""),"AXN8C22,AXZ8I85")</f>
        <v>AXN8C22,AXZ8I85</v>
      </c>
      <c r="G2952" s="238">
        <f>IFERROR(__xludf.DUMMYFUNCTION("""COMPUTED_VALUE"""),46009.875)</f>
        <v>46009.875</v>
      </c>
      <c r="H2952" s="238">
        <f>IFERROR(__xludf.DUMMYFUNCTION("""COMPUTED_VALUE"""),46009.95833333333)</f>
        <v>46009.95833</v>
      </c>
      <c r="I2952" s="237" t="str">
        <f t="shared" si="1"/>
        <v>Fora</v>
      </c>
      <c r="J2952" s="239">
        <v>120.00000001396984</v>
      </c>
    </row>
    <row r="2953">
      <c r="A2953" s="234" t="s">
        <v>4408</v>
      </c>
      <c r="B2953" s="234" t="str">
        <f>IFERROR(__xludf.DUMMYFUNCTION("""COMPUTED_VALUE"""),"LM Hub_SP_Itaqua_Zimba")</f>
        <v>LM Hub_SP_Itaqua_Zimba</v>
      </c>
      <c r="C2953" s="234" t="str">
        <f>IFERROR(__xludf.DUMMYFUNCTION("""COMPUTED_VALUE"""),"HUB-LSP-74")</f>
        <v>HUB-LSP-74</v>
      </c>
      <c r="D2953" s="234"/>
      <c r="E2953" s="237" t="str">
        <f>IFERROR(__xludf.DUMMYFUNCTION("""COMPUTED_VALUE"""),"LT0PCI01UBX91")</f>
        <v>LT0PCI01UBX91</v>
      </c>
      <c r="F2953" s="238" t="str">
        <f>IFERROR(__xludf.DUMMYFUNCTION("""COMPUTED_VALUE"""),"TIZ8A99,TLG4I97")</f>
        <v>TIZ8A99,TLG4I97</v>
      </c>
      <c r="G2953" s="238">
        <f>IFERROR(__xludf.DUMMYFUNCTION("""COMPUTED_VALUE"""),46009.89583333333)</f>
        <v>46009.89583</v>
      </c>
      <c r="H2953" s="238">
        <f>IFERROR(__xludf.DUMMYFUNCTION("""COMPUTED_VALUE"""),46009.97916666667)</f>
        <v>46009.97917</v>
      </c>
      <c r="I2953" s="237" t="str">
        <f t="shared" si="1"/>
        <v>Fora</v>
      </c>
      <c r="J2953" s="239">
        <v>120.00000001396984</v>
      </c>
    </row>
    <row r="2954">
      <c r="A2954" s="234" t="s">
        <v>4409</v>
      </c>
      <c r="B2954" s="234" t="str">
        <f>IFERROR(__xludf.DUMMYFUNCTION("""COMPUTED_VALUE"""),"LM Hub_SP_Mogi das Cruzes_Jund")</f>
        <v>LM Hub_SP_Mogi das Cruzes_Jund</v>
      </c>
      <c r="C2954" s="234" t="str">
        <f>IFERROR(__xludf.DUMMYFUNCTION("""COMPUTED_VALUE"""),"HUB-LSP-78")</f>
        <v>HUB-LSP-78</v>
      </c>
      <c r="D2954" s="234"/>
      <c r="E2954" s="237" t="str">
        <f>IFERROR(__xludf.DUMMYFUNCTION("""COMPUTED_VALUE"""),"LT0PCI01UF3U1")</f>
        <v>LT0PCI01UF3U1</v>
      </c>
      <c r="F2954" s="238" t="str">
        <f>IFERROR(__xludf.DUMMYFUNCTION("""COMPUTED_VALUE"""),"DPR5J10,FVZ1I26")</f>
        <v>DPR5J10,FVZ1I26</v>
      </c>
      <c r="G2954" s="238">
        <f>IFERROR(__xludf.DUMMYFUNCTION("""COMPUTED_VALUE"""),46009.89583333333)</f>
        <v>46009.89583</v>
      </c>
      <c r="H2954" s="238">
        <f>IFERROR(__xludf.DUMMYFUNCTION("""COMPUTED_VALUE"""),46009.97916666667)</f>
        <v>46009.97917</v>
      </c>
      <c r="I2954" s="237" t="str">
        <f t="shared" si="1"/>
        <v>Fora</v>
      </c>
      <c r="J2954" s="239">
        <v>120.00000001396984</v>
      </c>
    </row>
    <row r="2955">
      <c r="A2955" s="234" t="s">
        <v>4410</v>
      </c>
      <c r="B2955" s="234" t="str">
        <f>IFERROR(__xludf.DUMMYFUNCTION("""COMPUTED_VALUE"""),"LM Hub_SP_Santos_Praia Grande")</f>
        <v>LM Hub_SP_Santos_Praia Grande</v>
      </c>
      <c r="C2955" s="234" t="str">
        <f>IFERROR(__xludf.DUMMYFUNCTION("""COMPUTED_VALUE"""),"HUB-LSP-09")</f>
        <v>HUB-LSP-09</v>
      </c>
      <c r="D2955" s="234">
        <f>IFERROR(__xludf.DUMMYFUNCTION("""COMPUTED_VALUE"""),32.0)</f>
        <v>32</v>
      </c>
      <c r="E2955" s="237" t="str">
        <f>IFERROR(__xludf.DUMMYFUNCTION("""COMPUTED_VALUE"""),"LT0PCI01UBZ51")</f>
        <v>LT0PCI01UBZ51</v>
      </c>
      <c r="F2955" s="238" t="str">
        <f>IFERROR(__xludf.DUMMYFUNCTION("""COMPUTED_VALUE"""),"GDY7I04,GGX4993")</f>
        <v>GDY7I04,GGX4993</v>
      </c>
      <c r="G2955" s="238">
        <f>IFERROR(__xludf.DUMMYFUNCTION("""COMPUTED_VALUE"""),46009.89583333333)</f>
        <v>46009.89583</v>
      </c>
      <c r="H2955" s="238">
        <f>IFERROR(__xludf.DUMMYFUNCTION("""COMPUTED_VALUE"""),46009.97916666667)</f>
        <v>46009.97917</v>
      </c>
      <c r="I2955" s="237" t="str">
        <f t="shared" si="1"/>
        <v>Fora</v>
      </c>
      <c r="J2955" s="239">
        <v>120.00000001396984</v>
      </c>
    </row>
    <row r="2956">
      <c r="A2956" s="234" t="s">
        <v>4411</v>
      </c>
      <c r="B2956" s="234" t="str">
        <f>IFERROR(__xludf.DUMMYFUNCTION("""COMPUTED_VALUE"""),"LM Hub_SP_São Paulo_Lapa")</f>
        <v>LM Hub_SP_São Paulo_Lapa</v>
      </c>
      <c r="C2956" s="234" t="str">
        <f>IFERROR(__xludf.DUMMYFUNCTION("""COMPUTED_VALUE"""),"HUB-LSP-15")</f>
        <v>HUB-LSP-15</v>
      </c>
      <c r="D2956" s="234"/>
      <c r="E2956" s="237" t="str">
        <f>IFERROR(__xludf.DUMMYFUNCTION("""COMPUTED_VALUE"""),"LT0PCI01UBVQ1")</f>
        <v>LT0PCI01UBVQ1</v>
      </c>
      <c r="F2956" s="238" t="str">
        <f>IFERROR(__xludf.DUMMYFUNCTION("""COMPUTED_VALUE"""),"FEQ5G38,DBM6B83")</f>
        <v>FEQ5G38,DBM6B83</v>
      </c>
      <c r="G2956" s="238">
        <f>IFERROR(__xludf.DUMMYFUNCTION("""COMPUTED_VALUE"""),46009.89583333333)</f>
        <v>46009.89583</v>
      </c>
      <c r="H2956" s="238">
        <f>IFERROR(__xludf.DUMMYFUNCTION("""COMPUTED_VALUE"""),46009.97916666667)</f>
        <v>46009.97917</v>
      </c>
      <c r="I2956" s="237" t="str">
        <f t="shared" si="1"/>
        <v>Fora</v>
      </c>
      <c r="J2956" s="239">
        <v>119.00000001071021</v>
      </c>
    </row>
    <row r="2957">
      <c r="A2957" s="234" t="s">
        <v>4412</v>
      </c>
      <c r="B2957" s="234" t="str">
        <f>IFERROR(__xludf.DUMMYFUNCTION("""COMPUTED_VALUE"""),"LM Hub_SP_Jurubatuba")</f>
        <v>LM Hub_SP_Jurubatuba</v>
      </c>
      <c r="C2957" s="234" t="str">
        <f>IFERROR(__xludf.DUMMYFUNCTION("""COMPUTED_VALUE"""),"HUB-LSP-16")</f>
        <v>HUB-LSP-16</v>
      </c>
      <c r="D2957" s="234"/>
      <c r="E2957" s="237" t="str">
        <f>IFERROR(__xludf.DUMMYFUNCTION("""COMPUTED_VALUE"""),"LT0PCI01U8821")</f>
        <v>LT0PCI01U8821</v>
      </c>
      <c r="F2957" s="238" t="str">
        <f>IFERROR(__xludf.DUMMYFUNCTION("""COMPUTED_VALUE"""),"DTD4722,NCK7E66")</f>
        <v>DTD4722,NCK7E66</v>
      </c>
      <c r="G2957" s="238">
        <f>IFERROR(__xludf.DUMMYFUNCTION("""COMPUTED_VALUE"""),46009.896527777775)</f>
        <v>46009.89653</v>
      </c>
      <c r="H2957" s="238">
        <f>IFERROR(__xludf.DUMMYFUNCTION("""COMPUTED_VALUE"""),46009.97916666667)</f>
        <v>46009.97917</v>
      </c>
      <c r="I2957" s="237" t="str">
        <f t="shared" si="1"/>
        <v>Fora</v>
      </c>
      <c r="J2957" s="239">
        <v>118.00000000745058</v>
      </c>
    </row>
    <row r="2958">
      <c r="A2958" s="234" t="s">
        <v>4413</v>
      </c>
      <c r="B2958" s="234" t="str">
        <f>IFERROR(__xludf.DUMMYFUNCTION("""COMPUTED_VALUE"""),"LM Hub_SP_São José dos Campos")</f>
        <v>LM Hub_SP_São José dos Campos</v>
      </c>
      <c r="C2958" s="234" t="str">
        <f>IFERROR(__xludf.DUMMYFUNCTION("""COMPUTED_VALUE"""),"HUB-LSP-04")</f>
        <v>HUB-LSP-04</v>
      </c>
      <c r="D2958" s="234"/>
      <c r="E2958" s="237" t="str">
        <f>IFERROR(__xludf.DUMMYFUNCTION("""COMPUTED_VALUE"""),"LT0PCI01U88S1")</f>
        <v>LT0PCI01U88S1</v>
      </c>
      <c r="F2958" s="238" t="str">
        <f>IFERROR(__xludf.DUMMYFUNCTION("""COMPUTED_VALUE"""),"TIR7J78")</f>
        <v>TIR7J78</v>
      </c>
      <c r="G2958" s="238">
        <f>IFERROR(__xludf.DUMMYFUNCTION("""COMPUTED_VALUE"""),46009.89722222222)</f>
        <v>46009.89722</v>
      </c>
      <c r="H2958" s="238">
        <f>IFERROR(__xludf.DUMMYFUNCTION("""COMPUTED_VALUE"""),46009.97916666667)</f>
        <v>46009.97917</v>
      </c>
      <c r="I2958" s="237" t="str">
        <f t="shared" si="1"/>
        <v>Fora</v>
      </c>
      <c r="J2958" s="239">
        <v>119.99999999301508</v>
      </c>
    </row>
    <row r="2959">
      <c r="A2959" s="234" t="s">
        <v>4414</v>
      </c>
      <c r="B2959" s="234" t="str">
        <f>IFERROR(__xludf.DUMMYFUNCTION("""COMPUTED_VALUE"""),"LM Hub_SP_Artur Alvim")</f>
        <v>LM Hub_SP_Artur Alvim</v>
      </c>
      <c r="C2959" s="234" t="str">
        <f>IFERROR(__xludf.DUMMYFUNCTION("""COMPUTED_VALUE"""),"HUB-LSP-07")</f>
        <v>HUB-LSP-07</v>
      </c>
      <c r="D2959" s="234">
        <f>IFERROR(__xludf.DUMMYFUNCTION("""COMPUTED_VALUE"""),13.0)</f>
        <v>13</v>
      </c>
      <c r="E2959" s="237" t="str">
        <f>IFERROR(__xludf.DUMMYFUNCTION("""COMPUTED_VALUE"""),"LT0PCI01UBVB1")</f>
        <v>LT0PCI01UBVB1</v>
      </c>
      <c r="F2959" s="238" t="str">
        <f>IFERROR(__xludf.DUMMYFUNCTION("""COMPUTED_VALUE"""),"DVT5D28,DTC7I46")</f>
        <v>DVT5D28,DTC7I46</v>
      </c>
      <c r="G2959" s="238">
        <f>IFERROR(__xludf.DUMMYFUNCTION("""COMPUTED_VALUE"""),46009.91666666667)</f>
        <v>46009.91667</v>
      </c>
      <c r="H2959" s="238">
        <f>IFERROR(__xludf.DUMMYFUNCTION("""COMPUTED_VALUE"""),46010.0)</f>
        <v>46010</v>
      </c>
      <c r="I2959" s="237" t="str">
        <f t="shared" si="1"/>
        <v>Fora</v>
      </c>
      <c r="J2959" s="239">
        <v>119.99999999301508</v>
      </c>
    </row>
    <row r="2960">
      <c r="A2960" s="234" t="s">
        <v>4415</v>
      </c>
      <c r="B2960" s="234" t="str">
        <f>IFERROR(__xludf.DUMMYFUNCTION("""COMPUTED_VALUE"""),"LM Hub_SP_Guarulhos")</f>
        <v>LM Hub_SP_Guarulhos</v>
      </c>
      <c r="C2960" s="234" t="str">
        <f>IFERROR(__xludf.DUMMYFUNCTION("""COMPUTED_VALUE"""),"HUB-LSP-77")</f>
        <v>HUB-LSP-77</v>
      </c>
      <c r="D2960" s="234"/>
      <c r="E2960" s="237" t="str">
        <f>IFERROR(__xludf.DUMMYFUNCTION("""COMPUTED_VALUE"""),"LT0PCI01UCMT1")</f>
        <v>LT0PCI01UCMT1</v>
      </c>
      <c r="F2960" s="238" t="str">
        <f>IFERROR(__xludf.DUMMYFUNCTION("""COMPUTED_VALUE"""),"FEB5I21,FRT9A70")</f>
        <v>FEB5I21,FRT9A70</v>
      </c>
      <c r="G2960" s="238">
        <f>IFERROR(__xludf.DUMMYFUNCTION("""COMPUTED_VALUE"""),46009.91666666667)</f>
        <v>46009.91667</v>
      </c>
      <c r="H2960" s="238">
        <f>IFERROR(__xludf.DUMMYFUNCTION("""COMPUTED_VALUE"""),46010.0)</f>
        <v>46010</v>
      </c>
      <c r="I2960" s="237" t="str">
        <f t="shared" si="1"/>
        <v>Fora</v>
      </c>
      <c r="J2960" s="239">
        <v>119.99999999301508</v>
      </c>
    </row>
    <row r="2961">
      <c r="A2961" s="234" t="s">
        <v>4416</v>
      </c>
      <c r="B2961" s="234" t="str">
        <f>IFERROR(__xludf.DUMMYFUNCTION("""COMPUTED_VALUE"""),"LM Hub_SP_Itapevi")</f>
        <v>LM Hub_SP_Itapevi</v>
      </c>
      <c r="C2961" s="234" t="str">
        <f>IFERROR(__xludf.DUMMYFUNCTION("""COMPUTED_VALUE"""),"HUB-LSP-41")</f>
        <v>HUB-LSP-41</v>
      </c>
      <c r="D2961" s="234">
        <f>IFERROR(__xludf.DUMMYFUNCTION("""COMPUTED_VALUE"""),39.0)</f>
        <v>39</v>
      </c>
      <c r="E2961" s="237" t="str">
        <f>IFERROR(__xludf.DUMMYFUNCTION("""COMPUTED_VALUE"""),"LT0PCI01UBWL1")</f>
        <v>LT0PCI01UBWL1</v>
      </c>
      <c r="F2961" s="238" t="str">
        <f>IFERROR(__xludf.DUMMYFUNCTION("""COMPUTED_VALUE"""),"DPF6F59")</f>
        <v>DPF6F59</v>
      </c>
      <c r="G2961" s="238">
        <f>IFERROR(__xludf.DUMMYFUNCTION("""COMPUTED_VALUE"""),46009.91666666667)</f>
        <v>46009.91667</v>
      </c>
      <c r="H2961" s="238">
        <f>IFERROR(__xludf.DUMMYFUNCTION("""COMPUTED_VALUE"""),46010.0)</f>
        <v>46010</v>
      </c>
      <c r="I2961" s="237" t="str">
        <f t="shared" si="1"/>
        <v>Fora</v>
      </c>
      <c r="J2961" s="239">
        <v>119.99999999301508</v>
      </c>
    </row>
    <row r="2962">
      <c r="A2962" s="234" t="s">
        <v>4417</v>
      </c>
      <c r="B2962" s="234" t="str">
        <f>IFERROR(__xludf.DUMMYFUNCTION("""COMPUTED_VALUE"""),"LM Hub_SP_Jardim Adriana")</f>
        <v>LM Hub_SP_Jardim Adriana</v>
      </c>
      <c r="C2962" s="234" t="str">
        <f>IFERROR(__xludf.DUMMYFUNCTION("""COMPUTED_VALUE"""),"HUB-LSP-12")</f>
        <v>HUB-LSP-12</v>
      </c>
      <c r="D2962" s="234">
        <f>IFERROR(__xludf.DUMMYFUNCTION("""COMPUTED_VALUE"""),7.0)</f>
        <v>7</v>
      </c>
      <c r="E2962" s="237" t="str">
        <f>IFERROR(__xludf.DUMMYFUNCTION("""COMPUTED_VALUE"""),"LT1PCI01URZI1")</f>
        <v>LT1PCI01URZI1</v>
      </c>
      <c r="F2962" s="238" t="str">
        <f>IFERROR(__xludf.DUMMYFUNCTION("""COMPUTED_VALUE"""),"CUA4J46")</f>
        <v>CUA4J46</v>
      </c>
      <c r="G2962" s="238">
        <f>IFERROR(__xludf.DUMMYFUNCTION("""COMPUTED_VALUE"""),46009.91666666667)</f>
        <v>46009.91667</v>
      </c>
      <c r="H2962" s="238">
        <f>IFERROR(__xludf.DUMMYFUNCTION("""COMPUTED_VALUE"""),46010.0)</f>
        <v>46010</v>
      </c>
      <c r="I2962" s="237" t="str">
        <f t="shared" si="1"/>
        <v>Fora</v>
      </c>
      <c r="J2962" s="239">
        <v>119.99999999301508</v>
      </c>
    </row>
    <row r="2963">
      <c r="A2963" s="234" t="s">
        <v>4418</v>
      </c>
      <c r="B2963" s="234" t="str">
        <f>IFERROR(__xludf.DUMMYFUNCTION("""COMPUTED_VALUE"""),"LM Hub_SP_Limeira_Campo Belo")</f>
        <v>LM Hub_SP_Limeira_Campo Belo</v>
      </c>
      <c r="C2963" s="234" t="str">
        <f>IFERROR(__xludf.DUMMYFUNCTION("""COMPUTED_VALUE"""),"HUB-LSP-24")</f>
        <v>HUB-LSP-24</v>
      </c>
      <c r="D2963" s="234"/>
      <c r="E2963" s="237" t="str">
        <f>IFERROR(__xludf.DUMMYFUNCTION("""COMPUTED_VALUE"""),"LT0PCI01UBZS1")</f>
        <v>LT0PCI01UBZS1</v>
      </c>
      <c r="F2963" s="238" t="str">
        <f>IFERROR(__xludf.DUMMYFUNCTION("""COMPUTED_VALUE"""),"FNU0D51,RXK7160")</f>
        <v>FNU0D51,RXK7160</v>
      </c>
      <c r="G2963" s="238">
        <f>IFERROR(__xludf.DUMMYFUNCTION("""COMPUTED_VALUE"""),46009.91666666667)</f>
        <v>46009.91667</v>
      </c>
      <c r="H2963" s="238">
        <f>IFERROR(__xludf.DUMMYFUNCTION("""COMPUTED_VALUE"""),46010.0)</f>
        <v>46010</v>
      </c>
      <c r="I2963" s="237" t="str">
        <f t="shared" si="1"/>
        <v>Fora</v>
      </c>
      <c r="J2963" s="239">
        <v>119.99999999301508</v>
      </c>
    </row>
    <row r="2964">
      <c r="A2964" s="234" t="s">
        <v>4419</v>
      </c>
      <c r="B2964" s="234" t="str">
        <f>IFERROR(__xludf.DUMMYFUNCTION("""COMPUTED_VALUE"""),"LM Hub_SP_Mauá")</f>
        <v>LM Hub_SP_Mauá</v>
      </c>
      <c r="C2964" s="234" t="str">
        <f>IFERROR(__xludf.DUMMYFUNCTION("""COMPUTED_VALUE"""),"HUB-LSP-64")</f>
        <v>HUB-LSP-64</v>
      </c>
      <c r="D2964" s="234"/>
      <c r="E2964" s="237" t="str">
        <f>IFERROR(__xludf.DUMMYFUNCTION("""COMPUTED_VALUE"""),"LT0PCI01UBX11")</f>
        <v>LT0PCI01UBX11</v>
      </c>
      <c r="F2964" s="238" t="str">
        <f>IFERROR(__xludf.DUMMYFUNCTION("""COMPUTED_VALUE"""),"FQF6B98,DTA7802")</f>
        <v>FQF6B98,DTA7802</v>
      </c>
      <c r="G2964" s="238">
        <f>IFERROR(__xludf.DUMMYFUNCTION("""COMPUTED_VALUE"""),46009.91666666667)</f>
        <v>46009.91667</v>
      </c>
      <c r="H2964" s="238">
        <f>IFERROR(__xludf.DUMMYFUNCTION("""COMPUTED_VALUE"""),46010.0)</f>
        <v>46010</v>
      </c>
      <c r="I2964" s="237" t="str">
        <f t="shared" si="1"/>
        <v>Fora</v>
      </c>
      <c r="J2964" s="239">
        <v>119.99999999301508</v>
      </c>
    </row>
    <row r="2965">
      <c r="A2965" s="234" t="s">
        <v>4420</v>
      </c>
      <c r="B2965" s="234" t="str">
        <f>IFERROR(__xludf.DUMMYFUNCTION("""COMPUTED_VALUE"""),"LM Hub_SP_Osasco_02")</f>
        <v>LM Hub_SP_Osasco_02</v>
      </c>
      <c r="C2965" s="234" t="str">
        <f>IFERROR(__xludf.DUMMYFUNCTION("""COMPUTED_VALUE"""),"HUB-LSP-60")</f>
        <v>HUB-LSP-60</v>
      </c>
      <c r="D2965" s="234">
        <f>IFERROR(__xludf.DUMMYFUNCTION("""COMPUTED_VALUE"""),27.0)</f>
        <v>27</v>
      </c>
      <c r="E2965" s="237" t="str">
        <f>IFERROR(__xludf.DUMMYFUNCTION("""COMPUTED_VALUE"""),"LT0PCI01UBWS1")</f>
        <v>LT0PCI01UBWS1</v>
      </c>
      <c r="F2965" s="238" t="str">
        <f>IFERROR(__xludf.DUMMYFUNCTION("""COMPUTED_VALUE"""),"MKN4B81,TKJ4H92")</f>
        <v>MKN4B81,TKJ4H92</v>
      </c>
      <c r="G2965" s="238">
        <f>IFERROR(__xludf.DUMMYFUNCTION("""COMPUTED_VALUE"""),46009.91666666667)</f>
        <v>46009.91667</v>
      </c>
      <c r="H2965" s="238">
        <f>IFERROR(__xludf.DUMMYFUNCTION("""COMPUTED_VALUE"""),46010.0)</f>
        <v>46010</v>
      </c>
      <c r="I2965" s="237" t="str">
        <f t="shared" si="1"/>
        <v>Fora</v>
      </c>
      <c r="J2965" s="239">
        <v>119.99999999301508</v>
      </c>
    </row>
    <row r="2966">
      <c r="A2966" s="234" t="s">
        <v>4421</v>
      </c>
      <c r="B2966" s="234" t="str">
        <f>IFERROR(__xludf.DUMMYFUNCTION("""COMPUTED_VALUE"""),"LM Hub_SP_Santo André")</f>
        <v>LM Hub_SP_Santo André</v>
      </c>
      <c r="C2966" s="234" t="str">
        <f>IFERROR(__xludf.DUMMYFUNCTION("""COMPUTED_VALUE"""),"HUB-LSP-93")</f>
        <v>HUB-LSP-93</v>
      </c>
      <c r="D2966" s="234"/>
      <c r="E2966" s="237" t="str">
        <f>IFERROR(__xludf.DUMMYFUNCTION("""COMPUTED_VALUE"""),"LT0PCI01UETY1")</f>
        <v>LT0PCI01UETY1</v>
      </c>
      <c r="F2966" s="238" t="str">
        <f>IFERROR(__xludf.DUMMYFUNCTION("""COMPUTED_VALUE"""),"AUH5C55,AXE8E39")</f>
        <v>AUH5C55,AXE8E39</v>
      </c>
      <c r="G2966" s="238">
        <f>IFERROR(__xludf.DUMMYFUNCTION("""COMPUTED_VALUE"""),46009.91666666667)</f>
        <v>46009.91667</v>
      </c>
      <c r="H2966" s="238">
        <f>IFERROR(__xludf.DUMMYFUNCTION("""COMPUTED_VALUE"""),46010.0)</f>
        <v>46010</v>
      </c>
      <c r="I2966" s="237" t="str">
        <f t="shared" si="1"/>
        <v>Fora</v>
      </c>
      <c r="J2966" s="239">
        <v>119.99999999301508</v>
      </c>
    </row>
    <row r="2967">
      <c r="A2967" s="234" t="s">
        <v>4422</v>
      </c>
      <c r="B2967" s="234" t="str">
        <f>IFERROR(__xludf.DUMMYFUNCTION("""COMPUTED_VALUE"""),"LM Hub_SP_São José do Rio P")</f>
        <v>LM Hub_SP_São José do Rio P</v>
      </c>
      <c r="C2967" s="234" t="str">
        <f>IFERROR(__xludf.DUMMYFUNCTION("""COMPUTED_VALUE"""),"HUB-LSP-27")</f>
        <v>HUB-LSP-27</v>
      </c>
      <c r="D2967" s="234">
        <f>IFERROR(__xludf.DUMMYFUNCTION("""COMPUTED_VALUE"""),40.0)</f>
        <v>40</v>
      </c>
      <c r="E2967" s="237" t="str">
        <f>IFERROR(__xludf.DUMMYFUNCTION("""COMPUTED_VALUE"""),"LT0PCI01UGB21")</f>
        <v>LT0PCI01UGB21</v>
      </c>
      <c r="F2967" s="238" t="str">
        <f>IFERROR(__xludf.DUMMYFUNCTION("""COMPUTED_VALUE"""),"SDW9F30,BEQ3E22")</f>
        <v>SDW9F30,BEQ3E22</v>
      </c>
      <c r="G2967" s="238">
        <f>IFERROR(__xludf.DUMMYFUNCTION("""COMPUTED_VALUE"""),46009.91666666667)</f>
        <v>46009.91667</v>
      </c>
      <c r="H2967" s="238">
        <f>IFERROR(__xludf.DUMMYFUNCTION("""COMPUTED_VALUE"""),46010.0)</f>
        <v>46010</v>
      </c>
      <c r="I2967" s="237" t="str">
        <f t="shared" si="1"/>
        <v>Fora</v>
      </c>
      <c r="J2967" s="239">
        <v>119.00000000023283</v>
      </c>
    </row>
    <row r="2968">
      <c r="A2968" s="234" t="s">
        <v>4423</v>
      </c>
      <c r="B2968" s="234" t="str">
        <f>IFERROR(__xludf.DUMMYFUNCTION("""COMPUTED_VALUE"""),"LM Hub_SP_Barueri_01")</f>
        <v>LM Hub_SP_Barueri_01</v>
      </c>
      <c r="C2968" s="234" t="str">
        <f>IFERROR(__xludf.DUMMYFUNCTION("""COMPUTED_VALUE"""),"HUB-LSP-81")</f>
        <v>HUB-LSP-81</v>
      </c>
      <c r="D2968" s="234">
        <f>IFERROR(__xludf.DUMMYFUNCTION("""COMPUTED_VALUE"""),12.0)</f>
        <v>12</v>
      </c>
      <c r="E2968" s="237" t="str">
        <f>IFERROR(__xludf.DUMMYFUNCTION("""COMPUTED_VALUE"""),"LT0PCI01UK3D1")</f>
        <v>LT0PCI01UK3D1</v>
      </c>
      <c r="F2968" s="238" t="str">
        <f>IFERROR(__xludf.DUMMYFUNCTION("""COMPUTED_VALUE"""),"ATG7J03,CZB4E38")</f>
        <v>ATG7J03,CZB4E38</v>
      </c>
      <c r="G2968" s="238">
        <f>IFERROR(__xludf.DUMMYFUNCTION("""COMPUTED_VALUE"""),46009.91736111111)</f>
        <v>46009.91736</v>
      </c>
      <c r="H2968" s="238">
        <f>IFERROR(__xludf.DUMMYFUNCTION("""COMPUTED_VALUE"""),46010.0)</f>
        <v>46010</v>
      </c>
      <c r="I2968" s="237" t="str">
        <f t="shared" si="1"/>
        <v>Fora</v>
      </c>
      <c r="J2968" s="239">
        <v>119.99999999301508</v>
      </c>
    </row>
    <row r="2969">
      <c r="A2969" s="234" t="s">
        <v>4424</v>
      </c>
      <c r="B2969" s="234" t="str">
        <f>IFERROR(__xludf.DUMMYFUNCTION("""COMPUTED_VALUE"""),"LM Hub_SP_Jardim Adriana")</f>
        <v>LM Hub_SP_Jardim Adriana</v>
      </c>
      <c r="C2969" s="234" t="str">
        <f>IFERROR(__xludf.DUMMYFUNCTION("""COMPUTED_VALUE"""),"HUB-LSP-12")</f>
        <v>HUB-LSP-12</v>
      </c>
      <c r="D2969" s="234">
        <f>IFERROR(__xludf.DUMMYFUNCTION("""COMPUTED_VALUE"""),6.0)</f>
        <v>6</v>
      </c>
      <c r="E2969" s="237" t="str">
        <f>IFERROR(__xludf.DUMMYFUNCTION("""COMPUTED_VALUE"""),"LT0PCI01UBVI1")</f>
        <v>LT0PCI01UBVI1</v>
      </c>
      <c r="F2969" s="238" t="str">
        <f>IFERROR(__xludf.DUMMYFUNCTION("""COMPUTED_VALUE"""),"DJB5B15")</f>
        <v>DJB5B15</v>
      </c>
      <c r="G2969" s="238">
        <f>IFERROR(__xludf.DUMMYFUNCTION("""COMPUTED_VALUE"""),46009.9375)</f>
        <v>46009.9375</v>
      </c>
      <c r="H2969" s="238">
        <f>IFERROR(__xludf.DUMMYFUNCTION("""COMPUTED_VALUE"""),46010.02083333333)</f>
        <v>46010.02083</v>
      </c>
      <c r="I2969" s="237" t="str">
        <f t="shared" si="1"/>
        <v>Fora</v>
      </c>
      <c r="J2969" s="239">
        <v>119.99999999301508</v>
      </c>
    </row>
    <row r="2970">
      <c r="A2970" s="234" t="s">
        <v>4425</v>
      </c>
      <c r="B2970" s="234" t="str">
        <f>IFERROR(__xludf.DUMMYFUNCTION("""COMPUTED_VALUE"""),"LM Hub_SP_Piracicaba")</f>
        <v>LM Hub_SP_Piracicaba</v>
      </c>
      <c r="C2970" s="234" t="str">
        <f>IFERROR(__xludf.DUMMYFUNCTION("""COMPUTED_VALUE"""),"HUB-LSP-62")</f>
        <v>HUB-LSP-62</v>
      </c>
      <c r="D2970" s="234">
        <f>IFERROR(__xludf.DUMMYFUNCTION("""COMPUTED_VALUE"""),33.0)</f>
        <v>33</v>
      </c>
      <c r="E2970" s="237" t="str">
        <f>IFERROR(__xludf.DUMMYFUNCTION("""COMPUTED_VALUE"""),"LT0PCI01UCN51")</f>
        <v>LT0PCI01UCN51</v>
      </c>
      <c r="F2970" s="238" t="str">
        <f>IFERROR(__xludf.DUMMYFUNCTION("""COMPUTED_VALUE"""),"EOF4D32")</f>
        <v>EOF4D32</v>
      </c>
      <c r="G2970" s="238">
        <f>IFERROR(__xludf.DUMMYFUNCTION("""COMPUTED_VALUE"""),46009.9375)</f>
        <v>46009.9375</v>
      </c>
      <c r="H2970" s="238">
        <f>IFERROR(__xludf.DUMMYFUNCTION("""COMPUTED_VALUE"""),46010.02083333333)</f>
        <v>46010.02083</v>
      </c>
      <c r="I2970" s="237" t="str">
        <f t="shared" si="1"/>
        <v>Fora</v>
      </c>
      <c r="J2970" s="239">
        <v>119.99999999301508</v>
      </c>
    </row>
    <row r="2971">
      <c r="A2971" s="234" t="s">
        <v>4426</v>
      </c>
      <c r="B2971" s="234" t="str">
        <f>IFERROR(__xludf.DUMMYFUNCTION("""COMPUTED_VALUE"""),"LM Hub_SP_São Paulo_Carandiru")</f>
        <v>LM Hub_SP_São Paulo_Carandiru</v>
      </c>
      <c r="C2971" s="234" t="str">
        <f>IFERROR(__xludf.DUMMYFUNCTION("""COMPUTED_VALUE"""),"HUB-LSP-18")</f>
        <v>HUB-LSP-18</v>
      </c>
      <c r="D2971" s="234">
        <f>IFERROR(__xludf.DUMMYFUNCTION("""COMPUTED_VALUE"""),36.0)</f>
        <v>36</v>
      </c>
      <c r="E2971" s="237" t="str">
        <f>IFERROR(__xludf.DUMMYFUNCTION("""COMPUTED_VALUE"""),"LT0PCI01UBW31")</f>
        <v>LT0PCI01UBW31</v>
      </c>
      <c r="F2971" s="238" t="str">
        <f>IFERROR(__xludf.DUMMYFUNCTION("""COMPUTED_VALUE"""),"GDB4E59")</f>
        <v>GDB4E59</v>
      </c>
      <c r="G2971" s="238">
        <f>IFERROR(__xludf.DUMMYFUNCTION("""COMPUTED_VALUE"""),46009.9375)</f>
        <v>46009.9375</v>
      </c>
      <c r="H2971" s="238">
        <f>IFERROR(__xludf.DUMMYFUNCTION("""COMPUTED_VALUE"""),46010.02083333333)</f>
        <v>46010.02083</v>
      </c>
      <c r="I2971" s="237" t="str">
        <f t="shared" si="1"/>
        <v>Fora</v>
      </c>
      <c r="J2971" s="239">
        <v>118.99999998975545</v>
      </c>
    </row>
    <row r="2972">
      <c r="A2972" s="234" t="s">
        <v>4427</v>
      </c>
      <c r="B2972" s="234" t="str">
        <f>IFERROR(__xludf.DUMMYFUNCTION("""COMPUTED_VALUE"""),"LM Hub_SP_Parque Novo Mundo")</f>
        <v>LM Hub_SP_Parque Novo Mundo</v>
      </c>
      <c r="C2972" s="234" t="str">
        <f>IFERROR(__xludf.DUMMYFUNCTION("""COMPUTED_VALUE"""),"HUB-LSP-89")</f>
        <v>HUB-LSP-89</v>
      </c>
      <c r="D2972" s="234"/>
      <c r="E2972" s="237" t="str">
        <f>IFERROR(__xludf.DUMMYFUNCTION("""COMPUTED_VALUE"""),"LT0PCI01UCV01")</f>
        <v>LT0PCI01UCV01</v>
      </c>
      <c r="F2972" s="234"/>
      <c r="G2972" s="238">
        <f>IFERROR(__xludf.DUMMYFUNCTION("""COMPUTED_VALUE"""),46009.93819444445)</f>
        <v>46009.93819</v>
      </c>
      <c r="H2972" s="238">
        <f>IFERROR(__xludf.DUMMYFUNCTION("""COMPUTED_VALUE"""),46010.02083333333)</f>
        <v>46010.02083</v>
      </c>
      <c r="I2972" s="237" t="str">
        <f t="shared" si="1"/>
        <v>Fora</v>
      </c>
      <c r="J2972" s="239">
        <v>118.99999998975545</v>
      </c>
    </row>
    <row r="2973">
      <c r="A2973" s="234" t="s">
        <v>4428</v>
      </c>
      <c r="B2973" s="234" t="str">
        <f>IFERROR(__xludf.DUMMYFUNCTION("""COMPUTED_VALUE"""),"LM Hub_SP_VilaGuilherme")</f>
        <v>LM Hub_SP_VilaGuilherme</v>
      </c>
      <c r="C2973" s="234" t="str">
        <f>IFERROR(__xludf.DUMMYFUNCTION("""COMPUTED_VALUE"""),"HUB-LSP-68")</f>
        <v>HUB-LSP-68</v>
      </c>
      <c r="D2973" s="234">
        <f>IFERROR(__xludf.DUMMYFUNCTION("""COMPUTED_VALUE"""),19.0)</f>
        <v>19</v>
      </c>
      <c r="E2973" s="237" t="str">
        <f>IFERROR(__xludf.DUMMYFUNCTION("""COMPUTED_VALUE"""),"LT0PCI01U8881")</f>
        <v>LT0PCI01U8881</v>
      </c>
      <c r="F2973" s="238" t="str">
        <f>IFERROR(__xludf.DUMMYFUNCTION("""COMPUTED_VALUE"""),"HFD4H27,JXG9745")</f>
        <v>HFD4H27,JXG9745</v>
      </c>
      <c r="G2973" s="238">
        <f>IFERROR(__xludf.DUMMYFUNCTION("""COMPUTED_VALUE"""),46009.93819444445)</f>
        <v>46009.93819</v>
      </c>
      <c r="H2973" s="238">
        <f>IFERROR(__xludf.DUMMYFUNCTION("""COMPUTED_VALUE"""),46010.02083333333)</f>
        <v>46010.02083</v>
      </c>
      <c r="I2973" s="237" t="str">
        <f t="shared" si="1"/>
        <v>Fora</v>
      </c>
      <c r="J2973" s="239">
        <v>120.00000001396984</v>
      </c>
    </row>
    <row r="2974">
      <c r="A2974" s="234" t="s">
        <v>4429</v>
      </c>
      <c r="B2974" s="234" t="str">
        <f>IFERROR(__xludf.DUMMYFUNCTION("""COMPUTED_VALUE"""),"LM Hub_ES_Viana")</f>
        <v>LM Hub_ES_Viana</v>
      </c>
      <c r="C2974" s="234" t="str">
        <f>IFERROR(__xludf.DUMMYFUNCTION("""COMPUTED_VALUE"""),"HUB-LES-09")</f>
        <v>HUB-LES-09</v>
      </c>
      <c r="D2974" s="234">
        <f>IFERROR(__xludf.DUMMYFUNCTION("""COMPUTED_VALUE"""),29.0)</f>
        <v>29</v>
      </c>
      <c r="E2974" s="237" t="str">
        <f>IFERROR(__xludf.DUMMYFUNCTION("""COMPUTED_VALUE"""),"LT0PCI01UGCO1")</f>
        <v>LT0PCI01UGCO1</v>
      </c>
      <c r="F2974" s="238" t="str">
        <f>IFERROR(__xludf.DUMMYFUNCTION("""COMPUTED_VALUE"""),"MRJ7E08,AWL4D23")</f>
        <v>MRJ7E08,AWL4D23</v>
      </c>
      <c r="G2974" s="238">
        <f>IFERROR(__xludf.DUMMYFUNCTION("""COMPUTED_VALUE"""),46009.95833333333)</f>
        <v>46009.95833</v>
      </c>
      <c r="H2974" s="238">
        <f>IFERROR(__xludf.DUMMYFUNCTION("""COMPUTED_VALUE"""),46010.04166666667)</f>
        <v>46010.04167</v>
      </c>
      <c r="I2974" s="237" t="str">
        <f t="shared" si="1"/>
        <v>Fora</v>
      </c>
      <c r="J2974" s="239">
        <v>120.00000001396984</v>
      </c>
    </row>
    <row r="2975">
      <c r="A2975" s="234" t="s">
        <v>4430</v>
      </c>
      <c r="B2975" s="234" t="str">
        <f>IFERROR(__xludf.DUMMYFUNCTION("""COMPUTED_VALUE"""),"LM Hub_SP_Jundiaí")</f>
        <v>LM Hub_SP_Jundiaí</v>
      </c>
      <c r="C2975" s="234" t="str">
        <f>IFERROR(__xludf.DUMMYFUNCTION("""COMPUTED_VALUE"""),"HUB-LSP-100")</f>
        <v>HUB-LSP-100</v>
      </c>
      <c r="D2975" s="234">
        <f>IFERROR(__xludf.DUMMYFUNCTION("""COMPUTED_VALUE"""),8.0)</f>
        <v>8</v>
      </c>
      <c r="E2975" s="237" t="str">
        <f>IFERROR(__xludf.DUMMYFUNCTION("""COMPUTED_VALUE"""),"LT0PCI01UJ081")</f>
        <v>LT0PCI01UJ081</v>
      </c>
      <c r="F2975" s="238" t="str">
        <f>IFERROR(__xludf.DUMMYFUNCTION("""COMPUTED_VALUE"""),"QTV9B66,TNC1B79")</f>
        <v>QTV9B66,TNC1B79</v>
      </c>
      <c r="G2975" s="238">
        <f>IFERROR(__xludf.DUMMYFUNCTION("""COMPUTED_VALUE"""),46009.95833333333)</f>
        <v>46009.95833</v>
      </c>
      <c r="H2975" s="238">
        <f>IFERROR(__xludf.DUMMYFUNCTION("""COMPUTED_VALUE"""),46010.04166666667)</f>
        <v>46010.04167</v>
      </c>
      <c r="I2975" s="237" t="str">
        <f t="shared" si="1"/>
        <v>Fora</v>
      </c>
      <c r="J2975" s="239">
        <v>120.00000001396984</v>
      </c>
    </row>
    <row r="2976">
      <c r="A2976" s="234" t="s">
        <v>4431</v>
      </c>
      <c r="B2976" s="234" t="str">
        <f>IFERROR(__xludf.DUMMYFUNCTION("""COMPUTED_VALUE"""),"LM Hub_SP_Mogi Mirim")</f>
        <v>LM Hub_SP_Mogi Mirim</v>
      </c>
      <c r="C2976" s="234" t="str">
        <f>IFERROR(__xludf.DUMMYFUNCTION("""COMPUTED_VALUE"""),"HUB-LSP-37")</f>
        <v>HUB-LSP-37</v>
      </c>
      <c r="D2976" s="234"/>
      <c r="E2976" s="237" t="str">
        <f>IFERROR(__xludf.DUMMYFUNCTION("""COMPUTED_VALUE"""),"LT0PCI01UC0M1")</f>
        <v>LT0PCI01UC0M1</v>
      </c>
      <c r="F2976" s="238" t="str">
        <f>IFERROR(__xludf.DUMMYFUNCTION("""COMPUTED_VALUE"""),"UGN5A07,UGN5A00")</f>
        <v>UGN5A07,UGN5A00</v>
      </c>
      <c r="G2976" s="238">
        <f>IFERROR(__xludf.DUMMYFUNCTION("""COMPUTED_VALUE"""),46009.95833333333)</f>
        <v>46009.95833</v>
      </c>
      <c r="H2976" s="238">
        <f>IFERROR(__xludf.DUMMYFUNCTION("""COMPUTED_VALUE"""),46010.04166666667)</f>
        <v>46010.04167</v>
      </c>
      <c r="I2976" s="237" t="str">
        <f t="shared" si="1"/>
        <v>Fora</v>
      </c>
      <c r="J2976" s="239">
        <v>120.00000001396984</v>
      </c>
    </row>
    <row r="2977">
      <c r="A2977" s="234" t="s">
        <v>4432</v>
      </c>
      <c r="B2977" s="234" t="str">
        <f>IFERROR(__xludf.DUMMYFUNCTION("""COMPUTED_VALUE"""),"SoC_SP_Santana")</f>
        <v>SoC_SP_Santana</v>
      </c>
      <c r="C2977" s="234" t="str">
        <f>IFERROR(__xludf.DUMMYFUNCTION("""COMPUTED_VALUE"""),"SOC-SP2")</f>
        <v>SOC-SP2</v>
      </c>
      <c r="D2977" s="234"/>
      <c r="E2977" s="237" t="str">
        <f>IFERROR(__xludf.DUMMYFUNCTION("""COMPUTED_VALUE"""),"LT1PCI01UQG91")</f>
        <v>LT1PCI01UQG91</v>
      </c>
      <c r="F2977" s="238" t="str">
        <f>IFERROR(__xludf.DUMMYFUNCTION("""COMPUTED_VALUE"""),"STE6H86,EHH5424,EGK5333")</f>
        <v>STE6H86,EHH5424,EGK5333</v>
      </c>
      <c r="G2977" s="238">
        <f>IFERROR(__xludf.DUMMYFUNCTION("""COMPUTED_VALUE"""),46009.95833333333)</f>
        <v>46009.95833</v>
      </c>
      <c r="H2977" s="238">
        <f>IFERROR(__xludf.DUMMYFUNCTION("""COMPUTED_VALUE"""),46010.04166666667)</f>
        <v>46010.04167</v>
      </c>
      <c r="I2977" s="237" t="str">
        <f t="shared" si="1"/>
        <v>Fora</v>
      </c>
      <c r="J2977" s="239">
        <v>119.99999999301508</v>
      </c>
    </row>
    <row r="2978">
      <c r="A2978" s="234" t="s">
        <v>4433</v>
      </c>
      <c r="B2978" s="234" t="str">
        <f>IFERROR(__xludf.DUMMYFUNCTION("""COMPUTED_VALUE"""),"LM Hub_SP_Araraquara")</f>
        <v>LM Hub_SP_Araraquara</v>
      </c>
      <c r="C2978" s="234" t="str">
        <f>IFERROR(__xludf.DUMMYFUNCTION("""COMPUTED_VALUE"""),"HUB-LSP-29")</f>
        <v>HUB-LSP-29</v>
      </c>
      <c r="D2978" s="234">
        <f>IFERROR(__xludf.DUMMYFUNCTION("""COMPUTED_VALUE"""),41.0)</f>
        <v>41</v>
      </c>
      <c r="E2978" s="237" t="str">
        <f>IFERROR(__xludf.DUMMYFUNCTION("""COMPUTED_VALUE"""),"LT0PCI01UC0Q1")</f>
        <v>LT0PCI01UC0Q1</v>
      </c>
      <c r="F2978" s="238" t="str">
        <f>IFERROR(__xludf.DUMMYFUNCTION("""COMPUTED_VALUE"""),"FVM9I18,GEH6H31")</f>
        <v>FVM9I18,GEH6H31</v>
      </c>
      <c r="G2978" s="238">
        <f>IFERROR(__xludf.DUMMYFUNCTION("""COMPUTED_VALUE"""),46009.97916666667)</f>
        <v>46009.97917</v>
      </c>
      <c r="H2978" s="238">
        <f>IFERROR(__xludf.DUMMYFUNCTION("""COMPUTED_VALUE"""),46010.0625)</f>
        <v>46010.0625</v>
      </c>
      <c r="I2978" s="237" t="str">
        <f t="shared" si="1"/>
        <v>Fora</v>
      </c>
      <c r="J2978" s="239">
        <v>119.99999999301508</v>
      </c>
    </row>
    <row r="2979">
      <c r="A2979" s="234" t="s">
        <v>4434</v>
      </c>
      <c r="B2979" s="234" t="str">
        <f>IFERROR(__xludf.DUMMYFUNCTION("""COMPUTED_VALUE"""),"LM Hub_SP_Atibaia_Ponte_Alta")</f>
        <v>LM Hub_SP_Atibaia_Ponte_Alta</v>
      </c>
      <c r="C2979" s="234" t="str">
        <f>IFERROR(__xludf.DUMMYFUNCTION("""COMPUTED_VALUE"""),"HUB-LSP-87")</f>
        <v>HUB-LSP-87</v>
      </c>
      <c r="D2979" s="234">
        <f>IFERROR(__xludf.DUMMYFUNCTION("""COMPUTED_VALUE"""),9.0)</f>
        <v>9</v>
      </c>
      <c r="E2979" s="237" t="str">
        <f>IFERROR(__xludf.DUMMYFUNCTION("""COMPUTED_VALUE"""),"LT0PCI01UG6V1")</f>
        <v>LT0PCI01UG6V1</v>
      </c>
      <c r="F2979" s="238" t="str">
        <f>IFERROR(__xludf.DUMMYFUNCTION("""COMPUTED_VALUE"""),"UGN4B10")</f>
        <v>UGN4B10</v>
      </c>
      <c r="G2979" s="238">
        <f>IFERROR(__xludf.DUMMYFUNCTION("""COMPUTED_VALUE"""),46009.97916666667)</f>
        <v>46009.97917</v>
      </c>
      <c r="H2979" s="238">
        <f>IFERROR(__xludf.DUMMYFUNCTION("""COMPUTED_VALUE"""),46010.0625)</f>
        <v>46010.0625</v>
      </c>
      <c r="I2979" s="237" t="str">
        <f t="shared" si="1"/>
        <v>Fora</v>
      </c>
      <c r="J2979" s="239">
        <v>119.99999999301508</v>
      </c>
    </row>
    <row r="2980">
      <c r="A2980" s="234" t="s">
        <v>4435</v>
      </c>
      <c r="B2980" s="234" t="str">
        <f>IFERROR(__xludf.DUMMYFUNCTION("""COMPUTED_VALUE"""),"LM Hub_SP_Várzea Paulista")</f>
        <v>LM Hub_SP_Várzea Paulista</v>
      </c>
      <c r="C2980" s="234" t="str">
        <f>IFERROR(__xludf.DUMMYFUNCTION("""COMPUTED_VALUE"""),"HUB-LSP-61")</f>
        <v>HUB-LSP-61</v>
      </c>
      <c r="D2980" s="234"/>
      <c r="E2980" s="237" t="str">
        <f>IFERROR(__xludf.DUMMYFUNCTION("""COMPUTED_VALUE"""),"LT0PCI01UC011")</f>
        <v>LT0PCI01UC011</v>
      </c>
      <c r="F2980" s="238" t="str">
        <f>IFERROR(__xludf.DUMMYFUNCTION("""COMPUTED_VALUE"""),"FRM9I93,UGN6B16")</f>
        <v>FRM9I93,UGN6B16</v>
      </c>
      <c r="G2980" s="238">
        <f>IFERROR(__xludf.DUMMYFUNCTION("""COMPUTED_VALUE"""),46009.97916666667)</f>
        <v>46009.97917</v>
      </c>
      <c r="H2980" s="238">
        <f>IFERROR(__xludf.DUMMYFUNCTION("""COMPUTED_VALUE"""),46010.0625)</f>
        <v>46010.0625</v>
      </c>
      <c r="I2980" s="237" t="str">
        <f t="shared" si="1"/>
        <v>Fora</v>
      </c>
      <c r="J2980" s="239">
        <v>119.99999999301508</v>
      </c>
    </row>
    <row r="2981">
      <c r="A2981" s="234" t="s">
        <v>4436</v>
      </c>
      <c r="B2981" s="234" t="str">
        <f>IFERROR(__xludf.DUMMYFUNCTION("""COMPUTED_VALUE"""),"SoC_PE_Jaboatão dos Guararapes")</f>
        <v>SoC_PE_Jaboatão dos Guararapes</v>
      </c>
      <c r="C2981" s="234" t="str">
        <f>IFERROR(__xludf.DUMMYFUNCTION("""COMPUTED_VALUE"""),"SOC-PE2")</f>
        <v>SOC-PE2</v>
      </c>
      <c r="D2981" s="234">
        <f>IFERROR(__xludf.DUMMYFUNCTION("""COMPUTED_VALUE"""),25.0)</f>
        <v>25</v>
      </c>
      <c r="E2981" s="237" t="str">
        <f>IFERROR(__xludf.DUMMYFUNCTION("""COMPUTED_VALUE"""),"LT0PCJ01UHUC1")</f>
        <v>LT0PCJ01UHUC1</v>
      </c>
      <c r="F2981" s="238" t="str">
        <f>IFERROR(__xludf.DUMMYFUNCTION("""COMPUTED_VALUE"""),"OWK4H62,TLF8J44")</f>
        <v>OWK4H62,TLF8J44</v>
      </c>
      <c r="G2981" s="238">
        <f>IFERROR(__xludf.DUMMYFUNCTION("""COMPUTED_VALUE"""),46010.0)</f>
        <v>46010</v>
      </c>
      <c r="H2981" s="238">
        <f>IFERROR(__xludf.DUMMYFUNCTION("""COMPUTED_VALUE"""),46010.08333333333)</f>
        <v>46010.08333</v>
      </c>
      <c r="I2981" s="237" t="str">
        <f t="shared" si="1"/>
        <v>Fora</v>
      </c>
      <c r="J2981" s="239">
        <v>119.99999999301508</v>
      </c>
    </row>
    <row r="2982">
      <c r="A2982" s="234" t="s">
        <v>4437</v>
      </c>
      <c r="B2982" s="234" t="str">
        <f>IFERROR(__xludf.DUMMYFUNCTION("""COMPUTED_VALUE"""),"SoC_PR_Curitiba")</f>
        <v>SoC_PR_Curitiba</v>
      </c>
      <c r="C2982" s="234" t="str">
        <f>IFERROR(__xludf.DUMMYFUNCTION("""COMPUTED_VALUE"""),"SOC-PR1")</f>
        <v>SOC-PR1</v>
      </c>
      <c r="D2982" s="234">
        <f>IFERROR(__xludf.DUMMYFUNCTION("""COMPUTED_VALUE"""),42.0)</f>
        <v>42</v>
      </c>
      <c r="E2982" s="237" t="str">
        <f>IFERROR(__xludf.DUMMYFUNCTION("""COMPUTED_VALUE"""),"LT0PCJ01UBT71")</f>
        <v>LT0PCJ01UBT71</v>
      </c>
      <c r="F2982" s="238" t="str">
        <f>IFERROR(__xludf.DUMMYFUNCTION("""COMPUTED_VALUE"""),"TAU9G38,RXU2A83")</f>
        <v>TAU9G38,RXU2A83</v>
      </c>
      <c r="G2982" s="238">
        <f>IFERROR(__xludf.DUMMYFUNCTION("""COMPUTED_VALUE"""),46010.0)</f>
        <v>46010</v>
      </c>
      <c r="H2982" s="238">
        <f>IFERROR(__xludf.DUMMYFUNCTION("""COMPUTED_VALUE"""),46010.08333333333)</f>
        <v>46010.08333</v>
      </c>
      <c r="I2982" s="237" t="str">
        <f t="shared" si="1"/>
        <v>Fora</v>
      </c>
      <c r="J2982" s="239">
        <v>119.99999999301508</v>
      </c>
    </row>
    <row r="2983">
      <c r="A2983" s="234" t="s">
        <v>4438</v>
      </c>
      <c r="B2983" s="234" t="str">
        <f>IFERROR(__xludf.DUMMYFUNCTION("""COMPUTED_VALUE"""),"SoC_RS_Gravataí_02")</f>
        <v>SoC_RS_Gravataí_02</v>
      </c>
      <c r="C2983" s="234" t="str">
        <f>IFERROR(__xludf.DUMMYFUNCTION("""COMPUTED_VALUE"""),"SOC-RS2")</f>
        <v>SOC-RS2</v>
      </c>
      <c r="D2983" s="234">
        <f>IFERROR(__xludf.DUMMYFUNCTION("""COMPUTED_VALUE"""),15.0)</f>
        <v>15</v>
      </c>
      <c r="E2983" s="237" t="str">
        <f>IFERROR(__xludf.DUMMYFUNCTION("""COMPUTED_VALUE"""),"LT0PCJ01UI9H1")</f>
        <v>LT0PCJ01UI9H1</v>
      </c>
      <c r="F2983" s="238" t="str">
        <f>IFERROR(__xludf.DUMMYFUNCTION("""COMPUTED_VALUE"""),"IZH9D33,JCO2G16")</f>
        <v>IZH9D33,JCO2G16</v>
      </c>
      <c r="G2983" s="238">
        <f>IFERROR(__xludf.DUMMYFUNCTION("""COMPUTED_VALUE"""),46010.0)</f>
        <v>46010</v>
      </c>
      <c r="H2983" s="238">
        <f>IFERROR(__xludf.DUMMYFUNCTION("""COMPUTED_VALUE"""),46010.08333333333)</f>
        <v>46010.08333</v>
      </c>
      <c r="I2983" s="237" t="str">
        <f t="shared" si="1"/>
        <v>Fora</v>
      </c>
      <c r="J2983" s="239">
        <v>119.99999999301508</v>
      </c>
    </row>
    <row r="2984">
      <c r="A2984" s="234" t="s">
        <v>4439</v>
      </c>
      <c r="B2984" s="234" t="str">
        <f>IFERROR(__xludf.DUMMYFUNCTION("""COMPUTED_VALUE"""),"SoC_SC_Itajaí")</f>
        <v>SoC_SC_Itajaí</v>
      </c>
      <c r="C2984" s="234" t="str">
        <f>IFERROR(__xludf.DUMMYFUNCTION("""COMPUTED_VALUE"""),"SOC-SC1")</f>
        <v>SOC-SC1</v>
      </c>
      <c r="D2984" s="234">
        <f>IFERROR(__xludf.DUMMYFUNCTION("""COMPUTED_VALUE"""),28.0)</f>
        <v>28</v>
      </c>
      <c r="E2984" s="237" t="str">
        <f>IFERROR(__xludf.DUMMYFUNCTION("""COMPUTED_VALUE"""),"LT0PCJ01UGWN1")</f>
        <v>LT0PCJ01UGWN1</v>
      </c>
      <c r="F2984" s="238" t="str">
        <f>IFERROR(__xludf.DUMMYFUNCTION("""COMPUTED_VALUE"""),"FDB0I10,TBJ8G26")</f>
        <v>FDB0I10,TBJ8G26</v>
      </c>
      <c r="G2984" s="238">
        <f>IFERROR(__xludf.DUMMYFUNCTION("""COMPUTED_VALUE"""),46010.0)</f>
        <v>46010</v>
      </c>
      <c r="H2984" s="238">
        <f>IFERROR(__xludf.DUMMYFUNCTION("""COMPUTED_VALUE"""),46010.08333333333)</f>
        <v>46010.08333</v>
      </c>
      <c r="I2984" s="237" t="str">
        <f t="shared" si="1"/>
        <v>Fora</v>
      </c>
      <c r="J2984" s="239">
        <v>119.99999999301508</v>
      </c>
    </row>
    <row r="2985">
      <c r="A2985" s="234" t="s">
        <v>4440</v>
      </c>
      <c r="B2985" s="234" t="str">
        <f>IFERROR(__xludf.DUMMYFUNCTION("""COMPUTED_VALUE"""),"SoC_SP_Louveira")</f>
        <v>SoC_SP_Louveira</v>
      </c>
      <c r="C2985" s="234" t="str">
        <f>IFERROR(__xludf.DUMMYFUNCTION("""COMPUTED_VALUE"""),"SOC-SP7")</f>
        <v>SOC-SP7</v>
      </c>
      <c r="D2985" s="234">
        <f>IFERROR(__xludf.DUMMYFUNCTION("""COMPUTED_VALUE"""),5.0)</f>
        <v>5</v>
      </c>
      <c r="E2985" s="237" t="str">
        <f>IFERROR(__xludf.DUMMYFUNCTION("""COMPUTED_VALUE"""),"LT0PCJ01UBUS1")</f>
        <v>LT0PCJ01UBUS1</v>
      </c>
      <c r="F2985" s="238" t="str">
        <f>IFERROR(__xludf.DUMMYFUNCTION("""COMPUTED_VALUE"""),"GFT5J70,RXK1F70")</f>
        <v>GFT5J70,RXK1F70</v>
      </c>
      <c r="G2985" s="238">
        <f>IFERROR(__xludf.DUMMYFUNCTION("""COMPUTED_VALUE"""),46010.0)</f>
        <v>46010</v>
      </c>
      <c r="H2985" s="238">
        <f>IFERROR(__xludf.DUMMYFUNCTION("""COMPUTED_VALUE"""),46010.08333333333)</f>
        <v>46010.08333</v>
      </c>
      <c r="I2985" s="237" t="str">
        <f t="shared" si="1"/>
        <v>Fora</v>
      </c>
      <c r="J2985" s="239">
        <v>120.00000001396984</v>
      </c>
    </row>
    <row r="2986">
      <c r="A2986" s="234" t="s">
        <v>4441</v>
      </c>
      <c r="B2986" s="234" t="str">
        <f>IFERROR(__xludf.DUMMYFUNCTION("""COMPUTED_VALUE"""),"LM Hub_MG_Varginha_Fausto")</f>
        <v>LM Hub_MG_Varginha_Fausto</v>
      </c>
      <c r="C2986" s="234" t="str">
        <f>IFERROR(__xludf.DUMMYFUNCTION("""COMPUTED_VALUE"""),"HUB-LMG-45")</f>
        <v>HUB-LMG-45</v>
      </c>
      <c r="D2986" s="234">
        <f>IFERROR(__xludf.DUMMYFUNCTION("""COMPUTED_VALUE"""),14.0)</f>
        <v>14</v>
      </c>
      <c r="E2986" s="237" t="str">
        <f>IFERROR(__xludf.DUMMYFUNCTION("""COMPUTED_VALUE"""),"LT0PCJ01UHKL1")</f>
        <v>LT0PCJ01UHKL1</v>
      </c>
      <c r="F2986" s="238" t="str">
        <f>IFERROR(__xludf.DUMMYFUNCTION("""COMPUTED_VALUE"""),"RUP3E58,TEC3E70")</f>
        <v>RUP3E58,TEC3E70</v>
      </c>
      <c r="G2986" s="238">
        <f>IFERROR(__xludf.DUMMYFUNCTION("""COMPUTED_VALUE"""),46010.02083333333)</f>
        <v>46010.02083</v>
      </c>
      <c r="H2986" s="238">
        <f>IFERROR(__xludf.DUMMYFUNCTION("""COMPUTED_VALUE"""),46010.10416666667)</f>
        <v>46010.10417</v>
      </c>
      <c r="I2986" s="237" t="str">
        <f t="shared" si="1"/>
        <v>Fora</v>
      </c>
      <c r="J2986" s="239">
        <v>120.00000001396984</v>
      </c>
    </row>
    <row r="2987">
      <c r="A2987" s="234" t="s">
        <v>4442</v>
      </c>
      <c r="B2987" s="234" t="str">
        <f>IFERROR(__xludf.DUMMYFUNCTION("""COMPUTED_VALUE"""),"SoC_SP_Guarulhos")</f>
        <v>SoC_SP_Guarulhos</v>
      </c>
      <c r="C2987" s="234" t="str">
        <f>IFERROR(__xludf.DUMMYFUNCTION("""COMPUTED_VALUE"""),"SOC-SP6")</f>
        <v>SOC-SP6</v>
      </c>
      <c r="D2987" s="234">
        <f>IFERROR(__xludf.DUMMYFUNCTION("""COMPUTED_VALUE"""),38.0)</f>
        <v>38</v>
      </c>
      <c r="E2987" s="237" t="str">
        <f>IFERROR(__xludf.DUMMYFUNCTION("""COMPUTED_VALUE"""),"LT0PCJ01UCWY1")</f>
        <v>LT0PCJ01UCWY1</v>
      </c>
      <c r="F2987" s="238" t="str">
        <f>IFERROR(__xludf.DUMMYFUNCTION("""COMPUTED_VALUE"""),"DPR5J10,FVZ1I26")</f>
        <v>DPR5J10,FVZ1I26</v>
      </c>
      <c r="G2987" s="238">
        <f>IFERROR(__xludf.DUMMYFUNCTION("""COMPUTED_VALUE"""),46010.08333333333)</f>
        <v>46010.08333</v>
      </c>
      <c r="H2987" s="238">
        <f>IFERROR(__xludf.DUMMYFUNCTION("""COMPUTED_VALUE"""),46010.16666666667)</f>
        <v>46010.16667</v>
      </c>
      <c r="I2987" s="237" t="str">
        <f t="shared" si="1"/>
        <v>Fora</v>
      </c>
      <c r="J2987" s="239">
        <v>120.00000001396984</v>
      </c>
    </row>
    <row r="2988">
      <c r="A2988" s="234" t="s">
        <v>4443</v>
      </c>
      <c r="B2988" s="234" t="str">
        <f>IFERROR(__xludf.DUMMYFUNCTION("""COMPUTED_VALUE"""),"SoC_SP_Louveira")</f>
        <v>SoC_SP_Louveira</v>
      </c>
      <c r="C2988" s="234" t="str">
        <f>IFERROR(__xludf.DUMMYFUNCTION("""COMPUTED_VALUE"""),"SOC-SP7")</f>
        <v>SOC-SP7</v>
      </c>
      <c r="D2988" s="234">
        <f>IFERROR(__xludf.DUMMYFUNCTION("""COMPUTED_VALUE"""),26.0)</f>
        <v>26</v>
      </c>
      <c r="E2988" s="237" t="str">
        <f>IFERROR(__xludf.DUMMYFUNCTION("""COMPUTED_VALUE"""),"LT1PCJ01UR5S1")</f>
        <v>LT1PCJ01UR5S1</v>
      </c>
      <c r="F2988" s="238" t="str">
        <f>IFERROR(__xludf.DUMMYFUNCTION("""COMPUTED_VALUE"""),"FJK3B27,FXO3A21")</f>
        <v>FJK3B27,FXO3A21</v>
      </c>
      <c r="G2988" s="238">
        <f>IFERROR(__xludf.DUMMYFUNCTION("""COMPUTED_VALUE"""),46010.08333333333)</f>
        <v>46010.08333</v>
      </c>
      <c r="H2988" s="238">
        <f>IFERROR(__xludf.DUMMYFUNCTION("""COMPUTED_VALUE"""),46010.16666666667)</f>
        <v>46010.16667</v>
      </c>
      <c r="I2988" s="237" t="str">
        <f t="shared" si="1"/>
        <v>Fora</v>
      </c>
      <c r="J2988" s="239">
        <v>119.00000001071021</v>
      </c>
    </row>
    <row r="2989">
      <c r="A2989" s="234" t="s">
        <v>4444</v>
      </c>
      <c r="B2989" s="234" t="str">
        <f>IFERROR(__xludf.DUMMYFUNCTION("""COMPUTED_VALUE"""),"LM Hub_SP_Tatuí")</f>
        <v>LM Hub_SP_Tatuí</v>
      </c>
      <c r="C2989" s="234" t="str">
        <f>IFERROR(__xludf.DUMMYFUNCTION("""COMPUTED_VALUE"""),"HUB-LSP-51")</f>
        <v>HUB-LSP-51</v>
      </c>
      <c r="D2989" s="234">
        <f>IFERROR(__xludf.DUMMYFUNCTION("""COMPUTED_VALUE"""),12.0)</f>
        <v>12</v>
      </c>
      <c r="E2989" s="237" t="str">
        <f>IFERROR(__xludf.DUMMYFUNCTION("""COMPUTED_VALUE"""),"LT0PCJ01UBXL1")</f>
        <v>LT0PCJ01UBXL1</v>
      </c>
      <c r="F2989" s="238" t="str">
        <f>IFERROR(__xludf.DUMMYFUNCTION("""COMPUTED_VALUE"""),"FLO1G76,FLO1G70")</f>
        <v>FLO1G76,FLO1G70</v>
      </c>
      <c r="G2989" s="238">
        <f>IFERROR(__xludf.DUMMYFUNCTION("""COMPUTED_VALUE"""),46010.084027777775)</f>
        <v>46010.08403</v>
      </c>
      <c r="H2989" s="238">
        <f>IFERROR(__xludf.DUMMYFUNCTION("""COMPUTED_VALUE"""),46010.16666666667)</f>
        <v>46010.16667</v>
      </c>
      <c r="I2989" s="237" t="str">
        <f t="shared" si="1"/>
        <v>Fora</v>
      </c>
      <c r="J2989" s="239">
        <v>119.99999999301508</v>
      </c>
    </row>
    <row r="2990">
      <c r="A2990" s="234" t="s">
        <v>4445</v>
      </c>
      <c r="B2990" s="234" t="str">
        <f>IFERROR(__xludf.DUMMYFUNCTION("""COMPUTED_VALUE"""),"LM Hub_SP_Itapetininga")</f>
        <v>LM Hub_SP_Itapetininga</v>
      </c>
      <c r="C2990" s="234" t="str">
        <f>IFERROR(__xludf.DUMMYFUNCTION("""COMPUTED_VALUE"""),"HUB-LSP-53")</f>
        <v>HUB-LSP-53</v>
      </c>
      <c r="D2990" s="234">
        <f>IFERROR(__xludf.DUMMYFUNCTION("""COMPUTED_VALUE"""),37.0)</f>
        <v>37</v>
      </c>
      <c r="E2990" s="237" t="str">
        <f>IFERROR(__xludf.DUMMYFUNCTION("""COMPUTED_VALUE"""),"LT0PCJ01UBXF1")</f>
        <v>LT0PCJ01UBXF1</v>
      </c>
      <c r="F2990" s="238" t="str">
        <f>IFERROR(__xludf.DUMMYFUNCTION("""COMPUTED_VALUE"""),"FLQ1E34,FLQ1E30")</f>
        <v>FLQ1E34,FLQ1E30</v>
      </c>
      <c r="G2990" s="238">
        <f>IFERROR(__xludf.DUMMYFUNCTION("""COMPUTED_VALUE"""),46010.10416666667)</f>
        <v>46010.10417</v>
      </c>
      <c r="H2990" s="238">
        <f>IFERROR(__xludf.DUMMYFUNCTION("""COMPUTED_VALUE"""),46010.1875)</f>
        <v>46010.1875</v>
      </c>
      <c r="I2990" s="237" t="str">
        <f t="shared" si="1"/>
        <v>Fora</v>
      </c>
      <c r="J2990" s="239">
        <v>119.99999999301508</v>
      </c>
    </row>
    <row r="2991">
      <c r="A2991" s="234" t="s">
        <v>4446</v>
      </c>
      <c r="B2991" s="234" t="str">
        <f>IFERROR(__xludf.DUMMYFUNCTION("""COMPUTED_VALUE"""),"LM Hub_SP_São Carlos")</f>
        <v>LM Hub_SP_São Carlos</v>
      </c>
      <c r="C2991" s="234" t="str">
        <f>IFERROR(__xludf.DUMMYFUNCTION("""COMPUTED_VALUE"""),"HUB-LSP-31")</f>
        <v>HUB-LSP-31</v>
      </c>
      <c r="D2991" s="234">
        <f>IFERROR(__xludf.DUMMYFUNCTION("""COMPUTED_VALUE"""),36.0)</f>
        <v>36</v>
      </c>
      <c r="E2991" s="237" t="str">
        <f>IFERROR(__xludf.DUMMYFUNCTION("""COMPUTED_VALUE"""),"LT0PCJ01UC061")</f>
        <v>LT0PCJ01UC061</v>
      </c>
      <c r="F2991" s="238" t="str">
        <f>IFERROR(__xludf.DUMMYFUNCTION("""COMPUTED_VALUE"""),"EFO6B06,MJH0C66")</f>
        <v>EFO6B06,MJH0C66</v>
      </c>
      <c r="G2991" s="238">
        <f>IFERROR(__xludf.DUMMYFUNCTION("""COMPUTED_VALUE"""),46010.10416666667)</f>
        <v>46010.10417</v>
      </c>
      <c r="H2991" s="238">
        <f>IFERROR(__xludf.DUMMYFUNCTION("""COMPUTED_VALUE"""),46010.1875)</f>
        <v>46010.1875</v>
      </c>
      <c r="I2991" s="237" t="str">
        <f t="shared" si="1"/>
        <v>Fora</v>
      </c>
      <c r="J2991" s="239">
        <v>180.0</v>
      </c>
    </row>
    <row r="2992">
      <c r="A2992" s="234" t="s">
        <v>4447</v>
      </c>
      <c r="B2992" s="234" t="str">
        <f>IFERROR(__xludf.DUMMYFUNCTION("""COMPUTED_VALUE"""),"SoC_SP_Santana")</f>
        <v>SoC_SP_Santana</v>
      </c>
      <c r="C2992" s="234" t="str">
        <f>IFERROR(__xludf.DUMMYFUNCTION("""COMPUTED_VALUE"""),"SOC-SP2")</f>
        <v>SOC-SP2</v>
      </c>
      <c r="D2992" s="234">
        <f>IFERROR(__xludf.DUMMYFUNCTION("""COMPUTED_VALUE"""),17.0)</f>
        <v>17</v>
      </c>
      <c r="E2992" s="237" t="str">
        <f>IFERROR(__xludf.DUMMYFUNCTION("""COMPUTED_VALUE"""),"LT0PCJ01UCDX1")</f>
        <v>LT0PCJ01UCDX1</v>
      </c>
      <c r="F2992" s="238" t="str">
        <f>IFERROR(__xludf.DUMMYFUNCTION("""COMPUTED_VALUE"""),"FCT6F34,EOB8J55")</f>
        <v>FCT6F34,EOB8J55</v>
      </c>
      <c r="G2992" s="238">
        <f>IFERROR(__xludf.DUMMYFUNCTION("""COMPUTED_VALUE"""),46010.08333333333)</f>
        <v>46010.08333</v>
      </c>
      <c r="H2992" s="238">
        <f>IFERROR(__xludf.DUMMYFUNCTION("""COMPUTED_VALUE"""),46010.20833333333)</f>
        <v>46010.20833</v>
      </c>
      <c r="I2992" s="237" t="str">
        <f t="shared" si="1"/>
        <v>Fora</v>
      </c>
      <c r="J2992" s="239">
        <v>119.99999999301508</v>
      </c>
    </row>
    <row r="2993">
      <c r="A2993" s="234" t="s">
        <v>4448</v>
      </c>
      <c r="B2993" s="234" t="str">
        <f>IFERROR(__xludf.DUMMYFUNCTION("""COMPUTED_VALUE"""),"LM Hub_SP_Itapeva")</f>
        <v>LM Hub_SP_Itapeva</v>
      </c>
      <c r="C2993" s="234" t="str">
        <f>IFERROR(__xludf.DUMMYFUNCTION("""COMPUTED_VALUE"""),"HUB-LSP-39")</f>
        <v>HUB-LSP-39</v>
      </c>
      <c r="D2993" s="234">
        <f>IFERROR(__xludf.DUMMYFUNCTION("""COMPUTED_VALUE"""),7.0)</f>
        <v>7</v>
      </c>
      <c r="E2993" s="237" t="str">
        <f>IFERROR(__xludf.DUMMYFUNCTION("""COMPUTED_VALUE"""),"LT0PCJ01UBXQ1")</f>
        <v>LT0PCJ01UBXQ1</v>
      </c>
      <c r="F2993" s="238" t="str">
        <f>IFERROR(__xludf.DUMMYFUNCTION("""COMPUTED_VALUE"""),"FCT0B22,BJM3I35")</f>
        <v>FCT0B22,BJM3I35</v>
      </c>
      <c r="G2993" s="238">
        <f>IFERROR(__xludf.DUMMYFUNCTION("""COMPUTED_VALUE"""),46010.125)</f>
        <v>46010.125</v>
      </c>
      <c r="H2993" s="238">
        <f>IFERROR(__xludf.DUMMYFUNCTION("""COMPUTED_VALUE"""),46010.20833333333)</f>
        <v>46010.20833</v>
      </c>
      <c r="I2993" s="237" t="str">
        <f t="shared" si="1"/>
        <v>Fora</v>
      </c>
      <c r="J2993" s="239">
        <v>119.99999999301508</v>
      </c>
    </row>
    <row r="2994">
      <c r="A2994" s="234" t="s">
        <v>4449</v>
      </c>
      <c r="B2994" s="234" t="str">
        <f>IFERROR(__xludf.DUMMYFUNCTION("""COMPUTED_VALUE"""),"LM Hub_SP_Sumaré_Nova Veneza_1")</f>
        <v>LM Hub_SP_Sumaré_Nova Veneza_1</v>
      </c>
      <c r="C2994" s="234" t="str">
        <f>IFERROR(__xludf.DUMMYFUNCTION("""COMPUTED_VALUE"""),"HUB-LSP-88")</f>
        <v>HUB-LSP-88</v>
      </c>
      <c r="D2994" s="234">
        <f>IFERROR(__xludf.DUMMYFUNCTION("""COMPUTED_VALUE"""),16.0)</f>
        <v>16</v>
      </c>
      <c r="E2994" s="237" t="str">
        <f>IFERROR(__xludf.DUMMYFUNCTION("""COMPUTED_VALUE"""),"LT0PCJ01UHGW1")</f>
        <v>LT0PCJ01UHGW1</v>
      </c>
      <c r="F2994" s="238" t="str">
        <f>IFERROR(__xludf.DUMMYFUNCTION("""COMPUTED_VALUE"""),"SXK8E70,SXS2F29")</f>
        <v>SXK8E70,SXS2F29</v>
      </c>
      <c r="G2994" s="238">
        <f>IFERROR(__xludf.DUMMYFUNCTION("""COMPUTED_VALUE"""),46010.125)</f>
        <v>46010.125</v>
      </c>
      <c r="H2994" s="238">
        <f>IFERROR(__xludf.DUMMYFUNCTION("""COMPUTED_VALUE"""),46010.20833333333)</f>
        <v>46010.20833</v>
      </c>
      <c r="I2994" s="237" t="str">
        <f t="shared" si="1"/>
        <v>Fora</v>
      </c>
      <c r="J2994" s="239">
        <v>119.99999999301508</v>
      </c>
    </row>
    <row r="2995">
      <c r="A2995" s="234" t="s">
        <v>4450</v>
      </c>
      <c r="B2995" s="234" t="str">
        <f>IFERROR(__xludf.DUMMYFUNCTION("""COMPUTED_VALUE"""),"SoC_PE_Jaboatão dos Guararapes")</f>
        <v>SoC_PE_Jaboatão dos Guararapes</v>
      </c>
      <c r="C2995" s="234" t="str">
        <f>IFERROR(__xludf.DUMMYFUNCTION("""COMPUTED_VALUE"""),"SOC-PE2")</f>
        <v>SOC-PE2</v>
      </c>
      <c r="D2995" s="234">
        <f>IFERROR(__xludf.DUMMYFUNCTION("""COMPUTED_VALUE"""),23.0)</f>
        <v>23</v>
      </c>
      <c r="E2995" s="237" t="str">
        <f>IFERROR(__xludf.DUMMYFUNCTION("""COMPUTED_VALUE"""),"LT1PCJ01UR651")</f>
        <v>LT1PCJ01UR651</v>
      </c>
      <c r="F2995" s="238" t="str">
        <f>IFERROR(__xludf.DUMMYFUNCTION("""COMPUTED_VALUE"""),"EGK8H75,FFW1J92")</f>
        <v>EGK8H75,FFW1J92</v>
      </c>
      <c r="G2995" s="238">
        <f>IFERROR(__xludf.DUMMYFUNCTION("""COMPUTED_VALUE"""),46010.125)</f>
        <v>46010.125</v>
      </c>
      <c r="H2995" s="238">
        <f>IFERROR(__xludf.DUMMYFUNCTION("""COMPUTED_VALUE"""),46010.20833333333)</f>
        <v>46010.20833</v>
      </c>
      <c r="I2995" s="237" t="str">
        <f t="shared" si="1"/>
        <v>Fora</v>
      </c>
      <c r="J2995" s="239">
        <v>119.99999999301508</v>
      </c>
    </row>
    <row r="2996">
      <c r="A2996" s="234" t="s">
        <v>4451</v>
      </c>
      <c r="B2996" s="234" t="str">
        <f>IFERROR(__xludf.DUMMYFUNCTION("""COMPUTED_VALUE"""),"SoC_PR_Curitiba")</f>
        <v>SoC_PR_Curitiba</v>
      </c>
      <c r="C2996" s="234" t="str">
        <f>IFERROR(__xludf.DUMMYFUNCTION("""COMPUTED_VALUE"""),"SOC-PR1")</f>
        <v>SOC-PR1</v>
      </c>
      <c r="D2996" s="234">
        <f>IFERROR(__xludf.DUMMYFUNCTION("""COMPUTED_VALUE"""),35.0)</f>
        <v>35</v>
      </c>
      <c r="E2996" s="237" t="str">
        <f>IFERROR(__xludf.DUMMYFUNCTION("""COMPUTED_VALUE"""),"LT1PCJ01UR641")</f>
        <v>LT1PCJ01UR641</v>
      </c>
      <c r="F2996" s="238" t="str">
        <f>IFERROR(__xludf.DUMMYFUNCTION("""COMPUTED_VALUE"""),"BCS8E40,RMA4H26")</f>
        <v>BCS8E40,RMA4H26</v>
      </c>
      <c r="G2996" s="238">
        <f>IFERROR(__xludf.DUMMYFUNCTION("""COMPUTED_VALUE"""),46010.125)</f>
        <v>46010.125</v>
      </c>
      <c r="H2996" s="238">
        <f>IFERROR(__xludf.DUMMYFUNCTION("""COMPUTED_VALUE"""),46010.20833333333)</f>
        <v>46010.20833</v>
      </c>
      <c r="I2996" s="237" t="str">
        <f t="shared" si="1"/>
        <v>Fora</v>
      </c>
      <c r="J2996" s="239">
        <v>119.99999999301508</v>
      </c>
    </row>
    <row r="2997">
      <c r="A2997" s="234" t="s">
        <v>4452</v>
      </c>
      <c r="B2997" s="234" t="str">
        <f>IFERROR(__xludf.DUMMYFUNCTION("""COMPUTED_VALUE"""),"SoC_RS_Gravataí_02")</f>
        <v>SoC_RS_Gravataí_02</v>
      </c>
      <c r="C2997" s="234" t="str">
        <f>IFERROR(__xludf.DUMMYFUNCTION("""COMPUTED_VALUE"""),"SOC-RS2")</f>
        <v>SOC-RS2</v>
      </c>
      <c r="D2997" s="234">
        <f>IFERROR(__xludf.DUMMYFUNCTION("""COMPUTED_VALUE"""),14.0)</f>
        <v>14</v>
      </c>
      <c r="E2997" s="237" t="str">
        <f>IFERROR(__xludf.DUMMYFUNCTION("""COMPUTED_VALUE"""),"LT0PCJ01UI9M1")</f>
        <v>LT0PCJ01UI9M1</v>
      </c>
      <c r="F2997" s="238" t="str">
        <f>IFERROR(__xludf.DUMMYFUNCTION("""COMPUTED_VALUE"""),"JCX0C86,PDA6F09")</f>
        <v>JCX0C86,PDA6F09</v>
      </c>
      <c r="G2997" s="238">
        <f>IFERROR(__xludf.DUMMYFUNCTION("""COMPUTED_VALUE"""),46010.125)</f>
        <v>46010.125</v>
      </c>
      <c r="H2997" s="238">
        <f>IFERROR(__xludf.DUMMYFUNCTION("""COMPUTED_VALUE"""),46010.20833333333)</f>
        <v>46010.20833</v>
      </c>
      <c r="I2997" s="237" t="str">
        <f t="shared" si="1"/>
        <v>Fora</v>
      </c>
      <c r="J2997" s="239">
        <v>119.99999999301508</v>
      </c>
    </row>
    <row r="2998">
      <c r="A2998" s="234" t="s">
        <v>4453</v>
      </c>
      <c r="B2998" s="234" t="str">
        <f>IFERROR(__xludf.DUMMYFUNCTION("""COMPUTED_VALUE"""),"SoC_RS_Gravataí_02")</f>
        <v>SoC_RS_Gravataí_02</v>
      </c>
      <c r="C2998" s="234" t="str">
        <f>IFERROR(__xludf.DUMMYFUNCTION("""COMPUTED_VALUE"""),"SOC-RS2")</f>
        <v>SOC-RS2</v>
      </c>
      <c r="D2998" s="234">
        <f>IFERROR(__xludf.DUMMYFUNCTION("""COMPUTED_VALUE"""),44.0)</f>
        <v>44</v>
      </c>
      <c r="E2998" s="237" t="str">
        <f>IFERROR(__xludf.DUMMYFUNCTION("""COMPUTED_VALUE"""),"LT1PCJ01UR681")</f>
        <v>LT1PCJ01UR681</v>
      </c>
      <c r="F2998" s="238" t="str">
        <f>IFERROR(__xludf.DUMMYFUNCTION("""COMPUTED_VALUE"""),"RYP9H53,RXT4D73")</f>
        <v>RYP9H53,RXT4D73</v>
      </c>
      <c r="G2998" s="238">
        <f>IFERROR(__xludf.DUMMYFUNCTION("""COMPUTED_VALUE"""),46010.125)</f>
        <v>46010.125</v>
      </c>
      <c r="H2998" s="238">
        <f>IFERROR(__xludf.DUMMYFUNCTION("""COMPUTED_VALUE"""),46010.20833333333)</f>
        <v>46010.20833</v>
      </c>
      <c r="I2998" s="237" t="str">
        <f t="shared" si="1"/>
        <v>Fora</v>
      </c>
      <c r="J2998" s="239">
        <v>119.99999999301508</v>
      </c>
    </row>
    <row r="2999">
      <c r="A2999" s="234" t="s">
        <v>4454</v>
      </c>
      <c r="B2999" s="234" t="str">
        <f>IFERROR(__xludf.DUMMYFUNCTION("""COMPUTED_VALUE"""),"SoC_SC_Itajaí")</f>
        <v>SoC_SC_Itajaí</v>
      </c>
      <c r="C2999" s="234" t="str">
        <f>IFERROR(__xludf.DUMMYFUNCTION("""COMPUTED_VALUE"""),"SOC-SC1")</f>
        <v>SOC-SC1</v>
      </c>
      <c r="D2999" s="234">
        <f>IFERROR(__xludf.DUMMYFUNCTION("""COMPUTED_VALUE"""),29.0)</f>
        <v>29</v>
      </c>
      <c r="E2999" s="237" t="str">
        <f>IFERROR(__xludf.DUMMYFUNCTION("""COMPUTED_VALUE"""),"LT0PCJ01UGWS1")</f>
        <v>LT0PCJ01UGWS1</v>
      </c>
      <c r="F2999" s="238" t="str">
        <f>IFERROR(__xludf.DUMMYFUNCTION("""COMPUTED_VALUE"""),"RXL7H32,RYC4D76")</f>
        <v>RXL7H32,RYC4D76</v>
      </c>
      <c r="G2999" s="238">
        <f>IFERROR(__xludf.DUMMYFUNCTION("""COMPUTED_VALUE"""),46010.125)</f>
        <v>46010.125</v>
      </c>
      <c r="H2999" s="238">
        <f>IFERROR(__xludf.DUMMYFUNCTION("""COMPUTED_VALUE"""),46010.20833333333)</f>
        <v>46010.20833</v>
      </c>
      <c r="I2999" s="237" t="str">
        <f t="shared" si="1"/>
        <v>Fora</v>
      </c>
      <c r="J2999" s="239">
        <v>119.99999999301508</v>
      </c>
    </row>
    <row r="3000">
      <c r="A3000" s="234" t="s">
        <v>4455</v>
      </c>
      <c r="B3000" s="234" t="str">
        <f>IFERROR(__xludf.DUMMYFUNCTION("""COMPUTED_VALUE"""),"SoC_SC_Itajaí")</f>
        <v>SoC_SC_Itajaí</v>
      </c>
      <c r="C3000" s="234" t="str">
        <f>IFERROR(__xludf.DUMMYFUNCTION("""COMPUTED_VALUE"""),"SOC-SC1")</f>
        <v>SOC-SC1</v>
      </c>
      <c r="D3000" s="234">
        <f>IFERROR(__xludf.DUMMYFUNCTION("""COMPUTED_VALUE"""),29.0)</f>
        <v>29</v>
      </c>
      <c r="E3000" s="237" t="str">
        <f>IFERROR(__xludf.DUMMYFUNCTION("""COMPUTED_VALUE"""),"LT1PCJ01UR691")</f>
        <v>LT1PCJ01UR691</v>
      </c>
      <c r="F3000" s="238" t="str">
        <f>IFERROR(__xludf.DUMMYFUNCTION("""COMPUTED_VALUE"""),"RYT5E09,RYE1I20")</f>
        <v>RYT5E09,RYE1I20</v>
      </c>
      <c r="G3000" s="238">
        <f>IFERROR(__xludf.DUMMYFUNCTION("""COMPUTED_VALUE"""),46010.125)</f>
        <v>46010.125</v>
      </c>
      <c r="H3000" s="238">
        <f>IFERROR(__xludf.DUMMYFUNCTION("""COMPUTED_VALUE"""),46010.20833333333)</f>
        <v>46010.20833</v>
      </c>
      <c r="I3000" s="237" t="str">
        <f t="shared" si="1"/>
        <v>Fora</v>
      </c>
      <c r="J3000" s="239">
        <v>120.00000001396984</v>
      </c>
    </row>
    <row r="3001">
      <c r="A3001" s="234" t="s">
        <v>409</v>
      </c>
      <c r="B3001" s="234" t="str">
        <f>IFERROR(__xludf.DUMMYFUNCTION("""COMPUTED_VALUE"""),"LM Hub_SP_Osasco_02")</f>
        <v>LM Hub_SP_Osasco_02</v>
      </c>
      <c r="C3001" s="234" t="str">
        <f>IFERROR(__xludf.DUMMYFUNCTION("""COMPUTED_VALUE"""),"HUB-LSP-60")</f>
        <v>HUB-LSP-60</v>
      </c>
      <c r="D3001" s="234">
        <f>IFERROR(__xludf.DUMMYFUNCTION("""COMPUTED_VALUE"""),26.0)</f>
        <v>26</v>
      </c>
      <c r="E3001" s="237" t="str">
        <f>IFERROR(__xludf.DUMMYFUNCTION("""COMPUTED_VALUE"""),"LT0PCJ01UD491")</f>
        <v>LT0PCJ01UD491</v>
      </c>
      <c r="F3001" s="238" t="str">
        <f>IFERROR(__xludf.DUMMYFUNCTION("""COMPUTED_VALUE"""),"EZL4B62,EZU5702")</f>
        <v>EZL4B62,EZU5702</v>
      </c>
      <c r="G3001" s="238">
        <f>IFERROR(__xludf.DUMMYFUNCTION("""COMPUTED_VALUE"""),46010.14583333333)</f>
        <v>46010.14583</v>
      </c>
      <c r="H3001" s="238">
        <f>IFERROR(__xludf.DUMMYFUNCTION("""COMPUTED_VALUE"""),46010.22916666667)</f>
        <v>46010.22917</v>
      </c>
      <c r="I3001" s="237" t="str">
        <f t="shared" si="1"/>
        <v>Fora</v>
      </c>
      <c r="J3001" s="239">
        <v>120.00000001396984</v>
      </c>
    </row>
    <row r="3002">
      <c r="A3002" s="234" t="s">
        <v>4456</v>
      </c>
      <c r="B3002" s="234" t="str">
        <f>IFERROR(__xludf.DUMMYFUNCTION("""COMPUTED_VALUE"""),"LM Hub_SP_Sorocaba_Região Norte")</f>
        <v>LM Hub_SP_Sorocaba_Região Norte</v>
      </c>
      <c r="C3002" s="234" t="str">
        <f>IFERROR(__xludf.DUMMYFUNCTION("""COMPUTED_VALUE"""),"HUB-LSP-10")</f>
        <v>HUB-LSP-10</v>
      </c>
      <c r="D3002" s="234"/>
      <c r="E3002" s="237" t="str">
        <f>IFERROR(__xludf.DUMMYFUNCTION("""COMPUTED_VALUE"""),"LT0PCJ01UBZ81")</f>
        <v>LT0PCJ01UBZ81</v>
      </c>
      <c r="F3002" s="238" t="str">
        <f>IFERROR(__xludf.DUMMYFUNCTION("""COMPUTED_VALUE"""),"MYP2D33")</f>
        <v>MYP2D33</v>
      </c>
      <c r="G3002" s="238">
        <f>IFERROR(__xludf.DUMMYFUNCTION("""COMPUTED_VALUE"""),46010.14583333333)</f>
        <v>46010.14583</v>
      </c>
      <c r="H3002" s="238">
        <f>IFERROR(__xludf.DUMMYFUNCTION("""COMPUTED_VALUE"""),46010.22916666667)</f>
        <v>46010.22917</v>
      </c>
      <c r="I3002" s="237" t="str">
        <f t="shared" si="1"/>
        <v>Fora</v>
      </c>
      <c r="J3002" s="239">
        <v>120.00000001396984</v>
      </c>
    </row>
    <row r="3003">
      <c r="A3003" s="234" t="s">
        <v>4457</v>
      </c>
      <c r="B3003" s="234" t="str">
        <f>IFERROR(__xludf.DUMMYFUNCTION("""COMPUTED_VALUE"""),"LM Hub_SP_Sorocaba_Região Norte")</f>
        <v>LM Hub_SP_Sorocaba_Região Norte</v>
      </c>
      <c r="C3003" s="234" t="str">
        <f>IFERROR(__xludf.DUMMYFUNCTION("""COMPUTED_VALUE"""),"HUB-LSP-10")</f>
        <v>HUB-LSP-10</v>
      </c>
      <c r="D3003" s="234"/>
      <c r="E3003" s="237" t="str">
        <f>IFERROR(__xludf.DUMMYFUNCTION("""COMPUTED_VALUE"""),"LT0PCJ01UBZA2")</f>
        <v>LT0PCJ01UBZA2</v>
      </c>
      <c r="F3003" s="238" t="str">
        <f>IFERROR(__xludf.DUMMYFUNCTION("""COMPUTED_VALUE"""),"FLJ6920")</f>
        <v>FLJ6920</v>
      </c>
      <c r="G3003" s="238">
        <f>IFERROR(__xludf.DUMMYFUNCTION("""COMPUTED_VALUE"""),46010.14583333333)</f>
        <v>46010.14583</v>
      </c>
      <c r="H3003" s="238">
        <f>IFERROR(__xludf.DUMMYFUNCTION("""COMPUTED_VALUE"""),46010.22916666667)</f>
        <v>46010.22917</v>
      </c>
      <c r="I3003" s="237" t="str">
        <f t="shared" si="1"/>
        <v>Fora</v>
      </c>
      <c r="J3003" s="239">
        <v>119.00000001071021</v>
      </c>
    </row>
    <row r="3004">
      <c r="A3004" s="234" t="s">
        <v>4458</v>
      </c>
      <c r="B3004" s="234" t="str">
        <f>IFERROR(__xludf.DUMMYFUNCTION("""COMPUTED_VALUE"""),"LM Hub_SP_Campinas_São Martinho")</f>
        <v>LM Hub_SP_Campinas_São Martinho</v>
      </c>
      <c r="C3004" s="234" t="str">
        <f>IFERROR(__xludf.DUMMYFUNCTION("""COMPUTED_VALUE"""),"HUB-LSP-19")</f>
        <v>HUB-LSP-19</v>
      </c>
      <c r="D3004" s="234">
        <f>IFERROR(__xludf.DUMMYFUNCTION("""COMPUTED_VALUE"""),22.0)</f>
        <v>22</v>
      </c>
      <c r="E3004" s="237" t="str">
        <f>IFERROR(__xludf.DUMMYFUNCTION("""COMPUTED_VALUE"""),"LT0PCJ01UC1D1")</f>
        <v>LT0PCJ01UC1D1</v>
      </c>
      <c r="F3004" s="238" t="str">
        <f>IFERROR(__xludf.DUMMYFUNCTION("""COMPUTED_VALUE"""),"EHH7D81,NUL8A10")</f>
        <v>EHH7D81,NUL8A10</v>
      </c>
      <c r="G3004" s="238">
        <f>IFERROR(__xludf.DUMMYFUNCTION("""COMPUTED_VALUE"""),46010.146527777775)</f>
        <v>46010.14653</v>
      </c>
      <c r="H3004" s="238">
        <f>IFERROR(__xludf.DUMMYFUNCTION("""COMPUTED_VALUE"""),46010.22916666667)</f>
        <v>46010.22917</v>
      </c>
      <c r="I3004" s="237" t="str">
        <f t="shared" si="1"/>
        <v>Fora</v>
      </c>
      <c r="J3004" s="239">
        <v>119.99999999301508</v>
      </c>
    </row>
    <row r="3005">
      <c r="A3005" s="234" t="s">
        <v>362</v>
      </c>
      <c r="B3005" s="234" t="str">
        <f>IFERROR(__xludf.DUMMYFUNCTION("""COMPUTED_VALUE"""),"LM Hub_SP_Guaratinguetá")</f>
        <v>LM Hub_SP_Guaratinguetá</v>
      </c>
      <c r="C3005" s="234" t="str">
        <f>IFERROR(__xludf.DUMMYFUNCTION("""COMPUTED_VALUE"""),"HUB-LSP-33")</f>
        <v>HUB-LSP-33</v>
      </c>
      <c r="D3005" s="234">
        <f>IFERROR(__xludf.DUMMYFUNCTION("""COMPUTED_VALUE"""),41.0)</f>
        <v>41</v>
      </c>
      <c r="E3005" s="237" t="str">
        <f>IFERROR(__xludf.DUMMYFUNCTION("""COMPUTED_VALUE"""),"LT0PCJ01UBYM1")</f>
        <v>LT0PCJ01UBYM1</v>
      </c>
      <c r="F3005" s="238" t="str">
        <f>IFERROR(__xludf.DUMMYFUNCTION("""COMPUTED_VALUE"""),"EKH3880,EKH3800")</f>
        <v>EKH3880,EKH3800</v>
      </c>
      <c r="G3005" s="238">
        <f>IFERROR(__xludf.DUMMYFUNCTION("""COMPUTED_VALUE"""),46010.16666666667)</f>
        <v>46010.16667</v>
      </c>
      <c r="H3005" s="238">
        <f>IFERROR(__xludf.DUMMYFUNCTION("""COMPUTED_VALUE"""),46010.25)</f>
        <v>46010.25</v>
      </c>
      <c r="I3005" s="237" t="str">
        <f t="shared" si="1"/>
        <v>Fora</v>
      </c>
      <c r="J3005" s="239">
        <v>119.99999999301508</v>
      </c>
    </row>
    <row r="3006">
      <c r="A3006" s="234" t="s">
        <v>363</v>
      </c>
      <c r="B3006" s="234" t="str">
        <f>IFERROR(__xludf.DUMMYFUNCTION("""COMPUTED_VALUE"""),"LM Hub_SP_Limeira_Campo Belo")</f>
        <v>LM Hub_SP_Limeira_Campo Belo</v>
      </c>
      <c r="C3006" s="234" t="str">
        <f>IFERROR(__xludf.DUMMYFUNCTION("""COMPUTED_VALUE"""),"HUB-LSP-24")</f>
        <v>HUB-LSP-24</v>
      </c>
      <c r="D3006" s="234">
        <f>IFERROR(__xludf.DUMMYFUNCTION("""COMPUTED_VALUE"""),39.0)</f>
        <v>39</v>
      </c>
      <c r="E3006" s="237" t="str">
        <f>IFERROR(__xludf.DUMMYFUNCTION("""COMPUTED_VALUE"""),"LT0PCJ01UBZN1")</f>
        <v>LT0PCJ01UBZN1</v>
      </c>
      <c r="F3006" s="238" t="str">
        <f>IFERROR(__xludf.DUMMYFUNCTION("""COMPUTED_VALUE"""),"UEY6G90,TAX1I61")</f>
        <v>UEY6G90,TAX1I61</v>
      </c>
      <c r="G3006" s="238">
        <f>IFERROR(__xludf.DUMMYFUNCTION("""COMPUTED_VALUE"""),46010.16666666667)</f>
        <v>46010.16667</v>
      </c>
      <c r="H3006" s="238">
        <f>IFERROR(__xludf.DUMMYFUNCTION("""COMPUTED_VALUE"""),46010.25)</f>
        <v>46010.25</v>
      </c>
      <c r="I3006" s="237" t="str">
        <f t="shared" si="1"/>
        <v>Fora</v>
      </c>
      <c r="J3006" s="239">
        <v>119.99999999301508</v>
      </c>
    </row>
    <row r="3007">
      <c r="A3007" s="234" t="s">
        <v>364</v>
      </c>
      <c r="B3007" s="234" t="str">
        <f>IFERROR(__xludf.DUMMYFUNCTION("""COMPUTED_VALUE"""),"LM Hub_SP_Registro")</f>
        <v>LM Hub_SP_Registro</v>
      </c>
      <c r="C3007" s="234" t="str">
        <f>IFERROR(__xludf.DUMMYFUNCTION("""COMPUTED_VALUE"""),"HUB")</f>
        <v>HUB</v>
      </c>
      <c r="D3007" s="234">
        <f>IFERROR(__xludf.DUMMYFUNCTION("""COMPUTED_VALUE"""),17.0)</f>
        <v>17</v>
      </c>
      <c r="E3007" s="237" t="str">
        <f>IFERROR(__xludf.DUMMYFUNCTION("""COMPUTED_VALUE"""),"LT0PCJ01UBYB1")</f>
        <v>LT0PCJ01UBYB1</v>
      </c>
      <c r="F3007" s="238" t="str">
        <f>IFERROR(__xludf.DUMMYFUNCTION("""COMPUTED_VALUE"""),"MTB1C44,MTB1C40")</f>
        <v>MTB1C44,MTB1C40</v>
      </c>
      <c r="G3007" s="238">
        <f>IFERROR(__xludf.DUMMYFUNCTION("""COMPUTED_VALUE"""),46010.16666666667)</f>
        <v>46010.16667</v>
      </c>
      <c r="H3007" s="238">
        <f>IFERROR(__xludf.DUMMYFUNCTION("""COMPUTED_VALUE"""),46010.25)</f>
        <v>46010.25</v>
      </c>
      <c r="I3007" s="237" t="str">
        <f t="shared" si="1"/>
        <v>Fora</v>
      </c>
      <c r="J3007" s="239">
        <v>119.99999999301508</v>
      </c>
    </row>
    <row r="3008">
      <c r="A3008" s="234" t="s">
        <v>366</v>
      </c>
      <c r="B3008" s="234" t="str">
        <f>IFERROR(__xludf.DUMMYFUNCTION("""COMPUTED_VALUE"""),"LM Hub_SP_Várzea Paulista")</f>
        <v>LM Hub_SP_Várzea Paulista</v>
      </c>
      <c r="C3008" s="234" t="str">
        <f>IFERROR(__xludf.DUMMYFUNCTION("""COMPUTED_VALUE"""),"HUB-LSP-61")</f>
        <v>HUB-LSP-61</v>
      </c>
      <c r="D3008" s="234">
        <f>IFERROR(__xludf.DUMMYFUNCTION("""COMPUTED_VALUE"""),45.0)</f>
        <v>45</v>
      </c>
      <c r="E3008" s="237" t="str">
        <f>IFERROR(__xludf.DUMMYFUNCTION("""COMPUTED_VALUE"""),"LT0PCJ01UBZW1")</f>
        <v>LT0PCJ01UBZW1</v>
      </c>
      <c r="F3008" s="238" t="str">
        <f>IFERROR(__xludf.DUMMYFUNCTION("""COMPUTED_VALUE"""),"RBG0F94,PXI5321")</f>
        <v>RBG0F94,PXI5321</v>
      </c>
      <c r="G3008" s="238">
        <f>IFERROR(__xludf.DUMMYFUNCTION("""COMPUTED_VALUE"""),46010.16666666667)</f>
        <v>46010.16667</v>
      </c>
      <c r="H3008" s="238">
        <f>IFERROR(__xludf.DUMMYFUNCTION("""COMPUTED_VALUE"""),46010.25)</f>
        <v>46010.25</v>
      </c>
      <c r="I3008" s="237" t="str">
        <f t="shared" si="1"/>
        <v>Fora</v>
      </c>
      <c r="J3008" s="239">
        <v>119.99999999301508</v>
      </c>
    </row>
    <row r="3009">
      <c r="A3009" s="234" t="s">
        <v>367</v>
      </c>
      <c r="B3009" s="234" t="str">
        <f>IFERROR(__xludf.DUMMYFUNCTION("""COMPUTED_VALUE"""),"SoC_PE_Jaboatão dos Guararapes")</f>
        <v>SoC_PE_Jaboatão dos Guararapes</v>
      </c>
      <c r="C3009" s="234" t="str">
        <f>IFERROR(__xludf.DUMMYFUNCTION("""COMPUTED_VALUE"""),"SOC-PE2")</f>
        <v>SOC-PE2</v>
      </c>
      <c r="D3009" s="234">
        <f>IFERROR(__xludf.DUMMYFUNCTION("""COMPUTED_VALUE"""),28.0)</f>
        <v>28</v>
      </c>
      <c r="E3009" s="237" t="str">
        <f>IFERROR(__xludf.DUMMYFUNCTION("""COMPUTED_VALUE"""),"LT0PCJ01UHUI1")</f>
        <v>LT0PCJ01UHUI1</v>
      </c>
      <c r="F3009" s="238" t="str">
        <f>IFERROR(__xludf.DUMMYFUNCTION("""COMPUTED_VALUE"""),"MLA6A74,MET8H56")</f>
        <v>MLA6A74,MET8H56</v>
      </c>
      <c r="G3009" s="238">
        <f>IFERROR(__xludf.DUMMYFUNCTION("""COMPUTED_VALUE"""),46010.16666666667)</f>
        <v>46010.16667</v>
      </c>
      <c r="H3009" s="238">
        <f>IFERROR(__xludf.DUMMYFUNCTION("""COMPUTED_VALUE"""),46010.25)</f>
        <v>46010.25</v>
      </c>
      <c r="I3009" s="237" t="str">
        <f t="shared" si="1"/>
        <v>Fora</v>
      </c>
      <c r="J3009" s="239">
        <v>119.99999999301508</v>
      </c>
    </row>
    <row r="3010">
      <c r="A3010" s="234" t="s">
        <v>368</v>
      </c>
      <c r="B3010" s="234" t="str">
        <f>IFERROR(__xludf.DUMMYFUNCTION("""COMPUTED_VALUE"""),"SoC_PR_Curitiba")</f>
        <v>SoC_PR_Curitiba</v>
      </c>
      <c r="C3010" s="234" t="str">
        <f>IFERROR(__xludf.DUMMYFUNCTION("""COMPUTED_VALUE"""),"SOC-PR1")</f>
        <v>SOC-PR1</v>
      </c>
      <c r="D3010" s="234">
        <f>IFERROR(__xludf.DUMMYFUNCTION("""COMPUTED_VALUE"""),46.0)</f>
        <v>46</v>
      </c>
      <c r="E3010" s="237" t="str">
        <f>IFERROR(__xludf.DUMMYFUNCTION("""COMPUTED_VALUE"""),"LT0PCJ01UBTE1")</f>
        <v>LT0PCJ01UBTE1</v>
      </c>
      <c r="F3010" s="238" t="str">
        <f>IFERROR(__xludf.DUMMYFUNCTION("""COMPUTED_VALUE"""),"FSN5E96,SWY6F75")</f>
        <v>FSN5E96,SWY6F75</v>
      </c>
      <c r="G3010" s="238">
        <f>IFERROR(__xludf.DUMMYFUNCTION("""COMPUTED_VALUE"""),46010.16666666667)</f>
        <v>46010.16667</v>
      </c>
      <c r="H3010" s="238">
        <f>IFERROR(__xludf.DUMMYFUNCTION("""COMPUTED_VALUE"""),46010.25)</f>
        <v>46010.25</v>
      </c>
      <c r="I3010" s="237" t="str">
        <f t="shared" si="1"/>
        <v>Fora</v>
      </c>
      <c r="J3010" s="239">
        <v>119.99999999301508</v>
      </c>
    </row>
    <row r="3011">
      <c r="A3011" s="234" t="s">
        <v>370</v>
      </c>
      <c r="B3011" s="234" t="str">
        <f>IFERROR(__xludf.DUMMYFUNCTION("""COMPUTED_VALUE"""),"SoC_SP_Louveira")</f>
        <v>SoC_SP_Louveira</v>
      </c>
      <c r="C3011" s="234" t="str">
        <f>IFERROR(__xludf.DUMMYFUNCTION("""COMPUTED_VALUE"""),"SOC-SP7")</f>
        <v>SOC-SP7</v>
      </c>
      <c r="D3011" s="234"/>
      <c r="E3011" s="237" t="str">
        <f>IFERROR(__xludf.DUMMYFUNCTION("""COMPUTED_VALUE"""),"LT0PCJ01U87H1")</f>
        <v>LT0PCJ01U87H1</v>
      </c>
      <c r="F3011" s="238" t="str">
        <f>IFERROR(__xludf.DUMMYFUNCTION("""COMPUTED_VALUE"""),"FNK8E47")</f>
        <v>FNK8E47</v>
      </c>
      <c r="G3011" s="238">
        <f>IFERROR(__xludf.DUMMYFUNCTION("""COMPUTED_VALUE"""),46010.16666666667)</f>
        <v>46010.16667</v>
      </c>
      <c r="H3011" s="238">
        <f>IFERROR(__xludf.DUMMYFUNCTION("""COMPUTED_VALUE"""),46010.25)</f>
        <v>46010.25</v>
      </c>
      <c r="I3011" s="237" t="str">
        <f t="shared" si="1"/>
        <v>Fora</v>
      </c>
      <c r="J3011" s="239">
        <v>119.99999999301508</v>
      </c>
    </row>
    <row r="3012">
      <c r="A3012" s="234" t="s">
        <v>372</v>
      </c>
      <c r="B3012" s="234" t="str">
        <f>IFERROR(__xludf.DUMMYFUNCTION("""COMPUTED_VALUE"""),"LM Hub_SP_Atibaia_Ponte_Alta")</f>
        <v>LM Hub_SP_Atibaia_Ponte_Alta</v>
      </c>
      <c r="C3012" s="234" t="str">
        <f>IFERROR(__xludf.DUMMYFUNCTION("""COMPUTED_VALUE"""),"HUB-LSP-87")</f>
        <v>HUB-LSP-87</v>
      </c>
      <c r="D3012" s="234">
        <f>IFERROR(__xludf.DUMMYFUNCTION("""COMPUTED_VALUE"""),9.0)</f>
        <v>9</v>
      </c>
      <c r="E3012" s="237" t="str">
        <f>IFERROR(__xludf.DUMMYFUNCTION("""COMPUTED_VALUE"""),"LT0PCJ01UG6Q1")</f>
        <v>LT0PCJ01UG6Q1</v>
      </c>
      <c r="F3012" s="238" t="str">
        <f>IFERROR(__xludf.DUMMYFUNCTION("""COMPUTED_VALUE"""),"TLY2D75,PLY4I49")</f>
        <v>TLY2D75,PLY4I49</v>
      </c>
      <c r="G3012" s="238">
        <f>IFERROR(__xludf.DUMMYFUNCTION("""COMPUTED_VALUE"""),46010.1875)</f>
        <v>46010.1875</v>
      </c>
      <c r="H3012" s="238">
        <f>IFERROR(__xludf.DUMMYFUNCTION("""COMPUTED_VALUE"""),46010.27083333333)</f>
        <v>46010.27083</v>
      </c>
      <c r="I3012" s="237" t="str">
        <f t="shared" si="1"/>
        <v>Fora</v>
      </c>
      <c r="J3012" s="239">
        <v>119.99999999301508</v>
      </c>
    </row>
    <row r="3013">
      <c r="A3013" s="234" t="s">
        <v>373</v>
      </c>
      <c r="B3013" s="234" t="str">
        <f>IFERROR(__xludf.DUMMYFUNCTION("""COMPUTED_VALUE"""),"LM Hub_SP_Taubaté")</f>
        <v>LM Hub_SP_Taubaté</v>
      </c>
      <c r="C3013" s="234" t="str">
        <f>IFERROR(__xludf.DUMMYFUNCTION("""COMPUTED_VALUE"""),"HUB-LSP-08")</f>
        <v>HUB-LSP-08</v>
      </c>
      <c r="D3013" s="234">
        <f>IFERROR(__xludf.DUMMYFUNCTION("""COMPUTED_VALUE"""),6.0)</f>
        <v>6</v>
      </c>
      <c r="E3013" s="237" t="str">
        <f>IFERROR(__xludf.DUMMYFUNCTION("""COMPUTED_VALUE"""),"LT0PCJ01U88D1")</f>
        <v>LT0PCJ01U88D1</v>
      </c>
      <c r="F3013" s="238" t="str">
        <f>IFERROR(__xludf.DUMMYFUNCTION("""COMPUTED_VALUE"""),"AQT0E76,EJY3D08")</f>
        <v>AQT0E76,EJY3D08</v>
      </c>
      <c r="G3013" s="238">
        <f>IFERROR(__xludf.DUMMYFUNCTION("""COMPUTED_VALUE"""),46010.1875)</f>
        <v>46010.1875</v>
      </c>
      <c r="H3013" s="238">
        <f>IFERROR(__xludf.DUMMYFUNCTION("""COMPUTED_VALUE"""),46010.27083333333)</f>
        <v>46010.27083</v>
      </c>
      <c r="I3013" s="237" t="str">
        <f t="shared" si="1"/>
        <v>Fora</v>
      </c>
      <c r="J3013" s="239">
        <v>118.99999998975545</v>
      </c>
    </row>
    <row r="3014">
      <c r="A3014" s="234" t="s">
        <v>374</v>
      </c>
      <c r="B3014" s="234" t="str">
        <f>IFERROR(__xludf.DUMMYFUNCTION("""COMPUTED_VALUE"""),"LM Hub_SP_Embu das Artes")</f>
        <v>LM Hub_SP_Embu das Artes</v>
      </c>
      <c r="C3014" s="234" t="str">
        <f>IFERROR(__xludf.DUMMYFUNCTION("""COMPUTED_VALUE"""),"HUB-LSP-36")</f>
        <v>HUB-LSP-36</v>
      </c>
      <c r="D3014" s="234">
        <f>IFERROR(__xludf.DUMMYFUNCTION("""COMPUTED_VALUE"""),33.0)</f>
        <v>33</v>
      </c>
      <c r="E3014" s="237" t="str">
        <f>IFERROR(__xludf.DUMMYFUNCTION("""COMPUTED_VALUE"""),"LT0PCJ01UD5L1")</f>
        <v>LT0PCJ01UD5L1</v>
      </c>
      <c r="F3014" s="238" t="str">
        <f>IFERROR(__xludf.DUMMYFUNCTION("""COMPUTED_VALUE"""),"SUQ5C99,TLD5B82")</f>
        <v>SUQ5C99,TLD5B82</v>
      </c>
      <c r="G3014" s="238">
        <f>IFERROR(__xludf.DUMMYFUNCTION("""COMPUTED_VALUE"""),46010.18819444445)</f>
        <v>46010.18819</v>
      </c>
      <c r="H3014" s="238">
        <f>IFERROR(__xludf.DUMMYFUNCTION("""COMPUTED_VALUE"""),46010.27083333333)</f>
        <v>46010.27083</v>
      </c>
      <c r="I3014" s="237" t="str">
        <f t="shared" si="1"/>
        <v>Fora</v>
      </c>
      <c r="J3014" s="239">
        <v>540.0</v>
      </c>
    </row>
    <row r="3015">
      <c r="A3015" s="234" t="s">
        <v>375</v>
      </c>
      <c r="B3015" s="234" t="str">
        <f>IFERROR(__xludf.DUMMYFUNCTION("""COMPUTED_VALUE"""),"SoC_BA_Simoes Filho")</f>
        <v>SoC_BA_Simoes Filho</v>
      </c>
      <c r="C3015" s="234" t="str">
        <f>IFERROR(__xludf.DUMMYFUNCTION("""COMPUTED_VALUE"""),"SOC-BA2")</f>
        <v>SOC-BA2</v>
      </c>
      <c r="D3015" s="234"/>
      <c r="E3015" s="237" t="str">
        <f>IFERROR(__xludf.DUMMYFUNCTION("""COMPUTED_VALUE"""),"LT0PCI01UHYI1")</f>
        <v>LT0PCI01UHYI1</v>
      </c>
      <c r="F3015" s="238" t="str">
        <f>IFERROR(__xludf.DUMMYFUNCTION("""COMPUTED_VALUE"""),"EZL6E05,FLT0713")</f>
        <v>EZL6E05,FLT0713</v>
      </c>
      <c r="G3015" s="238">
        <f>IFERROR(__xludf.DUMMYFUNCTION("""COMPUTED_VALUE"""),46009.91666666667)</f>
        <v>46009.91667</v>
      </c>
      <c r="H3015" s="238">
        <f>IFERROR(__xludf.DUMMYFUNCTION("""COMPUTED_VALUE"""),46010.29166666667)</f>
        <v>46010.29167</v>
      </c>
      <c r="I3015" s="237" t="str">
        <f t="shared" si="1"/>
        <v>Fora</v>
      </c>
      <c r="J3015" s="239">
        <v>540.0</v>
      </c>
    </row>
    <row r="3016">
      <c r="A3016" s="234" t="s">
        <v>4459</v>
      </c>
      <c r="B3016" s="234" t="str">
        <f>IFERROR(__xludf.DUMMYFUNCTION("""COMPUTED_VALUE"""),"SoC_BA_Simoes Filho")</f>
        <v>SoC_BA_Simoes Filho</v>
      </c>
      <c r="C3016" s="234" t="str">
        <f>IFERROR(__xludf.DUMMYFUNCTION("""COMPUTED_VALUE"""),"SOC-BA2")</f>
        <v>SOC-BA2</v>
      </c>
      <c r="D3016" s="234" t="str">
        <f>IFERROR(__xludf.DUMMYFUNCTION("""COMPUTED_VALUE"""),"89/19")</f>
        <v>89/19</v>
      </c>
      <c r="E3016" s="237" t="str">
        <f>IFERROR(__xludf.DUMMYFUNCTION("""COMPUTED_VALUE"""),"LT0PCI01UHYO1")</f>
        <v>LT0PCI01UHYO1</v>
      </c>
      <c r="F3016" s="238" t="str">
        <f>IFERROR(__xludf.DUMMYFUNCTION("""COMPUTED_VALUE"""),"TDV5F69,TXZ7D39")</f>
        <v>TDV5F69,TXZ7D39</v>
      </c>
      <c r="G3016" s="238">
        <f>IFERROR(__xludf.DUMMYFUNCTION("""COMPUTED_VALUE"""),46009.91666666667)</f>
        <v>46009.91667</v>
      </c>
      <c r="H3016" s="238">
        <f>IFERROR(__xludf.DUMMYFUNCTION("""COMPUTED_VALUE"""),46010.29166666667)</f>
        <v>46010.29167</v>
      </c>
      <c r="I3016" s="237" t="str">
        <f t="shared" si="1"/>
        <v>Fora</v>
      </c>
      <c r="J3016" s="239">
        <v>540.0</v>
      </c>
    </row>
    <row r="3017">
      <c r="A3017" s="234" t="s">
        <v>376</v>
      </c>
      <c r="B3017" s="234" t="str">
        <f>IFERROR(__xludf.DUMMYFUNCTION("""COMPUTED_VALUE"""),"SoC_BA_Simoes Filho")</f>
        <v>SoC_BA_Simoes Filho</v>
      </c>
      <c r="C3017" s="234" t="str">
        <f>IFERROR(__xludf.DUMMYFUNCTION("""COMPUTED_VALUE"""),"SOC-BA2")</f>
        <v>SOC-BA2</v>
      </c>
      <c r="D3017" s="234">
        <f>IFERROR(__xludf.DUMMYFUNCTION("""COMPUTED_VALUE"""),89.0)</f>
        <v>89</v>
      </c>
      <c r="E3017" s="237" t="str">
        <f>IFERROR(__xludf.DUMMYFUNCTION("""COMPUTED_VALUE"""),"LT0PCI01UHZ21")</f>
        <v>LT0PCI01UHZ21</v>
      </c>
      <c r="F3017" s="238" t="str">
        <f>IFERROR(__xludf.DUMMYFUNCTION("""COMPUTED_VALUE"""),"QIV7D60,QJI8D41")</f>
        <v>QIV7D60,QJI8D41</v>
      </c>
      <c r="G3017" s="238">
        <f>IFERROR(__xludf.DUMMYFUNCTION("""COMPUTED_VALUE"""),46009.91666666667)</f>
        <v>46009.91667</v>
      </c>
      <c r="H3017" s="238">
        <f>IFERROR(__xludf.DUMMYFUNCTION("""COMPUTED_VALUE"""),46010.29166666667)</f>
        <v>46010.29167</v>
      </c>
      <c r="I3017" s="237" t="str">
        <f t="shared" si="1"/>
        <v>Fora</v>
      </c>
      <c r="J3017" s="239">
        <v>540.0</v>
      </c>
    </row>
    <row r="3018">
      <c r="A3018" s="234" t="s">
        <v>377</v>
      </c>
      <c r="B3018" s="234" t="str">
        <f>IFERROR(__xludf.DUMMYFUNCTION("""COMPUTED_VALUE"""),"SoC_BA_Simoes Filho")</f>
        <v>SoC_BA_Simoes Filho</v>
      </c>
      <c r="C3018" s="234" t="str">
        <f>IFERROR(__xludf.DUMMYFUNCTION("""COMPUTED_VALUE"""),"SOC-BA2")</f>
        <v>SOC-BA2</v>
      </c>
      <c r="D3018" s="234">
        <f>IFERROR(__xludf.DUMMYFUNCTION("""COMPUTED_VALUE"""),88.0)</f>
        <v>88</v>
      </c>
      <c r="E3018" s="237" t="str">
        <f>IFERROR(__xludf.DUMMYFUNCTION("""COMPUTED_VALUE"""),"LT1PCI01UR661")</f>
        <v>LT1PCI01UR661</v>
      </c>
      <c r="F3018" s="238" t="str">
        <f>IFERROR(__xludf.DUMMYFUNCTION("""COMPUTED_VALUE"""),"GVQ4C55,EFW2E85")</f>
        <v>GVQ4C55,EFW2E85</v>
      </c>
      <c r="G3018" s="238">
        <f>IFERROR(__xludf.DUMMYFUNCTION("""COMPUTED_VALUE"""),46009.91666666667)</f>
        <v>46009.91667</v>
      </c>
      <c r="H3018" s="238">
        <f>IFERROR(__xludf.DUMMYFUNCTION("""COMPUTED_VALUE"""),46010.29166666667)</f>
        <v>46010.29167</v>
      </c>
      <c r="I3018" s="237" t="str">
        <f t="shared" si="1"/>
        <v>Fora</v>
      </c>
      <c r="J3018" s="239">
        <v>540.0</v>
      </c>
    </row>
    <row r="3019">
      <c r="A3019" s="234" t="s">
        <v>378</v>
      </c>
      <c r="B3019" s="234" t="str">
        <f>IFERROR(__xludf.DUMMYFUNCTION("""COMPUTED_VALUE"""),"SoC_GO_Goiânia_02")</f>
        <v>SoC_GO_Goiânia_02</v>
      </c>
      <c r="C3019" s="234" t="str">
        <f>IFERROR(__xludf.DUMMYFUNCTION("""COMPUTED_VALUE"""),"SOC-GO2")</f>
        <v>SOC-GO2</v>
      </c>
      <c r="D3019" s="234">
        <f>IFERROR(__xludf.DUMMYFUNCTION("""COMPUTED_VALUE"""),100.0)</f>
        <v>100</v>
      </c>
      <c r="E3019" s="237" t="str">
        <f>IFERROR(__xludf.DUMMYFUNCTION("""COMPUTED_VALUE"""),"LT1PCI01UR6A1")</f>
        <v>LT1PCI01UR6A1</v>
      </c>
      <c r="F3019" s="238" t="str">
        <f>IFERROR(__xludf.DUMMYFUNCTION("""COMPUTED_VALUE"""),"HSI8J48,GOT2C69")</f>
        <v>HSI8J48,GOT2C69</v>
      </c>
      <c r="G3019" s="238">
        <f>IFERROR(__xludf.DUMMYFUNCTION("""COMPUTED_VALUE"""),46009.91666666667)</f>
        <v>46009.91667</v>
      </c>
      <c r="H3019" s="238">
        <f>IFERROR(__xludf.DUMMYFUNCTION("""COMPUTED_VALUE"""),46010.29166666667)</f>
        <v>46010.29167</v>
      </c>
      <c r="I3019" s="237" t="str">
        <f t="shared" si="1"/>
        <v>Fora</v>
      </c>
      <c r="J3019" s="239">
        <v>540.0</v>
      </c>
    </row>
    <row r="3020">
      <c r="A3020" s="234" t="s">
        <v>4460</v>
      </c>
      <c r="B3020" s="234" t="str">
        <f>IFERROR(__xludf.DUMMYFUNCTION("""COMPUTED_VALUE"""),"SoC_MG_Betim")</f>
        <v>SoC_MG_Betim</v>
      </c>
      <c r="C3020" s="234" t="str">
        <f>IFERROR(__xludf.DUMMYFUNCTION("""COMPUTED_VALUE"""),"SOC-MG2")</f>
        <v>SOC-MG2</v>
      </c>
      <c r="D3020" s="234">
        <f>IFERROR(__xludf.DUMMYFUNCTION("""COMPUTED_VALUE"""),90.0)</f>
        <v>90</v>
      </c>
      <c r="E3020" s="237" t="str">
        <f>IFERROR(__xludf.DUMMYFUNCTION("""COMPUTED_VALUE"""),"LT1PCI01UR611")</f>
        <v>LT1PCI01UR611</v>
      </c>
      <c r="F3020" s="238" t="str">
        <f>IFERROR(__xludf.DUMMYFUNCTION("""COMPUTED_VALUE"""),"QUW5I70,RFA5J41")</f>
        <v>QUW5I70,RFA5J41</v>
      </c>
      <c r="G3020" s="238">
        <f>IFERROR(__xludf.DUMMYFUNCTION("""COMPUTED_VALUE"""),46009.91666666667)</f>
        <v>46009.91667</v>
      </c>
      <c r="H3020" s="238">
        <f>IFERROR(__xludf.DUMMYFUNCTION("""COMPUTED_VALUE"""),46010.29166666667)</f>
        <v>46010.29167</v>
      </c>
      <c r="I3020" s="237" t="str">
        <f t="shared" si="1"/>
        <v>Fora</v>
      </c>
      <c r="J3020" s="239">
        <v>540.0</v>
      </c>
    </row>
    <row r="3021">
      <c r="A3021" s="234" t="s">
        <v>4461</v>
      </c>
      <c r="B3021" s="234" t="str">
        <f>IFERROR(__xludf.DUMMYFUNCTION("""COMPUTED_VALUE"""),"SoC_RJ_Duque de Caxias")</f>
        <v>SoC_RJ_Duque de Caxias</v>
      </c>
      <c r="C3021" s="234" t="str">
        <f>IFERROR(__xludf.DUMMYFUNCTION("""COMPUTED_VALUE"""),"SOC-RJ2")</f>
        <v>SOC-RJ2</v>
      </c>
      <c r="D3021" s="234">
        <f>IFERROR(__xludf.DUMMYFUNCTION("""COMPUTED_VALUE"""),97.0)</f>
        <v>97</v>
      </c>
      <c r="E3021" s="237" t="str">
        <f>IFERROR(__xludf.DUMMYFUNCTION("""COMPUTED_VALUE"""),"LT1PCI01UR5Z1")</f>
        <v>LT1PCI01UR5Z1</v>
      </c>
      <c r="F3021" s="238" t="str">
        <f>IFERROR(__xludf.DUMMYFUNCTION("""COMPUTED_VALUE"""),"UGJ0F16,UDJ0C51")</f>
        <v>UGJ0F16,UDJ0C51</v>
      </c>
      <c r="G3021" s="238">
        <f>IFERROR(__xludf.DUMMYFUNCTION("""COMPUTED_VALUE"""),46009.91666666667)</f>
        <v>46009.91667</v>
      </c>
      <c r="H3021" s="238">
        <f>IFERROR(__xludf.DUMMYFUNCTION("""COMPUTED_VALUE"""),46010.29166666667)</f>
        <v>46010.29167</v>
      </c>
      <c r="I3021" s="237" t="str">
        <f t="shared" si="1"/>
        <v>Fora</v>
      </c>
      <c r="J3021" s="239">
        <v>540.0</v>
      </c>
    </row>
    <row r="3022">
      <c r="A3022" s="234" t="s">
        <v>381</v>
      </c>
      <c r="B3022" s="234" t="str">
        <f>IFERROR(__xludf.DUMMYFUNCTION("""COMPUTED_VALUE"""),"SoC_SP_Cravinhos")</f>
        <v>SoC_SP_Cravinhos</v>
      </c>
      <c r="C3022" s="234" t="str">
        <f>IFERROR(__xludf.DUMMYFUNCTION("""COMPUTED_VALUE"""),"SOC-SP5")</f>
        <v>SOC-SP5</v>
      </c>
      <c r="D3022" s="234">
        <f>IFERROR(__xludf.DUMMYFUNCTION("""COMPUTED_VALUE"""),94.0)</f>
        <v>94</v>
      </c>
      <c r="E3022" s="237" t="str">
        <f>IFERROR(__xludf.DUMMYFUNCTION("""COMPUTED_VALUE"""),"LT1PCI01UR5V1")</f>
        <v>LT1PCI01UR5V1</v>
      </c>
      <c r="F3022" s="238" t="str">
        <f>IFERROR(__xludf.DUMMYFUNCTION("""COMPUTED_VALUE"""),"EJZ8E65,DTE5G24")</f>
        <v>EJZ8E65,DTE5G24</v>
      </c>
      <c r="G3022" s="238">
        <f>IFERROR(__xludf.DUMMYFUNCTION("""COMPUTED_VALUE"""),46009.91666666667)</f>
        <v>46009.91667</v>
      </c>
      <c r="H3022" s="238">
        <f>IFERROR(__xludf.DUMMYFUNCTION("""COMPUTED_VALUE"""),46010.29166666667)</f>
        <v>46010.29167</v>
      </c>
      <c r="I3022" s="237" t="str">
        <f t="shared" si="1"/>
        <v>Fora</v>
      </c>
      <c r="J3022" s="239">
        <v>539.0000000072177</v>
      </c>
    </row>
    <row r="3023">
      <c r="A3023" s="234" t="s">
        <v>382</v>
      </c>
      <c r="B3023" s="234" t="str">
        <f>IFERROR(__xludf.DUMMYFUNCTION("""COMPUTED_VALUE"""),"SoC_GO_Goiânia_02")</f>
        <v>SoC_GO_Goiânia_02</v>
      </c>
      <c r="C3023" s="234" t="str">
        <f>IFERROR(__xludf.DUMMYFUNCTION("""COMPUTED_VALUE"""),"SOC-GO2")</f>
        <v>SOC-GO2</v>
      </c>
      <c r="D3023" s="234">
        <f>IFERROR(__xludf.DUMMYFUNCTION("""COMPUTED_VALUE"""),98.0)</f>
        <v>98</v>
      </c>
      <c r="E3023" s="237" t="str">
        <f>IFERROR(__xludf.DUMMYFUNCTION("""COMPUTED_VALUE"""),"LT0PCI01UI761")</f>
        <v>LT0PCI01UI761</v>
      </c>
      <c r="F3023" s="238" t="str">
        <f>IFERROR(__xludf.DUMMYFUNCTION("""COMPUTED_VALUE"""),"IAM3C78,JXG9I55")</f>
        <v>IAM3C78,JXG9I55</v>
      </c>
      <c r="G3023" s="238">
        <f>IFERROR(__xludf.DUMMYFUNCTION("""COMPUTED_VALUE"""),46009.91736111111)</f>
        <v>46009.91736</v>
      </c>
      <c r="H3023" s="238">
        <f>IFERROR(__xludf.DUMMYFUNCTION("""COMPUTED_VALUE"""),46010.29166666667)</f>
        <v>46010.29167</v>
      </c>
      <c r="I3023" s="237" t="str">
        <f t="shared" si="1"/>
        <v>Fora</v>
      </c>
      <c r="J3023" s="239">
        <v>539.0000000072177</v>
      </c>
    </row>
    <row r="3024">
      <c r="A3024" s="234" t="s">
        <v>383</v>
      </c>
      <c r="B3024" s="234" t="str">
        <f>IFERROR(__xludf.DUMMYFUNCTION("""COMPUTED_VALUE"""),"SoC_GO_Goiânia_02")</f>
        <v>SoC_GO_Goiânia_02</v>
      </c>
      <c r="C3024" s="234" t="str">
        <f>IFERROR(__xludf.DUMMYFUNCTION("""COMPUTED_VALUE"""),"SOC-GO2")</f>
        <v>SOC-GO2</v>
      </c>
      <c r="D3024" s="234">
        <f>IFERROR(__xludf.DUMMYFUNCTION("""COMPUTED_VALUE"""),87.0)</f>
        <v>87</v>
      </c>
      <c r="E3024" s="237" t="str">
        <f>IFERROR(__xludf.DUMMYFUNCTION("""COMPUTED_VALUE"""),"LT0PCI01UI782")</f>
        <v>LT0PCI01UI782</v>
      </c>
      <c r="F3024" s="238" t="str">
        <f>IFERROR(__xludf.DUMMYFUNCTION("""COMPUTED_VALUE"""),"QJN3J58,TJM9G80")</f>
        <v>QJN3J58,TJM9G80</v>
      </c>
      <c r="G3024" s="238">
        <f>IFERROR(__xludf.DUMMYFUNCTION("""COMPUTED_VALUE"""),46009.91736111111)</f>
        <v>46009.91736</v>
      </c>
      <c r="H3024" s="238">
        <f>IFERROR(__xludf.DUMMYFUNCTION("""COMPUTED_VALUE"""),46010.29166666667)</f>
        <v>46010.29167</v>
      </c>
      <c r="I3024" s="237" t="str">
        <f t="shared" si="1"/>
        <v>Fora</v>
      </c>
      <c r="J3024" s="239">
        <v>539.0000000072177</v>
      </c>
    </row>
    <row r="3025">
      <c r="A3025" s="234" t="s">
        <v>4462</v>
      </c>
      <c r="B3025" s="234" t="str">
        <f>IFERROR(__xludf.DUMMYFUNCTION("""COMPUTED_VALUE"""),"SoC_MG_Betim")</f>
        <v>SoC_MG_Betim</v>
      </c>
      <c r="C3025" s="234" t="str">
        <f>IFERROR(__xludf.DUMMYFUNCTION("""COMPUTED_VALUE"""),"SOC-MG2")</f>
        <v>SOC-MG2</v>
      </c>
      <c r="D3025" s="234" t="str">
        <f>IFERROR(__xludf.DUMMYFUNCTION("""COMPUTED_VALUE"""),"48/90")</f>
        <v>48/90</v>
      </c>
      <c r="E3025" s="237" t="str">
        <f>IFERROR(__xludf.DUMMYFUNCTION("""COMPUTED_VALUE"""),"LT0PCI01U87A1")</f>
        <v>LT0PCI01U87A1</v>
      </c>
      <c r="F3025" s="238" t="str">
        <f>IFERROR(__xludf.DUMMYFUNCTION("""COMPUTED_VALUE"""),"EXU6A75,DVS4C57")</f>
        <v>EXU6A75,DVS4C57</v>
      </c>
      <c r="G3025" s="238">
        <f>IFERROR(__xludf.DUMMYFUNCTION("""COMPUTED_VALUE"""),46009.91736111111)</f>
        <v>46009.91736</v>
      </c>
      <c r="H3025" s="238">
        <f>IFERROR(__xludf.DUMMYFUNCTION("""COMPUTED_VALUE"""),46010.29166666667)</f>
        <v>46010.29167</v>
      </c>
      <c r="I3025" s="237" t="str">
        <f t="shared" si="1"/>
        <v>Fora</v>
      </c>
      <c r="J3025" s="239">
        <v>538.0000000144355</v>
      </c>
    </row>
    <row r="3026">
      <c r="A3026" s="234" t="s">
        <v>4463</v>
      </c>
      <c r="B3026" s="234" t="str">
        <f>IFERROR(__xludf.DUMMYFUNCTION("""COMPUTED_VALUE"""),"SoC_MG_Betim")</f>
        <v>SoC_MG_Betim</v>
      </c>
      <c r="C3026" s="234" t="str">
        <f>IFERROR(__xludf.DUMMYFUNCTION("""COMPUTED_VALUE"""),"SOC-MG2")</f>
        <v>SOC-MG2</v>
      </c>
      <c r="D3026" s="234">
        <f>IFERROR(__xludf.DUMMYFUNCTION("""COMPUTED_VALUE"""),91.0)</f>
        <v>91</v>
      </c>
      <c r="E3026" s="237" t="str">
        <f>IFERROR(__xludf.DUMMYFUNCTION("""COMPUTED_VALUE"""),"LT0PCI01UBSV1")</f>
        <v>LT0PCI01UBSV1</v>
      </c>
      <c r="F3026" s="238" t="str">
        <f>IFERROR(__xludf.DUMMYFUNCTION("""COMPUTED_VALUE"""),"FPP5F94,UEZ0D37")</f>
        <v>FPP5F94,UEZ0D37</v>
      </c>
      <c r="G3026" s="238">
        <f>IFERROR(__xludf.DUMMYFUNCTION("""COMPUTED_VALUE"""),46009.91805555555)</f>
        <v>46009.91806</v>
      </c>
      <c r="H3026" s="238">
        <f>IFERROR(__xludf.DUMMYFUNCTION("""COMPUTED_VALUE"""),46010.29166666667)</f>
        <v>46010.29167</v>
      </c>
      <c r="I3026" s="237" t="str">
        <f t="shared" si="1"/>
        <v>Fora</v>
      </c>
      <c r="J3026" s="239">
        <v>538.0000000144355</v>
      </c>
    </row>
    <row r="3027">
      <c r="A3027" s="234" t="s">
        <v>4464</v>
      </c>
      <c r="B3027" s="234" t="str">
        <f>IFERROR(__xludf.DUMMYFUNCTION("""COMPUTED_VALUE"""),"SoC_SP_Cravinhos")</f>
        <v>SoC_SP_Cravinhos</v>
      </c>
      <c r="C3027" s="234" t="str">
        <f>IFERROR(__xludf.DUMMYFUNCTION("""COMPUTED_VALUE"""),"SOC-SP5")</f>
        <v>SOC-SP5</v>
      </c>
      <c r="D3027" s="234">
        <f>IFERROR(__xludf.DUMMYFUNCTION("""COMPUTED_VALUE"""),19.0)</f>
        <v>19</v>
      </c>
      <c r="E3027" s="237" t="str">
        <f>IFERROR(__xludf.DUMMYFUNCTION("""COMPUTED_VALUE"""),"LT0PCI01UBUL2")</f>
        <v>LT0PCI01UBUL2</v>
      </c>
      <c r="F3027" s="238" t="str">
        <f>IFERROR(__xludf.DUMMYFUNCTION("""COMPUTED_VALUE"""),"LMU3F85,HOA1I56")</f>
        <v>LMU3F85,HOA1I56</v>
      </c>
      <c r="G3027" s="238">
        <f>IFERROR(__xludf.DUMMYFUNCTION("""COMPUTED_VALUE"""),46009.91805555555)</f>
        <v>46009.91806</v>
      </c>
      <c r="H3027" s="238">
        <f>IFERROR(__xludf.DUMMYFUNCTION("""COMPUTED_VALUE"""),46010.29166666667)</f>
        <v>46010.29167</v>
      </c>
      <c r="I3027" s="237" t="str">
        <f t="shared" si="1"/>
        <v>Fora</v>
      </c>
      <c r="J3027" s="239">
        <v>538.0000000144355</v>
      </c>
    </row>
    <row r="3028">
      <c r="A3028" s="234" t="s">
        <v>384</v>
      </c>
      <c r="B3028" s="234" t="str">
        <f>IFERROR(__xludf.DUMMYFUNCTION("""COMPUTED_VALUE"""),"SoC_SP_Cravinhos")</f>
        <v>SoC_SP_Cravinhos</v>
      </c>
      <c r="C3028" s="234" t="str">
        <f>IFERROR(__xludf.DUMMYFUNCTION("""COMPUTED_VALUE"""),"SOC-SP5")</f>
        <v>SOC-SP5</v>
      </c>
      <c r="D3028" s="234"/>
      <c r="E3028" s="237" t="str">
        <f>IFERROR(__xludf.DUMMYFUNCTION("""COMPUTED_VALUE"""),"LT0PCI01UBUJ1")</f>
        <v>LT0PCI01UBUJ1</v>
      </c>
      <c r="F3028" s="238" t="str">
        <f>IFERROR(__xludf.DUMMYFUNCTION("""COMPUTED_VALUE"""),"EJV4D00,STP0D65")</f>
        <v>EJV4D00,STP0D65</v>
      </c>
      <c r="G3028" s="238">
        <f>IFERROR(__xludf.DUMMYFUNCTION("""COMPUTED_VALUE"""),46009.91805555555)</f>
        <v>46009.91806</v>
      </c>
      <c r="H3028" s="238">
        <f>IFERROR(__xludf.DUMMYFUNCTION("""COMPUTED_VALUE"""),46010.29166666667)</f>
        <v>46010.29167</v>
      </c>
      <c r="I3028" s="237" t="str">
        <f t="shared" si="1"/>
        <v>Fora</v>
      </c>
      <c r="J3028" s="239">
        <v>535.0000000046566</v>
      </c>
    </row>
    <row r="3029">
      <c r="A3029" s="234" t="s">
        <v>4465</v>
      </c>
      <c r="B3029" s="234" t="str">
        <f>IFERROR(__xludf.DUMMYFUNCTION("""COMPUTED_VALUE"""),"SoC_RJ_Duque de Caxias")</f>
        <v>SoC_RJ_Duque de Caxias</v>
      </c>
      <c r="C3029" s="234" t="str">
        <f>IFERROR(__xludf.DUMMYFUNCTION("""COMPUTED_VALUE"""),"SOC-RJ2")</f>
        <v>SOC-RJ2</v>
      </c>
      <c r="D3029" s="234">
        <f>IFERROR(__xludf.DUMMYFUNCTION("""COMPUTED_VALUE"""),97.0)</f>
        <v>97</v>
      </c>
      <c r="E3029" s="237" t="str">
        <f>IFERROR(__xludf.DUMMYFUNCTION("""COMPUTED_VALUE"""),"LT0PCI01U8OG1")</f>
        <v>LT0PCI01U8OG1</v>
      </c>
      <c r="F3029" s="238" t="str">
        <f>IFERROR(__xludf.DUMMYFUNCTION("""COMPUTED_VALUE"""),"IYX1J37,ODH9G75")</f>
        <v>IYX1J37,ODH9G75</v>
      </c>
      <c r="G3029" s="238">
        <f>IFERROR(__xludf.DUMMYFUNCTION("""COMPUTED_VALUE"""),46009.92013888889)</f>
        <v>46009.92014</v>
      </c>
      <c r="H3029" s="238">
        <f>IFERROR(__xludf.DUMMYFUNCTION("""COMPUTED_VALUE"""),46010.29166666667)</f>
        <v>46010.29167</v>
      </c>
      <c r="I3029" s="237" t="str">
        <f t="shared" si="1"/>
        <v>Fora</v>
      </c>
      <c r="J3029" s="239">
        <v>535.0000000046566</v>
      </c>
    </row>
    <row r="3030">
      <c r="A3030" s="234" t="s">
        <v>4466</v>
      </c>
      <c r="B3030" s="234" t="str">
        <f>IFERROR(__xludf.DUMMYFUNCTION("""COMPUTED_VALUE"""),"SoC_RJ_Duque de Caxias")</f>
        <v>SoC_RJ_Duque de Caxias</v>
      </c>
      <c r="C3030" s="234" t="str">
        <f>IFERROR(__xludf.DUMMYFUNCTION("""COMPUTED_VALUE"""),"SOC-RJ2")</f>
        <v>SOC-RJ2</v>
      </c>
      <c r="D3030" s="234" t="str">
        <f>IFERROR(__xludf.DUMMYFUNCTION("""COMPUTED_VALUE"""),"98/96")</f>
        <v>98/96</v>
      </c>
      <c r="E3030" s="237" t="str">
        <f>IFERROR(__xludf.DUMMYFUNCTION("""COMPUTED_VALUE"""),"LT0PCI01U8OK3")</f>
        <v>LT0PCI01U8OK3</v>
      </c>
      <c r="F3030" s="238" t="str">
        <f>IFERROR(__xludf.DUMMYFUNCTION("""COMPUTED_VALUE"""),"RIR5A13,RJH5C06")</f>
        <v>RIR5A13,RJH5C06</v>
      </c>
      <c r="G3030" s="238">
        <f>IFERROR(__xludf.DUMMYFUNCTION("""COMPUTED_VALUE"""),46009.92013888889)</f>
        <v>46009.92014</v>
      </c>
      <c r="H3030" s="238">
        <f>IFERROR(__xludf.DUMMYFUNCTION("""COMPUTED_VALUE"""),46010.29166666667)</f>
        <v>46010.29167</v>
      </c>
      <c r="I3030" s="237" t="str">
        <f t="shared" si="1"/>
        <v>Fora</v>
      </c>
      <c r="J3030" s="239">
        <v>480.00000001396984</v>
      </c>
    </row>
    <row r="3031">
      <c r="A3031" s="234" t="s">
        <v>4467</v>
      </c>
      <c r="B3031" s="234" t="str">
        <f>IFERROR(__xludf.DUMMYFUNCTION("""COMPUTED_VALUE"""),"SoC_MG_Betim")</f>
        <v>SoC_MG_Betim</v>
      </c>
      <c r="C3031" s="234" t="str">
        <f>IFERROR(__xludf.DUMMYFUNCTION("""COMPUTED_VALUE"""),"SOC-MG2")</f>
        <v>SOC-MG2</v>
      </c>
      <c r="D3031" s="234">
        <f>IFERROR(__xludf.DUMMYFUNCTION("""COMPUTED_VALUE"""),47.0)</f>
        <v>47</v>
      </c>
      <c r="E3031" s="237" t="str">
        <f>IFERROR(__xludf.DUMMYFUNCTION("""COMPUTED_VALUE"""),"LT0PCI01UBSX2")</f>
        <v>LT0PCI01UBSX2</v>
      </c>
      <c r="F3031" s="238" t="str">
        <f>IFERROR(__xludf.DUMMYFUNCTION("""COMPUTED_VALUE"""),"ELK5669,RBE0I12")</f>
        <v>ELK5669,RBE0I12</v>
      </c>
      <c r="G3031" s="238">
        <f>IFERROR(__xludf.DUMMYFUNCTION("""COMPUTED_VALUE"""),46009.95833333333)</f>
        <v>46009.95833</v>
      </c>
      <c r="H3031" s="238">
        <f>IFERROR(__xludf.DUMMYFUNCTION("""COMPUTED_VALUE"""),46010.29166666667)</f>
        <v>46010.29167</v>
      </c>
      <c r="I3031" s="237" t="str">
        <f t="shared" si="1"/>
        <v>Fora</v>
      </c>
      <c r="J3031" s="239">
        <v>360.0</v>
      </c>
    </row>
    <row r="3032">
      <c r="A3032" s="234" t="s">
        <v>4468</v>
      </c>
      <c r="B3032" s="234" t="str">
        <f>IFERROR(__xludf.DUMMYFUNCTION("""COMPUTED_VALUE"""),"SoC_MG_Betim")</f>
        <v>SoC_MG_Betim</v>
      </c>
      <c r="C3032" s="234" t="str">
        <f>IFERROR(__xludf.DUMMYFUNCTION("""COMPUTED_VALUE"""),"SOC-MG2")</f>
        <v>SOC-MG2</v>
      </c>
      <c r="D3032" s="234">
        <f>IFERROR(__xludf.DUMMYFUNCTION("""COMPUTED_VALUE"""),48.0)</f>
        <v>48</v>
      </c>
      <c r="E3032" s="237" t="str">
        <f>IFERROR(__xludf.DUMMYFUNCTION("""COMPUTED_VALUE"""),"LT1PCJ01UR631")</f>
        <v>LT1PCJ01UR631</v>
      </c>
      <c r="F3032" s="238" t="str">
        <f>IFERROR(__xludf.DUMMYFUNCTION("""COMPUTED_VALUE"""),"EWJ5C13,CUE9610")</f>
        <v>EWJ5C13,CUE9610</v>
      </c>
      <c r="G3032" s="238">
        <f>IFERROR(__xludf.DUMMYFUNCTION("""COMPUTED_VALUE"""),46010.04166666667)</f>
        <v>46010.04167</v>
      </c>
      <c r="H3032" s="238">
        <f>IFERROR(__xludf.DUMMYFUNCTION("""COMPUTED_VALUE"""),46010.29166666667)</f>
        <v>46010.29167</v>
      </c>
      <c r="I3032" s="237" t="str">
        <f t="shared" si="1"/>
        <v>Fora</v>
      </c>
      <c r="J3032" s="239">
        <v>120.00000001396984</v>
      </c>
    </row>
    <row r="3033">
      <c r="A3033" s="234" t="s">
        <v>386</v>
      </c>
      <c r="B3033" s="234" t="str">
        <f>IFERROR(__xludf.DUMMYFUNCTION("""COMPUTED_VALUE"""),"LM Hub_SP_Barueri_01")</f>
        <v>LM Hub_SP_Barueri_01</v>
      </c>
      <c r="C3033" s="234" t="str">
        <f>IFERROR(__xludf.DUMMYFUNCTION("""COMPUTED_VALUE"""),"HUB-LSP-81")</f>
        <v>HUB-LSP-81</v>
      </c>
      <c r="D3033" s="234">
        <f>IFERROR(__xludf.DUMMYFUNCTION("""COMPUTED_VALUE"""),15.0)</f>
        <v>15</v>
      </c>
      <c r="E3033" s="237" t="str">
        <f>IFERROR(__xludf.DUMMYFUNCTION("""COMPUTED_VALUE"""),"LT0PCJ01UHKU1")</f>
        <v>LT0PCJ01UHKU1</v>
      </c>
      <c r="F3033" s="238" t="str">
        <f>IFERROR(__xludf.DUMMYFUNCTION("""COMPUTED_VALUE"""),"TIZ8A99,TLG4I97")</f>
        <v>TIZ8A99,TLG4I97</v>
      </c>
      <c r="G3033" s="238">
        <f>IFERROR(__xludf.DUMMYFUNCTION("""COMPUTED_VALUE"""),46010.20833333333)</f>
        <v>46010.20833</v>
      </c>
      <c r="H3033" s="238">
        <f>IFERROR(__xludf.DUMMYFUNCTION("""COMPUTED_VALUE"""),46010.29166666667)</f>
        <v>46010.29167</v>
      </c>
      <c r="I3033" s="237" t="str">
        <f t="shared" si="1"/>
        <v>Fora</v>
      </c>
      <c r="J3033" s="239">
        <v>120.00000001396984</v>
      </c>
    </row>
    <row r="3034">
      <c r="A3034" s="234" t="s">
        <v>387</v>
      </c>
      <c r="B3034" s="234" t="str">
        <f>IFERROR(__xludf.DUMMYFUNCTION("""COMPUTED_VALUE"""),"LM Hub_SP_Jundiaí")</f>
        <v>LM Hub_SP_Jundiaí</v>
      </c>
      <c r="C3034" s="234" t="str">
        <f>IFERROR(__xludf.DUMMYFUNCTION("""COMPUTED_VALUE"""),"HUB-LSP-100")</f>
        <v>HUB-LSP-100</v>
      </c>
      <c r="D3034" s="234">
        <f>IFERROR(__xludf.DUMMYFUNCTION("""COMPUTED_VALUE"""),12.0)</f>
        <v>12</v>
      </c>
      <c r="E3034" s="237" t="str">
        <f>IFERROR(__xludf.DUMMYFUNCTION("""COMPUTED_VALUE"""),"LT0PCJ01UJ031")</f>
        <v>LT0PCJ01UJ031</v>
      </c>
      <c r="F3034" s="238" t="str">
        <f>IFERROR(__xludf.DUMMYFUNCTION("""COMPUTED_VALUE"""),"TBQ8J52,SWC6J05")</f>
        <v>TBQ8J52,SWC6J05</v>
      </c>
      <c r="G3034" s="238">
        <f>IFERROR(__xludf.DUMMYFUNCTION("""COMPUTED_VALUE"""),46010.20833333333)</f>
        <v>46010.20833</v>
      </c>
      <c r="H3034" s="238">
        <f>IFERROR(__xludf.DUMMYFUNCTION("""COMPUTED_VALUE"""),46010.29166666667)</f>
        <v>46010.29167</v>
      </c>
      <c r="I3034" s="237" t="str">
        <f t="shared" si="1"/>
        <v>Fora</v>
      </c>
      <c r="J3034" s="239">
        <v>120.00000001396984</v>
      </c>
    </row>
    <row r="3035">
      <c r="A3035" s="234" t="s">
        <v>388</v>
      </c>
      <c r="B3035" s="234" t="str">
        <f>IFERROR(__xludf.DUMMYFUNCTION("""COMPUTED_VALUE"""),"LM Hub_SP_Piracicaba")</f>
        <v>LM Hub_SP_Piracicaba</v>
      </c>
      <c r="C3035" s="234" t="str">
        <f>IFERROR(__xludf.DUMMYFUNCTION("""COMPUTED_VALUE"""),"HUB-LSP-62")</f>
        <v>HUB-LSP-62</v>
      </c>
      <c r="D3035" s="234">
        <f>IFERROR(__xludf.DUMMYFUNCTION("""COMPUTED_VALUE"""),27.0)</f>
        <v>27</v>
      </c>
      <c r="E3035" s="237" t="str">
        <f>IFERROR(__xludf.DUMMYFUNCTION("""COMPUTED_VALUE"""),"LT0PCJ01UCMZ1")</f>
        <v>LT0PCJ01UCMZ1</v>
      </c>
      <c r="F3035" s="238" t="str">
        <f>IFERROR(__xludf.DUMMYFUNCTION("""COMPUTED_VALUE"""),"OMY3I62,OMY3I60")</f>
        <v>OMY3I62,OMY3I60</v>
      </c>
      <c r="G3035" s="238">
        <f>IFERROR(__xludf.DUMMYFUNCTION("""COMPUTED_VALUE"""),46010.20833333333)</f>
        <v>46010.20833</v>
      </c>
      <c r="H3035" s="238">
        <f>IFERROR(__xludf.DUMMYFUNCTION("""COMPUTED_VALUE"""),46010.29166666667)</f>
        <v>46010.29167</v>
      </c>
      <c r="I3035" s="237" t="str">
        <f t="shared" si="1"/>
        <v>Fora</v>
      </c>
      <c r="J3035" s="239">
        <v>120.00000001396984</v>
      </c>
    </row>
    <row r="3036">
      <c r="A3036" s="234" t="s">
        <v>389</v>
      </c>
      <c r="B3036" s="234" t="str">
        <f>IFERROR(__xludf.DUMMYFUNCTION("""COMPUTED_VALUE"""),"LM Hub_SP_Santos_PraiaGrande_02")</f>
        <v>LM Hub_SP_Santos_PraiaGrande_02</v>
      </c>
      <c r="C3036" s="234" t="str">
        <f>IFERROR(__xludf.DUMMYFUNCTION("""COMPUTED_VALUE"""),"HUB-LSP-63")</f>
        <v>HUB-LSP-63</v>
      </c>
      <c r="D3036" s="234">
        <f>IFERROR(__xludf.DUMMYFUNCTION("""COMPUTED_VALUE"""),25.0)</f>
        <v>25</v>
      </c>
      <c r="E3036" s="237" t="str">
        <f>IFERROR(__xludf.DUMMYFUNCTION("""COMPUTED_VALUE"""),"LT0PCJ01UD5D1")</f>
        <v>LT0PCJ01UD5D1</v>
      </c>
      <c r="F3036" s="238" t="str">
        <f>IFERROR(__xludf.DUMMYFUNCTION("""COMPUTED_VALUE"""),"GDP2D37,TJL6A35")</f>
        <v>GDP2D37,TJL6A35</v>
      </c>
      <c r="G3036" s="238">
        <f>IFERROR(__xludf.DUMMYFUNCTION("""COMPUTED_VALUE"""),46010.20833333333)</f>
        <v>46010.20833</v>
      </c>
      <c r="H3036" s="238">
        <f>IFERROR(__xludf.DUMMYFUNCTION("""COMPUTED_VALUE"""),46010.29166666667)</f>
        <v>46010.29167</v>
      </c>
      <c r="I3036" s="237" t="str">
        <f t="shared" si="1"/>
        <v>Fora</v>
      </c>
      <c r="J3036" s="239">
        <v>120.00000001396984</v>
      </c>
    </row>
    <row r="3037">
      <c r="A3037" s="234" t="s">
        <v>390</v>
      </c>
      <c r="B3037" s="234" t="str">
        <f>IFERROR(__xludf.DUMMYFUNCTION("""COMPUTED_VALUE"""),"LM Hub_SP_Santos_PraiaGrande_02")</f>
        <v>LM Hub_SP_Santos_PraiaGrande_02</v>
      </c>
      <c r="C3037" s="234" t="str">
        <f>IFERROR(__xludf.DUMMYFUNCTION("""COMPUTED_VALUE"""),"HUB-LSP-63")</f>
        <v>HUB-LSP-63</v>
      </c>
      <c r="D3037" s="234">
        <f>IFERROR(__xludf.DUMMYFUNCTION("""COMPUTED_VALUE"""),24.0)</f>
        <v>24</v>
      </c>
      <c r="E3037" s="237" t="str">
        <f>IFERROR(__xludf.DUMMYFUNCTION("""COMPUTED_VALUE"""),"LT0PCJ01UD5F2")</f>
        <v>LT0PCJ01UD5F2</v>
      </c>
      <c r="F3037" s="238" t="str">
        <f>IFERROR(__xludf.DUMMYFUNCTION("""COMPUTED_VALUE"""),"GEJ6E62,TLV2A95")</f>
        <v>GEJ6E62,TLV2A95</v>
      </c>
      <c r="G3037" s="238">
        <f>IFERROR(__xludf.DUMMYFUNCTION("""COMPUTED_VALUE"""),46010.20833333333)</f>
        <v>46010.20833</v>
      </c>
      <c r="H3037" s="238">
        <f>IFERROR(__xludf.DUMMYFUNCTION("""COMPUTED_VALUE"""),46010.29166666667)</f>
        <v>46010.29167</v>
      </c>
      <c r="I3037" s="237" t="str">
        <f t="shared" si="1"/>
        <v>Fora</v>
      </c>
      <c r="J3037" s="239">
        <v>119.00000001071021</v>
      </c>
    </row>
    <row r="3038">
      <c r="A3038" s="234" t="s">
        <v>392</v>
      </c>
      <c r="B3038" s="234" t="str">
        <f>IFERROR(__xludf.DUMMYFUNCTION("""COMPUTED_VALUE"""),"LM Hub_SP_Jurubatuba")</f>
        <v>LM Hub_SP_Jurubatuba</v>
      </c>
      <c r="C3038" s="234" t="str">
        <f>IFERROR(__xludf.DUMMYFUNCTION("""COMPUTED_VALUE"""),"HUB-LSP-16")</f>
        <v>HUB-LSP-16</v>
      </c>
      <c r="D3038" s="234">
        <f>IFERROR(__xludf.DUMMYFUNCTION("""COMPUTED_VALUE"""),18.0)</f>
        <v>18</v>
      </c>
      <c r="E3038" s="237" t="str">
        <f>IFERROR(__xludf.DUMMYFUNCTION("""COMPUTED_VALUE"""),"LT0PCJ01UD431")</f>
        <v>LT0PCJ01UD431</v>
      </c>
      <c r="F3038" s="238" t="str">
        <f>IFERROR(__xludf.DUMMYFUNCTION("""COMPUTED_VALUE"""),"CUA7C61,FPW0F14")</f>
        <v>CUA7C61,FPW0F14</v>
      </c>
      <c r="G3038" s="238">
        <f>IFERROR(__xludf.DUMMYFUNCTION("""COMPUTED_VALUE"""),46010.209027777775)</f>
        <v>46010.20903</v>
      </c>
      <c r="H3038" s="238">
        <f>IFERROR(__xludf.DUMMYFUNCTION("""COMPUTED_VALUE"""),46010.29166666667)</f>
        <v>46010.29167</v>
      </c>
      <c r="I3038" s="237" t="str">
        <f t="shared" si="1"/>
        <v>Fora</v>
      </c>
      <c r="J3038" s="239">
        <v>119.00000001071021</v>
      </c>
    </row>
    <row r="3039">
      <c r="A3039" s="234" t="s">
        <v>393</v>
      </c>
      <c r="B3039" s="234" t="str">
        <f>IFERROR(__xludf.DUMMYFUNCTION("""COMPUTED_VALUE"""),"LM Hub_SP_Jurubatuba")</f>
        <v>LM Hub_SP_Jurubatuba</v>
      </c>
      <c r="C3039" s="234" t="str">
        <f>IFERROR(__xludf.DUMMYFUNCTION("""COMPUTED_VALUE"""),"HUB-LSP-16")</f>
        <v>HUB-LSP-16</v>
      </c>
      <c r="D3039" s="234">
        <f>IFERROR(__xludf.DUMMYFUNCTION("""COMPUTED_VALUE"""),13.0)</f>
        <v>13</v>
      </c>
      <c r="E3039" s="237" t="str">
        <f>IFERROR(__xludf.DUMMYFUNCTION("""COMPUTED_VALUE"""),"LT0PCJ01UD452")</f>
        <v>LT0PCJ01UD452</v>
      </c>
      <c r="F3039" s="238" t="str">
        <f>IFERROR(__xludf.DUMMYFUNCTION("""COMPUTED_VALUE"""),"MQM6I27,FXB7G01")</f>
        <v>MQM6I27,FXB7G01</v>
      </c>
      <c r="G3039" s="238">
        <f>IFERROR(__xludf.DUMMYFUNCTION("""COMPUTED_VALUE"""),46010.209027777775)</f>
        <v>46010.20903</v>
      </c>
      <c r="H3039" s="238">
        <f>IFERROR(__xludf.DUMMYFUNCTION("""COMPUTED_VALUE"""),46010.29166666667)</f>
        <v>46010.29167</v>
      </c>
      <c r="I3039" s="237" t="str">
        <f t="shared" si="1"/>
        <v>Fora</v>
      </c>
      <c r="J3039" s="239">
        <v>60.00000000698492</v>
      </c>
    </row>
    <row r="3040">
      <c r="A3040" s="234" t="s">
        <v>394</v>
      </c>
      <c r="B3040" s="234" t="str">
        <f>IFERROR(__xludf.DUMMYFUNCTION("""COMPUTED_VALUE"""),"LM Hub_SP_Mauá")</f>
        <v>LM Hub_SP_Mauá</v>
      </c>
      <c r="C3040" s="234" t="str">
        <f>IFERROR(__xludf.DUMMYFUNCTION("""COMPUTED_VALUE"""),"HUB-LSP-64")</f>
        <v>HUB-LSP-64</v>
      </c>
      <c r="D3040" s="234">
        <f>IFERROR(__xludf.DUMMYFUNCTION("""COMPUTED_VALUE"""),14.0)</f>
        <v>14</v>
      </c>
      <c r="E3040" s="237" t="str">
        <f>IFERROR(__xludf.DUMMYFUNCTION("""COMPUTED_VALUE"""),"LT0PCJ01U8HH1")</f>
        <v>LT0PCJ01U8HH1</v>
      </c>
      <c r="F3040" s="238" t="str">
        <f>IFERROR(__xludf.DUMMYFUNCTION("""COMPUTED_VALUE"""),"PQV0E87")</f>
        <v>PQV0E87</v>
      </c>
      <c r="G3040" s="238">
        <f>IFERROR(__xludf.DUMMYFUNCTION("""COMPUTED_VALUE"""),46010.25)</f>
        <v>46010.25</v>
      </c>
      <c r="H3040" s="238">
        <f>IFERROR(__xludf.DUMMYFUNCTION("""COMPUTED_VALUE"""),46010.29166666667)</f>
        <v>46010.29167</v>
      </c>
      <c r="I3040" s="237" t="str">
        <f t="shared" si="1"/>
        <v>Fora</v>
      </c>
      <c r="J3040" s="239">
        <v>119.99999999301508</v>
      </c>
    </row>
    <row r="3041">
      <c r="A3041" s="234" t="s">
        <v>396</v>
      </c>
      <c r="B3041" s="234" t="str">
        <f>IFERROR(__xludf.DUMMYFUNCTION("""COMPUTED_VALUE"""),"LM Hub_SP_Guarujá")</f>
        <v>LM Hub_SP_Guarujá</v>
      </c>
      <c r="C3041" s="234" t="str">
        <f>IFERROR(__xludf.DUMMYFUNCTION("""COMPUTED_VALUE"""),"HUB-LSP-06")</f>
        <v>HUB-LSP-06</v>
      </c>
      <c r="D3041" s="234">
        <f>IFERROR(__xludf.DUMMYFUNCTION("""COMPUTED_VALUE"""),8.0)</f>
        <v>8</v>
      </c>
      <c r="E3041" s="237" t="str">
        <f>IFERROR(__xludf.DUMMYFUNCTION("""COMPUTED_VALUE"""),"LT0PCJ01UD4O1")</f>
        <v>LT0PCJ01UD4O1</v>
      </c>
      <c r="F3041" s="238" t="str">
        <f>IFERROR(__xludf.DUMMYFUNCTION("""COMPUTED_VALUE"""),"SVL5H32")</f>
        <v>SVL5H32</v>
      </c>
      <c r="G3041" s="238">
        <f>IFERROR(__xludf.DUMMYFUNCTION("""COMPUTED_VALUE"""),46010.22916666667)</f>
        <v>46010.22917</v>
      </c>
      <c r="H3041" s="238">
        <f>IFERROR(__xludf.DUMMYFUNCTION("""COMPUTED_VALUE"""),46010.3125)</f>
        <v>46010.3125</v>
      </c>
      <c r="I3041" s="237" t="str">
        <f t="shared" si="1"/>
        <v>Fora</v>
      </c>
      <c r="J3041" s="239">
        <v>119.99999999301508</v>
      </c>
    </row>
    <row r="3042">
      <c r="A3042" s="234" t="s">
        <v>397</v>
      </c>
      <c r="B3042" s="234" t="str">
        <f>IFERROR(__xludf.DUMMYFUNCTION("""COMPUTED_VALUE"""),"LM Hub_SP_Itaqua_Zimba")</f>
        <v>LM Hub_SP_Itaqua_Zimba</v>
      </c>
      <c r="C3042" s="234" t="str">
        <f>IFERROR(__xludf.DUMMYFUNCTION("""COMPUTED_VALUE"""),"HUB-LSP-74")</f>
        <v>HUB-LSP-74</v>
      </c>
      <c r="D3042" s="234">
        <f>IFERROR(__xludf.DUMMYFUNCTION("""COMPUTED_VALUE"""),29.0)</f>
        <v>29</v>
      </c>
      <c r="E3042" s="237" t="str">
        <f>IFERROR(__xludf.DUMMYFUNCTION("""COMPUTED_VALUE"""),"LT0PCJ01UD4J1")</f>
        <v>LT0PCJ01UD4J1</v>
      </c>
      <c r="F3042" s="238" t="str">
        <f>IFERROR(__xludf.DUMMYFUNCTION("""COMPUTED_VALUE"""),"EPU6B00,UFF0H10")</f>
        <v>EPU6B00,UFF0H10</v>
      </c>
      <c r="G3042" s="238">
        <f>IFERROR(__xludf.DUMMYFUNCTION("""COMPUTED_VALUE"""),46010.22916666667)</f>
        <v>46010.22917</v>
      </c>
      <c r="H3042" s="238">
        <f>IFERROR(__xludf.DUMMYFUNCTION("""COMPUTED_VALUE"""),46010.3125)</f>
        <v>46010.3125</v>
      </c>
      <c r="I3042" s="237" t="str">
        <f t="shared" si="1"/>
        <v>Fora</v>
      </c>
      <c r="J3042" s="239">
        <v>119.00000000023283</v>
      </c>
    </row>
    <row r="3043">
      <c r="A3043" s="234" t="s">
        <v>398</v>
      </c>
      <c r="B3043" s="234" t="str">
        <f>IFERROR(__xludf.DUMMYFUNCTION("""COMPUTED_VALUE"""),"LM Hub_SP_Santos_Praia Grande")</f>
        <v>LM Hub_SP_Santos_Praia Grande</v>
      </c>
      <c r="C3043" s="234" t="str">
        <f>IFERROR(__xludf.DUMMYFUNCTION("""COMPUTED_VALUE"""),"HUB-LSP-09")</f>
        <v>HUB-LSP-09</v>
      </c>
      <c r="D3043" s="234">
        <f>IFERROR(__xludf.DUMMYFUNCTION("""COMPUTED_VALUE"""),32.0)</f>
        <v>32</v>
      </c>
      <c r="E3043" s="237" t="str">
        <f>IFERROR(__xludf.DUMMYFUNCTION("""COMPUTED_VALUE"""),"LT0PCJ01UD4U1")</f>
        <v>LT0PCJ01UD4U1</v>
      </c>
      <c r="F3043" s="238" t="str">
        <f>IFERROR(__xludf.DUMMYFUNCTION("""COMPUTED_VALUE"""),"GIV3H68,TLX8G42")</f>
        <v>GIV3H68,TLX8G42</v>
      </c>
      <c r="G3043" s="238">
        <f>IFERROR(__xludf.DUMMYFUNCTION("""COMPUTED_VALUE"""),46010.22986111111)</f>
        <v>46010.22986</v>
      </c>
      <c r="H3043" s="238">
        <f>IFERROR(__xludf.DUMMYFUNCTION("""COMPUTED_VALUE"""),46010.3125)</f>
        <v>46010.3125</v>
      </c>
      <c r="I3043" s="237" t="str">
        <f t="shared" si="1"/>
        <v>Fora</v>
      </c>
      <c r="J3043" s="239">
        <v>119.00000000023283</v>
      </c>
    </row>
    <row r="3044">
      <c r="A3044" s="234" t="s">
        <v>400</v>
      </c>
      <c r="B3044" s="234" t="str">
        <f>IFERROR(__xludf.DUMMYFUNCTION("""COMPUTED_VALUE"""),"LM Hub_SP_São José dos Campos")</f>
        <v>LM Hub_SP_São José dos Campos</v>
      </c>
      <c r="C3044" s="234" t="str">
        <f>IFERROR(__xludf.DUMMYFUNCTION("""COMPUTED_VALUE"""),"HUB-LSP-04")</f>
        <v>HUB-LSP-04</v>
      </c>
      <c r="D3044" s="234">
        <f>IFERROR(__xludf.DUMMYFUNCTION("""COMPUTED_VALUE"""),21.0)</f>
        <v>21</v>
      </c>
      <c r="E3044" s="237" t="str">
        <f>IFERROR(__xludf.DUMMYFUNCTION("""COMPUTED_VALUE"""),"LT0PCJ01UD511")</f>
        <v>LT0PCJ01UD511</v>
      </c>
      <c r="F3044" s="238" t="str">
        <f>IFERROR(__xludf.DUMMYFUNCTION("""COMPUTED_VALUE"""),"UGN5F59")</f>
        <v>UGN5F59</v>
      </c>
      <c r="G3044" s="238">
        <f>IFERROR(__xludf.DUMMYFUNCTION("""COMPUTED_VALUE"""),46010.22986111111)</f>
        <v>46010.22986</v>
      </c>
      <c r="H3044" s="238">
        <f>IFERROR(__xludf.DUMMYFUNCTION("""COMPUTED_VALUE"""),46010.3125)</f>
        <v>46010.3125</v>
      </c>
      <c r="I3044" s="237" t="str">
        <f t="shared" si="1"/>
        <v>Fora</v>
      </c>
      <c r="J3044" s="239">
        <v>119.00000000023283</v>
      </c>
    </row>
    <row r="3045">
      <c r="A3045" s="234" t="s">
        <v>401</v>
      </c>
      <c r="B3045" s="234" t="str">
        <f>IFERROR(__xludf.DUMMYFUNCTION("""COMPUTED_VALUE"""),"LM Hub_SP_Itapevi")</f>
        <v>LM Hub_SP_Itapevi</v>
      </c>
      <c r="C3045" s="234" t="str">
        <f>IFERROR(__xludf.DUMMYFUNCTION("""COMPUTED_VALUE"""),"HUB-LSP-41")</f>
        <v>HUB-LSP-41</v>
      </c>
      <c r="D3045" s="234">
        <f>IFERROR(__xludf.DUMMYFUNCTION("""COMPUTED_VALUE"""),5.0)</f>
        <v>5</v>
      </c>
      <c r="E3045" s="237" t="str">
        <f>IFERROR(__xludf.DUMMYFUNCTION("""COMPUTED_VALUE"""),"LT0PCJ01UBWG1")</f>
        <v>LT0PCJ01UBWG1</v>
      </c>
      <c r="F3045" s="238" t="str">
        <f>IFERROR(__xludf.DUMMYFUNCTION("""COMPUTED_VALUE"""),"EMU5F62,FGK3A38")</f>
        <v>EMU5F62,FGK3A38</v>
      </c>
      <c r="G3045" s="238">
        <f>IFERROR(__xludf.DUMMYFUNCTION("""COMPUTED_VALUE"""),46010.22986111111)</f>
        <v>46010.22986</v>
      </c>
      <c r="H3045" s="238">
        <f>IFERROR(__xludf.DUMMYFUNCTION("""COMPUTED_VALUE"""),46010.3125)</f>
        <v>46010.3125</v>
      </c>
      <c r="I3045" s="237" t="str">
        <f t="shared" si="1"/>
        <v>Fora</v>
      </c>
      <c r="J3045" s="239">
        <v>119.00000000023283</v>
      </c>
    </row>
    <row r="3046">
      <c r="A3046" s="234" t="s">
        <v>402</v>
      </c>
      <c r="B3046" s="234" t="str">
        <f>IFERROR(__xludf.DUMMYFUNCTION("""COMPUTED_VALUE"""),"LM Hub_SP_São Paulo_Mooca")</f>
        <v>LM Hub_SP_São Paulo_Mooca</v>
      </c>
      <c r="C3046" s="234" t="str">
        <f>IFERROR(__xludf.DUMMYFUNCTION("""COMPUTED_VALUE"""),"HUB-LSP-13")</f>
        <v>HUB-LSP-13</v>
      </c>
      <c r="D3046" s="234">
        <f>IFERROR(__xludf.DUMMYFUNCTION("""COMPUTED_VALUE"""),7.0)</f>
        <v>7</v>
      </c>
      <c r="E3046" s="237" t="str">
        <f>IFERROR(__xludf.DUMMYFUNCTION("""COMPUTED_VALUE"""),"LT0PCJ01U8H81")</f>
        <v>LT0PCJ01U8H81</v>
      </c>
      <c r="F3046" s="238" t="str">
        <f>IFERROR(__xludf.DUMMYFUNCTION("""COMPUTED_VALUE"""),"PEP9J38")</f>
        <v>PEP9J38</v>
      </c>
      <c r="G3046" s="238">
        <f>IFERROR(__xludf.DUMMYFUNCTION("""COMPUTED_VALUE"""),46010.22986111111)</f>
        <v>46010.22986</v>
      </c>
      <c r="H3046" s="238">
        <f>IFERROR(__xludf.DUMMYFUNCTION("""COMPUTED_VALUE"""),46010.3125)</f>
        <v>46010.3125</v>
      </c>
      <c r="I3046" s="237" t="str">
        <f t="shared" si="1"/>
        <v>Fora</v>
      </c>
      <c r="J3046" s="239">
        <v>540.0</v>
      </c>
    </row>
    <row r="3047">
      <c r="A3047" s="234" t="s">
        <v>403</v>
      </c>
      <c r="B3047" s="234" t="str">
        <f>IFERROR(__xludf.DUMMYFUNCTION("""COMPUTED_VALUE"""),"SoC_BA_Simoes Filho")</f>
        <v>SoC_BA_Simoes Filho</v>
      </c>
      <c r="C3047" s="234" t="str">
        <f>IFERROR(__xludf.DUMMYFUNCTION("""COMPUTED_VALUE"""),"SOC-BA2")</f>
        <v>SOC-BA2</v>
      </c>
      <c r="D3047" s="234"/>
      <c r="E3047" s="237" t="str">
        <f>IFERROR(__xludf.DUMMYFUNCTION("""COMPUTED_VALUE"""),"LT1PCI01UR671")</f>
        <v>LT1PCI01UR671</v>
      </c>
      <c r="F3047" s="238" t="str">
        <f>IFERROR(__xludf.DUMMYFUNCTION("""COMPUTED_VALUE"""),"GDI8E82,TDS7B08")</f>
        <v>GDI8E82,TDS7B08</v>
      </c>
      <c r="G3047" s="238">
        <f>IFERROR(__xludf.DUMMYFUNCTION("""COMPUTED_VALUE"""),46009.95833333333)</f>
        <v>46009.95833</v>
      </c>
      <c r="H3047" s="238">
        <f>IFERROR(__xludf.DUMMYFUNCTION("""COMPUTED_VALUE"""),46010.33333333333)</f>
        <v>46010.33333</v>
      </c>
      <c r="I3047" s="237" t="str">
        <f t="shared" si="1"/>
        <v>Fora</v>
      </c>
      <c r="J3047" s="239">
        <v>540.0</v>
      </c>
    </row>
    <row r="3048">
      <c r="A3048" s="234" t="s">
        <v>404</v>
      </c>
      <c r="B3048" s="234" t="str">
        <f>IFERROR(__xludf.DUMMYFUNCTION("""COMPUTED_VALUE"""),"SoC_GO_Goiânia_02")</f>
        <v>SoC_GO_Goiânia_02</v>
      </c>
      <c r="C3048" s="234" t="str">
        <f>IFERROR(__xludf.DUMMYFUNCTION("""COMPUTED_VALUE"""),"SOC-GO2")</f>
        <v>SOC-GO2</v>
      </c>
      <c r="D3048" s="234"/>
      <c r="E3048" s="237" t="str">
        <f>IFERROR(__xludf.DUMMYFUNCTION("""COMPUTED_VALUE"""),"LT1PCI01UR6B1")</f>
        <v>LT1PCI01UR6B1</v>
      </c>
      <c r="F3048" s="238" t="str">
        <f>IFERROR(__xludf.DUMMYFUNCTION("""COMPUTED_VALUE"""),"MIL7D34,SXJ0H66")</f>
        <v>MIL7D34,SXJ0H66</v>
      </c>
      <c r="G3048" s="238">
        <f>IFERROR(__xludf.DUMMYFUNCTION("""COMPUTED_VALUE"""),46009.95833333333)</f>
        <v>46009.95833</v>
      </c>
      <c r="H3048" s="238">
        <f>IFERROR(__xludf.DUMMYFUNCTION("""COMPUTED_VALUE"""),46010.33333333333)</f>
        <v>46010.33333</v>
      </c>
      <c r="I3048" s="237" t="str">
        <f t="shared" si="1"/>
        <v>Fora</v>
      </c>
      <c r="J3048" s="239">
        <v>479.9999999930151</v>
      </c>
    </row>
    <row r="3049">
      <c r="A3049" s="234" t="s">
        <v>405</v>
      </c>
      <c r="B3049" s="234" t="str">
        <f>IFERROR(__xludf.DUMMYFUNCTION("""COMPUTED_VALUE"""),"SoC_MG_Betim")</f>
        <v>SoC_MG_Betim</v>
      </c>
      <c r="C3049" s="234" t="str">
        <f>IFERROR(__xludf.DUMMYFUNCTION("""COMPUTED_VALUE"""),"SOC-MG2")</f>
        <v>SOC-MG2</v>
      </c>
      <c r="D3049" s="234"/>
      <c r="E3049" s="237" t="str">
        <f>IFERROR(__xludf.DUMMYFUNCTION("""COMPUTED_VALUE"""),"LT1PCI01UR621")</f>
        <v>LT1PCI01UR621</v>
      </c>
      <c r="F3049" s="238" t="str">
        <f>IFERROR(__xludf.DUMMYFUNCTION("""COMPUTED_VALUE"""),"TXM5A25,STM8B65")</f>
        <v>TXM5A25,STM8B65</v>
      </c>
      <c r="G3049" s="238">
        <f>IFERROR(__xludf.DUMMYFUNCTION("""COMPUTED_VALUE"""),46010.0)</f>
        <v>46010</v>
      </c>
      <c r="H3049" s="238">
        <f>IFERROR(__xludf.DUMMYFUNCTION("""COMPUTED_VALUE"""),46010.33333333333)</f>
        <v>46010.33333</v>
      </c>
      <c r="I3049" s="237" t="str">
        <f t="shared" si="1"/>
        <v>Fora</v>
      </c>
      <c r="J3049" s="239">
        <v>360.0</v>
      </c>
    </row>
    <row r="3050">
      <c r="A3050" s="234" t="s">
        <v>406</v>
      </c>
      <c r="B3050" s="234" t="str">
        <f>IFERROR(__xludf.DUMMYFUNCTION("""COMPUTED_VALUE"""),"SoC_SP_Cravinhos")</f>
        <v>SoC_SP_Cravinhos</v>
      </c>
      <c r="C3050" s="234" t="str">
        <f>IFERROR(__xludf.DUMMYFUNCTION("""COMPUTED_VALUE"""),"SOC-SP5")</f>
        <v>SOC-SP5</v>
      </c>
      <c r="D3050" s="234"/>
      <c r="E3050" s="237" t="str">
        <f>IFERROR(__xludf.DUMMYFUNCTION("""COMPUTED_VALUE"""),"LT1PCI01UR5W1")</f>
        <v>LT1PCI01UR5W1</v>
      </c>
      <c r="F3050" s="238" t="str">
        <f>IFERROR(__xludf.DUMMYFUNCTION("""COMPUTED_VALUE"""),"UDG8A89,UFH2E88")</f>
        <v>UDG8A89,UFH2E88</v>
      </c>
      <c r="G3050" s="238">
        <f>IFERROR(__xludf.DUMMYFUNCTION("""COMPUTED_VALUE"""),46010.08333333333)</f>
        <v>46010.08333</v>
      </c>
      <c r="H3050" s="238">
        <f>IFERROR(__xludf.DUMMYFUNCTION("""COMPUTED_VALUE"""),46010.33333333333)</f>
        <v>46010.33333</v>
      </c>
      <c r="I3050" s="237" t="str">
        <f t="shared" si="1"/>
        <v>Fora</v>
      </c>
      <c r="J3050" s="239">
        <v>299.9999999930151</v>
      </c>
    </row>
    <row r="3051">
      <c r="A3051" s="234" t="s">
        <v>407</v>
      </c>
      <c r="B3051" s="234" t="str">
        <f>IFERROR(__xludf.DUMMYFUNCTION("""COMPUTED_VALUE"""),"SoC_RJ_Duque de Caxias")</f>
        <v>SoC_RJ_Duque de Caxias</v>
      </c>
      <c r="C3051" s="234" t="str">
        <f>IFERROR(__xludf.DUMMYFUNCTION("""COMPUTED_VALUE"""),"SOC-RJ2")</f>
        <v>SOC-RJ2</v>
      </c>
      <c r="D3051" s="234"/>
      <c r="E3051" s="237" t="str">
        <f>IFERROR(__xludf.DUMMYFUNCTION("""COMPUTED_VALUE"""),"LT1PCI01UR601")</f>
        <v>LT1PCI01UR601</v>
      </c>
      <c r="F3051" s="238" t="str">
        <f>IFERROR(__xludf.DUMMYFUNCTION("""COMPUTED_VALUE"""),"QJQ7C17,EZE0860")</f>
        <v>QJQ7C17,EZE0860</v>
      </c>
      <c r="G3051" s="238">
        <f>IFERROR(__xludf.DUMMYFUNCTION("""COMPUTED_VALUE"""),46010.125)</f>
        <v>46010.125</v>
      </c>
      <c r="H3051" s="238">
        <f>IFERROR(__xludf.DUMMYFUNCTION("""COMPUTED_VALUE"""),46010.33333333333)</f>
        <v>46010.33333</v>
      </c>
      <c r="I3051" s="237" t="str">
        <f t="shared" si="1"/>
        <v>Fora</v>
      </c>
      <c r="J3051" s="239">
        <v>479.9999999930151</v>
      </c>
    </row>
    <row r="3052">
      <c r="A3052" s="234" t="s">
        <v>408</v>
      </c>
      <c r="B3052" s="234" t="str">
        <f>IFERROR(__xludf.DUMMYFUNCTION("""COMPUTED_VALUE"""),"SoC_BA_Simoes Filho")</f>
        <v>SoC_BA_Simoes Filho</v>
      </c>
      <c r="C3052" s="234" t="str">
        <f>IFERROR(__xludf.DUMMYFUNCTION("""COMPUTED_VALUE"""),"SOC-BA2")</f>
        <v>SOC-BA2</v>
      </c>
      <c r="D3052" s="234"/>
      <c r="E3052" s="237" t="str">
        <f>IFERROR(__xludf.DUMMYFUNCTION("""COMPUTED_VALUE"""),"LT1PCJ01URZD1")</f>
        <v>LT1PCJ01URZD1</v>
      </c>
      <c r="F3052" s="238" t="str">
        <f>IFERROR(__xludf.DUMMYFUNCTION("""COMPUTED_VALUE"""),"TEA5I98,TEA5F05")</f>
        <v>TEA5I98,TEA5F05</v>
      </c>
      <c r="G3052" s="238">
        <f>IFERROR(__xludf.DUMMYFUNCTION("""COMPUTED_VALUE"""),46010.04166666667)</f>
        <v>46010.04167</v>
      </c>
      <c r="H3052" s="238">
        <f>IFERROR(__xludf.DUMMYFUNCTION("""COMPUTED_VALUE"""),46010.375)</f>
        <v>46010.375</v>
      </c>
      <c r="I3052" s="237" t="str">
        <f t="shared" si="1"/>
        <v>Fora</v>
      </c>
      <c r="J3052" s="239">
        <v>119.99999999301508</v>
      </c>
    </row>
    <row r="3053">
      <c r="A3053" s="234" t="s">
        <v>4469</v>
      </c>
      <c r="B3053" s="234" t="str">
        <f>IFERROR(__xludf.DUMMYFUNCTION("""COMPUTED_VALUE"""),"SoC_MG_Betim")</f>
        <v>SoC_MG_Betim</v>
      </c>
      <c r="C3053" s="234" t="str">
        <f>IFERROR(__xludf.DUMMYFUNCTION("""COMPUTED_VALUE"""),"SOC-MG2")</f>
        <v>SOC-MG2</v>
      </c>
      <c r="D3053" s="234">
        <f>IFERROR(__xludf.DUMMYFUNCTION("""COMPUTED_VALUE"""),91.0)</f>
        <v>91</v>
      </c>
      <c r="E3053" s="237" t="str">
        <f>IFERROR(__xludf.DUMMYFUNCTION("""COMPUTED_VALUE"""),"LT1PCJ01V15I1")</f>
        <v>LT1PCJ01V15I1</v>
      </c>
      <c r="F3053" s="238" t="str">
        <f>IFERROR(__xludf.DUMMYFUNCTION("""COMPUTED_VALUE"""),"SWX3E45,DVS4J05")</f>
        <v>SWX3E45,DVS4J05</v>
      </c>
      <c r="G3053" s="238">
        <f>IFERROR(__xludf.DUMMYFUNCTION("""COMPUTED_VALUE"""),46010.79166666667)</f>
        <v>46010.79167</v>
      </c>
      <c r="H3053" s="238">
        <f>IFERROR(__xludf.DUMMYFUNCTION("""COMPUTED_VALUE"""),46010.875)</f>
        <v>46010.875</v>
      </c>
      <c r="I3053" s="237" t="str">
        <f t="shared" si="1"/>
        <v>Fora</v>
      </c>
      <c r="J3053" s="239">
        <v>540.0</v>
      </c>
    </row>
    <row r="3054">
      <c r="A3054" s="234" t="s">
        <v>4470</v>
      </c>
      <c r="B3054" s="234" t="str">
        <f>IFERROR(__xludf.DUMMYFUNCTION("""COMPUTED_VALUE"""),"SoC_GO_Goiânia_02")</f>
        <v>SoC_GO_Goiânia_02</v>
      </c>
      <c r="C3054" s="234" t="str">
        <f>IFERROR(__xludf.DUMMYFUNCTION("""COMPUTED_VALUE"""),"SOC-GO2")</f>
        <v>SOC-GO2</v>
      </c>
      <c r="D3054" s="234">
        <f>IFERROR(__xludf.DUMMYFUNCTION("""COMPUTED_VALUE"""),86.0)</f>
        <v>86</v>
      </c>
      <c r="E3054" s="237" t="str">
        <f>IFERROR(__xludf.DUMMYFUNCTION("""COMPUTED_VALUE"""),"LT0PCJ01UI6W1")</f>
        <v>LT0PCJ01UI6W1</v>
      </c>
      <c r="F3054" s="238" t="str">
        <f>IFERROR(__xludf.DUMMYFUNCTION("""COMPUTED_VALUE"""),"RFD3G51,EFW6D40")</f>
        <v>RFD3G51,EFW6D40</v>
      </c>
      <c r="G3054" s="238">
        <f>IFERROR(__xludf.DUMMYFUNCTION("""COMPUTED_VALUE"""),46010.58333333333)</f>
        <v>46010.58333</v>
      </c>
      <c r="H3054" s="238">
        <f>IFERROR(__xludf.DUMMYFUNCTION("""COMPUTED_VALUE"""),46010.95833333333)</f>
        <v>46010.95833</v>
      </c>
      <c r="I3054" s="237" t="str">
        <f t="shared" si="1"/>
        <v>Fora</v>
      </c>
      <c r="J3054" s="239">
        <v>537.9999999934807</v>
      </c>
    </row>
    <row r="3055">
      <c r="A3055" s="234" t="s">
        <v>4471</v>
      </c>
      <c r="B3055" s="234" t="str">
        <f>IFERROR(__xludf.DUMMYFUNCTION("""COMPUTED_VALUE"""),"SoC_BA_Simoes Filho")</f>
        <v>SoC_BA_Simoes Filho</v>
      </c>
      <c r="C3055" s="234" t="str">
        <f>IFERROR(__xludf.DUMMYFUNCTION("""COMPUTED_VALUE"""),"SOC-BA2")</f>
        <v>SOC-BA2</v>
      </c>
      <c r="D3055" s="234">
        <f>IFERROR(__xludf.DUMMYFUNCTION("""COMPUTED_VALUE"""),88.0)</f>
        <v>88</v>
      </c>
      <c r="E3055" s="237" t="str">
        <f>IFERROR(__xludf.DUMMYFUNCTION("""COMPUTED_VALUE"""),"LT0PCJ01UHYP1")</f>
        <v>LT0PCJ01UHYP1</v>
      </c>
      <c r="F3055" s="238" t="str">
        <f>IFERROR(__xludf.DUMMYFUNCTION("""COMPUTED_VALUE"""),"TKB2G59,TEG4G84")</f>
        <v>TKB2G59,TEG4G84</v>
      </c>
      <c r="G3055" s="238">
        <f>IFERROR(__xludf.DUMMYFUNCTION("""COMPUTED_VALUE"""),46010.58472222222)</f>
        <v>46010.58472</v>
      </c>
      <c r="H3055" s="238">
        <f>IFERROR(__xludf.DUMMYFUNCTION("""COMPUTED_VALUE"""),46010.95833333333)</f>
        <v>46010.95833</v>
      </c>
      <c r="I3055" s="237" t="str">
        <f t="shared" si="1"/>
        <v>Fora</v>
      </c>
      <c r="J3055" s="239">
        <v>120.00000001396984</v>
      </c>
    </row>
    <row r="3056">
      <c r="A3056" s="234" t="s">
        <v>4472</v>
      </c>
      <c r="B3056" s="234" t="str">
        <f>IFERROR(__xludf.DUMMYFUNCTION("""COMPUTED_VALUE"""),"LM Hub_SP_Itaqua_Zimba")</f>
        <v>LM Hub_SP_Itaqua_Zimba</v>
      </c>
      <c r="C3056" s="234" t="str">
        <f>IFERROR(__xludf.DUMMYFUNCTION("""COMPUTED_VALUE"""),"HUB-LSP-74")</f>
        <v>HUB-LSP-74</v>
      </c>
      <c r="D3056" s="234">
        <f>IFERROR(__xludf.DUMMYFUNCTION("""COMPUTED_VALUE"""),32.0)</f>
        <v>32</v>
      </c>
      <c r="E3056" s="237" t="str">
        <f>IFERROR(__xludf.DUMMYFUNCTION("""COMPUTED_VALUE"""),"LT0PCJ01UBXA1")</f>
        <v>LT0PCJ01UBXA1</v>
      </c>
      <c r="F3056" s="238" t="str">
        <f>IFERROR(__xludf.DUMMYFUNCTION("""COMPUTED_VALUE"""),"FQB9D27,GGI8F52")</f>
        <v>FQB9D27,GGI8F52</v>
      </c>
      <c r="G3056" s="238">
        <f>IFERROR(__xludf.DUMMYFUNCTION("""COMPUTED_VALUE"""),46010.89583333333)</f>
        <v>46010.89583</v>
      </c>
      <c r="H3056" s="238">
        <f>IFERROR(__xludf.DUMMYFUNCTION("""COMPUTED_VALUE"""),46010.97916666667)</f>
        <v>46010.97917</v>
      </c>
      <c r="I3056" s="237" t="str">
        <f t="shared" si="1"/>
        <v>Fora</v>
      </c>
      <c r="J3056" s="239">
        <v>120.00000001396984</v>
      </c>
    </row>
    <row r="3057">
      <c r="A3057" s="234" t="s">
        <v>4473</v>
      </c>
      <c r="B3057" s="234" t="str">
        <f>IFERROR(__xludf.DUMMYFUNCTION("""COMPUTED_VALUE"""),"LM Hub_SP_Santos_Praia Grande")</f>
        <v>LM Hub_SP_Santos_Praia Grande</v>
      </c>
      <c r="C3057" s="234" t="str">
        <f>IFERROR(__xludf.DUMMYFUNCTION("""COMPUTED_VALUE"""),"HUB-LSP-09")</f>
        <v>HUB-LSP-09</v>
      </c>
      <c r="D3057" s="234"/>
      <c r="E3057" s="237" t="str">
        <f>IFERROR(__xludf.DUMMYFUNCTION("""COMPUTED_VALUE"""),"LT0PCJ01UBZ61")</f>
        <v>LT0PCJ01UBZ61</v>
      </c>
      <c r="F3057" s="234"/>
      <c r="G3057" s="238">
        <f>IFERROR(__xludf.DUMMYFUNCTION("""COMPUTED_VALUE"""),46010.89583333333)</f>
        <v>46010.89583</v>
      </c>
      <c r="H3057" s="238">
        <f>IFERROR(__xludf.DUMMYFUNCTION("""COMPUTED_VALUE"""),46010.97916666667)</f>
        <v>46010.97917</v>
      </c>
      <c r="I3057" s="237" t="str">
        <f t="shared" si="1"/>
        <v>Fora</v>
      </c>
      <c r="J3057" s="239">
        <v>120.00000001396984</v>
      </c>
    </row>
    <row r="3058">
      <c r="A3058" s="234" t="s">
        <v>4474</v>
      </c>
      <c r="B3058" s="234" t="str">
        <f>IFERROR(__xludf.DUMMYFUNCTION("""COMPUTED_VALUE"""),"LM Hub_SP_São José dos Campos")</f>
        <v>LM Hub_SP_São José dos Campos</v>
      </c>
      <c r="C3058" s="234" t="str">
        <f>IFERROR(__xludf.DUMMYFUNCTION("""COMPUTED_VALUE"""),"HUB-LSP-04")</f>
        <v>HUB-LSP-04</v>
      </c>
      <c r="D3058" s="234">
        <f>IFERROR(__xludf.DUMMYFUNCTION("""COMPUTED_VALUE"""),23.0)</f>
        <v>23</v>
      </c>
      <c r="E3058" s="237" t="str">
        <f>IFERROR(__xludf.DUMMYFUNCTION("""COMPUTED_VALUE"""),"LT0PCJ01U88O1")</f>
        <v>LT0PCJ01U88O1</v>
      </c>
      <c r="F3058" s="238" t="str">
        <f>IFERROR(__xludf.DUMMYFUNCTION("""COMPUTED_VALUE"""),"FYQ5533")</f>
        <v>FYQ5533</v>
      </c>
      <c r="G3058" s="238">
        <f>IFERROR(__xludf.DUMMYFUNCTION("""COMPUTED_VALUE"""),46010.89583333333)</f>
        <v>46010.89583</v>
      </c>
      <c r="H3058" s="238">
        <f>IFERROR(__xludf.DUMMYFUNCTION("""COMPUTED_VALUE"""),46010.97916666667)</f>
        <v>46010.97917</v>
      </c>
      <c r="I3058" s="237" t="str">
        <f t="shared" si="1"/>
        <v>Fora</v>
      </c>
      <c r="J3058" s="239">
        <v>120.00000001396984</v>
      </c>
    </row>
    <row r="3059">
      <c r="A3059" s="234" t="s">
        <v>4475</v>
      </c>
      <c r="B3059" s="234" t="str">
        <f>IFERROR(__xludf.DUMMYFUNCTION("""COMPUTED_VALUE"""),"LM Hub_SP_São José dos Campos")</f>
        <v>LM Hub_SP_São José dos Campos</v>
      </c>
      <c r="C3059" s="234" t="str">
        <f>IFERROR(__xludf.DUMMYFUNCTION("""COMPUTED_VALUE"""),"HUB-LSP-04")</f>
        <v>HUB-LSP-04</v>
      </c>
      <c r="D3059" s="234">
        <f>IFERROR(__xludf.DUMMYFUNCTION("""COMPUTED_VALUE"""),24.0)</f>
        <v>24</v>
      </c>
      <c r="E3059" s="237" t="str">
        <f>IFERROR(__xludf.DUMMYFUNCTION("""COMPUTED_VALUE"""),"LT0PCJ01U88Q2")</f>
        <v>LT0PCJ01U88Q2</v>
      </c>
      <c r="F3059" s="238" t="str">
        <f>IFERROR(__xludf.DUMMYFUNCTION("""COMPUTED_VALUE"""),"TIR7J78")</f>
        <v>TIR7J78</v>
      </c>
      <c r="G3059" s="238">
        <f>IFERROR(__xludf.DUMMYFUNCTION("""COMPUTED_VALUE"""),46010.89583333333)</f>
        <v>46010.89583</v>
      </c>
      <c r="H3059" s="238">
        <f>IFERROR(__xludf.DUMMYFUNCTION("""COMPUTED_VALUE"""),46010.97916666667)</f>
        <v>46010.97917</v>
      </c>
      <c r="I3059" s="237" t="str">
        <f t="shared" si="1"/>
        <v>Fora</v>
      </c>
      <c r="J3059" s="239">
        <v>120.00000001396984</v>
      </c>
    </row>
    <row r="3060">
      <c r="A3060" s="234" t="s">
        <v>4476</v>
      </c>
      <c r="B3060" s="234" t="str">
        <f>IFERROR(__xludf.DUMMYFUNCTION("""COMPUTED_VALUE"""),"LM Hub_SP_São Paulo_Lapa")</f>
        <v>LM Hub_SP_São Paulo_Lapa</v>
      </c>
      <c r="C3060" s="234" t="str">
        <f>IFERROR(__xludf.DUMMYFUNCTION("""COMPUTED_VALUE"""),"HUB-LSP-15")</f>
        <v>HUB-LSP-15</v>
      </c>
      <c r="D3060" s="234">
        <f>IFERROR(__xludf.DUMMYFUNCTION("""COMPUTED_VALUE"""),12.0)</f>
        <v>12</v>
      </c>
      <c r="E3060" s="237" t="str">
        <f>IFERROR(__xludf.DUMMYFUNCTION("""COMPUTED_VALUE"""),"LT0PCJ01UBVR1")</f>
        <v>LT0PCJ01UBVR1</v>
      </c>
      <c r="F3060" s="238" t="str">
        <f>IFERROR(__xludf.DUMMYFUNCTION("""COMPUTED_VALUE"""),"EZL3F51,DJB2582")</f>
        <v>EZL3F51,DJB2582</v>
      </c>
      <c r="G3060" s="238">
        <f>IFERROR(__xludf.DUMMYFUNCTION("""COMPUTED_VALUE"""),46010.89583333333)</f>
        <v>46010.89583</v>
      </c>
      <c r="H3060" s="238">
        <f>IFERROR(__xludf.DUMMYFUNCTION("""COMPUTED_VALUE"""),46010.97916666667)</f>
        <v>46010.97917</v>
      </c>
      <c r="I3060" s="237" t="str">
        <f t="shared" si="1"/>
        <v>Fora</v>
      </c>
      <c r="J3060" s="239">
        <v>120.00000001396984</v>
      </c>
    </row>
    <row r="3061">
      <c r="A3061" s="234" t="s">
        <v>4477</v>
      </c>
      <c r="B3061" s="234" t="str">
        <f>IFERROR(__xludf.DUMMYFUNCTION("""COMPUTED_VALUE"""),"LM Hub_SP_São Paulo_Lapa")</f>
        <v>LM Hub_SP_São Paulo_Lapa</v>
      </c>
      <c r="C3061" s="234" t="str">
        <f>IFERROR(__xludf.DUMMYFUNCTION("""COMPUTED_VALUE"""),"HUB-LSP-15")</f>
        <v>HUB-LSP-15</v>
      </c>
      <c r="D3061" s="234">
        <f>IFERROR(__xludf.DUMMYFUNCTION("""COMPUTED_VALUE"""),38.0)</f>
        <v>38</v>
      </c>
      <c r="E3061" s="237" t="str">
        <f>IFERROR(__xludf.DUMMYFUNCTION("""COMPUTED_VALUE"""),"LT1PCJ01V2JZ1")</f>
        <v>LT1PCJ01V2JZ1</v>
      </c>
      <c r="F3061" s="238" t="str">
        <f>IFERROR(__xludf.DUMMYFUNCTION("""COMPUTED_VALUE"""),"GCV3B24,SVJ0A14")</f>
        <v>GCV3B24,SVJ0A14</v>
      </c>
      <c r="G3061" s="238">
        <f>IFERROR(__xludf.DUMMYFUNCTION("""COMPUTED_VALUE"""),46010.89583333333)</f>
        <v>46010.89583</v>
      </c>
      <c r="H3061" s="238">
        <f>IFERROR(__xludf.DUMMYFUNCTION("""COMPUTED_VALUE"""),46010.97916666667)</f>
        <v>46010.97917</v>
      </c>
      <c r="I3061" s="237" t="str">
        <f t="shared" si="1"/>
        <v>Fora</v>
      </c>
      <c r="J3061" s="239">
        <v>119.00000001071021</v>
      </c>
    </row>
    <row r="3062">
      <c r="A3062" s="234" t="s">
        <v>4478</v>
      </c>
      <c r="B3062" s="234" t="str">
        <f>IFERROR(__xludf.DUMMYFUNCTION("""COMPUTED_VALUE"""),"LM Hub_SP_Jurubatuba")</f>
        <v>LM Hub_SP_Jurubatuba</v>
      </c>
      <c r="C3062" s="234" t="str">
        <f>IFERROR(__xludf.DUMMYFUNCTION("""COMPUTED_VALUE"""),"HUB-LSP-16")</f>
        <v>HUB-LSP-16</v>
      </c>
      <c r="D3062" s="234">
        <f>IFERROR(__xludf.DUMMYFUNCTION("""COMPUTED_VALUE"""),21.0)</f>
        <v>21</v>
      </c>
      <c r="E3062" s="237" t="str">
        <f>IFERROR(__xludf.DUMMYFUNCTION("""COMPUTED_VALUE"""),"LT0PCJ01U8831")</f>
        <v>LT0PCJ01U8831</v>
      </c>
      <c r="F3062" s="238" t="str">
        <f>IFERROR(__xludf.DUMMYFUNCTION("""COMPUTED_VALUE"""),"DTD4722,NCK7E66")</f>
        <v>DTD4722,NCK7E66</v>
      </c>
      <c r="G3062" s="238">
        <f>IFERROR(__xludf.DUMMYFUNCTION("""COMPUTED_VALUE"""),46010.896527777775)</f>
        <v>46010.89653</v>
      </c>
      <c r="H3062" s="238">
        <f>IFERROR(__xludf.DUMMYFUNCTION("""COMPUTED_VALUE"""),46010.97916666667)</f>
        <v>46010.97917</v>
      </c>
      <c r="I3062" s="237" t="str">
        <f t="shared" si="1"/>
        <v>Fora</v>
      </c>
      <c r="J3062" s="239">
        <v>118.99999998975545</v>
      </c>
    </row>
    <row r="3063">
      <c r="A3063" s="234" t="s">
        <v>4479</v>
      </c>
      <c r="B3063" s="234" t="str">
        <f>IFERROR(__xludf.DUMMYFUNCTION("""COMPUTED_VALUE"""),"LM Hub_SP_Guarujá")</f>
        <v>LM Hub_SP_Guarujá</v>
      </c>
      <c r="C3063" s="234" t="str">
        <f>IFERROR(__xludf.DUMMYFUNCTION("""COMPUTED_VALUE"""),"HUB-LSP-06")</f>
        <v>HUB-LSP-06</v>
      </c>
      <c r="D3063" s="234">
        <f>IFERROR(__xludf.DUMMYFUNCTION("""COMPUTED_VALUE"""),6.0)</f>
        <v>6</v>
      </c>
      <c r="E3063" s="237" t="str">
        <f>IFERROR(__xludf.DUMMYFUNCTION("""COMPUTED_VALUE"""),"LT0PCJ01UBY61")</f>
        <v>LT0PCJ01UBY61</v>
      </c>
      <c r="F3063" s="238" t="str">
        <f>IFERROR(__xludf.DUMMYFUNCTION("""COMPUTED_VALUE"""),"SVL5H32")</f>
        <v>SVL5H32</v>
      </c>
      <c r="G3063" s="238">
        <f>IFERROR(__xludf.DUMMYFUNCTION("""COMPUTED_VALUE"""),46010.91666666667)</f>
        <v>46010.91667</v>
      </c>
      <c r="H3063" s="238">
        <f>IFERROR(__xludf.DUMMYFUNCTION("""COMPUTED_VALUE"""),46010.99930555555)</f>
        <v>46010.99931</v>
      </c>
      <c r="I3063" s="237" t="str">
        <f t="shared" si="1"/>
        <v>Fora</v>
      </c>
      <c r="J3063" s="239">
        <v>118.99999998975545</v>
      </c>
    </row>
    <row r="3064">
      <c r="A3064" s="234" t="s">
        <v>4480</v>
      </c>
      <c r="B3064" s="234" t="str">
        <f>IFERROR(__xludf.DUMMYFUNCTION("""COMPUTED_VALUE"""),"LM Hub_SP_Santo André")</f>
        <v>LM Hub_SP_Santo André</v>
      </c>
      <c r="C3064" s="234" t="str">
        <f>IFERROR(__xludf.DUMMYFUNCTION("""COMPUTED_VALUE"""),"HUB-LSP-93")</f>
        <v>HUB-LSP-93</v>
      </c>
      <c r="D3064" s="234">
        <f>IFERROR(__xludf.DUMMYFUNCTION("""COMPUTED_VALUE"""),16.0)</f>
        <v>16</v>
      </c>
      <c r="E3064" s="237" t="str">
        <f>IFERROR(__xludf.DUMMYFUNCTION("""COMPUTED_VALUE"""),"LT0PCJ01UETP1")</f>
        <v>LT0PCJ01UETP1</v>
      </c>
      <c r="F3064" s="238" t="str">
        <f>IFERROR(__xludf.DUMMYFUNCTION("""COMPUTED_VALUE"""),"CSN7991,EGJ9544")</f>
        <v>CSN7991,EGJ9544</v>
      </c>
      <c r="G3064" s="238">
        <f>IFERROR(__xludf.DUMMYFUNCTION("""COMPUTED_VALUE"""),46010.91666666667)</f>
        <v>46010.91667</v>
      </c>
      <c r="H3064" s="238">
        <f>IFERROR(__xludf.DUMMYFUNCTION("""COMPUTED_VALUE"""),46010.99930555555)</f>
        <v>46010.99931</v>
      </c>
      <c r="I3064" s="237" t="str">
        <f t="shared" si="1"/>
        <v>Fora</v>
      </c>
      <c r="J3064" s="239">
        <v>119.99999999301508</v>
      </c>
    </row>
    <row r="3065">
      <c r="A3065" s="234" t="s">
        <v>4481</v>
      </c>
      <c r="B3065" s="234" t="str">
        <f>IFERROR(__xludf.DUMMYFUNCTION("""COMPUTED_VALUE"""),"LM Hub_SP_Artur Alvim")</f>
        <v>LM Hub_SP_Artur Alvim</v>
      </c>
      <c r="C3065" s="234" t="str">
        <f>IFERROR(__xludf.DUMMYFUNCTION("""COMPUTED_VALUE"""),"HUB-LSP-07")</f>
        <v>HUB-LSP-07</v>
      </c>
      <c r="D3065" s="234">
        <f>IFERROR(__xludf.DUMMYFUNCTION("""COMPUTED_VALUE"""),14.0)</f>
        <v>14</v>
      </c>
      <c r="E3065" s="237" t="str">
        <f>IFERROR(__xludf.DUMMYFUNCTION("""COMPUTED_VALUE"""),"LT0PCJ01UBVC1")</f>
        <v>LT0PCJ01UBVC1</v>
      </c>
      <c r="F3065" s="238" t="str">
        <f>IFERROR(__xludf.DUMMYFUNCTION("""COMPUTED_VALUE"""),"NKW3F61,STD9E75")</f>
        <v>NKW3F61,STD9E75</v>
      </c>
      <c r="G3065" s="238">
        <f>IFERROR(__xludf.DUMMYFUNCTION("""COMPUTED_VALUE"""),46010.91666666667)</f>
        <v>46010.91667</v>
      </c>
      <c r="H3065" s="238">
        <f>IFERROR(__xludf.DUMMYFUNCTION("""COMPUTED_VALUE"""),46011.0)</f>
        <v>46011</v>
      </c>
      <c r="I3065" s="237" t="str">
        <f t="shared" si="1"/>
        <v>Fora</v>
      </c>
      <c r="J3065" s="239">
        <v>119.99999999301508</v>
      </c>
    </row>
    <row r="3066">
      <c r="A3066" s="234" t="s">
        <v>4482</v>
      </c>
      <c r="B3066" s="234" t="str">
        <f>IFERROR(__xludf.DUMMYFUNCTION("""COMPUTED_VALUE"""),"LM Hub_SP_Barueri_01")</f>
        <v>LM Hub_SP_Barueri_01</v>
      </c>
      <c r="C3066" s="234" t="str">
        <f>IFERROR(__xludf.DUMMYFUNCTION("""COMPUTED_VALUE"""),"HUB-LSP-81")</f>
        <v>HUB-LSP-81</v>
      </c>
      <c r="D3066" s="234">
        <f>IFERROR(__xludf.DUMMYFUNCTION("""COMPUTED_VALUE"""),9.0)</f>
        <v>9</v>
      </c>
      <c r="E3066" s="237" t="str">
        <f>IFERROR(__xludf.DUMMYFUNCTION("""COMPUTED_VALUE"""),"LT0PCJ01UHL01")</f>
        <v>LT0PCJ01UHL01</v>
      </c>
      <c r="F3066" s="238" t="str">
        <f>IFERROR(__xludf.DUMMYFUNCTION("""COMPUTED_VALUE"""),"SUQ5C99,TLD5B82")</f>
        <v>SUQ5C99,TLD5B82</v>
      </c>
      <c r="G3066" s="238">
        <f>IFERROR(__xludf.DUMMYFUNCTION("""COMPUTED_VALUE"""),46010.91666666667)</f>
        <v>46010.91667</v>
      </c>
      <c r="H3066" s="238">
        <f>IFERROR(__xludf.DUMMYFUNCTION("""COMPUTED_VALUE"""),46011.0)</f>
        <v>46011</v>
      </c>
      <c r="I3066" s="237" t="str">
        <f t="shared" si="1"/>
        <v>Fora</v>
      </c>
      <c r="J3066" s="239">
        <v>119.99999999301508</v>
      </c>
    </row>
    <row r="3067">
      <c r="A3067" s="234" t="s">
        <v>4483</v>
      </c>
      <c r="B3067" s="234" t="str">
        <f>IFERROR(__xludf.DUMMYFUNCTION("""COMPUTED_VALUE"""),"LM Hub_SP_Guarulhos")</f>
        <v>LM Hub_SP_Guarulhos</v>
      </c>
      <c r="C3067" s="234" t="str">
        <f>IFERROR(__xludf.DUMMYFUNCTION("""COMPUTED_VALUE"""),"HUB-LSP-77")</f>
        <v>HUB-LSP-77</v>
      </c>
      <c r="D3067" s="234">
        <f>IFERROR(__xludf.DUMMYFUNCTION("""COMPUTED_VALUE"""),45.0)</f>
        <v>45</v>
      </c>
      <c r="E3067" s="237" t="str">
        <f>IFERROR(__xludf.DUMMYFUNCTION("""COMPUTED_VALUE"""),"LT0PCJ01UCMU1")</f>
        <v>LT0PCJ01UCMU1</v>
      </c>
      <c r="F3067" s="238" t="str">
        <f>IFERROR(__xludf.DUMMYFUNCTION("""COMPUTED_VALUE"""),"ESU9B10,JOK0B33")</f>
        <v>ESU9B10,JOK0B33</v>
      </c>
      <c r="G3067" s="238">
        <f>IFERROR(__xludf.DUMMYFUNCTION("""COMPUTED_VALUE"""),46010.91666666667)</f>
        <v>46010.91667</v>
      </c>
      <c r="H3067" s="238">
        <f>IFERROR(__xludf.DUMMYFUNCTION("""COMPUTED_VALUE"""),46011.0)</f>
        <v>46011</v>
      </c>
      <c r="I3067" s="237" t="str">
        <f t="shared" si="1"/>
        <v>Fora</v>
      </c>
      <c r="J3067" s="239">
        <v>119.99999999301508</v>
      </c>
    </row>
    <row r="3068">
      <c r="A3068" s="234" t="s">
        <v>4484</v>
      </c>
      <c r="B3068" s="234" t="str">
        <f>IFERROR(__xludf.DUMMYFUNCTION("""COMPUTED_VALUE"""),"LM Hub_SP_Itapevi")</f>
        <v>LM Hub_SP_Itapevi</v>
      </c>
      <c r="C3068" s="234" t="str">
        <f>IFERROR(__xludf.DUMMYFUNCTION("""COMPUTED_VALUE"""),"HUB-LSP-41")</f>
        <v>HUB-LSP-41</v>
      </c>
      <c r="D3068" s="234">
        <f>IFERROR(__xludf.DUMMYFUNCTION("""COMPUTED_VALUE"""),5.0)</f>
        <v>5</v>
      </c>
      <c r="E3068" s="237" t="str">
        <f>IFERROR(__xludf.DUMMYFUNCTION("""COMPUTED_VALUE"""),"LT0PCJ01UBWM1")</f>
        <v>LT0PCJ01UBWM1</v>
      </c>
      <c r="F3068" s="238" t="str">
        <f>IFERROR(__xludf.DUMMYFUNCTION("""COMPUTED_VALUE"""),"RBG0F94,PXI5321")</f>
        <v>RBG0F94,PXI5321</v>
      </c>
      <c r="G3068" s="238">
        <f>IFERROR(__xludf.DUMMYFUNCTION("""COMPUTED_VALUE"""),46010.91666666667)</f>
        <v>46010.91667</v>
      </c>
      <c r="H3068" s="238">
        <f>IFERROR(__xludf.DUMMYFUNCTION("""COMPUTED_VALUE"""),46011.0)</f>
        <v>46011</v>
      </c>
      <c r="I3068" s="237" t="str">
        <f t="shared" si="1"/>
        <v>Fora</v>
      </c>
      <c r="J3068" s="239">
        <v>119.99999999301508</v>
      </c>
    </row>
    <row r="3069">
      <c r="A3069" s="234" t="s">
        <v>4485</v>
      </c>
      <c r="B3069" s="234" t="str">
        <f>IFERROR(__xludf.DUMMYFUNCTION("""COMPUTED_VALUE"""),"LM Hub_SP_Mauá")</f>
        <v>LM Hub_SP_Mauá</v>
      </c>
      <c r="C3069" s="234" t="str">
        <f>IFERROR(__xludf.DUMMYFUNCTION("""COMPUTED_VALUE"""),"HUB-LSP-64")</f>
        <v>HUB-LSP-64</v>
      </c>
      <c r="D3069" s="234">
        <f>IFERROR(__xludf.DUMMYFUNCTION("""COMPUTED_VALUE"""),13.0)</f>
        <v>13</v>
      </c>
      <c r="E3069" s="237" t="str">
        <f>IFERROR(__xludf.DUMMYFUNCTION("""COMPUTED_VALUE"""),"LT0PCJ01UBX21")</f>
        <v>LT0PCJ01UBX21</v>
      </c>
      <c r="F3069" s="238" t="str">
        <f>IFERROR(__xludf.DUMMYFUNCTION("""COMPUTED_VALUE"""),"FQF6B98,DTA7802")</f>
        <v>FQF6B98,DTA7802</v>
      </c>
      <c r="G3069" s="238">
        <f>IFERROR(__xludf.DUMMYFUNCTION("""COMPUTED_VALUE"""),46010.91666666667)</f>
        <v>46010.91667</v>
      </c>
      <c r="H3069" s="238">
        <f>IFERROR(__xludf.DUMMYFUNCTION("""COMPUTED_VALUE"""),46011.0)</f>
        <v>46011</v>
      </c>
      <c r="I3069" s="237" t="str">
        <f t="shared" si="1"/>
        <v>Fora</v>
      </c>
      <c r="J3069" s="239">
        <v>119.99999999301508</v>
      </c>
    </row>
    <row r="3070">
      <c r="A3070" s="234" t="s">
        <v>4486</v>
      </c>
      <c r="B3070" s="234" t="str">
        <f>IFERROR(__xludf.DUMMYFUNCTION("""COMPUTED_VALUE"""),"LM Hub_SP_Santo André")</f>
        <v>LM Hub_SP_Santo André</v>
      </c>
      <c r="C3070" s="234" t="str">
        <f>IFERROR(__xludf.DUMMYFUNCTION("""COMPUTED_VALUE"""),"HUB-LSP-93")</f>
        <v>HUB-LSP-93</v>
      </c>
      <c r="D3070" s="234">
        <f>IFERROR(__xludf.DUMMYFUNCTION("""COMPUTED_VALUE"""),14.0)</f>
        <v>14</v>
      </c>
      <c r="E3070" s="237" t="str">
        <f>IFERROR(__xludf.DUMMYFUNCTION("""COMPUTED_VALUE"""),"LT0PCJ01UETZ1")</f>
        <v>LT0PCJ01UETZ1</v>
      </c>
      <c r="F3070" s="238" t="str">
        <f>IFERROR(__xludf.DUMMYFUNCTION("""COMPUTED_VALUE"""),"BKU9G23,TKD3E65")</f>
        <v>BKU9G23,TKD3E65</v>
      </c>
      <c r="G3070" s="238">
        <f>IFERROR(__xludf.DUMMYFUNCTION("""COMPUTED_VALUE"""),46010.91666666667)</f>
        <v>46010.91667</v>
      </c>
      <c r="H3070" s="238">
        <f>IFERROR(__xludf.DUMMYFUNCTION("""COMPUTED_VALUE"""),46011.0)</f>
        <v>46011</v>
      </c>
      <c r="I3070" s="237" t="str">
        <f t="shared" si="1"/>
        <v>Fora</v>
      </c>
      <c r="J3070" s="239">
        <v>119.99999999301508</v>
      </c>
    </row>
    <row r="3071">
      <c r="A3071" s="234" t="s">
        <v>4487</v>
      </c>
      <c r="B3071" s="234" t="str">
        <f>IFERROR(__xludf.DUMMYFUNCTION("""COMPUTED_VALUE"""),"LM Hub_SP_Suzano_Baruel")</f>
        <v>LM Hub_SP_Suzano_Baruel</v>
      </c>
      <c r="C3071" s="234" t="str">
        <f>IFERROR(__xludf.DUMMYFUNCTION("""COMPUTED_VALUE"""),"HUB-LSP-97")</f>
        <v>HUB-LSP-97</v>
      </c>
      <c r="D3071" s="234"/>
      <c r="E3071" s="237" t="str">
        <f>IFERROR(__xludf.DUMMYFUNCTION("""COMPUTED_VALUE"""),"LT0PCJ01UF3V1")</f>
        <v>LT0PCJ01UF3V1</v>
      </c>
      <c r="F3071" s="238" t="str">
        <f>IFERROR(__xludf.DUMMYFUNCTION("""COMPUTED_VALUE"""),"DPR5J10,FVZ1I26")</f>
        <v>DPR5J10,FVZ1I26</v>
      </c>
      <c r="G3071" s="238">
        <f>IFERROR(__xludf.DUMMYFUNCTION("""COMPUTED_VALUE"""),46010.9375)</f>
        <v>46010.9375</v>
      </c>
      <c r="H3071" s="238">
        <f>IFERROR(__xludf.DUMMYFUNCTION("""COMPUTED_VALUE"""),46011.02083333333)</f>
        <v>46011.02083</v>
      </c>
      <c r="I3071" s="237" t="str">
        <f t="shared" si="1"/>
        <v>Fora</v>
      </c>
      <c r="J3071" s="239">
        <v>119.99999999301508</v>
      </c>
    </row>
    <row r="3072">
      <c r="A3072" s="234" t="s">
        <v>4488</v>
      </c>
      <c r="B3072" s="234" t="str">
        <f>IFERROR(__xludf.DUMMYFUNCTION("""COMPUTED_VALUE"""),"LM Hub_SP_Parque Novo Mundo")</f>
        <v>LM Hub_SP_Parque Novo Mundo</v>
      </c>
      <c r="C3072" s="234" t="str">
        <f>IFERROR(__xludf.DUMMYFUNCTION("""COMPUTED_VALUE"""),"HUB-LSP-89")</f>
        <v>HUB-LSP-89</v>
      </c>
      <c r="D3072" s="234"/>
      <c r="E3072" s="237" t="str">
        <f>IFERROR(__xludf.DUMMYFUNCTION("""COMPUTED_VALUE"""),"LT0PCJ01U8FY1")</f>
        <v>LT0PCJ01U8FY1</v>
      </c>
      <c r="F3072" s="238" t="str">
        <f>IFERROR(__xludf.DUMMYFUNCTION("""COMPUTED_VALUE"""),"FNK8E47,FAM1829")</f>
        <v>FNK8E47,FAM1829</v>
      </c>
      <c r="G3072" s="238">
        <f>IFERROR(__xludf.DUMMYFUNCTION("""COMPUTED_VALUE"""),46010.9375)</f>
        <v>46010.9375</v>
      </c>
      <c r="H3072" s="238">
        <f>IFERROR(__xludf.DUMMYFUNCTION("""COMPUTED_VALUE"""),46011.02083333333)</f>
        <v>46011.02083</v>
      </c>
      <c r="I3072" s="237" t="str">
        <f t="shared" si="1"/>
        <v>Fora</v>
      </c>
      <c r="J3072" s="239">
        <v>119.99999999301508</v>
      </c>
    </row>
    <row r="3073">
      <c r="A3073" s="234" t="s">
        <v>4489</v>
      </c>
      <c r="B3073" s="234" t="str">
        <f>IFERROR(__xludf.DUMMYFUNCTION("""COMPUTED_VALUE"""),"LM Hub_SP_Piracicaba")</f>
        <v>LM Hub_SP_Piracicaba</v>
      </c>
      <c r="C3073" s="234" t="str">
        <f>IFERROR(__xludf.DUMMYFUNCTION("""COMPUTED_VALUE"""),"HUB-LSP-62")</f>
        <v>HUB-LSP-62</v>
      </c>
      <c r="D3073" s="234">
        <f>IFERROR(__xludf.DUMMYFUNCTION("""COMPUTED_VALUE"""),28.0)</f>
        <v>28</v>
      </c>
      <c r="E3073" s="237" t="str">
        <f>IFERROR(__xludf.DUMMYFUNCTION("""COMPUTED_VALUE"""),"LT0PCJ01UCN61")</f>
        <v>LT0PCJ01UCN61</v>
      </c>
      <c r="F3073" s="238" t="str">
        <f>IFERROR(__xludf.DUMMYFUNCTION("""COMPUTED_VALUE"""),"EOF4D32")</f>
        <v>EOF4D32</v>
      </c>
      <c r="G3073" s="238">
        <f>IFERROR(__xludf.DUMMYFUNCTION("""COMPUTED_VALUE"""),46010.9375)</f>
        <v>46010.9375</v>
      </c>
      <c r="H3073" s="238">
        <f>IFERROR(__xludf.DUMMYFUNCTION("""COMPUTED_VALUE"""),46011.02083333333)</f>
        <v>46011.02083</v>
      </c>
      <c r="I3073" s="237" t="str">
        <f t="shared" si="1"/>
        <v>Fora</v>
      </c>
      <c r="J3073" s="239">
        <v>119.99999999301508</v>
      </c>
    </row>
    <row r="3074">
      <c r="A3074" s="234" t="s">
        <v>4490</v>
      </c>
      <c r="B3074" s="234" t="str">
        <f>IFERROR(__xludf.DUMMYFUNCTION("""COMPUTED_VALUE"""),"LM Hub_SP_São Paulo_Carandiru")</f>
        <v>LM Hub_SP_São Paulo_Carandiru</v>
      </c>
      <c r="C3074" s="234" t="str">
        <f>IFERROR(__xludf.DUMMYFUNCTION("""COMPUTED_VALUE"""),"HUB-LSP-18")</f>
        <v>HUB-LSP-18</v>
      </c>
      <c r="D3074" s="234">
        <f>IFERROR(__xludf.DUMMYFUNCTION("""COMPUTED_VALUE"""),34.0)</f>
        <v>34</v>
      </c>
      <c r="E3074" s="237" t="str">
        <f>IFERROR(__xludf.DUMMYFUNCTION("""COMPUTED_VALUE"""),"LT0PCJ01UBW41")</f>
        <v>LT0PCJ01UBW41</v>
      </c>
      <c r="F3074" s="238" t="str">
        <f>IFERROR(__xludf.DUMMYFUNCTION("""COMPUTED_VALUE"""),"FBH4883")</f>
        <v>FBH4883</v>
      </c>
      <c r="G3074" s="238">
        <f>IFERROR(__xludf.DUMMYFUNCTION("""COMPUTED_VALUE"""),46010.9375)</f>
        <v>46010.9375</v>
      </c>
      <c r="H3074" s="238">
        <f>IFERROR(__xludf.DUMMYFUNCTION("""COMPUTED_VALUE"""),46011.02083333333)</f>
        <v>46011.02083</v>
      </c>
      <c r="I3074" s="237" t="str">
        <f t="shared" si="1"/>
        <v>Fora</v>
      </c>
      <c r="J3074" s="239">
        <v>118.99999998975545</v>
      </c>
    </row>
    <row r="3075">
      <c r="A3075" s="234" t="s">
        <v>4491</v>
      </c>
      <c r="B3075" s="234" t="str">
        <f>IFERROR(__xludf.DUMMYFUNCTION("""COMPUTED_VALUE"""),"LM Hub_SP_VilaGuilherme")</f>
        <v>LM Hub_SP_VilaGuilherme</v>
      </c>
      <c r="C3075" s="234" t="str">
        <f>IFERROR(__xludf.DUMMYFUNCTION("""COMPUTED_VALUE"""),"HUB-LSP-68")</f>
        <v>HUB-LSP-68</v>
      </c>
      <c r="D3075" s="234">
        <f>IFERROR(__xludf.DUMMYFUNCTION("""COMPUTED_VALUE"""),19.0)</f>
        <v>19</v>
      </c>
      <c r="E3075" s="237" t="str">
        <f>IFERROR(__xludf.DUMMYFUNCTION("""COMPUTED_VALUE"""),"LT0PCJ01U8891")</f>
        <v>LT0PCJ01U8891</v>
      </c>
      <c r="F3075" s="238" t="str">
        <f>IFERROR(__xludf.DUMMYFUNCTION("""COMPUTED_VALUE"""),"HFD4H27")</f>
        <v>HFD4H27</v>
      </c>
      <c r="G3075" s="238">
        <f>IFERROR(__xludf.DUMMYFUNCTION("""COMPUTED_VALUE"""),46010.93819444445)</f>
        <v>46010.93819</v>
      </c>
      <c r="H3075" s="238">
        <f>IFERROR(__xludf.DUMMYFUNCTION("""COMPUTED_VALUE"""),46011.02083333333)</f>
        <v>46011.02083</v>
      </c>
      <c r="I3075" s="237" t="str">
        <f t="shared" si="1"/>
        <v>Fora</v>
      </c>
      <c r="J3075" s="239">
        <v>120.00000001396984</v>
      </c>
    </row>
    <row r="3076">
      <c r="A3076" s="234" t="s">
        <v>4492</v>
      </c>
      <c r="B3076" s="234" t="str">
        <f>IFERROR(__xludf.DUMMYFUNCTION("""COMPUTED_VALUE"""),"LM Hub_SP_Osasco_02")</f>
        <v>LM Hub_SP_Osasco_02</v>
      </c>
      <c r="C3076" s="234" t="str">
        <f>IFERROR(__xludf.DUMMYFUNCTION("""COMPUTED_VALUE"""),"HUB-LSP-60")</f>
        <v>HUB-LSP-60</v>
      </c>
      <c r="D3076" s="234"/>
      <c r="E3076" s="237" t="str">
        <f>IFERROR(__xludf.DUMMYFUNCTION("""COMPUTED_VALUE"""),"LT0PCJ01UBWT1")</f>
        <v>LT0PCJ01UBWT1</v>
      </c>
      <c r="F3076" s="238" t="str">
        <f>IFERROR(__xludf.DUMMYFUNCTION("""COMPUTED_VALUE"""),"EGJ5D59,TKR9B83")</f>
        <v>EGJ5D59,TKR9B83</v>
      </c>
      <c r="G3076" s="238">
        <f>IFERROR(__xludf.DUMMYFUNCTION("""COMPUTED_VALUE"""),46010.95833333333)</f>
        <v>46010.95833</v>
      </c>
      <c r="H3076" s="238">
        <f>IFERROR(__xludf.DUMMYFUNCTION("""COMPUTED_VALUE"""),46011.04166666667)</f>
        <v>46011.04167</v>
      </c>
      <c r="I3076" s="237" t="str">
        <f t="shared" si="1"/>
        <v>Fora</v>
      </c>
      <c r="J3076" s="239">
        <v>120.00000001396984</v>
      </c>
    </row>
    <row r="3077">
      <c r="A3077" s="234" t="s">
        <v>4493</v>
      </c>
      <c r="B3077" s="234" t="str">
        <f>IFERROR(__xludf.DUMMYFUNCTION("""COMPUTED_VALUE"""),"LM Hub_ES_Viana")</f>
        <v>LM Hub_ES_Viana</v>
      </c>
      <c r="C3077" s="234" t="str">
        <f>IFERROR(__xludf.DUMMYFUNCTION("""COMPUTED_VALUE"""),"HUB-LES-09")</f>
        <v>HUB-LES-09</v>
      </c>
      <c r="D3077" s="234">
        <f>IFERROR(__xludf.DUMMYFUNCTION("""COMPUTED_VALUE"""),25.0)</f>
        <v>25</v>
      </c>
      <c r="E3077" s="237" t="str">
        <f>IFERROR(__xludf.DUMMYFUNCTION("""COMPUTED_VALUE"""),"LT0PCJ01UGCP1")</f>
        <v>LT0PCJ01UGCP1</v>
      </c>
      <c r="F3077" s="238" t="str">
        <f>IFERROR(__xludf.DUMMYFUNCTION("""COMPUTED_VALUE"""),"EJX9A22,TQA6F77")</f>
        <v>EJX9A22,TQA6F77</v>
      </c>
      <c r="G3077" s="238">
        <f>IFERROR(__xludf.DUMMYFUNCTION("""COMPUTED_VALUE"""),46010.95833333333)</f>
        <v>46010.95833</v>
      </c>
      <c r="H3077" s="238">
        <f>IFERROR(__xludf.DUMMYFUNCTION("""COMPUTED_VALUE"""),46011.04166666667)</f>
        <v>46011.04167</v>
      </c>
      <c r="I3077" s="237" t="str">
        <f t="shared" si="1"/>
        <v>Fora</v>
      </c>
      <c r="J3077" s="239">
        <v>120.00000001396984</v>
      </c>
    </row>
    <row r="3078">
      <c r="A3078" s="234" t="s">
        <v>4494</v>
      </c>
      <c r="B3078" s="234" t="str">
        <f>IFERROR(__xludf.DUMMYFUNCTION("""COMPUTED_VALUE"""),"LM Hub_SP_Jundiaí")</f>
        <v>LM Hub_SP_Jundiaí</v>
      </c>
      <c r="C3078" s="234" t="str">
        <f>IFERROR(__xludf.DUMMYFUNCTION("""COMPUTED_VALUE"""),"HUB-LSP-100")</f>
        <v>HUB-LSP-100</v>
      </c>
      <c r="D3078" s="234">
        <f>IFERROR(__xludf.DUMMYFUNCTION("""COMPUTED_VALUE"""),7.0)</f>
        <v>7</v>
      </c>
      <c r="E3078" s="237" t="str">
        <f>IFERROR(__xludf.DUMMYFUNCTION("""COMPUTED_VALUE"""),"LT0PCJ01UJ091")</f>
        <v>LT0PCJ01UJ091</v>
      </c>
      <c r="F3078" s="238" t="str">
        <f>IFERROR(__xludf.DUMMYFUNCTION("""COMPUTED_VALUE"""),"FYH3G02,STY9E57")</f>
        <v>FYH3G02,STY9E57</v>
      </c>
      <c r="G3078" s="238">
        <f>IFERROR(__xludf.DUMMYFUNCTION("""COMPUTED_VALUE"""),46010.95833333333)</f>
        <v>46010.95833</v>
      </c>
      <c r="H3078" s="238">
        <f>IFERROR(__xludf.DUMMYFUNCTION("""COMPUTED_VALUE"""),46011.04166666667)</f>
        <v>46011.04167</v>
      </c>
      <c r="I3078" s="237" t="str">
        <f t="shared" si="1"/>
        <v>Fora</v>
      </c>
      <c r="J3078" s="239">
        <v>120.00000001396984</v>
      </c>
    </row>
    <row r="3079">
      <c r="A3079" s="234" t="s">
        <v>4495</v>
      </c>
      <c r="B3079" s="234" t="str">
        <f>IFERROR(__xludf.DUMMYFUNCTION("""COMPUTED_VALUE"""),"LM Hub_SP_Mogi Mirim")</f>
        <v>LM Hub_SP_Mogi Mirim</v>
      </c>
      <c r="C3079" s="234" t="str">
        <f>IFERROR(__xludf.DUMMYFUNCTION("""COMPUTED_VALUE"""),"HUB-LSP-37")</f>
        <v>HUB-LSP-37</v>
      </c>
      <c r="D3079" s="234"/>
      <c r="E3079" s="237" t="str">
        <f>IFERROR(__xludf.DUMMYFUNCTION("""COMPUTED_VALUE"""),"LT0PCJ01UC0N1")</f>
        <v>LT0PCJ01UC0N1</v>
      </c>
      <c r="F3079" s="238" t="str">
        <f>IFERROR(__xludf.DUMMYFUNCTION("""COMPUTED_VALUE"""),"SUK3I00,RXK2F90")</f>
        <v>SUK3I00,RXK2F90</v>
      </c>
      <c r="G3079" s="238">
        <f>IFERROR(__xludf.DUMMYFUNCTION("""COMPUTED_VALUE"""),46010.95833333333)</f>
        <v>46010.95833</v>
      </c>
      <c r="H3079" s="238">
        <f>IFERROR(__xludf.DUMMYFUNCTION("""COMPUTED_VALUE"""),46011.04166666667)</f>
        <v>46011.04167</v>
      </c>
      <c r="I3079" s="237" t="str">
        <f t="shared" si="1"/>
        <v>Fora</v>
      </c>
      <c r="J3079" s="239">
        <v>119.99999999301508</v>
      </c>
    </row>
    <row r="3080">
      <c r="A3080" s="234" t="s">
        <v>4496</v>
      </c>
      <c r="B3080" s="234" t="str">
        <f>IFERROR(__xludf.DUMMYFUNCTION("""COMPUTED_VALUE"""),"LM Hub_SP_Araraquara")</f>
        <v>LM Hub_SP_Araraquara</v>
      </c>
      <c r="C3080" s="234" t="str">
        <f>IFERROR(__xludf.DUMMYFUNCTION("""COMPUTED_VALUE"""),"HUB-LSP-29")</f>
        <v>HUB-LSP-29</v>
      </c>
      <c r="D3080" s="234"/>
      <c r="E3080" s="237" t="str">
        <f>IFERROR(__xludf.DUMMYFUNCTION("""COMPUTED_VALUE"""),"LT0PCJ01UC0S1")</f>
        <v>LT0PCJ01UC0S1</v>
      </c>
      <c r="F3080" s="238" t="str">
        <f>IFERROR(__xludf.DUMMYFUNCTION("""COMPUTED_VALUE"""),"FVM9I18,GEH6H31")</f>
        <v>FVM9I18,GEH6H31</v>
      </c>
      <c r="G3080" s="238">
        <f>IFERROR(__xludf.DUMMYFUNCTION("""COMPUTED_VALUE"""),46010.97916666667)</f>
        <v>46010.97917</v>
      </c>
      <c r="H3080" s="238">
        <f>IFERROR(__xludf.DUMMYFUNCTION("""COMPUTED_VALUE"""),46011.0625)</f>
        <v>46011.0625</v>
      </c>
      <c r="I3080" s="237" t="str">
        <f t="shared" si="1"/>
        <v>Fora</v>
      </c>
      <c r="J3080" s="239">
        <v>239.99999998603016</v>
      </c>
    </row>
    <row r="3081">
      <c r="A3081" s="234" t="s">
        <v>4497</v>
      </c>
      <c r="B3081" s="234" t="str">
        <f>IFERROR(__xludf.DUMMYFUNCTION("""COMPUTED_VALUE"""),"SoC_RJ_Duque de Caxias")</f>
        <v>SoC_RJ_Duque de Caxias</v>
      </c>
      <c r="C3081" s="234" t="str">
        <f>IFERROR(__xludf.DUMMYFUNCTION("""COMPUTED_VALUE"""),"SOC-RJ2")</f>
        <v>SOC-RJ2</v>
      </c>
      <c r="D3081" s="234">
        <f>IFERROR(__xludf.DUMMYFUNCTION("""COMPUTED_VALUE"""),49.0)</f>
        <v>49</v>
      </c>
      <c r="E3081" s="237" t="str">
        <f>IFERROR(__xludf.DUMMYFUNCTION("""COMPUTED_VALUE"""),"LT1PCJ01V10M1")</f>
        <v>LT1PCJ01V10M1</v>
      </c>
      <c r="F3081" s="238" t="str">
        <f>IFERROR(__xludf.DUMMYFUNCTION("""COMPUTED_VALUE"""),"FXK2E00,NLQ2F75")</f>
        <v>FXK2E00,NLQ2F75</v>
      </c>
      <c r="G3081" s="238">
        <f>IFERROR(__xludf.DUMMYFUNCTION("""COMPUTED_VALUE"""),46010.91666666667)</f>
        <v>46010.91667</v>
      </c>
      <c r="H3081" s="238">
        <f>IFERROR(__xludf.DUMMYFUNCTION("""COMPUTED_VALUE"""),46011.08333333333)</f>
        <v>46011.08333</v>
      </c>
      <c r="I3081" s="237" t="str">
        <f t="shared" si="1"/>
        <v>Fora</v>
      </c>
      <c r="J3081" s="239">
        <v>119.99999999301508</v>
      </c>
    </row>
    <row r="3082">
      <c r="A3082" s="234" t="s">
        <v>4498</v>
      </c>
      <c r="B3082" s="234" t="str">
        <f>IFERROR(__xludf.DUMMYFUNCTION("""COMPUTED_VALUE"""),"SoC_PE_Jaboatão dos Guararapes")</f>
        <v>SoC_PE_Jaboatão dos Guararapes</v>
      </c>
      <c r="C3082" s="234" t="str">
        <f>IFERROR(__xludf.DUMMYFUNCTION("""COMPUTED_VALUE"""),"SOC-PE2")</f>
        <v>SOC-PE2</v>
      </c>
      <c r="D3082" s="234">
        <f>IFERROR(__xludf.DUMMYFUNCTION("""COMPUTED_VALUE"""),26.0)</f>
        <v>26</v>
      </c>
      <c r="E3082" s="237" t="str">
        <f>IFERROR(__xludf.DUMMYFUNCTION("""COMPUTED_VALUE"""),"LT0PCK01UHUD1")</f>
        <v>LT0PCK01UHUD1</v>
      </c>
      <c r="F3082" s="238" t="str">
        <f>IFERROR(__xludf.DUMMYFUNCTION("""COMPUTED_VALUE"""),"RNX2B61,TEK7I73")</f>
        <v>RNX2B61,TEK7I73</v>
      </c>
      <c r="G3082" s="238">
        <f>IFERROR(__xludf.DUMMYFUNCTION("""COMPUTED_VALUE"""),46011.0)</f>
        <v>46011</v>
      </c>
      <c r="H3082" s="238">
        <f>IFERROR(__xludf.DUMMYFUNCTION("""COMPUTED_VALUE"""),46011.08333333333)</f>
        <v>46011.08333</v>
      </c>
      <c r="I3082" s="237" t="str">
        <f t="shared" si="1"/>
        <v>Fora</v>
      </c>
      <c r="J3082" s="239">
        <v>119.99999999301508</v>
      </c>
    </row>
    <row r="3083">
      <c r="A3083" s="234" t="s">
        <v>4499</v>
      </c>
      <c r="B3083" s="234" t="str">
        <f>IFERROR(__xludf.DUMMYFUNCTION("""COMPUTED_VALUE"""),"SoC_PR_Curitiba")</f>
        <v>SoC_PR_Curitiba</v>
      </c>
      <c r="C3083" s="234" t="str">
        <f>IFERROR(__xludf.DUMMYFUNCTION("""COMPUTED_VALUE"""),"SOC-PR1")</f>
        <v>SOC-PR1</v>
      </c>
      <c r="D3083" s="234">
        <f>IFERROR(__xludf.DUMMYFUNCTION("""COMPUTED_VALUE"""),40.0)</f>
        <v>40</v>
      </c>
      <c r="E3083" s="237" t="str">
        <f>IFERROR(__xludf.DUMMYFUNCTION("""COMPUTED_VALUE"""),"LT0PCK01UBT81")</f>
        <v>LT0PCK01UBT81</v>
      </c>
      <c r="F3083" s="238" t="str">
        <f>IFERROR(__xludf.DUMMYFUNCTION("""COMPUTED_VALUE"""),"BDP1B44,RHC3C46")</f>
        <v>BDP1B44,RHC3C46</v>
      </c>
      <c r="G3083" s="238">
        <f>IFERROR(__xludf.DUMMYFUNCTION("""COMPUTED_VALUE"""),46011.0)</f>
        <v>46011</v>
      </c>
      <c r="H3083" s="238">
        <f>IFERROR(__xludf.DUMMYFUNCTION("""COMPUTED_VALUE"""),46011.08333333333)</f>
        <v>46011.08333</v>
      </c>
      <c r="I3083" s="237" t="str">
        <f t="shared" si="1"/>
        <v>Fora</v>
      </c>
      <c r="J3083" s="239">
        <v>119.99999999301508</v>
      </c>
    </row>
    <row r="3084">
      <c r="A3084" s="234" t="s">
        <v>4500</v>
      </c>
      <c r="B3084" s="234" t="str">
        <f>IFERROR(__xludf.DUMMYFUNCTION("""COMPUTED_VALUE"""),"SoC_RS_Gravataí_02")</f>
        <v>SoC_RS_Gravataí_02</v>
      </c>
      <c r="C3084" s="234" t="str">
        <f>IFERROR(__xludf.DUMMYFUNCTION("""COMPUTED_VALUE"""),"SOC-RS2")</f>
        <v>SOC-RS2</v>
      </c>
      <c r="D3084" s="234">
        <f>IFERROR(__xludf.DUMMYFUNCTION("""COMPUTED_VALUE"""),15.0)</f>
        <v>15</v>
      </c>
      <c r="E3084" s="237" t="str">
        <f>IFERROR(__xludf.DUMMYFUNCTION("""COMPUTED_VALUE"""),"LT0PCK01UI9I1")</f>
        <v>LT0PCK01UI9I1</v>
      </c>
      <c r="F3084" s="238" t="str">
        <f>IFERROR(__xludf.DUMMYFUNCTION("""COMPUTED_VALUE"""),"IYX7F64,IUA4B76")</f>
        <v>IYX7F64,IUA4B76</v>
      </c>
      <c r="G3084" s="238">
        <f>IFERROR(__xludf.DUMMYFUNCTION("""COMPUTED_VALUE"""),46011.0)</f>
        <v>46011</v>
      </c>
      <c r="H3084" s="238">
        <f>IFERROR(__xludf.DUMMYFUNCTION("""COMPUTED_VALUE"""),46011.08333333333)</f>
        <v>46011.08333</v>
      </c>
      <c r="I3084" s="237" t="str">
        <f t="shared" si="1"/>
        <v>Fora</v>
      </c>
      <c r="J3084" s="239">
        <v>119.99999999301508</v>
      </c>
    </row>
    <row r="3085">
      <c r="A3085" s="234" t="s">
        <v>4501</v>
      </c>
      <c r="B3085" s="234" t="str">
        <f>IFERROR(__xludf.DUMMYFUNCTION("""COMPUTED_VALUE"""),"SoC_SC_Itajaí")</f>
        <v>SoC_SC_Itajaí</v>
      </c>
      <c r="C3085" s="234" t="str">
        <f>IFERROR(__xludf.DUMMYFUNCTION("""COMPUTED_VALUE"""),"SOC-SC1")</f>
        <v>SOC-SC1</v>
      </c>
      <c r="D3085" s="234">
        <f>IFERROR(__xludf.DUMMYFUNCTION("""COMPUTED_VALUE"""),24.0)</f>
        <v>24</v>
      </c>
      <c r="E3085" s="237" t="str">
        <f>IFERROR(__xludf.DUMMYFUNCTION("""COMPUTED_VALUE"""),"LT0PCK01UGWO1")</f>
        <v>LT0PCK01UGWO1</v>
      </c>
      <c r="F3085" s="238" t="str">
        <f>IFERROR(__xludf.DUMMYFUNCTION("""COMPUTED_VALUE"""),"RLF4B54,RYH0J55")</f>
        <v>RLF4B54,RYH0J55</v>
      </c>
      <c r="G3085" s="238">
        <f>IFERROR(__xludf.DUMMYFUNCTION("""COMPUTED_VALUE"""),46011.0)</f>
        <v>46011</v>
      </c>
      <c r="H3085" s="238">
        <f>IFERROR(__xludf.DUMMYFUNCTION("""COMPUTED_VALUE"""),46011.08333333333)</f>
        <v>46011.08333</v>
      </c>
      <c r="I3085" s="237" t="str">
        <f t="shared" si="1"/>
        <v>Fora</v>
      </c>
      <c r="J3085" s="239">
        <v>120.00000001396984</v>
      </c>
    </row>
    <row r="3086">
      <c r="A3086" s="234" t="s">
        <v>4502</v>
      </c>
      <c r="B3086" s="234" t="str">
        <f>IFERROR(__xludf.DUMMYFUNCTION("""COMPUTED_VALUE"""),"LM Hub_MG_Varginha_Fausto")</f>
        <v>LM Hub_MG_Varginha_Fausto</v>
      </c>
      <c r="C3086" s="234" t="str">
        <f>IFERROR(__xludf.DUMMYFUNCTION("""COMPUTED_VALUE"""),"HUB-LMG-45")</f>
        <v>HUB-LMG-45</v>
      </c>
      <c r="D3086" s="234">
        <f>IFERROR(__xludf.DUMMYFUNCTION("""COMPUTED_VALUE"""),6.0)</f>
        <v>6</v>
      </c>
      <c r="E3086" s="237" t="str">
        <f>IFERROR(__xludf.DUMMYFUNCTION("""COMPUTED_VALUE"""),"LT0PCK01UHKM1")</f>
        <v>LT0PCK01UHKM1</v>
      </c>
      <c r="F3086" s="238" t="str">
        <f>IFERROR(__xludf.DUMMYFUNCTION("""COMPUTED_VALUE"""),"EMT5A22,EMT0B42")</f>
        <v>EMT5A22,EMT0B42</v>
      </c>
      <c r="G3086" s="238">
        <f>IFERROR(__xludf.DUMMYFUNCTION("""COMPUTED_VALUE"""),46011.02083333333)</f>
        <v>46011.02083</v>
      </c>
      <c r="H3086" s="238">
        <f>IFERROR(__xludf.DUMMYFUNCTION("""COMPUTED_VALUE"""),46011.10416666667)</f>
        <v>46011.10417</v>
      </c>
      <c r="I3086" s="237" t="str">
        <f t="shared" si="1"/>
        <v>Fora</v>
      </c>
      <c r="J3086" s="239">
        <v>240.00000000698492</v>
      </c>
    </row>
    <row r="3087">
      <c r="A3087" s="234" t="s">
        <v>4503</v>
      </c>
      <c r="B3087" s="234" t="str">
        <f>IFERROR(__xludf.DUMMYFUNCTION("""COMPUTED_VALUE"""),"SoC_BA_Simoes Filho")</f>
        <v>SoC_BA_Simoes Filho</v>
      </c>
      <c r="C3087" s="234" t="str">
        <f>IFERROR(__xludf.DUMMYFUNCTION("""COMPUTED_VALUE"""),"SOC-BA2")</f>
        <v>SOC-BA2</v>
      </c>
      <c r="D3087" s="234">
        <f>IFERROR(__xludf.DUMMYFUNCTION("""COMPUTED_VALUE"""),89.0)</f>
        <v>89</v>
      </c>
      <c r="E3087" s="237" t="str">
        <f>IFERROR(__xludf.DUMMYFUNCTION("""COMPUTED_VALUE"""),"LT1PCJ01V15M1")</f>
        <v>LT1PCJ01V15M1</v>
      </c>
      <c r="F3087" s="238" t="str">
        <f>IFERROR(__xludf.DUMMYFUNCTION("""COMPUTED_VALUE"""),"QJK1D60,TCY9J65")</f>
        <v>QJK1D60,TCY9J65</v>
      </c>
      <c r="G3087" s="238">
        <f>IFERROR(__xludf.DUMMYFUNCTION("""COMPUTED_VALUE"""),46011.0)</f>
        <v>46011</v>
      </c>
      <c r="H3087" s="238">
        <f>IFERROR(__xludf.DUMMYFUNCTION("""COMPUTED_VALUE"""),46011.16666666667)</f>
        <v>46011.16667</v>
      </c>
      <c r="I3087" s="237" t="str">
        <f t="shared" si="1"/>
        <v>Fora</v>
      </c>
      <c r="J3087" s="239">
        <v>120.00000001396984</v>
      </c>
    </row>
    <row r="3088">
      <c r="A3088" s="234" t="s">
        <v>4504</v>
      </c>
      <c r="B3088" s="234" t="str">
        <f>IFERROR(__xludf.DUMMYFUNCTION("""COMPUTED_VALUE"""),"SoC_SP_Guarulhos")</f>
        <v>SoC_SP_Guarulhos</v>
      </c>
      <c r="C3088" s="234" t="str">
        <f>IFERROR(__xludf.DUMMYFUNCTION("""COMPUTED_VALUE"""),"SOC-SP6")</f>
        <v>SOC-SP6</v>
      </c>
      <c r="D3088" s="234">
        <f>IFERROR(__xludf.DUMMYFUNCTION("""COMPUTED_VALUE"""),28.0)</f>
        <v>28</v>
      </c>
      <c r="E3088" s="237" t="str">
        <f>IFERROR(__xludf.DUMMYFUNCTION("""COMPUTED_VALUE"""),"LT0PCK01UCWZ1")</f>
        <v>LT0PCK01UCWZ1</v>
      </c>
      <c r="F3088" s="238" t="str">
        <f>IFERROR(__xludf.DUMMYFUNCTION("""COMPUTED_VALUE"""),"RNE2H82,FHL3D71")</f>
        <v>RNE2H82,FHL3D71</v>
      </c>
      <c r="G3088" s="238">
        <f>IFERROR(__xludf.DUMMYFUNCTION("""COMPUTED_VALUE"""),46011.08333333333)</f>
        <v>46011.08333</v>
      </c>
      <c r="H3088" s="238">
        <f>IFERROR(__xludf.DUMMYFUNCTION("""COMPUTED_VALUE"""),46011.16666666667)</f>
        <v>46011.16667</v>
      </c>
      <c r="I3088" s="237" t="str">
        <f t="shared" si="1"/>
        <v>Fora</v>
      </c>
      <c r="J3088" s="239">
        <v>119.00000001071021</v>
      </c>
    </row>
    <row r="3089">
      <c r="A3089" s="234" t="s">
        <v>4505</v>
      </c>
      <c r="B3089" s="234" t="str">
        <f>IFERROR(__xludf.DUMMYFUNCTION("""COMPUTED_VALUE"""),"LM Hub_SP_Tatuí")</f>
        <v>LM Hub_SP_Tatuí</v>
      </c>
      <c r="C3089" s="234" t="str">
        <f>IFERROR(__xludf.DUMMYFUNCTION("""COMPUTED_VALUE"""),"HUB-LSP-51")</f>
        <v>HUB-LSP-51</v>
      </c>
      <c r="D3089" s="234">
        <f>IFERROR(__xludf.DUMMYFUNCTION("""COMPUTED_VALUE"""),12.0)</f>
        <v>12</v>
      </c>
      <c r="E3089" s="237" t="str">
        <f>IFERROR(__xludf.DUMMYFUNCTION("""COMPUTED_VALUE"""),"LT0PCK01UBXM1")</f>
        <v>LT0PCK01UBXM1</v>
      </c>
      <c r="F3089" s="238" t="str">
        <f>IFERROR(__xludf.DUMMYFUNCTION("""COMPUTED_VALUE"""),"FLO1G76,FLO1G70")</f>
        <v>FLO1G76,FLO1G70</v>
      </c>
      <c r="G3089" s="238">
        <f>IFERROR(__xludf.DUMMYFUNCTION("""COMPUTED_VALUE"""),46011.084027777775)</f>
        <v>46011.08403</v>
      </c>
      <c r="H3089" s="238">
        <f>IFERROR(__xludf.DUMMYFUNCTION("""COMPUTED_VALUE"""),46011.16666666667)</f>
        <v>46011.16667</v>
      </c>
      <c r="I3089" s="237" t="str">
        <f t="shared" si="1"/>
        <v>Fora</v>
      </c>
      <c r="J3089" s="239">
        <v>119.99999999301508</v>
      </c>
    </row>
    <row r="3090">
      <c r="A3090" s="234" t="s">
        <v>4506</v>
      </c>
      <c r="B3090" s="234" t="str">
        <f>IFERROR(__xludf.DUMMYFUNCTION("""COMPUTED_VALUE"""),"LM Hub_SP_Itapetininga")</f>
        <v>LM Hub_SP_Itapetininga</v>
      </c>
      <c r="C3090" s="234" t="str">
        <f>IFERROR(__xludf.DUMMYFUNCTION("""COMPUTED_VALUE"""),"HUB-LSP-53")</f>
        <v>HUB-LSP-53</v>
      </c>
      <c r="D3090" s="234">
        <f>IFERROR(__xludf.DUMMYFUNCTION("""COMPUTED_VALUE"""),43.0)</f>
        <v>43</v>
      </c>
      <c r="E3090" s="237" t="str">
        <f>IFERROR(__xludf.DUMMYFUNCTION("""COMPUTED_VALUE"""),"LT0PCK01UBXG1")</f>
        <v>LT0PCK01UBXG1</v>
      </c>
      <c r="F3090" s="238" t="str">
        <f>IFERROR(__xludf.DUMMYFUNCTION("""COMPUTED_VALUE"""),"FLO1G76,FLO1G70")</f>
        <v>FLO1G76,FLO1G70</v>
      </c>
      <c r="G3090" s="238">
        <f>IFERROR(__xludf.DUMMYFUNCTION("""COMPUTED_VALUE"""),46011.10416666667)</f>
        <v>46011.10417</v>
      </c>
      <c r="H3090" s="238">
        <f>IFERROR(__xludf.DUMMYFUNCTION("""COMPUTED_VALUE"""),46011.1875)</f>
        <v>46011.1875</v>
      </c>
      <c r="I3090" s="237" t="str">
        <f t="shared" si="1"/>
        <v>Fora</v>
      </c>
      <c r="J3090" s="239">
        <v>119.99999999301508</v>
      </c>
    </row>
    <row r="3091">
      <c r="A3091" s="234" t="s">
        <v>4507</v>
      </c>
      <c r="B3091" s="234" t="str">
        <f>IFERROR(__xludf.DUMMYFUNCTION("""COMPUTED_VALUE"""),"LM Hub_SP_São Carlos")</f>
        <v>LM Hub_SP_São Carlos</v>
      </c>
      <c r="C3091" s="234" t="str">
        <f>IFERROR(__xludf.DUMMYFUNCTION("""COMPUTED_VALUE"""),"HUB-LSP-31")</f>
        <v>HUB-LSP-31</v>
      </c>
      <c r="D3091" s="234">
        <f>IFERROR(__xludf.DUMMYFUNCTION("""COMPUTED_VALUE"""),15.0)</f>
        <v>15</v>
      </c>
      <c r="E3091" s="237" t="str">
        <f>IFERROR(__xludf.DUMMYFUNCTION("""COMPUTED_VALUE"""),"LT0PCK01UC071")</f>
        <v>LT0PCK01UC071</v>
      </c>
      <c r="F3091" s="238" t="str">
        <f>IFERROR(__xludf.DUMMYFUNCTION("""COMPUTED_VALUE"""),"EFO6B06,MJH0C66")</f>
        <v>EFO6B06,MJH0C66</v>
      </c>
      <c r="G3091" s="238">
        <f>IFERROR(__xludf.DUMMYFUNCTION("""COMPUTED_VALUE"""),46011.10416666667)</f>
        <v>46011.10417</v>
      </c>
      <c r="H3091" s="238">
        <f>IFERROR(__xludf.DUMMYFUNCTION("""COMPUTED_VALUE"""),46011.1875)</f>
        <v>46011.1875</v>
      </c>
      <c r="I3091" s="237" t="str">
        <f t="shared" si="1"/>
        <v>Fora</v>
      </c>
      <c r="J3091" s="239">
        <v>299.9999999930151</v>
      </c>
    </row>
    <row r="3092">
      <c r="A3092" s="234" t="s">
        <v>431</v>
      </c>
      <c r="B3092" s="234" t="str">
        <f>IFERROR(__xludf.DUMMYFUNCTION("""COMPUTED_VALUE"""),"SoC_BA_Simoes Filho")</f>
        <v>SoC_BA_Simoes Filho</v>
      </c>
      <c r="C3092" s="234" t="str">
        <f>IFERROR(__xludf.DUMMYFUNCTION("""COMPUTED_VALUE"""),"SOC-BA2")</f>
        <v>SOC-BA2</v>
      </c>
      <c r="D3092" s="234"/>
      <c r="E3092" s="237" t="str">
        <f>IFERROR(__xludf.DUMMYFUNCTION("""COMPUTED_VALUE"""),"LT1PCJ01V15L1")</f>
        <v>LT1PCJ01V15L1</v>
      </c>
      <c r="F3092" s="238" t="str">
        <f>IFERROR(__xludf.DUMMYFUNCTION("""COMPUTED_VALUE"""),"RLH5A58,FVY3731")</f>
        <v>RLH5A58,FVY3731</v>
      </c>
      <c r="G3092" s="238">
        <f>IFERROR(__xludf.DUMMYFUNCTION("""COMPUTED_VALUE"""),46011.0)</f>
        <v>46011</v>
      </c>
      <c r="H3092" s="238">
        <f>IFERROR(__xludf.DUMMYFUNCTION("""COMPUTED_VALUE"""),46011.20833333333)</f>
        <v>46011.20833</v>
      </c>
      <c r="I3092" s="237" t="str">
        <f t="shared" si="1"/>
        <v>Fora</v>
      </c>
      <c r="J3092" s="239">
        <v>180.0</v>
      </c>
    </row>
    <row r="3093">
      <c r="A3093" s="234" t="s">
        <v>4508</v>
      </c>
      <c r="B3093" s="234" t="str">
        <f>IFERROR(__xludf.DUMMYFUNCTION("""COMPUTED_VALUE"""),"SoC_SP_Santana")</f>
        <v>SoC_SP_Santana</v>
      </c>
      <c r="C3093" s="234" t="str">
        <f>IFERROR(__xludf.DUMMYFUNCTION("""COMPUTED_VALUE"""),"SOC-SP2")</f>
        <v>SOC-SP2</v>
      </c>
      <c r="D3093" s="234">
        <f>IFERROR(__xludf.DUMMYFUNCTION("""COMPUTED_VALUE"""),33.0)</f>
        <v>33</v>
      </c>
      <c r="E3093" s="237" t="str">
        <f>IFERROR(__xludf.DUMMYFUNCTION("""COMPUTED_VALUE"""),"LT0PCK01UCDY1")</f>
        <v>LT0PCK01UCDY1</v>
      </c>
      <c r="F3093" s="238" t="str">
        <f>IFERROR(__xludf.DUMMYFUNCTION("""COMPUTED_VALUE"""),"GXH8J82,MPR1103")</f>
        <v>GXH8J82,MPR1103</v>
      </c>
      <c r="G3093" s="238">
        <f>IFERROR(__xludf.DUMMYFUNCTION("""COMPUTED_VALUE"""),46011.08333333333)</f>
        <v>46011.08333</v>
      </c>
      <c r="H3093" s="238">
        <f>IFERROR(__xludf.DUMMYFUNCTION("""COMPUTED_VALUE"""),46011.20833333333)</f>
        <v>46011.20833</v>
      </c>
      <c r="I3093" s="237" t="str">
        <f t="shared" si="1"/>
        <v>Fora</v>
      </c>
      <c r="J3093" s="239">
        <v>119.99999999301508</v>
      </c>
    </row>
    <row r="3094">
      <c r="A3094" s="234" t="s">
        <v>4509</v>
      </c>
      <c r="B3094" s="234" t="str">
        <f>IFERROR(__xludf.DUMMYFUNCTION("""COMPUTED_VALUE"""),"LM Hub_SP_Itapeva")</f>
        <v>LM Hub_SP_Itapeva</v>
      </c>
      <c r="C3094" s="234" t="str">
        <f>IFERROR(__xludf.DUMMYFUNCTION("""COMPUTED_VALUE"""),"HUB-LSP-39")</f>
        <v>HUB-LSP-39</v>
      </c>
      <c r="D3094" s="234">
        <f>IFERROR(__xludf.DUMMYFUNCTION("""COMPUTED_VALUE"""),47.0)</f>
        <v>47</v>
      </c>
      <c r="E3094" s="237" t="str">
        <f>IFERROR(__xludf.DUMMYFUNCTION("""COMPUTED_VALUE"""),"LT0PCK01UBXR1")</f>
        <v>LT0PCK01UBXR1</v>
      </c>
      <c r="F3094" s="238" t="str">
        <f>IFERROR(__xludf.DUMMYFUNCTION("""COMPUTED_VALUE"""),"CUH2F79,TMH2I20")</f>
        <v>CUH2F79,TMH2I20</v>
      </c>
      <c r="G3094" s="238">
        <f>IFERROR(__xludf.DUMMYFUNCTION("""COMPUTED_VALUE"""),46011.125)</f>
        <v>46011.125</v>
      </c>
      <c r="H3094" s="238">
        <f>IFERROR(__xludf.DUMMYFUNCTION("""COMPUTED_VALUE"""),46011.20833333333)</f>
        <v>46011.20833</v>
      </c>
      <c r="I3094" s="237" t="str">
        <f t="shared" si="1"/>
        <v>Fora</v>
      </c>
      <c r="J3094" s="239">
        <v>119.99999999301508</v>
      </c>
    </row>
    <row r="3095">
      <c r="A3095" s="234" t="s">
        <v>4510</v>
      </c>
      <c r="B3095" s="234" t="str">
        <f>IFERROR(__xludf.DUMMYFUNCTION("""COMPUTED_VALUE"""),"LM Hub_SP_Sumaré_Nova Veneza_1")</f>
        <v>LM Hub_SP_Sumaré_Nova Veneza_1</v>
      </c>
      <c r="C3095" s="234" t="str">
        <f>IFERROR(__xludf.DUMMYFUNCTION("""COMPUTED_VALUE"""),"HUB-LSP-88")</f>
        <v>HUB-LSP-88</v>
      </c>
      <c r="D3095" s="234">
        <f>IFERROR(__xludf.DUMMYFUNCTION("""COMPUTED_VALUE"""),22.0)</f>
        <v>22</v>
      </c>
      <c r="E3095" s="237" t="str">
        <f>IFERROR(__xludf.DUMMYFUNCTION("""COMPUTED_VALUE"""),"LT0PCK01UHGX1")</f>
        <v>LT0PCK01UHGX1</v>
      </c>
      <c r="F3095" s="238" t="str">
        <f>IFERROR(__xludf.DUMMYFUNCTION("""COMPUTED_VALUE"""),"SXK8E70,SXS2F29")</f>
        <v>SXK8E70,SXS2F29</v>
      </c>
      <c r="G3095" s="238">
        <f>IFERROR(__xludf.DUMMYFUNCTION("""COMPUTED_VALUE"""),46011.125)</f>
        <v>46011.125</v>
      </c>
      <c r="H3095" s="238">
        <f>IFERROR(__xludf.DUMMYFUNCTION("""COMPUTED_VALUE"""),46011.20833333333)</f>
        <v>46011.20833</v>
      </c>
      <c r="I3095" s="237" t="str">
        <f t="shared" si="1"/>
        <v>Fora</v>
      </c>
      <c r="J3095" s="239">
        <v>119.99999999301508</v>
      </c>
    </row>
    <row r="3096">
      <c r="A3096" s="234" t="s">
        <v>4511</v>
      </c>
      <c r="B3096" s="234" t="str">
        <f>IFERROR(__xludf.DUMMYFUNCTION("""COMPUTED_VALUE"""),"SoC_RS_Gravataí_02")</f>
        <v>SoC_RS_Gravataí_02</v>
      </c>
      <c r="C3096" s="234" t="str">
        <f>IFERROR(__xludf.DUMMYFUNCTION("""COMPUTED_VALUE"""),"SOC-RS2")</f>
        <v>SOC-RS2</v>
      </c>
      <c r="D3096" s="234">
        <f>IFERROR(__xludf.DUMMYFUNCTION("""COMPUTED_VALUE"""),16.0)</f>
        <v>16</v>
      </c>
      <c r="E3096" s="237" t="str">
        <f>IFERROR(__xludf.DUMMYFUNCTION("""COMPUTED_VALUE"""),"LT0PCK01UI9N1")</f>
        <v>LT0PCK01UI9N1</v>
      </c>
      <c r="F3096" s="238" t="str">
        <f>IFERROR(__xludf.DUMMYFUNCTION("""COMPUTED_VALUE"""),"FXD4B71,STX0B03")</f>
        <v>FXD4B71,STX0B03</v>
      </c>
      <c r="G3096" s="238">
        <f>IFERROR(__xludf.DUMMYFUNCTION("""COMPUTED_VALUE"""),46011.125)</f>
        <v>46011.125</v>
      </c>
      <c r="H3096" s="238">
        <f>IFERROR(__xludf.DUMMYFUNCTION("""COMPUTED_VALUE"""),46011.20833333333)</f>
        <v>46011.20833</v>
      </c>
      <c r="I3096" s="237" t="str">
        <f t="shared" si="1"/>
        <v>Fora</v>
      </c>
      <c r="J3096" s="239">
        <v>119.99999999301508</v>
      </c>
    </row>
    <row r="3097">
      <c r="A3097" s="234" t="s">
        <v>429</v>
      </c>
      <c r="B3097" s="234" t="str">
        <f>IFERROR(__xludf.DUMMYFUNCTION("""COMPUTED_VALUE"""),"SoC_SC_Itajaí")</f>
        <v>SoC_SC_Itajaí</v>
      </c>
      <c r="C3097" s="234" t="str">
        <f>IFERROR(__xludf.DUMMYFUNCTION("""COMPUTED_VALUE"""),"SOC-SC1")</f>
        <v>SOC-SC1</v>
      </c>
      <c r="D3097" s="234">
        <f>IFERROR(__xludf.DUMMYFUNCTION("""COMPUTED_VALUE"""),25.0)</f>
        <v>25</v>
      </c>
      <c r="E3097" s="237" t="str">
        <f>IFERROR(__xludf.DUMMYFUNCTION("""COMPUTED_VALUE"""),"LT0PCK01UGWT1")</f>
        <v>LT0PCK01UGWT1</v>
      </c>
      <c r="F3097" s="238" t="str">
        <f>IFERROR(__xludf.DUMMYFUNCTION("""COMPUTED_VALUE"""),"RYK0B55,RXO6I27")</f>
        <v>RYK0B55,RXO6I27</v>
      </c>
      <c r="G3097" s="238">
        <f>IFERROR(__xludf.DUMMYFUNCTION("""COMPUTED_VALUE"""),46011.125)</f>
        <v>46011.125</v>
      </c>
      <c r="H3097" s="238">
        <f>IFERROR(__xludf.DUMMYFUNCTION("""COMPUTED_VALUE"""),46011.20833333333)</f>
        <v>46011.20833</v>
      </c>
      <c r="I3097" s="237" t="str">
        <f t="shared" si="1"/>
        <v>Fora</v>
      </c>
      <c r="J3097" s="239">
        <v>120.00000001396984</v>
      </c>
    </row>
    <row r="3098">
      <c r="A3098" s="234" t="s">
        <v>4512</v>
      </c>
      <c r="B3098" s="234" t="str">
        <f>IFERROR(__xludf.DUMMYFUNCTION("""COMPUTED_VALUE"""),"LM Hub_SP_Mogi Mirim")</f>
        <v>LM Hub_SP_Mogi Mirim</v>
      </c>
      <c r="C3098" s="234" t="str">
        <f>IFERROR(__xludf.DUMMYFUNCTION("""COMPUTED_VALUE"""),"HUB-LSP-37")</f>
        <v>HUB-LSP-37</v>
      </c>
      <c r="D3098" s="234">
        <f>IFERROR(__xludf.DUMMYFUNCTION("""COMPUTED_VALUE"""),41.0)</f>
        <v>41</v>
      </c>
      <c r="E3098" s="237" t="str">
        <f>IFERROR(__xludf.DUMMYFUNCTION("""COMPUTED_VALUE"""),"LT0PCK01UC0I1")</f>
        <v>LT0PCK01UC0I1</v>
      </c>
      <c r="F3098" s="238" t="str">
        <f>IFERROR(__xludf.DUMMYFUNCTION("""COMPUTED_VALUE"""),"RYF7D49,RYF7D40")</f>
        <v>RYF7D49,RYF7D40</v>
      </c>
      <c r="G3098" s="238">
        <f>IFERROR(__xludf.DUMMYFUNCTION("""COMPUTED_VALUE"""),46011.14583333333)</f>
        <v>46011.14583</v>
      </c>
      <c r="H3098" s="238">
        <f>IFERROR(__xludf.DUMMYFUNCTION("""COMPUTED_VALUE"""),46011.22916666667)</f>
        <v>46011.22917</v>
      </c>
      <c r="I3098" s="237" t="str">
        <f t="shared" si="1"/>
        <v>Fora</v>
      </c>
      <c r="J3098" s="239">
        <v>120.00000001396984</v>
      </c>
    </row>
    <row r="3099">
      <c r="A3099" s="234" t="s">
        <v>4513</v>
      </c>
      <c r="B3099" s="234" t="str">
        <f>IFERROR(__xludf.DUMMYFUNCTION("""COMPUTED_VALUE"""),"LM Hub_SP_Osasco_02")</f>
        <v>LM Hub_SP_Osasco_02</v>
      </c>
      <c r="C3099" s="234" t="str">
        <f>IFERROR(__xludf.DUMMYFUNCTION("""COMPUTED_VALUE"""),"HUB-LSP-60")</f>
        <v>HUB-LSP-60</v>
      </c>
      <c r="D3099" s="234">
        <f>IFERROR(__xludf.DUMMYFUNCTION("""COMPUTED_VALUE"""),29.0)</f>
        <v>29</v>
      </c>
      <c r="E3099" s="237" t="str">
        <f>IFERROR(__xludf.DUMMYFUNCTION("""COMPUTED_VALUE"""),"LT0PCK01UD4A1")</f>
        <v>LT0PCK01UD4A1</v>
      </c>
      <c r="F3099" s="238" t="str">
        <f>IFERROR(__xludf.DUMMYFUNCTION("""COMPUTED_VALUE"""),"ARA0I24,TKW4D57")</f>
        <v>ARA0I24,TKW4D57</v>
      </c>
      <c r="G3099" s="238">
        <f>IFERROR(__xludf.DUMMYFUNCTION("""COMPUTED_VALUE"""),46011.14583333333)</f>
        <v>46011.14583</v>
      </c>
      <c r="H3099" s="238">
        <f>IFERROR(__xludf.DUMMYFUNCTION("""COMPUTED_VALUE"""),46011.22916666667)</f>
        <v>46011.22917</v>
      </c>
      <c r="I3099" s="237" t="str">
        <f t="shared" si="1"/>
        <v>Fora</v>
      </c>
      <c r="J3099" s="239">
        <v>119.00000001071021</v>
      </c>
    </row>
    <row r="3100">
      <c r="A3100" s="234" t="s">
        <v>4514</v>
      </c>
      <c r="B3100" s="234" t="str">
        <f>IFERROR(__xludf.DUMMYFUNCTION("""COMPUTED_VALUE"""),"LM Hub_SP_Campinas_São Martinho")</f>
        <v>LM Hub_SP_Campinas_São Martinho</v>
      </c>
      <c r="C3100" s="234" t="str">
        <f>IFERROR(__xludf.DUMMYFUNCTION("""COMPUTED_VALUE"""),"HUB-LSP-19")</f>
        <v>HUB-LSP-19</v>
      </c>
      <c r="D3100" s="234">
        <f>IFERROR(__xludf.DUMMYFUNCTION("""COMPUTED_VALUE"""),14.0)</f>
        <v>14</v>
      </c>
      <c r="E3100" s="237" t="str">
        <f>IFERROR(__xludf.DUMMYFUNCTION("""COMPUTED_VALUE"""),"LT0PCK01UC1E1")</f>
        <v>LT0PCK01UC1E1</v>
      </c>
      <c r="F3100" s="238" t="str">
        <f>IFERROR(__xludf.DUMMYFUNCTION("""COMPUTED_VALUE"""),"OKQ5H03,FJP9A36")</f>
        <v>OKQ5H03,FJP9A36</v>
      </c>
      <c r="G3100" s="238">
        <f>IFERROR(__xludf.DUMMYFUNCTION("""COMPUTED_VALUE"""),46011.146527777775)</f>
        <v>46011.14653</v>
      </c>
      <c r="H3100" s="238">
        <f>IFERROR(__xludf.DUMMYFUNCTION("""COMPUTED_VALUE"""),46011.22916666667)</f>
        <v>46011.22917</v>
      </c>
      <c r="I3100" s="237" t="str">
        <f t="shared" si="1"/>
        <v>Fora</v>
      </c>
      <c r="J3100" s="239">
        <v>479.9999999930151</v>
      </c>
    </row>
    <row r="3101">
      <c r="A3101" s="234" t="s">
        <v>4515</v>
      </c>
      <c r="B3101" s="234" t="str">
        <f>IFERROR(__xludf.DUMMYFUNCTION("""COMPUTED_VALUE"""),"SoC_PE_Jaboatão dos Guararapes")</f>
        <v>SoC_PE_Jaboatão dos Guararapes</v>
      </c>
      <c r="C3101" s="234" t="str">
        <f>IFERROR(__xludf.DUMMYFUNCTION("""COMPUTED_VALUE"""),"SOC-PE2")</f>
        <v>SOC-PE2</v>
      </c>
      <c r="D3101" s="234">
        <f>IFERROR(__xludf.DUMMYFUNCTION("""COMPUTED_VALUE"""),27.0)</f>
        <v>27</v>
      </c>
      <c r="E3101" s="237" t="str">
        <f>IFERROR(__xludf.DUMMYFUNCTION("""COMPUTED_VALUE"""),"LT1PCJ01V15K1")</f>
        <v>LT1PCJ01V15K1</v>
      </c>
      <c r="F3101" s="238" t="str">
        <f>IFERROR(__xludf.DUMMYFUNCTION("""COMPUTED_VALUE"""),"PLY1C34,RCZ9E80")</f>
        <v>PLY1C34,RCZ9E80</v>
      </c>
      <c r="G3101" s="238">
        <f>IFERROR(__xludf.DUMMYFUNCTION("""COMPUTED_VALUE"""),46010.875)</f>
        <v>46010.875</v>
      </c>
      <c r="H3101" s="238">
        <f>IFERROR(__xludf.DUMMYFUNCTION("""COMPUTED_VALUE"""),46011.20833333333)</f>
        <v>46011.20833</v>
      </c>
      <c r="I3101" s="237" t="str">
        <f t="shared" si="1"/>
        <v>Fora</v>
      </c>
      <c r="J3101" s="239">
        <v>119.99999999301508</v>
      </c>
    </row>
    <row r="3102">
      <c r="A3102" s="234" t="s">
        <v>4516</v>
      </c>
      <c r="B3102" s="234" t="str">
        <f>IFERROR(__xludf.DUMMYFUNCTION("""COMPUTED_VALUE"""),"LM Hub_SP_Guaratinguetá")</f>
        <v>LM Hub_SP_Guaratinguetá</v>
      </c>
      <c r="C3102" s="234" t="str">
        <f>IFERROR(__xludf.DUMMYFUNCTION("""COMPUTED_VALUE"""),"HUB-LSP-33")</f>
        <v>HUB-LSP-33</v>
      </c>
      <c r="D3102" s="234">
        <f>IFERROR(__xludf.DUMMYFUNCTION("""COMPUTED_VALUE"""),35.0)</f>
        <v>35</v>
      </c>
      <c r="E3102" s="237" t="str">
        <f>IFERROR(__xludf.DUMMYFUNCTION("""COMPUTED_VALUE"""),"LT0PCK01UBYN1")</f>
        <v>LT0PCK01UBYN1</v>
      </c>
      <c r="F3102" s="238" t="str">
        <f>IFERROR(__xludf.DUMMYFUNCTION("""COMPUTED_VALUE"""),"EKH3880,EKH3800")</f>
        <v>EKH3880,EKH3800</v>
      </c>
      <c r="G3102" s="238">
        <f>IFERROR(__xludf.DUMMYFUNCTION("""COMPUTED_VALUE"""),46011.16666666667)</f>
        <v>46011.16667</v>
      </c>
      <c r="H3102" s="238">
        <f>IFERROR(__xludf.DUMMYFUNCTION("""COMPUTED_VALUE"""),46011.25)</f>
        <v>46011.25</v>
      </c>
      <c r="I3102" s="237" t="str">
        <f t="shared" si="1"/>
        <v>Fora</v>
      </c>
      <c r="J3102" s="239">
        <v>119.99999999301508</v>
      </c>
    </row>
    <row r="3103">
      <c r="A3103" s="234" t="s">
        <v>4517</v>
      </c>
      <c r="B3103" s="234" t="str">
        <f>IFERROR(__xludf.DUMMYFUNCTION("""COMPUTED_VALUE"""),"LM Hub_SP_Limeira_Campo Belo")</f>
        <v>LM Hub_SP_Limeira_Campo Belo</v>
      </c>
      <c r="C3103" s="234" t="str">
        <f>IFERROR(__xludf.DUMMYFUNCTION("""COMPUTED_VALUE"""),"HUB-LSP-24")</f>
        <v>HUB-LSP-24</v>
      </c>
      <c r="D3103" s="234">
        <f>IFERROR(__xludf.DUMMYFUNCTION("""COMPUTED_VALUE"""),37.0)</f>
        <v>37</v>
      </c>
      <c r="E3103" s="237" t="str">
        <f>IFERROR(__xludf.DUMMYFUNCTION("""COMPUTED_VALUE"""),"LT0PCK01UBZO1")</f>
        <v>LT0PCK01UBZO1</v>
      </c>
      <c r="F3103" s="238" t="str">
        <f>IFERROR(__xludf.DUMMYFUNCTION("""COMPUTED_VALUE"""),"TLE4D84,TLE4D80")</f>
        <v>TLE4D84,TLE4D80</v>
      </c>
      <c r="G3103" s="238">
        <f>IFERROR(__xludf.DUMMYFUNCTION("""COMPUTED_VALUE"""),46011.16666666667)</f>
        <v>46011.16667</v>
      </c>
      <c r="H3103" s="238">
        <f>IFERROR(__xludf.DUMMYFUNCTION("""COMPUTED_VALUE"""),46011.25)</f>
        <v>46011.25</v>
      </c>
      <c r="I3103" s="237" t="str">
        <f t="shared" si="1"/>
        <v>Fora</v>
      </c>
      <c r="J3103" s="239">
        <v>119.99999999301508</v>
      </c>
    </row>
    <row r="3104">
      <c r="A3104" s="234" t="s">
        <v>4518</v>
      </c>
      <c r="B3104" s="234" t="str">
        <f>IFERROR(__xludf.DUMMYFUNCTION("""COMPUTED_VALUE"""),"LM_Hub_SP_Registro")</f>
        <v>LM_Hub_SP_Registro</v>
      </c>
      <c r="C3104" s="234" t="str">
        <f>IFERROR(__xludf.DUMMYFUNCTION("""COMPUTED_VALUE"""),"HUB-LSP-40")</f>
        <v>HUB-LSP-40</v>
      </c>
      <c r="D3104" s="234">
        <f>IFERROR(__xludf.DUMMYFUNCTION("""COMPUTED_VALUE"""),6.0)</f>
        <v>6</v>
      </c>
      <c r="E3104" s="237" t="str">
        <f>IFERROR(__xludf.DUMMYFUNCTION("""COMPUTED_VALUE"""),"LT0PCK01UBYC1")</f>
        <v>LT0PCK01UBYC1</v>
      </c>
      <c r="F3104" s="238" t="str">
        <f>IFERROR(__xludf.DUMMYFUNCTION("""COMPUTED_VALUE"""),"MTB1C44,MTB1C40")</f>
        <v>MTB1C44,MTB1C40</v>
      </c>
      <c r="G3104" s="238">
        <f>IFERROR(__xludf.DUMMYFUNCTION("""COMPUTED_VALUE"""),46011.16666666667)</f>
        <v>46011.16667</v>
      </c>
      <c r="H3104" s="238">
        <f>IFERROR(__xludf.DUMMYFUNCTION("""COMPUTED_VALUE"""),46011.25)</f>
        <v>46011.25</v>
      </c>
      <c r="I3104" s="237" t="str">
        <f t="shared" si="1"/>
        <v>Fora</v>
      </c>
      <c r="J3104" s="239">
        <v>119.99999999301508</v>
      </c>
    </row>
    <row r="3105">
      <c r="A3105" s="234" t="s">
        <v>4519</v>
      </c>
      <c r="B3105" s="234" t="str">
        <f>IFERROR(__xludf.DUMMYFUNCTION("""COMPUTED_VALUE"""),"LM Hub_SP_São Bernardo do Campo")</f>
        <v>LM Hub_SP_São Bernardo do Campo</v>
      </c>
      <c r="C3105" s="234" t="str">
        <f>IFERROR(__xludf.DUMMYFUNCTION("""COMPUTED_VALUE"""),"HUB-LSP-79")</f>
        <v>HUB-LSP-79</v>
      </c>
      <c r="D3105" s="234">
        <f>IFERROR(__xludf.DUMMYFUNCTION("""COMPUTED_VALUE"""),12.0)</f>
        <v>12</v>
      </c>
      <c r="E3105" s="237" t="str">
        <f>IFERROR(__xludf.DUMMYFUNCTION("""COMPUTED_VALUE"""),"LT0PCK01UCJB1")</f>
        <v>LT0PCK01UCJB1</v>
      </c>
      <c r="F3105" s="238" t="str">
        <f>IFERROR(__xludf.DUMMYFUNCTION("""COMPUTED_VALUE"""),"GBC7H76")</f>
        <v>GBC7H76</v>
      </c>
      <c r="G3105" s="238">
        <f>IFERROR(__xludf.DUMMYFUNCTION("""COMPUTED_VALUE"""),46011.16666666667)</f>
        <v>46011.16667</v>
      </c>
      <c r="H3105" s="238">
        <f>IFERROR(__xludf.DUMMYFUNCTION("""COMPUTED_VALUE"""),46011.25)</f>
        <v>46011.25</v>
      </c>
      <c r="I3105" s="237" t="str">
        <f t="shared" si="1"/>
        <v>Fora</v>
      </c>
      <c r="J3105" s="239">
        <v>119.99999999301508</v>
      </c>
    </row>
    <row r="3106">
      <c r="A3106" s="234" t="s">
        <v>4520</v>
      </c>
      <c r="B3106" s="234" t="str">
        <f>IFERROR(__xludf.DUMMYFUNCTION("""COMPUTED_VALUE"""),"LM Hub_SP_Várzea Paulista")</f>
        <v>LM Hub_SP_Várzea Paulista</v>
      </c>
      <c r="C3106" s="234" t="str">
        <f>IFERROR(__xludf.DUMMYFUNCTION("""COMPUTED_VALUE"""),"HUB-LSP-61")</f>
        <v>HUB-LSP-61</v>
      </c>
      <c r="D3106" s="234">
        <f>IFERROR(__xludf.DUMMYFUNCTION("""COMPUTED_VALUE"""),39.0)</f>
        <v>39</v>
      </c>
      <c r="E3106" s="237" t="str">
        <f>IFERROR(__xludf.DUMMYFUNCTION("""COMPUTED_VALUE"""),"LT0PCK01UBZX1")</f>
        <v>LT0PCK01UBZX1</v>
      </c>
      <c r="F3106" s="238" t="str">
        <f>IFERROR(__xludf.DUMMYFUNCTION("""COMPUTED_VALUE"""),"RJG8E37,FCG5D30")</f>
        <v>RJG8E37,FCG5D30</v>
      </c>
      <c r="G3106" s="238">
        <f>IFERROR(__xludf.DUMMYFUNCTION("""COMPUTED_VALUE"""),46011.16666666667)</f>
        <v>46011.16667</v>
      </c>
      <c r="H3106" s="238">
        <f>IFERROR(__xludf.DUMMYFUNCTION("""COMPUTED_VALUE"""),46011.25)</f>
        <v>46011.25</v>
      </c>
      <c r="I3106" s="237" t="str">
        <f t="shared" si="1"/>
        <v>Fora</v>
      </c>
      <c r="J3106" s="239">
        <v>119.99999999301508</v>
      </c>
    </row>
    <row r="3107">
      <c r="A3107" s="234" t="s">
        <v>4521</v>
      </c>
      <c r="B3107" s="234" t="str">
        <f>IFERROR(__xludf.DUMMYFUNCTION("""COMPUTED_VALUE"""),"SoC_PR_Curitiba")</f>
        <v>SoC_PR_Curitiba</v>
      </c>
      <c r="C3107" s="234" t="str">
        <f>IFERROR(__xludf.DUMMYFUNCTION("""COMPUTED_VALUE"""),"SOC-PR1")</f>
        <v>SOC-PR1</v>
      </c>
      <c r="D3107" s="234">
        <f>IFERROR(__xludf.DUMMYFUNCTION("""COMPUTED_VALUE"""),40.0)</f>
        <v>40</v>
      </c>
      <c r="E3107" s="237" t="str">
        <f>IFERROR(__xludf.DUMMYFUNCTION("""COMPUTED_VALUE"""),"LT0PCK01UBTF1")</f>
        <v>LT0PCK01UBTF1</v>
      </c>
      <c r="F3107" s="238" t="str">
        <f>IFERROR(__xludf.DUMMYFUNCTION("""COMPUTED_VALUE"""),"MJG6E09,SXZ3A65")</f>
        <v>MJG6E09,SXZ3A65</v>
      </c>
      <c r="G3107" s="238">
        <f>IFERROR(__xludf.DUMMYFUNCTION("""COMPUTED_VALUE"""),46011.16666666667)</f>
        <v>46011.16667</v>
      </c>
      <c r="H3107" s="238">
        <f>IFERROR(__xludf.DUMMYFUNCTION("""COMPUTED_VALUE"""),46011.25)</f>
        <v>46011.25</v>
      </c>
      <c r="I3107" s="237" t="str">
        <f t="shared" si="1"/>
        <v>Fora</v>
      </c>
      <c r="J3107" s="239">
        <v>119.99999999301508</v>
      </c>
    </row>
    <row r="3108">
      <c r="A3108" s="234" t="s">
        <v>411</v>
      </c>
      <c r="B3108" s="234" t="str">
        <f>IFERROR(__xludf.DUMMYFUNCTION("""COMPUTED_VALUE"""),"LM Hub_SP_Taubaté")</f>
        <v>LM Hub_SP_Taubaté</v>
      </c>
      <c r="C3108" s="234" t="str">
        <f>IFERROR(__xludf.DUMMYFUNCTION("""COMPUTED_VALUE"""),"HUB-LSP-08")</f>
        <v>HUB-LSP-08</v>
      </c>
      <c r="D3108" s="234">
        <f>IFERROR(__xludf.DUMMYFUNCTION("""COMPUTED_VALUE"""),8.0)</f>
        <v>8</v>
      </c>
      <c r="E3108" s="237" t="str">
        <f>IFERROR(__xludf.DUMMYFUNCTION("""COMPUTED_VALUE"""),"LT0PCK01U88E1")</f>
        <v>LT0PCK01U88E1</v>
      </c>
      <c r="F3108" s="238" t="str">
        <f>IFERROR(__xludf.DUMMYFUNCTION("""COMPUTED_VALUE"""),"ASN0C15,MBC2C84")</f>
        <v>ASN0C15,MBC2C84</v>
      </c>
      <c r="G3108" s="238">
        <f>IFERROR(__xludf.DUMMYFUNCTION("""COMPUTED_VALUE"""),46011.1875)</f>
        <v>46011.1875</v>
      </c>
      <c r="H3108" s="238">
        <f>IFERROR(__xludf.DUMMYFUNCTION("""COMPUTED_VALUE"""),46011.27083333333)</f>
        <v>46011.27083</v>
      </c>
      <c r="I3108" s="237" t="str">
        <f t="shared" si="1"/>
        <v>Fora</v>
      </c>
      <c r="J3108" s="239">
        <v>118.99999998975545</v>
      </c>
    </row>
    <row r="3109">
      <c r="A3109" s="234" t="s">
        <v>412</v>
      </c>
      <c r="B3109" s="234" t="str">
        <f>IFERROR(__xludf.DUMMYFUNCTION("""COMPUTED_VALUE"""),"LM Hub_SP_Embu das Artes")</f>
        <v>LM Hub_SP_Embu das Artes</v>
      </c>
      <c r="C3109" s="234" t="str">
        <f>IFERROR(__xludf.DUMMYFUNCTION("""COMPUTED_VALUE"""),"HUB-LSP-36")</f>
        <v>HUB-LSP-36</v>
      </c>
      <c r="D3109" s="234">
        <f>IFERROR(__xludf.DUMMYFUNCTION("""COMPUTED_VALUE"""),32.0)</f>
        <v>32</v>
      </c>
      <c r="E3109" s="237" t="str">
        <f>IFERROR(__xludf.DUMMYFUNCTION("""COMPUTED_VALUE"""),"LT0PCK01UD5M1")</f>
        <v>LT0PCK01UD5M1</v>
      </c>
      <c r="F3109" s="238" t="str">
        <f>IFERROR(__xludf.DUMMYFUNCTION("""COMPUTED_VALUE"""),"FGL3B43,FQB3D75")</f>
        <v>FGL3B43,FQB3D75</v>
      </c>
      <c r="G3109" s="238">
        <f>IFERROR(__xludf.DUMMYFUNCTION("""COMPUTED_VALUE"""),46011.18819444445)</f>
        <v>46011.18819</v>
      </c>
      <c r="H3109" s="238">
        <f>IFERROR(__xludf.DUMMYFUNCTION("""COMPUTED_VALUE"""),46011.27083333333)</f>
        <v>46011.27083</v>
      </c>
      <c r="I3109" s="237" t="str">
        <f t="shared" si="1"/>
        <v>Fora</v>
      </c>
      <c r="J3109" s="239">
        <v>540.0</v>
      </c>
    </row>
    <row r="3110">
      <c r="A3110" s="234" t="s">
        <v>4522</v>
      </c>
      <c r="B3110" s="234" t="str">
        <f>IFERROR(__xludf.DUMMYFUNCTION("""COMPUTED_VALUE"""),"SoC_BA_Simoes Filho")</f>
        <v>SoC_BA_Simoes Filho</v>
      </c>
      <c r="C3110" s="234" t="str">
        <f>IFERROR(__xludf.DUMMYFUNCTION("""COMPUTED_VALUE"""),"SOC-BA2")</f>
        <v>SOC-BA2</v>
      </c>
      <c r="D3110" s="234">
        <f>IFERROR(__xludf.DUMMYFUNCTION("""COMPUTED_VALUE"""),89.0)</f>
        <v>89</v>
      </c>
      <c r="E3110" s="237" t="str">
        <f>IFERROR(__xludf.DUMMYFUNCTION("""COMPUTED_VALUE"""),"LT0PCJ01UHZ31")</f>
        <v>LT0PCJ01UHZ31</v>
      </c>
      <c r="F3110" s="238" t="str">
        <f>IFERROR(__xludf.DUMMYFUNCTION("""COMPUTED_VALUE"""),"DIS0G30,TEP1F05")</f>
        <v>DIS0G30,TEP1F05</v>
      </c>
      <c r="G3110" s="238">
        <f>IFERROR(__xludf.DUMMYFUNCTION("""COMPUTED_VALUE"""),46010.91666666667)</f>
        <v>46010.91667</v>
      </c>
      <c r="H3110" s="238">
        <f>IFERROR(__xludf.DUMMYFUNCTION("""COMPUTED_VALUE"""),46011.29166666667)</f>
        <v>46011.29167</v>
      </c>
      <c r="I3110" s="237" t="str">
        <f t="shared" si="1"/>
        <v>Fora</v>
      </c>
      <c r="J3110" s="239">
        <v>540.0</v>
      </c>
    </row>
    <row r="3111">
      <c r="A3111" s="234" t="s">
        <v>4523</v>
      </c>
      <c r="B3111" s="234" t="str">
        <f>IFERROR(__xludf.DUMMYFUNCTION("""COMPUTED_VALUE"""),"SoC_RJ_Duque de Caxias")</f>
        <v>SoC_RJ_Duque de Caxias</v>
      </c>
      <c r="C3111" s="234" t="str">
        <f>IFERROR(__xludf.DUMMYFUNCTION("""COMPUTED_VALUE"""),"SOC-RJ2")</f>
        <v>SOC-RJ2</v>
      </c>
      <c r="D3111" s="234">
        <f>IFERROR(__xludf.DUMMYFUNCTION("""COMPUTED_VALUE"""),96.0)</f>
        <v>96</v>
      </c>
      <c r="E3111" s="237" t="str">
        <f>IFERROR(__xludf.DUMMYFUNCTION("""COMPUTED_VALUE"""),"LT0PCJ01UEAZ1")</f>
        <v>LT0PCJ01UEAZ1</v>
      </c>
      <c r="F3111" s="238" t="str">
        <f>IFERROR(__xludf.DUMMYFUNCTION("""COMPUTED_VALUE"""),"EPU5C78,TIV0I78")</f>
        <v>EPU5C78,TIV0I78</v>
      </c>
      <c r="G3111" s="238">
        <f>IFERROR(__xludf.DUMMYFUNCTION("""COMPUTED_VALUE"""),46010.91666666667)</f>
        <v>46010.91667</v>
      </c>
      <c r="H3111" s="238">
        <f>IFERROR(__xludf.DUMMYFUNCTION("""COMPUTED_VALUE"""),46011.29166666667)</f>
        <v>46011.29167</v>
      </c>
      <c r="I3111" s="237" t="str">
        <f t="shared" si="1"/>
        <v>Fora</v>
      </c>
      <c r="J3111" s="239">
        <v>539.0000000072177</v>
      </c>
    </row>
    <row r="3112">
      <c r="A3112" s="234" t="s">
        <v>4524</v>
      </c>
      <c r="B3112" s="234" t="str">
        <f>IFERROR(__xludf.DUMMYFUNCTION("""COMPUTED_VALUE"""),"SoC_BA_Simoes Filho")</f>
        <v>SoC_BA_Simoes Filho</v>
      </c>
      <c r="C3112" s="234" t="str">
        <f>IFERROR(__xludf.DUMMYFUNCTION("""COMPUTED_VALUE"""),"SOC-BA2")</f>
        <v>SOC-BA2</v>
      </c>
      <c r="D3112" s="234"/>
      <c r="E3112" s="237" t="str">
        <f>IFERROR(__xludf.DUMMYFUNCTION("""COMPUTED_VALUE"""),"LT0PCJ01UHYV1")</f>
        <v>LT0PCJ01UHYV1</v>
      </c>
      <c r="F3112" s="238" t="str">
        <f>IFERROR(__xludf.DUMMYFUNCTION("""COMPUTED_VALUE"""),"-")</f>
        <v>-</v>
      </c>
      <c r="G3112" s="238">
        <f>IFERROR(__xludf.DUMMYFUNCTION("""COMPUTED_VALUE"""),46010.91736111111)</f>
        <v>46010.91736</v>
      </c>
      <c r="H3112" s="238">
        <f>IFERROR(__xludf.DUMMYFUNCTION("""COMPUTED_VALUE"""),46011.29166666667)</f>
        <v>46011.29167</v>
      </c>
      <c r="I3112" s="237" t="str">
        <f t="shared" si="1"/>
        <v>Fora</v>
      </c>
      <c r="J3112" s="239">
        <v>539.0000000072177</v>
      </c>
    </row>
    <row r="3113">
      <c r="A3113" s="234" t="s">
        <v>413</v>
      </c>
      <c r="B3113" s="234" t="str">
        <f>IFERROR(__xludf.DUMMYFUNCTION("""COMPUTED_VALUE"""),"SoC_GO_Goiânia_02")</f>
        <v>SoC_GO_Goiânia_02</v>
      </c>
      <c r="C3113" s="234" t="str">
        <f>IFERROR(__xludf.DUMMYFUNCTION("""COMPUTED_VALUE"""),"SOC-GO2")</f>
        <v>SOC-GO2</v>
      </c>
      <c r="D3113" s="234"/>
      <c r="E3113" s="237" t="str">
        <f>IFERROR(__xludf.DUMMYFUNCTION("""COMPUTED_VALUE"""),"LT0PCJ01UI771")</f>
        <v>LT0PCJ01UI771</v>
      </c>
      <c r="F3113" s="238" t="str">
        <f>IFERROR(__xludf.DUMMYFUNCTION("""COMPUTED_VALUE"""),"EST5A14,SDD0H29")</f>
        <v>EST5A14,SDD0H29</v>
      </c>
      <c r="G3113" s="238">
        <f>IFERROR(__xludf.DUMMYFUNCTION("""COMPUTED_VALUE"""),46010.91736111111)</f>
        <v>46010.91736</v>
      </c>
      <c r="H3113" s="238">
        <f>IFERROR(__xludf.DUMMYFUNCTION("""COMPUTED_VALUE"""),46011.29166666667)</f>
        <v>46011.29167</v>
      </c>
      <c r="I3113" s="237" t="str">
        <f t="shared" si="1"/>
        <v>Fora</v>
      </c>
      <c r="J3113" s="239">
        <v>539.0000000072177</v>
      </c>
    </row>
    <row r="3114">
      <c r="A3114" s="234" t="s">
        <v>4525</v>
      </c>
      <c r="B3114" s="234" t="str">
        <f>IFERROR(__xludf.DUMMYFUNCTION("""COMPUTED_VALUE"""),"SoC_GO_Goiânia_02")</f>
        <v>SoC_GO_Goiânia_02</v>
      </c>
      <c r="C3114" s="234" t="str">
        <f>IFERROR(__xludf.DUMMYFUNCTION("""COMPUTED_VALUE"""),"SOC-GO2")</f>
        <v>SOC-GO2</v>
      </c>
      <c r="D3114" s="234">
        <f>IFERROR(__xludf.DUMMYFUNCTION("""COMPUTED_VALUE"""),87.0)</f>
        <v>87</v>
      </c>
      <c r="E3114" s="237" t="str">
        <f>IFERROR(__xludf.DUMMYFUNCTION("""COMPUTED_VALUE"""),"LT0PCJ01UI792")</f>
        <v>LT0PCJ01UI792</v>
      </c>
      <c r="F3114" s="238" t="str">
        <f>IFERROR(__xludf.DUMMYFUNCTION("""COMPUTED_VALUE"""),"MHZ2F02,BAP5A73")</f>
        <v>MHZ2F02,BAP5A73</v>
      </c>
      <c r="G3114" s="238">
        <f>IFERROR(__xludf.DUMMYFUNCTION("""COMPUTED_VALUE"""),46010.91736111111)</f>
        <v>46010.91736</v>
      </c>
      <c r="H3114" s="238">
        <f>IFERROR(__xludf.DUMMYFUNCTION("""COMPUTED_VALUE"""),46011.29166666667)</f>
        <v>46011.29167</v>
      </c>
      <c r="I3114" s="237" t="str">
        <f t="shared" si="1"/>
        <v>Fora</v>
      </c>
      <c r="J3114" s="239">
        <v>539.0000000072177</v>
      </c>
    </row>
    <row r="3115">
      <c r="A3115" s="234" t="s">
        <v>4526</v>
      </c>
      <c r="B3115" s="234" t="str">
        <f>IFERROR(__xludf.DUMMYFUNCTION("""COMPUTED_VALUE"""),"SoC_MG_Betim")</f>
        <v>SoC_MG_Betim</v>
      </c>
      <c r="C3115" s="234" t="str">
        <f>IFERROR(__xludf.DUMMYFUNCTION("""COMPUTED_VALUE"""),"SOC-MG2")</f>
        <v>SOC-MG2</v>
      </c>
      <c r="D3115" s="234">
        <f>IFERROR(__xludf.DUMMYFUNCTION("""COMPUTED_VALUE"""),90.0)</f>
        <v>90</v>
      </c>
      <c r="E3115" s="237" t="str">
        <f>IFERROR(__xludf.DUMMYFUNCTION("""COMPUTED_VALUE"""),"LT0PCJ01U87B1")</f>
        <v>LT0PCJ01U87B1</v>
      </c>
      <c r="F3115" s="238" t="str">
        <f>IFERROR(__xludf.DUMMYFUNCTION("""COMPUTED_VALUE"""),"ATG7J03,CZB4E38")</f>
        <v>ATG7J03,CZB4E38</v>
      </c>
      <c r="G3115" s="238">
        <f>IFERROR(__xludf.DUMMYFUNCTION("""COMPUTED_VALUE"""),46010.91736111111)</f>
        <v>46010.91736</v>
      </c>
      <c r="H3115" s="238">
        <f>IFERROR(__xludf.DUMMYFUNCTION("""COMPUTED_VALUE"""),46011.29166666667)</f>
        <v>46011.29167</v>
      </c>
      <c r="I3115" s="237" t="str">
        <f t="shared" si="1"/>
        <v>Fora</v>
      </c>
      <c r="J3115" s="239">
        <v>539.0000000072177</v>
      </c>
    </row>
    <row r="3116">
      <c r="A3116" s="234" t="s">
        <v>4527</v>
      </c>
      <c r="B3116" s="234" t="str">
        <f>IFERROR(__xludf.DUMMYFUNCTION("""COMPUTED_VALUE"""),"SoC_RJ_Duque de Caxias")</f>
        <v>SoC_RJ_Duque de Caxias</v>
      </c>
      <c r="C3116" s="234" t="str">
        <f>IFERROR(__xludf.DUMMYFUNCTION("""COMPUTED_VALUE"""),"SOC-RJ2")</f>
        <v>SOC-RJ2</v>
      </c>
      <c r="D3116" s="234"/>
      <c r="E3116" s="237" t="str">
        <f>IFERROR(__xludf.DUMMYFUNCTION("""COMPUTED_VALUE"""),"LT0PCJ01U8OA1")</f>
        <v>LT0PCJ01U8OA1</v>
      </c>
      <c r="F3116" s="238" t="str">
        <f>IFERROR(__xludf.DUMMYFUNCTION("""COMPUTED_VALUE"""),"GAV9D67,PRO5229")</f>
        <v>GAV9D67,PRO5229</v>
      </c>
      <c r="G3116" s="238">
        <f>IFERROR(__xludf.DUMMYFUNCTION("""COMPUTED_VALUE"""),46010.91736111111)</f>
        <v>46010.91736</v>
      </c>
      <c r="H3116" s="238">
        <f>IFERROR(__xludf.DUMMYFUNCTION("""COMPUTED_VALUE"""),46011.29166666667)</f>
        <v>46011.29167</v>
      </c>
      <c r="I3116" s="237" t="str">
        <f t="shared" si="1"/>
        <v>Fora</v>
      </c>
      <c r="J3116" s="239">
        <v>538.0000000144355</v>
      </c>
    </row>
    <row r="3117">
      <c r="A3117" s="234" t="s">
        <v>414</v>
      </c>
      <c r="B3117" s="234" t="str">
        <f>IFERROR(__xludf.DUMMYFUNCTION("""COMPUTED_VALUE"""),"SoC_SP_Cravinhos")</f>
        <v>SoC_SP_Cravinhos</v>
      </c>
      <c r="C3117" s="234" t="str">
        <f>IFERROR(__xludf.DUMMYFUNCTION("""COMPUTED_VALUE"""),"SOC-SP5")</f>
        <v>SOC-SP5</v>
      </c>
      <c r="D3117" s="234">
        <f>IFERROR(__xludf.DUMMYFUNCTION("""COMPUTED_VALUE"""),36.0)</f>
        <v>36</v>
      </c>
      <c r="E3117" s="237" t="str">
        <f>IFERROR(__xludf.DUMMYFUNCTION("""COMPUTED_VALUE"""),"LT0PCJ01UBUK1")</f>
        <v>LT0PCJ01UBUK1</v>
      </c>
      <c r="F3117" s="238" t="str">
        <f>IFERROR(__xludf.DUMMYFUNCTION("""COMPUTED_VALUE"""),"CVN8H07,EJW5H60")</f>
        <v>CVN8H07,EJW5H60</v>
      </c>
      <c r="G3117" s="238">
        <f>IFERROR(__xludf.DUMMYFUNCTION("""COMPUTED_VALUE"""),46010.91805555555)</f>
        <v>46010.91806</v>
      </c>
      <c r="H3117" s="238">
        <f>IFERROR(__xludf.DUMMYFUNCTION("""COMPUTED_VALUE"""),46011.29166666667)</f>
        <v>46011.29167</v>
      </c>
      <c r="I3117" s="237" t="str">
        <f t="shared" si="1"/>
        <v>Fora</v>
      </c>
      <c r="J3117" s="239">
        <v>538.0000000144355</v>
      </c>
    </row>
    <row r="3118">
      <c r="A3118" s="234" t="s">
        <v>4528</v>
      </c>
      <c r="B3118" s="234" t="str">
        <f>IFERROR(__xludf.DUMMYFUNCTION("""COMPUTED_VALUE"""),"SoC_SP_Cravinhos")</f>
        <v>SoC_SP_Cravinhos</v>
      </c>
      <c r="C3118" s="234" t="str">
        <f>IFERROR(__xludf.DUMMYFUNCTION("""COMPUTED_VALUE"""),"SOC-SP5")</f>
        <v>SOC-SP5</v>
      </c>
      <c r="D3118" s="234">
        <f>IFERROR(__xludf.DUMMYFUNCTION("""COMPUTED_VALUE"""),94.0)</f>
        <v>94</v>
      </c>
      <c r="E3118" s="237" t="str">
        <f>IFERROR(__xludf.DUMMYFUNCTION("""COMPUTED_VALUE"""),"LT0PCJ01UBUM2")</f>
        <v>LT0PCJ01UBUM2</v>
      </c>
      <c r="F3118" s="238" t="str">
        <f>IFERROR(__xludf.DUMMYFUNCTION("""COMPUTED_VALUE"""),"QSW3G11,QSU4G48")</f>
        <v>QSW3G11,QSU4G48</v>
      </c>
      <c r="G3118" s="238">
        <f>IFERROR(__xludf.DUMMYFUNCTION("""COMPUTED_VALUE"""),46010.91805555555)</f>
        <v>46010.91806</v>
      </c>
      <c r="H3118" s="238">
        <f>IFERROR(__xludf.DUMMYFUNCTION("""COMPUTED_VALUE"""),46011.29166666667)</f>
        <v>46011.29167</v>
      </c>
      <c r="I3118" s="237" t="str">
        <f t="shared" si="1"/>
        <v>Fora</v>
      </c>
      <c r="J3118" s="239">
        <v>120.00000001396984</v>
      </c>
    </row>
    <row r="3119">
      <c r="A3119" s="234" t="s">
        <v>415</v>
      </c>
      <c r="B3119" s="234" t="str">
        <f>IFERROR(__xludf.DUMMYFUNCTION("""COMPUTED_VALUE"""),"LM Hub_SP_Barueri_01")</f>
        <v>LM Hub_SP_Barueri_01</v>
      </c>
      <c r="C3119" s="234" t="str">
        <f>IFERROR(__xludf.DUMMYFUNCTION("""COMPUTED_VALUE"""),"HUB-LSP-81")</f>
        <v>HUB-LSP-81</v>
      </c>
      <c r="D3119" s="234">
        <f>IFERROR(__xludf.DUMMYFUNCTION("""COMPUTED_VALUE"""),13.0)</f>
        <v>13</v>
      </c>
      <c r="E3119" s="237" t="str">
        <f>IFERROR(__xludf.DUMMYFUNCTION("""COMPUTED_VALUE"""),"LT0PCK01UHKV1")</f>
        <v>LT0PCK01UHKV1</v>
      </c>
      <c r="F3119" s="238" t="str">
        <f>IFERROR(__xludf.DUMMYFUNCTION("""COMPUTED_VALUE"""),"GDQ4B07,GIJ1E98")</f>
        <v>GDQ4B07,GIJ1E98</v>
      </c>
      <c r="G3119" s="238">
        <f>IFERROR(__xludf.DUMMYFUNCTION("""COMPUTED_VALUE"""),46011.20833333333)</f>
        <v>46011.20833</v>
      </c>
      <c r="H3119" s="238">
        <f>IFERROR(__xludf.DUMMYFUNCTION("""COMPUTED_VALUE"""),46011.29166666667)</f>
        <v>46011.29167</v>
      </c>
      <c r="I3119" s="237" t="str">
        <f t="shared" si="1"/>
        <v>Fora</v>
      </c>
      <c r="J3119" s="239">
        <v>120.00000001396984</v>
      </c>
    </row>
    <row r="3120">
      <c r="A3120" s="234" t="s">
        <v>416</v>
      </c>
      <c r="B3120" s="234" t="str">
        <f>IFERROR(__xludf.DUMMYFUNCTION("""COMPUTED_VALUE"""),"LM Hub_SP_Jundiaí")</f>
        <v>LM Hub_SP_Jundiaí</v>
      </c>
      <c r="C3120" s="234" t="str">
        <f>IFERROR(__xludf.DUMMYFUNCTION("""COMPUTED_VALUE"""),"HUB-LSP-100")</f>
        <v>HUB-LSP-100</v>
      </c>
      <c r="D3120" s="234">
        <f>IFERROR(__xludf.DUMMYFUNCTION("""COMPUTED_VALUE"""),7.0)</f>
        <v>7</v>
      </c>
      <c r="E3120" s="237" t="str">
        <f>IFERROR(__xludf.DUMMYFUNCTION("""COMPUTED_VALUE"""),"LT0PCK01UJ041")</f>
        <v>LT0PCK01UJ041</v>
      </c>
      <c r="F3120" s="238" t="str">
        <f>IFERROR(__xludf.DUMMYFUNCTION("""COMPUTED_VALUE"""),"FKD2E57,TLR0E69")</f>
        <v>FKD2E57,TLR0E69</v>
      </c>
      <c r="G3120" s="238">
        <f>IFERROR(__xludf.DUMMYFUNCTION("""COMPUTED_VALUE"""),46011.20833333333)</f>
        <v>46011.20833</v>
      </c>
      <c r="H3120" s="238">
        <f>IFERROR(__xludf.DUMMYFUNCTION("""COMPUTED_VALUE"""),46011.29166666667)</f>
        <v>46011.29167</v>
      </c>
      <c r="I3120" s="237" t="str">
        <f t="shared" si="1"/>
        <v>Fora</v>
      </c>
      <c r="J3120" s="239">
        <v>120.00000001396984</v>
      </c>
    </row>
    <row r="3121">
      <c r="A3121" s="234" t="s">
        <v>418</v>
      </c>
      <c r="B3121" s="234" t="str">
        <f>IFERROR(__xludf.DUMMYFUNCTION("""COMPUTED_VALUE"""),"LM Hub_SP_Jurubatuba")</f>
        <v>LM Hub_SP_Jurubatuba</v>
      </c>
      <c r="C3121" s="234" t="str">
        <f>IFERROR(__xludf.DUMMYFUNCTION("""COMPUTED_VALUE"""),"HUB-LSP-16")</f>
        <v>HUB-LSP-16</v>
      </c>
      <c r="D3121" s="234">
        <f>IFERROR(__xludf.DUMMYFUNCTION("""COMPUTED_VALUE"""),19.0)</f>
        <v>19</v>
      </c>
      <c r="E3121" s="237" t="str">
        <f>IFERROR(__xludf.DUMMYFUNCTION("""COMPUTED_VALUE"""),"LT0PCK01UD3Y1")</f>
        <v>LT0PCK01UD3Y1</v>
      </c>
      <c r="F3121" s="238" t="str">
        <f>IFERROR(__xludf.DUMMYFUNCTION("""COMPUTED_VALUE"""),"MQM6I27,FXB7G01")</f>
        <v>MQM6I27,FXB7G01</v>
      </c>
      <c r="G3121" s="238">
        <f>IFERROR(__xludf.DUMMYFUNCTION("""COMPUTED_VALUE"""),46011.20833333333)</f>
        <v>46011.20833</v>
      </c>
      <c r="H3121" s="238">
        <f>IFERROR(__xludf.DUMMYFUNCTION("""COMPUTED_VALUE"""),46011.29166666667)</f>
        <v>46011.29167</v>
      </c>
      <c r="I3121" s="237" t="str">
        <f t="shared" si="1"/>
        <v>Fora</v>
      </c>
      <c r="J3121" s="239">
        <v>120.00000001396984</v>
      </c>
    </row>
    <row r="3122">
      <c r="A3122" s="234" t="s">
        <v>420</v>
      </c>
      <c r="B3122" s="234" t="str">
        <f>IFERROR(__xludf.DUMMYFUNCTION("""COMPUTED_VALUE"""),"LM Hub_SP_Piracicaba")</f>
        <v>LM Hub_SP_Piracicaba</v>
      </c>
      <c r="C3122" s="234" t="str">
        <f>IFERROR(__xludf.DUMMYFUNCTION("""COMPUTED_VALUE"""),"HUB-LSP-62")</f>
        <v>HUB-LSP-62</v>
      </c>
      <c r="D3122" s="234">
        <f>IFERROR(__xludf.DUMMYFUNCTION("""COMPUTED_VALUE"""),17.0)</f>
        <v>17</v>
      </c>
      <c r="E3122" s="237" t="str">
        <f>IFERROR(__xludf.DUMMYFUNCTION("""COMPUTED_VALUE"""),"LT0PCK01UCN01")</f>
        <v>LT0PCK01UCN01</v>
      </c>
      <c r="F3122" s="238" t="str">
        <f>IFERROR(__xludf.DUMMYFUNCTION("""COMPUTED_VALUE"""),"BYP9A96,OMY3I60")</f>
        <v>BYP9A96,OMY3I60</v>
      </c>
      <c r="G3122" s="238">
        <f>IFERROR(__xludf.DUMMYFUNCTION("""COMPUTED_VALUE"""),46011.20833333333)</f>
        <v>46011.20833</v>
      </c>
      <c r="H3122" s="238">
        <f>IFERROR(__xludf.DUMMYFUNCTION("""COMPUTED_VALUE"""),46011.29166666667)</f>
        <v>46011.29167</v>
      </c>
      <c r="I3122" s="237" t="str">
        <f t="shared" si="1"/>
        <v>Fora</v>
      </c>
      <c r="J3122" s="239">
        <v>119.99999999301508</v>
      </c>
    </row>
    <row r="3123">
      <c r="A3123" s="234" t="s">
        <v>421</v>
      </c>
      <c r="B3123" s="234" t="str">
        <f>IFERROR(__xludf.DUMMYFUNCTION("""COMPUTED_VALUE"""),"LM Hub_SP_Guarujá")</f>
        <v>LM Hub_SP_Guarujá</v>
      </c>
      <c r="C3123" s="234" t="str">
        <f>IFERROR(__xludf.DUMMYFUNCTION("""COMPUTED_VALUE"""),"HUB-LSP-06")</f>
        <v>HUB-LSP-06</v>
      </c>
      <c r="D3123" s="234">
        <f>IFERROR(__xludf.DUMMYFUNCTION("""COMPUTED_VALUE"""),33.0)</f>
        <v>33</v>
      </c>
      <c r="E3123" s="237" t="str">
        <f>IFERROR(__xludf.DUMMYFUNCTION("""COMPUTED_VALUE"""),"LT0PCK01UD4P1")</f>
        <v>LT0PCK01UD4P1</v>
      </c>
      <c r="F3123" s="238" t="str">
        <f>IFERROR(__xludf.DUMMYFUNCTION("""COMPUTED_VALUE"""),"GFQ6J64")</f>
        <v>GFQ6J64</v>
      </c>
      <c r="G3123" s="238">
        <f>IFERROR(__xludf.DUMMYFUNCTION("""COMPUTED_VALUE"""),46011.22916666667)</f>
        <v>46011.22917</v>
      </c>
      <c r="H3123" s="238">
        <f>IFERROR(__xludf.DUMMYFUNCTION("""COMPUTED_VALUE"""),46011.3125)</f>
        <v>46011.3125</v>
      </c>
      <c r="I3123" s="237" t="str">
        <f t="shared" si="1"/>
        <v>Fora</v>
      </c>
      <c r="J3123" s="239">
        <v>119.99999999301508</v>
      </c>
    </row>
    <row r="3124">
      <c r="A3124" s="234" t="s">
        <v>423</v>
      </c>
      <c r="B3124" s="234" t="str">
        <f>IFERROR(__xludf.DUMMYFUNCTION("""COMPUTED_VALUE"""),"LM Hub_SP_Itaqua_Zimba")</f>
        <v>LM Hub_SP_Itaqua_Zimba</v>
      </c>
      <c r="C3124" s="234" t="str">
        <f>IFERROR(__xludf.DUMMYFUNCTION("""COMPUTED_VALUE"""),"HUB-LSP-74")</f>
        <v>HUB-LSP-74</v>
      </c>
      <c r="D3124" s="234">
        <f>IFERROR(__xludf.DUMMYFUNCTION("""COMPUTED_VALUE"""),5.0)</f>
        <v>5</v>
      </c>
      <c r="E3124" s="237" t="str">
        <f>IFERROR(__xludf.DUMMYFUNCTION("""COMPUTED_VALUE"""),"LT0PCK01UD4K1")</f>
        <v>LT0PCK01UD4K1</v>
      </c>
      <c r="F3124" s="238" t="str">
        <f>IFERROR(__xludf.DUMMYFUNCTION("""COMPUTED_VALUE"""),"CYT4D62,TLF5G42")</f>
        <v>CYT4D62,TLF5G42</v>
      </c>
      <c r="G3124" s="238">
        <f>IFERROR(__xludf.DUMMYFUNCTION("""COMPUTED_VALUE"""),46011.22916666667)</f>
        <v>46011.22917</v>
      </c>
      <c r="H3124" s="238">
        <f>IFERROR(__xludf.DUMMYFUNCTION("""COMPUTED_VALUE"""),46011.3125)</f>
        <v>46011.3125</v>
      </c>
      <c r="I3124" s="237" t="str">
        <f t="shared" si="1"/>
        <v>Fora</v>
      </c>
      <c r="J3124" s="239">
        <v>120.00000001396984</v>
      </c>
    </row>
    <row r="3125">
      <c r="A3125" s="234" t="s">
        <v>4529</v>
      </c>
      <c r="B3125" s="234" t="str">
        <f>IFERROR(__xludf.DUMMYFUNCTION("""COMPUTED_VALUE"""),"LM Hub_SP_Mogi das Cruzes_Jund")</f>
        <v>LM Hub_SP_Mogi das Cruzes_Jund</v>
      </c>
      <c r="C3125" s="234" t="str">
        <f>IFERROR(__xludf.DUMMYFUNCTION("""COMPUTED_VALUE"""),"HUB-LSP-78")</f>
        <v>HUB-LSP-78</v>
      </c>
      <c r="D3125" s="234"/>
      <c r="E3125" s="237" t="str">
        <f>IFERROR(__xludf.DUMMYFUNCTION("""COMPUTED_VALUE"""),"LT1PCJ01V2I51")</f>
        <v>LT1PCJ01V2I51</v>
      </c>
      <c r="F3125" s="234"/>
      <c r="G3125" s="238">
        <f>IFERROR(__xludf.DUMMYFUNCTION("""COMPUTED_VALUE"""),46010.89583333333)</f>
        <v>46010.89583</v>
      </c>
      <c r="H3125" s="238">
        <f>IFERROR(__xludf.DUMMYFUNCTION("""COMPUTED_VALUE"""),46010.97916666667)</f>
        <v>46010.97917</v>
      </c>
      <c r="I3125" s="237" t="str">
        <f t="shared" si="1"/>
        <v>Fora</v>
      </c>
      <c r="J3125" s="239">
        <v>120.00000001396984</v>
      </c>
    </row>
    <row r="3126">
      <c r="A3126" s="234" t="s">
        <v>4530</v>
      </c>
      <c r="B3126" s="234" t="str">
        <f>IFERROR(__xludf.DUMMYFUNCTION("""COMPUTED_VALUE"""),"LM Hub_SP_Mogi das Cruzes_Jund")</f>
        <v>LM Hub_SP_Mogi das Cruzes_Jund</v>
      </c>
      <c r="C3126" s="234" t="str">
        <f>IFERROR(__xludf.DUMMYFUNCTION("""COMPUTED_VALUE"""),"HUB-LSP-78")</f>
        <v>HUB-LSP-78</v>
      </c>
      <c r="D3126" s="234"/>
      <c r="E3126" s="237" t="str">
        <f>IFERROR(__xludf.DUMMYFUNCTION("""COMPUTED_VALUE"""),"LT1PCJ01V2I61")</f>
        <v>LT1PCJ01V2I61</v>
      </c>
      <c r="F3126" s="234"/>
      <c r="G3126" s="238">
        <f>IFERROR(__xludf.DUMMYFUNCTION("""COMPUTED_VALUE"""),46010.89583333333)</f>
        <v>46010.89583</v>
      </c>
      <c r="H3126" s="238">
        <f>IFERROR(__xludf.DUMMYFUNCTION("""COMPUTED_VALUE"""),46010.97916666667)</f>
        <v>46010.97917</v>
      </c>
      <c r="I3126" s="237" t="str">
        <f t="shared" si="1"/>
        <v>Fora</v>
      </c>
      <c r="J3126" s="239">
        <v>120.00000001396984</v>
      </c>
    </row>
    <row r="3127">
      <c r="A3127" s="234" t="s">
        <v>4531</v>
      </c>
      <c r="B3127" s="234" t="str">
        <f>IFERROR(__xludf.DUMMYFUNCTION("""COMPUTED_VALUE"""),"LM Hub_SP_Mogi das Cruzes_Jund")</f>
        <v>LM Hub_SP_Mogi das Cruzes_Jund</v>
      </c>
      <c r="C3127" s="234" t="str">
        <f>IFERROR(__xludf.DUMMYFUNCTION("""COMPUTED_VALUE"""),"HUB-LSP-78")</f>
        <v>HUB-LSP-78</v>
      </c>
      <c r="D3127" s="234"/>
      <c r="E3127" s="237" t="str">
        <f>IFERROR(__xludf.DUMMYFUNCTION("""COMPUTED_VALUE"""),"LT1PCJ01V2KL1")</f>
        <v>LT1PCJ01V2KL1</v>
      </c>
      <c r="F3127" s="234"/>
      <c r="G3127" s="238">
        <f>IFERROR(__xludf.DUMMYFUNCTION("""COMPUTED_VALUE"""),46010.89583333333)</f>
        <v>46010.89583</v>
      </c>
      <c r="H3127" s="238">
        <f>IFERROR(__xludf.DUMMYFUNCTION("""COMPUTED_VALUE"""),46010.97916666667)</f>
        <v>46010.97917</v>
      </c>
      <c r="I3127" s="237" t="str">
        <f t="shared" si="1"/>
        <v>Fora</v>
      </c>
      <c r="J3127" s="239">
        <v>120.00000001396984</v>
      </c>
    </row>
    <row r="3128">
      <c r="A3128" s="234" t="s">
        <v>4532</v>
      </c>
      <c r="B3128" s="234" t="str">
        <f>IFERROR(__xludf.DUMMYFUNCTION("""COMPUTED_VALUE"""),"LM Hub_SP_Mogi das Cruzes_Jund")</f>
        <v>LM Hub_SP_Mogi das Cruzes_Jund</v>
      </c>
      <c r="C3128" s="234" t="str">
        <f>IFERROR(__xludf.DUMMYFUNCTION("""COMPUTED_VALUE"""),"HUB-LSP-78")</f>
        <v>HUB-LSP-78</v>
      </c>
      <c r="D3128" s="234"/>
      <c r="E3128" s="237" t="str">
        <f>IFERROR(__xludf.DUMMYFUNCTION("""COMPUTED_VALUE"""),"LT1PCJ01V2KM1")</f>
        <v>LT1PCJ01V2KM1</v>
      </c>
      <c r="F3128" s="234"/>
      <c r="G3128" s="238">
        <f>IFERROR(__xludf.DUMMYFUNCTION("""COMPUTED_VALUE"""),46010.89583333333)</f>
        <v>46010.89583</v>
      </c>
      <c r="H3128" s="238">
        <f>IFERROR(__xludf.DUMMYFUNCTION("""COMPUTED_VALUE"""),46010.97916666667)</f>
        <v>46010.97917</v>
      </c>
      <c r="I3128" s="237" t="str">
        <f t="shared" si="1"/>
        <v>Fora</v>
      </c>
      <c r="J3128" s="239">
        <v>119.00000001071021</v>
      </c>
    </row>
    <row r="3129">
      <c r="A3129" s="234" t="s">
        <v>4533</v>
      </c>
      <c r="B3129" s="234" t="str">
        <f>IFERROR(__xludf.DUMMYFUNCTION("""COMPUTED_VALUE"""),"LM Hub_SP_Santos_PraiaGrande_02")</f>
        <v>LM Hub_SP_Santos_PraiaGrande_02</v>
      </c>
      <c r="C3129" s="234" t="str">
        <f>IFERROR(__xludf.DUMMYFUNCTION("""COMPUTED_VALUE"""),"HUB-LSP-63")</f>
        <v>HUB-LSP-63</v>
      </c>
      <c r="D3129" s="234"/>
      <c r="E3129" s="237" t="str">
        <f>IFERROR(__xludf.DUMMYFUNCTION("""COMPUTED_VALUE"""),"LT0PCJ01U84D1")</f>
        <v>LT0PCJ01U84D1</v>
      </c>
      <c r="F3129" s="238" t="str">
        <f>IFERROR(__xludf.DUMMYFUNCTION("""COMPUTED_VALUE"""),"LPY2G34,DAH6F31")</f>
        <v>LPY2G34,DAH6F31</v>
      </c>
      <c r="G3129" s="238">
        <f>IFERROR(__xludf.DUMMYFUNCTION("""COMPUTED_VALUE"""),46010.896527777775)</f>
        <v>46010.89653</v>
      </c>
      <c r="H3129" s="238">
        <f>IFERROR(__xludf.DUMMYFUNCTION("""COMPUTED_VALUE"""),46010.97916666667)</f>
        <v>46010.97917</v>
      </c>
      <c r="I3129" s="237" t="str">
        <f t="shared" si="1"/>
        <v>Fora</v>
      </c>
      <c r="J3129" s="239">
        <v>119.99999999301508</v>
      </c>
    </row>
    <row r="3130">
      <c r="A3130" s="234" t="s">
        <v>4534</v>
      </c>
      <c r="B3130" s="234" t="str">
        <f>IFERROR(__xludf.DUMMYFUNCTION("""COMPUTED_VALUE"""),"LM Hub_SP_Santos_PraiaGrande_02")</f>
        <v>LM Hub_SP_Santos_PraiaGrande_02</v>
      </c>
      <c r="C3130" s="234" t="str">
        <f>IFERROR(__xludf.DUMMYFUNCTION("""COMPUTED_VALUE"""),"HUB-LSP-63")</f>
        <v>HUB-LSP-63</v>
      </c>
      <c r="D3130" s="234"/>
      <c r="E3130" s="237" t="str">
        <f>IFERROR(__xludf.DUMMYFUNCTION("""COMPUTED_VALUE"""),"LT1PCJ01V2I71")</f>
        <v>LT1PCJ01V2I71</v>
      </c>
      <c r="F3130" s="234"/>
      <c r="G3130" s="238">
        <f>IFERROR(__xludf.DUMMYFUNCTION("""COMPUTED_VALUE"""),46010.91666666667)</f>
        <v>46010.91667</v>
      </c>
      <c r="H3130" s="238">
        <f>IFERROR(__xludf.DUMMYFUNCTION("""COMPUTED_VALUE"""),46011.0)</f>
        <v>46011</v>
      </c>
      <c r="I3130" s="237" t="str">
        <f t="shared" si="1"/>
        <v>Fora</v>
      </c>
      <c r="J3130" s="239">
        <v>119.99999999301508</v>
      </c>
    </row>
    <row r="3131">
      <c r="A3131" s="234" t="s">
        <v>4535</v>
      </c>
      <c r="B3131" s="234" t="str">
        <f>IFERROR(__xludf.DUMMYFUNCTION("""COMPUTED_VALUE"""),"LM Hub_SP_Jardim Adriana")</f>
        <v>LM Hub_SP_Jardim Adriana</v>
      </c>
      <c r="C3131" s="234" t="str">
        <f>IFERROR(__xludf.DUMMYFUNCTION("""COMPUTED_VALUE"""),"HUB-LSP-12")</f>
        <v>HUB-LSP-12</v>
      </c>
      <c r="D3131" s="234"/>
      <c r="E3131" s="237" t="str">
        <f>IFERROR(__xludf.DUMMYFUNCTION("""COMPUTED_VALUE"""),"LT0PCJ01UBVJ1")</f>
        <v>LT0PCJ01UBVJ1</v>
      </c>
      <c r="F3131" s="238" t="str">
        <f>IFERROR(__xludf.DUMMYFUNCTION("""COMPUTED_VALUE"""),"DJB5B15")</f>
        <v>DJB5B15</v>
      </c>
      <c r="G3131" s="238">
        <f>IFERROR(__xludf.DUMMYFUNCTION("""COMPUTED_VALUE"""),46010.9375)</f>
        <v>46010.9375</v>
      </c>
      <c r="H3131" s="238">
        <f>IFERROR(__xludf.DUMMYFUNCTION("""COMPUTED_VALUE"""),46011.02083333333)</f>
        <v>46011.02083</v>
      </c>
      <c r="I3131" s="237" t="str">
        <f t="shared" si="1"/>
        <v>Fora</v>
      </c>
      <c r="J3131" s="239">
        <v>118.00000000745058</v>
      </c>
    </row>
    <row r="3132">
      <c r="A3132" s="234" t="s">
        <v>4536</v>
      </c>
      <c r="B3132" s="234" t="str">
        <f>IFERROR(__xludf.DUMMYFUNCTION("""COMPUTED_VALUE"""),"LM Hub_SP_Sorocaba_Região Norte")</f>
        <v>LM Hub_SP_Sorocaba_Região Norte</v>
      </c>
      <c r="C3132" s="234" t="str">
        <f>IFERROR(__xludf.DUMMYFUNCTION("""COMPUTED_VALUE"""),"HUB-LSP-10")</f>
        <v>HUB-LSP-10</v>
      </c>
      <c r="D3132" s="234"/>
      <c r="E3132" s="237" t="str">
        <f>IFERROR(__xludf.DUMMYFUNCTION("""COMPUTED_VALUE"""),"LT0PCK01UBZD1")</f>
        <v>LT0PCK01UBZD1</v>
      </c>
      <c r="F3132" s="238" t="str">
        <f>IFERROR(__xludf.DUMMYFUNCTION("""COMPUTED_VALUE"""),"DNU8E03,MGA6B94")</f>
        <v>DNU8E03,MGA6B94</v>
      </c>
      <c r="G3132" s="238">
        <f>IFERROR(__xludf.DUMMYFUNCTION("""COMPUTED_VALUE"""),46011.14722222222)</f>
        <v>46011.14722</v>
      </c>
      <c r="H3132" s="238">
        <f>IFERROR(__xludf.DUMMYFUNCTION("""COMPUTED_VALUE"""),46011.22916666667)</f>
        <v>46011.22917</v>
      </c>
      <c r="I3132" s="237" t="str">
        <f t="shared" si="1"/>
        <v>Fora</v>
      </c>
      <c r="J3132" s="239">
        <v>119.00000001071021</v>
      </c>
    </row>
    <row r="3133">
      <c r="A3133" s="234" t="s">
        <v>4537</v>
      </c>
      <c r="B3133" s="234" t="str">
        <f>IFERROR(__xludf.DUMMYFUNCTION("""COMPUTED_VALUE"""),"LM Hub_SP_Santos_PraiaGrande_02")</f>
        <v>LM Hub_SP_Santos_PraiaGrande_02</v>
      </c>
      <c r="C3133" s="234" t="str">
        <f>IFERROR(__xludf.DUMMYFUNCTION("""COMPUTED_VALUE"""),"HUB-LSP-63")</f>
        <v>HUB-LSP-63</v>
      </c>
      <c r="D3133" s="234"/>
      <c r="E3133" s="237" t="str">
        <f>IFERROR(__xludf.DUMMYFUNCTION("""COMPUTED_VALUE"""),"LT0PCK01UD5G1")</f>
        <v>LT0PCK01UD5G1</v>
      </c>
      <c r="F3133" s="238" t="str">
        <f>IFERROR(__xludf.DUMMYFUNCTION("""COMPUTED_VALUE"""),"GEJ6E62,TLV2A95")</f>
        <v>GEJ6E62,TLV2A95</v>
      </c>
      <c r="G3133" s="238">
        <f>IFERROR(__xludf.DUMMYFUNCTION("""COMPUTED_VALUE"""),46011.209027777775)</f>
        <v>46011.20903</v>
      </c>
      <c r="H3133" s="238">
        <f>IFERROR(__xludf.DUMMYFUNCTION("""COMPUTED_VALUE"""),46011.29166666667)</f>
        <v>46011.29167</v>
      </c>
      <c r="I3133" s="237" t="str">
        <f t="shared" si="1"/>
        <v>Fora</v>
      </c>
      <c r="J3133" s="239">
        <v>119.00000000023283</v>
      </c>
    </row>
    <row r="3134">
      <c r="A3134" s="234" t="s">
        <v>424</v>
      </c>
      <c r="B3134" s="234" t="str">
        <f>IFERROR(__xludf.DUMMYFUNCTION("""COMPUTED_VALUE"""),"LM Hub_SP_Itapevi")</f>
        <v>LM Hub_SP_Itapevi</v>
      </c>
      <c r="C3134" s="234" t="str">
        <f>IFERROR(__xludf.DUMMYFUNCTION("""COMPUTED_VALUE"""),"HUB-LSP-41")</f>
        <v>HUB-LSP-41</v>
      </c>
      <c r="D3134" s="234">
        <f>IFERROR(__xludf.DUMMYFUNCTION("""COMPUTED_VALUE"""),42.0)</f>
        <v>42</v>
      </c>
      <c r="E3134" s="237" t="str">
        <f>IFERROR(__xludf.DUMMYFUNCTION("""COMPUTED_VALUE"""),"LT0PCK01UBWH1")</f>
        <v>LT0PCK01UBWH1</v>
      </c>
      <c r="F3134" s="238" t="str">
        <f>IFERROR(__xludf.DUMMYFUNCTION("""COMPUTED_VALUE"""),"DPF6F59,EFU8H72")</f>
        <v>DPF6F59,EFU8H72</v>
      </c>
      <c r="G3134" s="238">
        <f>IFERROR(__xludf.DUMMYFUNCTION("""COMPUTED_VALUE"""),46011.22986111111)</f>
        <v>46011.22986</v>
      </c>
      <c r="H3134" s="238">
        <f>IFERROR(__xludf.DUMMYFUNCTION("""COMPUTED_VALUE"""),46011.3125)</f>
        <v>46011.3125</v>
      </c>
      <c r="I3134" s="237" t="str">
        <f t="shared" si="1"/>
        <v>Fora</v>
      </c>
      <c r="J3134" s="239">
        <v>119.00000000023283</v>
      </c>
    </row>
    <row r="3135">
      <c r="A3135" s="234" t="s">
        <v>425</v>
      </c>
      <c r="B3135" s="234" t="str">
        <f>IFERROR(__xludf.DUMMYFUNCTION("""COMPUTED_VALUE"""),"LM Hub_SP_Santos_Praia Grande")</f>
        <v>LM Hub_SP_Santos_Praia Grande</v>
      </c>
      <c r="C3135" s="234" t="str">
        <f>IFERROR(__xludf.DUMMYFUNCTION("""COMPUTED_VALUE"""),"HUB-LSP-09")</f>
        <v>HUB-LSP-09</v>
      </c>
      <c r="D3135" s="234">
        <f>IFERROR(__xludf.DUMMYFUNCTION("""COMPUTED_VALUE"""),18.0)</f>
        <v>18</v>
      </c>
      <c r="E3135" s="237" t="str">
        <f>IFERROR(__xludf.DUMMYFUNCTION("""COMPUTED_VALUE"""),"LT0PCK01UD4V1")</f>
        <v>LT0PCK01UD4V1</v>
      </c>
      <c r="F3135" s="238" t="str">
        <f>IFERROR(__xludf.DUMMYFUNCTION("""COMPUTED_VALUE"""),"GEJ6E62,TLV2A95")</f>
        <v>GEJ6E62,TLV2A95</v>
      </c>
      <c r="G3135" s="238">
        <f>IFERROR(__xludf.DUMMYFUNCTION("""COMPUTED_VALUE"""),46011.22986111111)</f>
        <v>46011.22986</v>
      </c>
      <c r="H3135" s="238">
        <f>IFERROR(__xludf.DUMMYFUNCTION("""COMPUTED_VALUE"""),46011.3125)</f>
        <v>46011.3125</v>
      </c>
      <c r="I3135" s="237" t="str">
        <f t="shared" si="1"/>
        <v>Fora</v>
      </c>
      <c r="J3135" s="239">
        <v>119.00000000023283</v>
      </c>
    </row>
    <row r="3136">
      <c r="A3136" s="234" t="s">
        <v>426</v>
      </c>
      <c r="B3136" s="234" t="str">
        <f>IFERROR(__xludf.DUMMYFUNCTION("""COMPUTED_VALUE"""),"LM Hub_SP_São José dos Campos")</f>
        <v>LM Hub_SP_São José dos Campos</v>
      </c>
      <c r="C3136" s="234" t="str">
        <f>IFERROR(__xludf.DUMMYFUNCTION("""COMPUTED_VALUE"""),"HUB-LSP-04")</f>
        <v>HUB-LSP-04</v>
      </c>
      <c r="D3136" s="234">
        <f>IFERROR(__xludf.DUMMYFUNCTION("""COMPUTED_VALUE"""),15.0)</f>
        <v>15</v>
      </c>
      <c r="E3136" s="237" t="str">
        <f>IFERROR(__xludf.DUMMYFUNCTION("""COMPUTED_VALUE"""),"LT0PCK01UD521")</f>
        <v>LT0PCK01UD521</v>
      </c>
      <c r="F3136" s="238" t="str">
        <f>IFERROR(__xludf.DUMMYFUNCTION("""COMPUTED_VALUE"""),"TBX6C27")</f>
        <v>TBX6C27</v>
      </c>
      <c r="G3136" s="238">
        <f>IFERROR(__xludf.DUMMYFUNCTION("""COMPUTED_VALUE"""),46011.22986111111)</f>
        <v>46011.22986</v>
      </c>
      <c r="H3136" s="238">
        <f>IFERROR(__xludf.DUMMYFUNCTION("""COMPUTED_VALUE"""),46011.3125)</f>
        <v>46011.3125</v>
      </c>
      <c r="I3136" s="237" t="str">
        <f t="shared" si="1"/>
        <v>Fora</v>
      </c>
      <c r="J3136" s="239">
        <v>119.00000000023283</v>
      </c>
    </row>
    <row r="3137">
      <c r="A3137" s="234" t="s">
        <v>427</v>
      </c>
      <c r="B3137" s="234" t="str">
        <f>IFERROR(__xludf.DUMMYFUNCTION("""COMPUTED_VALUE"""),"LM Hub_SP_São Paulo_Mooca")</f>
        <v>LM Hub_SP_São Paulo_Mooca</v>
      </c>
      <c r="C3137" s="234" t="str">
        <f>IFERROR(__xludf.DUMMYFUNCTION("""COMPUTED_VALUE"""),"HUB-LSP-13")</f>
        <v>HUB-LSP-13</v>
      </c>
      <c r="D3137" s="234">
        <f>IFERROR(__xludf.DUMMYFUNCTION("""COMPUTED_VALUE"""),14.0)</f>
        <v>14</v>
      </c>
      <c r="E3137" s="237" t="str">
        <f>IFERROR(__xludf.DUMMYFUNCTION("""COMPUTED_VALUE"""),"LT0PCK01U8H91")</f>
        <v>LT0PCK01U8H91</v>
      </c>
      <c r="F3137" s="238" t="str">
        <f>IFERROR(__xludf.DUMMYFUNCTION("""COMPUTED_VALUE"""),"PEP9J38")</f>
        <v>PEP9J38</v>
      </c>
      <c r="G3137" s="238">
        <f>IFERROR(__xludf.DUMMYFUNCTION("""COMPUTED_VALUE"""),46011.22986111111)</f>
        <v>46011.22986</v>
      </c>
      <c r="H3137" s="238">
        <f>IFERROR(__xludf.DUMMYFUNCTION("""COMPUTED_VALUE"""),46011.3125)</f>
        <v>46011.3125</v>
      </c>
      <c r="I3137" s="237" t="str">
        <f t="shared" si="1"/>
        <v>Fora</v>
      </c>
      <c r="J3137" s="239">
        <v>600.0000000069849</v>
      </c>
    </row>
    <row r="3138">
      <c r="A3138" s="234" t="s">
        <v>4538</v>
      </c>
      <c r="B3138" s="234" t="str">
        <f>IFERROR(__xludf.DUMMYFUNCTION("""COMPUTED_VALUE"""),"SoC_BA_Simoes Filho")</f>
        <v>SoC_BA_Simoes Filho</v>
      </c>
      <c r="C3138" s="234" t="str">
        <f>IFERROR(__xludf.DUMMYFUNCTION("""COMPUTED_VALUE"""),"SOC-BA2")</f>
        <v>SOC-BA2</v>
      </c>
      <c r="D3138" s="234">
        <f>IFERROR(__xludf.DUMMYFUNCTION("""COMPUTED_VALUE"""),89.0)</f>
        <v>89</v>
      </c>
      <c r="E3138" s="237" t="str">
        <f>IFERROR(__xludf.DUMMYFUNCTION("""COMPUTED_VALUE"""),"LT0PCK01UHYF1")</f>
        <v>LT0PCK01UHYF1</v>
      </c>
      <c r="F3138" s="238" t="str">
        <f>IFERROR(__xludf.DUMMYFUNCTION("""COMPUTED_VALUE"""),"ESU8C18")</f>
        <v>ESU8C18</v>
      </c>
      <c r="G3138" s="238">
        <f>IFERROR(__xludf.DUMMYFUNCTION("""COMPUTED_VALUE"""),46011.25)</f>
        <v>46011.25</v>
      </c>
      <c r="H3138" s="238">
        <f>IFERROR(__xludf.DUMMYFUNCTION("""COMPUTED_VALUE"""),46011.66666666667)</f>
        <v>46011.66667</v>
      </c>
      <c r="I3138" s="237" t="str">
        <f t="shared" si="1"/>
        <v>Fora</v>
      </c>
      <c r="J3138" s="239">
        <v>599.0000000037253</v>
      </c>
    </row>
    <row r="3139">
      <c r="A3139" s="234" t="s">
        <v>4539</v>
      </c>
      <c r="B3139" s="234" t="str">
        <f>IFERROR(__xludf.DUMMYFUNCTION("""COMPUTED_VALUE"""),"SoC_GO_Goiânia_02")</f>
        <v>SoC_GO_Goiânia_02</v>
      </c>
      <c r="C3139" s="234" t="str">
        <f>IFERROR(__xludf.DUMMYFUNCTION("""COMPUTED_VALUE"""),"SOC-GO2")</f>
        <v>SOC-GO2</v>
      </c>
      <c r="D3139" s="234">
        <f>IFERROR(__xludf.DUMMYFUNCTION("""COMPUTED_VALUE"""),86.0)</f>
        <v>86</v>
      </c>
      <c r="E3139" s="237" t="str">
        <f>IFERROR(__xludf.DUMMYFUNCTION("""COMPUTED_VALUE"""),"LT0PCK01UI6S1")</f>
        <v>LT0PCK01UI6S1</v>
      </c>
      <c r="F3139" s="238" t="str">
        <f>IFERROR(__xludf.DUMMYFUNCTION("""COMPUTED_VALUE"""),"FQE9H60,UFF0G06")</f>
        <v>FQE9H60,UFF0G06</v>
      </c>
      <c r="G3139" s="238">
        <f>IFERROR(__xludf.DUMMYFUNCTION("""COMPUTED_VALUE"""),46011.25069444445)</f>
        <v>46011.25069</v>
      </c>
      <c r="H3139" s="238">
        <f>IFERROR(__xludf.DUMMYFUNCTION("""COMPUTED_VALUE"""),46011.66666666667)</f>
        <v>46011.66667</v>
      </c>
      <c r="I3139" s="237" t="str">
        <f t="shared" si="1"/>
        <v>Fora</v>
      </c>
      <c r="J3139" s="239" t="e">
        <v>#VALUE!</v>
      </c>
    </row>
    <row r="3140">
      <c r="A3140" s="234" t="s">
        <v>4540</v>
      </c>
      <c r="B3140" s="234" t="str">
        <f>IFERROR(__xludf.DUMMYFUNCTION("""COMPUTED_VALUE"""),"Fanout Desconhecido")</f>
        <v>Fanout Desconhecido</v>
      </c>
      <c r="C3140" s="234" t="str">
        <f>IFERROR(__xludf.DUMMYFUNCTION("""COMPUTED_VALUE"""),"-")</f>
        <v>-</v>
      </c>
      <c r="D3140" s="234">
        <f>IFERROR(__xludf.DUMMYFUNCTION("""COMPUTED_VALUE"""),110.0)</f>
        <v>110</v>
      </c>
      <c r="E3140" s="237" t="str">
        <f>IFERROR(__xludf.DUMMYFUNCTION("""COMPUTED_VALUE"""),"LT1PCK01V1RO")</f>
        <v>LT1PCK01V1RO</v>
      </c>
      <c r="F3140" s="238" t="str">
        <f>IFERROR(__xludf.DUMMYFUNCTION("""COMPUTED_VALUE"""),"-")</f>
        <v>-</v>
      </c>
      <c r="G3140" s="238" t="str">
        <f>IFERROR(__xludf.DUMMYFUNCTION("""COMPUTED_VALUE"""),"-")</f>
        <v>-</v>
      </c>
      <c r="H3140" s="238" t="str">
        <f>IFERROR(__xludf.DUMMYFUNCTION("""COMPUTED_VALUE"""),"-")</f>
        <v>-</v>
      </c>
      <c r="I3140" s="237" t="str">
        <f t="shared" si="1"/>
        <v>Dentro</v>
      </c>
      <c r="J3140" s="239">
        <v>119.99999999301508</v>
      </c>
    </row>
    <row r="3141">
      <c r="A3141" s="234" t="s">
        <v>4541</v>
      </c>
      <c r="B3141" s="234" t="str">
        <f>IFERROR(__xludf.DUMMYFUNCTION("""COMPUTED_VALUE"""),"SoC_RS_Gravataí_02")</f>
        <v>SoC_RS_Gravataí_02</v>
      </c>
      <c r="C3141" s="234" t="str">
        <f>IFERROR(__xludf.DUMMYFUNCTION("""COMPUTED_VALUE"""),"SOC-RS2")</f>
        <v>SOC-RS2</v>
      </c>
      <c r="D3141" s="234">
        <f>IFERROR(__xludf.DUMMYFUNCTION("""COMPUTED_VALUE"""),23.0)</f>
        <v>23</v>
      </c>
      <c r="E3141" s="237" t="str">
        <f>IFERROR(__xludf.DUMMYFUNCTION("""COMPUTED_VALUE"""),"LT1PCK01V1SJ1")</f>
        <v>LT1PCK01V1SJ1</v>
      </c>
      <c r="F3141" s="238" t="str">
        <f>IFERROR(__xludf.DUMMYFUNCTION("""COMPUTED_VALUE"""),"UER9B97,CUI2F35")</f>
        <v>UER9B97,CUI2F35</v>
      </c>
      <c r="G3141" s="238">
        <f>IFERROR(__xludf.DUMMYFUNCTION("""COMPUTED_VALUE"""),46011.75)</f>
        <v>46011.75</v>
      </c>
      <c r="H3141" s="238">
        <f>IFERROR(__xludf.DUMMYFUNCTION("""COMPUTED_VALUE"""),46011.83333333333)</f>
        <v>46011.83333</v>
      </c>
      <c r="I3141" s="237" t="str">
        <f t="shared" si="1"/>
        <v>Fora</v>
      </c>
      <c r="J3141" s="239">
        <v>119.99999999301508</v>
      </c>
    </row>
    <row r="3142">
      <c r="A3142" s="234" t="s">
        <v>4542</v>
      </c>
      <c r="B3142" s="234" t="str">
        <f>IFERROR(__xludf.DUMMYFUNCTION("""COMPUTED_VALUE"""),"SoC_SC_Itajaí")</f>
        <v>SoC_SC_Itajaí</v>
      </c>
      <c r="C3142" s="234" t="str">
        <f>IFERROR(__xludf.DUMMYFUNCTION("""COMPUTED_VALUE"""),"SOC-SC1")</f>
        <v>SOC-SC1</v>
      </c>
      <c r="D3142" s="234">
        <f>IFERROR(__xludf.DUMMYFUNCTION("""COMPUTED_VALUE"""),25.0)</f>
        <v>25</v>
      </c>
      <c r="E3142" s="237" t="str">
        <f>IFERROR(__xludf.DUMMYFUNCTION("""COMPUTED_VALUE"""),"LT1PCK01V1SM1")</f>
        <v>LT1PCK01V1SM1</v>
      </c>
      <c r="F3142" s="238" t="str">
        <f>IFERROR(__xludf.DUMMYFUNCTION("""COMPUTED_VALUE"""),"ETM1C74,EML6G44")</f>
        <v>ETM1C74,EML6G44</v>
      </c>
      <c r="G3142" s="238">
        <f>IFERROR(__xludf.DUMMYFUNCTION("""COMPUTED_VALUE"""),46011.75)</f>
        <v>46011.75</v>
      </c>
      <c r="H3142" s="238">
        <f>IFERROR(__xludf.DUMMYFUNCTION("""COMPUTED_VALUE"""),46011.83333333333)</f>
        <v>46011.83333</v>
      </c>
      <c r="I3142" s="237" t="str">
        <f t="shared" si="1"/>
        <v>Fora</v>
      </c>
      <c r="J3142" s="239">
        <v>540.0</v>
      </c>
    </row>
    <row r="3143">
      <c r="A3143" s="234" t="s">
        <v>4543</v>
      </c>
      <c r="B3143" s="234" t="str">
        <f>IFERROR(__xludf.DUMMYFUNCTION("""COMPUTED_VALUE"""),"SoC_GO_Goiânia_02")</f>
        <v>SoC_GO_Goiânia_02</v>
      </c>
      <c r="C3143" s="234" t="str">
        <f>IFERROR(__xludf.DUMMYFUNCTION("""COMPUTED_VALUE"""),"SOC-GO2")</f>
        <v>SOC-GO2</v>
      </c>
      <c r="D3143" s="234">
        <f>IFERROR(__xludf.DUMMYFUNCTION("""COMPUTED_VALUE"""),87.0)</f>
        <v>87</v>
      </c>
      <c r="E3143" s="237" t="str">
        <f>IFERROR(__xludf.DUMMYFUNCTION("""COMPUTED_VALUE"""),"LT0PCK01UI6X1")</f>
        <v>LT0PCK01UI6X1</v>
      </c>
      <c r="F3143" s="238" t="str">
        <f>IFERROR(__xludf.DUMMYFUNCTION("""COMPUTED_VALUE"""),"DVT7G86,IMM3A97")</f>
        <v>DVT7G86,IMM3A97</v>
      </c>
      <c r="G3143" s="238">
        <f>IFERROR(__xludf.DUMMYFUNCTION("""COMPUTED_VALUE"""),46011.58333333333)</f>
        <v>46011.58333</v>
      </c>
      <c r="H3143" s="238">
        <f>IFERROR(__xludf.DUMMYFUNCTION("""COMPUTED_VALUE"""),46011.95833333333)</f>
        <v>46011.95833</v>
      </c>
      <c r="I3143" s="237" t="str">
        <f t="shared" si="1"/>
        <v>Fora</v>
      </c>
      <c r="J3143" s="239">
        <v>538.9999999967404</v>
      </c>
    </row>
    <row r="3144">
      <c r="A3144" s="234" t="s">
        <v>4544</v>
      </c>
      <c r="B3144" s="234" t="str">
        <f>IFERROR(__xludf.DUMMYFUNCTION("""COMPUTED_VALUE"""),"SoC_MG_Betim")</f>
        <v>SoC_MG_Betim</v>
      </c>
      <c r="C3144" s="234" t="str">
        <f>IFERROR(__xludf.DUMMYFUNCTION("""COMPUTED_VALUE"""),"SOC-MG2")</f>
        <v>SOC-MG2</v>
      </c>
      <c r="D3144" s="234">
        <f>IFERROR(__xludf.DUMMYFUNCTION("""COMPUTED_VALUE"""),91.0)</f>
        <v>91</v>
      </c>
      <c r="E3144" s="237" t="str">
        <f>IFERROR(__xludf.DUMMYFUNCTION("""COMPUTED_VALUE"""),"LT0PCK01UBSD1")</f>
        <v>LT0PCK01UBSD1</v>
      </c>
      <c r="F3144" s="238" t="str">
        <f>IFERROR(__xludf.DUMMYFUNCTION("""COMPUTED_VALUE"""),"SUQ0C67,RXM3H49")</f>
        <v>SUQ0C67,RXM3H49</v>
      </c>
      <c r="G3144" s="238">
        <f>IFERROR(__xludf.DUMMYFUNCTION("""COMPUTED_VALUE"""),46011.584027777775)</f>
        <v>46011.58403</v>
      </c>
      <c r="H3144" s="238">
        <f>IFERROR(__xludf.DUMMYFUNCTION("""COMPUTED_VALUE"""),46011.95833333333)</f>
        <v>46011.95833</v>
      </c>
      <c r="I3144" s="237" t="str">
        <f t="shared" si="1"/>
        <v>Fora</v>
      </c>
      <c r="J3144" s="239">
        <v>538.9999999967404</v>
      </c>
    </row>
    <row r="3145">
      <c r="A3145" s="234" t="s">
        <v>4545</v>
      </c>
      <c r="B3145" s="234" t="str">
        <f>IFERROR(__xludf.DUMMYFUNCTION("""COMPUTED_VALUE"""),"SoC_SP_Cravinhos")</f>
        <v>SoC_SP_Cravinhos</v>
      </c>
      <c r="C3145" s="234" t="str">
        <f>IFERROR(__xludf.DUMMYFUNCTION("""COMPUTED_VALUE"""),"SOC-SP5")</f>
        <v>SOC-SP5</v>
      </c>
      <c r="D3145" s="234">
        <f>IFERROR(__xludf.DUMMYFUNCTION("""COMPUTED_VALUE"""),95.0)</f>
        <v>95</v>
      </c>
      <c r="E3145" s="237" t="str">
        <f>IFERROR(__xludf.DUMMYFUNCTION("""COMPUTED_VALUE"""),"LT0PCK01UBUB2")</f>
        <v>LT0PCK01UBUB2</v>
      </c>
      <c r="F3145" s="238" t="str">
        <f>IFERROR(__xludf.DUMMYFUNCTION("""COMPUTED_VALUE"""),"IRJ4D34,ANW6E55")</f>
        <v>IRJ4D34,ANW6E55</v>
      </c>
      <c r="G3145" s="238">
        <f>IFERROR(__xludf.DUMMYFUNCTION("""COMPUTED_VALUE"""),46011.584027777775)</f>
        <v>46011.58403</v>
      </c>
      <c r="H3145" s="238">
        <f>IFERROR(__xludf.DUMMYFUNCTION("""COMPUTED_VALUE"""),46011.95833333333)</f>
        <v>46011.95833</v>
      </c>
      <c r="I3145" s="237" t="str">
        <f t="shared" si="1"/>
        <v>Fora</v>
      </c>
      <c r="J3145" s="239">
        <v>120.00000001396984</v>
      </c>
    </row>
    <row r="3146">
      <c r="A3146" s="234" t="s">
        <v>4546</v>
      </c>
      <c r="B3146" s="234" t="str">
        <f>IFERROR(__xludf.DUMMYFUNCTION("""COMPUTED_VALUE"""),"LM Hub_SP_Itaqua_Zimba")</f>
        <v>LM Hub_SP_Itaqua_Zimba</v>
      </c>
      <c r="C3146" s="234" t="str">
        <f>IFERROR(__xludf.DUMMYFUNCTION("""COMPUTED_VALUE"""),"HUB-LSP-74")</f>
        <v>HUB-LSP-74</v>
      </c>
      <c r="D3146" s="234">
        <f>IFERROR(__xludf.DUMMYFUNCTION("""COMPUTED_VALUE"""),6.0)</f>
        <v>6</v>
      </c>
      <c r="E3146" s="237" t="str">
        <f>IFERROR(__xludf.DUMMYFUNCTION("""COMPUTED_VALUE"""),"LT0PCK01UBXB1")</f>
        <v>LT0PCK01UBXB1</v>
      </c>
      <c r="F3146" s="238" t="str">
        <f>IFERROR(__xludf.DUMMYFUNCTION("""COMPUTED_VALUE"""),"SUQ5C99,TLD5B82")</f>
        <v>SUQ5C99,TLD5B82</v>
      </c>
      <c r="G3146" s="238">
        <f>IFERROR(__xludf.DUMMYFUNCTION("""COMPUTED_VALUE"""),46011.89583333333)</f>
        <v>46011.89583</v>
      </c>
      <c r="H3146" s="238">
        <f>IFERROR(__xludf.DUMMYFUNCTION("""COMPUTED_VALUE"""),46011.97916666667)</f>
        <v>46011.97917</v>
      </c>
      <c r="I3146" s="237" t="str">
        <f t="shared" si="1"/>
        <v>Fora</v>
      </c>
      <c r="J3146" s="239">
        <v>120.00000001396984</v>
      </c>
    </row>
    <row r="3147">
      <c r="A3147" s="234" t="s">
        <v>4547</v>
      </c>
      <c r="B3147" s="234" t="str">
        <f>IFERROR(__xludf.DUMMYFUNCTION("""COMPUTED_VALUE"""),"LM Hub_SP_Jurubatuba")</f>
        <v>LM Hub_SP_Jurubatuba</v>
      </c>
      <c r="C3147" s="234" t="str">
        <f>IFERROR(__xludf.DUMMYFUNCTION("""COMPUTED_VALUE"""),"HUB-LSP-16")</f>
        <v>HUB-LSP-16</v>
      </c>
      <c r="D3147" s="234">
        <f>IFERROR(__xludf.DUMMYFUNCTION("""COMPUTED_VALUE"""),9.0)</f>
        <v>9</v>
      </c>
      <c r="E3147" s="237" t="str">
        <f>IFERROR(__xludf.DUMMYFUNCTION("""COMPUTED_VALUE"""),"LT0PCK01UBVY1")</f>
        <v>LT0PCK01UBVY1</v>
      </c>
      <c r="F3147" s="238" t="str">
        <f>IFERROR(__xludf.DUMMYFUNCTION("""COMPUTED_VALUE"""),"CUA7C61,FPW0F14")</f>
        <v>CUA7C61,FPW0F14</v>
      </c>
      <c r="G3147" s="238">
        <f>IFERROR(__xludf.DUMMYFUNCTION("""COMPUTED_VALUE"""),46011.89583333333)</f>
        <v>46011.89583</v>
      </c>
      <c r="H3147" s="238">
        <f>IFERROR(__xludf.DUMMYFUNCTION("""COMPUTED_VALUE"""),46011.97916666667)</f>
        <v>46011.97917</v>
      </c>
      <c r="I3147" s="237" t="str">
        <f t="shared" si="1"/>
        <v>Fora</v>
      </c>
      <c r="J3147" s="239">
        <v>120.00000001396984</v>
      </c>
    </row>
    <row r="3148">
      <c r="A3148" s="234" t="s">
        <v>4548</v>
      </c>
      <c r="B3148" s="234" t="str">
        <f>IFERROR(__xludf.DUMMYFUNCTION("""COMPUTED_VALUE"""),"LM Hub_SP_Mogi das Cruzes_Jund")</f>
        <v>LM Hub_SP_Mogi das Cruzes_Jund</v>
      </c>
      <c r="C3148" s="234" t="str">
        <f>IFERROR(__xludf.DUMMYFUNCTION("""COMPUTED_VALUE"""),"HUB-LSP-78")</f>
        <v>HUB-LSP-78</v>
      </c>
      <c r="D3148" s="234">
        <f>IFERROR(__xludf.DUMMYFUNCTION("""COMPUTED_VALUE"""),36.0)</f>
        <v>36</v>
      </c>
      <c r="E3148" s="237" t="str">
        <f>IFERROR(__xludf.DUMMYFUNCTION("""COMPUTED_VALUE"""),"LT0PCK01UF3W1")</f>
        <v>LT0PCK01UF3W1</v>
      </c>
      <c r="F3148" s="238" t="str">
        <f>IFERROR(__xludf.DUMMYFUNCTION("""COMPUTED_VALUE"""),"DPR5J10,FVZ1I26")</f>
        <v>DPR5J10,FVZ1I26</v>
      </c>
      <c r="G3148" s="238">
        <f>IFERROR(__xludf.DUMMYFUNCTION("""COMPUTED_VALUE"""),46011.89583333333)</f>
        <v>46011.89583</v>
      </c>
      <c r="H3148" s="238">
        <f>IFERROR(__xludf.DUMMYFUNCTION("""COMPUTED_VALUE"""),46011.97916666667)</f>
        <v>46011.97917</v>
      </c>
      <c r="I3148" s="237" t="str">
        <f t="shared" si="1"/>
        <v>Fora</v>
      </c>
      <c r="J3148" s="239">
        <v>120.00000001396984</v>
      </c>
    </row>
    <row r="3149">
      <c r="A3149" s="234" t="s">
        <v>4549</v>
      </c>
      <c r="B3149" s="234" t="str">
        <f>IFERROR(__xludf.DUMMYFUNCTION("""COMPUTED_VALUE"""),"LM Hub_SP_Santos_Praia Grande")</f>
        <v>LM Hub_SP_Santos_Praia Grande</v>
      </c>
      <c r="C3149" s="234" t="str">
        <f>IFERROR(__xludf.DUMMYFUNCTION("""COMPUTED_VALUE"""),"HUB-LSP-09")</f>
        <v>HUB-LSP-09</v>
      </c>
      <c r="D3149" s="234">
        <f>IFERROR(__xludf.DUMMYFUNCTION("""COMPUTED_VALUE"""),33.0)</f>
        <v>33</v>
      </c>
      <c r="E3149" s="237" t="str">
        <f>IFERROR(__xludf.DUMMYFUNCTION("""COMPUTED_VALUE"""),"LT0PCK01UBZ71")</f>
        <v>LT0PCK01UBZ71</v>
      </c>
      <c r="F3149" s="238" t="str">
        <f>IFERROR(__xludf.DUMMYFUNCTION("""COMPUTED_VALUE"""),"GBZ0C63,SVD9H85")</f>
        <v>GBZ0C63,SVD9H85</v>
      </c>
      <c r="G3149" s="238">
        <f>IFERROR(__xludf.DUMMYFUNCTION("""COMPUTED_VALUE"""),46011.89583333333)</f>
        <v>46011.89583</v>
      </c>
      <c r="H3149" s="238">
        <f>IFERROR(__xludf.DUMMYFUNCTION("""COMPUTED_VALUE"""),46011.97916666667)</f>
        <v>46011.97917</v>
      </c>
      <c r="I3149" s="237" t="str">
        <f t="shared" si="1"/>
        <v>Fora</v>
      </c>
      <c r="J3149" s="239">
        <v>119.00000001071021</v>
      </c>
    </row>
    <row r="3150">
      <c r="A3150" s="234" t="s">
        <v>4550</v>
      </c>
      <c r="B3150" s="234" t="str">
        <f>IFERROR(__xludf.DUMMYFUNCTION("""COMPUTED_VALUE"""),"LM Hub_SP_São Paulo_Lapa")</f>
        <v>LM Hub_SP_São Paulo_Lapa</v>
      </c>
      <c r="C3150" s="234" t="str">
        <f>IFERROR(__xludf.DUMMYFUNCTION("""COMPUTED_VALUE"""),"HUB-LSP-15")</f>
        <v>HUB-LSP-15</v>
      </c>
      <c r="D3150" s="234">
        <f>IFERROR(__xludf.DUMMYFUNCTION("""COMPUTED_VALUE"""),24.0)</f>
        <v>24</v>
      </c>
      <c r="E3150" s="237" t="str">
        <f>IFERROR(__xludf.DUMMYFUNCTION("""COMPUTED_VALUE"""),"LT0PCK01UBVU2")</f>
        <v>LT0PCK01UBVU2</v>
      </c>
      <c r="F3150" s="238" t="str">
        <f>IFERROR(__xludf.DUMMYFUNCTION("""COMPUTED_VALUE"""),"-")</f>
        <v>-</v>
      </c>
      <c r="G3150" s="238">
        <f>IFERROR(__xludf.DUMMYFUNCTION("""COMPUTED_VALUE"""),46011.896527777775)</f>
        <v>46011.89653</v>
      </c>
      <c r="H3150" s="238">
        <f>IFERROR(__xludf.DUMMYFUNCTION("""COMPUTED_VALUE"""),46011.97916666667)</f>
        <v>46011.97917</v>
      </c>
      <c r="I3150" s="237" t="str">
        <f t="shared" si="1"/>
        <v>Fora</v>
      </c>
      <c r="J3150" s="239">
        <v>119.00000001071021</v>
      </c>
    </row>
    <row r="3151">
      <c r="A3151" s="234" t="s">
        <v>4551</v>
      </c>
      <c r="B3151" s="234" t="str">
        <f>IFERROR(__xludf.DUMMYFUNCTION("""COMPUTED_VALUE"""),"LM Hub_SP_São Paulo_Lapa")</f>
        <v>LM Hub_SP_São Paulo_Lapa</v>
      </c>
      <c r="C3151" s="234" t="str">
        <f>IFERROR(__xludf.DUMMYFUNCTION("""COMPUTED_VALUE"""),"HUB-LSP-15")</f>
        <v>HUB-LSP-15</v>
      </c>
      <c r="D3151" s="234">
        <f>IFERROR(__xludf.DUMMYFUNCTION("""COMPUTED_VALUE"""),27.0)</f>
        <v>27</v>
      </c>
      <c r="E3151" s="237" t="str">
        <f>IFERROR(__xludf.DUMMYFUNCTION("""COMPUTED_VALUE"""),"LT0PCK01UBVS1")</f>
        <v>LT0PCK01UBVS1</v>
      </c>
      <c r="F3151" s="238" t="str">
        <f>IFERROR(__xludf.DUMMYFUNCTION("""COMPUTED_VALUE"""),"FTD7H10,EWJ0I25")</f>
        <v>FTD7H10,EWJ0I25</v>
      </c>
      <c r="G3151" s="238">
        <f>IFERROR(__xludf.DUMMYFUNCTION("""COMPUTED_VALUE"""),46011.896527777775)</f>
        <v>46011.89653</v>
      </c>
      <c r="H3151" s="238">
        <f>IFERROR(__xludf.DUMMYFUNCTION("""COMPUTED_VALUE"""),46011.97916666667)</f>
        <v>46011.97917</v>
      </c>
      <c r="I3151" s="237" t="str">
        <f t="shared" si="1"/>
        <v>Fora</v>
      </c>
      <c r="J3151" s="239">
        <v>118.00000000745058</v>
      </c>
    </row>
    <row r="3152">
      <c r="A3152" s="234" t="s">
        <v>4552</v>
      </c>
      <c r="B3152" s="234" t="str">
        <f>IFERROR(__xludf.DUMMYFUNCTION("""COMPUTED_VALUE"""),"LM Hub_SP_São José dos Campos")</f>
        <v>LM Hub_SP_São José dos Campos</v>
      </c>
      <c r="C3152" s="234" t="str">
        <f>IFERROR(__xludf.DUMMYFUNCTION("""COMPUTED_VALUE"""),"HUB-LSP-04")</f>
        <v>HUB-LSP-04</v>
      </c>
      <c r="D3152" s="234">
        <f>IFERROR(__xludf.DUMMYFUNCTION("""COMPUTED_VALUE"""),21.0)</f>
        <v>21</v>
      </c>
      <c r="E3152" s="237" t="str">
        <f>IFERROR(__xludf.DUMMYFUNCTION("""COMPUTED_VALUE"""),"LT0PCK01U88T1")</f>
        <v>LT0PCK01U88T1</v>
      </c>
      <c r="F3152" s="238" t="str">
        <f>IFERROR(__xludf.DUMMYFUNCTION("""COMPUTED_VALUE"""),"ENU3E65")</f>
        <v>ENU3E65</v>
      </c>
      <c r="G3152" s="238">
        <f>IFERROR(__xludf.DUMMYFUNCTION("""COMPUTED_VALUE"""),46011.89722222222)</f>
        <v>46011.89722</v>
      </c>
      <c r="H3152" s="238">
        <f>IFERROR(__xludf.DUMMYFUNCTION("""COMPUTED_VALUE"""),46011.97916666667)</f>
        <v>46011.97917</v>
      </c>
      <c r="I3152" s="237" t="str">
        <f t="shared" si="1"/>
        <v>Fora</v>
      </c>
      <c r="J3152" s="239">
        <v>118.99999998975545</v>
      </c>
    </row>
    <row r="3153">
      <c r="A3153" s="234" t="s">
        <v>4553</v>
      </c>
      <c r="B3153" s="234" t="str">
        <f>IFERROR(__xludf.DUMMYFUNCTION("""COMPUTED_VALUE"""),"LM Hub_SP_Guarujá")</f>
        <v>LM Hub_SP_Guarujá</v>
      </c>
      <c r="C3153" s="234" t="str">
        <f>IFERROR(__xludf.DUMMYFUNCTION("""COMPUTED_VALUE"""),"HUB-LSP-06")</f>
        <v>HUB-LSP-06</v>
      </c>
      <c r="D3153" s="234"/>
      <c r="E3153" s="237" t="str">
        <f>IFERROR(__xludf.DUMMYFUNCTION("""COMPUTED_VALUE"""),"LT0PCK01UBY71")</f>
        <v>LT0PCK01UBY71</v>
      </c>
      <c r="F3153" s="238" t="str">
        <f>IFERROR(__xludf.DUMMYFUNCTION("""COMPUTED_VALUE"""),"TJN5H17")</f>
        <v>TJN5H17</v>
      </c>
      <c r="G3153" s="238">
        <f>IFERROR(__xludf.DUMMYFUNCTION("""COMPUTED_VALUE"""),46011.91666666667)</f>
        <v>46011.91667</v>
      </c>
      <c r="H3153" s="238">
        <f>IFERROR(__xludf.DUMMYFUNCTION("""COMPUTED_VALUE"""),46011.99930555555)</f>
        <v>46011.99931</v>
      </c>
      <c r="I3153" s="237" t="str">
        <f t="shared" si="1"/>
        <v>Fora</v>
      </c>
      <c r="J3153" s="239">
        <v>119.99999999301508</v>
      </c>
    </row>
    <row r="3154">
      <c r="A3154" s="234" t="s">
        <v>4554</v>
      </c>
      <c r="B3154" s="234" t="str">
        <f>IFERROR(__xludf.DUMMYFUNCTION("""COMPUTED_VALUE"""),"LM Hub_SP_Artur Alvim")</f>
        <v>LM Hub_SP_Artur Alvim</v>
      </c>
      <c r="C3154" s="234" t="str">
        <f>IFERROR(__xludf.DUMMYFUNCTION("""COMPUTED_VALUE"""),"HUB-LSP-07")</f>
        <v>HUB-LSP-07</v>
      </c>
      <c r="D3154" s="234">
        <f>IFERROR(__xludf.DUMMYFUNCTION("""COMPUTED_VALUE"""),9.0)</f>
        <v>9</v>
      </c>
      <c r="E3154" s="237" t="str">
        <f>IFERROR(__xludf.DUMMYFUNCTION("""COMPUTED_VALUE"""),"LT0PCK01UBVD1")</f>
        <v>LT0PCK01UBVD1</v>
      </c>
      <c r="F3154" s="238" t="str">
        <f>IFERROR(__xludf.DUMMYFUNCTION("""COMPUTED_VALUE"""),"DVS4I95")</f>
        <v>DVS4I95</v>
      </c>
      <c r="G3154" s="238">
        <f>IFERROR(__xludf.DUMMYFUNCTION("""COMPUTED_VALUE"""),46011.91666666667)</f>
        <v>46011.91667</v>
      </c>
      <c r="H3154" s="238">
        <f>IFERROR(__xludf.DUMMYFUNCTION("""COMPUTED_VALUE"""),46012.0)</f>
        <v>46012</v>
      </c>
      <c r="I3154" s="237" t="str">
        <f t="shared" si="1"/>
        <v>Fora</v>
      </c>
      <c r="J3154" s="239">
        <v>119.99999999301508</v>
      </c>
    </row>
    <row r="3155">
      <c r="A3155" s="234" t="s">
        <v>4555</v>
      </c>
      <c r="B3155" s="234" t="str">
        <f>IFERROR(__xludf.DUMMYFUNCTION("""COMPUTED_VALUE"""),"LM Hub_SP_Barueri_01")</f>
        <v>LM Hub_SP_Barueri_01</v>
      </c>
      <c r="C3155" s="234" t="str">
        <f>IFERROR(__xludf.DUMMYFUNCTION("""COMPUTED_VALUE"""),"HUB-LSP-81")</f>
        <v>HUB-LSP-81</v>
      </c>
      <c r="D3155" s="234">
        <f>IFERROR(__xludf.DUMMYFUNCTION("""COMPUTED_VALUE"""),12.0)</f>
        <v>12</v>
      </c>
      <c r="E3155" s="237" t="str">
        <f>IFERROR(__xludf.DUMMYFUNCTION("""COMPUTED_VALUE"""),"LT0PCK01UHL11")</f>
        <v>LT0PCK01UHL11</v>
      </c>
      <c r="F3155" s="238" t="str">
        <f>IFERROR(__xludf.DUMMYFUNCTION("""COMPUTED_VALUE"""),"FNY8F71,TMH5F48")</f>
        <v>FNY8F71,TMH5F48</v>
      </c>
      <c r="G3155" s="238">
        <f>IFERROR(__xludf.DUMMYFUNCTION("""COMPUTED_VALUE"""),46011.91666666667)</f>
        <v>46011.91667</v>
      </c>
      <c r="H3155" s="238">
        <f>IFERROR(__xludf.DUMMYFUNCTION("""COMPUTED_VALUE"""),46012.0)</f>
        <v>46012</v>
      </c>
      <c r="I3155" s="237" t="str">
        <f t="shared" si="1"/>
        <v>Fora</v>
      </c>
      <c r="J3155" s="239">
        <v>119.99999999301508</v>
      </c>
    </row>
    <row r="3156">
      <c r="A3156" s="234" t="s">
        <v>4556</v>
      </c>
      <c r="B3156" s="234" t="str">
        <f>IFERROR(__xludf.DUMMYFUNCTION("""COMPUTED_VALUE"""),"LM Hub_SP_Guarulhos")</f>
        <v>LM Hub_SP_Guarulhos</v>
      </c>
      <c r="C3156" s="234" t="str">
        <f>IFERROR(__xludf.DUMMYFUNCTION("""COMPUTED_VALUE"""),"HUB-LSP-77")</f>
        <v>HUB-LSP-77</v>
      </c>
      <c r="D3156" s="234"/>
      <c r="E3156" s="237" t="str">
        <f>IFERROR(__xludf.DUMMYFUNCTION("""COMPUTED_VALUE"""),"LT0PCK01UCMV1")</f>
        <v>LT0PCK01UCMV1</v>
      </c>
      <c r="F3156" s="238" t="str">
        <f>IFERROR(__xludf.DUMMYFUNCTION("""COMPUTED_VALUE"""),"EHH9B85")</f>
        <v>EHH9B85</v>
      </c>
      <c r="G3156" s="238">
        <f>IFERROR(__xludf.DUMMYFUNCTION("""COMPUTED_VALUE"""),46011.91666666667)</f>
        <v>46011.91667</v>
      </c>
      <c r="H3156" s="238">
        <f>IFERROR(__xludf.DUMMYFUNCTION("""COMPUTED_VALUE"""),46012.0)</f>
        <v>46012</v>
      </c>
      <c r="I3156" s="237" t="str">
        <f t="shared" si="1"/>
        <v>Fora</v>
      </c>
      <c r="J3156" s="239">
        <v>119.99999999301508</v>
      </c>
    </row>
    <row r="3157">
      <c r="A3157" s="234" t="s">
        <v>4557</v>
      </c>
      <c r="B3157" s="234" t="str">
        <f>IFERROR(__xludf.DUMMYFUNCTION("""COMPUTED_VALUE"""),"LM Hub_SP_Itapevi")</f>
        <v>LM Hub_SP_Itapevi</v>
      </c>
      <c r="C3157" s="234" t="str">
        <f>IFERROR(__xludf.DUMMYFUNCTION("""COMPUTED_VALUE"""),"HUB-LSP-41")</f>
        <v>HUB-LSP-41</v>
      </c>
      <c r="D3157" s="234">
        <f>IFERROR(__xludf.DUMMYFUNCTION("""COMPUTED_VALUE"""),47.0)</f>
        <v>47</v>
      </c>
      <c r="E3157" s="237" t="str">
        <f>IFERROR(__xludf.DUMMYFUNCTION("""COMPUTED_VALUE"""),"LT0PCK01UBWN1")</f>
        <v>LT0PCK01UBWN1</v>
      </c>
      <c r="F3157" s="238" t="str">
        <f>IFERROR(__xludf.DUMMYFUNCTION("""COMPUTED_VALUE"""),"RNE2H82,FHL3D71")</f>
        <v>RNE2H82,FHL3D71</v>
      </c>
      <c r="G3157" s="238">
        <f>IFERROR(__xludf.DUMMYFUNCTION("""COMPUTED_VALUE"""),46011.91666666667)</f>
        <v>46011.91667</v>
      </c>
      <c r="H3157" s="238">
        <f>IFERROR(__xludf.DUMMYFUNCTION("""COMPUTED_VALUE"""),46012.0)</f>
        <v>46012</v>
      </c>
      <c r="I3157" s="237" t="str">
        <f t="shared" si="1"/>
        <v>Fora</v>
      </c>
      <c r="J3157" s="239">
        <v>119.99999999301508</v>
      </c>
    </row>
    <row r="3158">
      <c r="A3158" s="234" t="s">
        <v>4558</v>
      </c>
      <c r="B3158" s="234" t="str">
        <f>IFERROR(__xludf.DUMMYFUNCTION("""COMPUTED_VALUE"""),"LM Hub_SP_Mauá")</f>
        <v>LM Hub_SP_Mauá</v>
      </c>
      <c r="C3158" s="234" t="str">
        <f>IFERROR(__xludf.DUMMYFUNCTION("""COMPUTED_VALUE"""),"HUB-LSP-64")</f>
        <v>HUB-LSP-64</v>
      </c>
      <c r="D3158" s="234">
        <f>IFERROR(__xludf.DUMMYFUNCTION("""COMPUTED_VALUE"""),13.0)</f>
        <v>13</v>
      </c>
      <c r="E3158" s="237" t="str">
        <f>IFERROR(__xludf.DUMMYFUNCTION("""COMPUTED_VALUE"""),"LT0PCK01UBX31")</f>
        <v>LT0PCK01UBX31</v>
      </c>
      <c r="F3158" s="238" t="str">
        <f>IFERROR(__xludf.DUMMYFUNCTION("""COMPUTED_VALUE"""),"FQF6B98,DTA7802")</f>
        <v>FQF6B98,DTA7802</v>
      </c>
      <c r="G3158" s="238">
        <f>IFERROR(__xludf.DUMMYFUNCTION("""COMPUTED_VALUE"""),46011.91666666667)</f>
        <v>46011.91667</v>
      </c>
      <c r="H3158" s="238">
        <f>IFERROR(__xludf.DUMMYFUNCTION("""COMPUTED_VALUE"""),46012.0)</f>
        <v>46012</v>
      </c>
      <c r="I3158" s="237" t="str">
        <f t="shared" si="1"/>
        <v>Fora</v>
      </c>
      <c r="J3158" s="239">
        <v>119.99999999301508</v>
      </c>
    </row>
    <row r="3159">
      <c r="A3159" s="234" t="s">
        <v>4559</v>
      </c>
      <c r="B3159" s="234" t="str">
        <f>IFERROR(__xludf.DUMMYFUNCTION("""COMPUTED_VALUE"""),"LM Hub_SP_Osasco_02")</f>
        <v>LM Hub_SP_Osasco_02</v>
      </c>
      <c r="C3159" s="234" t="str">
        <f>IFERROR(__xludf.DUMMYFUNCTION("""COMPUTED_VALUE"""),"HUB-LSP-60")</f>
        <v>HUB-LSP-60</v>
      </c>
      <c r="D3159" s="234">
        <f>IFERROR(__xludf.DUMMYFUNCTION("""COMPUTED_VALUE"""),29.0)</f>
        <v>29</v>
      </c>
      <c r="E3159" s="237" t="str">
        <f>IFERROR(__xludf.DUMMYFUNCTION("""COMPUTED_VALUE"""),"LT0PCK01UBWU1")</f>
        <v>LT0PCK01UBWU1</v>
      </c>
      <c r="F3159" s="238" t="str">
        <f>IFERROR(__xludf.DUMMYFUNCTION("""COMPUTED_VALUE"""),"PYF4A02,TKC6A82")</f>
        <v>PYF4A02,TKC6A82</v>
      </c>
      <c r="G3159" s="238">
        <f>IFERROR(__xludf.DUMMYFUNCTION("""COMPUTED_VALUE"""),46011.91666666667)</f>
        <v>46011.91667</v>
      </c>
      <c r="H3159" s="238">
        <f>IFERROR(__xludf.DUMMYFUNCTION("""COMPUTED_VALUE"""),46012.0)</f>
        <v>46012</v>
      </c>
      <c r="I3159" s="237" t="str">
        <f t="shared" si="1"/>
        <v>Fora</v>
      </c>
      <c r="J3159" s="239">
        <v>119.99999999301508</v>
      </c>
    </row>
    <row r="3160">
      <c r="A3160" s="234" t="s">
        <v>4560</v>
      </c>
      <c r="B3160" s="234" t="str">
        <f>IFERROR(__xludf.DUMMYFUNCTION("""COMPUTED_VALUE"""),"LM Hub_SP_Santo André")</f>
        <v>LM Hub_SP_Santo André</v>
      </c>
      <c r="C3160" s="234" t="str">
        <f>IFERROR(__xludf.DUMMYFUNCTION("""COMPUTED_VALUE"""),"HUB-LSP-93")</f>
        <v>HUB-LSP-93</v>
      </c>
      <c r="D3160" s="234">
        <f>IFERROR(__xludf.DUMMYFUNCTION("""COMPUTED_VALUE"""),8.0)</f>
        <v>8</v>
      </c>
      <c r="E3160" s="237" t="str">
        <f>IFERROR(__xludf.DUMMYFUNCTION("""COMPUTED_VALUE"""),"LT0PCK01UEU01")</f>
        <v>LT0PCK01UEU01</v>
      </c>
      <c r="F3160" s="238" t="str">
        <f>IFERROR(__xludf.DUMMYFUNCTION("""COMPUTED_VALUE"""),"QQB2G09,AXE8E39")</f>
        <v>QQB2G09,AXE8E39</v>
      </c>
      <c r="G3160" s="238">
        <f>IFERROR(__xludf.DUMMYFUNCTION("""COMPUTED_VALUE"""),46011.91666666667)</f>
        <v>46011.91667</v>
      </c>
      <c r="H3160" s="238">
        <f>IFERROR(__xludf.DUMMYFUNCTION("""COMPUTED_VALUE"""),46012.0)</f>
        <v>46012</v>
      </c>
      <c r="I3160" s="237" t="str">
        <f t="shared" si="1"/>
        <v>Fora</v>
      </c>
      <c r="J3160" s="239">
        <v>119.99999999301508</v>
      </c>
    </row>
    <row r="3161">
      <c r="A3161" s="234" t="s">
        <v>4561</v>
      </c>
      <c r="B3161" s="234" t="str">
        <f>IFERROR(__xludf.DUMMYFUNCTION("""COMPUTED_VALUE"""),"SoC_RJ_Duque de Caxias")</f>
        <v>SoC_RJ_Duque de Caxias</v>
      </c>
      <c r="C3161" s="234" t="str">
        <f>IFERROR(__xludf.DUMMYFUNCTION("""COMPUTED_VALUE"""),"SOC-RJ2")</f>
        <v>SOC-RJ2</v>
      </c>
      <c r="D3161" s="234"/>
      <c r="E3161" s="237" t="str">
        <f>IFERROR(__xludf.DUMMYFUNCTION("""COMPUTED_VALUE"""),"LT1PCK01V1SC1")</f>
        <v>LT1PCK01V1SC1</v>
      </c>
      <c r="F3161" s="234"/>
      <c r="G3161" s="238">
        <f>IFERROR(__xludf.DUMMYFUNCTION("""COMPUTED_VALUE"""),46011.91666666667)</f>
        <v>46011.91667</v>
      </c>
      <c r="H3161" s="238">
        <f>IFERROR(__xludf.DUMMYFUNCTION("""COMPUTED_VALUE"""),46012.0)</f>
        <v>46012</v>
      </c>
      <c r="I3161" s="237" t="str">
        <f t="shared" si="1"/>
        <v>Fora</v>
      </c>
      <c r="J3161" s="239">
        <v>119.99999999301508</v>
      </c>
    </row>
    <row r="3162">
      <c r="A3162" s="234" t="s">
        <v>4562</v>
      </c>
      <c r="B3162" s="234" t="str">
        <f>IFERROR(__xludf.DUMMYFUNCTION("""COMPUTED_VALUE"""),"LM Hub_SP_Jardim Adriana")</f>
        <v>LM Hub_SP_Jardim Adriana</v>
      </c>
      <c r="C3162" s="234" t="str">
        <f>IFERROR(__xludf.DUMMYFUNCTION("""COMPUTED_VALUE"""),"HUB-LSP-12")</f>
        <v>HUB-LSP-12</v>
      </c>
      <c r="D3162" s="234">
        <f>IFERROR(__xludf.DUMMYFUNCTION("""COMPUTED_VALUE"""),7.0)</f>
        <v>7</v>
      </c>
      <c r="E3162" s="237" t="str">
        <f>IFERROR(__xludf.DUMMYFUNCTION("""COMPUTED_VALUE"""),"LT0PCK01UBVK1")</f>
        <v>LT0PCK01UBVK1</v>
      </c>
      <c r="F3162" s="238" t="str">
        <f>IFERROR(__xludf.DUMMYFUNCTION("""COMPUTED_VALUE"""),"GCS0J70")</f>
        <v>GCS0J70</v>
      </c>
      <c r="G3162" s="238">
        <f>IFERROR(__xludf.DUMMYFUNCTION("""COMPUTED_VALUE"""),46011.9375)</f>
        <v>46011.9375</v>
      </c>
      <c r="H3162" s="238">
        <f>IFERROR(__xludf.DUMMYFUNCTION("""COMPUTED_VALUE"""),46012.02083333333)</f>
        <v>46012.02083</v>
      </c>
      <c r="I3162" s="237" t="str">
        <f t="shared" si="1"/>
        <v>Fora</v>
      </c>
      <c r="J3162" s="239">
        <v>119.99999999301508</v>
      </c>
    </row>
    <row r="3163">
      <c r="A3163" s="234" t="s">
        <v>4563</v>
      </c>
      <c r="B3163" s="234" t="str">
        <f>IFERROR(__xludf.DUMMYFUNCTION("""COMPUTED_VALUE"""),"LM Hub_SP_Parque Novo Mundo")</f>
        <v>LM Hub_SP_Parque Novo Mundo</v>
      </c>
      <c r="C3163" s="234" t="str">
        <f>IFERROR(__xludf.DUMMYFUNCTION("""COMPUTED_VALUE"""),"HUB-LSP-89")</f>
        <v>HUB-LSP-89</v>
      </c>
      <c r="D3163" s="234">
        <f>IFERROR(__xludf.DUMMYFUNCTION("""COMPUTED_VALUE"""),32.0)</f>
        <v>32</v>
      </c>
      <c r="E3163" s="237" t="str">
        <f>IFERROR(__xludf.DUMMYFUNCTION("""COMPUTED_VALUE"""),"LT0PCK01U8FX1")</f>
        <v>LT0PCK01U8FX1</v>
      </c>
      <c r="F3163" s="238" t="str">
        <f>IFERROR(__xludf.DUMMYFUNCTION("""COMPUTED_VALUE"""),"FNK8E47,FAM1829")</f>
        <v>FNK8E47,FAM1829</v>
      </c>
      <c r="G3163" s="238">
        <f>IFERROR(__xludf.DUMMYFUNCTION("""COMPUTED_VALUE"""),46011.9375)</f>
        <v>46011.9375</v>
      </c>
      <c r="H3163" s="238">
        <f>IFERROR(__xludf.DUMMYFUNCTION("""COMPUTED_VALUE"""),46012.02083333333)</f>
        <v>46012.02083</v>
      </c>
      <c r="I3163" s="237" t="str">
        <f t="shared" si="1"/>
        <v>Fora</v>
      </c>
      <c r="J3163" s="239">
        <v>119.99999999301508</v>
      </c>
    </row>
    <row r="3164">
      <c r="A3164" s="234" t="s">
        <v>4564</v>
      </c>
      <c r="B3164" s="234" t="str">
        <f>IFERROR(__xludf.DUMMYFUNCTION("""COMPUTED_VALUE"""),"LM Hub_SP_Piracicaba")</f>
        <v>LM Hub_SP_Piracicaba</v>
      </c>
      <c r="C3164" s="234" t="str">
        <f>IFERROR(__xludf.DUMMYFUNCTION("""COMPUTED_VALUE"""),"HUB-LSP-62")</f>
        <v>HUB-LSP-62</v>
      </c>
      <c r="D3164" s="234">
        <f>IFERROR(__xludf.DUMMYFUNCTION("""COMPUTED_VALUE"""),5.0)</f>
        <v>5</v>
      </c>
      <c r="E3164" s="237" t="str">
        <f>IFERROR(__xludf.DUMMYFUNCTION("""COMPUTED_VALUE"""),"LT0PCK01UCN71")</f>
        <v>LT0PCK01UCN71</v>
      </c>
      <c r="F3164" s="238" t="str">
        <f>IFERROR(__xludf.DUMMYFUNCTION("""COMPUTED_VALUE"""),"EOF4D32")</f>
        <v>EOF4D32</v>
      </c>
      <c r="G3164" s="238">
        <f>IFERROR(__xludf.DUMMYFUNCTION("""COMPUTED_VALUE"""),46011.9375)</f>
        <v>46011.9375</v>
      </c>
      <c r="H3164" s="238">
        <f>IFERROR(__xludf.DUMMYFUNCTION("""COMPUTED_VALUE"""),46012.02083333333)</f>
        <v>46012.02083</v>
      </c>
      <c r="I3164" s="237" t="str">
        <f t="shared" si="1"/>
        <v>Fora</v>
      </c>
      <c r="J3164" s="239">
        <v>119.99999999301508</v>
      </c>
    </row>
    <row r="3165">
      <c r="A3165" s="234" t="s">
        <v>4565</v>
      </c>
      <c r="B3165" s="234" t="str">
        <f>IFERROR(__xludf.DUMMYFUNCTION("""COMPUTED_VALUE"""),"LM Hub_SP_São Paulo_Carandiru")</f>
        <v>LM Hub_SP_São Paulo_Carandiru</v>
      </c>
      <c r="C3165" s="234" t="str">
        <f>IFERROR(__xludf.DUMMYFUNCTION("""COMPUTED_VALUE"""),"HUB-LSP-18")</f>
        <v>HUB-LSP-18</v>
      </c>
      <c r="D3165" s="234">
        <f>IFERROR(__xludf.DUMMYFUNCTION("""COMPUTED_VALUE"""),35.0)</f>
        <v>35</v>
      </c>
      <c r="E3165" s="237" t="str">
        <f>IFERROR(__xludf.DUMMYFUNCTION("""COMPUTED_VALUE"""),"LT0PCK01UBW61")</f>
        <v>LT0PCK01UBW61</v>
      </c>
      <c r="F3165" s="238" t="str">
        <f>IFERROR(__xludf.DUMMYFUNCTION("""COMPUTED_VALUE"""),"FBH4883")</f>
        <v>FBH4883</v>
      </c>
      <c r="G3165" s="238">
        <f>IFERROR(__xludf.DUMMYFUNCTION("""COMPUTED_VALUE"""),46011.9375)</f>
        <v>46011.9375</v>
      </c>
      <c r="H3165" s="238">
        <f>IFERROR(__xludf.DUMMYFUNCTION("""COMPUTED_VALUE"""),46012.02083333333)</f>
        <v>46012.02083</v>
      </c>
      <c r="I3165" s="237" t="str">
        <f t="shared" si="1"/>
        <v>Fora</v>
      </c>
      <c r="J3165" s="239">
        <v>118.99999998975545</v>
      </c>
    </row>
    <row r="3166">
      <c r="A3166" s="234" t="s">
        <v>4566</v>
      </c>
      <c r="B3166" s="234" t="str">
        <f>IFERROR(__xludf.DUMMYFUNCTION("""COMPUTED_VALUE"""),"LM Hub_SP_VilaGuilherme")</f>
        <v>LM Hub_SP_VilaGuilherme</v>
      </c>
      <c r="C3166" s="234" t="str">
        <f>IFERROR(__xludf.DUMMYFUNCTION("""COMPUTED_VALUE"""),"HUB-LSP-68")</f>
        <v>HUB-LSP-68</v>
      </c>
      <c r="D3166" s="234">
        <f>IFERROR(__xludf.DUMMYFUNCTION("""COMPUTED_VALUE"""),15.0)</f>
        <v>15</v>
      </c>
      <c r="E3166" s="237" t="str">
        <f>IFERROR(__xludf.DUMMYFUNCTION("""COMPUTED_VALUE"""),"LT0PCK01U88A1")</f>
        <v>LT0PCK01U88A1</v>
      </c>
      <c r="F3166" s="238" t="str">
        <f>IFERROR(__xludf.DUMMYFUNCTION("""COMPUTED_VALUE"""),"HFD4H27,JXG9745")</f>
        <v>HFD4H27,JXG9745</v>
      </c>
      <c r="G3166" s="238">
        <f>IFERROR(__xludf.DUMMYFUNCTION("""COMPUTED_VALUE"""),46011.93819444445)</f>
        <v>46011.93819</v>
      </c>
      <c r="H3166" s="238">
        <f>IFERROR(__xludf.DUMMYFUNCTION("""COMPUTED_VALUE"""),46012.02083333333)</f>
        <v>46012.02083</v>
      </c>
      <c r="I3166" s="237" t="str">
        <f t="shared" si="1"/>
        <v>Fora</v>
      </c>
      <c r="J3166" s="239">
        <v>120.00000001396984</v>
      </c>
    </row>
    <row r="3167">
      <c r="A3167" s="234" t="s">
        <v>4567</v>
      </c>
      <c r="B3167" s="234" t="str">
        <f>IFERROR(__xludf.DUMMYFUNCTION("""COMPUTED_VALUE"""),"LM Hub_ES_Viana")</f>
        <v>LM Hub_ES_Viana</v>
      </c>
      <c r="C3167" s="234" t="str">
        <f>IFERROR(__xludf.DUMMYFUNCTION("""COMPUTED_VALUE"""),"HUB-LES-09")</f>
        <v>HUB-LES-09</v>
      </c>
      <c r="D3167" s="234">
        <f>IFERROR(__xludf.DUMMYFUNCTION("""COMPUTED_VALUE"""),34.0)</f>
        <v>34</v>
      </c>
      <c r="E3167" s="237" t="str">
        <f>IFERROR(__xludf.DUMMYFUNCTION("""COMPUTED_VALUE"""),"LT0PCK01UGCQ1")</f>
        <v>LT0PCK01UGCQ1</v>
      </c>
      <c r="F3167" s="238" t="str">
        <f>IFERROR(__xludf.DUMMYFUNCTION("""COMPUTED_VALUE"""),"SST7H08,UGT5E41")</f>
        <v>SST7H08,UGT5E41</v>
      </c>
      <c r="G3167" s="238">
        <f>IFERROR(__xludf.DUMMYFUNCTION("""COMPUTED_VALUE"""),46011.95833333333)</f>
        <v>46011.95833</v>
      </c>
      <c r="H3167" s="238">
        <f>IFERROR(__xludf.DUMMYFUNCTION("""COMPUTED_VALUE"""),46012.04166666667)</f>
        <v>46012.04167</v>
      </c>
      <c r="I3167" s="237" t="str">
        <f t="shared" si="1"/>
        <v>Fora</v>
      </c>
      <c r="J3167" s="239">
        <v>119.99999999301508</v>
      </c>
    </row>
    <row r="3168">
      <c r="A3168" s="234" t="s">
        <v>4568</v>
      </c>
      <c r="B3168" s="234" t="str">
        <f>IFERROR(__xludf.DUMMYFUNCTION("""COMPUTED_VALUE"""),"SoC_MG_Betim")</f>
        <v>SoC_MG_Betim</v>
      </c>
      <c r="C3168" s="234" t="str">
        <f>IFERROR(__xludf.DUMMYFUNCTION("""COMPUTED_VALUE"""),"SOC-MG2")</f>
        <v>SOC-MG2</v>
      </c>
      <c r="D3168" s="234">
        <f>IFERROR(__xludf.DUMMYFUNCTION("""COMPUTED_VALUE"""),14.0)</f>
        <v>14</v>
      </c>
      <c r="E3168" s="237" t="str">
        <f>IFERROR(__xludf.DUMMYFUNCTION("""COMPUTED_VALUE"""),"LT1PCL01V1RY1")</f>
        <v>LT1PCL01V1RY1</v>
      </c>
      <c r="F3168" s="238" t="str">
        <f>IFERROR(__xludf.DUMMYFUNCTION("""COMPUTED_VALUE"""),"EGK5E70,DVS4B63")</f>
        <v>EGK5E70,DVS4B63</v>
      </c>
      <c r="G3168" s="238">
        <f>IFERROR(__xludf.DUMMYFUNCTION("""COMPUTED_VALUE"""),46012.0)</f>
        <v>46012</v>
      </c>
      <c r="H3168" s="238">
        <f>IFERROR(__xludf.DUMMYFUNCTION("""COMPUTED_VALUE"""),46012.08333333333)</f>
        <v>46012.08333</v>
      </c>
      <c r="I3168" s="237" t="str">
        <f t="shared" si="1"/>
        <v>Fora</v>
      </c>
      <c r="J3168" s="239">
        <v>180.0</v>
      </c>
    </row>
    <row r="3169">
      <c r="A3169" s="234" t="s">
        <v>4569</v>
      </c>
      <c r="B3169" s="234" t="str">
        <f>IFERROR(__xludf.DUMMYFUNCTION("""COMPUTED_VALUE"""),"SoC_MG_Betim")</f>
        <v>SoC_MG_Betim</v>
      </c>
      <c r="C3169" s="234" t="str">
        <f>IFERROR(__xludf.DUMMYFUNCTION("""COMPUTED_VALUE"""),"SOC-MG2")</f>
        <v>SOC-MG2</v>
      </c>
      <c r="D3169" s="234">
        <f>IFERROR(__xludf.DUMMYFUNCTION("""COMPUTED_VALUE"""),91.0)</f>
        <v>91</v>
      </c>
      <c r="E3169" s="237" t="str">
        <f>IFERROR(__xludf.DUMMYFUNCTION("""COMPUTED_VALUE"""),"LT1PCL01V5401")</f>
        <v>LT1PCL01V5401</v>
      </c>
      <c r="F3169" s="238" t="str">
        <f>IFERROR(__xludf.DUMMYFUNCTION("""COMPUTED_VALUE"""),"SYI9B23,TXJ0F72")</f>
        <v>SYI9B23,TXJ0F72</v>
      </c>
      <c r="G3169" s="238">
        <f>IFERROR(__xludf.DUMMYFUNCTION("""COMPUTED_VALUE"""),46012.04166666667)</f>
        <v>46012.04167</v>
      </c>
      <c r="H3169" s="238">
        <f>IFERROR(__xludf.DUMMYFUNCTION("""COMPUTED_VALUE"""),46012.16666666667)</f>
        <v>46012.16667</v>
      </c>
      <c r="I3169" s="237" t="str">
        <f t="shared" si="1"/>
        <v>Fora</v>
      </c>
      <c r="J3169" s="239">
        <v>479.9999999930151</v>
      </c>
    </row>
    <row r="3170">
      <c r="A3170" s="234" t="s">
        <v>4570</v>
      </c>
      <c r="B3170" s="234" t="str">
        <f>IFERROR(__xludf.DUMMYFUNCTION("""COMPUTED_VALUE"""),"SoC_PR_Curitiba")</f>
        <v>SoC_PR_Curitiba</v>
      </c>
      <c r="C3170" s="234" t="str">
        <f>IFERROR(__xludf.DUMMYFUNCTION("""COMPUTED_VALUE"""),"SOC-PR1")</f>
        <v>SOC-PR1</v>
      </c>
      <c r="D3170" s="234">
        <f>IFERROR(__xludf.DUMMYFUNCTION("""COMPUTED_VALUE"""),48.0)</f>
        <v>48</v>
      </c>
      <c r="E3170" s="237" t="str">
        <f>IFERROR(__xludf.DUMMYFUNCTION("""COMPUTED_VALUE"""),"LT1PCK01V15J1")</f>
        <v>LT1PCK01V15J1</v>
      </c>
      <c r="F3170" s="238" t="str">
        <f>IFERROR(__xludf.DUMMYFUNCTION("""COMPUTED_VALUE"""),"TAU0C14,BEY5C16")</f>
        <v>TAU0C14,BEY5C16</v>
      </c>
      <c r="G3170" s="238">
        <f>IFERROR(__xludf.DUMMYFUNCTION("""COMPUTED_VALUE"""),46011.875)</f>
        <v>46011.875</v>
      </c>
      <c r="H3170" s="238">
        <f>IFERROR(__xludf.DUMMYFUNCTION("""COMPUTED_VALUE"""),46012.20833333333)</f>
        <v>46012.20833</v>
      </c>
      <c r="I3170" s="237" t="str">
        <f t="shared" si="1"/>
        <v>Fora</v>
      </c>
      <c r="J3170" s="239">
        <v>119.99999999301508</v>
      </c>
    </row>
    <row r="3171">
      <c r="A3171" s="234" t="s">
        <v>4571</v>
      </c>
      <c r="B3171" s="234" t="str">
        <f>IFERROR(__xludf.DUMMYFUNCTION("""COMPUTED_VALUE"""),"SoC_BA_Simoes Filho")</f>
        <v>SoC_BA_Simoes Filho</v>
      </c>
      <c r="C3171" s="234" t="str">
        <f>IFERROR(__xludf.DUMMYFUNCTION("""COMPUTED_VALUE"""),"SOC-BA2")</f>
        <v>SOC-BA2</v>
      </c>
      <c r="D3171" s="234"/>
      <c r="E3171" s="237" t="str">
        <f>IFERROR(__xludf.DUMMYFUNCTION("""COMPUTED_VALUE"""),"LT1PCL01V1RP1")</f>
        <v>LT1PCL01V1RP1</v>
      </c>
      <c r="F3171" s="238" t="str">
        <f>IFERROR(__xludf.DUMMYFUNCTION("""COMPUTED_VALUE"""),"FFE1G68,QQT0J41")</f>
        <v>FFE1G68,QQT0J41</v>
      </c>
      <c r="G3171" s="238">
        <f>IFERROR(__xludf.DUMMYFUNCTION("""COMPUTED_VALUE"""),46012.125)</f>
        <v>46012.125</v>
      </c>
      <c r="H3171" s="238">
        <f>IFERROR(__xludf.DUMMYFUNCTION("""COMPUTED_VALUE"""),46012.20833333333)</f>
        <v>46012.20833</v>
      </c>
      <c r="I3171" s="237" t="str">
        <f t="shared" si="1"/>
        <v>Fora</v>
      </c>
      <c r="J3171" s="239">
        <v>119.99999999301508</v>
      </c>
    </row>
    <row r="3172">
      <c r="A3172" s="234" t="s">
        <v>4572</v>
      </c>
      <c r="B3172" s="234" t="str">
        <f>IFERROR(__xludf.DUMMYFUNCTION("""COMPUTED_VALUE"""),"SoC_MG_Betim")</f>
        <v>SoC_MG_Betim</v>
      </c>
      <c r="C3172" s="234" t="str">
        <f>IFERROR(__xludf.DUMMYFUNCTION("""COMPUTED_VALUE"""),"SOC-MG2")</f>
        <v>SOC-MG2</v>
      </c>
      <c r="D3172" s="234"/>
      <c r="E3172" s="237" t="str">
        <f>IFERROR(__xludf.DUMMYFUNCTION("""COMPUTED_VALUE"""),"LT1PCL01V1RZ1")</f>
        <v>LT1PCL01V1RZ1</v>
      </c>
      <c r="F3172" s="238" t="str">
        <f>IFERROR(__xludf.DUMMYFUNCTION("""COMPUTED_VALUE"""),"TXM5A25")</f>
        <v>TXM5A25</v>
      </c>
      <c r="G3172" s="238">
        <f>IFERROR(__xludf.DUMMYFUNCTION("""COMPUTED_VALUE"""),46012.125)</f>
        <v>46012.125</v>
      </c>
      <c r="H3172" s="238">
        <f>IFERROR(__xludf.DUMMYFUNCTION("""COMPUTED_VALUE"""),46012.20833333333)</f>
        <v>46012.20833</v>
      </c>
      <c r="I3172" s="237" t="str">
        <f t="shared" si="1"/>
        <v>Fora</v>
      </c>
      <c r="J3172" s="239">
        <v>119.99999999301508</v>
      </c>
    </row>
    <row r="3173">
      <c r="A3173" s="234" t="s">
        <v>4573</v>
      </c>
      <c r="B3173" s="234" t="str">
        <f>IFERROR(__xludf.DUMMYFUNCTION("""COMPUTED_VALUE"""),"SoC_MG_Betim")</f>
        <v>SoC_MG_Betim</v>
      </c>
      <c r="C3173" s="234" t="str">
        <f>IFERROR(__xludf.DUMMYFUNCTION("""COMPUTED_VALUE"""),"SOC-MG2")</f>
        <v>SOC-MG2</v>
      </c>
      <c r="D3173" s="234"/>
      <c r="E3173" s="237" t="str">
        <f>IFERROR(__xludf.DUMMYFUNCTION("""COMPUTED_VALUE"""),"LT1PCL01V1S01")</f>
        <v>LT1PCL01V1S01</v>
      </c>
      <c r="F3173" s="238" t="str">
        <f>IFERROR(__xludf.DUMMYFUNCTION("""COMPUTED_VALUE"""),"QRI3I15")</f>
        <v>QRI3I15</v>
      </c>
      <c r="G3173" s="238">
        <f>IFERROR(__xludf.DUMMYFUNCTION("""COMPUTED_VALUE"""),46012.16666666667)</f>
        <v>46012.16667</v>
      </c>
      <c r="H3173" s="238">
        <f>IFERROR(__xludf.DUMMYFUNCTION("""COMPUTED_VALUE"""),46012.25)</f>
        <v>46012.25</v>
      </c>
      <c r="I3173" s="237" t="str">
        <f t="shared" si="1"/>
        <v>Fora</v>
      </c>
      <c r="J3173" s="239">
        <v>119.99999999301508</v>
      </c>
    </row>
    <row r="3174">
      <c r="A3174" s="234" t="s">
        <v>4574</v>
      </c>
      <c r="B3174" s="234" t="str">
        <f>IFERROR(__xludf.DUMMYFUNCTION("""COMPUTED_VALUE"""),"SoC_PE_Jaboatão dos Guararapes")</f>
        <v>SoC_PE_Jaboatão dos Guararapes</v>
      </c>
      <c r="C3174" s="234" t="str">
        <f>IFERROR(__xludf.DUMMYFUNCTION("""COMPUTED_VALUE"""),"SOC-PE2")</f>
        <v>SOC-PE2</v>
      </c>
      <c r="D3174" s="234">
        <f>IFERROR(__xludf.DUMMYFUNCTION("""COMPUTED_VALUE"""),33.0)</f>
        <v>33</v>
      </c>
      <c r="E3174" s="237" t="str">
        <f>IFERROR(__xludf.DUMMYFUNCTION("""COMPUTED_VALUE"""),"LT1PCL01V1S51")</f>
        <v>LT1PCL01V1S51</v>
      </c>
      <c r="F3174" s="238" t="str">
        <f>IFERROR(__xludf.DUMMYFUNCTION("""COMPUTED_VALUE"""),"RAC8D64,TPM1J88")</f>
        <v>RAC8D64,TPM1J88</v>
      </c>
      <c r="G3174" s="238">
        <f>IFERROR(__xludf.DUMMYFUNCTION("""COMPUTED_VALUE"""),46012.16666666667)</f>
        <v>46012.16667</v>
      </c>
      <c r="H3174" s="238">
        <f>IFERROR(__xludf.DUMMYFUNCTION("""COMPUTED_VALUE"""),46012.25)</f>
        <v>46012.25</v>
      </c>
      <c r="I3174" s="237" t="str">
        <f t="shared" si="1"/>
        <v>Fora</v>
      </c>
      <c r="J3174" s="239">
        <v>119.99999999301508</v>
      </c>
    </row>
    <row r="3175">
      <c r="A3175" s="234" t="s">
        <v>4575</v>
      </c>
      <c r="B3175" s="234" t="str">
        <f>IFERROR(__xludf.DUMMYFUNCTION("""COMPUTED_VALUE"""),"SoC_RJ_Duque de Caxias")</f>
        <v>SoC_RJ_Duque de Caxias</v>
      </c>
      <c r="C3175" s="234" t="str">
        <f>IFERROR(__xludf.DUMMYFUNCTION("""COMPUTED_VALUE"""),"SOC-RJ2")</f>
        <v>SOC-RJ2</v>
      </c>
      <c r="D3175" s="234">
        <f>IFERROR(__xludf.DUMMYFUNCTION("""COMPUTED_VALUE"""),29.0)</f>
        <v>29</v>
      </c>
      <c r="E3175" s="237" t="str">
        <f>IFERROR(__xludf.DUMMYFUNCTION("""COMPUTED_VALUE"""),"LT1PCL01V5RM1")</f>
        <v>LT1PCL01V5RM1</v>
      </c>
      <c r="F3175" s="238" t="str">
        <f>IFERROR(__xludf.DUMMYFUNCTION("""COMPUTED_VALUE"""),"ESU3H82,UDQ3B86")</f>
        <v>ESU3H82,UDQ3B86</v>
      </c>
      <c r="G3175" s="238">
        <f>IFERROR(__xludf.DUMMYFUNCTION("""COMPUTED_VALUE"""),46012.16666666667)</f>
        <v>46012.16667</v>
      </c>
      <c r="H3175" s="238">
        <f>IFERROR(__xludf.DUMMYFUNCTION("""COMPUTED_VALUE"""),46012.25)</f>
        <v>46012.25</v>
      </c>
      <c r="I3175" s="237" t="str">
        <f t="shared" si="1"/>
        <v>Fora</v>
      </c>
      <c r="J3175" s="239">
        <v>540.0</v>
      </c>
    </row>
    <row r="3176">
      <c r="A3176" s="234" t="s">
        <v>4576</v>
      </c>
      <c r="B3176" s="234" t="str">
        <f>IFERROR(__xludf.DUMMYFUNCTION("""COMPUTED_VALUE"""),"SoC_BA_Simoes Filho")</f>
        <v>SoC_BA_Simoes Filho</v>
      </c>
      <c r="C3176" s="234" t="str">
        <f>IFERROR(__xludf.DUMMYFUNCTION("""COMPUTED_VALUE"""),"SOC-BA2")</f>
        <v>SOC-BA2</v>
      </c>
      <c r="D3176" s="234"/>
      <c r="E3176" s="237" t="str">
        <f>IFERROR(__xludf.DUMMYFUNCTION("""COMPUTED_VALUE"""),"LT0PCK01UHZ41")</f>
        <v>LT0PCK01UHZ41</v>
      </c>
      <c r="F3176" s="238" t="str">
        <f>IFERROR(__xludf.DUMMYFUNCTION("""COMPUTED_VALUE"""),"UGU1F97")</f>
        <v>UGU1F97</v>
      </c>
      <c r="G3176" s="238">
        <f>IFERROR(__xludf.DUMMYFUNCTION("""COMPUTED_VALUE"""),46011.91666666667)</f>
        <v>46011.91667</v>
      </c>
      <c r="H3176" s="238">
        <f>IFERROR(__xludf.DUMMYFUNCTION("""COMPUTED_VALUE"""),46012.29166666667)</f>
        <v>46012.29167</v>
      </c>
      <c r="I3176" s="237" t="str">
        <f t="shared" si="1"/>
        <v>Fora</v>
      </c>
      <c r="J3176" s="239">
        <v>540.0</v>
      </c>
    </row>
    <row r="3177">
      <c r="A3177" s="234" t="s">
        <v>4577</v>
      </c>
      <c r="B3177" s="234" t="str">
        <f>IFERROR(__xludf.DUMMYFUNCTION("""COMPUTED_VALUE"""),"SoC_GO_Goiânia_02")</f>
        <v>SoC_GO_Goiânia_02</v>
      </c>
      <c r="C3177" s="234" t="str">
        <f>IFERROR(__xludf.DUMMYFUNCTION("""COMPUTED_VALUE"""),"SOC-GO2")</f>
        <v>SOC-GO2</v>
      </c>
      <c r="D3177" s="234"/>
      <c r="E3177" s="237" t="str">
        <f>IFERROR(__xludf.DUMMYFUNCTION("""COMPUTED_VALUE"""),"LT0PCK01UI751")</f>
        <v>LT0PCK01UI751</v>
      </c>
      <c r="F3177" s="238" t="str">
        <f>IFERROR(__xludf.DUMMYFUNCTION("""COMPUTED_VALUE"""),"FCS7D19")</f>
        <v>FCS7D19</v>
      </c>
      <c r="G3177" s="238">
        <f>IFERROR(__xludf.DUMMYFUNCTION("""COMPUTED_VALUE"""),46011.91666666667)</f>
        <v>46011.91667</v>
      </c>
      <c r="H3177" s="238">
        <f>IFERROR(__xludf.DUMMYFUNCTION("""COMPUTED_VALUE"""),46012.29166666667)</f>
        <v>46012.29167</v>
      </c>
      <c r="I3177" s="237" t="str">
        <f t="shared" si="1"/>
        <v>Fora</v>
      </c>
      <c r="J3177" s="239">
        <v>539.0000000072177</v>
      </c>
    </row>
    <row r="3178">
      <c r="A3178" s="234" t="s">
        <v>4578</v>
      </c>
      <c r="B3178" s="234" t="str">
        <f>IFERROR(__xludf.DUMMYFUNCTION("""COMPUTED_VALUE"""),"SoC_BA_Simoes Filho")</f>
        <v>SoC_BA_Simoes Filho</v>
      </c>
      <c r="C3178" s="234" t="str">
        <f>IFERROR(__xludf.DUMMYFUNCTION("""COMPUTED_VALUE"""),"SOC-BA2")</f>
        <v>SOC-BA2</v>
      </c>
      <c r="D3178" s="234"/>
      <c r="E3178" s="237" t="str">
        <f>IFERROR(__xludf.DUMMYFUNCTION("""COMPUTED_VALUE"""),"LT0PCK01UHYW1")</f>
        <v>LT0PCK01UHYW1</v>
      </c>
      <c r="F3178" s="238" t="str">
        <f>IFERROR(__xludf.DUMMYFUNCTION("""COMPUTED_VALUE"""),"-")</f>
        <v>-</v>
      </c>
      <c r="G3178" s="238">
        <f>IFERROR(__xludf.DUMMYFUNCTION("""COMPUTED_VALUE"""),46011.91736111111)</f>
        <v>46011.91736</v>
      </c>
      <c r="H3178" s="238">
        <f>IFERROR(__xludf.DUMMYFUNCTION("""COMPUTED_VALUE"""),46012.29166666667)</f>
        <v>46012.29167</v>
      </c>
      <c r="I3178" s="237" t="str">
        <f t="shared" si="1"/>
        <v>Fora</v>
      </c>
      <c r="J3178" s="239">
        <v>539.0000000072177</v>
      </c>
    </row>
    <row r="3179">
      <c r="A3179" s="234" t="s">
        <v>4579</v>
      </c>
      <c r="B3179" s="234" t="str">
        <f>IFERROR(__xludf.DUMMYFUNCTION("""COMPUTED_VALUE"""),"SoC_MG_Betim")</f>
        <v>SoC_MG_Betim</v>
      </c>
      <c r="C3179" s="234" t="str">
        <f>IFERROR(__xludf.DUMMYFUNCTION("""COMPUTED_VALUE"""),"SOC-MG2")</f>
        <v>SOC-MG2</v>
      </c>
      <c r="D3179" s="234"/>
      <c r="E3179" s="237" t="str">
        <f>IFERROR(__xludf.DUMMYFUNCTION("""COMPUTED_VALUE"""),"LT0PCK01U87C1")</f>
        <v>LT0PCK01U87C1</v>
      </c>
      <c r="F3179" s="238" t="str">
        <f>IFERROR(__xludf.DUMMYFUNCTION("""COMPUTED_VALUE"""),"PYS7I47,FFW4815")</f>
        <v>PYS7I47,FFW4815</v>
      </c>
      <c r="G3179" s="238">
        <f>IFERROR(__xludf.DUMMYFUNCTION("""COMPUTED_VALUE"""),46011.91736111111)</f>
        <v>46011.91736</v>
      </c>
      <c r="H3179" s="238">
        <f>IFERROR(__xludf.DUMMYFUNCTION("""COMPUTED_VALUE"""),46012.29166666667)</f>
        <v>46012.29167</v>
      </c>
      <c r="I3179" s="237" t="str">
        <f t="shared" si="1"/>
        <v>Fora</v>
      </c>
      <c r="J3179" s="239">
        <v>538.0000000144355</v>
      </c>
    </row>
    <row r="3180">
      <c r="A3180" s="234" t="s">
        <v>4580</v>
      </c>
      <c r="B3180" s="234" t="str">
        <f>IFERROR(__xludf.DUMMYFUNCTION("""COMPUTED_VALUE"""),"SoC_SP_Cravinhos")</f>
        <v>SoC_SP_Cravinhos</v>
      </c>
      <c r="C3180" s="234" t="str">
        <f>IFERROR(__xludf.DUMMYFUNCTION("""COMPUTED_VALUE"""),"SOC-SP5")</f>
        <v>SOC-SP5</v>
      </c>
      <c r="D3180" s="234">
        <f>IFERROR(__xludf.DUMMYFUNCTION("""COMPUTED_VALUE"""),94.0)</f>
        <v>94</v>
      </c>
      <c r="E3180" s="237" t="str">
        <f>IFERROR(__xludf.DUMMYFUNCTION("""COMPUTED_VALUE"""),"LT0PCK01UBUP2")</f>
        <v>LT0PCK01UBUP2</v>
      </c>
      <c r="F3180" s="238" t="str">
        <f>IFERROR(__xludf.DUMMYFUNCTION("""COMPUTED_VALUE"""),"DBM0E35,ADT4J49")</f>
        <v>DBM0E35,ADT4J49</v>
      </c>
      <c r="G3180" s="238">
        <f>IFERROR(__xludf.DUMMYFUNCTION("""COMPUTED_VALUE"""),46011.91805555555)</f>
        <v>46011.91806</v>
      </c>
      <c r="H3180" s="238">
        <f>IFERROR(__xludf.DUMMYFUNCTION("""COMPUTED_VALUE"""),46012.29166666667)</f>
        <v>46012.29167</v>
      </c>
      <c r="I3180" s="237" t="str">
        <f t="shared" si="1"/>
        <v>Fora</v>
      </c>
      <c r="J3180" s="239">
        <v>537.0000000111759</v>
      </c>
    </row>
    <row r="3181">
      <c r="A3181" s="234" t="s">
        <v>4581</v>
      </c>
      <c r="B3181" s="234" t="str">
        <f>IFERROR(__xludf.DUMMYFUNCTION("""COMPUTED_VALUE"""),"SoC_RJ_Duque de Caxias")</f>
        <v>SoC_RJ_Duque de Caxias</v>
      </c>
      <c r="C3181" s="234" t="str">
        <f>IFERROR(__xludf.DUMMYFUNCTION("""COMPUTED_VALUE"""),"SOC-RJ2")</f>
        <v>SOC-RJ2</v>
      </c>
      <c r="D3181" s="234">
        <f>IFERROR(__xludf.DUMMYFUNCTION("""COMPUTED_VALUE"""),96.0)</f>
        <v>96</v>
      </c>
      <c r="E3181" s="237" t="str">
        <f>IFERROR(__xludf.DUMMYFUNCTION("""COMPUTED_VALUE"""),"LT0PCK01U8OC1")</f>
        <v>LT0PCK01U8OC1</v>
      </c>
      <c r="F3181" s="238" t="str">
        <f>IFERROR(__xludf.DUMMYFUNCTION("""COMPUTED_VALUE"""),"GBJ9E79,LNN3608")</f>
        <v>GBJ9E79,LNN3608</v>
      </c>
      <c r="G3181" s="238">
        <f>IFERROR(__xludf.DUMMYFUNCTION("""COMPUTED_VALUE"""),46011.91875)</f>
        <v>46011.91875</v>
      </c>
      <c r="H3181" s="238">
        <f>IFERROR(__xludf.DUMMYFUNCTION("""COMPUTED_VALUE"""),46012.29166666667)</f>
        <v>46012.29167</v>
      </c>
      <c r="I3181" s="237" t="str">
        <f t="shared" si="1"/>
        <v>Fora</v>
      </c>
      <c r="J3181" s="239">
        <v>537.0000000111759</v>
      </c>
    </row>
    <row r="3182">
      <c r="A3182" s="234" t="s">
        <v>4582</v>
      </c>
      <c r="B3182" s="234" t="str">
        <f>IFERROR(__xludf.DUMMYFUNCTION("""COMPUTED_VALUE"""),"SoC_RJ_Duque de Caxias")</f>
        <v>SoC_RJ_Duque de Caxias</v>
      </c>
      <c r="C3182" s="234" t="str">
        <f>IFERROR(__xludf.DUMMYFUNCTION("""COMPUTED_VALUE"""),"SOC-RJ2")</f>
        <v>SOC-RJ2</v>
      </c>
      <c r="D3182" s="234">
        <f>IFERROR(__xludf.DUMMYFUNCTION("""COMPUTED_VALUE"""),96.0)</f>
        <v>96</v>
      </c>
      <c r="E3182" s="237" t="str">
        <f>IFERROR(__xludf.DUMMYFUNCTION("""COMPUTED_VALUE"""),"LT0PCK01U8OE2")</f>
        <v>LT0PCK01U8OE2</v>
      </c>
      <c r="F3182" s="238" t="str">
        <f>IFERROR(__xludf.DUMMYFUNCTION("""COMPUTED_VALUE"""),"HBZ5F88")</f>
        <v>HBZ5F88</v>
      </c>
      <c r="G3182" s="238">
        <f>IFERROR(__xludf.DUMMYFUNCTION("""COMPUTED_VALUE"""),46011.91875)</f>
        <v>46011.91875</v>
      </c>
      <c r="H3182" s="238">
        <f>IFERROR(__xludf.DUMMYFUNCTION("""COMPUTED_VALUE"""),46012.29166666667)</f>
        <v>46012.29167</v>
      </c>
      <c r="I3182" s="237" t="str">
        <f t="shared" si="1"/>
        <v>Fora</v>
      </c>
      <c r="J3182" s="239">
        <v>479.9999999930151</v>
      </c>
    </row>
    <row r="3183">
      <c r="A3183" s="234" t="s">
        <v>4583</v>
      </c>
      <c r="B3183" s="234" t="str">
        <f>IFERROR(__xludf.DUMMYFUNCTION("""COMPUTED_VALUE"""),"SoC_SP_Cravinhos")</f>
        <v>SoC_SP_Cravinhos</v>
      </c>
      <c r="C3183" s="234" t="str">
        <f>IFERROR(__xludf.DUMMYFUNCTION("""COMPUTED_VALUE"""),"SOC-SP5")</f>
        <v>SOC-SP5</v>
      </c>
      <c r="D3183" s="234">
        <f>IFERROR(__xludf.DUMMYFUNCTION("""COMPUTED_VALUE"""),6.0)</f>
        <v>6</v>
      </c>
      <c r="E3183" s="237" t="str">
        <f>IFERROR(__xludf.DUMMYFUNCTION("""COMPUTED_VALUE"""),"LT0PCK01UBUN1")</f>
        <v>LT0PCK01UBUN1</v>
      </c>
      <c r="F3183" s="238" t="str">
        <f>IFERROR(__xludf.DUMMYFUNCTION("""COMPUTED_VALUE"""),"UGJ0F16,UDJ0C51")</f>
        <v>UGJ0F16,UDJ0C51</v>
      </c>
      <c r="G3183" s="238">
        <f>IFERROR(__xludf.DUMMYFUNCTION("""COMPUTED_VALUE"""),46012.0)</f>
        <v>46012</v>
      </c>
      <c r="H3183" s="238">
        <f>IFERROR(__xludf.DUMMYFUNCTION("""COMPUTED_VALUE"""),46012.33333333333)</f>
        <v>46012.33333</v>
      </c>
      <c r="I3183" s="237" t="str">
        <f t="shared" si="1"/>
        <v>Fora</v>
      </c>
      <c r="J3183" s="239">
        <v>119.99999999301508</v>
      </c>
    </row>
    <row r="3184">
      <c r="A3184" s="234" t="s">
        <v>4584</v>
      </c>
      <c r="B3184" s="234" t="str">
        <f>IFERROR(__xludf.DUMMYFUNCTION("""COMPUTED_VALUE"""),"SoC_MG_Betim")</f>
        <v>SoC_MG_Betim</v>
      </c>
      <c r="C3184" s="234" t="str">
        <f>IFERROR(__xludf.DUMMYFUNCTION("""COMPUTED_VALUE"""),"SOC-MG2")</f>
        <v>SOC-MG2</v>
      </c>
      <c r="D3184" s="234">
        <f>IFERROR(__xludf.DUMMYFUNCTION("""COMPUTED_VALUE"""),113.0)</f>
        <v>113</v>
      </c>
      <c r="E3184" s="237" t="str">
        <f>IFERROR(__xludf.DUMMYFUNCTION("""COMPUTED_VALUE"""),"LT1PCL01V5RE1")</f>
        <v>LT1PCL01V5RE1</v>
      </c>
      <c r="F3184" s="238" t="str">
        <f>IFERROR(__xludf.DUMMYFUNCTION("""COMPUTED_VALUE"""),"HFD3A69,BDW7J02")</f>
        <v>HFD3A69,BDW7J02</v>
      </c>
      <c r="G3184" s="238">
        <f>IFERROR(__xludf.DUMMYFUNCTION("""COMPUTED_VALUE"""),46012.16666666667)</f>
        <v>46012.16667</v>
      </c>
      <c r="H3184" s="238">
        <f>IFERROR(__xludf.DUMMYFUNCTION("""COMPUTED_VALUE"""),46012.25)</f>
        <v>46012.25</v>
      </c>
      <c r="I3184" s="237" t="str">
        <f t="shared" si="1"/>
        <v>Fora</v>
      </c>
      <c r="J3184" s="239" t="e">
        <v>#VALUE!</v>
      </c>
    </row>
    <row r="3185">
      <c r="A3185" s="234" t="s">
        <v>4585</v>
      </c>
      <c r="B3185" s="234" t="str">
        <f>IFERROR(__xludf.DUMMYFUNCTION("""COMPUTED_VALUE"""),"Fanout Desconhecido")</f>
        <v>Fanout Desconhecido</v>
      </c>
      <c r="C3185" s="234" t="str">
        <f>IFERROR(__xludf.DUMMYFUNCTION("""COMPUTED_VALUE"""),"-")</f>
        <v>-</v>
      </c>
      <c r="D3185" s="234">
        <f>IFERROR(__xludf.DUMMYFUNCTION("""COMPUTED_VALUE"""),89.0)</f>
        <v>89</v>
      </c>
      <c r="E3185" s="237" t="str">
        <f>IFERROR(__xludf.DUMMYFUNCTION("""COMPUTED_VALUE"""),"LT0PCM01UZC22")</f>
        <v>LT0PCM01UZC22</v>
      </c>
      <c r="F3185" s="238" t="str">
        <f>IFERROR(__xludf.DUMMYFUNCTION("""COMPUTED_VALUE"""),"-")</f>
        <v>-</v>
      </c>
      <c r="G3185" s="238" t="str">
        <f>IFERROR(__xludf.DUMMYFUNCTION("""COMPUTED_VALUE"""),"-")</f>
        <v>-</v>
      </c>
      <c r="H3185" s="238" t="str">
        <f>IFERROR(__xludf.DUMMYFUNCTION("""COMPUTED_VALUE"""),"-")</f>
        <v>-</v>
      </c>
      <c r="I3185" s="237" t="str">
        <f t="shared" si="1"/>
        <v>Dentro</v>
      </c>
      <c r="J3185" s="239" t="e">
        <v>#VALUE!</v>
      </c>
    </row>
    <row r="3186">
      <c r="A3186" s="234" t="s">
        <v>4586</v>
      </c>
      <c r="B3186" s="234" t="str">
        <f>IFERROR(__xludf.DUMMYFUNCTION("""COMPUTED_VALUE"""),"Fanout Desconhecido")</f>
        <v>Fanout Desconhecido</v>
      </c>
      <c r="C3186" s="234" t="str">
        <f>IFERROR(__xludf.DUMMYFUNCTION("""COMPUTED_VALUE"""),"-")</f>
        <v>-</v>
      </c>
      <c r="D3186" s="234">
        <f>IFERROR(__xludf.DUMMYFUNCTION("""COMPUTED_VALUE"""),88.0)</f>
        <v>88</v>
      </c>
      <c r="E3186" s="237" t="str">
        <f>IFERROR(__xludf.DUMMYFUNCTION("""COMPUTED_VALUE"""),"LT0PCM01UZC11")</f>
        <v>LT0PCM01UZC11</v>
      </c>
      <c r="F3186" s="238" t="str">
        <f>IFERROR(__xludf.DUMMYFUNCTION("""COMPUTED_VALUE"""),"-")</f>
        <v>-</v>
      </c>
      <c r="G3186" s="238" t="str">
        <f>IFERROR(__xludf.DUMMYFUNCTION("""COMPUTED_VALUE"""),"-")</f>
        <v>-</v>
      </c>
      <c r="H3186" s="238" t="str">
        <f>IFERROR(__xludf.DUMMYFUNCTION("""COMPUTED_VALUE"""),"-")</f>
        <v>-</v>
      </c>
      <c r="I3186" s="237" t="str">
        <f t="shared" si="1"/>
        <v>Dentro</v>
      </c>
      <c r="J3186" s="239">
        <v>240.00000000698492</v>
      </c>
    </row>
    <row r="3187">
      <c r="A3187" s="234" t="s">
        <v>4587</v>
      </c>
      <c r="B3187" s="234" t="str">
        <f>IFERROR(__xludf.DUMMYFUNCTION("""COMPUTED_VALUE"""),"SoC_GO_Goiânia_02")</f>
        <v>SoC_GO_Goiânia_02</v>
      </c>
      <c r="C3187" s="234" t="str">
        <f>IFERROR(__xludf.DUMMYFUNCTION("""COMPUTED_VALUE"""),"SOC-GO2")</f>
        <v>SOC-GO2</v>
      </c>
      <c r="D3187" s="234">
        <f>IFERROR(__xludf.DUMMYFUNCTION("""COMPUTED_VALUE"""),87.0)</f>
        <v>87</v>
      </c>
      <c r="E3187" s="237" t="str">
        <f>IFERROR(__xludf.DUMMYFUNCTION("""COMPUTED_VALUE"""),"LT0PCM01UZIL1")</f>
        <v>LT0PCM01UZIL1</v>
      </c>
      <c r="F3187" s="238" t="str">
        <f>IFERROR(__xludf.DUMMYFUNCTION("""COMPUTED_VALUE"""),"FVS7J52,FJP9A87")</f>
        <v>FVS7J52,FJP9A87</v>
      </c>
      <c r="G3187" s="238">
        <f>IFERROR(__xludf.DUMMYFUNCTION("""COMPUTED_VALUE"""),46013.625)</f>
        <v>46013.625</v>
      </c>
      <c r="H3187" s="238">
        <f>IFERROR(__xludf.DUMMYFUNCTION("""COMPUTED_VALUE"""),46013.79166666667)</f>
        <v>46013.79167</v>
      </c>
      <c r="I3187" s="237" t="str">
        <f t="shared" si="1"/>
        <v>Fora</v>
      </c>
      <c r="J3187" s="239">
        <v>119.99999999301508</v>
      </c>
    </row>
    <row r="3188">
      <c r="A3188" s="234" t="s">
        <v>4588</v>
      </c>
      <c r="B3188" s="234" t="str">
        <f>IFERROR(__xludf.DUMMYFUNCTION("""COMPUTED_VALUE"""),"LM Hub_RJ_São Gonçalo_02")</f>
        <v>LM Hub_RJ_São Gonçalo_02</v>
      </c>
      <c r="C3188" s="234" t="str">
        <f>IFERROR(__xludf.DUMMYFUNCTION("""COMPUTED_VALUE"""),"HUB-LRJ-23")</f>
        <v>HUB-LRJ-23</v>
      </c>
      <c r="D3188" s="234">
        <f>IFERROR(__xludf.DUMMYFUNCTION("""COMPUTED_VALUE"""),5.0)</f>
        <v>5</v>
      </c>
      <c r="E3188" s="237" t="str">
        <f>IFERROR(__xludf.DUMMYFUNCTION("""COMPUTED_VALUE"""),"LT0PCM01UZHO1")</f>
        <v>LT0PCM01UZHO1</v>
      </c>
      <c r="F3188" s="238" t="str">
        <f>IFERROR(__xludf.DUMMYFUNCTION("""COMPUTED_VALUE"""),"EMT1C72,ETM7J54")</f>
        <v>EMT1C72,ETM7J54</v>
      </c>
      <c r="G3188" s="238">
        <f>IFERROR(__xludf.DUMMYFUNCTION("""COMPUTED_VALUE"""),46013.79166666667)</f>
        <v>46013.79167</v>
      </c>
      <c r="H3188" s="238">
        <f>IFERROR(__xludf.DUMMYFUNCTION("""COMPUTED_VALUE"""),46013.875)</f>
        <v>46013.875</v>
      </c>
      <c r="I3188" s="237" t="str">
        <f t="shared" si="1"/>
        <v>Fora</v>
      </c>
      <c r="J3188" s="239">
        <v>120.00000001396984</v>
      </c>
    </row>
    <row r="3189">
      <c r="A3189" s="234" t="s">
        <v>4589</v>
      </c>
      <c r="B3189" s="234" t="str">
        <f>IFERROR(__xludf.DUMMYFUNCTION("""COMPUTED_VALUE"""),"LM Hub_RJ_Jacarepaguá")</f>
        <v>LM Hub_RJ_Jacarepaguá</v>
      </c>
      <c r="C3189" s="234" t="str">
        <f>IFERROR(__xludf.DUMMYFUNCTION("""COMPUTED_VALUE"""),"HUB-LRJ-29")</f>
        <v>HUB-LRJ-29</v>
      </c>
      <c r="D3189" s="234">
        <f>IFERROR(__xludf.DUMMYFUNCTION("""COMPUTED_VALUE"""),6.0)</f>
        <v>6</v>
      </c>
      <c r="E3189" s="237" t="str">
        <f>IFERROR(__xludf.DUMMYFUNCTION("""COMPUTED_VALUE"""),"LT0PCM01UZGO1")</f>
        <v>LT0PCM01UZGO1</v>
      </c>
      <c r="F3189" s="238" t="str">
        <f>IFERROR(__xludf.DUMMYFUNCTION("""COMPUTED_VALUE"""),"FWJ4B82,DOR1H08")</f>
        <v>FWJ4B82,DOR1H08</v>
      </c>
      <c r="G3189" s="238">
        <f>IFERROR(__xludf.DUMMYFUNCTION("""COMPUTED_VALUE"""),46013.89583333333)</f>
        <v>46013.89583</v>
      </c>
      <c r="H3189" s="238">
        <f>IFERROR(__xludf.DUMMYFUNCTION("""COMPUTED_VALUE"""),46013.97916666667)</f>
        <v>46013.97917</v>
      </c>
      <c r="I3189" s="237" t="str">
        <f t="shared" si="1"/>
        <v>Fora</v>
      </c>
      <c r="J3189" s="239">
        <v>120.00000001396984</v>
      </c>
    </row>
    <row r="3190">
      <c r="A3190" s="234" t="s">
        <v>4590</v>
      </c>
      <c r="B3190" s="234" t="str">
        <f>IFERROR(__xludf.DUMMYFUNCTION("""COMPUTED_VALUE"""),"LM Hub_SP_Jurubatuba")</f>
        <v>LM Hub_SP_Jurubatuba</v>
      </c>
      <c r="C3190" s="234" t="str">
        <f>IFERROR(__xludf.DUMMYFUNCTION("""COMPUTED_VALUE"""),"HUB-LSP-16")</f>
        <v>HUB-LSP-16</v>
      </c>
      <c r="D3190" s="234">
        <f>IFERROR(__xludf.DUMMYFUNCTION("""COMPUTED_VALUE"""),32.0)</f>
        <v>32</v>
      </c>
      <c r="E3190" s="237" t="str">
        <f>IFERROR(__xludf.DUMMYFUNCTION("""COMPUTED_VALUE"""),"LT0PCM01UVNV1")</f>
        <v>LT0PCM01UVNV1</v>
      </c>
      <c r="F3190" s="238" t="str">
        <f>IFERROR(__xludf.DUMMYFUNCTION("""COMPUTED_VALUE"""),"MQM6I27,FXB7G01")</f>
        <v>MQM6I27,FXB7G01</v>
      </c>
      <c r="G3190" s="238">
        <f>IFERROR(__xludf.DUMMYFUNCTION("""COMPUTED_VALUE"""),46013.89583333333)</f>
        <v>46013.89583</v>
      </c>
      <c r="H3190" s="238">
        <f>IFERROR(__xludf.DUMMYFUNCTION("""COMPUTED_VALUE"""),46013.97916666667)</f>
        <v>46013.97917</v>
      </c>
      <c r="I3190" s="237" t="str">
        <f t="shared" si="1"/>
        <v>Fora</v>
      </c>
      <c r="J3190" s="239">
        <v>120.00000001396984</v>
      </c>
    </row>
    <row r="3191">
      <c r="A3191" s="234" t="s">
        <v>4591</v>
      </c>
      <c r="B3191" s="234" t="str">
        <f>IFERROR(__xludf.DUMMYFUNCTION("""COMPUTED_VALUE"""),"LM Hub_SP_Santos_Praia Grande")</f>
        <v>LM Hub_SP_Santos_Praia Grande</v>
      </c>
      <c r="C3191" s="234" t="str">
        <f>IFERROR(__xludf.DUMMYFUNCTION("""COMPUTED_VALUE"""),"HUB-LSP-09")</f>
        <v>HUB-LSP-09</v>
      </c>
      <c r="D3191" s="234">
        <f>IFERROR(__xludf.DUMMYFUNCTION("""COMPUTED_VALUE"""),26.0)</f>
        <v>26</v>
      </c>
      <c r="E3191" s="237" t="str">
        <f>IFERROR(__xludf.DUMMYFUNCTION("""COMPUTED_VALUE"""),"LT0PCM01UVQ21")</f>
        <v>LT0PCM01UVQ21</v>
      </c>
      <c r="F3191" s="238" t="str">
        <f>IFERROR(__xludf.DUMMYFUNCTION("""COMPUTED_VALUE"""),"GIB8A68,EGG3792")</f>
        <v>GIB8A68,EGG3792</v>
      </c>
      <c r="G3191" s="238">
        <f>IFERROR(__xludf.DUMMYFUNCTION("""COMPUTED_VALUE"""),46013.89583333333)</f>
        <v>46013.89583</v>
      </c>
      <c r="H3191" s="238">
        <f>IFERROR(__xludf.DUMMYFUNCTION("""COMPUTED_VALUE"""),46013.97916666667)</f>
        <v>46013.97917</v>
      </c>
      <c r="I3191" s="237" t="str">
        <f t="shared" si="1"/>
        <v>Fora</v>
      </c>
      <c r="J3191" s="239">
        <v>120.00000001396984</v>
      </c>
    </row>
    <row r="3192">
      <c r="A3192" s="234" t="s">
        <v>4592</v>
      </c>
      <c r="B3192" s="234" t="str">
        <f>IFERROR(__xludf.DUMMYFUNCTION("""COMPUTED_VALUE"""),"LM Hub_SP_São Paulo_Lapa")</f>
        <v>LM Hub_SP_São Paulo_Lapa</v>
      </c>
      <c r="C3192" s="234" t="str">
        <f>IFERROR(__xludf.DUMMYFUNCTION("""COMPUTED_VALUE"""),"HUB-LSP-15")</f>
        <v>HUB-LSP-15</v>
      </c>
      <c r="D3192" s="234">
        <f>IFERROR(__xludf.DUMMYFUNCTION("""COMPUTED_VALUE"""),25.0)</f>
        <v>25</v>
      </c>
      <c r="E3192" s="237" t="str">
        <f>IFERROR(__xludf.DUMMYFUNCTION("""COMPUTED_VALUE"""),"LT0PCM01UVNP1")</f>
        <v>LT0PCM01UVNP1</v>
      </c>
      <c r="F3192" s="238" t="str">
        <f>IFERROR(__xludf.DUMMYFUNCTION("""COMPUTED_VALUE"""),"FEQ5G38,DBM6B83")</f>
        <v>FEQ5G38,DBM6B83</v>
      </c>
      <c r="G3192" s="238">
        <f>IFERROR(__xludf.DUMMYFUNCTION("""COMPUTED_VALUE"""),46013.89583333333)</f>
        <v>46013.89583</v>
      </c>
      <c r="H3192" s="238">
        <f>IFERROR(__xludf.DUMMYFUNCTION("""COMPUTED_VALUE"""),46013.97916666667)</f>
        <v>46013.97917</v>
      </c>
      <c r="I3192" s="237" t="str">
        <f t="shared" si="1"/>
        <v>Fora</v>
      </c>
      <c r="J3192" s="239">
        <v>119.00000001071021</v>
      </c>
    </row>
    <row r="3193">
      <c r="A3193" s="234" t="s">
        <v>4593</v>
      </c>
      <c r="B3193" s="234" t="str">
        <f>IFERROR(__xludf.DUMMYFUNCTION("""COMPUTED_VALUE"""),"LM Hub_SP_Itaqua_Zimba")</f>
        <v>LM Hub_SP_Itaqua_Zimba</v>
      </c>
      <c r="C3193" s="234" t="str">
        <f>IFERROR(__xludf.DUMMYFUNCTION("""COMPUTED_VALUE"""),"HUB-LSP-74")</f>
        <v>HUB-LSP-74</v>
      </c>
      <c r="D3193" s="234">
        <f>IFERROR(__xludf.DUMMYFUNCTION("""COMPUTED_VALUE"""),36.0)</f>
        <v>36</v>
      </c>
      <c r="E3193" s="237" t="str">
        <f>IFERROR(__xludf.DUMMYFUNCTION("""COMPUTED_VALUE"""),"LT0PCM01UVOU1")</f>
        <v>LT0PCM01UVOU1</v>
      </c>
      <c r="F3193" s="238" t="str">
        <f>IFERROR(__xludf.DUMMYFUNCTION("""COMPUTED_VALUE"""),"SUQ5C99,TLD5B82")</f>
        <v>SUQ5C99,TLD5B82</v>
      </c>
      <c r="G3193" s="238">
        <f>IFERROR(__xludf.DUMMYFUNCTION("""COMPUTED_VALUE"""),46013.896527777775)</f>
        <v>46013.89653</v>
      </c>
      <c r="H3193" s="238">
        <f>IFERROR(__xludf.DUMMYFUNCTION("""COMPUTED_VALUE"""),46013.97916666667)</f>
        <v>46013.97917</v>
      </c>
      <c r="I3193" s="237" t="str">
        <f t="shared" si="1"/>
        <v>Fora</v>
      </c>
      <c r="J3193" s="239">
        <v>119.00000001071021</v>
      </c>
    </row>
    <row r="3194">
      <c r="A3194" s="234" t="s">
        <v>4594</v>
      </c>
      <c r="B3194" s="234" t="str">
        <f>IFERROR(__xludf.DUMMYFUNCTION("""COMPUTED_VALUE"""),"LM Hub_SP_São José dos Campos")</f>
        <v>LM Hub_SP_São José dos Campos</v>
      </c>
      <c r="C3194" s="234" t="str">
        <f>IFERROR(__xludf.DUMMYFUNCTION("""COMPUTED_VALUE"""),"HUB-LSP-04")</f>
        <v>HUB-LSP-04</v>
      </c>
      <c r="D3194" s="234">
        <f>IFERROR(__xludf.DUMMYFUNCTION("""COMPUTED_VALUE"""),23.0)</f>
        <v>23</v>
      </c>
      <c r="E3194" s="237" t="str">
        <f>IFERROR(__xludf.DUMMYFUNCTION("""COMPUTED_VALUE"""),"LT0PCM01UVQV1")</f>
        <v>LT0PCM01UVQV1</v>
      </c>
      <c r="F3194" s="238" t="str">
        <f>IFERROR(__xludf.DUMMYFUNCTION("""COMPUTED_VALUE"""),"TBX6C72")</f>
        <v>TBX6C72</v>
      </c>
      <c r="G3194" s="238">
        <f>IFERROR(__xludf.DUMMYFUNCTION("""COMPUTED_VALUE"""),46013.896527777775)</f>
        <v>46013.89653</v>
      </c>
      <c r="H3194" s="238">
        <f>IFERROR(__xludf.DUMMYFUNCTION("""COMPUTED_VALUE"""),46013.97916666667)</f>
        <v>46013.97917</v>
      </c>
      <c r="I3194" s="237" t="str">
        <f t="shared" si="1"/>
        <v>Fora</v>
      </c>
      <c r="J3194" s="239">
        <v>118.99999998975545</v>
      </c>
    </row>
    <row r="3195">
      <c r="A3195" s="234" t="s">
        <v>4595</v>
      </c>
      <c r="B3195" s="234" t="str">
        <f>IFERROR(__xludf.DUMMYFUNCTION("""COMPUTED_VALUE"""),"LM Hub_SP_Guarujá")</f>
        <v>LM Hub_SP_Guarujá</v>
      </c>
      <c r="C3195" s="234" t="str">
        <f>IFERROR(__xludf.DUMMYFUNCTION("""COMPUTED_VALUE"""),"HUB-LSP-06")</f>
        <v>HUB-LSP-06</v>
      </c>
      <c r="D3195" s="234">
        <f>IFERROR(__xludf.DUMMYFUNCTION("""COMPUTED_VALUE"""),32.0)</f>
        <v>32</v>
      </c>
      <c r="E3195" s="237" t="str">
        <f>IFERROR(__xludf.DUMMYFUNCTION("""COMPUTED_VALUE"""),"LT0PCM01UVPE1")</f>
        <v>LT0PCM01UVPE1</v>
      </c>
      <c r="F3195" s="238" t="str">
        <f>IFERROR(__xludf.DUMMYFUNCTION("""COMPUTED_VALUE"""),"TJN5H17")</f>
        <v>TJN5H17</v>
      </c>
      <c r="G3195" s="238">
        <f>IFERROR(__xludf.DUMMYFUNCTION("""COMPUTED_VALUE"""),46013.91666666667)</f>
        <v>46013.91667</v>
      </c>
      <c r="H3195" s="238">
        <f>IFERROR(__xludf.DUMMYFUNCTION("""COMPUTED_VALUE"""),46013.99930555555)</f>
        <v>46013.99931</v>
      </c>
      <c r="I3195" s="237" t="str">
        <f t="shared" si="1"/>
        <v>Fora</v>
      </c>
      <c r="J3195" s="239">
        <v>119.99999999301508</v>
      </c>
    </row>
    <row r="3196">
      <c r="A3196" s="234" t="s">
        <v>4596</v>
      </c>
      <c r="B3196" s="234" t="str">
        <f>IFERROR(__xludf.DUMMYFUNCTION("""COMPUTED_VALUE"""),"LM Hub_SP_Barueri_01")</f>
        <v>LM Hub_SP_Barueri_01</v>
      </c>
      <c r="C3196" s="234" t="str">
        <f>IFERROR(__xludf.DUMMYFUNCTION("""COMPUTED_VALUE"""),"HUB-LSP-81")</f>
        <v>HUB-LSP-81</v>
      </c>
      <c r="D3196" s="234">
        <f>IFERROR(__xludf.DUMMYFUNCTION("""COMPUTED_VALUE"""),12.0)</f>
        <v>12</v>
      </c>
      <c r="E3196" s="237" t="str">
        <f>IFERROR(__xludf.DUMMYFUNCTION("""COMPUTED_VALUE"""),"LT0PCM01UZ3W1")</f>
        <v>LT0PCM01UZ3W1</v>
      </c>
      <c r="F3196" s="238" t="str">
        <f>IFERROR(__xludf.DUMMYFUNCTION("""COMPUTED_VALUE"""),"DVA3A62")</f>
        <v>DVA3A62</v>
      </c>
      <c r="G3196" s="238">
        <f>IFERROR(__xludf.DUMMYFUNCTION("""COMPUTED_VALUE"""),46013.91666666667)</f>
        <v>46013.91667</v>
      </c>
      <c r="H3196" s="238">
        <f>IFERROR(__xludf.DUMMYFUNCTION("""COMPUTED_VALUE"""),46014.0)</f>
        <v>46014</v>
      </c>
      <c r="I3196" s="237" t="str">
        <f t="shared" si="1"/>
        <v>Fora</v>
      </c>
      <c r="J3196" s="239">
        <v>119.99999999301508</v>
      </c>
    </row>
    <row r="3197">
      <c r="A3197" s="234" t="s">
        <v>4597</v>
      </c>
      <c r="B3197" s="234" t="str">
        <f>IFERROR(__xludf.DUMMYFUNCTION("""COMPUTED_VALUE"""),"LM Hub_SP_Itapevi")</f>
        <v>LM Hub_SP_Itapevi</v>
      </c>
      <c r="C3197" s="234" t="str">
        <f>IFERROR(__xludf.DUMMYFUNCTION("""COMPUTED_VALUE"""),"HUB-LSP-41")</f>
        <v>HUB-LSP-41</v>
      </c>
      <c r="D3197" s="234">
        <f>IFERROR(__xludf.DUMMYFUNCTION("""COMPUTED_VALUE"""),45.0)</f>
        <v>45</v>
      </c>
      <c r="E3197" s="237" t="str">
        <f>IFERROR(__xludf.DUMMYFUNCTION("""COMPUTED_VALUE"""),"LT0PCM01UVOB1")</f>
        <v>LT0PCM01UVOB1</v>
      </c>
      <c r="F3197" s="238" t="str">
        <f>IFERROR(__xludf.DUMMYFUNCTION("""COMPUTED_VALUE"""),"DPF6F59")</f>
        <v>DPF6F59</v>
      </c>
      <c r="G3197" s="238">
        <f>IFERROR(__xludf.DUMMYFUNCTION("""COMPUTED_VALUE"""),46013.91666666667)</f>
        <v>46013.91667</v>
      </c>
      <c r="H3197" s="238">
        <f>IFERROR(__xludf.DUMMYFUNCTION("""COMPUTED_VALUE"""),46014.0)</f>
        <v>46014</v>
      </c>
      <c r="I3197" s="237" t="str">
        <f t="shared" si="1"/>
        <v>Fora</v>
      </c>
      <c r="J3197" s="239">
        <v>119.99999999301508</v>
      </c>
    </row>
    <row r="3198">
      <c r="A3198" s="234" t="s">
        <v>4598</v>
      </c>
      <c r="B3198" s="234" t="str">
        <f>IFERROR(__xludf.DUMMYFUNCTION("""COMPUTED_VALUE"""),"LM Hub_SP_Mauá")</f>
        <v>LM Hub_SP_Mauá</v>
      </c>
      <c r="C3198" s="234" t="str">
        <f>IFERROR(__xludf.DUMMYFUNCTION("""COMPUTED_VALUE"""),"HUB-LSP-64")</f>
        <v>HUB-LSP-64</v>
      </c>
      <c r="D3198" s="234">
        <f>IFERROR(__xludf.DUMMYFUNCTION("""COMPUTED_VALUE"""),21.0)</f>
        <v>21</v>
      </c>
      <c r="E3198" s="237" t="str">
        <f>IFERROR(__xludf.DUMMYFUNCTION("""COMPUTED_VALUE"""),"LT0PCM01UVOL1")</f>
        <v>LT0PCM01UVOL1</v>
      </c>
      <c r="F3198" s="238" t="str">
        <f>IFERROR(__xludf.DUMMYFUNCTION("""COMPUTED_VALUE"""),"FQF6B98,DTA7802")</f>
        <v>FQF6B98,DTA7802</v>
      </c>
      <c r="G3198" s="238">
        <f>IFERROR(__xludf.DUMMYFUNCTION("""COMPUTED_VALUE"""),46013.91666666667)</f>
        <v>46013.91667</v>
      </c>
      <c r="H3198" s="238">
        <f>IFERROR(__xludf.DUMMYFUNCTION("""COMPUTED_VALUE"""),46014.0)</f>
        <v>46014</v>
      </c>
      <c r="I3198" s="237" t="str">
        <f t="shared" si="1"/>
        <v>Fora</v>
      </c>
      <c r="J3198" s="239">
        <v>119.99999999301508</v>
      </c>
    </row>
    <row r="3199">
      <c r="A3199" s="234" t="s">
        <v>4599</v>
      </c>
      <c r="B3199" s="234" t="str">
        <f>IFERROR(__xludf.DUMMYFUNCTION("""COMPUTED_VALUE"""),"LM Hub_SP_Osasco_02")</f>
        <v>LM Hub_SP_Osasco_02</v>
      </c>
      <c r="C3199" s="234" t="str">
        <f>IFERROR(__xludf.DUMMYFUNCTION("""COMPUTED_VALUE"""),"HUB-LSP-60")</f>
        <v>HUB-LSP-60</v>
      </c>
      <c r="D3199" s="234">
        <f>IFERROR(__xludf.DUMMYFUNCTION("""COMPUTED_VALUE"""),27.0)</f>
        <v>27</v>
      </c>
      <c r="E3199" s="237" t="str">
        <f>IFERROR(__xludf.DUMMYFUNCTION("""COMPUTED_VALUE"""),"LT0PCM01UVOG1")</f>
        <v>LT0PCM01UVOG1</v>
      </c>
      <c r="F3199" s="238" t="str">
        <f>IFERROR(__xludf.DUMMYFUNCTION("""COMPUTED_VALUE"""),"ARA0I24")</f>
        <v>ARA0I24</v>
      </c>
      <c r="G3199" s="238">
        <f>IFERROR(__xludf.DUMMYFUNCTION("""COMPUTED_VALUE"""),46013.91666666667)</f>
        <v>46013.91667</v>
      </c>
      <c r="H3199" s="238">
        <f>IFERROR(__xludf.DUMMYFUNCTION("""COMPUTED_VALUE"""),46014.0)</f>
        <v>46014</v>
      </c>
      <c r="I3199" s="237" t="str">
        <f t="shared" si="1"/>
        <v>Fora</v>
      </c>
      <c r="J3199" s="239">
        <v>119.99999999301508</v>
      </c>
    </row>
    <row r="3200">
      <c r="A3200" s="234" t="s">
        <v>4600</v>
      </c>
      <c r="B3200" s="234" t="str">
        <f>IFERROR(__xludf.DUMMYFUNCTION("""COMPUTED_VALUE"""),"LM Hub_SP_Santo André")</f>
        <v>LM Hub_SP_Santo André</v>
      </c>
      <c r="C3200" s="234" t="str">
        <f>IFERROR(__xludf.DUMMYFUNCTION("""COMPUTED_VALUE"""),"HUB-LSP-93")</f>
        <v>HUB-LSP-93</v>
      </c>
      <c r="D3200" s="234">
        <f>IFERROR(__xludf.DUMMYFUNCTION("""COMPUTED_VALUE"""),19.0)</f>
        <v>19</v>
      </c>
      <c r="E3200" s="237" t="str">
        <f>IFERROR(__xludf.DUMMYFUNCTION("""COMPUTED_VALUE"""),"LT0PCM01UTNL1")</f>
        <v>LT0PCM01UTNL1</v>
      </c>
      <c r="F3200" s="238" t="str">
        <f>IFERROR(__xludf.DUMMYFUNCTION("""COMPUTED_VALUE"""),"FNK8E47,FAM1829")</f>
        <v>FNK8E47,FAM1829</v>
      </c>
      <c r="G3200" s="238">
        <f>IFERROR(__xludf.DUMMYFUNCTION("""COMPUTED_VALUE"""),46013.91666666667)</f>
        <v>46013.91667</v>
      </c>
      <c r="H3200" s="238">
        <f>IFERROR(__xludf.DUMMYFUNCTION("""COMPUTED_VALUE"""),46014.0)</f>
        <v>46014</v>
      </c>
      <c r="I3200" s="237" t="str">
        <f t="shared" si="1"/>
        <v>Fora</v>
      </c>
      <c r="J3200" s="239">
        <v>119.99999999301508</v>
      </c>
    </row>
    <row r="3201">
      <c r="A3201" s="234" t="s">
        <v>4601</v>
      </c>
      <c r="B3201" s="234" t="str">
        <f>IFERROR(__xludf.DUMMYFUNCTION("""COMPUTED_VALUE"""),"LM Hub_SP_São José do Rio P")</f>
        <v>LM Hub_SP_São José do Rio P</v>
      </c>
      <c r="C3201" s="234" t="str">
        <f>IFERROR(__xludf.DUMMYFUNCTION("""COMPUTED_VALUE"""),"HUB-LSP-27")</f>
        <v>HUB-LSP-27</v>
      </c>
      <c r="D3201" s="234">
        <f>IFERROR(__xludf.DUMMYFUNCTION("""COMPUTED_VALUE"""),24.0)</f>
        <v>24</v>
      </c>
      <c r="E3201" s="237" t="str">
        <f>IFERROR(__xludf.DUMMYFUNCTION("""COMPUTED_VALUE"""),"LT0PCM01UY9X1")</f>
        <v>LT0PCM01UY9X1</v>
      </c>
      <c r="F3201" s="238" t="str">
        <f>IFERROR(__xludf.DUMMYFUNCTION("""COMPUTED_VALUE"""),"SDW9F33,EZG9J32")</f>
        <v>SDW9F33,EZG9J32</v>
      </c>
      <c r="G3201" s="238">
        <f>IFERROR(__xludf.DUMMYFUNCTION("""COMPUTED_VALUE"""),46013.91666666667)</f>
        <v>46013.91667</v>
      </c>
      <c r="H3201" s="238">
        <f>IFERROR(__xludf.DUMMYFUNCTION("""COMPUTED_VALUE"""),46014.0)</f>
        <v>46014</v>
      </c>
      <c r="I3201" s="237" t="str">
        <f t="shared" si="1"/>
        <v>Fora</v>
      </c>
      <c r="J3201" s="239">
        <v>119.00000000023283</v>
      </c>
    </row>
    <row r="3202">
      <c r="A3202" s="234" t="s">
        <v>4602</v>
      </c>
      <c r="B3202" s="234" t="str">
        <f>IFERROR(__xludf.DUMMYFUNCTION("""COMPUTED_VALUE"""),"LM Hub_SP_Artur Alvim")</f>
        <v>LM Hub_SP_Artur Alvim</v>
      </c>
      <c r="C3202" s="234" t="str">
        <f>IFERROR(__xludf.DUMMYFUNCTION("""COMPUTED_VALUE"""),"HUB-LSP-07")</f>
        <v>HUB-LSP-07</v>
      </c>
      <c r="D3202" s="234">
        <f>IFERROR(__xludf.DUMMYFUNCTION("""COMPUTED_VALUE"""),48.0)</f>
        <v>48</v>
      </c>
      <c r="E3202" s="237" t="str">
        <f>IFERROR(__xludf.DUMMYFUNCTION("""COMPUTED_VALUE"""),"LT0PCM01UVND1")</f>
        <v>LT0PCM01UVND1</v>
      </c>
      <c r="F3202" s="238" t="str">
        <f>IFERROR(__xludf.DUMMYFUNCTION("""COMPUTED_VALUE"""),"EZL3F51")</f>
        <v>EZL3F51</v>
      </c>
      <c r="G3202" s="238">
        <f>IFERROR(__xludf.DUMMYFUNCTION("""COMPUTED_VALUE"""),46013.91736111111)</f>
        <v>46013.91736</v>
      </c>
      <c r="H3202" s="238">
        <f>IFERROR(__xludf.DUMMYFUNCTION("""COMPUTED_VALUE"""),46014.0)</f>
        <v>46014</v>
      </c>
      <c r="I3202" s="237" t="str">
        <f t="shared" si="1"/>
        <v>Fora</v>
      </c>
      <c r="J3202" s="239">
        <v>119.00000000023283</v>
      </c>
    </row>
    <row r="3203">
      <c r="A3203" s="234" t="s">
        <v>4603</v>
      </c>
      <c r="B3203" s="234" t="str">
        <f>IFERROR(__xludf.DUMMYFUNCTION("""COMPUTED_VALUE"""),"LM Hub_SP_Guarulhos")</f>
        <v>LM Hub_SP_Guarulhos</v>
      </c>
      <c r="C3203" s="234" t="str">
        <f>IFERROR(__xludf.DUMMYFUNCTION("""COMPUTED_VALUE"""),"HUB-LSP-77")</f>
        <v>HUB-LSP-77</v>
      </c>
      <c r="D3203" s="234">
        <f>IFERROR(__xludf.DUMMYFUNCTION("""COMPUTED_VALUE"""),46.0)</f>
        <v>46</v>
      </c>
      <c r="E3203" s="237" t="str">
        <f>IFERROR(__xludf.DUMMYFUNCTION("""COMPUTED_VALUE"""),"LT0PCM01UW4M1")</f>
        <v>LT0PCM01UW4M1</v>
      </c>
      <c r="F3203" s="238" t="str">
        <f>IFERROR(__xludf.DUMMYFUNCTION("""COMPUTED_VALUE"""),"EPU0B23,BWP1348")</f>
        <v>EPU0B23,BWP1348</v>
      </c>
      <c r="G3203" s="238">
        <f>IFERROR(__xludf.DUMMYFUNCTION("""COMPUTED_VALUE"""),46013.91736111111)</f>
        <v>46013.91736</v>
      </c>
      <c r="H3203" s="238">
        <f>IFERROR(__xludf.DUMMYFUNCTION("""COMPUTED_VALUE"""),46014.0)</f>
        <v>46014</v>
      </c>
      <c r="I3203" s="237" t="str">
        <f t="shared" si="1"/>
        <v>Fora</v>
      </c>
      <c r="J3203" s="239">
        <v>119.00000000023283</v>
      </c>
    </row>
    <row r="3204">
      <c r="A3204" s="234" t="s">
        <v>4604</v>
      </c>
      <c r="B3204" s="234" t="str">
        <f>IFERROR(__xludf.DUMMYFUNCTION("""COMPUTED_VALUE"""),"LM Hub_SP_Limeira_Campo Belo")</f>
        <v>LM Hub_SP_Limeira_Campo Belo</v>
      </c>
      <c r="C3204" s="234" t="str">
        <f>IFERROR(__xludf.DUMMYFUNCTION("""COMPUTED_VALUE"""),"HUB-LSP-24")</f>
        <v>HUB-LSP-24</v>
      </c>
      <c r="D3204" s="234">
        <f>IFERROR(__xludf.DUMMYFUNCTION("""COMPUTED_VALUE"""),49.0)</f>
        <v>49</v>
      </c>
      <c r="E3204" s="237" t="str">
        <f>IFERROR(__xludf.DUMMYFUNCTION("""COMPUTED_VALUE"""),"LT0PCM01UVQK1")</f>
        <v>LT0PCM01UVQK1</v>
      </c>
      <c r="F3204" s="238" t="str">
        <f>IFERROR(__xludf.DUMMYFUNCTION("""COMPUTED_VALUE"""),"SWU9B89,RBC5B90")</f>
        <v>SWU9B89,RBC5B90</v>
      </c>
      <c r="G3204" s="238">
        <f>IFERROR(__xludf.DUMMYFUNCTION("""COMPUTED_VALUE"""),46013.91736111111)</f>
        <v>46013.91736</v>
      </c>
      <c r="H3204" s="238">
        <f>IFERROR(__xludf.DUMMYFUNCTION("""COMPUTED_VALUE"""),46014.0)</f>
        <v>46014</v>
      </c>
      <c r="I3204" s="237" t="str">
        <f t="shared" si="1"/>
        <v>Fora</v>
      </c>
      <c r="J3204" s="239">
        <v>119.00000000023283</v>
      </c>
    </row>
    <row r="3205">
      <c r="A3205" s="234" t="s">
        <v>4605</v>
      </c>
      <c r="B3205" s="234" t="str">
        <f>IFERROR(__xludf.DUMMYFUNCTION("""COMPUTED_VALUE"""),"LM Hub_SP_Santo André")</f>
        <v>LM Hub_SP_Santo André</v>
      </c>
      <c r="C3205" s="234" t="str">
        <f>IFERROR(__xludf.DUMMYFUNCTION("""COMPUTED_VALUE"""),"HUB-LSP-93")</f>
        <v>HUB-LSP-93</v>
      </c>
      <c r="D3205" s="234">
        <f>IFERROR(__xludf.DUMMYFUNCTION("""COMPUTED_VALUE"""),9.0)</f>
        <v>9</v>
      </c>
      <c r="E3205" s="237" t="str">
        <f>IFERROR(__xludf.DUMMYFUNCTION("""COMPUTED_VALUE"""),"LT0PCM01UXE41")</f>
        <v>LT0PCM01UXE41</v>
      </c>
      <c r="F3205" s="238" t="str">
        <f>IFERROR(__xludf.DUMMYFUNCTION("""COMPUTED_VALUE"""),"FXQ8H47,EZF5930")</f>
        <v>FXQ8H47,EZF5930</v>
      </c>
      <c r="G3205" s="238">
        <f>IFERROR(__xludf.DUMMYFUNCTION("""COMPUTED_VALUE"""),46013.91736111111)</f>
        <v>46013.91736</v>
      </c>
      <c r="H3205" s="238">
        <f>IFERROR(__xludf.DUMMYFUNCTION("""COMPUTED_VALUE"""),46014.0)</f>
        <v>46014</v>
      </c>
      <c r="I3205" s="237" t="str">
        <f t="shared" si="1"/>
        <v>Fora</v>
      </c>
      <c r="J3205" s="239">
        <v>119.99999999301508</v>
      </c>
    </row>
    <row r="3206">
      <c r="A3206" s="234" t="s">
        <v>4606</v>
      </c>
      <c r="B3206" s="234" t="str">
        <f>IFERROR(__xludf.DUMMYFUNCTION("""COMPUTED_VALUE"""),"LM Hub_SP_Jardim Adriana")</f>
        <v>LM Hub_SP_Jardim Adriana</v>
      </c>
      <c r="C3206" s="234" t="str">
        <f>IFERROR(__xludf.DUMMYFUNCTION("""COMPUTED_VALUE"""),"HUB-LSP-12")</f>
        <v>HUB-LSP-12</v>
      </c>
      <c r="D3206" s="234">
        <f>IFERROR(__xludf.DUMMYFUNCTION("""COMPUTED_VALUE"""),7.0)</f>
        <v>7</v>
      </c>
      <c r="E3206" s="237" t="str">
        <f>IFERROR(__xludf.DUMMYFUNCTION("""COMPUTED_VALUE"""),"LT0PCM01UVNI1")</f>
        <v>LT0PCM01UVNI1</v>
      </c>
      <c r="F3206" s="238" t="str">
        <f>IFERROR(__xludf.DUMMYFUNCTION("""COMPUTED_VALUE"""),"GCS0J70")</f>
        <v>GCS0J70</v>
      </c>
      <c r="G3206" s="238">
        <f>IFERROR(__xludf.DUMMYFUNCTION("""COMPUTED_VALUE"""),46013.9375)</f>
        <v>46013.9375</v>
      </c>
      <c r="H3206" s="238">
        <f>IFERROR(__xludf.DUMMYFUNCTION("""COMPUTED_VALUE"""),46014.02083333333)</f>
        <v>46014.02083</v>
      </c>
      <c r="I3206" s="237" t="str">
        <f t="shared" si="1"/>
        <v>Fora</v>
      </c>
      <c r="J3206" s="239">
        <v>119.99999999301508</v>
      </c>
    </row>
    <row r="3207">
      <c r="A3207" s="234" t="s">
        <v>4607</v>
      </c>
      <c r="B3207" s="234" t="str">
        <f>IFERROR(__xludf.DUMMYFUNCTION("""COMPUTED_VALUE"""),"LM Hub_SP_Parque Novo Mundo")</f>
        <v>LM Hub_SP_Parque Novo Mundo</v>
      </c>
      <c r="C3207" s="234" t="str">
        <f>IFERROR(__xludf.DUMMYFUNCTION("""COMPUTED_VALUE"""),"HUB-LSP-89")</f>
        <v>HUB-LSP-89</v>
      </c>
      <c r="D3207" s="234">
        <f>IFERROR(__xludf.DUMMYFUNCTION("""COMPUTED_VALUE"""),18.0)</f>
        <v>18</v>
      </c>
      <c r="E3207" s="237" t="str">
        <f>IFERROR(__xludf.DUMMYFUNCTION("""COMPUTED_VALUE"""),"LT0PCM01UW9O1")</f>
        <v>LT0PCM01UW9O1</v>
      </c>
      <c r="F3207" s="238" t="str">
        <f>IFERROR(__xludf.DUMMYFUNCTION("""COMPUTED_VALUE"""),"GIQ1C13,AKZ0B43")</f>
        <v>GIQ1C13,AKZ0B43</v>
      </c>
      <c r="G3207" s="238">
        <f>IFERROR(__xludf.DUMMYFUNCTION("""COMPUTED_VALUE"""),46013.9375)</f>
        <v>46013.9375</v>
      </c>
      <c r="H3207" s="238">
        <f>IFERROR(__xludf.DUMMYFUNCTION("""COMPUTED_VALUE"""),46014.02083333333)</f>
        <v>46014.02083</v>
      </c>
      <c r="I3207" s="237" t="str">
        <f t="shared" si="1"/>
        <v>Fora</v>
      </c>
      <c r="J3207" s="239">
        <v>119.99999999301508</v>
      </c>
    </row>
    <row r="3208">
      <c r="A3208" s="234" t="s">
        <v>4608</v>
      </c>
      <c r="B3208" s="234" t="str">
        <f>IFERROR(__xludf.DUMMYFUNCTION("""COMPUTED_VALUE"""),"LM Hub_SP_Piracicaba")</f>
        <v>LM Hub_SP_Piracicaba</v>
      </c>
      <c r="C3208" s="234" t="str">
        <f>IFERROR(__xludf.DUMMYFUNCTION("""COMPUTED_VALUE"""),"HUB-LSP-62")</f>
        <v>HUB-LSP-62</v>
      </c>
      <c r="D3208" s="234">
        <f>IFERROR(__xludf.DUMMYFUNCTION("""COMPUTED_VALUE"""),6.0)</f>
        <v>6</v>
      </c>
      <c r="E3208" s="237" t="str">
        <f>IFERROR(__xludf.DUMMYFUNCTION("""COMPUTED_VALUE"""),"LT0PCM01UW4W1")</f>
        <v>LT0PCM01UW4W1</v>
      </c>
      <c r="F3208" s="238" t="str">
        <f>IFERROR(__xludf.DUMMYFUNCTION("""COMPUTED_VALUE"""),"EOF4D32")</f>
        <v>EOF4D32</v>
      </c>
      <c r="G3208" s="238">
        <f>IFERROR(__xludf.DUMMYFUNCTION("""COMPUTED_VALUE"""),46013.9375)</f>
        <v>46013.9375</v>
      </c>
      <c r="H3208" s="238">
        <f>IFERROR(__xludf.DUMMYFUNCTION("""COMPUTED_VALUE"""),46014.02083333333)</f>
        <v>46014.02083</v>
      </c>
      <c r="I3208" s="237" t="str">
        <f t="shared" si="1"/>
        <v>Fora</v>
      </c>
      <c r="J3208" s="239">
        <v>118.99999998975545</v>
      </c>
    </row>
    <row r="3209">
      <c r="A3209" s="234" t="s">
        <v>4609</v>
      </c>
      <c r="B3209" s="234" t="str">
        <f>IFERROR(__xludf.DUMMYFUNCTION("""COMPUTED_VALUE"""),"LM Hub_SP_São Paulo_Carandiru")</f>
        <v>LM Hub_SP_São Paulo_Carandiru</v>
      </c>
      <c r="C3209" s="234" t="str">
        <f>IFERROR(__xludf.DUMMYFUNCTION("""COMPUTED_VALUE"""),"HUB-LSP-18")</f>
        <v>HUB-LSP-18</v>
      </c>
      <c r="D3209" s="234"/>
      <c r="E3209" s="237" t="str">
        <f>IFERROR(__xludf.DUMMYFUNCTION("""COMPUTED_VALUE"""),"LT0PCM01UTC81")</f>
        <v>LT0PCM01UTC81</v>
      </c>
      <c r="F3209" s="234"/>
      <c r="G3209" s="238">
        <f>IFERROR(__xludf.DUMMYFUNCTION("""COMPUTED_VALUE"""),46013.93819444445)</f>
        <v>46013.93819</v>
      </c>
      <c r="H3209" s="238">
        <f>IFERROR(__xludf.DUMMYFUNCTION("""COMPUTED_VALUE"""),46014.02083333333)</f>
        <v>46014.02083</v>
      </c>
      <c r="I3209" s="237" t="str">
        <f t="shared" si="1"/>
        <v>Fora</v>
      </c>
      <c r="J3209" s="239">
        <v>118.99999998975545</v>
      </c>
    </row>
    <row r="3210">
      <c r="A3210" s="234" t="s">
        <v>4610</v>
      </c>
      <c r="B3210" s="234" t="str">
        <f>IFERROR(__xludf.DUMMYFUNCTION("""COMPUTED_VALUE"""),"LM Hub_SP_Suzano_Baruel")</f>
        <v>LM Hub_SP_Suzano_Baruel</v>
      </c>
      <c r="C3210" s="234" t="str">
        <f>IFERROR(__xludf.DUMMYFUNCTION("""COMPUTED_VALUE"""),"HUB-LSP-97")</f>
        <v>HUB-LSP-97</v>
      </c>
      <c r="D3210" s="234">
        <f>IFERROR(__xludf.DUMMYFUNCTION("""COMPUTED_VALUE"""),14.0)</f>
        <v>14</v>
      </c>
      <c r="E3210" s="237" t="str">
        <f>IFERROR(__xludf.DUMMYFUNCTION("""COMPUTED_VALUE"""),"LT0PCM01V0951")</f>
        <v>LT0PCM01V0951</v>
      </c>
      <c r="F3210" s="238" t="str">
        <f>IFERROR(__xludf.DUMMYFUNCTION("""COMPUTED_VALUE"""),"-")</f>
        <v>-</v>
      </c>
      <c r="G3210" s="238">
        <f>IFERROR(__xludf.DUMMYFUNCTION("""COMPUTED_VALUE"""),46013.93819444445)</f>
        <v>46013.93819</v>
      </c>
      <c r="H3210" s="238">
        <f>IFERROR(__xludf.DUMMYFUNCTION("""COMPUTED_VALUE"""),46014.02083333333)</f>
        <v>46014.02083</v>
      </c>
      <c r="I3210" s="237" t="str">
        <f t="shared" si="1"/>
        <v>Fora</v>
      </c>
      <c r="J3210" s="239">
        <v>117.99999998649582</v>
      </c>
    </row>
    <row r="3211">
      <c r="A3211" s="234" t="s">
        <v>4611</v>
      </c>
      <c r="B3211" s="234" t="str">
        <f>IFERROR(__xludf.DUMMYFUNCTION("""COMPUTED_VALUE"""),"LM Hub_SP_São Paulo_Carandiru")</f>
        <v>LM Hub_SP_São Paulo_Carandiru</v>
      </c>
      <c r="C3211" s="234" t="str">
        <f>IFERROR(__xludf.DUMMYFUNCTION("""COMPUTED_VALUE"""),"HUB-LSP-18")</f>
        <v>HUB-LSP-18</v>
      </c>
      <c r="D3211" s="234">
        <f>IFERROR(__xludf.DUMMYFUNCTION("""COMPUTED_VALUE"""),40.0)</f>
        <v>40</v>
      </c>
      <c r="E3211" s="237" t="str">
        <f>IFERROR(__xludf.DUMMYFUNCTION("""COMPUTED_VALUE"""),"LT0PCM01UVNY1")</f>
        <v>LT0PCM01UVNY1</v>
      </c>
      <c r="F3211" s="238" t="str">
        <f>IFERROR(__xludf.DUMMYFUNCTION("""COMPUTED_VALUE"""),"FWF3044")</f>
        <v>FWF3044</v>
      </c>
      <c r="G3211" s="238">
        <f>IFERROR(__xludf.DUMMYFUNCTION("""COMPUTED_VALUE"""),46013.93888888889)</f>
        <v>46013.93889</v>
      </c>
      <c r="H3211" s="238">
        <f>IFERROR(__xludf.DUMMYFUNCTION("""COMPUTED_VALUE"""),46014.02083333333)</f>
        <v>46014.02083</v>
      </c>
      <c r="I3211" s="237" t="str">
        <f t="shared" si="1"/>
        <v>Fora</v>
      </c>
      <c r="J3211" s="239">
        <v>117.99999998649582</v>
      </c>
    </row>
    <row r="3212">
      <c r="A3212" s="234" t="s">
        <v>4612</v>
      </c>
      <c r="B3212" s="234" t="str">
        <f>IFERROR(__xludf.DUMMYFUNCTION("""COMPUTED_VALUE"""),"LM Hub_SP_VilaGuilherme")</f>
        <v>LM Hub_SP_VilaGuilherme</v>
      </c>
      <c r="C3212" s="234" t="str">
        <f>IFERROR(__xludf.DUMMYFUNCTION("""COMPUTED_VALUE"""),"HUB-LSP-68")</f>
        <v>HUB-LSP-68</v>
      </c>
      <c r="D3212" s="234">
        <f>IFERROR(__xludf.DUMMYFUNCTION("""COMPUTED_VALUE"""),15.0)</f>
        <v>15</v>
      </c>
      <c r="E3212" s="237" t="str">
        <f>IFERROR(__xludf.DUMMYFUNCTION("""COMPUTED_VALUE"""),"LT0PCM01UVOQ1")</f>
        <v>LT0PCM01UVOQ1</v>
      </c>
      <c r="F3212" s="238" t="str">
        <f>IFERROR(__xludf.DUMMYFUNCTION("""COMPUTED_VALUE"""),"QPV1A02,ELQ6F04")</f>
        <v>QPV1A02,ELQ6F04</v>
      </c>
      <c r="G3212" s="238">
        <f>IFERROR(__xludf.DUMMYFUNCTION("""COMPUTED_VALUE"""),46013.93888888889)</f>
        <v>46013.93889</v>
      </c>
      <c r="H3212" s="238">
        <f>IFERROR(__xludf.DUMMYFUNCTION("""COMPUTED_VALUE"""),46014.02083333333)</f>
        <v>46014.02083</v>
      </c>
      <c r="I3212" s="237" t="str">
        <f t="shared" si="1"/>
        <v>Fora</v>
      </c>
      <c r="J3212" s="239">
        <v>120.00000001396984</v>
      </c>
    </row>
    <row r="3213">
      <c r="A3213" s="234" t="s">
        <v>4613</v>
      </c>
      <c r="B3213" s="234" t="str">
        <f>IFERROR(__xludf.DUMMYFUNCTION("""COMPUTED_VALUE"""),"LM Hub_RJ_Nova Iguaçu")</f>
        <v>LM Hub_RJ_Nova Iguaçu</v>
      </c>
      <c r="C3213" s="234" t="str">
        <f>IFERROR(__xludf.DUMMYFUNCTION("""COMPUTED_VALUE"""),"HUB-LRJ-27")</f>
        <v>HUB-LRJ-27</v>
      </c>
      <c r="D3213" s="234">
        <f>IFERROR(__xludf.DUMMYFUNCTION("""COMPUTED_VALUE"""),21.0)</f>
        <v>21</v>
      </c>
      <c r="E3213" s="237" t="str">
        <f>IFERROR(__xludf.DUMMYFUNCTION("""COMPUTED_VALUE"""),"LT0PCM01V1DH1")</f>
        <v>LT0PCM01V1DH1</v>
      </c>
      <c r="F3213" s="238" t="str">
        <f>IFERROR(__xludf.DUMMYFUNCTION("""COMPUTED_VALUE"""),"GCV3B08,QLA8286")</f>
        <v>GCV3B08,QLA8286</v>
      </c>
      <c r="G3213" s="238">
        <f>IFERROR(__xludf.DUMMYFUNCTION("""COMPUTED_VALUE"""),46013.95833333333)</f>
        <v>46013.95833</v>
      </c>
      <c r="H3213" s="238">
        <f>IFERROR(__xludf.DUMMYFUNCTION("""COMPUTED_VALUE"""),46014.04166666667)</f>
        <v>46014.04167</v>
      </c>
      <c r="I3213" s="237" t="str">
        <f t="shared" si="1"/>
        <v>Fora</v>
      </c>
      <c r="J3213" s="239">
        <v>120.00000001396984</v>
      </c>
    </row>
    <row r="3214">
      <c r="A3214" s="234" t="s">
        <v>4614</v>
      </c>
      <c r="B3214" s="234" t="str">
        <f>IFERROR(__xludf.DUMMYFUNCTION("""COMPUTED_VALUE"""),"LM Hub_RJ_Rio de Janeiro_Campo G")</f>
        <v>LM Hub_RJ_Rio de Janeiro_Campo G</v>
      </c>
      <c r="C3214" s="234" t="str">
        <f>IFERROR(__xludf.DUMMYFUNCTION("""COMPUTED_VALUE"""),"HUB-LRJ-04")</f>
        <v>HUB-LRJ-04</v>
      </c>
      <c r="D3214" s="234">
        <f>IFERROR(__xludf.DUMMYFUNCTION("""COMPUTED_VALUE"""),8.0)</f>
        <v>8</v>
      </c>
      <c r="E3214" s="237" t="str">
        <f>IFERROR(__xludf.DUMMYFUNCTION("""COMPUTED_VALUE"""),"LT0PCM01UVRP1")</f>
        <v>LT0PCM01UVRP1</v>
      </c>
      <c r="F3214" s="238" t="str">
        <f>IFERROR(__xludf.DUMMYFUNCTION("""COMPUTED_VALUE"""),"UAX1H40,STM2I89")</f>
        <v>UAX1H40,STM2I89</v>
      </c>
      <c r="G3214" s="238">
        <f>IFERROR(__xludf.DUMMYFUNCTION("""COMPUTED_VALUE"""),46013.95833333333)</f>
        <v>46013.95833</v>
      </c>
      <c r="H3214" s="238">
        <f>IFERROR(__xludf.DUMMYFUNCTION("""COMPUTED_VALUE"""),46014.04166666667)</f>
        <v>46014.04167</v>
      </c>
      <c r="I3214" s="237" t="str">
        <f t="shared" si="1"/>
        <v>Fora</v>
      </c>
      <c r="J3214" s="239">
        <v>120.00000001396984</v>
      </c>
    </row>
    <row r="3215">
      <c r="A3215" s="234" t="s">
        <v>4615</v>
      </c>
      <c r="B3215" s="234" t="str">
        <f>IFERROR(__xludf.DUMMYFUNCTION("""COMPUTED_VALUE"""),"LM Hub_RJ_São João do Meriti")</f>
        <v>LM Hub_RJ_São João do Meriti</v>
      </c>
      <c r="C3215" s="234" t="str">
        <f>IFERROR(__xludf.DUMMYFUNCTION("""COMPUTED_VALUE"""),"HUB-LRJ-01")</f>
        <v>HUB-LRJ-01</v>
      </c>
      <c r="D3215" s="234">
        <f>IFERROR(__xludf.DUMMYFUNCTION("""COMPUTED_VALUE"""),7.0)</f>
        <v>7</v>
      </c>
      <c r="E3215" s="237" t="str">
        <f>IFERROR(__xludf.DUMMYFUNCTION("""COMPUTED_VALUE"""),"LT0PCM01UZHG1")</f>
        <v>LT0PCM01UZHG1</v>
      </c>
      <c r="F3215" s="238" t="str">
        <f>IFERROR(__xludf.DUMMYFUNCTION("""COMPUTED_VALUE"""),"FUR8D94,UDF4J25")</f>
        <v>FUR8D94,UDF4J25</v>
      </c>
      <c r="G3215" s="238">
        <f>IFERROR(__xludf.DUMMYFUNCTION("""COMPUTED_VALUE"""),46013.95833333333)</f>
        <v>46013.95833</v>
      </c>
      <c r="H3215" s="238">
        <f>IFERROR(__xludf.DUMMYFUNCTION("""COMPUTED_VALUE"""),46014.04166666667)</f>
        <v>46014.04167</v>
      </c>
      <c r="I3215" s="237" t="str">
        <f t="shared" si="1"/>
        <v>Fora</v>
      </c>
      <c r="J3215" s="239">
        <v>120.00000001396984</v>
      </c>
    </row>
    <row r="3216">
      <c r="A3216" s="234" t="s">
        <v>4616</v>
      </c>
      <c r="B3216" s="234" t="str">
        <f>IFERROR(__xludf.DUMMYFUNCTION("""COMPUTED_VALUE"""),"LM Hub_SP_Jundiaí")</f>
        <v>LM Hub_SP_Jundiaí</v>
      </c>
      <c r="C3216" s="234" t="str">
        <f>IFERROR(__xludf.DUMMYFUNCTION("""COMPUTED_VALUE"""),"HUB-LSP-100")</f>
        <v>HUB-LSP-100</v>
      </c>
      <c r="D3216" s="234">
        <f>IFERROR(__xludf.DUMMYFUNCTION("""COMPUTED_VALUE"""),13.0)</f>
        <v>13</v>
      </c>
      <c r="E3216" s="237" t="str">
        <f>IFERROR(__xludf.DUMMYFUNCTION("""COMPUTED_VALUE"""),"LT0PCM01V0171")</f>
        <v>LT0PCM01V0171</v>
      </c>
      <c r="F3216" s="238" t="str">
        <f>IFERROR(__xludf.DUMMYFUNCTION("""COMPUTED_VALUE"""),"QTV2I26,TJY6E29")</f>
        <v>QTV2I26,TJY6E29</v>
      </c>
      <c r="G3216" s="238">
        <f>IFERROR(__xludf.DUMMYFUNCTION("""COMPUTED_VALUE"""),46013.95833333333)</f>
        <v>46013.95833</v>
      </c>
      <c r="H3216" s="238">
        <f>IFERROR(__xludf.DUMMYFUNCTION("""COMPUTED_VALUE"""),46014.04166666667)</f>
        <v>46014.04167</v>
      </c>
      <c r="I3216" s="237" t="str">
        <f t="shared" si="1"/>
        <v>Fora</v>
      </c>
      <c r="J3216" s="239">
        <v>120.00000001396984</v>
      </c>
    </row>
    <row r="3217">
      <c r="A3217" s="234" t="s">
        <v>4617</v>
      </c>
      <c r="B3217" s="234" t="str">
        <f>IFERROR(__xludf.DUMMYFUNCTION("""COMPUTED_VALUE"""),"LM Hub_SP_Mogi Mirim")</f>
        <v>LM Hub_SP_Mogi Mirim</v>
      </c>
      <c r="C3217" s="234" t="str">
        <f>IFERROR(__xludf.DUMMYFUNCTION("""COMPUTED_VALUE"""),"HUB-LSP-37")</f>
        <v>HUB-LSP-37</v>
      </c>
      <c r="D3217" s="234">
        <f>IFERROR(__xludf.DUMMYFUNCTION("""COMPUTED_VALUE"""),22.0)</f>
        <v>22</v>
      </c>
      <c r="E3217" s="237" t="str">
        <f>IFERROR(__xludf.DUMMYFUNCTION("""COMPUTED_VALUE"""),"LT0PCM01UVR81")</f>
        <v>LT0PCM01UVR81</v>
      </c>
      <c r="F3217" s="238" t="str">
        <f>IFERROR(__xludf.DUMMYFUNCTION("""COMPUTED_VALUE"""),"FCV3J24,TLS7G35")</f>
        <v>FCV3J24,TLS7G35</v>
      </c>
      <c r="G3217" s="238">
        <f>IFERROR(__xludf.DUMMYFUNCTION("""COMPUTED_VALUE"""),46013.95833333333)</f>
        <v>46013.95833</v>
      </c>
      <c r="H3217" s="238">
        <f>IFERROR(__xludf.DUMMYFUNCTION("""COMPUTED_VALUE"""),46014.04166666667)</f>
        <v>46014.04167</v>
      </c>
      <c r="I3217" s="237" t="str">
        <f t="shared" si="1"/>
        <v>Fora</v>
      </c>
      <c r="J3217" s="239" t="e">
        <v>#VALUE!</v>
      </c>
    </row>
    <row r="3218">
      <c r="A3218" s="234" t="s">
        <v>467</v>
      </c>
      <c r="B3218" s="234" t="str">
        <f>IFERROR(__xludf.DUMMYFUNCTION("""COMPUTED_VALUE"""),"Fanout Desconhecido")</f>
        <v>Fanout Desconhecido</v>
      </c>
      <c r="C3218" s="234" t="str">
        <f>IFERROR(__xludf.DUMMYFUNCTION("""COMPUTED_VALUE"""),"-")</f>
        <v>-</v>
      </c>
      <c r="D3218" s="234">
        <f>IFERROR(__xludf.DUMMYFUNCTION("""COMPUTED_VALUE"""),114.0)</f>
        <v>114</v>
      </c>
      <c r="E3218" s="237" t="str">
        <f>IFERROR(__xludf.DUMMYFUNCTION("""COMPUTED_VALUE"""),"LT1PCM01V6B31")</f>
        <v>LT1PCM01V6B31</v>
      </c>
      <c r="F3218" s="238" t="str">
        <f>IFERROR(__xludf.DUMMYFUNCTION("""COMPUTED_VALUE"""),"-")</f>
        <v>-</v>
      </c>
      <c r="G3218" s="238" t="str">
        <f>IFERROR(__xludf.DUMMYFUNCTION("""COMPUTED_VALUE"""),"-")</f>
        <v>-</v>
      </c>
      <c r="H3218" s="238" t="str">
        <f>IFERROR(__xludf.DUMMYFUNCTION("""COMPUTED_VALUE"""),"-")</f>
        <v>-</v>
      </c>
      <c r="I3218" s="237" t="str">
        <f t="shared" si="1"/>
        <v>Dentro</v>
      </c>
      <c r="J3218" s="239" t="e">
        <v>#VALUE!</v>
      </c>
    </row>
    <row r="3219">
      <c r="A3219" s="234" t="s">
        <v>4618</v>
      </c>
      <c r="B3219" s="234" t="str">
        <f>IFERROR(__xludf.DUMMYFUNCTION("""COMPUTED_VALUE"""),"Fanout Desconhecido")</f>
        <v>Fanout Desconhecido</v>
      </c>
      <c r="C3219" s="234" t="str">
        <f>IFERROR(__xludf.DUMMYFUNCTION("""COMPUTED_VALUE"""),"-")</f>
        <v>-</v>
      </c>
      <c r="D3219" s="234"/>
      <c r="E3219" s="237" t="str">
        <f>IFERROR(__xludf.DUMMYFUNCTION("""COMPUTED_VALUE"""),"LT0PCM01UVRA1")</f>
        <v>LT0PCM01UVRA1</v>
      </c>
      <c r="F3219" s="238" t="str">
        <f>IFERROR(__xludf.DUMMYFUNCTION("""COMPUTED_VALUE"""),"-")</f>
        <v>-</v>
      </c>
      <c r="G3219" s="238" t="str">
        <f>IFERROR(__xludf.DUMMYFUNCTION("""COMPUTED_VALUE"""),"-")</f>
        <v>-</v>
      </c>
      <c r="H3219" s="238" t="str">
        <f>IFERROR(__xludf.DUMMYFUNCTION("""COMPUTED_VALUE"""),"-")</f>
        <v>-</v>
      </c>
      <c r="I3219" s="237" t="str">
        <f t="shared" si="1"/>
        <v>Dentro</v>
      </c>
      <c r="J3219" s="239" t="e">
        <v>#VALUE!</v>
      </c>
    </row>
    <row r="3220">
      <c r="A3220" s="234" t="s">
        <v>4619</v>
      </c>
      <c r="B3220" s="234" t="str">
        <f>IFERROR(__xludf.DUMMYFUNCTION("""COMPUTED_VALUE"""),"Fanout Desconhecido")</f>
        <v>Fanout Desconhecido</v>
      </c>
      <c r="C3220" s="234" t="str">
        <f>IFERROR(__xludf.DUMMYFUNCTION("""COMPUTED_VALUE"""),"-")</f>
        <v>-</v>
      </c>
      <c r="D3220" s="234">
        <f>IFERROR(__xludf.DUMMYFUNCTION("""COMPUTED_VALUE"""),38.0)</f>
        <v>38</v>
      </c>
      <c r="E3220" s="237" t="str">
        <f>IFERROR(__xludf.DUMMYFUNCTION("""COMPUTED_VALUE"""),"LT0PCM01UY6R1")</f>
        <v>LT0PCM01UY6R1</v>
      </c>
      <c r="F3220" s="238" t="str">
        <f>IFERROR(__xludf.DUMMYFUNCTION("""COMPUTED_VALUE"""),"-")</f>
        <v>-</v>
      </c>
      <c r="G3220" s="238" t="str">
        <f>IFERROR(__xludf.DUMMYFUNCTION("""COMPUTED_VALUE"""),"-")</f>
        <v>-</v>
      </c>
      <c r="H3220" s="238" t="str">
        <f>IFERROR(__xludf.DUMMYFUNCTION("""COMPUTED_VALUE"""),"-")</f>
        <v>-</v>
      </c>
      <c r="I3220" s="237" t="str">
        <f t="shared" si="1"/>
        <v>Dentro</v>
      </c>
      <c r="J3220" s="239" t="e">
        <v>#VALUE!</v>
      </c>
    </row>
    <row r="3221">
      <c r="A3221" s="234" t="s">
        <v>4620</v>
      </c>
      <c r="B3221" s="234" t="str">
        <f>IFERROR(__xludf.DUMMYFUNCTION("""COMPUTED_VALUE"""),"Fanout Desconhecido")</f>
        <v>Fanout Desconhecido</v>
      </c>
      <c r="C3221" s="234" t="str">
        <f>IFERROR(__xludf.DUMMYFUNCTION("""COMPUTED_VALUE"""),"-")</f>
        <v>-</v>
      </c>
      <c r="D3221" s="234">
        <f>IFERROR(__xludf.DUMMYFUNCTION("""COMPUTED_VALUE"""),8.0)</f>
        <v>8</v>
      </c>
      <c r="E3221" s="237" t="str">
        <f>IFERROR(__xludf.DUMMYFUNCTION("""COMPUTED_VALUE"""),"LT0PCM01UVQR1")</f>
        <v>LT0PCM01UVQR1</v>
      </c>
      <c r="F3221" s="238" t="str">
        <f>IFERROR(__xludf.DUMMYFUNCTION("""COMPUTED_VALUE"""),"-")</f>
        <v>-</v>
      </c>
      <c r="G3221" s="238" t="str">
        <f>IFERROR(__xludf.DUMMYFUNCTION("""COMPUTED_VALUE"""),"-")</f>
        <v>-</v>
      </c>
      <c r="H3221" s="238" t="str">
        <f>IFERROR(__xludf.DUMMYFUNCTION("""COMPUTED_VALUE"""),"-")</f>
        <v>-</v>
      </c>
      <c r="I3221" s="237" t="str">
        <f t="shared" si="1"/>
        <v>Dentro</v>
      </c>
      <c r="J3221" s="239" t="e">
        <v>#VALUE!</v>
      </c>
    </row>
    <row r="3222">
      <c r="A3222" s="234" t="s">
        <v>4621</v>
      </c>
      <c r="B3222" s="234" t="str">
        <f>IFERROR(__xludf.DUMMYFUNCTION("""COMPUTED_VALUE"""),"Fanout Desconhecido")</f>
        <v>Fanout Desconhecido</v>
      </c>
      <c r="C3222" s="234" t="str">
        <f>IFERROR(__xludf.DUMMYFUNCTION("""COMPUTED_VALUE"""),"-")</f>
        <v>-</v>
      </c>
      <c r="D3222" s="234">
        <f>IFERROR(__xludf.DUMMYFUNCTION("""COMPUTED_VALUE"""),41.0)</f>
        <v>41</v>
      </c>
      <c r="E3222" s="237" t="str">
        <f>IFERROR(__xludf.DUMMYFUNCTION("""COMPUTED_VALUE"""),"LT0PCN01UZH31")</f>
        <v>LT0PCN01UZH31</v>
      </c>
      <c r="F3222" s="238" t="str">
        <f>IFERROR(__xludf.DUMMYFUNCTION("""COMPUTED_VALUE"""),"-")</f>
        <v>-</v>
      </c>
      <c r="G3222" s="238" t="str">
        <f>IFERROR(__xludf.DUMMYFUNCTION("""COMPUTED_VALUE"""),"-")</f>
        <v>-</v>
      </c>
      <c r="H3222" s="238" t="str">
        <f>IFERROR(__xludf.DUMMYFUNCTION("""COMPUTED_VALUE"""),"-")</f>
        <v>-</v>
      </c>
      <c r="I3222" s="237" t="str">
        <f t="shared" si="1"/>
        <v>Dentro</v>
      </c>
      <c r="J3222" s="239" t="e">
        <v>#VALUE!</v>
      </c>
    </row>
    <row r="3223">
      <c r="A3223" s="234" t="s">
        <v>4622</v>
      </c>
      <c r="B3223" s="234" t="str">
        <f>IFERROR(__xludf.DUMMYFUNCTION("""COMPUTED_VALUE"""),"Fanout Desconhecido")</f>
        <v>Fanout Desconhecido</v>
      </c>
      <c r="C3223" s="234" t="str">
        <f>IFERROR(__xludf.DUMMYFUNCTION("""COMPUTED_VALUE"""),"-")</f>
        <v>-</v>
      </c>
      <c r="D3223" s="234">
        <f>IFERROR(__xludf.DUMMYFUNCTION("""COMPUTED_VALUE"""),47.0)</f>
        <v>47</v>
      </c>
      <c r="E3223" s="237" t="str">
        <f>IFERROR(__xludf.DUMMYFUNCTION("""COMPUTED_VALUE"""),"LT0PCN01UVM51")</f>
        <v>LT0PCN01UVM51</v>
      </c>
      <c r="F3223" s="238" t="str">
        <f>IFERROR(__xludf.DUMMYFUNCTION("""COMPUTED_VALUE"""),"-")</f>
        <v>-</v>
      </c>
      <c r="G3223" s="238" t="str">
        <f>IFERROR(__xludf.DUMMYFUNCTION("""COMPUTED_VALUE"""),"-")</f>
        <v>-</v>
      </c>
      <c r="H3223" s="238" t="str">
        <f>IFERROR(__xludf.DUMMYFUNCTION("""COMPUTED_VALUE"""),"-")</f>
        <v>-</v>
      </c>
      <c r="I3223" s="237" t="str">
        <f t="shared" si="1"/>
        <v>Dentro</v>
      </c>
      <c r="J3223" s="239" t="e">
        <v>#VALUE!</v>
      </c>
    </row>
    <row r="3224">
      <c r="A3224" s="234" t="s">
        <v>4623</v>
      </c>
      <c r="B3224" s="234" t="str">
        <f>IFERROR(__xludf.DUMMYFUNCTION("""COMPUTED_VALUE"""),"Fanout Desconhecido")</f>
        <v>Fanout Desconhecido</v>
      </c>
      <c r="C3224" s="234" t="str">
        <f>IFERROR(__xludf.DUMMYFUNCTION("""COMPUTED_VALUE"""),"-")</f>
        <v>-</v>
      </c>
      <c r="D3224" s="234">
        <f>IFERROR(__xludf.DUMMYFUNCTION("""COMPUTED_VALUE"""),12.0)</f>
        <v>12</v>
      </c>
      <c r="E3224" s="237" t="str">
        <f>IFERROR(__xludf.DUMMYFUNCTION("""COMPUTED_VALUE"""),"LT0PCN01UZ3L1")</f>
        <v>LT0PCN01UZ3L1</v>
      </c>
      <c r="F3224" s="238" t="str">
        <f>IFERROR(__xludf.DUMMYFUNCTION("""COMPUTED_VALUE"""),"-")</f>
        <v>-</v>
      </c>
      <c r="G3224" s="238" t="str">
        <f>IFERROR(__xludf.DUMMYFUNCTION("""COMPUTED_VALUE"""),"-")</f>
        <v>-</v>
      </c>
      <c r="H3224" s="238" t="str">
        <f>IFERROR(__xludf.DUMMYFUNCTION("""COMPUTED_VALUE"""),"-")</f>
        <v>-</v>
      </c>
      <c r="I3224" s="237" t="str">
        <f t="shared" si="1"/>
        <v>Dentro</v>
      </c>
      <c r="J3224" s="239" t="e">
        <v>#VALUE!</v>
      </c>
    </row>
    <row r="3225">
      <c r="A3225" s="234" t="s">
        <v>468</v>
      </c>
      <c r="B3225" s="234" t="str">
        <f>IFERROR(__xludf.DUMMYFUNCTION("""COMPUTED_VALUE"""),"Fanout Desconhecido")</f>
        <v>Fanout Desconhecido</v>
      </c>
      <c r="C3225" s="234" t="str">
        <f>IFERROR(__xludf.DUMMYFUNCTION("""COMPUTED_VALUE"""),"-")</f>
        <v>-</v>
      </c>
      <c r="D3225" s="234">
        <f>IFERROR(__xludf.DUMMYFUNCTION("""COMPUTED_VALUE"""),112.0)</f>
        <v>112</v>
      </c>
      <c r="E3225" s="237" t="str">
        <f>IFERROR(__xludf.DUMMYFUNCTION("""COMPUTED_VALUE"""),"LT0PCN01UVA61")</f>
        <v>LT0PCN01UVA61</v>
      </c>
      <c r="F3225" s="238" t="str">
        <f>IFERROR(__xludf.DUMMYFUNCTION("""COMPUTED_VALUE"""),"-")</f>
        <v>-</v>
      </c>
      <c r="G3225" s="238" t="str">
        <f>IFERROR(__xludf.DUMMYFUNCTION("""COMPUTED_VALUE"""),"-")</f>
        <v>-</v>
      </c>
      <c r="H3225" s="238" t="str">
        <f>IFERROR(__xludf.DUMMYFUNCTION("""COMPUTED_VALUE"""),"-")</f>
        <v>-</v>
      </c>
      <c r="I3225" s="237" t="str">
        <f t="shared" si="1"/>
        <v>Dentro</v>
      </c>
      <c r="J3225" s="239" t="e">
        <v>#VALUE!</v>
      </c>
    </row>
    <row r="3226">
      <c r="A3226" s="234" t="s">
        <v>469</v>
      </c>
      <c r="B3226" s="234" t="str">
        <f>IFERROR(__xludf.DUMMYFUNCTION("""COMPUTED_VALUE"""),"Fanout Desconhecido")</f>
        <v>Fanout Desconhecido</v>
      </c>
      <c r="C3226" s="234" t="str">
        <f>IFERROR(__xludf.DUMMYFUNCTION("""COMPUTED_VALUE"""),"-")</f>
        <v>-</v>
      </c>
      <c r="D3226" s="234">
        <f>IFERROR(__xludf.DUMMYFUNCTION("""COMPUTED_VALUE"""),89.0)</f>
        <v>89</v>
      </c>
      <c r="E3226" s="237" t="str">
        <f>IFERROR(__xludf.DUMMYFUNCTION("""COMPUTED_VALUE"""),"LT1PCN01VNN81")</f>
        <v>LT1PCN01VNN81</v>
      </c>
      <c r="F3226" s="238" t="str">
        <f>IFERROR(__xludf.DUMMYFUNCTION("""COMPUTED_VALUE"""),"-")</f>
        <v>-</v>
      </c>
      <c r="G3226" s="238" t="str">
        <f>IFERROR(__xludf.DUMMYFUNCTION("""COMPUTED_VALUE"""),"-")</f>
        <v>-</v>
      </c>
      <c r="H3226" s="238" t="str">
        <f>IFERROR(__xludf.DUMMYFUNCTION("""COMPUTED_VALUE"""),"-")</f>
        <v>-</v>
      </c>
      <c r="I3226" s="237" t="str">
        <f t="shared" si="1"/>
        <v>Dentro</v>
      </c>
      <c r="J3226" s="239" t="e">
        <v>#VALUE!</v>
      </c>
    </row>
    <row r="3227">
      <c r="A3227" s="234" t="s">
        <v>4624</v>
      </c>
      <c r="B3227" s="234" t="str">
        <f>IFERROR(__xludf.DUMMYFUNCTION("""COMPUTED_VALUE"""),"Fanout Desconhecido")</f>
        <v>Fanout Desconhecido</v>
      </c>
      <c r="C3227" s="234" t="str">
        <f>IFERROR(__xludf.DUMMYFUNCTION("""COMPUTED_VALUE"""),"-")</f>
        <v>-</v>
      </c>
      <c r="D3227" s="234"/>
      <c r="E3227" s="237" t="str">
        <f>IFERROR(__xludf.DUMMYFUNCTION("""COMPUTED_VALUE"""),"LT0PCN01UTBU1")</f>
        <v>LT0PCN01UTBU1</v>
      </c>
      <c r="F3227" s="238" t="str">
        <f>IFERROR(__xludf.DUMMYFUNCTION("""COMPUTED_VALUE"""),"-")</f>
        <v>-</v>
      </c>
      <c r="G3227" s="238" t="str">
        <f>IFERROR(__xludf.DUMMYFUNCTION("""COMPUTED_VALUE"""),"-")</f>
        <v>-</v>
      </c>
      <c r="H3227" s="238" t="str">
        <f>IFERROR(__xludf.DUMMYFUNCTION("""COMPUTED_VALUE"""),"-")</f>
        <v>-</v>
      </c>
      <c r="I3227" s="237" t="str">
        <f t="shared" si="1"/>
        <v>Dentro</v>
      </c>
      <c r="J3227" s="239" t="e">
        <v>#VALUE!</v>
      </c>
    </row>
    <row r="3228">
      <c r="A3228" s="234" t="s">
        <v>4625</v>
      </c>
      <c r="B3228" s="234" t="str">
        <f>IFERROR(__xludf.DUMMYFUNCTION("""COMPUTED_VALUE"""),"Fanout Desconhecido")</f>
        <v>Fanout Desconhecido</v>
      </c>
      <c r="C3228" s="234" t="str">
        <f>IFERROR(__xludf.DUMMYFUNCTION("""COMPUTED_VALUE"""),"-")</f>
        <v>-</v>
      </c>
      <c r="D3228" s="234">
        <f>IFERROR(__xludf.DUMMYFUNCTION("""COMPUTED_VALUE"""),18.0)</f>
        <v>18</v>
      </c>
      <c r="E3228" s="237" t="str">
        <f>IFERROR(__xludf.DUMMYFUNCTION("""COMPUTED_VALUE"""),"LT0PCN01UZOR1")</f>
        <v>LT0PCN01UZOR1</v>
      </c>
      <c r="F3228" s="238" t="str">
        <f>IFERROR(__xludf.DUMMYFUNCTION("""COMPUTED_VALUE"""),"-")</f>
        <v>-</v>
      </c>
      <c r="G3228" s="238" t="str">
        <f>IFERROR(__xludf.DUMMYFUNCTION("""COMPUTED_VALUE"""),"-")</f>
        <v>-</v>
      </c>
      <c r="H3228" s="238" t="str">
        <f>IFERROR(__xludf.DUMMYFUNCTION("""COMPUTED_VALUE"""),"-")</f>
        <v>-</v>
      </c>
      <c r="I3228" s="237" t="str">
        <f t="shared" si="1"/>
        <v>Dentro</v>
      </c>
      <c r="J3228" s="239" t="e">
        <v>#VALUE!</v>
      </c>
    </row>
    <row r="3229">
      <c r="A3229" s="234" t="s">
        <v>4626</v>
      </c>
      <c r="B3229" s="234" t="str">
        <f>IFERROR(__xludf.DUMMYFUNCTION("""COMPUTED_VALUE"""),"Fanout Desconhecido")</f>
        <v>Fanout Desconhecido</v>
      </c>
      <c r="C3229" s="234" t="str">
        <f>IFERROR(__xludf.DUMMYFUNCTION("""COMPUTED_VALUE"""),"-")</f>
        <v>-</v>
      </c>
      <c r="D3229" s="234">
        <f>IFERROR(__xludf.DUMMYFUNCTION("""COMPUTED_VALUE"""),91.0)</f>
        <v>91</v>
      </c>
      <c r="E3229" s="237" t="str">
        <f>IFERROR(__xludf.DUMMYFUNCTION("""COMPUTED_VALUE"""),"LT1PCM01VNNK1")</f>
        <v>LT1PCM01VNNK1</v>
      </c>
      <c r="F3229" s="238" t="str">
        <f>IFERROR(__xludf.DUMMYFUNCTION("""COMPUTED_VALUE"""),"-")</f>
        <v>-</v>
      </c>
      <c r="G3229" s="238" t="str">
        <f>IFERROR(__xludf.DUMMYFUNCTION("""COMPUTED_VALUE"""),"-")</f>
        <v>-</v>
      </c>
      <c r="H3229" s="238" t="str">
        <f>IFERROR(__xludf.DUMMYFUNCTION("""COMPUTED_VALUE"""),"-")</f>
        <v>-</v>
      </c>
      <c r="I3229" s="237" t="str">
        <f t="shared" si="1"/>
        <v>Dentro</v>
      </c>
      <c r="J3229" s="239" t="e">
        <v>#VALUE!</v>
      </c>
    </row>
    <row r="3230">
      <c r="A3230" s="234" t="s">
        <v>4627</v>
      </c>
      <c r="B3230" s="234" t="str">
        <f>IFERROR(__xludf.DUMMYFUNCTION("""COMPUTED_VALUE"""),"Fanout Desconhecido")</f>
        <v>Fanout Desconhecido</v>
      </c>
      <c r="C3230" s="234" t="str">
        <f>IFERROR(__xludf.DUMMYFUNCTION("""COMPUTED_VALUE"""),"-")</f>
        <v>-</v>
      </c>
      <c r="D3230" s="234">
        <f>IFERROR(__xludf.DUMMYFUNCTION("""COMPUTED_VALUE"""),96.0)</f>
        <v>96</v>
      </c>
      <c r="E3230" s="237" t="str">
        <f>IFERROR(__xludf.DUMMYFUNCTION("""COMPUTED_VALUE"""),"LT1PCM01VNNI1")</f>
        <v>LT1PCM01VNNI1</v>
      </c>
      <c r="F3230" s="238" t="str">
        <f>IFERROR(__xludf.DUMMYFUNCTION("""COMPUTED_VALUE"""),"-")</f>
        <v>-</v>
      </c>
      <c r="G3230" s="238" t="str">
        <f>IFERROR(__xludf.DUMMYFUNCTION("""COMPUTED_VALUE"""),"-")</f>
        <v>-</v>
      </c>
      <c r="H3230" s="238" t="str">
        <f>IFERROR(__xludf.DUMMYFUNCTION("""COMPUTED_VALUE"""),"-")</f>
        <v>-</v>
      </c>
      <c r="I3230" s="237" t="str">
        <f t="shared" si="1"/>
        <v>Dentro</v>
      </c>
      <c r="J3230" s="239" t="e">
        <v>#VALUE!</v>
      </c>
    </row>
    <row r="3231">
      <c r="A3231" s="234" t="s">
        <v>4628</v>
      </c>
      <c r="B3231" s="234" t="str">
        <f>IFERROR(__xludf.DUMMYFUNCTION("""COMPUTED_VALUE"""),"Fanout Desconhecido")</f>
        <v>Fanout Desconhecido</v>
      </c>
      <c r="C3231" s="234" t="str">
        <f>IFERROR(__xludf.DUMMYFUNCTION("""COMPUTED_VALUE"""),"-")</f>
        <v>-</v>
      </c>
      <c r="D3231" s="234">
        <f>IFERROR(__xludf.DUMMYFUNCTION("""COMPUTED_VALUE"""),29.0)</f>
        <v>29</v>
      </c>
      <c r="E3231" s="237" t="str">
        <f>IFERROR(__xludf.DUMMYFUNCTION("""COMPUTED_VALUE"""),"LT1PCN01VO9F1")</f>
        <v>LT1PCN01VO9F1</v>
      </c>
      <c r="F3231" s="238" t="str">
        <f>IFERROR(__xludf.DUMMYFUNCTION("""COMPUTED_VALUE"""),"-")</f>
        <v>-</v>
      </c>
      <c r="G3231" s="238" t="str">
        <f>IFERROR(__xludf.DUMMYFUNCTION("""COMPUTED_VALUE"""),"-")</f>
        <v>-</v>
      </c>
      <c r="H3231" s="238" t="str">
        <f>IFERROR(__xludf.DUMMYFUNCTION("""COMPUTED_VALUE"""),"-")</f>
        <v>-</v>
      </c>
      <c r="I3231" s="237" t="str">
        <f t="shared" si="1"/>
        <v>Dentro</v>
      </c>
      <c r="J3231" s="239" t="e">
        <v>#VALUE!</v>
      </c>
    </row>
    <row r="3232">
      <c r="A3232" s="234" t="s">
        <v>4629</v>
      </c>
      <c r="B3232" s="234" t="str">
        <f>IFERROR(__xludf.DUMMYFUNCTION("""COMPUTED_VALUE"""),"Fanout Desconhecido")</f>
        <v>Fanout Desconhecido</v>
      </c>
      <c r="C3232" s="234" t="str">
        <f>IFERROR(__xludf.DUMMYFUNCTION("""COMPUTED_VALUE"""),"-")</f>
        <v>-</v>
      </c>
      <c r="D3232" s="234">
        <f>IFERROR(__xludf.DUMMYFUNCTION("""COMPUTED_VALUE"""),14.0)</f>
        <v>14</v>
      </c>
      <c r="E3232" s="237" t="str">
        <f>IFERROR(__xludf.DUMMYFUNCTION("""COMPUTED_VALUE"""),"LT0PCN01UVP11")</f>
        <v>LT0PCN01UVP11</v>
      </c>
      <c r="F3232" s="238" t="str">
        <f>IFERROR(__xludf.DUMMYFUNCTION("""COMPUTED_VALUE"""),"-")</f>
        <v>-</v>
      </c>
      <c r="G3232" s="238" t="str">
        <f>IFERROR(__xludf.DUMMYFUNCTION("""COMPUTED_VALUE"""),"-")</f>
        <v>-</v>
      </c>
      <c r="H3232" s="238" t="str">
        <f>IFERROR(__xludf.DUMMYFUNCTION("""COMPUTED_VALUE"""),"-")</f>
        <v>-</v>
      </c>
      <c r="I3232" s="237" t="str">
        <f t="shared" si="1"/>
        <v>Dentro</v>
      </c>
      <c r="J3232" s="239" t="e">
        <v>#VALUE!</v>
      </c>
    </row>
    <row r="3233">
      <c r="A3233" s="234" t="s">
        <v>4630</v>
      </c>
      <c r="B3233" s="234" t="str">
        <f>IFERROR(__xludf.DUMMYFUNCTION("""COMPUTED_VALUE"""),"Fanout Desconhecido")</f>
        <v>Fanout Desconhecido</v>
      </c>
      <c r="C3233" s="234" t="str">
        <f>IFERROR(__xludf.DUMMYFUNCTION("""COMPUTED_VALUE"""),"-")</f>
        <v>-</v>
      </c>
      <c r="D3233" s="234">
        <f>IFERROR(__xludf.DUMMYFUNCTION("""COMPUTED_VALUE"""),86.0)</f>
        <v>86</v>
      </c>
      <c r="E3233" s="237" t="str">
        <f>IFERROR(__xludf.DUMMYFUNCTION("""COMPUTED_VALUE"""),"LT1PCN01V6B71")</f>
        <v>LT1PCN01V6B71</v>
      </c>
      <c r="F3233" s="238" t="str">
        <f>IFERROR(__xludf.DUMMYFUNCTION("""COMPUTED_VALUE"""),"-")</f>
        <v>-</v>
      </c>
      <c r="G3233" s="238" t="str">
        <f>IFERROR(__xludf.DUMMYFUNCTION("""COMPUTED_VALUE"""),"-")</f>
        <v>-</v>
      </c>
      <c r="H3233" s="238" t="str">
        <f>IFERROR(__xludf.DUMMYFUNCTION("""COMPUTED_VALUE"""),"-")</f>
        <v>-</v>
      </c>
      <c r="I3233" s="237" t="str">
        <f t="shared" si="1"/>
        <v>Dentro</v>
      </c>
      <c r="J3233" s="239" t="e">
        <v>#VALUE!</v>
      </c>
    </row>
    <row r="3234">
      <c r="A3234" s="234" t="s">
        <v>4631</v>
      </c>
      <c r="B3234" s="234" t="str">
        <f>IFERROR(__xludf.DUMMYFUNCTION("""COMPUTED_VALUE"""),"Fanout Desconhecido")</f>
        <v>Fanout Desconhecido</v>
      </c>
      <c r="C3234" s="234" t="str">
        <f>IFERROR(__xludf.DUMMYFUNCTION("""COMPUTED_VALUE"""),"-")</f>
        <v>-</v>
      </c>
      <c r="D3234" s="234">
        <f>IFERROR(__xludf.DUMMYFUNCTION("""COMPUTED_VALUE"""),47.0)</f>
        <v>47</v>
      </c>
      <c r="E3234" s="237" t="str">
        <f>IFERROR(__xludf.DUMMYFUNCTION("""COMPUTED_VALUE"""),"LT1PCN01VNN71")</f>
        <v>LT1PCN01VNN71</v>
      </c>
      <c r="F3234" s="238" t="str">
        <f>IFERROR(__xludf.DUMMYFUNCTION("""COMPUTED_VALUE"""),"-")</f>
        <v>-</v>
      </c>
      <c r="G3234" s="238" t="str">
        <f>IFERROR(__xludf.DUMMYFUNCTION("""COMPUTED_VALUE"""),"-")</f>
        <v>-</v>
      </c>
      <c r="H3234" s="238" t="str">
        <f>IFERROR(__xludf.DUMMYFUNCTION("""COMPUTED_VALUE"""),"-")</f>
        <v>-</v>
      </c>
      <c r="I3234" s="237" t="str">
        <f t="shared" si="1"/>
        <v>Dentro</v>
      </c>
      <c r="J3234" s="239" t="e">
        <v>#VALUE!</v>
      </c>
    </row>
    <row r="3235">
      <c r="A3235" s="234" t="s">
        <v>4632</v>
      </c>
      <c r="B3235" s="234" t="str">
        <f>IFERROR(__xludf.DUMMYFUNCTION("""COMPUTED_VALUE"""),"Fanout Desconhecido")</f>
        <v>Fanout Desconhecido</v>
      </c>
      <c r="C3235" s="234" t="str">
        <f>IFERROR(__xludf.DUMMYFUNCTION("""COMPUTED_VALUE"""),"-")</f>
        <v>-</v>
      </c>
      <c r="D3235" s="234">
        <f>IFERROR(__xludf.DUMMYFUNCTION("""COMPUTED_VALUE"""),102.0)</f>
        <v>102</v>
      </c>
      <c r="E3235" s="237" t="str">
        <f>IFERROR(__xludf.DUMMYFUNCTION("""COMPUTED_VALUE"""),"LT1PCN01VNN91")</f>
        <v>LT1PCN01VNN91</v>
      </c>
      <c r="F3235" s="238" t="str">
        <f>IFERROR(__xludf.DUMMYFUNCTION("""COMPUTED_VALUE"""),"-")</f>
        <v>-</v>
      </c>
      <c r="G3235" s="238" t="str">
        <f>IFERROR(__xludf.DUMMYFUNCTION("""COMPUTED_VALUE"""),"-")</f>
        <v>-</v>
      </c>
      <c r="H3235" s="238" t="str">
        <f>IFERROR(__xludf.DUMMYFUNCTION("""COMPUTED_VALUE"""),"-")</f>
        <v>-</v>
      </c>
      <c r="I3235" s="237" t="str">
        <f t="shared" si="1"/>
        <v>Dentro</v>
      </c>
      <c r="J3235" s="239" t="e">
        <v>#VALUE!</v>
      </c>
    </row>
    <row r="3236">
      <c r="A3236" s="234" t="s">
        <v>4633</v>
      </c>
      <c r="B3236" s="234" t="str">
        <f>IFERROR(__xludf.DUMMYFUNCTION("""COMPUTED_VALUE"""),"Fanout Desconhecido")</f>
        <v>Fanout Desconhecido</v>
      </c>
      <c r="C3236" s="234" t="str">
        <f>IFERROR(__xludf.DUMMYFUNCTION("""COMPUTED_VALUE"""),"-")</f>
        <v>-</v>
      </c>
      <c r="D3236" s="234">
        <f>IFERROR(__xludf.DUMMYFUNCTION("""COMPUTED_VALUE"""),100.0)</f>
        <v>100</v>
      </c>
      <c r="E3236" s="237" t="str">
        <f>IFERROR(__xludf.DUMMYFUNCTION("""COMPUTED_VALUE"""),"LT1PCN01VNNA1")</f>
        <v>LT1PCN01VNNA1</v>
      </c>
      <c r="F3236" s="238" t="str">
        <f>IFERROR(__xludf.DUMMYFUNCTION("""COMPUTED_VALUE"""),"-")</f>
        <v>-</v>
      </c>
      <c r="G3236" s="238" t="str">
        <f>IFERROR(__xludf.DUMMYFUNCTION("""COMPUTED_VALUE"""),"-")</f>
        <v>-</v>
      </c>
      <c r="H3236" s="238" t="str">
        <f>IFERROR(__xludf.DUMMYFUNCTION("""COMPUTED_VALUE"""),"-")</f>
        <v>-</v>
      </c>
      <c r="I3236" s="237" t="str">
        <f t="shared" si="1"/>
        <v>Dentro</v>
      </c>
      <c r="J3236" s="239" t="e">
        <v>#VALUE!</v>
      </c>
    </row>
    <row r="3237">
      <c r="A3237" s="234" t="s">
        <v>4634</v>
      </c>
      <c r="B3237" s="234" t="str">
        <f>IFERROR(__xludf.DUMMYFUNCTION("""COMPUTED_VALUE"""),"Fanout Desconhecido")</f>
        <v>Fanout Desconhecido</v>
      </c>
      <c r="C3237" s="234" t="str">
        <f>IFERROR(__xludf.DUMMYFUNCTION("""COMPUTED_VALUE"""),"-")</f>
        <v>-</v>
      </c>
      <c r="D3237" s="234">
        <f>IFERROR(__xludf.DUMMYFUNCTION("""COMPUTED_VALUE"""),15.0)</f>
        <v>15</v>
      </c>
      <c r="E3237" s="237" t="str">
        <f>IFERROR(__xludf.DUMMYFUNCTION("""COMPUTED_VALUE"""),"LT1PCN01V6AX1")</f>
        <v>LT1PCN01V6AX1</v>
      </c>
      <c r="F3237" s="238" t="str">
        <f>IFERROR(__xludf.DUMMYFUNCTION("""COMPUTED_VALUE"""),"-")</f>
        <v>-</v>
      </c>
      <c r="G3237" s="238" t="str">
        <f>IFERROR(__xludf.DUMMYFUNCTION("""COMPUTED_VALUE"""),"-")</f>
        <v>-</v>
      </c>
      <c r="H3237" s="238" t="str">
        <f>IFERROR(__xludf.DUMMYFUNCTION("""COMPUTED_VALUE"""),"-")</f>
        <v>-</v>
      </c>
      <c r="I3237" s="237" t="str">
        <f t="shared" si="1"/>
        <v>Dentro</v>
      </c>
      <c r="J3237" s="239" t="e">
        <v>#VALUE!</v>
      </c>
    </row>
    <row r="3238">
      <c r="A3238" s="234" t="s">
        <v>4635</v>
      </c>
      <c r="B3238" s="234" t="str">
        <f>IFERROR(__xludf.DUMMYFUNCTION("""COMPUTED_VALUE"""),"Fanout Desconhecido")</f>
        <v>Fanout Desconhecido</v>
      </c>
      <c r="C3238" s="234" t="str">
        <f>IFERROR(__xludf.DUMMYFUNCTION("""COMPUTED_VALUE"""),"-")</f>
        <v>-</v>
      </c>
      <c r="D3238" s="234">
        <f>IFERROR(__xludf.DUMMYFUNCTION("""COMPUTED_VALUE"""),28.0)</f>
        <v>28</v>
      </c>
      <c r="E3238" s="237" t="str">
        <f>IFERROR(__xludf.DUMMYFUNCTION("""COMPUTED_VALUE"""),"LT1PCN01V6B11")</f>
        <v>LT1PCN01V6B11</v>
      </c>
      <c r="F3238" s="238" t="str">
        <f>IFERROR(__xludf.DUMMYFUNCTION("""COMPUTED_VALUE"""),"-")</f>
        <v>-</v>
      </c>
      <c r="G3238" s="238" t="str">
        <f>IFERROR(__xludf.DUMMYFUNCTION("""COMPUTED_VALUE"""),"-")</f>
        <v>-</v>
      </c>
      <c r="H3238" s="238" t="str">
        <f>IFERROR(__xludf.DUMMYFUNCTION("""COMPUTED_VALUE"""),"-")</f>
        <v>-</v>
      </c>
      <c r="I3238" s="237" t="str">
        <f t="shared" si="1"/>
        <v>Dentro</v>
      </c>
      <c r="J3238" s="239" t="e">
        <v>#VALUE!</v>
      </c>
    </row>
    <row r="3239">
      <c r="A3239" s="234" t="s">
        <v>4636</v>
      </c>
      <c r="B3239" s="234" t="str">
        <f>IFERROR(__xludf.DUMMYFUNCTION("""COMPUTED_VALUE"""),"Fanout Desconhecido")</f>
        <v>Fanout Desconhecido</v>
      </c>
      <c r="C3239" s="234" t="str">
        <f>IFERROR(__xludf.DUMMYFUNCTION("""COMPUTED_VALUE"""),"-")</f>
        <v>-</v>
      </c>
      <c r="D3239" s="234">
        <f>IFERROR(__xludf.DUMMYFUNCTION("""COMPUTED_VALUE"""),32.0)</f>
        <v>32</v>
      </c>
      <c r="E3239" s="237" t="str">
        <f>IFERROR(__xludf.DUMMYFUNCTION("""COMPUTED_VALUE"""),"LT1PCN01V6AR1")</f>
        <v>LT1PCN01V6AR1</v>
      </c>
      <c r="F3239" s="238" t="str">
        <f>IFERROR(__xludf.DUMMYFUNCTION("""COMPUTED_VALUE"""),"-")</f>
        <v>-</v>
      </c>
      <c r="G3239" s="238" t="str">
        <f>IFERROR(__xludf.DUMMYFUNCTION("""COMPUTED_VALUE"""),"-")</f>
        <v>-</v>
      </c>
      <c r="H3239" s="238" t="str">
        <f>IFERROR(__xludf.DUMMYFUNCTION("""COMPUTED_VALUE"""),"-")</f>
        <v>-</v>
      </c>
      <c r="I3239" s="237" t="str">
        <f t="shared" si="1"/>
        <v>Dentro</v>
      </c>
      <c r="J3239" s="239" t="e">
        <v>#VALUE!</v>
      </c>
    </row>
    <row r="3240">
      <c r="A3240" s="234" t="s">
        <v>4637</v>
      </c>
      <c r="B3240" s="234" t="str">
        <f>IFERROR(__xludf.DUMMYFUNCTION("""COMPUTED_VALUE"""),"Fanout Desconhecido")</f>
        <v>Fanout Desconhecido</v>
      </c>
      <c r="C3240" s="234" t="str">
        <f>IFERROR(__xludf.DUMMYFUNCTION("""COMPUTED_VALUE"""),"-")</f>
        <v>-</v>
      </c>
      <c r="D3240" s="234">
        <f>IFERROR(__xludf.DUMMYFUNCTION("""COMPUTED_VALUE"""),24.0)</f>
        <v>24</v>
      </c>
      <c r="E3240" s="237" t="str">
        <f>IFERROR(__xludf.DUMMYFUNCTION("""COMPUTED_VALUE"""),"LT0PCN01UVOY1")</f>
        <v>LT0PCN01UVOY1</v>
      </c>
      <c r="F3240" s="238" t="str">
        <f>IFERROR(__xludf.DUMMYFUNCTION("""COMPUTED_VALUE"""),"-")</f>
        <v>-</v>
      </c>
      <c r="G3240" s="238" t="str">
        <f>IFERROR(__xludf.DUMMYFUNCTION("""COMPUTED_VALUE"""),"-")</f>
        <v>-</v>
      </c>
      <c r="H3240" s="238" t="str">
        <f>IFERROR(__xludf.DUMMYFUNCTION("""COMPUTED_VALUE"""),"-")</f>
        <v>-</v>
      </c>
      <c r="I3240" s="237" t="str">
        <f t="shared" si="1"/>
        <v>Dentro</v>
      </c>
      <c r="J3240" s="239" t="e">
        <v>#VALUE!</v>
      </c>
    </row>
    <row r="3241">
      <c r="A3241" s="234" t="s">
        <v>4638</v>
      </c>
      <c r="B3241" s="234" t="str">
        <f>IFERROR(__xludf.DUMMYFUNCTION("""COMPUTED_VALUE"""),"Fanout Desconhecido")</f>
        <v>Fanout Desconhecido</v>
      </c>
      <c r="C3241" s="234" t="str">
        <f>IFERROR(__xludf.DUMMYFUNCTION("""COMPUTED_VALUE"""),"-")</f>
        <v>-</v>
      </c>
      <c r="D3241" s="234">
        <f>IFERROR(__xludf.DUMMYFUNCTION("""COMPUTED_VALUE"""),15.0)</f>
        <v>15</v>
      </c>
      <c r="E3241" s="237" t="str">
        <f>IFERROR(__xludf.DUMMYFUNCTION("""COMPUTED_VALUE"""),"LT0PCN01UVQY1")</f>
        <v>LT0PCN01UVQY1</v>
      </c>
      <c r="F3241" s="238" t="str">
        <f>IFERROR(__xludf.DUMMYFUNCTION("""COMPUTED_VALUE"""),"-")</f>
        <v>-</v>
      </c>
      <c r="G3241" s="238" t="str">
        <f>IFERROR(__xludf.DUMMYFUNCTION("""COMPUTED_VALUE"""),"-")</f>
        <v>-</v>
      </c>
      <c r="H3241" s="238" t="str">
        <f>IFERROR(__xludf.DUMMYFUNCTION("""COMPUTED_VALUE"""),"-")</f>
        <v>-</v>
      </c>
      <c r="I3241" s="237" t="str">
        <f t="shared" si="1"/>
        <v>Dentro</v>
      </c>
      <c r="J3241" s="239" t="e">
        <v>#VALUE!</v>
      </c>
    </row>
    <row r="3242">
      <c r="A3242" s="234" t="s">
        <v>4639</v>
      </c>
      <c r="B3242" s="234" t="str">
        <f>IFERROR(__xludf.DUMMYFUNCTION("""COMPUTED_VALUE"""),"Fanout Desconhecido")</f>
        <v>Fanout Desconhecido</v>
      </c>
      <c r="C3242" s="234" t="str">
        <f>IFERROR(__xludf.DUMMYFUNCTION("""COMPUTED_VALUE"""),"-")</f>
        <v>-</v>
      </c>
      <c r="D3242" s="234" t="str">
        <f>IFERROR(__xludf.DUMMYFUNCTION("""COMPUTED_VALUE"""),"16/17")</f>
        <v>16/17</v>
      </c>
      <c r="E3242" s="237" t="str">
        <f>IFERROR(__xludf.DUMMYFUNCTION("""COMPUTED_VALUE"""),"LT1PCN01VO9I1")</f>
        <v>LT1PCN01VO9I1</v>
      </c>
      <c r="F3242" s="238" t="str">
        <f>IFERROR(__xludf.DUMMYFUNCTION("""COMPUTED_VALUE"""),"-")</f>
        <v>-</v>
      </c>
      <c r="G3242" s="238" t="str">
        <f>IFERROR(__xludf.DUMMYFUNCTION("""COMPUTED_VALUE"""),"-")</f>
        <v>-</v>
      </c>
      <c r="H3242" s="238" t="str">
        <f>IFERROR(__xludf.DUMMYFUNCTION("""COMPUTED_VALUE"""),"-")</f>
        <v>-</v>
      </c>
      <c r="I3242" s="237" t="str">
        <f t="shared" si="1"/>
        <v>Dentro</v>
      </c>
      <c r="J3242" s="239" t="e">
        <v>#VALUE!</v>
      </c>
    </row>
    <row r="3243">
      <c r="A3243" s="234" t="s">
        <v>4640</v>
      </c>
      <c r="B3243" s="234" t="str">
        <f>IFERROR(__xludf.DUMMYFUNCTION("""COMPUTED_VALUE"""),"Fanout Desconhecido")</f>
        <v>Fanout Desconhecido</v>
      </c>
      <c r="C3243" s="234" t="str">
        <f>IFERROR(__xludf.DUMMYFUNCTION("""COMPUTED_VALUE"""),"-")</f>
        <v>-</v>
      </c>
      <c r="D3243" s="234"/>
      <c r="E3243" s="237" t="str">
        <f>IFERROR(__xludf.DUMMYFUNCTION("""COMPUTED_VALUE"""),"LT0PCN01UVP41")</f>
        <v>LT0PCN01UVP41</v>
      </c>
      <c r="F3243" s="238" t="str">
        <f>IFERROR(__xludf.DUMMYFUNCTION("""COMPUTED_VALUE"""),"-")</f>
        <v>-</v>
      </c>
      <c r="G3243" s="238" t="str">
        <f>IFERROR(__xludf.DUMMYFUNCTION("""COMPUTED_VALUE"""),"-")</f>
        <v>-</v>
      </c>
      <c r="H3243" s="238" t="str">
        <f>IFERROR(__xludf.DUMMYFUNCTION("""COMPUTED_VALUE"""),"-")</f>
        <v>-</v>
      </c>
      <c r="I3243" s="237" t="str">
        <f t="shared" si="1"/>
        <v>Dentro</v>
      </c>
      <c r="J3243" s="239" t="e">
        <v>#VALUE!</v>
      </c>
    </row>
    <row r="3244">
      <c r="A3244" s="234" t="s">
        <v>4641</v>
      </c>
      <c r="B3244" s="234" t="str">
        <f>IFERROR(__xludf.DUMMYFUNCTION("""COMPUTED_VALUE"""),"Fanout Desconhecido")</f>
        <v>Fanout Desconhecido</v>
      </c>
      <c r="C3244" s="234" t="str">
        <f>IFERROR(__xludf.DUMMYFUNCTION("""COMPUTED_VALUE"""),"-")</f>
        <v>-</v>
      </c>
      <c r="D3244" s="234">
        <f>IFERROR(__xludf.DUMMYFUNCTION("""COMPUTED_VALUE"""),19.0)</f>
        <v>19</v>
      </c>
      <c r="E3244" s="237" t="str">
        <f>IFERROR(__xludf.DUMMYFUNCTION("""COMPUTED_VALUE"""),"LT0PCN01UZ1G1")</f>
        <v>LT0PCN01UZ1G1</v>
      </c>
      <c r="F3244" s="238" t="str">
        <f>IFERROR(__xludf.DUMMYFUNCTION("""COMPUTED_VALUE"""),"-")</f>
        <v>-</v>
      </c>
      <c r="G3244" s="238" t="str">
        <f>IFERROR(__xludf.DUMMYFUNCTION("""COMPUTED_VALUE"""),"-")</f>
        <v>-</v>
      </c>
      <c r="H3244" s="238" t="str">
        <f>IFERROR(__xludf.DUMMYFUNCTION("""COMPUTED_VALUE"""),"-")</f>
        <v>-</v>
      </c>
      <c r="I3244" s="237" t="str">
        <f t="shared" si="1"/>
        <v>Dentro</v>
      </c>
      <c r="J3244" s="239" t="e">
        <v>#VALUE!</v>
      </c>
    </row>
    <row r="3245">
      <c r="A3245" s="234" t="s">
        <v>470</v>
      </c>
      <c r="B3245" s="234" t="str">
        <f>IFERROR(__xludf.DUMMYFUNCTION("""COMPUTED_VALUE"""),"Fanout Desconhecido")</f>
        <v>Fanout Desconhecido</v>
      </c>
      <c r="C3245" s="234" t="str">
        <f>IFERROR(__xludf.DUMMYFUNCTION("""COMPUTED_VALUE"""),"-")</f>
        <v>-</v>
      </c>
      <c r="D3245" s="234"/>
      <c r="E3245" s="237" t="str">
        <f>IFERROR(__xludf.DUMMYFUNCTION("""COMPUTED_VALUE"""),"LT1PCN01V6B41")</f>
        <v>LT1PCN01V6B41</v>
      </c>
      <c r="F3245" s="238" t="str">
        <f>IFERROR(__xludf.DUMMYFUNCTION("""COMPUTED_VALUE"""),"-")</f>
        <v>-</v>
      </c>
      <c r="G3245" s="238" t="str">
        <f>IFERROR(__xludf.DUMMYFUNCTION("""COMPUTED_VALUE"""),"-")</f>
        <v>-</v>
      </c>
      <c r="H3245" s="238" t="str">
        <f>IFERROR(__xludf.DUMMYFUNCTION("""COMPUTED_VALUE"""),"-")</f>
        <v>-</v>
      </c>
      <c r="I3245" s="237" t="str">
        <f t="shared" si="1"/>
        <v>Dentro</v>
      </c>
      <c r="J3245" s="239" t="e">
        <v>#VALUE!</v>
      </c>
    </row>
    <row r="3246">
      <c r="A3246" s="234" t="s">
        <v>4642</v>
      </c>
      <c r="B3246" s="234" t="str">
        <f>IFERROR(__xludf.DUMMYFUNCTION("""COMPUTED_VALUE"""),"Fanout Desconhecido")</f>
        <v>Fanout Desconhecido</v>
      </c>
      <c r="C3246" s="234" t="str">
        <f>IFERROR(__xludf.DUMMYFUNCTION("""COMPUTED_VALUE"""),"-")</f>
        <v>-</v>
      </c>
      <c r="D3246" s="234">
        <f>IFERROR(__xludf.DUMMYFUNCTION("""COMPUTED_VALUE"""),13.0)</f>
        <v>13</v>
      </c>
      <c r="E3246" s="237" t="str">
        <f>IFERROR(__xludf.DUMMYFUNCTION("""COMPUTED_VALUE"""),"LT0PCN01UVRS1")</f>
        <v>LT0PCN01UVRS1</v>
      </c>
      <c r="F3246" s="238" t="str">
        <f>IFERROR(__xludf.DUMMYFUNCTION("""COMPUTED_VALUE"""),"-")</f>
        <v>-</v>
      </c>
      <c r="G3246" s="238" t="str">
        <f>IFERROR(__xludf.DUMMYFUNCTION("""COMPUTED_VALUE"""),"-")</f>
        <v>-</v>
      </c>
      <c r="H3246" s="238" t="str">
        <f>IFERROR(__xludf.DUMMYFUNCTION("""COMPUTED_VALUE"""),"-")</f>
        <v>-</v>
      </c>
      <c r="I3246" s="237" t="str">
        <f t="shared" si="1"/>
        <v>Dentro</v>
      </c>
      <c r="J3246" s="239" t="e">
        <v>#VALUE!</v>
      </c>
    </row>
    <row r="3247">
      <c r="A3247" s="234" t="s">
        <v>4643</v>
      </c>
      <c r="B3247" s="234" t="str">
        <f>IFERROR(__xludf.DUMMYFUNCTION("""COMPUTED_VALUE"""),"Fanout Desconhecido")</f>
        <v>Fanout Desconhecido</v>
      </c>
      <c r="C3247" s="234" t="str">
        <f>IFERROR(__xludf.DUMMYFUNCTION("""COMPUTED_VALUE"""),"-")</f>
        <v>-</v>
      </c>
      <c r="D3247" s="234">
        <f>IFERROR(__xludf.DUMMYFUNCTION("""COMPUTED_VALUE"""),34.0)</f>
        <v>34</v>
      </c>
      <c r="E3247" s="237" t="str">
        <f>IFERROR(__xludf.DUMMYFUNCTION("""COMPUTED_VALUE"""),"LT0PCN01UVR51")</f>
        <v>LT0PCN01UVR51</v>
      </c>
      <c r="F3247" s="238" t="str">
        <f>IFERROR(__xludf.DUMMYFUNCTION("""COMPUTED_VALUE"""),"-")</f>
        <v>-</v>
      </c>
      <c r="G3247" s="238" t="str">
        <f>IFERROR(__xludf.DUMMYFUNCTION("""COMPUTED_VALUE"""),"-")</f>
        <v>-</v>
      </c>
      <c r="H3247" s="238" t="str">
        <f>IFERROR(__xludf.DUMMYFUNCTION("""COMPUTED_VALUE"""),"-")</f>
        <v>-</v>
      </c>
      <c r="I3247" s="237" t="str">
        <f t="shared" si="1"/>
        <v>Dentro</v>
      </c>
      <c r="J3247" s="239" t="e">
        <v>#VALUE!</v>
      </c>
    </row>
    <row r="3248">
      <c r="A3248" s="234" t="s">
        <v>4644</v>
      </c>
      <c r="B3248" s="234" t="str">
        <f>IFERROR(__xludf.DUMMYFUNCTION("""COMPUTED_VALUE"""),"Fanout Desconhecido")</f>
        <v>Fanout Desconhecido</v>
      </c>
      <c r="C3248" s="234" t="str">
        <f>IFERROR(__xludf.DUMMYFUNCTION("""COMPUTED_VALUE"""),"-")</f>
        <v>-</v>
      </c>
      <c r="D3248" s="234">
        <f>IFERROR(__xludf.DUMMYFUNCTION("""COMPUTED_VALUE"""),29.0)</f>
        <v>29</v>
      </c>
      <c r="E3248" s="237" t="str">
        <f>IFERROR(__xludf.DUMMYFUNCTION("""COMPUTED_VALUE"""),"LT0PCN01UWED1")</f>
        <v>LT0PCN01UWED1</v>
      </c>
      <c r="F3248" s="238" t="str">
        <f>IFERROR(__xludf.DUMMYFUNCTION("""COMPUTED_VALUE"""),"-")</f>
        <v>-</v>
      </c>
      <c r="G3248" s="238" t="str">
        <f>IFERROR(__xludf.DUMMYFUNCTION("""COMPUTED_VALUE"""),"-")</f>
        <v>-</v>
      </c>
      <c r="H3248" s="238" t="str">
        <f>IFERROR(__xludf.DUMMYFUNCTION("""COMPUTED_VALUE"""),"-")</f>
        <v>-</v>
      </c>
      <c r="I3248" s="237" t="str">
        <f t="shared" si="1"/>
        <v>Dentro</v>
      </c>
      <c r="J3248" s="239" t="e">
        <v>#VALUE!</v>
      </c>
    </row>
    <row r="3249">
      <c r="A3249" s="234" t="s">
        <v>4645</v>
      </c>
      <c r="B3249" s="234" t="str">
        <f>IFERROR(__xludf.DUMMYFUNCTION("""COMPUTED_VALUE"""),"Fanout Desconhecido")</f>
        <v>Fanout Desconhecido</v>
      </c>
      <c r="C3249" s="234" t="str">
        <f>IFERROR(__xludf.DUMMYFUNCTION("""COMPUTED_VALUE"""),"-")</f>
        <v>-</v>
      </c>
      <c r="D3249" s="234"/>
      <c r="E3249" s="237" t="str">
        <f>IFERROR(__xludf.DUMMYFUNCTION("""COMPUTED_VALUE"""),"LT0PCN01UVQ81")</f>
        <v>LT0PCN01UVQ81</v>
      </c>
      <c r="F3249" s="238" t="str">
        <f>IFERROR(__xludf.DUMMYFUNCTION("""COMPUTED_VALUE"""),"-")</f>
        <v>-</v>
      </c>
      <c r="G3249" s="238" t="str">
        <f>IFERROR(__xludf.DUMMYFUNCTION("""COMPUTED_VALUE"""),"-")</f>
        <v>-</v>
      </c>
      <c r="H3249" s="238" t="str">
        <f>IFERROR(__xludf.DUMMYFUNCTION("""COMPUTED_VALUE"""),"-")</f>
        <v>-</v>
      </c>
      <c r="I3249" s="237" t="str">
        <f t="shared" si="1"/>
        <v>Dentro</v>
      </c>
      <c r="J3249" s="239" t="e">
        <v>#VALUE!</v>
      </c>
    </row>
    <row r="3250">
      <c r="A3250" s="234" t="s">
        <v>464</v>
      </c>
      <c r="B3250" s="234" t="str">
        <f>IFERROR(__xludf.DUMMYFUNCTION("""COMPUTED_VALUE"""),"Fanout Desconhecido")</f>
        <v>Fanout Desconhecido</v>
      </c>
      <c r="C3250" s="234" t="str">
        <f>IFERROR(__xludf.DUMMYFUNCTION("""COMPUTED_VALUE"""),"-")</f>
        <v>-</v>
      </c>
      <c r="D3250" s="234">
        <f>IFERROR(__xludf.DUMMYFUNCTION("""COMPUTED_VALUE"""),6.0)</f>
        <v>6</v>
      </c>
      <c r="E3250" s="237" t="str">
        <f>IFERROR(__xludf.DUMMYFUNCTION("""COMPUTED_VALUE"""),"LT0PCN01UVQA2")</f>
        <v>LT0PCN01UVQA2</v>
      </c>
      <c r="F3250" s="238" t="str">
        <f>IFERROR(__xludf.DUMMYFUNCTION("""COMPUTED_VALUE"""),"-")</f>
        <v>-</v>
      </c>
      <c r="G3250" s="238" t="str">
        <f>IFERROR(__xludf.DUMMYFUNCTION("""COMPUTED_VALUE"""),"-")</f>
        <v>-</v>
      </c>
      <c r="H3250" s="238" t="str">
        <f>IFERROR(__xludf.DUMMYFUNCTION("""COMPUTED_VALUE"""),"-")</f>
        <v>-</v>
      </c>
      <c r="I3250" s="237" t="str">
        <f t="shared" si="1"/>
        <v>Dentro</v>
      </c>
      <c r="J3250" s="239" t="e">
        <v>#VALUE!</v>
      </c>
    </row>
    <row r="3251">
      <c r="A3251" s="234" t="s">
        <v>4646</v>
      </c>
      <c r="B3251" s="234" t="str">
        <f>IFERROR(__xludf.DUMMYFUNCTION("""COMPUTED_VALUE"""),"Fanout Desconhecido")</f>
        <v>Fanout Desconhecido</v>
      </c>
      <c r="C3251" s="234" t="str">
        <f>IFERROR(__xludf.DUMMYFUNCTION("""COMPUTED_VALUE"""),"-")</f>
        <v>-</v>
      </c>
      <c r="D3251" s="234">
        <f>IFERROR(__xludf.DUMMYFUNCTION("""COMPUTED_VALUE"""),28.0)</f>
        <v>28</v>
      </c>
      <c r="E3251" s="237" t="str">
        <f>IFERROR(__xludf.DUMMYFUNCTION("""COMPUTED_VALUE"""),"LT1PCM01VNNJ1")</f>
        <v>LT1PCM01VNNJ1</v>
      </c>
      <c r="F3251" s="238" t="str">
        <f>IFERROR(__xludf.DUMMYFUNCTION("""COMPUTED_VALUE"""),"-")</f>
        <v>-</v>
      </c>
      <c r="G3251" s="238" t="str">
        <f>IFERROR(__xludf.DUMMYFUNCTION("""COMPUTED_VALUE"""),"-")</f>
        <v>-</v>
      </c>
      <c r="H3251" s="238" t="str">
        <f>IFERROR(__xludf.DUMMYFUNCTION("""COMPUTED_VALUE"""),"-")</f>
        <v>-</v>
      </c>
      <c r="I3251" s="237" t="str">
        <f t="shared" si="1"/>
        <v>Dentro</v>
      </c>
      <c r="J3251" s="239" t="e">
        <v>#VALUE!</v>
      </c>
    </row>
    <row r="3252">
      <c r="A3252" s="234" t="s">
        <v>432</v>
      </c>
      <c r="B3252" s="234" t="str">
        <f>IFERROR(__xludf.DUMMYFUNCTION("""COMPUTED_VALUE"""),"Fanout Desconhecido")</f>
        <v>Fanout Desconhecido</v>
      </c>
      <c r="C3252" s="234" t="str">
        <f>IFERROR(__xludf.DUMMYFUNCTION("""COMPUTED_VALUE"""),"-")</f>
        <v>-</v>
      </c>
      <c r="D3252" s="234">
        <f>IFERROR(__xludf.DUMMYFUNCTION("""COMPUTED_VALUE"""),36.0)</f>
        <v>36</v>
      </c>
      <c r="E3252" s="237" t="str">
        <f>IFERROR(__xludf.DUMMYFUNCTION("""COMPUTED_VALUE"""),"LT0PCN01UVPP1")</f>
        <v>LT0PCN01UVPP1</v>
      </c>
      <c r="F3252" s="238" t="str">
        <f>IFERROR(__xludf.DUMMYFUNCTION("""COMPUTED_VALUE"""),"-")</f>
        <v>-</v>
      </c>
      <c r="G3252" s="238" t="str">
        <f>IFERROR(__xludf.DUMMYFUNCTION("""COMPUTED_VALUE"""),"-")</f>
        <v>-</v>
      </c>
      <c r="H3252" s="238" t="str">
        <f>IFERROR(__xludf.DUMMYFUNCTION("""COMPUTED_VALUE"""),"-")</f>
        <v>-</v>
      </c>
      <c r="I3252" s="237" t="str">
        <f t="shared" si="1"/>
        <v>Dentro</v>
      </c>
      <c r="J3252" s="239" t="e">
        <v>#VALUE!</v>
      </c>
    </row>
    <row r="3253">
      <c r="A3253" s="234" t="s">
        <v>433</v>
      </c>
      <c r="B3253" s="234" t="str">
        <f>IFERROR(__xludf.DUMMYFUNCTION("""COMPUTED_VALUE"""),"Fanout Desconhecido")</f>
        <v>Fanout Desconhecido</v>
      </c>
      <c r="C3253" s="234" t="str">
        <f>IFERROR(__xludf.DUMMYFUNCTION("""COMPUTED_VALUE"""),"-")</f>
        <v>-</v>
      </c>
      <c r="D3253" s="234">
        <f>IFERROR(__xludf.DUMMYFUNCTION("""COMPUTED_VALUE"""),7.0)</f>
        <v>7</v>
      </c>
      <c r="E3253" s="237" t="str">
        <f>IFERROR(__xludf.DUMMYFUNCTION("""COMPUTED_VALUE"""),"LT0PCN01UVQG1")</f>
        <v>LT0PCN01UVQG1</v>
      </c>
      <c r="F3253" s="238" t="str">
        <f>IFERROR(__xludf.DUMMYFUNCTION("""COMPUTED_VALUE"""),"-")</f>
        <v>-</v>
      </c>
      <c r="G3253" s="238" t="str">
        <f>IFERROR(__xludf.DUMMYFUNCTION("""COMPUTED_VALUE"""),"-")</f>
        <v>-</v>
      </c>
      <c r="H3253" s="238" t="str">
        <f>IFERROR(__xludf.DUMMYFUNCTION("""COMPUTED_VALUE"""),"-")</f>
        <v>-</v>
      </c>
      <c r="I3253" s="237" t="str">
        <f t="shared" si="1"/>
        <v>Dentro</v>
      </c>
      <c r="J3253" s="239" t="e">
        <v>#VALUE!</v>
      </c>
    </row>
    <row r="3254">
      <c r="A3254" s="234" t="s">
        <v>434</v>
      </c>
      <c r="B3254" s="234" t="str">
        <f>IFERROR(__xludf.DUMMYFUNCTION("""COMPUTED_VALUE"""),"Fanout Desconhecido")</f>
        <v>Fanout Desconhecido</v>
      </c>
      <c r="C3254" s="234" t="str">
        <f>IFERROR(__xludf.DUMMYFUNCTION("""COMPUTED_VALUE"""),"HUB")</f>
        <v>HUB</v>
      </c>
      <c r="D3254" s="234">
        <f>IFERROR(__xludf.DUMMYFUNCTION("""COMPUTED_VALUE"""),9.0)</f>
        <v>9</v>
      </c>
      <c r="E3254" s="237" t="str">
        <f>IFERROR(__xludf.DUMMYFUNCTION("""COMPUTED_VALUE"""),"LT0PCN01UVPI1")</f>
        <v>LT0PCN01UVPI1</v>
      </c>
      <c r="F3254" s="238" t="str">
        <f>IFERROR(__xludf.DUMMYFUNCTION("""COMPUTED_VALUE"""),"-")</f>
        <v>-</v>
      </c>
      <c r="G3254" s="238" t="str">
        <f>IFERROR(__xludf.DUMMYFUNCTION("""COMPUTED_VALUE"""),"-")</f>
        <v>-</v>
      </c>
      <c r="H3254" s="238" t="str">
        <f>IFERROR(__xludf.DUMMYFUNCTION("""COMPUTED_VALUE"""),"-")</f>
        <v>-</v>
      </c>
      <c r="I3254" s="237" t="str">
        <f t="shared" si="1"/>
        <v>Dentro</v>
      </c>
      <c r="J3254" s="239" t="e">
        <v>#VALUE!</v>
      </c>
    </row>
    <row r="3255">
      <c r="A3255" s="234" t="s">
        <v>4647</v>
      </c>
      <c r="B3255" s="234" t="str">
        <f>IFERROR(__xludf.DUMMYFUNCTION("""COMPUTED_VALUE"""),"Fanout Desconhecido")</f>
        <v>Fanout Desconhecido</v>
      </c>
      <c r="C3255" s="234" t="str">
        <f>IFERROR(__xludf.DUMMYFUNCTION("""COMPUTED_VALUE"""),"-")</f>
        <v>-</v>
      </c>
      <c r="D3255" s="234">
        <f>IFERROR(__xludf.DUMMYFUNCTION("""COMPUTED_VALUE"""),12.0)</f>
        <v>12</v>
      </c>
      <c r="E3255" s="237" t="str">
        <f>IFERROR(__xludf.DUMMYFUNCTION("""COMPUTED_VALUE"""),"LT0PCN01UW2D1")</f>
        <v>LT0PCN01UW2D1</v>
      </c>
      <c r="F3255" s="238" t="str">
        <f>IFERROR(__xludf.DUMMYFUNCTION("""COMPUTED_VALUE"""),"-")</f>
        <v>-</v>
      </c>
      <c r="G3255" s="238" t="str">
        <f>IFERROR(__xludf.DUMMYFUNCTION("""COMPUTED_VALUE"""),"-")</f>
        <v>-</v>
      </c>
      <c r="H3255" s="238" t="str">
        <f>IFERROR(__xludf.DUMMYFUNCTION("""COMPUTED_VALUE"""),"-")</f>
        <v>-</v>
      </c>
      <c r="I3255" s="237" t="str">
        <f t="shared" si="1"/>
        <v>Dentro</v>
      </c>
      <c r="J3255" s="239" t="e">
        <v>#VALUE!</v>
      </c>
    </row>
    <row r="3256">
      <c r="A3256" s="234" t="s">
        <v>435</v>
      </c>
      <c r="B3256" s="234" t="str">
        <f>IFERROR(__xludf.DUMMYFUNCTION("""COMPUTED_VALUE"""),"Fanout Desconhecido")</f>
        <v>Fanout Desconhecido</v>
      </c>
      <c r="C3256" s="234" t="str">
        <f>IFERROR(__xludf.DUMMYFUNCTION("""COMPUTED_VALUE"""),"-")</f>
        <v>-</v>
      </c>
      <c r="D3256" s="234">
        <f>IFERROR(__xludf.DUMMYFUNCTION("""COMPUTED_VALUE"""),8.0)</f>
        <v>8</v>
      </c>
      <c r="E3256" s="237" t="str">
        <f>IFERROR(__xludf.DUMMYFUNCTION("""COMPUTED_VALUE"""),"LT0PCN01UVQN1")</f>
        <v>LT0PCN01UVQN1</v>
      </c>
      <c r="F3256" s="238" t="str">
        <f>IFERROR(__xludf.DUMMYFUNCTION("""COMPUTED_VALUE"""),"-")</f>
        <v>-</v>
      </c>
      <c r="G3256" s="238" t="str">
        <f>IFERROR(__xludf.DUMMYFUNCTION("""COMPUTED_VALUE"""),"-")</f>
        <v>-</v>
      </c>
      <c r="H3256" s="238" t="str">
        <f>IFERROR(__xludf.DUMMYFUNCTION("""COMPUTED_VALUE"""),"-")</f>
        <v>-</v>
      </c>
      <c r="I3256" s="237" t="str">
        <f t="shared" si="1"/>
        <v>Dentro</v>
      </c>
      <c r="J3256" s="239" t="e">
        <v>#VALUE!</v>
      </c>
    </row>
    <row r="3257">
      <c r="A3257" s="234" t="s">
        <v>436</v>
      </c>
      <c r="B3257" s="234" t="str">
        <f>IFERROR(__xludf.DUMMYFUNCTION("""COMPUTED_VALUE"""),"Fanout Desconhecido")</f>
        <v>Fanout Desconhecido</v>
      </c>
      <c r="C3257" s="234" t="str">
        <f>IFERROR(__xludf.DUMMYFUNCTION("""COMPUTED_VALUE"""),"-")</f>
        <v>-</v>
      </c>
      <c r="D3257" s="234">
        <f>IFERROR(__xludf.DUMMYFUNCTION("""COMPUTED_VALUE"""),42.0)</f>
        <v>42</v>
      </c>
      <c r="E3257" s="237" t="str">
        <f>IFERROR(__xludf.DUMMYFUNCTION("""COMPUTED_VALUE"""),"LT0PCN01UVM81")</f>
        <v>LT0PCN01UVM81</v>
      </c>
      <c r="F3257" s="238" t="str">
        <f>IFERROR(__xludf.DUMMYFUNCTION("""COMPUTED_VALUE"""),"-")</f>
        <v>-</v>
      </c>
      <c r="G3257" s="238" t="str">
        <f>IFERROR(__xludf.DUMMYFUNCTION("""COMPUTED_VALUE"""),"-")</f>
        <v>-</v>
      </c>
      <c r="H3257" s="238" t="str">
        <f>IFERROR(__xludf.DUMMYFUNCTION("""COMPUTED_VALUE"""),"-")</f>
        <v>-</v>
      </c>
      <c r="I3257" s="237" t="str">
        <f t="shared" si="1"/>
        <v>Dentro</v>
      </c>
      <c r="J3257" s="239" t="e">
        <v>#VALUE!</v>
      </c>
    </row>
    <row r="3258">
      <c r="A3258" s="234" t="s">
        <v>4648</v>
      </c>
      <c r="B3258" s="234" t="str">
        <f>IFERROR(__xludf.DUMMYFUNCTION("""COMPUTED_VALUE"""),"Fanout Desconhecido")</f>
        <v>Fanout Desconhecido</v>
      </c>
      <c r="C3258" s="234" t="str">
        <f>IFERROR(__xludf.DUMMYFUNCTION("""COMPUTED_VALUE"""),"-")</f>
        <v>-</v>
      </c>
      <c r="D3258" s="234">
        <f>IFERROR(__xludf.DUMMYFUNCTION("""COMPUTED_VALUE"""),27.0)</f>
        <v>27</v>
      </c>
      <c r="E3258" s="237" t="str">
        <f>IFERROR(__xludf.DUMMYFUNCTION("""COMPUTED_VALUE"""),"LT1PCN01V6B51")</f>
        <v>LT1PCN01V6B51</v>
      </c>
      <c r="F3258" s="238" t="str">
        <f>IFERROR(__xludf.DUMMYFUNCTION("""COMPUTED_VALUE"""),"-")</f>
        <v>-</v>
      </c>
      <c r="G3258" s="238" t="str">
        <f>IFERROR(__xludf.DUMMYFUNCTION("""COMPUTED_VALUE"""),"-")</f>
        <v>-</v>
      </c>
      <c r="H3258" s="238" t="str">
        <f>IFERROR(__xludf.DUMMYFUNCTION("""COMPUTED_VALUE"""),"-")</f>
        <v>-</v>
      </c>
      <c r="I3258" s="237" t="str">
        <f t="shared" si="1"/>
        <v>Dentro</v>
      </c>
      <c r="J3258" s="239" t="e">
        <v>#VALUE!</v>
      </c>
    </row>
    <row r="3259">
      <c r="A3259" s="234" t="s">
        <v>437</v>
      </c>
      <c r="B3259" s="234" t="str">
        <f>IFERROR(__xludf.DUMMYFUNCTION("""COMPUTED_VALUE"""),"Fanout Desconhecido")</f>
        <v>Fanout Desconhecido</v>
      </c>
      <c r="C3259" s="234" t="str">
        <f>IFERROR(__xludf.DUMMYFUNCTION("""COMPUTED_VALUE"""),"-")</f>
        <v>-</v>
      </c>
      <c r="D3259" s="234">
        <f>IFERROR(__xludf.DUMMYFUNCTION("""COMPUTED_VALUE"""),35.0)</f>
        <v>35</v>
      </c>
      <c r="E3259" s="237" t="str">
        <f>IFERROR(__xludf.DUMMYFUNCTION("""COMPUTED_VALUE"""),"LT0PCN01UY6N1")</f>
        <v>LT0PCN01UY6N1</v>
      </c>
      <c r="F3259" s="238" t="str">
        <f>IFERROR(__xludf.DUMMYFUNCTION("""COMPUTED_VALUE"""),"-")</f>
        <v>-</v>
      </c>
      <c r="G3259" s="238" t="str">
        <f>IFERROR(__xludf.DUMMYFUNCTION("""COMPUTED_VALUE"""),"-")</f>
        <v>-</v>
      </c>
      <c r="H3259" s="238" t="str">
        <f>IFERROR(__xludf.DUMMYFUNCTION("""COMPUTED_VALUE"""),"-")</f>
        <v>-</v>
      </c>
      <c r="I3259" s="237" t="str">
        <f t="shared" si="1"/>
        <v>Dentro</v>
      </c>
      <c r="J3259" s="239" t="e">
        <v>#VALUE!</v>
      </c>
    </row>
    <row r="3260">
      <c r="A3260" s="234" t="s">
        <v>439</v>
      </c>
      <c r="B3260" s="234" t="str">
        <f>IFERROR(__xludf.DUMMYFUNCTION("""COMPUTED_VALUE"""),"Fanout Desconhecido")</f>
        <v>Fanout Desconhecido</v>
      </c>
      <c r="C3260" s="234" t="str">
        <f>IFERROR(__xludf.DUMMYFUNCTION("""COMPUTED_VALUE"""),"-")</f>
        <v>-</v>
      </c>
      <c r="D3260" s="234">
        <f>IFERROR(__xludf.DUMMYFUNCTION("""COMPUTED_VALUE"""),33.0)</f>
        <v>33</v>
      </c>
      <c r="E3260" s="237" t="str">
        <f>IFERROR(__xludf.DUMMYFUNCTION("""COMPUTED_VALUE"""),"LT0PCN01UWF41")</f>
        <v>LT0PCN01UWF41</v>
      </c>
      <c r="F3260" s="238" t="str">
        <f>IFERROR(__xludf.DUMMYFUNCTION("""COMPUTED_VALUE"""),"-")</f>
        <v>-</v>
      </c>
      <c r="G3260" s="238" t="str">
        <f>IFERROR(__xludf.DUMMYFUNCTION("""COMPUTED_VALUE"""),"-")</f>
        <v>-</v>
      </c>
      <c r="H3260" s="238" t="str">
        <f>IFERROR(__xludf.DUMMYFUNCTION("""COMPUTED_VALUE"""),"-")</f>
        <v>-</v>
      </c>
      <c r="I3260" s="237" t="str">
        <f t="shared" si="1"/>
        <v>Dentro</v>
      </c>
      <c r="J3260" s="239" t="e">
        <v>#VALUE!</v>
      </c>
    </row>
    <row r="3261">
      <c r="A3261" s="234" t="s">
        <v>440</v>
      </c>
      <c r="B3261" s="234" t="str">
        <f>IFERROR(__xludf.DUMMYFUNCTION("""COMPUTED_VALUE"""),"Fanout Desconhecido")</f>
        <v>Fanout Desconhecido</v>
      </c>
      <c r="C3261" s="234" t="str">
        <f>IFERROR(__xludf.DUMMYFUNCTION("""COMPUTED_VALUE"""),"-")</f>
        <v>-</v>
      </c>
      <c r="D3261" s="234"/>
      <c r="E3261" s="237" t="str">
        <f>IFERROR(__xludf.DUMMYFUNCTION("""COMPUTED_VALUE"""),"LT0PCN01UVPX1")</f>
        <v>LT0PCN01UVPX1</v>
      </c>
      <c r="F3261" s="238" t="str">
        <f>IFERROR(__xludf.DUMMYFUNCTION("""COMPUTED_VALUE"""),"-")</f>
        <v>-</v>
      </c>
      <c r="G3261" s="238" t="str">
        <f>IFERROR(__xludf.DUMMYFUNCTION("""COMPUTED_VALUE"""),"-")</f>
        <v>-</v>
      </c>
      <c r="H3261" s="238" t="str">
        <f>IFERROR(__xludf.DUMMYFUNCTION("""COMPUTED_VALUE"""),"-")</f>
        <v>-</v>
      </c>
      <c r="I3261" s="237" t="str">
        <f t="shared" si="1"/>
        <v>Dentro</v>
      </c>
      <c r="J3261" s="239" t="e">
        <v>#VALUE!</v>
      </c>
    </row>
    <row r="3262">
      <c r="A3262" s="234" t="s">
        <v>441</v>
      </c>
      <c r="B3262" s="234" t="str">
        <f>IFERROR(__xludf.DUMMYFUNCTION("""COMPUTED_VALUE"""),"Fanout Desconhecido")</f>
        <v>Fanout Desconhecido</v>
      </c>
      <c r="C3262" s="234" t="str">
        <f>IFERROR(__xludf.DUMMYFUNCTION("""COMPUTED_VALUE"""),"-")</f>
        <v>-</v>
      </c>
      <c r="D3262" s="234">
        <f>IFERROR(__xludf.DUMMYFUNCTION("""COMPUTED_VALUE"""),87.0)</f>
        <v>87</v>
      </c>
      <c r="E3262" s="237" t="str">
        <f>IFERROR(__xludf.DUMMYFUNCTION("""COMPUTED_VALUE"""),"LT0PCM01UZJ11")</f>
        <v>LT0PCM01UZJ11</v>
      </c>
      <c r="F3262" s="238" t="str">
        <f>IFERROR(__xludf.DUMMYFUNCTION("""COMPUTED_VALUE"""),"-")</f>
        <v>-</v>
      </c>
      <c r="G3262" s="238" t="str">
        <f>IFERROR(__xludf.DUMMYFUNCTION("""COMPUTED_VALUE"""),"-")</f>
        <v>-</v>
      </c>
      <c r="H3262" s="238" t="str">
        <f>IFERROR(__xludf.DUMMYFUNCTION("""COMPUTED_VALUE"""),"-")</f>
        <v>-</v>
      </c>
      <c r="I3262" s="237" t="str">
        <f t="shared" si="1"/>
        <v>Dentro</v>
      </c>
      <c r="J3262" s="239" t="e">
        <v>#VALUE!</v>
      </c>
    </row>
    <row r="3263">
      <c r="A3263" s="234" t="s">
        <v>442</v>
      </c>
      <c r="B3263" s="234" t="str">
        <f>IFERROR(__xludf.DUMMYFUNCTION("""COMPUTED_VALUE"""),"Fanout Desconhecido")</f>
        <v>Fanout Desconhecido</v>
      </c>
      <c r="C3263" s="234" t="str">
        <f>IFERROR(__xludf.DUMMYFUNCTION("""COMPUTED_VALUE"""),"-")</f>
        <v>-</v>
      </c>
      <c r="D3263" s="234"/>
      <c r="E3263" s="237" t="str">
        <f>IFERROR(__xludf.DUMMYFUNCTION("""COMPUTED_VALUE"""),"LT0PCM01UZJ32")</f>
        <v>LT0PCM01UZJ32</v>
      </c>
      <c r="F3263" s="238" t="str">
        <f>IFERROR(__xludf.DUMMYFUNCTION("""COMPUTED_VALUE"""),"-")</f>
        <v>-</v>
      </c>
      <c r="G3263" s="238" t="str">
        <f>IFERROR(__xludf.DUMMYFUNCTION("""COMPUTED_VALUE"""),"-")</f>
        <v>-</v>
      </c>
      <c r="H3263" s="238" t="str">
        <f>IFERROR(__xludf.DUMMYFUNCTION("""COMPUTED_VALUE"""),"-")</f>
        <v>-</v>
      </c>
      <c r="I3263" s="237" t="str">
        <f t="shared" si="1"/>
        <v>Dentro</v>
      </c>
      <c r="J3263" s="239" t="e">
        <v>#VALUE!</v>
      </c>
    </row>
    <row r="3264">
      <c r="A3264" s="234" t="s">
        <v>443</v>
      </c>
      <c r="B3264" s="234" t="str">
        <f>IFERROR(__xludf.DUMMYFUNCTION("""COMPUTED_VALUE"""),"Fanout Desconhecido")</f>
        <v>Fanout Desconhecido</v>
      </c>
      <c r="C3264" s="234" t="str">
        <f>IFERROR(__xludf.DUMMYFUNCTION("""COMPUTED_VALUE"""),"-")</f>
        <v>-</v>
      </c>
      <c r="D3264" s="234">
        <f>IFERROR(__xludf.DUMMYFUNCTION("""COMPUTED_VALUE"""),14.0)</f>
        <v>14</v>
      </c>
      <c r="E3264" s="237" t="str">
        <f>IFERROR(__xludf.DUMMYFUNCTION("""COMPUTED_VALUE"""),"LT0PCM01UZKB1")</f>
        <v>LT0PCM01UZKB1</v>
      </c>
      <c r="F3264" s="238" t="str">
        <f>IFERROR(__xludf.DUMMYFUNCTION("""COMPUTED_VALUE"""),"-")</f>
        <v>-</v>
      </c>
      <c r="G3264" s="238" t="str">
        <f>IFERROR(__xludf.DUMMYFUNCTION("""COMPUTED_VALUE"""),"-")</f>
        <v>-</v>
      </c>
      <c r="H3264" s="238" t="str">
        <f>IFERROR(__xludf.DUMMYFUNCTION("""COMPUTED_VALUE"""),"-")</f>
        <v>-</v>
      </c>
      <c r="I3264" s="237" t="str">
        <f t="shared" si="1"/>
        <v>Dentro</v>
      </c>
      <c r="J3264" s="239" t="e">
        <v>#VALUE!</v>
      </c>
    </row>
    <row r="3265">
      <c r="A3265" s="234" t="s">
        <v>444</v>
      </c>
      <c r="B3265" s="234" t="str">
        <f>IFERROR(__xludf.DUMMYFUNCTION("""COMPUTED_VALUE"""),"Fanout Desconhecido")</f>
        <v>Fanout Desconhecido</v>
      </c>
      <c r="C3265" s="234" t="str">
        <f>IFERROR(__xludf.DUMMYFUNCTION("""COMPUTED_VALUE"""),"-")</f>
        <v>-</v>
      </c>
      <c r="D3265" s="234">
        <f>IFERROR(__xludf.DUMMYFUNCTION("""COMPUTED_VALUE"""),15.0)</f>
        <v>15</v>
      </c>
      <c r="E3265" s="237" t="str">
        <f>IFERROR(__xludf.DUMMYFUNCTION("""COMPUTED_VALUE"""),"LT0PCM01UYNN1")</f>
        <v>LT0PCM01UYNN1</v>
      </c>
      <c r="F3265" s="238" t="str">
        <f>IFERROR(__xludf.DUMMYFUNCTION("""COMPUTED_VALUE"""),"-")</f>
        <v>-</v>
      </c>
      <c r="G3265" s="238" t="str">
        <f>IFERROR(__xludf.DUMMYFUNCTION("""COMPUTED_VALUE"""),"-")</f>
        <v>-</v>
      </c>
      <c r="H3265" s="238" t="str">
        <f>IFERROR(__xludf.DUMMYFUNCTION("""COMPUTED_VALUE"""),"-")</f>
        <v>-</v>
      </c>
      <c r="I3265" s="237" t="str">
        <f t="shared" si="1"/>
        <v>Dentro</v>
      </c>
      <c r="J3265" s="239" t="e">
        <v>#VALUE!</v>
      </c>
    </row>
    <row r="3266">
      <c r="A3266" s="234" t="s">
        <v>4649</v>
      </c>
      <c r="B3266" s="234" t="str">
        <f>IFERROR(__xludf.DUMMYFUNCTION("""COMPUTED_VALUE"""),"Fanout Desconhecido")</f>
        <v>Fanout Desconhecido</v>
      </c>
      <c r="C3266" s="234" t="str">
        <f>IFERROR(__xludf.DUMMYFUNCTION("""COMPUTED_VALUE"""),"-")</f>
        <v>-</v>
      </c>
      <c r="D3266" s="234">
        <f>IFERROR(__xludf.DUMMYFUNCTION("""COMPUTED_VALUE"""),94.0)</f>
        <v>94</v>
      </c>
      <c r="E3266" s="237" t="str">
        <f>IFERROR(__xludf.DUMMYFUNCTION("""COMPUTED_VALUE"""),"LT1PCM01V6AY1")</f>
        <v>LT1PCM01V6AY1</v>
      </c>
      <c r="F3266" s="238" t="str">
        <f>IFERROR(__xludf.DUMMYFUNCTION("""COMPUTED_VALUE"""),"-")</f>
        <v>-</v>
      </c>
      <c r="G3266" s="238" t="str">
        <f>IFERROR(__xludf.DUMMYFUNCTION("""COMPUTED_VALUE"""),"-")</f>
        <v>-</v>
      </c>
      <c r="H3266" s="238" t="str">
        <f>IFERROR(__xludf.DUMMYFUNCTION("""COMPUTED_VALUE"""),"-")</f>
        <v>-</v>
      </c>
      <c r="I3266" s="237" t="str">
        <f t="shared" si="1"/>
        <v>Dentro</v>
      </c>
      <c r="J3266" s="239" t="e">
        <v>#VALUE!</v>
      </c>
    </row>
    <row r="3267">
      <c r="A3267" s="234" t="s">
        <v>445</v>
      </c>
      <c r="B3267" s="234" t="str">
        <f>IFERROR(__xludf.DUMMYFUNCTION("""COMPUTED_VALUE"""),"Fanout Desconhecido")</f>
        <v>Fanout Desconhecido</v>
      </c>
      <c r="C3267" s="234" t="str">
        <f>IFERROR(__xludf.DUMMYFUNCTION("""COMPUTED_VALUE"""),"-")</f>
        <v>-</v>
      </c>
      <c r="D3267" s="234">
        <f>IFERROR(__xludf.DUMMYFUNCTION("""COMPUTED_VALUE"""),94.0)</f>
        <v>94</v>
      </c>
      <c r="E3267" s="237" t="str">
        <f>IFERROR(__xludf.DUMMYFUNCTION("""COMPUTED_VALUE"""),"LT0PCM01UVMX1")</f>
        <v>LT0PCM01UVMX1</v>
      </c>
      <c r="F3267" s="238" t="str">
        <f>IFERROR(__xludf.DUMMYFUNCTION("""COMPUTED_VALUE"""),"-")</f>
        <v>-</v>
      </c>
      <c r="G3267" s="238" t="str">
        <f>IFERROR(__xludf.DUMMYFUNCTION("""COMPUTED_VALUE"""),"-")</f>
        <v>-</v>
      </c>
      <c r="H3267" s="238" t="str">
        <f>IFERROR(__xludf.DUMMYFUNCTION("""COMPUTED_VALUE"""),"-")</f>
        <v>-</v>
      </c>
      <c r="I3267" s="237" t="str">
        <f t="shared" si="1"/>
        <v>Dentro</v>
      </c>
      <c r="J3267" s="239" t="e">
        <v>#VALUE!</v>
      </c>
    </row>
    <row r="3268">
      <c r="A3268" s="234" t="s">
        <v>446</v>
      </c>
      <c r="B3268" s="234" t="str">
        <f>IFERROR(__xludf.DUMMYFUNCTION("""COMPUTED_VALUE"""),"Fanout Desconhecido")</f>
        <v>Fanout Desconhecido</v>
      </c>
      <c r="C3268" s="234" t="str">
        <f>IFERROR(__xludf.DUMMYFUNCTION("""COMPUTED_VALUE"""),"-")</f>
        <v>-</v>
      </c>
      <c r="D3268" s="234">
        <f>IFERROR(__xludf.DUMMYFUNCTION("""COMPUTED_VALUE"""),91.0)</f>
        <v>91</v>
      </c>
      <c r="E3268" s="237" t="str">
        <f>IFERROR(__xludf.DUMMYFUNCTION("""COMPUTED_VALUE"""),"LT0PCM01UTBR1")</f>
        <v>LT0PCM01UTBR1</v>
      </c>
      <c r="F3268" s="238" t="str">
        <f>IFERROR(__xludf.DUMMYFUNCTION("""COMPUTED_VALUE"""),"-")</f>
        <v>-</v>
      </c>
      <c r="G3268" s="238" t="str">
        <f>IFERROR(__xludf.DUMMYFUNCTION("""COMPUTED_VALUE"""),"-")</f>
        <v>-</v>
      </c>
      <c r="H3268" s="238" t="str">
        <f>IFERROR(__xludf.DUMMYFUNCTION("""COMPUTED_VALUE"""),"-")</f>
        <v>-</v>
      </c>
      <c r="I3268" s="237" t="str">
        <f t="shared" si="1"/>
        <v>Dentro</v>
      </c>
      <c r="J3268" s="239" t="e">
        <v>#VALUE!</v>
      </c>
    </row>
    <row r="3269">
      <c r="A3269" s="234" t="s">
        <v>447</v>
      </c>
      <c r="B3269" s="234" t="str">
        <f>IFERROR(__xludf.DUMMYFUNCTION("""COMPUTED_VALUE"""),"Fanout Desconhecido")</f>
        <v>Fanout Desconhecido</v>
      </c>
      <c r="C3269" s="234" t="str">
        <f>IFERROR(__xludf.DUMMYFUNCTION("""COMPUTED_VALUE"""),"-")</f>
        <v>-</v>
      </c>
      <c r="D3269" s="234">
        <f>IFERROR(__xludf.DUMMYFUNCTION("""COMPUTED_VALUE"""),97.0)</f>
        <v>97</v>
      </c>
      <c r="E3269" s="237" t="str">
        <f>IFERROR(__xludf.DUMMYFUNCTION("""COMPUTED_VALUE"""),"LT0PCM01UX3F1")</f>
        <v>LT0PCM01UX3F1</v>
      </c>
      <c r="F3269" s="238" t="str">
        <f>IFERROR(__xludf.DUMMYFUNCTION("""COMPUTED_VALUE"""),"-")</f>
        <v>-</v>
      </c>
      <c r="G3269" s="238" t="str">
        <f>IFERROR(__xludf.DUMMYFUNCTION("""COMPUTED_VALUE"""),"-")</f>
        <v>-</v>
      </c>
      <c r="H3269" s="238" t="str">
        <f>IFERROR(__xludf.DUMMYFUNCTION("""COMPUTED_VALUE"""),"-")</f>
        <v>-</v>
      </c>
      <c r="I3269" s="237" t="str">
        <f t="shared" si="1"/>
        <v>Dentro</v>
      </c>
      <c r="J3269" s="239" t="e">
        <v>#VALUE!</v>
      </c>
    </row>
    <row r="3270">
      <c r="A3270" s="234" t="s">
        <v>448</v>
      </c>
      <c r="B3270" s="234" t="str">
        <f>IFERROR(__xludf.DUMMYFUNCTION("""COMPUTED_VALUE"""),"Fanout Desconhecido")</f>
        <v>Fanout Desconhecido</v>
      </c>
      <c r="C3270" s="234" t="str">
        <f>IFERROR(__xludf.DUMMYFUNCTION("""COMPUTED_VALUE"""),"-")</f>
        <v>-</v>
      </c>
      <c r="D3270" s="234">
        <f>IFERROR(__xludf.DUMMYFUNCTION("""COMPUTED_VALUE"""),18.0)</f>
        <v>18</v>
      </c>
      <c r="E3270" s="237" t="str">
        <f>IFERROR(__xludf.DUMMYFUNCTION("""COMPUTED_VALUE"""),"LT0PCN01UU001")</f>
        <v>LT0PCN01UU001</v>
      </c>
      <c r="F3270" s="238" t="str">
        <f>IFERROR(__xludf.DUMMYFUNCTION("""COMPUTED_VALUE"""),"-")</f>
        <v>-</v>
      </c>
      <c r="G3270" s="238" t="str">
        <f>IFERROR(__xludf.DUMMYFUNCTION("""COMPUTED_VALUE"""),"-")</f>
        <v>-</v>
      </c>
      <c r="H3270" s="238" t="str">
        <f>IFERROR(__xludf.DUMMYFUNCTION("""COMPUTED_VALUE"""),"-")</f>
        <v>-</v>
      </c>
      <c r="I3270" s="237" t="str">
        <f t="shared" si="1"/>
        <v>Dentro</v>
      </c>
      <c r="J3270" s="239" t="e">
        <v>#VALUE!</v>
      </c>
    </row>
    <row r="3271">
      <c r="A3271" s="234" t="s">
        <v>449</v>
      </c>
      <c r="B3271" s="234" t="str">
        <f>IFERROR(__xludf.DUMMYFUNCTION("""COMPUTED_VALUE"""),"Fanout Desconhecido")</f>
        <v>Fanout Desconhecido</v>
      </c>
      <c r="C3271" s="234" t="str">
        <f>IFERROR(__xludf.DUMMYFUNCTION("""COMPUTED_VALUE"""),"-")</f>
        <v>-</v>
      </c>
      <c r="D3271" s="234">
        <f>IFERROR(__xludf.DUMMYFUNCTION("""COMPUTED_VALUE"""),5.0)</f>
        <v>5</v>
      </c>
      <c r="E3271" s="237" t="str">
        <f>IFERROR(__xludf.DUMMYFUNCTION("""COMPUTED_VALUE"""),"LT0PCN01V0141")</f>
        <v>LT0PCN01V0141</v>
      </c>
      <c r="F3271" s="238" t="str">
        <f>IFERROR(__xludf.DUMMYFUNCTION("""COMPUTED_VALUE"""),"-")</f>
        <v>-</v>
      </c>
      <c r="G3271" s="238" t="str">
        <f>IFERROR(__xludf.DUMMYFUNCTION("""COMPUTED_VALUE"""),"-")</f>
        <v>-</v>
      </c>
      <c r="H3271" s="238" t="str">
        <f>IFERROR(__xludf.DUMMYFUNCTION("""COMPUTED_VALUE"""),"-")</f>
        <v>-</v>
      </c>
      <c r="I3271" s="237" t="str">
        <f t="shared" si="1"/>
        <v>Dentro</v>
      </c>
      <c r="J3271" s="239" t="e">
        <v>#VALUE!</v>
      </c>
    </row>
    <row r="3272">
      <c r="A3272" s="234" t="s">
        <v>450</v>
      </c>
      <c r="B3272" s="234" t="str">
        <f>IFERROR(__xludf.DUMMYFUNCTION("""COMPUTED_VALUE"""),"Fanout Desconhecido")</f>
        <v>Fanout Desconhecido</v>
      </c>
      <c r="C3272" s="234" t="str">
        <f>IFERROR(__xludf.DUMMYFUNCTION("""COMPUTED_VALUE"""),"-")</f>
        <v>-</v>
      </c>
      <c r="D3272" s="234">
        <f>IFERROR(__xludf.DUMMYFUNCTION("""COMPUTED_VALUE"""),39.0)</f>
        <v>39</v>
      </c>
      <c r="E3272" s="237" t="str">
        <f>IFERROR(__xludf.DUMMYFUNCTION("""COMPUTED_VALUE"""),"LT0PCN01UW4R1")</f>
        <v>LT0PCN01UW4R1</v>
      </c>
      <c r="F3272" s="238" t="str">
        <f>IFERROR(__xludf.DUMMYFUNCTION("""COMPUTED_VALUE"""),"-")</f>
        <v>-</v>
      </c>
      <c r="G3272" s="238" t="str">
        <f>IFERROR(__xludf.DUMMYFUNCTION("""COMPUTED_VALUE"""),"-")</f>
        <v>-</v>
      </c>
      <c r="H3272" s="238" t="str">
        <f>IFERROR(__xludf.DUMMYFUNCTION("""COMPUTED_VALUE"""),"-")</f>
        <v>-</v>
      </c>
      <c r="I3272" s="237" t="str">
        <f t="shared" si="1"/>
        <v>Dentro</v>
      </c>
      <c r="J3272" s="239" t="e">
        <v>#VALUE!</v>
      </c>
    </row>
    <row r="3273">
      <c r="A3273" s="234" t="s">
        <v>451</v>
      </c>
      <c r="B3273" s="234" t="str">
        <f>IFERROR(__xludf.DUMMYFUNCTION("""COMPUTED_VALUE"""),"Fanout Desconhecido")</f>
        <v>Fanout Desconhecido</v>
      </c>
      <c r="C3273" s="234" t="str">
        <f>IFERROR(__xludf.DUMMYFUNCTION("""COMPUTED_VALUE"""),"-")</f>
        <v>-</v>
      </c>
      <c r="D3273" s="234"/>
      <c r="E3273" s="237" t="str">
        <f>IFERROR(__xludf.DUMMYFUNCTION("""COMPUTED_VALUE"""),"LT0PCN01UWF11")</f>
        <v>LT0PCN01UWF11</v>
      </c>
      <c r="F3273" s="238" t="str">
        <f>IFERROR(__xludf.DUMMYFUNCTION("""COMPUTED_VALUE"""),"-")</f>
        <v>-</v>
      </c>
      <c r="G3273" s="238" t="str">
        <f>IFERROR(__xludf.DUMMYFUNCTION("""COMPUTED_VALUE"""),"-")</f>
        <v>-</v>
      </c>
      <c r="H3273" s="238" t="str">
        <f>IFERROR(__xludf.DUMMYFUNCTION("""COMPUTED_VALUE"""),"-")</f>
        <v>-</v>
      </c>
      <c r="I3273" s="237" t="str">
        <f t="shared" si="1"/>
        <v>Dentro</v>
      </c>
      <c r="J3273" s="239" t="e">
        <v>#VALUE!</v>
      </c>
    </row>
    <row r="3274">
      <c r="A3274" s="234" t="s">
        <v>452</v>
      </c>
      <c r="B3274" s="234" t="str">
        <f>IFERROR(__xludf.DUMMYFUNCTION("""COMPUTED_VALUE"""),"Fanout Desconhecido")</f>
        <v>Fanout Desconhecido</v>
      </c>
      <c r="C3274" s="234" t="str">
        <f>IFERROR(__xludf.DUMMYFUNCTION("""COMPUTED_VALUE"""),"-")</f>
        <v>-</v>
      </c>
      <c r="D3274" s="234">
        <f>IFERROR(__xludf.DUMMYFUNCTION("""COMPUTED_VALUE"""),16.0)</f>
        <v>16</v>
      </c>
      <c r="E3274" s="237" t="str">
        <f>IFERROR(__xludf.DUMMYFUNCTION("""COMPUTED_VALUE"""),"LT0PCN01UWE91")</f>
        <v>LT0PCN01UWE91</v>
      </c>
      <c r="F3274" s="238" t="str">
        <f>IFERROR(__xludf.DUMMYFUNCTION("""COMPUTED_VALUE"""),"-")</f>
        <v>-</v>
      </c>
      <c r="G3274" s="238" t="str">
        <f>IFERROR(__xludf.DUMMYFUNCTION("""COMPUTED_VALUE"""),"-")</f>
        <v>-</v>
      </c>
      <c r="H3274" s="238" t="str">
        <f>IFERROR(__xludf.DUMMYFUNCTION("""COMPUTED_VALUE"""),"-")</f>
        <v>-</v>
      </c>
      <c r="I3274" s="237" t="str">
        <f t="shared" si="1"/>
        <v>Dentro</v>
      </c>
      <c r="J3274" s="239" t="e">
        <v>#VALUE!</v>
      </c>
    </row>
    <row r="3275">
      <c r="A3275" s="234" t="s">
        <v>454</v>
      </c>
      <c r="B3275" s="234" t="str">
        <f>IFERROR(__xludf.DUMMYFUNCTION("""COMPUTED_VALUE"""),"Fanout Desconhecido")</f>
        <v>Fanout Desconhecido</v>
      </c>
      <c r="C3275" s="234" t="str">
        <f>IFERROR(__xludf.DUMMYFUNCTION("""COMPUTED_VALUE"""),"-")</f>
        <v>-</v>
      </c>
      <c r="D3275" s="234">
        <f>IFERROR(__xludf.DUMMYFUNCTION("""COMPUTED_VALUE"""),37.0)</f>
        <v>37</v>
      </c>
      <c r="E3275" s="237" t="str">
        <f>IFERROR(__xludf.DUMMYFUNCTION("""COMPUTED_VALUE"""),"LT0PCN01UWEN1")</f>
        <v>LT0PCN01UWEN1</v>
      </c>
      <c r="F3275" s="238" t="str">
        <f>IFERROR(__xludf.DUMMYFUNCTION("""COMPUTED_VALUE"""),"-")</f>
        <v>-</v>
      </c>
      <c r="G3275" s="238" t="str">
        <f>IFERROR(__xludf.DUMMYFUNCTION("""COMPUTED_VALUE"""),"-")</f>
        <v>-</v>
      </c>
      <c r="H3275" s="238" t="str">
        <f>IFERROR(__xludf.DUMMYFUNCTION("""COMPUTED_VALUE"""),"-")</f>
        <v>-</v>
      </c>
      <c r="I3275" s="237" t="str">
        <f t="shared" si="1"/>
        <v>Dentro</v>
      </c>
      <c r="J3275" s="239" t="e">
        <v>#VALUE!</v>
      </c>
    </row>
    <row r="3276">
      <c r="A3276" s="234" t="s">
        <v>455</v>
      </c>
      <c r="B3276" s="234" t="str">
        <f>IFERROR(__xludf.DUMMYFUNCTION("""COMPUTED_VALUE"""),"Fanout Desconhecido")</f>
        <v>Fanout Desconhecido</v>
      </c>
      <c r="C3276" s="234" t="str">
        <f>IFERROR(__xludf.DUMMYFUNCTION("""COMPUTED_VALUE"""),"-")</f>
        <v>-</v>
      </c>
      <c r="D3276" s="234">
        <f>IFERROR(__xludf.DUMMYFUNCTION("""COMPUTED_VALUE"""),21.0)</f>
        <v>21</v>
      </c>
      <c r="E3276" s="237" t="str">
        <f>IFERROR(__xludf.DUMMYFUNCTION("""COMPUTED_VALUE"""),"LT0PCN01UTC91")</f>
        <v>LT0PCN01UTC91</v>
      </c>
      <c r="F3276" s="238" t="str">
        <f>IFERROR(__xludf.DUMMYFUNCTION("""COMPUTED_VALUE"""),"-")</f>
        <v>-</v>
      </c>
      <c r="G3276" s="238" t="str">
        <f>IFERROR(__xludf.DUMMYFUNCTION("""COMPUTED_VALUE"""),"-")</f>
        <v>-</v>
      </c>
      <c r="H3276" s="238" t="str">
        <f>IFERROR(__xludf.DUMMYFUNCTION("""COMPUTED_VALUE"""),"-")</f>
        <v>-</v>
      </c>
      <c r="I3276" s="237" t="str">
        <f t="shared" si="1"/>
        <v>Dentro</v>
      </c>
      <c r="J3276" s="239" t="e">
        <v>#VALUE!</v>
      </c>
    </row>
    <row r="3277">
      <c r="A3277" s="234" t="s">
        <v>456</v>
      </c>
      <c r="B3277" s="234" t="str">
        <f>IFERROR(__xludf.DUMMYFUNCTION("""COMPUTED_VALUE"""),"Fanout Desconhecido")</f>
        <v>Fanout Desconhecido</v>
      </c>
      <c r="C3277" s="234" t="str">
        <f>IFERROR(__xludf.DUMMYFUNCTION("""COMPUTED_VALUE"""),"-")</f>
        <v>-</v>
      </c>
      <c r="D3277" s="234"/>
      <c r="E3277" s="237" t="str">
        <f>IFERROR(__xludf.DUMMYFUNCTION("""COMPUTED_VALUE"""),"LT0PCN01UWEK1")</f>
        <v>LT0PCN01UWEK1</v>
      </c>
      <c r="F3277" s="238" t="str">
        <f>IFERROR(__xludf.DUMMYFUNCTION("""COMPUTED_VALUE"""),"-")</f>
        <v>-</v>
      </c>
      <c r="G3277" s="238" t="str">
        <f>IFERROR(__xludf.DUMMYFUNCTION("""COMPUTED_VALUE"""),"-")</f>
        <v>-</v>
      </c>
      <c r="H3277" s="238" t="str">
        <f>IFERROR(__xludf.DUMMYFUNCTION("""COMPUTED_VALUE"""),"-")</f>
        <v>-</v>
      </c>
      <c r="I3277" s="237" t="str">
        <f t="shared" si="1"/>
        <v>Dentro</v>
      </c>
      <c r="J3277" s="239" t="e">
        <v>#VALUE!</v>
      </c>
    </row>
    <row r="3278">
      <c r="A3278" s="234" t="s">
        <v>457</v>
      </c>
      <c r="B3278" s="234" t="str">
        <f>IFERROR(__xludf.DUMMYFUNCTION("""COMPUTED_VALUE"""),"Fanout Desconhecido")</f>
        <v>Fanout Desconhecido</v>
      </c>
      <c r="C3278" s="234" t="str">
        <f>IFERROR(__xludf.DUMMYFUNCTION("""COMPUTED_VALUE"""),"-")</f>
        <v>-</v>
      </c>
      <c r="D3278" s="234"/>
      <c r="E3278" s="237" t="str">
        <f>IFERROR(__xludf.DUMMYFUNCTION("""COMPUTED_VALUE"""),"LT0PCN01UWEQ1")</f>
        <v>LT0PCN01UWEQ1</v>
      </c>
      <c r="F3278" s="238" t="str">
        <f>IFERROR(__xludf.DUMMYFUNCTION("""COMPUTED_VALUE"""),"-")</f>
        <v>-</v>
      </c>
      <c r="G3278" s="238" t="str">
        <f>IFERROR(__xludf.DUMMYFUNCTION("""COMPUTED_VALUE"""),"-")</f>
        <v>-</v>
      </c>
      <c r="H3278" s="238" t="str">
        <f>IFERROR(__xludf.DUMMYFUNCTION("""COMPUTED_VALUE"""),"-")</f>
        <v>-</v>
      </c>
      <c r="I3278" s="237" t="str">
        <f t="shared" si="1"/>
        <v>Dentro</v>
      </c>
      <c r="J3278" s="239" t="e">
        <v>#VALUE!</v>
      </c>
    </row>
    <row r="3279">
      <c r="A3279" s="234" t="s">
        <v>458</v>
      </c>
      <c r="B3279" s="234" t="str">
        <f>IFERROR(__xludf.DUMMYFUNCTION("""COMPUTED_VALUE"""),"Fanout Desconhecido")</f>
        <v>Fanout Desconhecido</v>
      </c>
      <c r="C3279" s="234" t="str">
        <f>IFERROR(__xludf.DUMMYFUNCTION("""COMPUTED_VALUE"""),"-")</f>
        <v>-</v>
      </c>
      <c r="D3279" s="234">
        <f>IFERROR(__xludf.DUMMYFUNCTION("""COMPUTED_VALUE"""),17.0)</f>
        <v>17</v>
      </c>
      <c r="E3279" s="237" t="str">
        <f>IFERROR(__xludf.DUMMYFUNCTION("""COMPUTED_VALUE"""),"LT0PCN01UWET1")</f>
        <v>LT0PCN01UWET1</v>
      </c>
      <c r="F3279" s="238" t="str">
        <f>IFERROR(__xludf.DUMMYFUNCTION("""COMPUTED_VALUE"""),"-")</f>
        <v>-</v>
      </c>
      <c r="G3279" s="238" t="str">
        <f>IFERROR(__xludf.DUMMYFUNCTION("""COMPUTED_VALUE"""),"-")</f>
        <v>-</v>
      </c>
      <c r="H3279" s="238" t="str">
        <f>IFERROR(__xludf.DUMMYFUNCTION("""COMPUTED_VALUE"""),"-")</f>
        <v>-</v>
      </c>
      <c r="I3279" s="237" t="str">
        <f t="shared" si="1"/>
        <v>Dentro</v>
      </c>
      <c r="J3279" s="239" t="e">
        <v>#VALUE!</v>
      </c>
    </row>
    <row r="3280">
      <c r="A3280" s="234" t="s">
        <v>460</v>
      </c>
      <c r="B3280" s="234" t="str">
        <f>IFERROR(__xludf.DUMMYFUNCTION("""COMPUTED_VALUE"""),"Fanout Desconhecido")</f>
        <v>Fanout Desconhecido</v>
      </c>
      <c r="C3280" s="234" t="str">
        <f>IFERROR(__xludf.DUMMYFUNCTION("""COMPUTED_VALUE"""),"-")</f>
        <v>-</v>
      </c>
      <c r="D3280" s="234">
        <f>IFERROR(__xludf.DUMMYFUNCTION("""COMPUTED_VALUE"""),40.0)</f>
        <v>40</v>
      </c>
      <c r="E3280" s="237" t="str">
        <f>IFERROR(__xludf.DUMMYFUNCTION("""COMPUTED_VALUE"""),"LT0PCN01V0911")</f>
        <v>LT0PCN01V0911</v>
      </c>
      <c r="F3280" s="238" t="str">
        <f>IFERROR(__xludf.DUMMYFUNCTION("""COMPUTED_VALUE"""),"-")</f>
        <v>-</v>
      </c>
      <c r="G3280" s="238" t="str">
        <f>IFERROR(__xludf.DUMMYFUNCTION("""COMPUTED_VALUE"""),"-")</f>
        <v>-</v>
      </c>
      <c r="H3280" s="238" t="str">
        <f>IFERROR(__xludf.DUMMYFUNCTION("""COMPUTED_VALUE"""),"-")</f>
        <v>-</v>
      </c>
      <c r="I3280" s="237" t="str">
        <f t="shared" si="1"/>
        <v>Dentro</v>
      </c>
      <c r="J3280" s="239" t="e">
        <v>#VALUE!</v>
      </c>
    </row>
    <row r="3281">
      <c r="A3281" s="234" t="s">
        <v>463</v>
      </c>
      <c r="B3281" s="234" t="str">
        <f>IFERROR(__xludf.DUMMYFUNCTION("""COMPUTED_VALUE"""),"Fanout Desconhecido")</f>
        <v>Fanout Desconhecido</v>
      </c>
      <c r="C3281" s="234" t="str">
        <f>IFERROR(__xludf.DUMMYFUNCTION("""COMPUTED_VALUE"""),"-")</f>
        <v>-</v>
      </c>
      <c r="D3281" s="234">
        <f>IFERROR(__xludf.DUMMYFUNCTION("""COMPUTED_VALUE"""),4.0)</f>
        <v>4</v>
      </c>
      <c r="E3281" s="237" t="str">
        <f>IFERROR(__xludf.DUMMYFUNCTION("""COMPUTED_VALUE"""),"LT0PCN01UTHC1")</f>
        <v>LT0PCN01UTHC1</v>
      </c>
      <c r="F3281" s="238" t="str">
        <f>IFERROR(__xludf.DUMMYFUNCTION("""COMPUTED_VALUE"""),"-")</f>
        <v>-</v>
      </c>
      <c r="G3281" s="238" t="str">
        <f>IFERROR(__xludf.DUMMYFUNCTION("""COMPUTED_VALUE"""),"-")</f>
        <v>-</v>
      </c>
      <c r="H3281" s="238" t="str">
        <f>IFERROR(__xludf.DUMMYFUNCTION("""COMPUTED_VALUE"""),"-")</f>
        <v>-</v>
      </c>
      <c r="I3281" s="237" t="str">
        <f t="shared" si="1"/>
        <v>Dentro</v>
      </c>
      <c r="J3281" s="239" t="e">
        <v>#VALUE!</v>
      </c>
    </row>
    <row r="3282">
      <c r="A3282" s="234" t="s">
        <v>4650</v>
      </c>
      <c r="B3282" s="234" t="str">
        <f>IFERROR(__xludf.DUMMYFUNCTION("""COMPUTED_VALUE"""),"Fanout Desconhecido")</f>
        <v>Fanout Desconhecido</v>
      </c>
      <c r="C3282" s="234" t="str">
        <f>IFERROR(__xludf.DUMMYFUNCTION("""COMPUTED_VALUE"""),"-")</f>
        <v>-</v>
      </c>
      <c r="D3282" s="234"/>
      <c r="E3282" s="237" t="str">
        <f>IFERROR(__xludf.DUMMYFUNCTION("""COMPUTED_VALUE"""),"LT1PCM01V6AW1")</f>
        <v>LT1PCM01V6AW1</v>
      </c>
      <c r="F3282" s="238" t="str">
        <f>IFERROR(__xludf.DUMMYFUNCTION("""COMPUTED_VALUE"""),"-")</f>
        <v>-</v>
      </c>
      <c r="G3282" s="238" t="str">
        <f>IFERROR(__xludf.DUMMYFUNCTION("""COMPUTED_VALUE"""),"-")</f>
        <v>-</v>
      </c>
      <c r="H3282" s="238" t="str">
        <f>IFERROR(__xludf.DUMMYFUNCTION("""COMPUTED_VALUE"""),"-")</f>
        <v>-</v>
      </c>
      <c r="I3282" s="237" t="str">
        <f t="shared" si="1"/>
        <v>Dentro</v>
      </c>
      <c r="J3282" s="239">
        <v>599.0000000037253</v>
      </c>
    </row>
    <row r="3283">
      <c r="A3283" s="234" t="s">
        <v>487</v>
      </c>
      <c r="B3283" s="234" t="str">
        <f>IFERROR(__xludf.DUMMYFUNCTION("""COMPUTED_VALUE"""),"SoC_GO_Goiânia_02")</f>
        <v>SoC_GO_Goiânia_02</v>
      </c>
      <c r="C3283" s="234" t="str">
        <f>IFERROR(__xludf.DUMMYFUNCTION("""COMPUTED_VALUE"""),"SOC-GO2")</f>
        <v>SOC-GO2</v>
      </c>
      <c r="D3283" s="234">
        <f>IFERROR(__xludf.DUMMYFUNCTION("""COMPUTED_VALUE"""),86.0)</f>
        <v>86</v>
      </c>
      <c r="E3283" s="237" t="str">
        <f>IFERROR(__xludf.DUMMYFUNCTION("""COMPUTED_VALUE"""),"LT0PCN01UZIM1")</f>
        <v>LT0PCN01UZIM1</v>
      </c>
      <c r="F3283" s="238" t="str">
        <f>IFERROR(__xludf.DUMMYFUNCTION("""COMPUTED_VALUE"""),"EWJ0G18,SBZ8B64")</f>
        <v>EWJ0G18,SBZ8B64</v>
      </c>
      <c r="G3283" s="238">
        <f>IFERROR(__xludf.DUMMYFUNCTION("""COMPUTED_VALUE"""),46014.25069444445)</f>
        <v>46014.25069</v>
      </c>
      <c r="H3283" s="238">
        <f>IFERROR(__xludf.DUMMYFUNCTION("""COMPUTED_VALUE"""),46014.66666666667)</f>
        <v>46014.66667</v>
      </c>
      <c r="I3283" s="237" t="str">
        <f t="shared" si="1"/>
        <v>Fora</v>
      </c>
      <c r="J3283" s="239">
        <v>119.99999999301508</v>
      </c>
    </row>
    <row r="3284">
      <c r="A3284" s="234" t="s">
        <v>488</v>
      </c>
      <c r="B3284" s="234" t="str">
        <f>IFERROR(__xludf.DUMMYFUNCTION("""COMPUTED_VALUE"""),"SoC_SP_Cravinhos")</f>
        <v>SoC_SP_Cravinhos</v>
      </c>
      <c r="C3284" s="234" t="str">
        <f>IFERROR(__xludf.DUMMYFUNCTION("""COMPUTED_VALUE"""),"SOC-SP5")</f>
        <v>SOC-SP5</v>
      </c>
      <c r="D3284" s="234">
        <f>IFERROR(__xludf.DUMMYFUNCTION("""COMPUTED_VALUE"""),94.0)</f>
        <v>94</v>
      </c>
      <c r="E3284" s="237" t="str">
        <f>IFERROR(__xludf.DUMMYFUNCTION("""COMPUTED_VALUE"""),"LT1PCN01VNPB1")</f>
        <v>LT1PCN01VNPB1</v>
      </c>
      <c r="F3284" s="238" t="str">
        <f>IFERROR(__xludf.DUMMYFUNCTION("""COMPUTED_VALUE"""),"SWT4J43,ECM4J60")</f>
        <v>SWT4J43,ECM4J60</v>
      </c>
      <c r="G3284" s="238">
        <f>IFERROR(__xludf.DUMMYFUNCTION("""COMPUTED_VALUE"""),46014.66666666667)</f>
        <v>46014.66667</v>
      </c>
      <c r="H3284" s="238">
        <f>IFERROR(__xludf.DUMMYFUNCTION("""COMPUTED_VALUE"""),46014.75)</f>
        <v>46014.75</v>
      </c>
      <c r="I3284" s="237" t="str">
        <f t="shared" si="1"/>
        <v>Fora</v>
      </c>
      <c r="J3284" s="239">
        <v>119.99999999301508</v>
      </c>
    </row>
    <row r="3285">
      <c r="A3285" s="234" t="s">
        <v>489</v>
      </c>
      <c r="B3285" s="234" t="str">
        <f>IFERROR(__xludf.DUMMYFUNCTION("""COMPUTED_VALUE"""),"SoC_PE_Jaboatão dos Guararapes")</f>
        <v>SoC_PE_Jaboatão dos Guararapes</v>
      </c>
      <c r="C3285" s="234" t="str">
        <f>IFERROR(__xludf.DUMMYFUNCTION("""COMPUTED_VALUE"""),"SOC-PE2")</f>
        <v>SOC-PE2</v>
      </c>
      <c r="D3285" s="234">
        <f>IFERROR(__xludf.DUMMYFUNCTION("""COMPUTED_VALUE"""),99.0)</f>
        <v>99</v>
      </c>
      <c r="E3285" s="237" t="str">
        <f>IFERROR(__xludf.DUMMYFUNCTION("""COMPUTED_VALUE"""),"LT1PCN01VNQ01")</f>
        <v>LT1PCN01VNQ01</v>
      </c>
      <c r="F3285" s="238" t="str">
        <f>IFERROR(__xludf.DUMMYFUNCTION("""COMPUTED_VALUE"""),"BAK1D27,BEV4D31")</f>
        <v>BAK1D27,BEV4D31</v>
      </c>
      <c r="G3285" s="238">
        <f>IFERROR(__xludf.DUMMYFUNCTION("""COMPUTED_VALUE"""),46014.75)</f>
        <v>46014.75</v>
      </c>
      <c r="H3285" s="238">
        <f>IFERROR(__xludf.DUMMYFUNCTION("""COMPUTED_VALUE"""),46014.83333333333)</f>
        <v>46014.83333</v>
      </c>
      <c r="I3285" s="237" t="str">
        <f t="shared" si="1"/>
        <v>Fora</v>
      </c>
      <c r="J3285" s="239">
        <v>118.99999998975545</v>
      </c>
    </row>
    <row r="3286">
      <c r="A3286" s="234" t="s">
        <v>4651</v>
      </c>
      <c r="B3286" s="234" t="str">
        <f>IFERROR(__xludf.DUMMYFUNCTION("""COMPUTED_VALUE"""),"LM Hub_SP_Jurubatuba")</f>
        <v>LM Hub_SP_Jurubatuba</v>
      </c>
      <c r="C3286" s="234" t="str">
        <f>IFERROR(__xludf.DUMMYFUNCTION("""COMPUTED_VALUE"""),"HUB-LSP-16")</f>
        <v>HUB-LSP-16</v>
      </c>
      <c r="D3286" s="234">
        <f>IFERROR(__xludf.DUMMYFUNCTION("""COMPUTED_VALUE"""),27.0)</f>
        <v>27</v>
      </c>
      <c r="E3286" s="237" t="str">
        <f>IFERROR(__xludf.DUMMYFUNCTION("""COMPUTED_VALUE"""),"LT0PCN01UTC41")</f>
        <v>LT0PCN01UTC41</v>
      </c>
      <c r="F3286" s="238" t="str">
        <f>IFERROR(__xludf.DUMMYFUNCTION("""COMPUTED_VALUE"""),"DTD4722,NCK7E66")</f>
        <v>DTD4722,NCK7E66</v>
      </c>
      <c r="G3286" s="238">
        <f>IFERROR(__xludf.DUMMYFUNCTION("""COMPUTED_VALUE"""),46014.81319444445)</f>
        <v>46014.81319</v>
      </c>
      <c r="H3286" s="238">
        <f>IFERROR(__xludf.DUMMYFUNCTION("""COMPUTED_VALUE"""),46014.89583333333)</f>
        <v>46014.89583</v>
      </c>
      <c r="I3286" s="237" t="str">
        <f t="shared" si="1"/>
        <v>Fora</v>
      </c>
      <c r="J3286" s="239">
        <v>118.99999998975545</v>
      </c>
    </row>
    <row r="3287">
      <c r="A3287" s="234" t="s">
        <v>4652</v>
      </c>
      <c r="B3287" s="234" t="str">
        <f>IFERROR(__xludf.DUMMYFUNCTION("""COMPUTED_VALUE"""),"LM Hub_SP_Sorocaba_Região Norte")</f>
        <v>LM Hub_SP_Sorocaba_Região Norte</v>
      </c>
      <c r="C3287" s="234" t="str">
        <f>IFERROR(__xludf.DUMMYFUNCTION("""COMPUTED_VALUE"""),"HUB-LSP-10")</f>
        <v>HUB-LSP-10</v>
      </c>
      <c r="D3287" s="234">
        <f>IFERROR(__xludf.DUMMYFUNCTION("""COMPUTED_VALUE"""),28.0)</f>
        <v>28</v>
      </c>
      <c r="E3287" s="237" t="str">
        <f>IFERROR(__xludf.DUMMYFUNCTION("""COMPUTED_VALUE"""),"LT0PCN01UVQE1")</f>
        <v>LT0PCN01UVQE1</v>
      </c>
      <c r="F3287" s="238" t="str">
        <f>IFERROR(__xludf.DUMMYFUNCTION("""COMPUTED_VALUE"""),"FPJ8F20,DBM0H33")</f>
        <v>FPJ8F20,DBM0H33</v>
      </c>
      <c r="G3287" s="238">
        <f>IFERROR(__xludf.DUMMYFUNCTION("""COMPUTED_VALUE"""),46014.81319444445)</f>
        <v>46014.81319</v>
      </c>
      <c r="H3287" s="238">
        <f>IFERROR(__xludf.DUMMYFUNCTION("""COMPUTED_VALUE"""),46014.89583333333)</f>
        <v>46014.89583</v>
      </c>
      <c r="I3287" s="237" t="str">
        <f t="shared" si="1"/>
        <v>Fora</v>
      </c>
      <c r="J3287" s="239">
        <v>178.99999999674037</v>
      </c>
    </row>
    <row r="3288">
      <c r="A3288" s="234" t="s">
        <v>491</v>
      </c>
      <c r="B3288" s="234" t="str">
        <f>IFERROR(__xludf.DUMMYFUNCTION("""COMPUTED_VALUE"""),"SoC_SC_Itajaí")</f>
        <v>SoC_SC_Itajaí</v>
      </c>
      <c r="C3288" s="234" t="str">
        <f>IFERROR(__xludf.DUMMYFUNCTION("""COMPUTED_VALUE"""),"SOC-SC1")</f>
        <v>SOC-SC1</v>
      </c>
      <c r="D3288" s="234">
        <f>IFERROR(__xludf.DUMMYFUNCTION("""COMPUTED_VALUE"""),21.0)</f>
        <v>21</v>
      </c>
      <c r="E3288" s="237" t="str">
        <f>IFERROR(__xludf.DUMMYFUNCTION("""COMPUTED_VALUE"""),"LT0PCN01UYNM2")</f>
        <v>LT0PCN01UYNM2</v>
      </c>
      <c r="F3288" s="238" t="str">
        <f>IFERROR(__xludf.DUMMYFUNCTION("""COMPUTED_VALUE"""),"AXN2G91,PQT1A41")</f>
        <v>AXN2G91,PQT1A41</v>
      </c>
      <c r="G3288" s="238">
        <f>IFERROR(__xludf.DUMMYFUNCTION("""COMPUTED_VALUE"""),46014.834027777775)</f>
        <v>46014.83403</v>
      </c>
      <c r="H3288" s="238">
        <f>IFERROR(__xludf.DUMMYFUNCTION("""COMPUTED_VALUE"""),46014.95833333333)</f>
        <v>46014.95833</v>
      </c>
      <c r="I3288" s="237" t="str">
        <f t="shared" si="1"/>
        <v>Fora</v>
      </c>
      <c r="J3288" s="239">
        <v>178.99999999674037</v>
      </c>
    </row>
    <row r="3289">
      <c r="A3289" s="234" t="s">
        <v>492</v>
      </c>
      <c r="B3289" s="234" t="str">
        <f>IFERROR(__xludf.DUMMYFUNCTION("""COMPUTED_VALUE"""),"SoC_SC_Itajaí")</f>
        <v>SoC_SC_Itajaí</v>
      </c>
      <c r="C3289" s="234" t="str">
        <f>IFERROR(__xludf.DUMMYFUNCTION("""COMPUTED_VALUE"""),"SOC-SC1")</f>
        <v>SOC-SC1</v>
      </c>
      <c r="D3289" s="234">
        <f>IFERROR(__xludf.DUMMYFUNCTION("""COMPUTED_VALUE"""),100.0)</f>
        <v>100</v>
      </c>
      <c r="E3289" s="237" t="str">
        <f>IFERROR(__xludf.DUMMYFUNCTION("""COMPUTED_VALUE"""),"LT0PCN01UYNL1")</f>
        <v>LT0PCN01UYNL1</v>
      </c>
      <c r="F3289" s="238" t="str">
        <f>IFERROR(__xludf.DUMMYFUNCTION("""COMPUTED_VALUE"""),"TBV9I29,MIX7C03")</f>
        <v>TBV9I29,MIX7C03</v>
      </c>
      <c r="G3289" s="238">
        <f>IFERROR(__xludf.DUMMYFUNCTION("""COMPUTED_VALUE"""),46014.834027777775)</f>
        <v>46014.83403</v>
      </c>
      <c r="H3289" s="238">
        <f>IFERROR(__xludf.DUMMYFUNCTION("""COMPUTED_VALUE"""),46014.95833333333)</f>
        <v>46014.95833</v>
      </c>
      <c r="I3289" s="237" t="str">
        <f t="shared" si="1"/>
        <v>Fora</v>
      </c>
      <c r="J3289" s="239">
        <v>120.00000001396984</v>
      </c>
    </row>
    <row r="3290">
      <c r="A3290" s="234" t="s">
        <v>4653</v>
      </c>
      <c r="B3290" s="234" t="str">
        <f>IFERROR(__xludf.DUMMYFUNCTION("""COMPUTED_VALUE"""),"LM Hub_RJ_Jacarepaguá")</f>
        <v>LM Hub_RJ_Jacarepaguá</v>
      </c>
      <c r="C3290" s="234" t="str">
        <f>IFERROR(__xludf.DUMMYFUNCTION("""COMPUTED_VALUE"""),"HUB-LRJ-29")</f>
        <v>HUB-LRJ-29</v>
      </c>
      <c r="D3290" s="234">
        <f>IFERROR(__xludf.DUMMYFUNCTION("""COMPUTED_VALUE"""),12.0)</f>
        <v>12</v>
      </c>
      <c r="E3290" s="237" t="str">
        <f>IFERROR(__xludf.DUMMYFUNCTION("""COMPUTED_VALUE"""),"LT0PCN01UZGP1")</f>
        <v>LT0PCN01UZGP1</v>
      </c>
      <c r="F3290" s="238" t="str">
        <f>IFERROR(__xludf.DUMMYFUNCTION("""COMPUTED_VALUE"""),"TBQ8J52,SWC6J05")</f>
        <v>TBQ8J52,SWC6J05</v>
      </c>
      <c r="G3290" s="238">
        <f>IFERROR(__xludf.DUMMYFUNCTION("""COMPUTED_VALUE"""),46014.89583333333)</f>
        <v>46014.89583</v>
      </c>
      <c r="H3290" s="238">
        <f>IFERROR(__xludf.DUMMYFUNCTION("""COMPUTED_VALUE"""),46014.97916666667)</f>
        <v>46014.97917</v>
      </c>
      <c r="I3290" s="237" t="str">
        <f t="shared" si="1"/>
        <v>Fora</v>
      </c>
      <c r="J3290" s="239">
        <v>120.00000001396984</v>
      </c>
    </row>
    <row r="3291">
      <c r="A3291" s="234" t="s">
        <v>4654</v>
      </c>
      <c r="B3291" s="234" t="str">
        <f>IFERROR(__xludf.DUMMYFUNCTION("""COMPUTED_VALUE"""),"LM Hub_SP_São Paulo_Lapa")</f>
        <v>LM Hub_SP_São Paulo_Lapa</v>
      </c>
      <c r="C3291" s="234" t="str">
        <f>IFERROR(__xludf.DUMMYFUNCTION("""COMPUTED_VALUE"""),"HUB-LSP-15")</f>
        <v>HUB-LSP-15</v>
      </c>
      <c r="D3291" s="234"/>
      <c r="E3291" s="237" t="str">
        <f>IFERROR(__xludf.DUMMYFUNCTION("""COMPUTED_VALUE"""),"LT0PCN01UVNR1")</f>
        <v>LT0PCN01UVNR1</v>
      </c>
      <c r="F3291" s="238" t="str">
        <f>IFERROR(__xludf.DUMMYFUNCTION("""COMPUTED_VALUE"""),"DVT5D28,DTC7I46")</f>
        <v>DVT5D28,DTC7I46</v>
      </c>
      <c r="G3291" s="238">
        <f>IFERROR(__xludf.DUMMYFUNCTION("""COMPUTED_VALUE"""),46014.89583333333)</f>
        <v>46014.89583</v>
      </c>
      <c r="H3291" s="238">
        <f>IFERROR(__xludf.DUMMYFUNCTION("""COMPUTED_VALUE"""),46014.97916666667)</f>
        <v>46014.97917</v>
      </c>
      <c r="I3291" s="237" t="str">
        <f t="shared" si="1"/>
        <v>Fora</v>
      </c>
      <c r="J3291" s="239">
        <v>119.00000001071021</v>
      </c>
    </row>
    <row r="3292">
      <c r="A3292" s="234" t="s">
        <v>4655</v>
      </c>
      <c r="B3292" s="234" t="str">
        <f>IFERROR(__xludf.DUMMYFUNCTION("""COMPUTED_VALUE"""),"LM Hub_SP_Itaqua_Zimba")</f>
        <v>LM Hub_SP_Itaqua_Zimba</v>
      </c>
      <c r="C3292" s="234" t="str">
        <f>IFERROR(__xludf.DUMMYFUNCTION("""COMPUTED_VALUE"""),"HUB-LSP-74")</f>
        <v>HUB-LSP-74</v>
      </c>
      <c r="D3292" s="234"/>
      <c r="E3292" s="237" t="str">
        <f>IFERROR(__xludf.DUMMYFUNCTION("""COMPUTED_VALUE"""),"LT0PCN01UVOW1")</f>
        <v>LT0PCN01UVOW1</v>
      </c>
      <c r="F3292" s="238" t="str">
        <f>IFERROR(__xludf.DUMMYFUNCTION("""COMPUTED_VALUE"""),"FNY8F71,TMH5F48")</f>
        <v>FNY8F71,TMH5F48</v>
      </c>
      <c r="G3292" s="238">
        <f>IFERROR(__xludf.DUMMYFUNCTION("""COMPUTED_VALUE"""),46014.896527777775)</f>
        <v>46014.89653</v>
      </c>
      <c r="H3292" s="238">
        <f>IFERROR(__xludf.DUMMYFUNCTION("""COMPUTED_VALUE"""),46014.97916666667)</f>
        <v>46014.97917</v>
      </c>
      <c r="I3292" s="237" t="str">
        <f t="shared" si="1"/>
        <v>Fora</v>
      </c>
      <c r="J3292" s="239">
        <v>119.00000001071021</v>
      </c>
    </row>
    <row r="3293">
      <c r="A3293" s="234" t="s">
        <v>4656</v>
      </c>
      <c r="B3293" s="234" t="str">
        <f>IFERROR(__xludf.DUMMYFUNCTION("""COMPUTED_VALUE"""),"LM Hub_SP_Jurubatuba")</f>
        <v>LM Hub_SP_Jurubatuba</v>
      </c>
      <c r="C3293" s="234" t="str">
        <f>IFERROR(__xludf.DUMMYFUNCTION("""COMPUTED_VALUE"""),"HUB-LSP-16")</f>
        <v>HUB-LSP-16</v>
      </c>
      <c r="D3293" s="234">
        <f>IFERROR(__xludf.DUMMYFUNCTION("""COMPUTED_VALUE"""),12.0)</f>
        <v>12</v>
      </c>
      <c r="E3293" s="237" t="str">
        <f>IFERROR(__xludf.DUMMYFUNCTION("""COMPUTED_VALUE"""),"LT0PCN01UTC61")</f>
        <v>LT0PCN01UTC61</v>
      </c>
      <c r="F3293" s="238" t="str">
        <f>IFERROR(__xludf.DUMMYFUNCTION("""COMPUTED_VALUE"""),"CVN4I47,DJE7A45")</f>
        <v>CVN4I47,DJE7A45</v>
      </c>
      <c r="G3293" s="238">
        <f>IFERROR(__xludf.DUMMYFUNCTION("""COMPUTED_VALUE"""),46014.896527777775)</f>
        <v>46014.89653</v>
      </c>
      <c r="H3293" s="238">
        <f>IFERROR(__xludf.DUMMYFUNCTION("""COMPUTED_VALUE"""),46014.97916666667)</f>
        <v>46014.97917</v>
      </c>
      <c r="I3293" s="237" t="str">
        <f t="shared" si="1"/>
        <v>Fora</v>
      </c>
      <c r="J3293" s="239">
        <v>119.00000001071021</v>
      </c>
    </row>
    <row r="3294">
      <c r="A3294" s="234" t="s">
        <v>4657</v>
      </c>
      <c r="B3294" s="234" t="str">
        <f>IFERROR(__xludf.DUMMYFUNCTION("""COMPUTED_VALUE"""),"LM Hub_SP_Santos_Praia Grande")</f>
        <v>LM Hub_SP_Santos_Praia Grande</v>
      </c>
      <c r="C3294" s="234" t="str">
        <f>IFERROR(__xludf.DUMMYFUNCTION("""COMPUTED_VALUE"""),"HUB-LSP-09")</f>
        <v>HUB-LSP-09</v>
      </c>
      <c r="D3294" s="234">
        <f>IFERROR(__xludf.DUMMYFUNCTION("""COMPUTED_VALUE"""),24.0)</f>
        <v>24</v>
      </c>
      <c r="E3294" s="237" t="str">
        <f>IFERROR(__xludf.DUMMYFUNCTION("""COMPUTED_VALUE"""),"LT0PCN01UVQ62")</f>
        <v>LT0PCN01UVQ62</v>
      </c>
      <c r="F3294" s="238" t="str">
        <f>IFERROR(__xludf.DUMMYFUNCTION("""COMPUTED_VALUE"""),"GIB8A68,EGG3792")</f>
        <v>GIB8A68,EGG3792</v>
      </c>
      <c r="G3294" s="238">
        <f>IFERROR(__xludf.DUMMYFUNCTION("""COMPUTED_VALUE"""),46014.896527777775)</f>
        <v>46014.89653</v>
      </c>
      <c r="H3294" s="238">
        <f>IFERROR(__xludf.DUMMYFUNCTION("""COMPUTED_VALUE"""),46014.97916666667)</f>
        <v>46014.97917</v>
      </c>
      <c r="I3294" s="237" t="str">
        <f t="shared" si="1"/>
        <v>Fora</v>
      </c>
      <c r="J3294" s="239">
        <v>119.00000001071021</v>
      </c>
    </row>
    <row r="3295">
      <c r="A3295" s="234" t="s">
        <v>4658</v>
      </c>
      <c r="B3295" s="234" t="str">
        <f>IFERROR(__xludf.DUMMYFUNCTION("""COMPUTED_VALUE"""),"LM Hub_SP_Santos_Praia Grande")</f>
        <v>LM Hub_SP_Santos_Praia Grande</v>
      </c>
      <c r="C3295" s="234" t="str">
        <f>IFERROR(__xludf.DUMMYFUNCTION("""COMPUTED_VALUE"""),"HUB-LSP-09")</f>
        <v>HUB-LSP-09</v>
      </c>
      <c r="D3295" s="234">
        <f>IFERROR(__xludf.DUMMYFUNCTION("""COMPUTED_VALUE"""),24.0)</f>
        <v>24</v>
      </c>
      <c r="E3295" s="237" t="str">
        <f>IFERROR(__xludf.DUMMYFUNCTION("""COMPUTED_VALUE"""),"LT0PCN01UVQ41")</f>
        <v>LT0PCN01UVQ41</v>
      </c>
      <c r="F3295" s="238" t="str">
        <f>IFERROR(__xludf.DUMMYFUNCTION("""COMPUTED_VALUE"""),"AYZ1F74,EVB7J31")</f>
        <v>AYZ1F74,EVB7J31</v>
      </c>
      <c r="G3295" s="238">
        <f>IFERROR(__xludf.DUMMYFUNCTION("""COMPUTED_VALUE"""),46014.896527777775)</f>
        <v>46014.89653</v>
      </c>
      <c r="H3295" s="238">
        <f>IFERROR(__xludf.DUMMYFUNCTION("""COMPUTED_VALUE"""),46014.97916666667)</f>
        <v>46014.97917</v>
      </c>
      <c r="I3295" s="237" t="str">
        <f t="shared" si="1"/>
        <v>Fora</v>
      </c>
      <c r="J3295" s="239">
        <v>119.00000001071021</v>
      </c>
    </row>
    <row r="3296">
      <c r="A3296" s="234" t="s">
        <v>4659</v>
      </c>
      <c r="B3296" s="234" t="str">
        <f>IFERROR(__xludf.DUMMYFUNCTION("""COMPUTED_VALUE"""),"LM Hub_SP_São José dos Campos")</f>
        <v>LM Hub_SP_São José dos Campos</v>
      </c>
      <c r="C3296" s="234" t="str">
        <f>IFERROR(__xludf.DUMMYFUNCTION("""COMPUTED_VALUE"""),"HUB-LSP-04")</f>
        <v>HUB-LSP-04</v>
      </c>
      <c r="D3296" s="234">
        <f>IFERROR(__xludf.DUMMYFUNCTION("""COMPUTED_VALUE"""),17.0)</f>
        <v>17</v>
      </c>
      <c r="E3296" s="237" t="str">
        <f>IFERROR(__xludf.DUMMYFUNCTION("""COMPUTED_VALUE"""),"LT0PCN01UVQX1")</f>
        <v>LT0PCN01UVQX1</v>
      </c>
      <c r="F3296" s="238" t="str">
        <f>IFERROR(__xludf.DUMMYFUNCTION("""COMPUTED_VALUE"""),"EOK0A95")</f>
        <v>EOK0A95</v>
      </c>
      <c r="G3296" s="238">
        <f>IFERROR(__xludf.DUMMYFUNCTION("""COMPUTED_VALUE"""),46014.896527777775)</f>
        <v>46014.89653</v>
      </c>
      <c r="H3296" s="238">
        <f>IFERROR(__xludf.DUMMYFUNCTION("""COMPUTED_VALUE"""),46014.97916666667)</f>
        <v>46014.97917</v>
      </c>
      <c r="I3296" s="237" t="str">
        <f t="shared" si="1"/>
        <v>Fora</v>
      </c>
      <c r="J3296" s="239">
        <v>118.00000000745058</v>
      </c>
    </row>
    <row r="3297">
      <c r="A3297" s="234" t="s">
        <v>4660</v>
      </c>
      <c r="B3297" s="234" t="str">
        <f>IFERROR(__xludf.DUMMYFUNCTION("""COMPUTED_VALUE"""),"LM Hub_SP_São José dos Campos")</f>
        <v>LM Hub_SP_São José dos Campos</v>
      </c>
      <c r="C3297" s="234" t="str">
        <f>IFERROR(__xludf.DUMMYFUNCTION("""COMPUTED_VALUE"""),"HUB-LSP-04")</f>
        <v>HUB-LSP-04</v>
      </c>
      <c r="D3297" s="234"/>
      <c r="E3297" s="237" t="str">
        <f>IFERROR(__xludf.DUMMYFUNCTION("""COMPUTED_VALUE"""),"LT0PCN01UTCH1")</f>
        <v>LT0PCN01UTCH1</v>
      </c>
      <c r="F3297" s="238" t="str">
        <f>IFERROR(__xludf.DUMMYFUNCTION("""COMPUTED_VALUE"""),"TIR7J78")</f>
        <v>TIR7J78</v>
      </c>
      <c r="G3297" s="238">
        <f>IFERROR(__xludf.DUMMYFUNCTION("""COMPUTED_VALUE"""),46014.89722222222)</f>
        <v>46014.89722</v>
      </c>
      <c r="H3297" s="238">
        <f>IFERROR(__xludf.DUMMYFUNCTION("""COMPUTED_VALUE"""),46014.97916666667)</f>
        <v>46014.97917</v>
      </c>
      <c r="I3297" s="237" t="str">
        <f t="shared" si="1"/>
        <v>Fora</v>
      </c>
      <c r="J3297" s="239">
        <v>118.99999998975545</v>
      </c>
    </row>
    <row r="3298">
      <c r="A3298" s="234" t="s">
        <v>4661</v>
      </c>
      <c r="B3298" s="234" t="str">
        <f>IFERROR(__xludf.DUMMYFUNCTION("""COMPUTED_VALUE"""),"LM Hub_SP_Guarujá")</f>
        <v>LM Hub_SP_Guarujá</v>
      </c>
      <c r="C3298" s="234" t="str">
        <f>IFERROR(__xludf.DUMMYFUNCTION("""COMPUTED_VALUE"""),"HUB-LSP-06")</f>
        <v>HUB-LSP-06</v>
      </c>
      <c r="D3298" s="234">
        <f>IFERROR(__xludf.DUMMYFUNCTION("""COMPUTED_VALUE"""),15.0)</f>
        <v>15</v>
      </c>
      <c r="E3298" s="237" t="str">
        <f>IFERROR(__xludf.DUMMYFUNCTION("""COMPUTED_VALUE"""),"LT0PCN01UVPF1")</f>
        <v>LT0PCN01UVPF1</v>
      </c>
      <c r="F3298" s="238" t="str">
        <f>IFERROR(__xludf.DUMMYFUNCTION("""COMPUTED_VALUE"""),"GFQ6J64")</f>
        <v>GFQ6J64</v>
      </c>
      <c r="G3298" s="238">
        <f>IFERROR(__xludf.DUMMYFUNCTION("""COMPUTED_VALUE"""),46014.91666666667)</f>
        <v>46014.91667</v>
      </c>
      <c r="H3298" s="238">
        <f>IFERROR(__xludf.DUMMYFUNCTION("""COMPUTED_VALUE"""),46014.99930555555)</f>
        <v>46014.99931</v>
      </c>
      <c r="I3298" s="237" t="str">
        <f t="shared" si="1"/>
        <v>Fora</v>
      </c>
      <c r="J3298" s="239">
        <v>119.99999999301508</v>
      </c>
    </row>
    <row r="3299">
      <c r="A3299" s="234" t="s">
        <v>4662</v>
      </c>
      <c r="B3299" s="234" t="str">
        <f>IFERROR(__xludf.DUMMYFUNCTION("""COMPUTED_VALUE"""),"LM Hub_SP_Barueri_01")</f>
        <v>LM Hub_SP_Barueri_01</v>
      </c>
      <c r="C3299" s="234" t="str">
        <f>IFERROR(__xludf.DUMMYFUNCTION("""COMPUTED_VALUE"""),"HUB-LSP-81")</f>
        <v>HUB-LSP-81</v>
      </c>
      <c r="D3299" s="234">
        <f>IFERROR(__xludf.DUMMYFUNCTION("""COMPUTED_VALUE"""),9.0)</f>
        <v>9</v>
      </c>
      <c r="E3299" s="237" t="str">
        <f>IFERROR(__xludf.DUMMYFUNCTION("""COMPUTED_VALUE"""),"LT0PCN01UZ3X1")</f>
        <v>LT0PCN01UZ3X1</v>
      </c>
      <c r="F3299" s="238" t="str">
        <f>IFERROR(__xludf.DUMMYFUNCTION("""COMPUTED_VALUE"""),"SUQ5C99,TLD5B82")</f>
        <v>SUQ5C99,TLD5B82</v>
      </c>
      <c r="G3299" s="238">
        <f>IFERROR(__xludf.DUMMYFUNCTION("""COMPUTED_VALUE"""),46014.91666666667)</f>
        <v>46014.91667</v>
      </c>
      <c r="H3299" s="238">
        <f>IFERROR(__xludf.DUMMYFUNCTION("""COMPUTED_VALUE"""),46015.0)</f>
        <v>46015</v>
      </c>
      <c r="I3299" s="237" t="str">
        <f t="shared" si="1"/>
        <v>Fora</v>
      </c>
      <c r="J3299" s="239">
        <v>119.99999999301508</v>
      </c>
    </row>
    <row r="3300">
      <c r="A3300" s="234" t="s">
        <v>4663</v>
      </c>
      <c r="B3300" s="234" t="str">
        <f>IFERROR(__xludf.DUMMYFUNCTION("""COMPUTED_VALUE"""),"LM Hub_SP_Itapevi")</f>
        <v>LM Hub_SP_Itapevi</v>
      </c>
      <c r="C3300" s="234" t="str">
        <f>IFERROR(__xludf.DUMMYFUNCTION("""COMPUTED_VALUE"""),"HUB-LSP-41")</f>
        <v>HUB-LSP-41</v>
      </c>
      <c r="D3300" s="234">
        <f>IFERROR(__xludf.DUMMYFUNCTION("""COMPUTED_VALUE"""),19.0)</f>
        <v>19</v>
      </c>
      <c r="E3300" s="237" t="str">
        <f>IFERROR(__xludf.DUMMYFUNCTION("""COMPUTED_VALUE"""),"LT0PCN01UVOC1")</f>
        <v>LT0PCN01UVOC1</v>
      </c>
      <c r="F3300" s="238" t="str">
        <f>IFERROR(__xludf.DUMMYFUNCTION("""COMPUTED_VALUE"""),"EMU5F62,FGK3A38")</f>
        <v>EMU5F62,FGK3A38</v>
      </c>
      <c r="G3300" s="238">
        <f>IFERROR(__xludf.DUMMYFUNCTION("""COMPUTED_VALUE"""),46014.91666666667)</f>
        <v>46014.91667</v>
      </c>
      <c r="H3300" s="238">
        <f>IFERROR(__xludf.DUMMYFUNCTION("""COMPUTED_VALUE"""),46015.0)</f>
        <v>46015</v>
      </c>
      <c r="I3300" s="237" t="str">
        <f t="shared" si="1"/>
        <v>Fora</v>
      </c>
      <c r="J3300" s="239">
        <v>119.99999999301508</v>
      </c>
    </row>
    <row r="3301">
      <c r="A3301" s="234" t="s">
        <v>4664</v>
      </c>
      <c r="B3301" s="234" t="str">
        <f>IFERROR(__xludf.DUMMYFUNCTION("""COMPUTED_VALUE"""),"LM Hub_SP_Mauá")</f>
        <v>LM Hub_SP_Mauá</v>
      </c>
      <c r="C3301" s="234" t="str">
        <f>IFERROR(__xludf.DUMMYFUNCTION("""COMPUTED_VALUE"""),"HUB-LSP-64")</f>
        <v>HUB-LSP-64</v>
      </c>
      <c r="D3301" s="234">
        <f>IFERROR(__xludf.DUMMYFUNCTION("""COMPUTED_VALUE"""),14.0)</f>
        <v>14</v>
      </c>
      <c r="E3301" s="237" t="str">
        <f>IFERROR(__xludf.DUMMYFUNCTION("""COMPUTED_VALUE"""),"LT0PCN01UVOM1")</f>
        <v>LT0PCN01UVOM1</v>
      </c>
      <c r="F3301" s="238" t="str">
        <f>IFERROR(__xludf.DUMMYFUNCTION("""COMPUTED_VALUE"""),"FQF6B98,DTA7802")</f>
        <v>FQF6B98,DTA7802</v>
      </c>
      <c r="G3301" s="238">
        <f>IFERROR(__xludf.DUMMYFUNCTION("""COMPUTED_VALUE"""),46014.91666666667)</f>
        <v>46014.91667</v>
      </c>
      <c r="H3301" s="238">
        <f>IFERROR(__xludf.DUMMYFUNCTION("""COMPUTED_VALUE"""),46015.0)</f>
        <v>46015</v>
      </c>
      <c r="I3301" s="237" t="str">
        <f t="shared" si="1"/>
        <v>Fora</v>
      </c>
      <c r="J3301" s="239">
        <v>119.99999999301508</v>
      </c>
    </row>
    <row r="3302">
      <c r="A3302" s="234" t="s">
        <v>4665</v>
      </c>
      <c r="B3302" s="234" t="str">
        <f>IFERROR(__xludf.DUMMYFUNCTION("""COMPUTED_VALUE"""),"LM Hub_SP_Osasco_02")</f>
        <v>LM Hub_SP_Osasco_02</v>
      </c>
      <c r="C3302" s="234" t="str">
        <f>IFERROR(__xludf.DUMMYFUNCTION("""COMPUTED_VALUE"""),"HUB-LSP-60")</f>
        <v>HUB-LSP-60</v>
      </c>
      <c r="D3302" s="234">
        <f>IFERROR(__xludf.DUMMYFUNCTION("""COMPUTED_VALUE"""),29.0)</f>
        <v>29</v>
      </c>
      <c r="E3302" s="237" t="str">
        <f>IFERROR(__xludf.DUMMYFUNCTION("""COMPUTED_VALUE"""),"LT0PCN01UVOH1")</f>
        <v>LT0PCN01UVOH1</v>
      </c>
      <c r="F3302" s="238" t="str">
        <f>IFERROR(__xludf.DUMMYFUNCTION("""COMPUTED_VALUE"""),"MKN4B81,TKJ4H92")</f>
        <v>MKN4B81,TKJ4H92</v>
      </c>
      <c r="G3302" s="238">
        <f>IFERROR(__xludf.DUMMYFUNCTION("""COMPUTED_VALUE"""),46014.91666666667)</f>
        <v>46014.91667</v>
      </c>
      <c r="H3302" s="238">
        <f>IFERROR(__xludf.DUMMYFUNCTION("""COMPUTED_VALUE"""),46015.0)</f>
        <v>46015</v>
      </c>
      <c r="I3302" s="237" t="str">
        <f t="shared" si="1"/>
        <v>Fora</v>
      </c>
      <c r="J3302" s="239">
        <v>119.99999999301508</v>
      </c>
    </row>
    <row r="3303">
      <c r="A3303" s="234" t="s">
        <v>4666</v>
      </c>
      <c r="B3303" s="234" t="str">
        <f>IFERROR(__xludf.DUMMYFUNCTION("""COMPUTED_VALUE"""),"SoC_PE_Jaboatão dos Guararapes")</f>
        <v>SoC_PE_Jaboatão dos Guararapes</v>
      </c>
      <c r="C3303" s="234" t="str">
        <f>IFERROR(__xludf.DUMMYFUNCTION("""COMPUTED_VALUE"""),"SOC-PE2")</f>
        <v>SOC-PE2</v>
      </c>
      <c r="D3303" s="234">
        <f>IFERROR(__xludf.DUMMYFUNCTION("""COMPUTED_VALUE"""),17.0)</f>
        <v>17</v>
      </c>
      <c r="E3303" s="237" t="str">
        <f>IFERROR(__xludf.DUMMYFUNCTION("""COMPUTED_VALUE"""),"LT1PCN01VNQ11")</f>
        <v>LT1PCN01VNQ11</v>
      </c>
      <c r="F3303" s="238" t="str">
        <f>IFERROR(__xludf.DUMMYFUNCTION("""COMPUTED_VALUE"""),"PUV2B40,NTE1E22")</f>
        <v>PUV2B40,NTE1E22</v>
      </c>
      <c r="G3303" s="238">
        <f>IFERROR(__xludf.DUMMYFUNCTION("""COMPUTED_VALUE"""),46014.91666666667)</f>
        <v>46014.91667</v>
      </c>
      <c r="H3303" s="238">
        <f>IFERROR(__xludf.DUMMYFUNCTION("""COMPUTED_VALUE"""),46015.0)</f>
        <v>46015</v>
      </c>
      <c r="I3303" s="237" t="str">
        <f t="shared" si="1"/>
        <v>Fora</v>
      </c>
      <c r="J3303" s="239">
        <v>119.99999999301508</v>
      </c>
    </row>
    <row r="3304">
      <c r="A3304" s="234" t="s">
        <v>4667</v>
      </c>
      <c r="B3304" s="234" t="str">
        <f>IFERROR(__xludf.DUMMYFUNCTION("""COMPUTED_VALUE"""),"SoC_PR_Curitiba")</f>
        <v>SoC_PR_Curitiba</v>
      </c>
      <c r="C3304" s="234" t="str">
        <f>IFERROR(__xludf.DUMMYFUNCTION("""COMPUTED_VALUE"""),"SOC-PR1")</f>
        <v>SOC-PR1</v>
      </c>
      <c r="D3304" s="234">
        <f>IFERROR(__xludf.DUMMYFUNCTION("""COMPUTED_VALUE"""),48.0)</f>
        <v>48</v>
      </c>
      <c r="E3304" s="237" t="str">
        <f>IFERROR(__xludf.DUMMYFUNCTION("""COMPUTED_VALUE"""),"LT1PCN01VNPY1")</f>
        <v>LT1PCN01VNPY1</v>
      </c>
      <c r="F3304" s="238" t="str">
        <f>IFERROR(__xludf.DUMMYFUNCTION("""COMPUTED_VALUE"""),"FSZ3A57,RHV2I49")</f>
        <v>FSZ3A57,RHV2I49</v>
      </c>
      <c r="G3304" s="238">
        <f>IFERROR(__xludf.DUMMYFUNCTION("""COMPUTED_VALUE"""),46014.91666666667)</f>
        <v>46014.91667</v>
      </c>
      <c r="H3304" s="238">
        <f>IFERROR(__xludf.DUMMYFUNCTION("""COMPUTED_VALUE"""),46015.0)</f>
        <v>46015</v>
      </c>
      <c r="I3304" s="237" t="str">
        <f t="shared" si="1"/>
        <v>Fora</v>
      </c>
      <c r="J3304" s="239">
        <v>119.99999999301508</v>
      </c>
    </row>
    <row r="3305">
      <c r="A3305" s="234" t="s">
        <v>4668</v>
      </c>
      <c r="B3305" s="234" t="str">
        <f>IFERROR(__xludf.DUMMYFUNCTION("""COMPUTED_VALUE"""),"SoC_RJ_Duque de Caxias")</f>
        <v>SoC_RJ_Duque de Caxias</v>
      </c>
      <c r="C3305" s="234" t="str">
        <f>IFERROR(__xludf.DUMMYFUNCTION("""COMPUTED_VALUE"""),"SOC-RJ2")</f>
        <v>SOC-RJ2</v>
      </c>
      <c r="D3305" s="234"/>
      <c r="E3305" s="237" t="str">
        <f>IFERROR(__xludf.DUMMYFUNCTION("""COMPUTED_VALUE"""),"LT1PCN01VNPR1")</f>
        <v>LT1PCN01VNPR1</v>
      </c>
      <c r="F3305" s="238" t="str">
        <f>IFERROR(__xludf.DUMMYFUNCTION("""COMPUTED_VALUE"""),"DVS4I61,CVN8B07")</f>
        <v>DVS4I61,CVN8B07</v>
      </c>
      <c r="G3305" s="238">
        <f>IFERROR(__xludf.DUMMYFUNCTION("""COMPUTED_VALUE"""),46014.91666666667)</f>
        <v>46014.91667</v>
      </c>
      <c r="H3305" s="238">
        <f>IFERROR(__xludf.DUMMYFUNCTION("""COMPUTED_VALUE"""),46015.0)</f>
        <v>46015</v>
      </c>
      <c r="I3305" s="237" t="str">
        <f t="shared" si="1"/>
        <v>Fora</v>
      </c>
      <c r="J3305" s="239">
        <v>119.99999999301508</v>
      </c>
    </row>
    <row r="3306">
      <c r="A3306" s="234" t="s">
        <v>4669</v>
      </c>
      <c r="B3306" s="234" t="str">
        <f>IFERROR(__xludf.DUMMYFUNCTION("""COMPUTED_VALUE"""),"SoC_RJ_Duque de Caxias")</f>
        <v>SoC_RJ_Duque de Caxias</v>
      </c>
      <c r="C3306" s="234" t="str">
        <f>IFERROR(__xludf.DUMMYFUNCTION("""COMPUTED_VALUE"""),"SOC-RJ2")</f>
        <v>SOC-RJ2</v>
      </c>
      <c r="D3306" s="234">
        <f>IFERROR(__xludf.DUMMYFUNCTION("""COMPUTED_VALUE"""),25.0)</f>
        <v>25</v>
      </c>
      <c r="E3306" s="237" t="str">
        <f>IFERROR(__xludf.DUMMYFUNCTION("""COMPUTED_VALUE"""),"LT1PCN01VNPP1")</f>
        <v>LT1PCN01VNPP1</v>
      </c>
      <c r="F3306" s="238" t="str">
        <f>IFERROR(__xludf.DUMMYFUNCTION("""COMPUTED_VALUE"""),"FVH9G29,FSR7A42")</f>
        <v>FVH9G29,FSR7A42</v>
      </c>
      <c r="G3306" s="238">
        <f>IFERROR(__xludf.DUMMYFUNCTION("""COMPUTED_VALUE"""),46014.91666666667)</f>
        <v>46014.91667</v>
      </c>
      <c r="H3306" s="238">
        <f>IFERROR(__xludf.DUMMYFUNCTION("""COMPUTED_VALUE"""),46015.0)</f>
        <v>46015</v>
      </c>
      <c r="I3306" s="237" t="str">
        <f t="shared" si="1"/>
        <v>Fora</v>
      </c>
      <c r="J3306" s="239">
        <v>119.00000000023283</v>
      </c>
    </row>
    <row r="3307">
      <c r="A3307" s="234" t="s">
        <v>4670</v>
      </c>
      <c r="B3307" s="234" t="str">
        <f>IFERROR(__xludf.DUMMYFUNCTION("""COMPUTED_VALUE"""),"LM Hub_SP_Artur Alvim")</f>
        <v>LM Hub_SP_Artur Alvim</v>
      </c>
      <c r="C3307" s="234" t="str">
        <f>IFERROR(__xludf.DUMMYFUNCTION("""COMPUTED_VALUE"""),"HUB-LSP-07")</f>
        <v>HUB-LSP-07</v>
      </c>
      <c r="D3307" s="234">
        <f>IFERROR(__xludf.DUMMYFUNCTION("""COMPUTED_VALUE"""),5.0)</f>
        <v>5</v>
      </c>
      <c r="E3307" s="237" t="str">
        <f>IFERROR(__xludf.DUMMYFUNCTION("""COMPUTED_VALUE"""),"LT0PCN01UVNF1")</f>
        <v>LT0PCN01UVNF1</v>
      </c>
      <c r="F3307" s="238" t="str">
        <f>IFERROR(__xludf.DUMMYFUNCTION("""COMPUTED_VALUE"""),"EBS3J90,JXA3594")</f>
        <v>EBS3J90,JXA3594</v>
      </c>
      <c r="G3307" s="238">
        <f>IFERROR(__xludf.DUMMYFUNCTION("""COMPUTED_VALUE"""),46014.91736111111)</f>
        <v>46014.91736</v>
      </c>
      <c r="H3307" s="238">
        <f>IFERROR(__xludf.DUMMYFUNCTION("""COMPUTED_VALUE"""),46015.0)</f>
        <v>46015</v>
      </c>
      <c r="I3307" s="237" t="str">
        <f t="shared" si="1"/>
        <v>Fora</v>
      </c>
      <c r="J3307" s="239">
        <v>119.00000000023283</v>
      </c>
    </row>
    <row r="3308">
      <c r="A3308" s="234" t="s">
        <v>4671</v>
      </c>
      <c r="B3308" s="234" t="str">
        <f>IFERROR(__xludf.DUMMYFUNCTION("""COMPUTED_VALUE"""),"LM Hub_SP_Limeira_Campo Belo")</f>
        <v>LM Hub_SP_Limeira_Campo Belo</v>
      </c>
      <c r="C3308" s="234" t="str">
        <f>IFERROR(__xludf.DUMMYFUNCTION("""COMPUTED_VALUE"""),"HUB-LSP-24")</f>
        <v>HUB-LSP-24</v>
      </c>
      <c r="D3308" s="234">
        <f>IFERROR(__xludf.DUMMYFUNCTION("""COMPUTED_VALUE"""),12.0)</f>
        <v>12</v>
      </c>
      <c r="E3308" s="237" t="str">
        <f>IFERROR(__xludf.DUMMYFUNCTION("""COMPUTED_VALUE"""),"LT0PCN01UVQM1")</f>
        <v>LT0PCN01UVQM1</v>
      </c>
      <c r="F3308" s="238" t="str">
        <f>IFERROR(__xludf.DUMMYFUNCTION("""COMPUTED_VALUE"""),"SVM9H44,GDU4H95")</f>
        <v>SVM9H44,GDU4H95</v>
      </c>
      <c r="G3308" s="238">
        <f>IFERROR(__xludf.DUMMYFUNCTION("""COMPUTED_VALUE"""),46014.91736111111)</f>
        <v>46014.91736</v>
      </c>
      <c r="H3308" s="238">
        <f>IFERROR(__xludf.DUMMYFUNCTION("""COMPUTED_VALUE"""),46015.0)</f>
        <v>46015</v>
      </c>
      <c r="I3308" s="237" t="str">
        <f t="shared" si="1"/>
        <v>Fora</v>
      </c>
      <c r="J3308" s="239">
        <v>119.00000000023283</v>
      </c>
    </row>
    <row r="3309">
      <c r="A3309" s="234" t="s">
        <v>4672</v>
      </c>
      <c r="B3309" s="234" t="str">
        <f>IFERROR(__xludf.DUMMYFUNCTION("""COMPUTED_VALUE"""),"LM Hub_SP_Santo André")</f>
        <v>LM Hub_SP_Santo André</v>
      </c>
      <c r="C3309" s="234" t="str">
        <f>IFERROR(__xludf.DUMMYFUNCTION("""COMPUTED_VALUE"""),"HUB-LSP-93")</f>
        <v>HUB-LSP-93</v>
      </c>
      <c r="D3309" s="234"/>
      <c r="E3309" s="237" t="str">
        <f>IFERROR(__xludf.DUMMYFUNCTION("""COMPUTED_VALUE"""),"LT0PCN01UXE51")</f>
        <v>LT0PCN01UXE51</v>
      </c>
      <c r="F3309" s="238" t="str">
        <f>IFERROR(__xludf.DUMMYFUNCTION("""COMPUTED_VALUE"""),"QQB2G09,AXE8E39")</f>
        <v>QQB2G09,AXE8E39</v>
      </c>
      <c r="G3309" s="238">
        <f>IFERROR(__xludf.DUMMYFUNCTION("""COMPUTED_VALUE"""),46014.91736111111)</f>
        <v>46014.91736</v>
      </c>
      <c r="H3309" s="238">
        <f>IFERROR(__xludf.DUMMYFUNCTION("""COMPUTED_VALUE"""),46015.0)</f>
        <v>46015</v>
      </c>
      <c r="I3309" s="237" t="str">
        <f t="shared" si="1"/>
        <v>Fora</v>
      </c>
      <c r="J3309" s="239">
        <v>118.00000000745058</v>
      </c>
    </row>
    <row r="3310">
      <c r="A3310" s="234" t="s">
        <v>4673</v>
      </c>
      <c r="B3310" s="234" t="str">
        <f>IFERROR(__xludf.DUMMYFUNCTION("""COMPUTED_VALUE"""),"LM Hub_SP_Guarulhos")</f>
        <v>LM Hub_SP_Guarulhos</v>
      </c>
      <c r="C3310" s="234" t="str">
        <f>IFERROR(__xludf.DUMMYFUNCTION("""COMPUTED_VALUE"""),"HUB-LSP-77")</f>
        <v>HUB-LSP-77</v>
      </c>
      <c r="D3310" s="234">
        <f>IFERROR(__xludf.DUMMYFUNCTION("""COMPUTED_VALUE"""),39.0)</f>
        <v>39</v>
      </c>
      <c r="E3310" s="237" t="str">
        <f>IFERROR(__xludf.DUMMYFUNCTION("""COMPUTED_VALUE"""),"LT0PCN01UW4Q1")</f>
        <v>LT0PCN01UW4Q1</v>
      </c>
      <c r="F3310" s="238" t="str">
        <f>IFERROR(__xludf.DUMMYFUNCTION("""COMPUTED_VALUE"""),"EPU5B13,GLB6C22")</f>
        <v>EPU5B13,GLB6C22</v>
      </c>
      <c r="G3310" s="238">
        <f>IFERROR(__xludf.DUMMYFUNCTION("""COMPUTED_VALUE"""),46014.91805555555)</f>
        <v>46014.91806</v>
      </c>
      <c r="H3310" s="238">
        <f>IFERROR(__xludf.DUMMYFUNCTION("""COMPUTED_VALUE"""),46015.0)</f>
        <v>46015</v>
      </c>
      <c r="I3310" s="237" t="str">
        <f t="shared" si="1"/>
        <v>Fora</v>
      </c>
      <c r="J3310" s="239">
        <v>118.00000000745058</v>
      </c>
    </row>
    <row r="3311">
      <c r="A3311" s="234" t="s">
        <v>4674</v>
      </c>
      <c r="B3311" s="234" t="str">
        <f>IFERROR(__xludf.DUMMYFUNCTION("""COMPUTED_VALUE"""),"LM Hub_SP_Guarulhos")</f>
        <v>LM Hub_SP_Guarulhos</v>
      </c>
      <c r="C3311" s="234" t="str">
        <f>IFERROR(__xludf.DUMMYFUNCTION("""COMPUTED_VALUE"""),"HUB-LSP-77")</f>
        <v>HUB-LSP-77</v>
      </c>
      <c r="D3311" s="234">
        <f>IFERROR(__xludf.DUMMYFUNCTION("""COMPUTED_VALUE"""),36.0)</f>
        <v>36</v>
      </c>
      <c r="E3311" s="237" t="str">
        <f>IFERROR(__xludf.DUMMYFUNCTION("""COMPUTED_VALUE"""),"LT0PCN01UW4S2")</f>
        <v>LT0PCN01UW4S2</v>
      </c>
      <c r="F3311" s="238" t="str">
        <f>IFERROR(__xludf.DUMMYFUNCTION("""COMPUTED_VALUE"""),"ARC6D70,MJB7A06")</f>
        <v>ARC6D70,MJB7A06</v>
      </c>
      <c r="G3311" s="238">
        <f>IFERROR(__xludf.DUMMYFUNCTION("""COMPUTED_VALUE"""),46014.91805555555)</f>
        <v>46014.91806</v>
      </c>
      <c r="H3311" s="238">
        <f>IFERROR(__xludf.DUMMYFUNCTION("""COMPUTED_VALUE"""),46015.0)</f>
        <v>46015</v>
      </c>
      <c r="I3311" s="237" t="str">
        <f t="shared" si="1"/>
        <v>Fora</v>
      </c>
      <c r="J3311" s="239">
        <v>118.00000000745058</v>
      </c>
    </row>
    <row r="3312">
      <c r="A3312" s="234" t="s">
        <v>494</v>
      </c>
      <c r="B3312" s="234" t="str">
        <f>IFERROR(__xludf.DUMMYFUNCTION("""COMPUTED_VALUE"""),"SoC_RJ_Duque de Caxias")</f>
        <v>SoC_RJ_Duque de Caxias</v>
      </c>
      <c r="C3312" s="234" t="str">
        <f>IFERROR(__xludf.DUMMYFUNCTION("""COMPUTED_VALUE"""),"SOC-RJ2")</f>
        <v>SOC-RJ2</v>
      </c>
      <c r="D3312" s="234">
        <f>IFERROR(__xludf.DUMMYFUNCTION("""COMPUTED_VALUE"""),96.0)</f>
        <v>96</v>
      </c>
      <c r="E3312" s="237" t="str">
        <f>IFERROR(__xludf.DUMMYFUNCTION("""COMPUTED_VALUE"""),"LT0PCN01UTLW1")</f>
        <v>LT0PCN01UTLW1</v>
      </c>
      <c r="F3312" s="238" t="str">
        <f>IFERROR(__xludf.DUMMYFUNCTION("""COMPUTED_VALUE"""),"LPO6D50,JXN8E78")</f>
        <v>LPO6D50,JXN8E78</v>
      </c>
      <c r="G3312" s="238">
        <f>IFERROR(__xludf.DUMMYFUNCTION("""COMPUTED_VALUE"""),46014.91805555555)</f>
        <v>46014.91806</v>
      </c>
      <c r="H3312" s="238">
        <f>IFERROR(__xludf.DUMMYFUNCTION("""COMPUTED_VALUE"""),46015.0)</f>
        <v>46015</v>
      </c>
      <c r="I3312" s="237" t="str">
        <f t="shared" si="1"/>
        <v>Fora</v>
      </c>
      <c r="J3312" s="239">
        <v>119.99999999301508</v>
      </c>
    </row>
    <row r="3313">
      <c r="A3313" s="234" t="s">
        <v>4675</v>
      </c>
      <c r="B3313" s="234" t="str">
        <f>IFERROR(__xludf.DUMMYFUNCTION("""COMPUTED_VALUE"""),"LM Hub_SP_Jardim Adriana")</f>
        <v>LM Hub_SP_Jardim Adriana</v>
      </c>
      <c r="C3313" s="234" t="str">
        <f>IFERROR(__xludf.DUMMYFUNCTION("""COMPUTED_VALUE"""),"HUB-LSP-12")</f>
        <v>HUB-LSP-12</v>
      </c>
      <c r="D3313" s="234">
        <f>IFERROR(__xludf.DUMMYFUNCTION("""COMPUTED_VALUE"""),7.0)</f>
        <v>7</v>
      </c>
      <c r="E3313" s="237" t="str">
        <f>IFERROR(__xludf.DUMMYFUNCTION("""COMPUTED_VALUE"""),"LT0PCN01UVNK1")</f>
        <v>LT0PCN01UVNK1</v>
      </c>
      <c r="F3313" s="238" t="str">
        <f>IFERROR(__xludf.DUMMYFUNCTION("""COMPUTED_VALUE"""),"AMU8458")</f>
        <v>AMU8458</v>
      </c>
      <c r="G3313" s="238">
        <f>IFERROR(__xludf.DUMMYFUNCTION("""COMPUTED_VALUE"""),46014.9375)</f>
        <v>46014.9375</v>
      </c>
      <c r="H3313" s="238">
        <f>IFERROR(__xludf.DUMMYFUNCTION("""COMPUTED_VALUE"""),46015.02083333333)</f>
        <v>46015.02083</v>
      </c>
      <c r="I3313" s="237" t="str">
        <f t="shared" si="1"/>
        <v>Fora</v>
      </c>
      <c r="J3313" s="239">
        <v>119.99999999301508</v>
      </c>
    </row>
    <row r="3314">
      <c r="A3314" s="234" t="s">
        <v>4676</v>
      </c>
      <c r="B3314" s="234" t="str">
        <f>IFERROR(__xludf.DUMMYFUNCTION("""COMPUTED_VALUE"""),"LM Hub_SP_Parque Novo Mundo")</f>
        <v>LM Hub_SP_Parque Novo Mundo</v>
      </c>
      <c r="C3314" s="234" t="str">
        <f>IFERROR(__xludf.DUMMYFUNCTION("""COMPUTED_VALUE"""),"HUB-LSP-89")</f>
        <v>HUB-LSP-89</v>
      </c>
      <c r="D3314" s="234"/>
      <c r="E3314" s="237" t="str">
        <f>IFERROR(__xludf.DUMMYFUNCTION("""COMPUTED_VALUE"""),"LT0PCN01UW9P1")</f>
        <v>LT0PCN01UW9P1</v>
      </c>
      <c r="F3314" s="238" t="str">
        <f>IFERROR(__xludf.DUMMYFUNCTION("""COMPUTED_VALUE"""),"DTE4B28,GMN4E47")</f>
        <v>DTE4B28,GMN4E47</v>
      </c>
      <c r="G3314" s="238">
        <f>IFERROR(__xludf.DUMMYFUNCTION("""COMPUTED_VALUE"""),46014.9375)</f>
        <v>46014.9375</v>
      </c>
      <c r="H3314" s="238">
        <f>IFERROR(__xludf.DUMMYFUNCTION("""COMPUTED_VALUE"""),46015.02083333333)</f>
        <v>46015.02083</v>
      </c>
      <c r="I3314" s="237" t="str">
        <f t="shared" si="1"/>
        <v>Fora</v>
      </c>
      <c r="J3314" s="239">
        <v>119.99999999301508</v>
      </c>
    </row>
    <row r="3315">
      <c r="A3315" s="234" t="s">
        <v>4677</v>
      </c>
      <c r="B3315" s="234" t="str">
        <f>IFERROR(__xludf.DUMMYFUNCTION("""COMPUTED_VALUE"""),"LM Hub_SP_Piracicaba")</f>
        <v>LM Hub_SP_Piracicaba</v>
      </c>
      <c r="C3315" s="234" t="str">
        <f>IFERROR(__xludf.DUMMYFUNCTION("""COMPUTED_VALUE"""),"HUB-LSP-62")</f>
        <v>HUB-LSP-62</v>
      </c>
      <c r="D3315" s="234">
        <f>IFERROR(__xludf.DUMMYFUNCTION("""COMPUTED_VALUE"""),26.0)</f>
        <v>26</v>
      </c>
      <c r="E3315" s="237" t="str">
        <f>IFERROR(__xludf.DUMMYFUNCTION("""COMPUTED_VALUE"""),"LT0PCN01UW4X1")</f>
        <v>LT0PCN01UW4X1</v>
      </c>
      <c r="F3315" s="238" t="str">
        <f>IFERROR(__xludf.DUMMYFUNCTION("""COMPUTED_VALUE"""),"EOF4D32")</f>
        <v>EOF4D32</v>
      </c>
      <c r="G3315" s="238">
        <f>IFERROR(__xludf.DUMMYFUNCTION("""COMPUTED_VALUE"""),46014.9375)</f>
        <v>46014.9375</v>
      </c>
      <c r="H3315" s="238">
        <f>IFERROR(__xludf.DUMMYFUNCTION("""COMPUTED_VALUE"""),46015.02083333333)</f>
        <v>46015.02083</v>
      </c>
      <c r="I3315" s="237" t="str">
        <f t="shared" si="1"/>
        <v>Fora</v>
      </c>
      <c r="J3315" s="239">
        <v>118.99999998975545</v>
      </c>
    </row>
    <row r="3316">
      <c r="A3316" s="234" t="s">
        <v>4678</v>
      </c>
      <c r="B3316" s="234" t="str">
        <f>IFERROR(__xludf.DUMMYFUNCTION("""COMPUTED_VALUE"""),"LM Hub_SP_Suzano_Baruel")</f>
        <v>LM Hub_SP_Suzano_Baruel</v>
      </c>
      <c r="C3316" s="234" t="str">
        <f>IFERROR(__xludf.DUMMYFUNCTION("""COMPUTED_VALUE"""),"HUB-LSP-97")</f>
        <v>HUB-LSP-97</v>
      </c>
      <c r="D3316" s="234">
        <f>IFERROR(__xludf.DUMMYFUNCTION("""COMPUTED_VALUE"""),41.0)</f>
        <v>41</v>
      </c>
      <c r="E3316" s="237" t="str">
        <f>IFERROR(__xludf.DUMMYFUNCTION("""COMPUTED_VALUE"""),"LT0PCN01V0971")</f>
        <v>LT0PCN01V0971</v>
      </c>
      <c r="F3316" s="238" t="str">
        <f>IFERROR(__xludf.DUMMYFUNCTION("""COMPUTED_VALUE"""),"FZO3D72,DKH9I98")</f>
        <v>FZO3D72,DKH9I98</v>
      </c>
      <c r="G3316" s="238">
        <f>IFERROR(__xludf.DUMMYFUNCTION("""COMPUTED_VALUE"""),46014.93819444445)</f>
        <v>46014.93819</v>
      </c>
      <c r="H3316" s="238">
        <f>IFERROR(__xludf.DUMMYFUNCTION("""COMPUTED_VALUE"""),46015.02083333333)</f>
        <v>46015.02083</v>
      </c>
      <c r="I3316" s="237" t="str">
        <f t="shared" si="1"/>
        <v>Fora</v>
      </c>
      <c r="J3316" s="239">
        <v>117.99999998649582</v>
      </c>
    </row>
    <row r="3317">
      <c r="A3317" s="234" t="s">
        <v>4679</v>
      </c>
      <c r="B3317" s="234" t="str">
        <f>IFERROR(__xludf.DUMMYFUNCTION("""COMPUTED_VALUE"""),"LM Hub_SP_São Paulo_Carandiru")</f>
        <v>LM Hub_SP_São Paulo_Carandiru</v>
      </c>
      <c r="C3317" s="234" t="str">
        <f>IFERROR(__xludf.DUMMYFUNCTION("""COMPUTED_VALUE"""),"HUB-LSP-18")</f>
        <v>HUB-LSP-18</v>
      </c>
      <c r="D3317" s="234">
        <f>IFERROR(__xludf.DUMMYFUNCTION("""COMPUTED_VALUE"""),35.0)</f>
        <v>35</v>
      </c>
      <c r="E3317" s="237" t="str">
        <f>IFERROR(__xludf.DUMMYFUNCTION("""COMPUTED_VALUE"""),"LT0PCN01UVO01")</f>
        <v>LT0PCN01UVO01</v>
      </c>
      <c r="F3317" s="238" t="str">
        <f>IFERROR(__xludf.DUMMYFUNCTION("""COMPUTED_VALUE"""),"FWF3044")</f>
        <v>FWF3044</v>
      </c>
      <c r="G3317" s="238">
        <f>IFERROR(__xludf.DUMMYFUNCTION("""COMPUTED_VALUE"""),46014.93888888889)</f>
        <v>46014.93889</v>
      </c>
      <c r="H3317" s="238">
        <f>IFERROR(__xludf.DUMMYFUNCTION("""COMPUTED_VALUE"""),46015.02083333333)</f>
        <v>46015.02083</v>
      </c>
      <c r="I3317" s="237" t="str">
        <f t="shared" si="1"/>
        <v>Fora</v>
      </c>
      <c r="J3317" s="239">
        <v>117.99999998649582</v>
      </c>
    </row>
    <row r="3318">
      <c r="A3318" s="234" t="s">
        <v>4680</v>
      </c>
      <c r="B3318" s="234" t="str">
        <f>IFERROR(__xludf.DUMMYFUNCTION("""COMPUTED_VALUE"""),"LM Hub_SP_VilaGuilherme")</f>
        <v>LM Hub_SP_VilaGuilherme</v>
      </c>
      <c r="C3318" s="234" t="str">
        <f>IFERROR(__xludf.DUMMYFUNCTION("""COMPUTED_VALUE"""),"HUB-LSP-68")</f>
        <v>HUB-LSP-68</v>
      </c>
      <c r="D3318" s="234">
        <f>IFERROR(__xludf.DUMMYFUNCTION("""COMPUTED_VALUE"""),47.0)</f>
        <v>47</v>
      </c>
      <c r="E3318" s="237" t="str">
        <f>IFERROR(__xludf.DUMMYFUNCTION("""COMPUTED_VALUE"""),"LT0PCN01UVOS1")</f>
        <v>LT0PCN01UVOS1</v>
      </c>
      <c r="F3318" s="238" t="str">
        <f>IFERROR(__xludf.DUMMYFUNCTION("""COMPUTED_VALUE"""),"EPU0J87,DBB4366")</f>
        <v>EPU0J87,DBB4366</v>
      </c>
      <c r="G3318" s="238">
        <f>IFERROR(__xludf.DUMMYFUNCTION("""COMPUTED_VALUE"""),46014.93888888889)</f>
        <v>46014.93889</v>
      </c>
      <c r="H3318" s="238">
        <f>IFERROR(__xludf.DUMMYFUNCTION("""COMPUTED_VALUE"""),46015.02083333333)</f>
        <v>46015.02083</v>
      </c>
      <c r="I3318" s="237" t="str">
        <f t="shared" si="1"/>
        <v>Fora</v>
      </c>
      <c r="J3318" s="239">
        <v>120.00000001396984</v>
      </c>
    </row>
    <row r="3319">
      <c r="A3319" s="234" t="s">
        <v>4681</v>
      </c>
      <c r="B3319" s="234" t="str">
        <f>IFERROR(__xludf.DUMMYFUNCTION("""COMPUTED_VALUE"""),"LM Hub_RJ_Rio de Janeiro_Campo G")</f>
        <v>LM Hub_RJ_Rio de Janeiro_Campo G</v>
      </c>
      <c r="C3319" s="234" t="str">
        <f>IFERROR(__xludf.DUMMYFUNCTION("""COMPUTED_VALUE"""),"HUB-LRJ-04")</f>
        <v>HUB-LRJ-04</v>
      </c>
      <c r="D3319" s="234">
        <f>IFERROR(__xludf.DUMMYFUNCTION("""COMPUTED_VALUE"""),12.0)</f>
        <v>12</v>
      </c>
      <c r="E3319" s="237" t="str">
        <f>IFERROR(__xludf.DUMMYFUNCTION("""COMPUTED_VALUE"""),"LT0PCN01UVRQ1")</f>
        <v>LT0PCN01UVRQ1</v>
      </c>
      <c r="F3319" s="238" t="str">
        <f>IFERROR(__xludf.DUMMYFUNCTION("""COMPUTED_VALUE"""),"SUK9H67,TKN2D66")</f>
        <v>SUK9H67,TKN2D66</v>
      </c>
      <c r="G3319" s="238">
        <f>IFERROR(__xludf.DUMMYFUNCTION("""COMPUTED_VALUE"""),46014.95833333333)</f>
        <v>46014.95833</v>
      </c>
      <c r="H3319" s="238">
        <f>IFERROR(__xludf.DUMMYFUNCTION("""COMPUTED_VALUE"""),46015.04166666667)</f>
        <v>46015.04167</v>
      </c>
      <c r="I3319" s="237" t="str">
        <f t="shared" si="1"/>
        <v>Fora</v>
      </c>
      <c r="J3319" s="239">
        <v>120.00000001396984</v>
      </c>
    </row>
    <row r="3320">
      <c r="A3320" s="234" t="s">
        <v>4682</v>
      </c>
      <c r="B3320" s="234" t="str">
        <f>IFERROR(__xludf.DUMMYFUNCTION("""COMPUTED_VALUE"""),"LM Hub_RJ_São João do Meriti")</f>
        <v>LM Hub_RJ_São João do Meriti</v>
      </c>
      <c r="C3320" s="234" t="str">
        <f>IFERROR(__xludf.DUMMYFUNCTION("""COMPUTED_VALUE"""),"HUB-LRJ-01")</f>
        <v>HUB-LRJ-01</v>
      </c>
      <c r="D3320" s="234">
        <f>IFERROR(__xludf.DUMMYFUNCTION("""COMPUTED_VALUE"""),6.0)</f>
        <v>6</v>
      </c>
      <c r="E3320" s="237" t="str">
        <f>IFERROR(__xludf.DUMMYFUNCTION("""COMPUTED_VALUE"""),"LT0PCN01UZHH1")</f>
        <v>LT0PCN01UZHH1</v>
      </c>
      <c r="F3320" s="238" t="str">
        <f>IFERROR(__xludf.DUMMYFUNCTION("""COMPUTED_VALUE"""),"SVI6C80,SUG8F37")</f>
        <v>SVI6C80,SUG8F37</v>
      </c>
      <c r="G3320" s="238">
        <f>IFERROR(__xludf.DUMMYFUNCTION("""COMPUTED_VALUE"""),46014.95833333333)</f>
        <v>46014.95833</v>
      </c>
      <c r="H3320" s="238">
        <f>IFERROR(__xludf.DUMMYFUNCTION("""COMPUTED_VALUE"""),46015.04166666667)</f>
        <v>46015.04167</v>
      </c>
      <c r="I3320" s="237" t="str">
        <f t="shared" si="1"/>
        <v>Fora</v>
      </c>
      <c r="J3320" s="239">
        <v>120.00000001396984</v>
      </c>
    </row>
    <row r="3321">
      <c r="A3321" s="234" t="s">
        <v>4683</v>
      </c>
      <c r="B3321" s="234" t="str">
        <f>IFERROR(__xludf.DUMMYFUNCTION("""COMPUTED_VALUE"""),"LM Hub_SP_Jundiaí")</f>
        <v>LM Hub_SP_Jundiaí</v>
      </c>
      <c r="C3321" s="234" t="str">
        <f>IFERROR(__xludf.DUMMYFUNCTION("""COMPUTED_VALUE"""),"HUB-LSP-100")</f>
        <v>HUB-LSP-100</v>
      </c>
      <c r="D3321" s="234">
        <f>IFERROR(__xludf.DUMMYFUNCTION("""COMPUTED_VALUE"""),9.0)</f>
        <v>9</v>
      </c>
      <c r="E3321" s="237" t="str">
        <f>IFERROR(__xludf.DUMMYFUNCTION("""COMPUTED_VALUE"""),"LT0PCN01V0181")</f>
        <v>LT0PCN01V0181</v>
      </c>
      <c r="F3321" s="238" t="str">
        <f>IFERROR(__xludf.DUMMYFUNCTION("""COMPUTED_VALUE"""),"TBQ8J46,TPO5A35")</f>
        <v>TBQ8J46,TPO5A35</v>
      </c>
      <c r="G3321" s="238">
        <f>IFERROR(__xludf.DUMMYFUNCTION("""COMPUTED_VALUE"""),46014.95833333333)</f>
        <v>46014.95833</v>
      </c>
      <c r="H3321" s="238">
        <f>IFERROR(__xludf.DUMMYFUNCTION("""COMPUTED_VALUE"""),46015.04166666667)</f>
        <v>46015.04167</v>
      </c>
      <c r="I3321" s="237" t="str">
        <f t="shared" si="1"/>
        <v>Fora</v>
      </c>
      <c r="J3321" s="239">
        <v>120.00000001396984</v>
      </c>
    </row>
    <row r="3322">
      <c r="A3322" s="234" t="s">
        <v>4684</v>
      </c>
      <c r="B3322" s="234" t="str">
        <f>IFERROR(__xludf.DUMMYFUNCTION("""COMPUTED_VALUE"""),"LM Hub_SP_Mogi Mirim")</f>
        <v>LM Hub_SP_Mogi Mirim</v>
      </c>
      <c r="C3322" s="234" t="str">
        <f>IFERROR(__xludf.DUMMYFUNCTION("""COMPUTED_VALUE"""),"HUB-LSP-37")</f>
        <v>HUB-LSP-37</v>
      </c>
      <c r="D3322" s="234">
        <f>IFERROR(__xludf.DUMMYFUNCTION("""COMPUTED_VALUE"""),35.0)</f>
        <v>35</v>
      </c>
      <c r="E3322" s="237" t="str">
        <f>IFERROR(__xludf.DUMMYFUNCTION("""COMPUTED_VALUE"""),"LT0PCN01UVR91")</f>
        <v>LT0PCN01UVR91</v>
      </c>
      <c r="F3322" s="238" t="str">
        <f>IFERROR(__xludf.DUMMYFUNCTION("""COMPUTED_VALUE"""),"FPO2A72,UEG6I38")</f>
        <v>FPO2A72,UEG6I38</v>
      </c>
      <c r="G3322" s="238">
        <f>IFERROR(__xludf.DUMMYFUNCTION("""COMPUTED_VALUE"""),46014.95833333333)</f>
        <v>46014.95833</v>
      </c>
      <c r="H3322" s="238">
        <f>IFERROR(__xludf.DUMMYFUNCTION("""COMPUTED_VALUE"""),46015.04166666667)</f>
        <v>46015.04167</v>
      </c>
      <c r="I3322" s="237" t="str">
        <f t="shared" si="1"/>
        <v>Fora</v>
      </c>
      <c r="J3322" s="239">
        <v>119.00000001071021</v>
      </c>
    </row>
    <row r="3323">
      <c r="A3323" s="234" t="s">
        <v>4685</v>
      </c>
      <c r="B3323" s="234" t="str">
        <f>IFERROR(__xludf.DUMMYFUNCTION("""COMPUTED_VALUE"""),"LM Hub_RJ_Nova Iguaçu")</f>
        <v>LM Hub_RJ_Nova Iguaçu</v>
      </c>
      <c r="C3323" s="234" t="str">
        <f>IFERROR(__xludf.DUMMYFUNCTION("""COMPUTED_VALUE"""),"HUB-LRJ-27")</f>
        <v>HUB-LRJ-27</v>
      </c>
      <c r="D3323" s="234">
        <f>IFERROR(__xludf.DUMMYFUNCTION("""COMPUTED_VALUE"""),23.0)</f>
        <v>23</v>
      </c>
      <c r="E3323" s="237" t="str">
        <f>IFERROR(__xludf.DUMMYFUNCTION("""COMPUTED_VALUE"""),"LT0PCN01UZGW1")</f>
        <v>LT0PCN01UZGW1</v>
      </c>
      <c r="F3323" s="238" t="str">
        <f>IFERROR(__xludf.DUMMYFUNCTION("""COMPUTED_VALUE"""),"UAX1H62,SSW0E12")</f>
        <v>UAX1H62,SSW0E12</v>
      </c>
      <c r="G3323" s="238">
        <f>IFERROR(__xludf.DUMMYFUNCTION("""COMPUTED_VALUE"""),46014.959027777775)</f>
        <v>46014.95903</v>
      </c>
      <c r="H3323" s="238">
        <f>IFERROR(__xludf.DUMMYFUNCTION("""COMPUTED_VALUE"""),46015.04166666667)</f>
        <v>46015.04167</v>
      </c>
      <c r="I3323" s="237" t="str">
        <f t="shared" si="1"/>
        <v>Fora</v>
      </c>
      <c r="J3323" s="239">
        <v>119.00000000023283</v>
      </c>
    </row>
    <row r="3324">
      <c r="A3324" s="234" t="s">
        <v>4686</v>
      </c>
      <c r="B3324" s="234" t="str">
        <f>IFERROR(__xludf.DUMMYFUNCTION("""COMPUTED_VALUE"""),"LM Hub_SP_Atibaia_Ponte_Alta")</f>
        <v>LM Hub_SP_Atibaia_Ponte_Alta</v>
      </c>
      <c r="C3324" s="234" t="str">
        <f>IFERROR(__xludf.DUMMYFUNCTION("""COMPUTED_VALUE"""),"HUB-LSP-87")</f>
        <v>HUB-LSP-87</v>
      </c>
      <c r="D3324" s="234">
        <f>IFERROR(__xludf.DUMMYFUNCTION("""COMPUTED_VALUE"""),34.0)</f>
        <v>34</v>
      </c>
      <c r="E3324" s="237" t="str">
        <f>IFERROR(__xludf.DUMMYFUNCTION("""COMPUTED_VALUE"""),"LT0PCN01UY6T1")</f>
        <v>LT0PCN01UY6T1</v>
      </c>
      <c r="F3324" s="238" t="str">
        <f>IFERROR(__xludf.DUMMYFUNCTION("""COMPUTED_VALUE"""),"RNF0H34,TPO5A95")</f>
        <v>RNF0H34,TPO5A95</v>
      </c>
      <c r="G3324" s="238">
        <f>IFERROR(__xludf.DUMMYFUNCTION("""COMPUTED_VALUE"""),46014.97986111111)</f>
        <v>46014.97986</v>
      </c>
      <c r="H3324" s="238">
        <f>IFERROR(__xludf.DUMMYFUNCTION("""COMPUTED_VALUE"""),46015.0625)</f>
        <v>46015.0625</v>
      </c>
      <c r="I3324" s="237" t="str">
        <f t="shared" si="1"/>
        <v>Fora</v>
      </c>
      <c r="J3324" s="239">
        <v>119.00000000023283</v>
      </c>
    </row>
    <row r="3325">
      <c r="A3325" s="234" t="s">
        <v>4687</v>
      </c>
      <c r="B3325" s="234" t="str">
        <f>IFERROR(__xludf.DUMMYFUNCTION("""COMPUTED_VALUE"""),"LM Hub_SP_Várzea Paulista")</f>
        <v>LM Hub_SP_Várzea Paulista</v>
      </c>
      <c r="C3325" s="234" t="str">
        <f>IFERROR(__xludf.DUMMYFUNCTION("""COMPUTED_VALUE"""),"HUB-LSP-61")</f>
        <v>HUB-LSP-61</v>
      </c>
      <c r="D3325" s="234">
        <f>IFERROR(__xludf.DUMMYFUNCTION("""COMPUTED_VALUE"""),13.0)</f>
        <v>13</v>
      </c>
      <c r="E3325" s="237" t="str">
        <f>IFERROR(__xludf.DUMMYFUNCTION("""COMPUTED_VALUE"""),"LT0PCN01UVQT1")</f>
        <v>LT0PCN01UVQT1</v>
      </c>
      <c r="F3325" s="238" t="str">
        <f>IFERROR(__xludf.DUMMYFUNCTION("""COMPUTED_VALUE"""),"DBM1F51,MDA3C82")</f>
        <v>DBM1F51,MDA3C82</v>
      </c>
      <c r="G3325" s="238">
        <f>IFERROR(__xludf.DUMMYFUNCTION("""COMPUTED_VALUE"""),46014.97986111111)</f>
        <v>46014.97986</v>
      </c>
      <c r="H3325" s="238">
        <f>IFERROR(__xludf.DUMMYFUNCTION("""COMPUTED_VALUE"""),46015.0625)</f>
        <v>46015.0625</v>
      </c>
      <c r="I3325" s="237" t="str">
        <f t="shared" si="1"/>
        <v>Fora</v>
      </c>
      <c r="J3325" s="239">
        <v>119.99999999301508</v>
      </c>
    </row>
    <row r="3326">
      <c r="A3326" s="234" t="s">
        <v>4688</v>
      </c>
      <c r="B3326" s="234" t="str">
        <f>IFERROR(__xludf.DUMMYFUNCTION("""COMPUTED_VALUE"""),"LM Hub_RJ_Ilha do Governador")</f>
        <v>LM Hub_RJ_Ilha do Governador</v>
      </c>
      <c r="C3326" s="234" t="str">
        <f>IFERROR(__xludf.DUMMYFUNCTION("""COMPUTED_VALUE"""),"HUB-LRJ-32")</f>
        <v>HUB-LRJ-32</v>
      </c>
      <c r="D3326" s="234">
        <f>IFERROR(__xludf.DUMMYFUNCTION("""COMPUTED_VALUE"""),40.0)</f>
        <v>40</v>
      </c>
      <c r="E3326" s="237" t="str">
        <f>IFERROR(__xludf.DUMMYFUNCTION("""COMPUTED_VALUE"""),"LT0PCO01UZH41")</f>
        <v>LT0PCO01UZH41</v>
      </c>
      <c r="F3326" s="238" t="str">
        <f>IFERROR(__xludf.DUMMYFUNCTION("""COMPUTED_VALUE"""),"EHO5B88,MRM3F79")</f>
        <v>EHO5B88,MRM3F79</v>
      </c>
      <c r="G3326" s="238">
        <f>IFERROR(__xludf.DUMMYFUNCTION("""COMPUTED_VALUE"""),46015.0)</f>
        <v>46015</v>
      </c>
      <c r="H3326" s="238">
        <f>IFERROR(__xludf.DUMMYFUNCTION("""COMPUTED_VALUE"""),46015.08333333333)</f>
        <v>46015.08333</v>
      </c>
      <c r="I3326" s="237" t="str">
        <f t="shared" si="1"/>
        <v>Fora</v>
      </c>
      <c r="J3326" s="239">
        <v>120.00000001396984</v>
      </c>
    </row>
    <row r="3327">
      <c r="A3327" s="234" t="s">
        <v>4689</v>
      </c>
      <c r="B3327" s="234" t="str">
        <f>IFERROR(__xludf.DUMMYFUNCTION("""COMPUTED_VALUE"""),"LM Hub_MG_Varginha_Fausto")</f>
        <v>LM Hub_MG_Varginha_Fausto</v>
      </c>
      <c r="C3327" s="234" t="str">
        <f>IFERROR(__xludf.DUMMYFUNCTION("""COMPUTED_VALUE"""),"HUB-LMG-45")</f>
        <v>HUB-LMG-45</v>
      </c>
      <c r="D3327" s="234">
        <f>IFERROR(__xludf.DUMMYFUNCTION("""COMPUTED_VALUE"""),16.0)</f>
        <v>16</v>
      </c>
      <c r="E3327" s="237" t="str">
        <f>IFERROR(__xludf.DUMMYFUNCTION("""COMPUTED_VALUE"""),"LT0PCO01UZ3N1")</f>
        <v>LT0PCO01UZ3N1</v>
      </c>
      <c r="F3327" s="238" t="str">
        <f>IFERROR(__xludf.DUMMYFUNCTION("""COMPUTED_VALUE"""),"TCU5H98,SDX9G45")</f>
        <v>TCU5H98,SDX9G45</v>
      </c>
      <c r="G3327" s="238">
        <f>IFERROR(__xludf.DUMMYFUNCTION("""COMPUTED_VALUE"""),46015.02083333333)</f>
        <v>46015.02083</v>
      </c>
      <c r="H3327" s="238">
        <f>IFERROR(__xludf.DUMMYFUNCTION("""COMPUTED_VALUE"""),46015.10416666667)</f>
        <v>46015.10417</v>
      </c>
      <c r="I3327" s="237" t="str">
        <f t="shared" si="1"/>
        <v>Fora</v>
      </c>
      <c r="J3327" s="239">
        <v>119.99999999301508</v>
      </c>
    </row>
    <row r="3328">
      <c r="A3328" s="234" t="s">
        <v>493</v>
      </c>
      <c r="B3328" s="234" t="str">
        <f>IFERROR(__xludf.DUMMYFUNCTION("""COMPUTED_VALUE"""),"SoC_PR_Curitiba")</f>
        <v>SoC_PR_Curitiba</v>
      </c>
      <c r="C3328" s="234" t="str">
        <f>IFERROR(__xludf.DUMMYFUNCTION("""COMPUTED_VALUE"""),"SOC-PR1")</f>
        <v>SOC-PR1</v>
      </c>
      <c r="D3328" s="234">
        <f>IFERROR(__xludf.DUMMYFUNCTION("""COMPUTED_VALUE"""),49.0)</f>
        <v>49</v>
      </c>
      <c r="E3328" s="237" t="str">
        <f>IFERROR(__xludf.DUMMYFUNCTION("""COMPUTED_VALUE"""),"LT0PCO01UVM71")</f>
        <v>LT0PCO01UVM71</v>
      </c>
      <c r="F3328" s="238" t="str">
        <f>IFERROR(__xludf.DUMMYFUNCTION("""COMPUTED_VALUE"""),"FQJ8B01,UGC4D74")</f>
        <v>FQJ8B01,UGC4D74</v>
      </c>
      <c r="G3328" s="238">
        <f>IFERROR(__xludf.DUMMYFUNCTION("""COMPUTED_VALUE"""),46015.04166666667)</f>
        <v>46015.04167</v>
      </c>
      <c r="H3328" s="238">
        <f>IFERROR(__xludf.DUMMYFUNCTION("""COMPUTED_VALUE"""),46015.125)</f>
        <v>46015.125</v>
      </c>
      <c r="I3328" s="237" t="str">
        <f t="shared" si="1"/>
        <v>Fora</v>
      </c>
      <c r="J3328" s="239">
        <v>119.99999999301508</v>
      </c>
    </row>
    <row r="3329">
      <c r="A3329" s="234" t="s">
        <v>4690</v>
      </c>
      <c r="B3329" s="234" t="str">
        <f>IFERROR(__xludf.DUMMYFUNCTION("""COMPUTED_VALUE"""),"SoC_SP_Guarulhos")</f>
        <v>SoC_SP_Guarulhos</v>
      </c>
      <c r="C3329" s="234" t="str">
        <f>IFERROR(__xludf.DUMMYFUNCTION("""COMPUTED_VALUE"""),"SOC-SP6")</f>
        <v>SOC-SP6</v>
      </c>
      <c r="D3329" s="234">
        <f>IFERROR(__xludf.DUMMYFUNCTION("""COMPUTED_VALUE"""),28.0)</f>
        <v>28</v>
      </c>
      <c r="E3329" s="237" t="str">
        <f>IFERROR(__xludf.DUMMYFUNCTION("""COMPUTED_VALUE"""),"LT1PCO01VOKC1")</f>
        <v>LT1PCO01VOKC1</v>
      </c>
      <c r="F3329" s="238" t="str">
        <f>IFERROR(__xludf.DUMMYFUNCTION("""COMPUTED_VALUE"""),"MQV9D62,BTV6J01")</f>
        <v>MQV9D62,BTV6J01</v>
      </c>
      <c r="G3329" s="238">
        <f>IFERROR(__xludf.DUMMYFUNCTION("""COMPUTED_VALUE"""),46015.04166666667)</f>
        <v>46015.04167</v>
      </c>
      <c r="H3329" s="238">
        <f>IFERROR(__xludf.DUMMYFUNCTION("""COMPUTED_VALUE"""),46015.125)</f>
        <v>46015.125</v>
      </c>
      <c r="I3329" s="237" t="str">
        <f t="shared" si="1"/>
        <v>Fora</v>
      </c>
      <c r="J3329" s="239">
        <v>119.00000000023283</v>
      </c>
    </row>
    <row r="3330">
      <c r="A3330" s="234" t="s">
        <v>4691</v>
      </c>
      <c r="B3330" s="234" t="str">
        <f>IFERROR(__xludf.DUMMYFUNCTION("""COMPUTED_VALUE"""),"SoC_SP_Louveira")</f>
        <v>SoC_SP_Louveira</v>
      </c>
      <c r="C3330" s="234" t="str">
        <f>IFERROR(__xludf.DUMMYFUNCTION("""COMPUTED_VALUE"""),"SOC-SP7")</f>
        <v>SOC-SP7</v>
      </c>
      <c r="D3330" s="234">
        <f>IFERROR(__xludf.DUMMYFUNCTION("""COMPUTED_VALUE"""),15.0)</f>
        <v>15</v>
      </c>
      <c r="E3330" s="237" t="str">
        <f>IFERROR(__xludf.DUMMYFUNCTION("""COMPUTED_VALUE"""),"LT0PCO01UVN41")</f>
        <v>LT0PCO01UVN41</v>
      </c>
      <c r="F3330" s="238" t="str">
        <f>IFERROR(__xludf.DUMMYFUNCTION("""COMPUTED_VALUE"""),"FLN0H65,FTJ9A92")</f>
        <v>FLN0H65,FTJ9A92</v>
      </c>
      <c r="G3330" s="238">
        <f>IFERROR(__xludf.DUMMYFUNCTION("""COMPUTED_VALUE"""),46015.04236111111)</f>
        <v>46015.04236</v>
      </c>
      <c r="H3330" s="238">
        <f>IFERROR(__xludf.DUMMYFUNCTION("""COMPUTED_VALUE"""),46015.125)</f>
        <v>46015.125</v>
      </c>
      <c r="I3330" s="237" t="str">
        <f t="shared" si="1"/>
        <v>Fora</v>
      </c>
      <c r="J3330" s="239">
        <v>120.00000001396984</v>
      </c>
    </row>
    <row r="3331">
      <c r="A3331" s="234" t="s">
        <v>4692</v>
      </c>
      <c r="B3331" s="234" t="str">
        <f>IFERROR(__xludf.DUMMYFUNCTION("""COMPUTED_VALUE"""),"LM Hub_RJ_São Gonçalo_02")</f>
        <v>LM Hub_RJ_São Gonçalo_02</v>
      </c>
      <c r="C3331" s="234" t="str">
        <f>IFERROR(__xludf.DUMMYFUNCTION("""COMPUTED_VALUE"""),"HUB-LRJ-23")</f>
        <v>HUB-LRJ-23</v>
      </c>
      <c r="D3331" s="234"/>
      <c r="E3331" s="237" t="str">
        <f>IFERROR(__xludf.DUMMYFUNCTION("""COMPUTED_VALUE"""),"LT0PCO01UZHJ1")</f>
        <v>LT0PCO01UZHJ1</v>
      </c>
      <c r="F3331" s="238" t="str">
        <f>IFERROR(__xludf.DUMMYFUNCTION("""COMPUTED_VALUE"""),"EMT2B71")</f>
        <v>EMT2B71</v>
      </c>
      <c r="G3331" s="238">
        <f>IFERROR(__xludf.DUMMYFUNCTION("""COMPUTED_VALUE"""),46015.08333333333)</f>
        <v>46015.08333</v>
      </c>
      <c r="H3331" s="238">
        <f>IFERROR(__xludf.DUMMYFUNCTION("""COMPUTED_VALUE"""),46015.16666666667)</f>
        <v>46015.16667</v>
      </c>
      <c r="I3331" s="237" t="str">
        <f t="shared" si="1"/>
        <v>Fora</v>
      </c>
      <c r="J3331" s="239">
        <v>120.00000001396984</v>
      </c>
    </row>
    <row r="3332">
      <c r="A3332" s="234" t="s">
        <v>4693</v>
      </c>
      <c r="B3332" s="234" t="str">
        <f>IFERROR(__xludf.DUMMYFUNCTION("""COMPUTED_VALUE"""),"LM Hub_SP_Tatuí")</f>
        <v>LM Hub_SP_Tatuí</v>
      </c>
      <c r="C3332" s="234" t="str">
        <f>IFERROR(__xludf.DUMMYFUNCTION("""COMPUTED_VALUE"""),"HUB-LSP-51")</f>
        <v>HUB-LSP-51</v>
      </c>
      <c r="D3332" s="234"/>
      <c r="E3332" s="237" t="str">
        <f>IFERROR(__xludf.DUMMYFUNCTION("""COMPUTED_VALUE"""),"LT0PCO01UVP21")</f>
        <v>LT0PCO01UVP21</v>
      </c>
      <c r="F3332" s="238" t="str">
        <f>IFERROR(__xludf.DUMMYFUNCTION("""COMPUTED_VALUE"""),"FLO1G76,FLO1G70")</f>
        <v>FLO1G76,FLO1G70</v>
      </c>
      <c r="G3332" s="238">
        <f>IFERROR(__xludf.DUMMYFUNCTION("""COMPUTED_VALUE"""),46015.08333333333)</f>
        <v>46015.08333</v>
      </c>
      <c r="H3332" s="238">
        <f>IFERROR(__xludf.DUMMYFUNCTION("""COMPUTED_VALUE"""),46015.16666666667)</f>
        <v>46015.16667</v>
      </c>
      <c r="I3332" s="237" t="str">
        <f t="shared" si="1"/>
        <v>Fora</v>
      </c>
      <c r="J3332" s="239">
        <v>120.00000001396984</v>
      </c>
    </row>
    <row r="3333">
      <c r="A3333" s="234" t="s">
        <v>4694</v>
      </c>
      <c r="B3333" s="234" t="str">
        <f>IFERROR(__xludf.DUMMYFUNCTION("""COMPUTED_VALUE"""),"SoC_PE_Jaboatão dos Guararapes")</f>
        <v>SoC_PE_Jaboatão dos Guararapes</v>
      </c>
      <c r="C3333" s="234" t="str">
        <f>IFERROR(__xludf.DUMMYFUNCTION("""COMPUTED_VALUE"""),"SOC-PE2")</f>
        <v>SOC-PE2</v>
      </c>
      <c r="D3333" s="234">
        <f>IFERROR(__xludf.DUMMYFUNCTION("""COMPUTED_VALUE"""),19.0)</f>
        <v>19</v>
      </c>
      <c r="E3333" s="237" t="str">
        <f>IFERROR(__xludf.DUMMYFUNCTION("""COMPUTED_VALUE"""),"LT1PCO01VOLI1")</f>
        <v>LT1PCO01VOLI1</v>
      </c>
      <c r="F3333" s="238" t="str">
        <f>IFERROR(__xludf.DUMMYFUNCTION("""COMPUTED_VALUE"""),"RDZ4E63,QSR8C55")</f>
        <v>RDZ4E63,QSR8C55</v>
      </c>
      <c r="G3333" s="238">
        <f>IFERROR(__xludf.DUMMYFUNCTION("""COMPUTED_VALUE"""),46015.08333333333)</f>
        <v>46015.08333</v>
      </c>
      <c r="H3333" s="238">
        <f>IFERROR(__xludf.DUMMYFUNCTION("""COMPUTED_VALUE"""),46015.16666666667)</f>
        <v>46015.16667</v>
      </c>
      <c r="I3333" s="237" t="str">
        <f t="shared" si="1"/>
        <v>Fora</v>
      </c>
      <c r="J3333" s="239">
        <v>119.99999999301508</v>
      </c>
    </row>
    <row r="3334">
      <c r="A3334" s="234" t="s">
        <v>4695</v>
      </c>
      <c r="B3334" s="234" t="str">
        <f>IFERROR(__xludf.DUMMYFUNCTION("""COMPUTED_VALUE"""),"LM Hub_SP_Itapetininga")</f>
        <v>LM Hub_SP_Itapetininga</v>
      </c>
      <c r="C3334" s="234" t="str">
        <f>IFERROR(__xludf.DUMMYFUNCTION("""COMPUTED_VALUE"""),"HUB-LSP-53")</f>
        <v>HUB-LSP-53</v>
      </c>
      <c r="D3334" s="234">
        <f>IFERROR(__xludf.DUMMYFUNCTION("""COMPUTED_VALUE"""),27.0)</f>
        <v>27</v>
      </c>
      <c r="E3334" s="237" t="str">
        <f>IFERROR(__xludf.DUMMYFUNCTION("""COMPUTED_VALUE"""),"LT0PCO01UVOZ1")</f>
        <v>LT0PCO01UVOZ1</v>
      </c>
      <c r="F3334" s="238" t="str">
        <f>IFERROR(__xludf.DUMMYFUNCTION("""COMPUTED_VALUE"""),"FLQ1E34,FLQ1E30")</f>
        <v>FLQ1E34,FLQ1E30</v>
      </c>
      <c r="G3334" s="238">
        <f>IFERROR(__xludf.DUMMYFUNCTION("""COMPUTED_VALUE"""),46015.10416666667)</f>
        <v>46015.10417</v>
      </c>
      <c r="H3334" s="238">
        <f>IFERROR(__xludf.DUMMYFUNCTION("""COMPUTED_VALUE"""),46015.1875)</f>
        <v>46015.1875</v>
      </c>
      <c r="I3334" s="237" t="str">
        <f t="shared" si="1"/>
        <v>Fora</v>
      </c>
      <c r="J3334" s="239">
        <v>119.99999999301508</v>
      </c>
    </row>
    <row r="3335">
      <c r="A3335" s="234" t="s">
        <v>4696</v>
      </c>
      <c r="B3335" s="234" t="str">
        <f>IFERROR(__xludf.DUMMYFUNCTION("""COMPUTED_VALUE"""),"LM Hub_SP_São Carlos")</f>
        <v>LM Hub_SP_São Carlos</v>
      </c>
      <c r="C3335" s="234" t="str">
        <f>IFERROR(__xludf.DUMMYFUNCTION("""COMPUTED_VALUE"""),"HUB-LSP-31")</f>
        <v>HUB-LSP-31</v>
      </c>
      <c r="D3335" s="234">
        <f>IFERROR(__xludf.DUMMYFUNCTION("""COMPUTED_VALUE"""),14.0)</f>
        <v>14</v>
      </c>
      <c r="E3335" s="237" t="str">
        <f>IFERROR(__xludf.DUMMYFUNCTION("""COMPUTED_VALUE"""),"LT0PCO01UVQZ1")</f>
        <v>LT0PCO01UVQZ1</v>
      </c>
      <c r="F3335" s="238" t="str">
        <f>IFERROR(__xludf.DUMMYFUNCTION("""COMPUTED_VALUE"""),"GHJ3E37,OUU8J45")</f>
        <v>GHJ3E37,OUU8J45</v>
      </c>
      <c r="G3335" s="238">
        <f>IFERROR(__xludf.DUMMYFUNCTION("""COMPUTED_VALUE"""),46015.10416666667)</f>
        <v>46015.10417</v>
      </c>
      <c r="H3335" s="238">
        <f>IFERROR(__xludf.DUMMYFUNCTION("""COMPUTED_VALUE"""),46015.1875)</f>
        <v>46015.1875</v>
      </c>
      <c r="I3335" s="237" t="str">
        <f t="shared" si="1"/>
        <v>Fora</v>
      </c>
      <c r="J3335" s="239">
        <v>479.9999999930151</v>
      </c>
    </row>
    <row r="3336">
      <c r="A3336" s="234" t="s">
        <v>495</v>
      </c>
      <c r="B3336" s="234" t="str">
        <f>IFERROR(__xludf.DUMMYFUNCTION("""COMPUTED_VALUE"""),"SoC_BA_Simoes Filho")</f>
        <v>SoC_BA_Simoes Filho</v>
      </c>
      <c r="C3336" s="234" t="str">
        <f>IFERROR(__xludf.DUMMYFUNCTION("""COMPUTED_VALUE"""),"SOC-BA2")</f>
        <v>SOC-BA2</v>
      </c>
      <c r="D3336" s="234">
        <f>IFERROR(__xludf.DUMMYFUNCTION("""COMPUTED_VALUE"""),89.0)</f>
        <v>89</v>
      </c>
      <c r="E3336" s="237" t="str">
        <f>IFERROR(__xludf.DUMMYFUNCTION("""COMPUTED_VALUE"""),"LT1PCN01VOL51")</f>
        <v>LT1PCN01VOL51</v>
      </c>
      <c r="F3336" s="238" t="str">
        <f>IFERROR(__xludf.DUMMYFUNCTION("""COMPUTED_VALUE"""),"NLU2A69,HMM4E77")</f>
        <v>NLU2A69,HMM4E77</v>
      </c>
      <c r="G3336" s="238">
        <f>IFERROR(__xludf.DUMMYFUNCTION("""COMPUTED_VALUE"""),46014.875)</f>
        <v>46014.875</v>
      </c>
      <c r="H3336" s="238">
        <f>IFERROR(__xludf.DUMMYFUNCTION("""COMPUTED_VALUE"""),46015.20833333333)</f>
        <v>46015.20833</v>
      </c>
      <c r="I3336" s="237" t="str">
        <f t="shared" si="1"/>
        <v>Fora</v>
      </c>
      <c r="J3336" s="239">
        <v>418.9999999932479</v>
      </c>
    </row>
    <row r="3337">
      <c r="A3337" s="234" t="s">
        <v>4697</v>
      </c>
      <c r="B3337" s="234" t="str">
        <f>IFERROR(__xludf.DUMMYFUNCTION("""COMPUTED_VALUE"""),"SoC_SP_Cravinhos")</f>
        <v>SoC_SP_Cravinhos</v>
      </c>
      <c r="C3337" s="234" t="str">
        <f>IFERROR(__xludf.DUMMYFUNCTION("""COMPUTED_VALUE"""),"SOC-SP5")</f>
        <v>SOC-SP5</v>
      </c>
      <c r="D3337" s="234">
        <f>IFERROR(__xludf.DUMMYFUNCTION("""COMPUTED_VALUE"""),18.0)</f>
        <v>18</v>
      </c>
      <c r="E3337" s="237" t="str">
        <f>IFERROR(__xludf.DUMMYFUNCTION("""COMPUTED_VALUE"""),"LT0PCN01UVMZ1")</f>
        <v>LT0PCN01UVMZ1</v>
      </c>
      <c r="F3337" s="238" t="str">
        <f>IFERROR(__xludf.DUMMYFUNCTION("""COMPUTED_VALUE"""),"EVD4B19,EVW7D14")</f>
        <v>EVD4B19,EVW7D14</v>
      </c>
      <c r="G3337" s="238">
        <f>IFERROR(__xludf.DUMMYFUNCTION("""COMPUTED_VALUE"""),46014.91736111111)</f>
        <v>46014.91736</v>
      </c>
      <c r="H3337" s="238">
        <f>IFERROR(__xludf.DUMMYFUNCTION("""COMPUTED_VALUE"""),46015.20833333333)</f>
        <v>46015.20833</v>
      </c>
      <c r="I3337" s="237" t="str">
        <f t="shared" si="1"/>
        <v>Fora</v>
      </c>
      <c r="J3337" s="239">
        <v>119.99999999301508</v>
      </c>
    </row>
    <row r="3338">
      <c r="A3338" s="234" t="s">
        <v>4698</v>
      </c>
      <c r="B3338" s="234" t="str">
        <f>IFERROR(__xludf.DUMMYFUNCTION("""COMPUTED_VALUE"""),"LM Hub_RJ_São Gonçalo")</f>
        <v>LM Hub_RJ_São Gonçalo</v>
      </c>
      <c r="C3338" s="234" t="str">
        <f>IFERROR(__xludf.DUMMYFUNCTION("""COMPUTED_VALUE"""),"HUB-LRJ-08")</f>
        <v>HUB-LRJ-08</v>
      </c>
      <c r="D3338" s="234">
        <f>IFERROR(__xludf.DUMMYFUNCTION("""COMPUTED_VALUE"""),7.0)</f>
        <v>7</v>
      </c>
      <c r="E3338" s="237" t="str">
        <f>IFERROR(__xludf.DUMMYFUNCTION("""COMPUTED_VALUE"""),"LT0PCO01UZHR1")</f>
        <v>LT0PCO01UZHR1</v>
      </c>
      <c r="F3338" s="238" t="str">
        <f>IFERROR(__xludf.DUMMYFUNCTION("""COMPUTED_VALUE"""),"EFW2681,FJP6J15")</f>
        <v>EFW2681,FJP6J15</v>
      </c>
      <c r="G3338" s="238">
        <f>IFERROR(__xludf.DUMMYFUNCTION("""COMPUTED_VALUE"""),46015.125)</f>
        <v>46015.125</v>
      </c>
      <c r="H3338" s="238">
        <f>IFERROR(__xludf.DUMMYFUNCTION("""COMPUTED_VALUE"""),46015.20833333333)</f>
        <v>46015.20833</v>
      </c>
      <c r="I3338" s="237" t="str">
        <f t="shared" si="1"/>
        <v>Fora</v>
      </c>
      <c r="J3338" s="239">
        <v>119.99999999301508</v>
      </c>
    </row>
    <row r="3339">
      <c r="A3339" s="234" t="s">
        <v>4699</v>
      </c>
      <c r="B3339" s="234" t="str">
        <f>IFERROR(__xludf.DUMMYFUNCTION("""COMPUTED_VALUE"""),"LM Hub_SP_Itapeva")</f>
        <v>LM Hub_SP_Itapeva</v>
      </c>
      <c r="C3339" s="234" t="str">
        <f>IFERROR(__xludf.DUMMYFUNCTION("""COMPUTED_VALUE"""),"HUB-LSP-39")</f>
        <v>HUB-LSP-39</v>
      </c>
      <c r="D3339" s="234">
        <f>IFERROR(__xludf.DUMMYFUNCTION("""COMPUTED_VALUE"""),42.0)</f>
        <v>42</v>
      </c>
      <c r="E3339" s="237" t="str">
        <f>IFERROR(__xludf.DUMMYFUNCTION("""COMPUTED_VALUE"""),"LT0PCO01UVP51")</f>
        <v>LT0PCO01UVP51</v>
      </c>
      <c r="F3339" s="238" t="str">
        <f>IFERROR(__xludf.DUMMYFUNCTION("""COMPUTED_VALUE"""),"FCT0B82,FCT0F71")</f>
        <v>FCT0B82,FCT0F71</v>
      </c>
      <c r="G3339" s="238">
        <f>IFERROR(__xludf.DUMMYFUNCTION("""COMPUTED_VALUE"""),46015.125)</f>
        <v>46015.125</v>
      </c>
      <c r="H3339" s="238">
        <f>IFERROR(__xludf.DUMMYFUNCTION("""COMPUTED_VALUE"""),46015.20833333333)</f>
        <v>46015.20833</v>
      </c>
      <c r="I3339" s="237" t="str">
        <f t="shared" si="1"/>
        <v>Fora</v>
      </c>
      <c r="J3339" s="239">
        <v>119.99999999301508</v>
      </c>
    </row>
    <row r="3340">
      <c r="A3340" s="234" t="s">
        <v>4700</v>
      </c>
      <c r="B3340" s="234" t="str">
        <f>IFERROR(__xludf.DUMMYFUNCTION("""COMPUTED_VALUE"""),"LM Hub_SP_Sumaré_Nova Veneza_1")</f>
        <v>LM Hub_SP_Sumaré_Nova Veneza_1</v>
      </c>
      <c r="C3340" s="234" t="str">
        <f>IFERROR(__xludf.DUMMYFUNCTION("""COMPUTED_VALUE"""),"HUB-LSP-88")</f>
        <v>HUB-LSP-88</v>
      </c>
      <c r="D3340" s="234">
        <f>IFERROR(__xludf.DUMMYFUNCTION("""COMPUTED_VALUE"""),6.0)</f>
        <v>6</v>
      </c>
      <c r="E3340" s="237" t="str">
        <f>IFERROR(__xludf.DUMMYFUNCTION("""COMPUTED_VALUE"""),"LT0PCO01UZ1H1")</f>
        <v>LT0PCO01UZ1H1</v>
      </c>
      <c r="F3340" s="238" t="str">
        <f>IFERROR(__xludf.DUMMYFUNCTION("""COMPUTED_VALUE"""),"DCU8E76,FMR2224")</f>
        <v>DCU8E76,FMR2224</v>
      </c>
      <c r="G3340" s="238">
        <f>IFERROR(__xludf.DUMMYFUNCTION("""COMPUTED_VALUE"""),46015.125)</f>
        <v>46015.125</v>
      </c>
      <c r="H3340" s="238">
        <f>IFERROR(__xludf.DUMMYFUNCTION("""COMPUTED_VALUE"""),46015.20833333333)</f>
        <v>46015.20833</v>
      </c>
      <c r="I3340" s="237" t="str">
        <f t="shared" si="1"/>
        <v>Fora</v>
      </c>
      <c r="J3340" s="239">
        <v>119.99999999301508</v>
      </c>
    </row>
    <row r="3341">
      <c r="A3341" s="234" t="s">
        <v>497</v>
      </c>
      <c r="B3341" s="234" t="str">
        <f>IFERROR(__xludf.DUMMYFUNCTION("""COMPUTED_VALUE"""),"SoC_SP_Santana")</f>
        <v>SoC_SP_Santana</v>
      </c>
      <c r="C3341" s="234" t="str">
        <f>IFERROR(__xludf.DUMMYFUNCTION("""COMPUTED_VALUE"""),"SOC-SP2")</f>
        <v>SOC-SP2</v>
      </c>
      <c r="D3341" s="234">
        <f>IFERROR(__xludf.DUMMYFUNCTION("""COMPUTED_VALUE"""),32.0)</f>
        <v>32</v>
      </c>
      <c r="E3341" s="237" t="str">
        <f>IFERROR(__xludf.DUMMYFUNCTION("""COMPUTED_VALUE"""),"LT0PCO01UVZ61")</f>
        <v>LT0PCO01UVZ61</v>
      </c>
      <c r="F3341" s="238" t="str">
        <f>IFERROR(__xludf.DUMMYFUNCTION("""COMPUTED_VALUE"""),"GXH8J82,MPR1103")</f>
        <v>GXH8J82,MPR1103</v>
      </c>
      <c r="G3341" s="238">
        <f>IFERROR(__xludf.DUMMYFUNCTION("""COMPUTED_VALUE"""),46015.125)</f>
        <v>46015.125</v>
      </c>
      <c r="H3341" s="238">
        <f>IFERROR(__xludf.DUMMYFUNCTION("""COMPUTED_VALUE"""),46015.20833333333)</f>
        <v>46015.20833</v>
      </c>
      <c r="I3341" s="237" t="str">
        <f t="shared" si="1"/>
        <v>Fora</v>
      </c>
      <c r="J3341" s="239">
        <v>120.00000001396984</v>
      </c>
    </row>
    <row r="3342">
      <c r="A3342" s="234" t="s">
        <v>4701</v>
      </c>
      <c r="B3342" s="234" t="str">
        <f>IFERROR(__xludf.DUMMYFUNCTION("""COMPUTED_VALUE"""),"LM Hub_SP_Campinas_São Martinho")</f>
        <v>LM Hub_SP_Campinas_São Martinho</v>
      </c>
      <c r="C3342" s="234" t="str">
        <f>IFERROR(__xludf.DUMMYFUNCTION("""COMPUTED_VALUE"""),"HUB-LSP-19")</f>
        <v>HUB-LSP-19</v>
      </c>
      <c r="D3342" s="234">
        <f>IFERROR(__xludf.DUMMYFUNCTION("""COMPUTED_VALUE"""),14.0)</f>
        <v>14</v>
      </c>
      <c r="E3342" s="237" t="str">
        <f>IFERROR(__xludf.DUMMYFUNCTION("""COMPUTED_VALUE"""),"LT0PCO01UVRT1")</f>
        <v>LT0PCO01UVRT1</v>
      </c>
      <c r="F3342" s="238" t="str">
        <f>IFERROR(__xludf.DUMMYFUNCTION("""COMPUTED_VALUE"""),"GCJ6G71,EFW1695")</f>
        <v>GCJ6G71,EFW1695</v>
      </c>
      <c r="G3342" s="238">
        <f>IFERROR(__xludf.DUMMYFUNCTION("""COMPUTED_VALUE"""),46015.14583333333)</f>
        <v>46015.14583</v>
      </c>
      <c r="H3342" s="238">
        <f>IFERROR(__xludf.DUMMYFUNCTION("""COMPUTED_VALUE"""),46015.22916666667)</f>
        <v>46015.22917</v>
      </c>
      <c r="I3342" s="237" t="str">
        <f t="shared" si="1"/>
        <v>Fora</v>
      </c>
      <c r="J3342" s="239">
        <v>120.00000001396984</v>
      </c>
    </row>
    <row r="3343">
      <c r="A3343" s="234" t="s">
        <v>4702</v>
      </c>
      <c r="B3343" s="234" t="str">
        <f>IFERROR(__xludf.DUMMYFUNCTION("""COMPUTED_VALUE"""),"LM Hub_SP_Mogi Mirim")</f>
        <v>LM Hub_SP_Mogi Mirim</v>
      </c>
      <c r="C3343" s="234" t="str">
        <f>IFERROR(__xludf.DUMMYFUNCTION("""COMPUTED_VALUE"""),"HUB-LSP-37")</f>
        <v>HUB-LSP-37</v>
      </c>
      <c r="D3343" s="234"/>
      <c r="E3343" s="237" t="str">
        <f>IFERROR(__xludf.DUMMYFUNCTION("""COMPUTED_VALUE"""),"LT0PCO01UVR61")</f>
        <v>LT0PCO01UVR61</v>
      </c>
      <c r="F3343" s="238" t="str">
        <f>IFERROR(__xludf.DUMMYFUNCTION("""COMPUTED_VALUE"""),"SVC6I57,SWO1G45")</f>
        <v>SVC6I57,SWO1G45</v>
      </c>
      <c r="G3343" s="238">
        <f>IFERROR(__xludf.DUMMYFUNCTION("""COMPUTED_VALUE"""),46015.14583333333)</f>
        <v>46015.14583</v>
      </c>
      <c r="H3343" s="238">
        <f>IFERROR(__xludf.DUMMYFUNCTION("""COMPUTED_VALUE"""),46015.22916666667)</f>
        <v>46015.22917</v>
      </c>
      <c r="I3343" s="237" t="str">
        <f t="shared" si="1"/>
        <v>Fora</v>
      </c>
      <c r="J3343" s="239">
        <v>120.00000001396984</v>
      </c>
    </row>
    <row r="3344">
      <c r="A3344" s="234" t="s">
        <v>4703</v>
      </c>
      <c r="B3344" s="234" t="str">
        <f>IFERROR(__xludf.DUMMYFUNCTION("""COMPUTED_VALUE"""),"LM Hub_SP_Osasco_02")</f>
        <v>LM Hub_SP_Osasco_02</v>
      </c>
      <c r="C3344" s="234" t="str">
        <f>IFERROR(__xludf.DUMMYFUNCTION("""COMPUTED_VALUE"""),"HUB-LSP-60")</f>
        <v>HUB-LSP-60</v>
      </c>
      <c r="D3344" s="234">
        <f>IFERROR(__xludf.DUMMYFUNCTION("""COMPUTED_VALUE"""),29.0)</f>
        <v>29</v>
      </c>
      <c r="E3344" s="237" t="str">
        <f>IFERROR(__xludf.DUMMYFUNCTION("""COMPUTED_VALUE"""),"LT0PCO01UWEE1")</f>
        <v>LT0PCO01UWEE1</v>
      </c>
      <c r="F3344" s="238" t="str">
        <f>IFERROR(__xludf.DUMMYFUNCTION("""COMPUTED_VALUE"""),"HBN8F05,TKX7F43")</f>
        <v>HBN8F05,TKX7F43</v>
      </c>
      <c r="G3344" s="238">
        <f>IFERROR(__xludf.DUMMYFUNCTION("""COMPUTED_VALUE"""),46015.14583333333)</f>
        <v>46015.14583</v>
      </c>
      <c r="H3344" s="238">
        <f>IFERROR(__xludf.DUMMYFUNCTION("""COMPUTED_VALUE"""),46015.22916666667)</f>
        <v>46015.22917</v>
      </c>
      <c r="I3344" s="237" t="str">
        <f t="shared" si="1"/>
        <v>Fora</v>
      </c>
      <c r="J3344" s="239">
        <v>119.00000001071021</v>
      </c>
    </row>
    <row r="3345">
      <c r="A3345" s="234" t="s">
        <v>4704</v>
      </c>
      <c r="B3345" s="234" t="str">
        <f>IFERROR(__xludf.DUMMYFUNCTION("""COMPUTED_VALUE"""),"LM Hub_SP_Sorocaba_Região Norte")</f>
        <v>LM Hub_SP_Sorocaba_Região Norte</v>
      </c>
      <c r="C3345" s="234" t="str">
        <f>IFERROR(__xludf.DUMMYFUNCTION("""COMPUTED_VALUE"""),"HUB-LSP-10")</f>
        <v>HUB-LSP-10</v>
      </c>
      <c r="D3345" s="234">
        <f>IFERROR(__xludf.DUMMYFUNCTION("""COMPUTED_VALUE"""),23.0)</f>
        <v>23</v>
      </c>
      <c r="E3345" s="237" t="str">
        <f>IFERROR(__xludf.DUMMYFUNCTION("""COMPUTED_VALUE"""),"LT0PCO01UVQC1")</f>
        <v>LT0PCO01UVQC1</v>
      </c>
      <c r="F3345" s="238" t="str">
        <f>IFERROR(__xludf.DUMMYFUNCTION("""COMPUTED_VALUE"""),"DNU8E03,MGA6B94")</f>
        <v>DNU8E03,MGA6B94</v>
      </c>
      <c r="G3345" s="238">
        <f>IFERROR(__xludf.DUMMYFUNCTION("""COMPUTED_VALUE"""),46015.146527777775)</f>
        <v>46015.14653</v>
      </c>
      <c r="H3345" s="238">
        <f>IFERROR(__xludf.DUMMYFUNCTION("""COMPUTED_VALUE"""),46015.22916666667)</f>
        <v>46015.22917</v>
      </c>
      <c r="I3345" s="237" t="str">
        <f t="shared" si="1"/>
        <v>Fora</v>
      </c>
      <c r="J3345" s="239">
        <v>119.99999999301508</v>
      </c>
    </row>
    <row r="3346">
      <c r="A3346" s="234" t="s">
        <v>472</v>
      </c>
      <c r="B3346" s="234" t="str">
        <f>IFERROR(__xludf.DUMMYFUNCTION("""COMPUTED_VALUE"""),"LM Hub_SP_Limeira_Campo Belo")</f>
        <v>LM Hub_SP_Limeira_Campo Belo</v>
      </c>
      <c r="C3346" s="234" t="str">
        <f>IFERROR(__xludf.DUMMYFUNCTION("""COMPUTED_VALUE"""),"HUB-LSP-24")</f>
        <v>HUB-LSP-24</v>
      </c>
      <c r="D3346" s="234">
        <f>IFERROR(__xludf.DUMMYFUNCTION("""COMPUTED_VALUE"""),13.0)</f>
        <v>13</v>
      </c>
      <c r="E3346" s="237" t="str">
        <f>IFERROR(__xludf.DUMMYFUNCTION("""COMPUTED_VALUE"""),"LT0PCO01UVQH1")</f>
        <v>LT0PCO01UVQH1</v>
      </c>
      <c r="F3346" s="238" t="str">
        <f>IFERROR(__xludf.DUMMYFUNCTION("""COMPUTED_VALUE"""),"TLE4D84,TLE4D80")</f>
        <v>TLE4D84,TLE4D80</v>
      </c>
      <c r="G3346" s="238">
        <f>IFERROR(__xludf.DUMMYFUNCTION("""COMPUTED_VALUE"""),46015.16666666667)</f>
        <v>46015.16667</v>
      </c>
      <c r="H3346" s="238">
        <f>IFERROR(__xludf.DUMMYFUNCTION("""COMPUTED_VALUE"""),46015.25)</f>
        <v>46015.25</v>
      </c>
      <c r="I3346" s="237" t="str">
        <f t="shared" si="1"/>
        <v>Fora</v>
      </c>
      <c r="J3346" s="239">
        <v>119.99999999301508</v>
      </c>
    </row>
    <row r="3347">
      <c r="A3347" s="234" t="s">
        <v>471</v>
      </c>
      <c r="B3347" s="234" t="str">
        <f>IFERROR(__xludf.DUMMYFUNCTION("""COMPUTED_VALUE"""),"LM Hub_SP_Registro")</f>
        <v>LM Hub_SP_Registro</v>
      </c>
      <c r="C3347" s="234" t="str">
        <f>IFERROR(__xludf.DUMMYFUNCTION("""COMPUTED_VALUE"""),"HUB")</f>
        <v>HUB</v>
      </c>
      <c r="D3347" s="234">
        <f>IFERROR(__xludf.DUMMYFUNCTION("""COMPUTED_VALUE"""),9.0)</f>
        <v>9</v>
      </c>
      <c r="E3347" s="237" t="str">
        <f>IFERROR(__xludf.DUMMYFUNCTION("""COMPUTED_VALUE"""),"LT0PCO01UVPJ1")</f>
        <v>LT0PCO01UVPJ1</v>
      </c>
      <c r="F3347" s="238" t="str">
        <f>IFERROR(__xludf.DUMMYFUNCTION("""COMPUTED_VALUE"""),"EKK9E13")</f>
        <v>EKK9E13</v>
      </c>
      <c r="G3347" s="238">
        <f>IFERROR(__xludf.DUMMYFUNCTION("""COMPUTED_VALUE"""),46015.16666666667)</f>
        <v>46015.16667</v>
      </c>
      <c r="H3347" s="238">
        <f>IFERROR(__xludf.DUMMYFUNCTION("""COMPUTED_VALUE"""),46015.25)</f>
        <v>46015.25</v>
      </c>
      <c r="I3347" s="237" t="str">
        <f t="shared" si="1"/>
        <v>Fora</v>
      </c>
      <c r="J3347" s="239">
        <v>119.99999999301508</v>
      </c>
    </row>
    <row r="3348">
      <c r="A3348" s="234" t="s">
        <v>473</v>
      </c>
      <c r="B3348" s="234" t="str">
        <f>IFERROR(__xludf.DUMMYFUNCTION("""COMPUTED_VALUE"""),"LM Hub_SP_São Bernardo do Campo")</f>
        <v>LM Hub_SP_São Bernardo do Campo</v>
      </c>
      <c r="C3348" s="234" t="str">
        <f>IFERROR(__xludf.DUMMYFUNCTION("""COMPUTED_VALUE"""),"HUB-LSP-79")</f>
        <v>HUB-LSP-79</v>
      </c>
      <c r="D3348" s="234">
        <f>IFERROR(__xludf.DUMMYFUNCTION("""COMPUTED_VALUE"""),15.0)</f>
        <v>15</v>
      </c>
      <c r="E3348" s="237" t="str">
        <f>IFERROR(__xludf.DUMMYFUNCTION("""COMPUTED_VALUE"""),"LT0PCO01UW2E1")</f>
        <v>LT0PCO01UW2E1</v>
      </c>
      <c r="F3348" s="238" t="str">
        <f>IFERROR(__xludf.DUMMYFUNCTION("""COMPUTED_VALUE"""),"FUF6H46,NVV7D82")</f>
        <v>FUF6H46,NVV7D82</v>
      </c>
      <c r="G3348" s="238">
        <f>IFERROR(__xludf.DUMMYFUNCTION("""COMPUTED_VALUE"""),46015.16666666667)</f>
        <v>46015.16667</v>
      </c>
      <c r="H3348" s="238">
        <f>IFERROR(__xludf.DUMMYFUNCTION("""COMPUTED_VALUE"""),46015.25)</f>
        <v>46015.25</v>
      </c>
      <c r="I3348" s="237" t="str">
        <f t="shared" si="1"/>
        <v>Fora</v>
      </c>
      <c r="J3348" s="239">
        <v>119.99999999301508</v>
      </c>
    </row>
    <row r="3349">
      <c r="A3349" s="234" t="s">
        <v>4705</v>
      </c>
      <c r="B3349" s="234" t="str">
        <f>IFERROR(__xludf.DUMMYFUNCTION("""COMPUTED_VALUE"""),"LM Hub_SP_Várzea Paulista")</f>
        <v>LM Hub_SP_Várzea Paulista</v>
      </c>
      <c r="C3349" s="234" t="str">
        <f>IFERROR(__xludf.DUMMYFUNCTION("""COMPUTED_VALUE"""),"HUB-LSP-61")</f>
        <v>HUB-LSP-61</v>
      </c>
      <c r="D3349" s="234"/>
      <c r="E3349" s="237" t="str">
        <f>IFERROR(__xludf.DUMMYFUNCTION("""COMPUTED_VALUE"""),"LT0PCO01UVQO1")</f>
        <v>LT0PCO01UVQO1</v>
      </c>
      <c r="F3349" s="238" t="str">
        <f>IFERROR(__xludf.DUMMYFUNCTION("""COMPUTED_VALUE"""),"FRM9I93,NVY9A98")</f>
        <v>FRM9I93,NVY9A98</v>
      </c>
      <c r="G3349" s="238">
        <f>IFERROR(__xludf.DUMMYFUNCTION("""COMPUTED_VALUE"""),46015.16666666667)</f>
        <v>46015.16667</v>
      </c>
      <c r="H3349" s="238">
        <f>IFERROR(__xludf.DUMMYFUNCTION("""COMPUTED_VALUE"""),46015.25)</f>
        <v>46015.25</v>
      </c>
      <c r="I3349" s="237" t="str">
        <f t="shared" si="1"/>
        <v>Fora</v>
      </c>
      <c r="J3349" s="239">
        <v>119.99999999301508</v>
      </c>
    </row>
    <row r="3350">
      <c r="A3350" s="234" t="s">
        <v>474</v>
      </c>
      <c r="B3350" s="234" t="str">
        <f>IFERROR(__xludf.DUMMYFUNCTION("""COMPUTED_VALUE"""),"LM Hub_SP_Atibaia_Ponte_Alta")</f>
        <v>LM Hub_SP_Atibaia_Ponte_Alta</v>
      </c>
      <c r="C3350" s="234" t="str">
        <f>IFERROR(__xludf.DUMMYFUNCTION("""COMPUTED_VALUE"""),"HUB-LSP-87")</f>
        <v>HUB-LSP-87</v>
      </c>
      <c r="D3350" s="234">
        <f>IFERROR(__xludf.DUMMYFUNCTION("""COMPUTED_VALUE"""),34.0)</f>
        <v>34</v>
      </c>
      <c r="E3350" s="237" t="str">
        <f>IFERROR(__xludf.DUMMYFUNCTION("""COMPUTED_VALUE"""),"LT0PCO01UY6O1")</f>
        <v>LT0PCO01UY6O1</v>
      </c>
      <c r="F3350" s="238" t="str">
        <f>IFERROR(__xludf.DUMMYFUNCTION("""COMPUTED_VALUE"""),"FYJ0C52,GGU5E98")</f>
        <v>FYJ0C52,GGU5E98</v>
      </c>
      <c r="G3350" s="238">
        <f>IFERROR(__xludf.DUMMYFUNCTION("""COMPUTED_VALUE"""),46015.1875)</f>
        <v>46015.1875</v>
      </c>
      <c r="H3350" s="238">
        <f>IFERROR(__xludf.DUMMYFUNCTION("""COMPUTED_VALUE"""),46015.27083333333)</f>
        <v>46015.27083</v>
      </c>
      <c r="I3350" s="237" t="str">
        <f t="shared" si="1"/>
        <v>Fora</v>
      </c>
      <c r="J3350" s="239">
        <v>119.99999999301508</v>
      </c>
    </row>
    <row r="3351">
      <c r="A3351" s="234" t="s">
        <v>475</v>
      </c>
      <c r="B3351" s="234" t="str">
        <f>IFERROR(__xludf.DUMMYFUNCTION("""COMPUTED_VALUE"""),"LM Hub_SP_Embu das Artes")</f>
        <v>LM Hub_SP_Embu das Artes</v>
      </c>
      <c r="C3351" s="234" t="str">
        <f>IFERROR(__xludf.DUMMYFUNCTION("""COMPUTED_VALUE"""),"HUB-LSP-36")</f>
        <v>HUB-LSP-36</v>
      </c>
      <c r="D3351" s="234">
        <f>IFERROR(__xludf.DUMMYFUNCTION("""COMPUTED_VALUE"""),22.0)</f>
        <v>22</v>
      </c>
      <c r="E3351" s="237" t="str">
        <f>IFERROR(__xludf.DUMMYFUNCTION("""COMPUTED_VALUE"""),"LT0PCO01UWF51")</f>
        <v>LT0PCO01UWF51</v>
      </c>
      <c r="F3351" s="238" t="str">
        <f>IFERROR(__xludf.DUMMYFUNCTION("""COMPUTED_VALUE"""),"SUQ5C99,TLD5B82")</f>
        <v>SUQ5C99,TLD5B82</v>
      </c>
      <c r="G3351" s="238">
        <f>IFERROR(__xludf.DUMMYFUNCTION("""COMPUTED_VALUE"""),46015.1875)</f>
        <v>46015.1875</v>
      </c>
      <c r="H3351" s="238">
        <f>IFERROR(__xludf.DUMMYFUNCTION("""COMPUTED_VALUE"""),46015.27083333333)</f>
        <v>46015.27083</v>
      </c>
      <c r="I3351" s="237" t="str">
        <f t="shared" si="1"/>
        <v>Fora</v>
      </c>
      <c r="J3351" s="239">
        <v>120.00000001396984</v>
      </c>
    </row>
    <row r="3352">
      <c r="A3352" s="234" t="s">
        <v>476</v>
      </c>
      <c r="B3352" s="234" t="str">
        <f>IFERROR(__xludf.DUMMYFUNCTION("""COMPUTED_VALUE"""),"LM Hub_SP_Jundiaí")</f>
        <v>LM Hub_SP_Jundiaí</v>
      </c>
      <c r="C3352" s="234" t="str">
        <f>IFERROR(__xludf.DUMMYFUNCTION("""COMPUTED_VALUE"""),"HUB-LSP-100")</f>
        <v>HUB-LSP-100</v>
      </c>
      <c r="D3352" s="234">
        <f>IFERROR(__xludf.DUMMYFUNCTION("""COMPUTED_VALUE"""),8.0)</f>
        <v>8</v>
      </c>
      <c r="E3352" s="237" t="str">
        <f>IFERROR(__xludf.DUMMYFUNCTION("""COMPUTED_VALUE"""),"LT0PCO01V0151")</f>
        <v>LT0PCO01V0151</v>
      </c>
      <c r="F3352" s="238" t="str">
        <f>IFERROR(__xludf.DUMMYFUNCTION("""COMPUTED_VALUE"""),"EDI5J16,TPO5B25")</f>
        <v>EDI5J16,TPO5B25</v>
      </c>
      <c r="G3352" s="238">
        <f>IFERROR(__xludf.DUMMYFUNCTION("""COMPUTED_VALUE"""),46015.20833333333)</f>
        <v>46015.20833</v>
      </c>
      <c r="H3352" s="238">
        <f>IFERROR(__xludf.DUMMYFUNCTION("""COMPUTED_VALUE"""),46015.29166666667)</f>
        <v>46015.29167</v>
      </c>
      <c r="I3352" s="237" t="str">
        <f t="shared" si="1"/>
        <v>Fora</v>
      </c>
      <c r="J3352" s="239">
        <v>120.00000001396984</v>
      </c>
    </row>
    <row r="3353">
      <c r="A3353" s="234" t="s">
        <v>478</v>
      </c>
      <c r="B3353" s="234" t="str">
        <f>IFERROR(__xludf.DUMMYFUNCTION("""COMPUTED_VALUE"""),"LM Hub_SP_Piracicaba")</f>
        <v>LM Hub_SP_Piracicaba</v>
      </c>
      <c r="C3353" s="234" t="str">
        <f>IFERROR(__xludf.DUMMYFUNCTION("""COMPUTED_VALUE"""),"HUB-LSP-62")</f>
        <v>HUB-LSP-62</v>
      </c>
      <c r="D3353" s="234">
        <f>IFERROR(__xludf.DUMMYFUNCTION("""COMPUTED_VALUE"""),27.0)</f>
        <v>27</v>
      </c>
      <c r="E3353" s="237" t="str">
        <f>IFERROR(__xludf.DUMMYFUNCTION("""COMPUTED_VALUE"""),"LT0PCO01UW4T1")</f>
        <v>LT0PCO01UW4T1</v>
      </c>
      <c r="F3353" s="238" t="str">
        <f>IFERROR(__xludf.DUMMYFUNCTION("""COMPUTED_VALUE"""),"OMY3I62,OMY3I60")</f>
        <v>OMY3I62,OMY3I60</v>
      </c>
      <c r="G3353" s="238">
        <f>IFERROR(__xludf.DUMMYFUNCTION("""COMPUTED_VALUE"""),46015.20833333333)</f>
        <v>46015.20833</v>
      </c>
      <c r="H3353" s="238">
        <f>IFERROR(__xludf.DUMMYFUNCTION("""COMPUTED_VALUE"""),46015.29166666667)</f>
        <v>46015.29167</v>
      </c>
      <c r="I3353" s="237" t="str">
        <f t="shared" si="1"/>
        <v>Fora</v>
      </c>
      <c r="J3353" s="239">
        <v>120.00000001396984</v>
      </c>
    </row>
    <row r="3354">
      <c r="A3354" s="234" t="s">
        <v>479</v>
      </c>
      <c r="B3354" s="234" t="str">
        <f>IFERROR(__xludf.DUMMYFUNCTION("""COMPUTED_VALUE"""),"LM Hub_SP_Santos_PraiaGrande_02")</f>
        <v>LM Hub_SP_Santos_PraiaGrande_02</v>
      </c>
      <c r="C3354" s="234" t="str">
        <f>IFERROR(__xludf.DUMMYFUNCTION("""COMPUTED_VALUE"""),"HUB-LSP-63")</f>
        <v>HUB-LSP-63</v>
      </c>
      <c r="D3354" s="234">
        <f>IFERROR(__xludf.DUMMYFUNCTION("""COMPUTED_VALUE"""),24.0)</f>
        <v>24</v>
      </c>
      <c r="E3354" s="237" t="str">
        <f>IFERROR(__xludf.DUMMYFUNCTION("""COMPUTED_VALUE"""),"LT0PCO01UWF21")</f>
        <v>LT0PCO01UWF21</v>
      </c>
      <c r="F3354" s="238" t="str">
        <f>IFERROR(__xludf.DUMMYFUNCTION("""COMPUTED_VALUE"""),"JBC2B39,JXA5569")</f>
        <v>JBC2B39,JXA5569</v>
      </c>
      <c r="G3354" s="238">
        <f>IFERROR(__xludf.DUMMYFUNCTION("""COMPUTED_VALUE"""),46015.20833333333)</f>
        <v>46015.20833</v>
      </c>
      <c r="H3354" s="238">
        <f>IFERROR(__xludf.DUMMYFUNCTION("""COMPUTED_VALUE"""),46015.29166666667)</f>
        <v>46015.29167</v>
      </c>
      <c r="I3354" s="237" t="str">
        <f t="shared" si="1"/>
        <v>Fora</v>
      </c>
      <c r="J3354" s="239">
        <v>119.00000001071021</v>
      </c>
    </row>
    <row r="3355">
      <c r="A3355" s="234" t="s">
        <v>481</v>
      </c>
      <c r="B3355" s="234" t="str">
        <f>IFERROR(__xludf.DUMMYFUNCTION("""COMPUTED_VALUE"""),"LM Hub_SP_Barueri_01")</f>
        <v>LM Hub_SP_Barueri_01</v>
      </c>
      <c r="C3355" s="234" t="str">
        <f>IFERROR(__xludf.DUMMYFUNCTION("""COMPUTED_VALUE"""),"HUB-LSP-81")</f>
        <v>HUB-LSP-81</v>
      </c>
      <c r="D3355" s="234">
        <f>IFERROR(__xludf.DUMMYFUNCTION("""COMPUTED_VALUE"""),17.0)</f>
        <v>17</v>
      </c>
      <c r="E3355" s="237" t="str">
        <f>IFERROR(__xludf.DUMMYFUNCTION("""COMPUTED_VALUE"""),"LT0PCO01UZ3T1")</f>
        <v>LT0PCO01UZ3T1</v>
      </c>
      <c r="F3355" s="238" t="str">
        <f>IFERROR(__xludf.DUMMYFUNCTION("""COMPUTED_VALUE"""),"DVA3A62,DBC7D61")</f>
        <v>DVA3A62,DBC7D61</v>
      </c>
      <c r="G3355" s="238">
        <f>IFERROR(__xludf.DUMMYFUNCTION("""COMPUTED_VALUE"""),46015.209027777775)</f>
        <v>46015.20903</v>
      </c>
      <c r="H3355" s="238">
        <f>IFERROR(__xludf.DUMMYFUNCTION("""COMPUTED_VALUE"""),46015.29166666667)</f>
        <v>46015.29167</v>
      </c>
      <c r="I3355" s="237" t="str">
        <f t="shared" si="1"/>
        <v>Fora</v>
      </c>
      <c r="J3355" s="239">
        <v>119.00000001071021</v>
      </c>
    </row>
    <row r="3356">
      <c r="A3356" s="234" t="s">
        <v>480</v>
      </c>
      <c r="B3356" s="234" t="str">
        <f>IFERROR(__xludf.DUMMYFUNCTION("""COMPUTED_VALUE"""),"LM Hub_SP_Jurubatuba")</f>
        <v>LM Hub_SP_Jurubatuba</v>
      </c>
      <c r="C3356" s="234" t="str">
        <f>IFERROR(__xludf.DUMMYFUNCTION("""COMPUTED_VALUE"""),"HUB-LSP-16")</f>
        <v>HUB-LSP-16</v>
      </c>
      <c r="D3356" s="234">
        <f>IFERROR(__xludf.DUMMYFUNCTION("""COMPUTED_VALUE"""),35.0)</f>
        <v>35</v>
      </c>
      <c r="E3356" s="237" t="str">
        <f>IFERROR(__xludf.DUMMYFUNCTION("""COMPUTED_VALUE"""),"LT0PCO01UWEB1")</f>
        <v>LT0PCO01UWEB1</v>
      </c>
      <c r="F3356" s="238" t="str">
        <f>IFERROR(__xludf.DUMMYFUNCTION("""COMPUTED_VALUE"""),"ELI3J11,ECD4G71")</f>
        <v>ELI3J11,ECD4G71</v>
      </c>
      <c r="G3356" s="238">
        <f>IFERROR(__xludf.DUMMYFUNCTION("""COMPUTED_VALUE"""),46015.209027777775)</f>
        <v>46015.20903</v>
      </c>
      <c r="H3356" s="238">
        <f>IFERROR(__xludf.DUMMYFUNCTION("""COMPUTED_VALUE"""),46015.29166666667)</f>
        <v>46015.29167</v>
      </c>
      <c r="I3356" s="237" t="str">
        <f t="shared" si="1"/>
        <v>Fora</v>
      </c>
      <c r="J3356" s="239">
        <v>119.99999999301508</v>
      </c>
    </row>
    <row r="3357">
      <c r="A3357" s="234" t="s">
        <v>483</v>
      </c>
      <c r="B3357" s="234" t="str">
        <f>IFERROR(__xludf.DUMMYFUNCTION("""COMPUTED_VALUE"""),"LM Hub_SP_Guarujá")</f>
        <v>LM Hub_SP_Guarujá</v>
      </c>
      <c r="C3357" s="234" t="str">
        <f>IFERROR(__xludf.DUMMYFUNCTION("""COMPUTED_VALUE"""),"HUB-LSP-06")</f>
        <v>HUB-LSP-06</v>
      </c>
      <c r="D3357" s="234">
        <f>IFERROR(__xludf.DUMMYFUNCTION("""COMPUTED_VALUE"""),33.0)</f>
        <v>33</v>
      </c>
      <c r="E3357" s="237" t="str">
        <f>IFERROR(__xludf.DUMMYFUNCTION("""COMPUTED_VALUE"""),"LT0PCO01UWEO1")</f>
        <v>LT0PCO01UWEO1</v>
      </c>
      <c r="F3357" s="238" t="str">
        <f>IFERROR(__xludf.DUMMYFUNCTION("""COMPUTED_VALUE"""),"SVL5H32")</f>
        <v>SVL5H32</v>
      </c>
      <c r="G3357" s="238">
        <f>IFERROR(__xludf.DUMMYFUNCTION("""COMPUTED_VALUE"""),46015.22916666667)</f>
        <v>46015.22917</v>
      </c>
      <c r="H3357" s="238">
        <f>IFERROR(__xludf.DUMMYFUNCTION("""COMPUTED_VALUE"""),46015.3125)</f>
        <v>46015.3125</v>
      </c>
      <c r="I3357" s="237" t="str">
        <f t="shared" si="1"/>
        <v>Fora</v>
      </c>
      <c r="J3357" s="239">
        <v>119.99999999301508</v>
      </c>
    </row>
    <row r="3358">
      <c r="A3358" s="234" t="s">
        <v>482</v>
      </c>
      <c r="B3358" s="234" t="str">
        <f>IFERROR(__xludf.DUMMYFUNCTION("""COMPUTED_VALUE"""),"LM Hub_SP_Itaqua_Zimba")</f>
        <v>LM Hub_SP_Itaqua_Zimba</v>
      </c>
      <c r="C3358" s="234" t="str">
        <f>IFERROR(__xludf.DUMMYFUNCTION("""COMPUTED_VALUE"""),"HUB-LSP-74")</f>
        <v>HUB-LSP-74</v>
      </c>
      <c r="D3358" s="234">
        <f>IFERROR(__xludf.DUMMYFUNCTION("""COMPUTED_VALUE"""),12.0)</f>
        <v>12</v>
      </c>
      <c r="E3358" s="237" t="str">
        <f>IFERROR(__xludf.DUMMYFUNCTION("""COMPUTED_VALUE"""),"LT0PCO01UWEL1")</f>
        <v>LT0PCO01UWEL1</v>
      </c>
      <c r="F3358" s="238" t="str">
        <f>IFERROR(__xludf.DUMMYFUNCTION("""COMPUTED_VALUE"""),"FQB9D27,GGI8F52")</f>
        <v>FQB9D27,GGI8F52</v>
      </c>
      <c r="G3358" s="238">
        <f>IFERROR(__xludf.DUMMYFUNCTION("""COMPUTED_VALUE"""),46015.22916666667)</f>
        <v>46015.22917</v>
      </c>
      <c r="H3358" s="238">
        <f>IFERROR(__xludf.DUMMYFUNCTION("""COMPUTED_VALUE"""),46015.3125)</f>
        <v>46015.3125</v>
      </c>
      <c r="I3358" s="237" t="str">
        <f t="shared" si="1"/>
        <v>Fora</v>
      </c>
      <c r="J3358" s="239">
        <v>119.99999999301508</v>
      </c>
    </row>
    <row r="3359">
      <c r="A3359" s="234" t="s">
        <v>484</v>
      </c>
      <c r="B3359" s="234" t="str">
        <f>IFERROR(__xludf.DUMMYFUNCTION("""COMPUTED_VALUE"""),"LM Hub_SP_Santos_Praia Grande")</f>
        <v>LM Hub_SP_Santos_Praia Grande</v>
      </c>
      <c r="C3359" s="234" t="str">
        <f>IFERROR(__xludf.DUMMYFUNCTION("""COMPUTED_VALUE"""),"HUB-LSP-09")</f>
        <v>HUB-LSP-09</v>
      </c>
      <c r="D3359" s="234"/>
      <c r="E3359" s="237" t="str">
        <f>IFERROR(__xludf.DUMMYFUNCTION("""COMPUTED_VALUE"""),"LT0PCO01UWER1")</f>
        <v>LT0PCO01UWER1</v>
      </c>
      <c r="F3359" s="238" t="str">
        <f>IFERROR(__xludf.DUMMYFUNCTION("""COMPUTED_VALUE"""),"FEQ5G38,DBM6B83")</f>
        <v>FEQ5G38,DBM6B83</v>
      </c>
      <c r="G3359" s="238">
        <f>IFERROR(__xludf.DUMMYFUNCTION("""COMPUTED_VALUE"""),46015.22916666667)</f>
        <v>46015.22917</v>
      </c>
      <c r="H3359" s="238">
        <f>IFERROR(__xludf.DUMMYFUNCTION("""COMPUTED_VALUE"""),46015.3125)</f>
        <v>46015.3125</v>
      </c>
      <c r="I3359" s="237" t="str">
        <f t="shared" si="1"/>
        <v>Fora</v>
      </c>
      <c r="J3359" s="239">
        <v>119.99999999301508</v>
      </c>
    </row>
    <row r="3360">
      <c r="A3360" s="234" t="s">
        <v>485</v>
      </c>
      <c r="B3360" s="234" t="str">
        <f>IFERROR(__xludf.DUMMYFUNCTION("""COMPUTED_VALUE"""),"LM Hub_SP_Suzano_Baruel")</f>
        <v>LM Hub_SP_Suzano_Baruel</v>
      </c>
      <c r="C3360" s="234" t="str">
        <f>IFERROR(__xludf.DUMMYFUNCTION("""COMPUTED_VALUE"""),"HUB-LSP-97")</f>
        <v>HUB-LSP-97</v>
      </c>
      <c r="D3360" s="234"/>
      <c r="E3360" s="237" t="str">
        <f>IFERROR(__xludf.DUMMYFUNCTION("""COMPUTED_VALUE"""),"LT0PCO01V0921")</f>
        <v>LT0PCO01V0921</v>
      </c>
      <c r="F3360" s="238" t="str">
        <f>IFERROR(__xludf.DUMMYFUNCTION("""COMPUTED_VALUE"""),"DJJ8025,SXN5B19")</f>
        <v>DJJ8025,SXN5B19</v>
      </c>
      <c r="G3360" s="238">
        <f>IFERROR(__xludf.DUMMYFUNCTION("""COMPUTED_VALUE"""),46015.22916666667)</f>
        <v>46015.22917</v>
      </c>
      <c r="H3360" s="238">
        <f>IFERROR(__xludf.DUMMYFUNCTION("""COMPUTED_VALUE"""),46015.3125)</f>
        <v>46015.3125</v>
      </c>
      <c r="I3360" s="237" t="str">
        <f t="shared" si="1"/>
        <v>Fora</v>
      </c>
      <c r="J3360" s="239">
        <v>119.00000000023283</v>
      </c>
    </row>
    <row r="3361">
      <c r="A3361" s="234" t="s">
        <v>4706</v>
      </c>
      <c r="B3361" s="234" t="str">
        <f>IFERROR(__xludf.DUMMYFUNCTION("""COMPUTED_VALUE"""),"LM Hub_SP_Itapevi")</f>
        <v>LM Hub_SP_Itapevi</v>
      </c>
      <c r="C3361" s="234" t="str">
        <f>IFERROR(__xludf.DUMMYFUNCTION("""COMPUTED_VALUE"""),"HUB-LSP-41")</f>
        <v>HUB-LSP-41</v>
      </c>
      <c r="D3361" s="234">
        <f>IFERROR(__xludf.DUMMYFUNCTION("""COMPUTED_VALUE"""),16.0)</f>
        <v>16</v>
      </c>
      <c r="E3361" s="237" t="str">
        <f>IFERROR(__xludf.DUMMYFUNCTION("""COMPUTED_VALUE"""),"LT0PCO01UVO91")</f>
        <v>LT0PCO01UVO91</v>
      </c>
      <c r="F3361" s="238" t="str">
        <f>IFERROR(__xludf.DUMMYFUNCTION("""COMPUTED_VALUE"""),"DPF6F59,NGQ2G16")</f>
        <v>DPF6F59,NGQ2G16</v>
      </c>
      <c r="G3361" s="238">
        <f>IFERROR(__xludf.DUMMYFUNCTION("""COMPUTED_VALUE"""),46015.22986111111)</f>
        <v>46015.22986</v>
      </c>
      <c r="H3361" s="238">
        <f>IFERROR(__xludf.DUMMYFUNCTION("""COMPUTED_VALUE"""),46015.3125)</f>
        <v>46015.3125</v>
      </c>
      <c r="I3361" s="237" t="str">
        <f t="shared" si="1"/>
        <v>Fora</v>
      </c>
      <c r="J3361" s="239">
        <v>358.99999999674037</v>
      </c>
    </row>
    <row r="3362">
      <c r="A3362" s="234" t="s">
        <v>4707</v>
      </c>
      <c r="B3362" s="234" t="str">
        <f>IFERROR(__xludf.DUMMYFUNCTION("""COMPUTED_VALUE"""),"SoC_SP_Cravinhos")</f>
        <v>SoC_SP_Cravinhos</v>
      </c>
      <c r="C3362" s="234" t="str">
        <f>IFERROR(__xludf.DUMMYFUNCTION("""COMPUTED_VALUE"""),"SOC-SP5")</f>
        <v>SOC-SP5</v>
      </c>
      <c r="D3362" s="234"/>
      <c r="E3362" s="237" t="str">
        <f>IFERROR(__xludf.DUMMYFUNCTION("""COMPUTED_VALUE"""),"LT0PCN01UVN12")</f>
        <v>LT0PCN01UVN12</v>
      </c>
      <c r="F3362" s="238" t="str">
        <f>IFERROR(__xludf.DUMMYFUNCTION("""COMPUTED_VALUE"""),"RHW6B03,UAW9I16")</f>
        <v>RHW6B03,UAW9I16</v>
      </c>
      <c r="G3362" s="238">
        <f>IFERROR(__xludf.DUMMYFUNCTION("""COMPUTED_VALUE"""),46015.084027777775)</f>
        <v>46015.08403</v>
      </c>
      <c r="H3362" s="238">
        <f>IFERROR(__xludf.DUMMYFUNCTION("""COMPUTED_VALUE"""),46015.33333333333)</f>
        <v>46015.33333</v>
      </c>
      <c r="I3362" s="237" t="str">
        <f t="shared" si="1"/>
        <v>Fora</v>
      </c>
      <c r="J3362" s="239">
        <v>119.99999999301508</v>
      </c>
    </row>
    <row r="3363">
      <c r="A3363" s="234" t="s">
        <v>4708</v>
      </c>
      <c r="B3363" s="234" t="str">
        <f>IFERROR(__xludf.DUMMYFUNCTION("""COMPUTED_VALUE"""),"SoC_RJ_Duque de Caxias")</f>
        <v>SoC_RJ_Duque de Caxias</v>
      </c>
      <c r="C3363" s="234" t="str">
        <f>IFERROR(__xludf.DUMMYFUNCTION("""COMPUTED_VALUE"""),"SOC-RJ2")</f>
        <v>SOC-RJ2</v>
      </c>
      <c r="D3363" s="234">
        <f>IFERROR(__xludf.DUMMYFUNCTION("""COMPUTED_VALUE"""),28.0)</f>
        <v>28</v>
      </c>
      <c r="E3363" s="237" t="str">
        <f>IFERROR(__xludf.DUMMYFUNCTION("""COMPUTED_VALUE"""),"LT1PCQ01VTOR1")</f>
        <v>LT1PCQ01VTOR1</v>
      </c>
      <c r="F3363" s="238" t="str">
        <f>IFERROR(__xludf.DUMMYFUNCTION("""COMPUTED_VALUE"""),"AXN2F93,ITS0A71")</f>
        <v>AXN2F93,ITS0A71</v>
      </c>
      <c r="G3363" s="238">
        <f>IFERROR(__xludf.DUMMYFUNCTION("""COMPUTED_VALUE"""),46017.66666666667)</f>
        <v>46017.66667</v>
      </c>
      <c r="H3363" s="238">
        <f>IFERROR(__xludf.DUMMYFUNCTION("""COMPUTED_VALUE"""),46017.75)</f>
        <v>46017.75</v>
      </c>
      <c r="I3363" s="237" t="str">
        <f t="shared" si="1"/>
        <v>Fora</v>
      </c>
      <c r="J3363" s="239">
        <v>119.99999999301508</v>
      </c>
    </row>
    <row r="3364">
      <c r="A3364" s="234" t="s">
        <v>4709</v>
      </c>
      <c r="B3364" s="234" t="str">
        <f>IFERROR(__xludf.DUMMYFUNCTION("""COMPUTED_VALUE"""),"SoC_RJ_Duque de Caxias")</f>
        <v>SoC_RJ_Duque de Caxias</v>
      </c>
      <c r="C3364" s="234" t="str">
        <f>IFERROR(__xludf.DUMMYFUNCTION("""COMPUTED_VALUE"""),"SOC-RJ2")</f>
        <v>SOC-RJ2</v>
      </c>
      <c r="D3364" s="234" t="str">
        <f>IFERROR(__xludf.DUMMYFUNCTION("""COMPUTED_VALUE"""),"96/112")</f>
        <v>96/112</v>
      </c>
      <c r="E3364" s="237" t="str">
        <f>IFERROR(__xludf.DUMMYFUNCTION("""COMPUTED_VALUE"""),"LT1PCQ01VTOS1")</f>
        <v>LT1PCQ01VTOS1</v>
      </c>
      <c r="F3364" s="238" t="str">
        <f>IFERROR(__xludf.DUMMYFUNCTION("""COMPUTED_VALUE"""),"EAG0A81,ETM2B31")</f>
        <v>EAG0A81,ETM2B31</v>
      </c>
      <c r="G3364" s="238">
        <f>IFERROR(__xludf.DUMMYFUNCTION("""COMPUTED_VALUE"""),46017.75)</f>
        <v>46017.75</v>
      </c>
      <c r="H3364" s="238">
        <f>IFERROR(__xludf.DUMMYFUNCTION("""COMPUTED_VALUE"""),46017.83333333333)</f>
        <v>46017.83333</v>
      </c>
      <c r="I3364" s="237" t="str">
        <f t="shared" si="1"/>
        <v>Fora</v>
      </c>
      <c r="J3364" s="239">
        <v>119.99999999301508</v>
      </c>
    </row>
    <row r="3365">
      <c r="A3365" s="234" t="s">
        <v>4710</v>
      </c>
      <c r="B3365" s="234" t="str">
        <f>IFERROR(__xludf.DUMMYFUNCTION("""COMPUTED_VALUE"""),"SoC_PE_Jaboatão dos Guararapes")</f>
        <v>SoC_PE_Jaboatão dos Guararapes</v>
      </c>
      <c r="C3365" s="234" t="str">
        <f>IFERROR(__xludf.DUMMYFUNCTION("""COMPUTED_VALUE"""),"SOC-PE2")</f>
        <v>SOC-PE2</v>
      </c>
      <c r="D3365" s="234">
        <f>IFERROR(__xludf.DUMMYFUNCTION("""COMPUTED_VALUE"""),98.0)</f>
        <v>98</v>
      </c>
      <c r="E3365" s="237" t="str">
        <f>IFERROR(__xludf.DUMMYFUNCTION("""COMPUTED_VALUE"""),"LT0PCQ01UZ9U1")</f>
        <v>LT0PCQ01UZ9U1</v>
      </c>
      <c r="F3365" s="238" t="str">
        <f>IFERROR(__xludf.DUMMYFUNCTION("""COMPUTED_VALUE"""),"CUA5D08,UFJ7B93")</f>
        <v>CUA5D08,UFJ7B93</v>
      </c>
      <c r="G3365" s="238">
        <f>IFERROR(__xludf.DUMMYFUNCTION("""COMPUTED_VALUE"""),46017.79166666667)</f>
        <v>46017.79167</v>
      </c>
      <c r="H3365" s="238">
        <f>IFERROR(__xludf.DUMMYFUNCTION("""COMPUTED_VALUE"""),46017.875)</f>
        <v>46017.875</v>
      </c>
      <c r="I3365" s="237" t="str">
        <f t="shared" si="1"/>
        <v>Fora</v>
      </c>
      <c r="J3365" s="239">
        <v>119.99999999301508</v>
      </c>
    </row>
    <row r="3366">
      <c r="A3366" s="234" t="s">
        <v>4711</v>
      </c>
      <c r="B3366" s="234" t="str">
        <f>IFERROR(__xludf.DUMMYFUNCTION("""COMPUTED_VALUE"""),"LM Hub_SP_Jurubatuba")</f>
        <v>LM Hub_SP_Jurubatuba</v>
      </c>
      <c r="C3366" s="234" t="str">
        <f>IFERROR(__xludf.DUMMYFUNCTION("""COMPUTED_VALUE"""),"HUB-LSP-16")</f>
        <v>HUB-LSP-16</v>
      </c>
      <c r="D3366" s="234">
        <f>IFERROR(__xludf.DUMMYFUNCTION("""COMPUTED_VALUE"""),15.0)</f>
        <v>15</v>
      </c>
      <c r="E3366" s="237" t="str">
        <f>IFERROR(__xludf.DUMMYFUNCTION("""COMPUTED_VALUE"""),"LT0PCQ01UVNU1")</f>
        <v>LT0PCQ01UVNU1</v>
      </c>
      <c r="F3366" s="238" t="str">
        <f>IFERROR(__xludf.DUMMYFUNCTION("""COMPUTED_VALUE"""),"MQV9D62,BTV6J01")</f>
        <v>MQV9D62,BTV6J01</v>
      </c>
      <c r="G3366" s="238">
        <f>IFERROR(__xludf.DUMMYFUNCTION("""COMPUTED_VALUE"""),46017.8125)</f>
        <v>46017.8125</v>
      </c>
      <c r="H3366" s="238">
        <f>IFERROR(__xludf.DUMMYFUNCTION("""COMPUTED_VALUE"""),46017.89583333333)</f>
        <v>46017.89583</v>
      </c>
      <c r="I3366" s="237" t="str">
        <f t="shared" si="1"/>
        <v>Fora</v>
      </c>
      <c r="J3366" s="239">
        <v>118.99999998975545</v>
      </c>
    </row>
    <row r="3367">
      <c r="A3367" s="234" t="s">
        <v>4712</v>
      </c>
      <c r="B3367" s="234" t="str">
        <f>IFERROR(__xludf.DUMMYFUNCTION("""COMPUTED_VALUE"""),"LM Hub_SP_Sorocaba_Região Norte")</f>
        <v>LM Hub_SP_Sorocaba_Região Norte</v>
      </c>
      <c r="C3367" s="234" t="str">
        <f>IFERROR(__xludf.DUMMYFUNCTION("""COMPUTED_VALUE"""),"HUB-LSP-10")</f>
        <v>HUB-LSP-10</v>
      </c>
      <c r="D3367" s="234">
        <f>IFERROR(__xludf.DUMMYFUNCTION("""COMPUTED_VALUE"""),27.0)</f>
        <v>27</v>
      </c>
      <c r="E3367" s="237" t="str">
        <f>IFERROR(__xludf.DUMMYFUNCTION("""COMPUTED_VALUE"""),"LT0PCQ01UVQF1")</f>
        <v>LT0PCQ01UVQF1</v>
      </c>
      <c r="F3367" s="238" t="str">
        <f>IFERROR(__xludf.DUMMYFUNCTION("""COMPUTED_VALUE"""),"FPJ8F20,DBM0H33")</f>
        <v>FPJ8F20,DBM0H33</v>
      </c>
      <c r="G3367" s="238">
        <f>IFERROR(__xludf.DUMMYFUNCTION("""COMPUTED_VALUE"""),46017.81319444445)</f>
        <v>46017.81319</v>
      </c>
      <c r="H3367" s="238">
        <f>IFERROR(__xludf.DUMMYFUNCTION("""COMPUTED_VALUE"""),46017.89583333333)</f>
        <v>46017.89583</v>
      </c>
      <c r="I3367" s="237" t="str">
        <f t="shared" si="1"/>
        <v>Fora</v>
      </c>
      <c r="J3367" s="239">
        <v>120.00000001396984</v>
      </c>
    </row>
    <row r="3368">
      <c r="A3368" s="234" t="s">
        <v>4713</v>
      </c>
      <c r="B3368" s="234" t="str">
        <f>IFERROR(__xludf.DUMMYFUNCTION("""COMPUTED_VALUE"""),"SoC_PR_Curitiba")</f>
        <v>SoC_PR_Curitiba</v>
      </c>
      <c r="C3368" s="234" t="str">
        <f>IFERROR(__xludf.DUMMYFUNCTION("""COMPUTED_VALUE"""),"SOC-PR1")</f>
        <v>SOC-PR1</v>
      </c>
      <c r="D3368" s="234">
        <f>IFERROR(__xludf.DUMMYFUNCTION("""COMPUTED_VALUE"""),42.0)</f>
        <v>42</v>
      </c>
      <c r="E3368" s="237" t="str">
        <f>IFERROR(__xludf.DUMMYFUNCTION("""COMPUTED_VALUE"""),"LT0PCQ01UVMD1")</f>
        <v>LT0PCQ01UVMD1</v>
      </c>
      <c r="F3368" s="238" t="str">
        <f>IFERROR(__xludf.DUMMYFUNCTION("""COMPUTED_VALUE"""),"TAO3B08,SVN8I05")</f>
        <v>TAO3B08,SVN8I05</v>
      </c>
      <c r="G3368" s="238">
        <f>IFERROR(__xludf.DUMMYFUNCTION("""COMPUTED_VALUE"""),46017.83333333333)</f>
        <v>46017.83333</v>
      </c>
      <c r="H3368" s="238">
        <f>IFERROR(__xludf.DUMMYFUNCTION("""COMPUTED_VALUE"""),46017.91666666667)</f>
        <v>46017.91667</v>
      </c>
      <c r="I3368" s="237" t="str">
        <f t="shared" si="1"/>
        <v>Fora</v>
      </c>
      <c r="J3368" s="239">
        <v>60.00000000698492</v>
      </c>
    </row>
    <row r="3369">
      <c r="A3369" s="234" t="s">
        <v>4714</v>
      </c>
      <c r="B3369" s="234" t="str">
        <f>IFERROR(__xludf.DUMMYFUNCTION("""COMPUTED_VALUE"""),"SoC_BA_Simoes Filho")</f>
        <v>SoC_BA_Simoes Filho</v>
      </c>
      <c r="C3369" s="234" t="str">
        <f>IFERROR(__xludf.DUMMYFUNCTION("""COMPUTED_VALUE"""),"SOC-BA2")</f>
        <v>SOC-BA2</v>
      </c>
      <c r="D3369" s="234" t="str">
        <f>IFERROR(__xludf.DUMMYFUNCTION("""COMPUTED_VALUE"""),"89/113")</f>
        <v>89/113</v>
      </c>
      <c r="E3369" s="237" t="str">
        <f>IFERROR(__xludf.DUMMYFUNCTION("""COMPUTED_VALUE"""),"LT1PCQ01VTXW1")</f>
        <v>LT1PCQ01VTXW1</v>
      </c>
      <c r="F3369" s="238" t="str">
        <f>IFERROR(__xludf.DUMMYFUNCTION("""COMPUTED_VALUE"""),"QPI9I78,STU0B76")</f>
        <v>QPI9I78,STU0B76</v>
      </c>
      <c r="G3369" s="238">
        <f>IFERROR(__xludf.DUMMYFUNCTION("""COMPUTED_VALUE"""),46017.875)</f>
        <v>46017.875</v>
      </c>
      <c r="H3369" s="238">
        <f>IFERROR(__xludf.DUMMYFUNCTION("""COMPUTED_VALUE"""),46017.91666666667)</f>
        <v>46017.91667</v>
      </c>
      <c r="I3369" s="237" t="str">
        <f t="shared" si="1"/>
        <v>Fora</v>
      </c>
      <c r="J3369" s="239">
        <v>60.00000000698492</v>
      </c>
    </row>
    <row r="3370">
      <c r="A3370" s="234" t="s">
        <v>4715</v>
      </c>
      <c r="B3370" s="234" t="str">
        <f>IFERROR(__xludf.DUMMYFUNCTION("""COMPUTED_VALUE"""),"SoC_PE_Jaboatão dos Guararapes")</f>
        <v>SoC_PE_Jaboatão dos Guararapes</v>
      </c>
      <c r="C3370" s="234" t="str">
        <f>IFERROR(__xludf.DUMMYFUNCTION("""COMPUTED_VALUE"""),"SOC-PE2")</f>
        <v>SOC-PE2</v>
      </c>
      <c r="D3370" s="234" t="str">
        <f>IFERROR(__xludf.DUMMYFUNCTION("""COMPUTED_VALUE"""),"99/40")</f>
        <v>99/40</v>
      </c>
      <c r="E3370" s="237" t="str">
        <f>IFERROR(__xludf.DUMMYFUNCTION("""COMPUTED_VALUE"""),"LT1PCQ01VTXU1")</f>
        <v>LT1PCQ01VTXU1</v>
      </c>
      <c r="F3370" s="238" t="str">
        <f>IFERROR(__xludf.DUMMYFUNCTION("""COMPUTED_VALUE"""),"EXJ3903,FOW5C82")</f>
        <v>EXJ3903,FOW5C82</v>
      </c>
      <c r="G3370" s="238">
        <f>IFERROR(__xludf.DUMMYFUNCTION("""COMPUTED_VALUE"""),46017.875)</f>
        <v>46017.875</v>
      </c>
      <c r="H3370" s="238">
        <f>IFERROR(__xludf.DUMMYFUNCTION("""COMPUTED_VALUE"""),46017.91666666667)</f>
        <v>46017.91667</v>
      </c>
      <c r="I3370" s="237" t="str">
        <f t="shared" si="1"/>
        <v>Fora</v>
      </c>
      <c r="J3370" s="239">
        <v>540.0</v>
      </c>
    </row>
    <row r="3371">
      <c r="A3371" s="234" t="s">
        <v>4716</v>
      </c>
      <c r="B3371" s="234" t="str">
        <f>IFERROR(__xludf.DUMMYFUNCTION("""COMPUTED_VALUE"""),"SoC_GO_Goiânia_02")</f>
        <v>SoC_GO_Goiânia_02</v>
      </c>
      <c r="C3371" s="234" t="str">
        <f>IFERROR(__xludf.DUMMYFUNCTION("""COMPUTED_VALUE"""),"SOC-GO2")</f>
        <v>SOC-GO2</v>
      </c>
      <c r="D3371" s="234">
        <f>IFERROR(__xludf.DUMMYFUNCTION("""COMPUTED_VALUE"""),86.0)</f>
        <v>86</v>
      </c>
      <c r="E3371" s="237" t="str">
        <f>IFERROR(__xludf.DUMMYFUNCTION("""COMPUTED_VALUE"""),"LT0PCQ01UZIV1")</f>
        <v>LT0PCQ01UZIV1</v>
      </c>
      <c r="F3371" s="238" t="str">
        <f>IFERROR(__xludf.DUMMYFUNCTION("""COMPUTED_VALUE"""),"FTZ1D15,EZL7J23")</f>
        <v>FTZ1D15,EZL7J23</v>
      </c>
      <c r="G3371" s="238">
        <f>IFERROR(__xludf.DUMMYFUNCTION("""COMPUTED_VALUE"""),46017.58333333333)</f>
        <v>46017.58333</v>
      </c>
      <c r="H3371" s="238">
        <f>IFERROR(__xludf.DUMMYFUNCTION("""COMPUTED_VALUE"""),46017.95833333333)</f>
        <v>46017.95833</v>
      </c>
      <c r="I3371" s="237" t="str">
        <f t="shared" si="1"/>
        <v>Fora</v>
      </c>
      <c r="J3371" s="239">
        <v>538.9999999967404</v>
      </c>
    </row>
    <row r="3372">
      <c r="A3372" s="234" t="s">
        <v>4717</v>
      </c>
      <c r="B3372" s="234" t="str">
        <f>IFERROR(__xludf.DUMMYFUNCTION("""COMPUTED_VALUE"""),"SoC_SP_Cravinhos")</f>
        <v>SoC_SP_Cravinhos</v>
      </c>
      <c r="C3372" s="234" t="str">
        <f>IFERROR(__xludf.DUMMYFUNCTION("""COMPUTED_VALUE"""),"SOC-SP5")</f>
        <v>SOC-SP5</v>
      </c>
      <c r="D3372" s="234">
        <f>IFERROR(__xludf.DUMMYFUNCTION("""COMPUTED_VALUE"""),91.0)</f>
        <v>91</v>
      </c>
      <c r="E3372" s="237" t="str">
        <f>IFERROR(__xludf.DUMMYFUNCTION("""COMPUTED_VALUE"""),"LT0PCQ01UVMV2")</f>
        <v>LT0PCQ01UVMV2</v>
      </c>
      <c r="F3372" s="238" t="str">
        <f>IFERROR(__xludf.DUMMYFUNCTION("""COMPUTED_VALUE"""),"BPQ0J63,CPI5G44")</f>
        <v>BPQ0J63,CPI5G44</v>
      </c>
      <c r="G3372" s="238">
        <f>IFERROR(__xludf.DUMMYFUNCTION("""COMPUTED_VALUE"""),46017.584027777775)</f>
        <v>46017.58403</v>
      </c>
      <c r="H3372" s="238">
        <f>IFERROR(__xludf.DUMMYFUNCTION("""COMPUTED_VALUE"""),46017.95833333333)</f>
        <v>46017.95833</v>
      </c>
      <c r="I3372" s="237" t="str">
        <f t="shared" si="1"/>
        <v>Fora</v>
      </c>
      <c r="J3372" s="239">
        <v>120.00000001396984</v>
      </c>
    </row>
    <row r="3373">
      <c r="A3373" s="234" t="s">
        <v>4718</v>
      </c>
      <c r="B3373" s="234" t="str">
        <f>IFERROR(__xludf.DUMMYFUNCTION("""COMPUTED_VALUE"""),"LM Hub_SP_Itaqua_Zimba")</f>
        <v>LM Hub_SP_Itaqua_Zimba</v>
      </c>
      <c r="C3373" s="234" t="str">
        <f>IFERROR(__xludf.DUMMYFUNCTION("""COMPUTED_VALUE"""),"HUB-LSP-74")</f>
        <v>HUB-LSP-74</v>
      </c>
      <c r="D3373" s="234">
        <f>IFERROR(__xludf.DUMMYFUNCTION("""COMPUTED_VALUE"""),35.0)</f>
        <v>35</v>
      </c>
      <c r="E3373" s="237" t="str">
        <f>IFERROR(__xludf.DUMMYFUNCTION("""COMPUTED_VALUE"""),"LT0PCQ01UVOT1")</f>
        <v>LT0PCQ01UVOT1</v>
      </c>
      <c r="F3373" s="238" t="str">
        <f>IFERROR(__xludf.DUMMYFUNCTION("""COMPUTED_VALUE"""),"FQB9D27,GGI8F52")</f>
        <v>FQB9D27,GGI8F52</v>
      </c>
      <c r="G3373" s="238">
        <f>IFERROR(__xludf.DUMMYFUNCTION("""COMPUTED_VALUE"""),46017.89583333333)</f>
        <v>46017.89583</v>
      </c>
      <c r="H3373" s="238">
        <f>IFERROR(__xludf.DUMMYFUNCTION("""COMPUTED_VALUE"""),46017.97916666667)</f>
        <v>46017.97917</v>
      </c>
      <c r="I3373" s="237" t="str">
        <f t="shared" si="1"/>
        <v>Fora</v>
      </c>
      <c r="J3373" s="239">
        <v>120.00000001396984</v>
      </c>
    </row>
    <row r="3374">
      <c r="A3374" s="234" t="s">
        <v>4719</v>
      </c>
      <c r="B3374" s="234" t="str">
        <f>IFERROR(__xludf.DUMMYFUNCTION("""COMPUTED_VALUE"""),"LM Hub_SP_Itaqua_Zimba")</f>
        <v>LM Hub_SP_Itaqua_Zimba</v>
      </c>
      <c r="C3374" s="234" t="str">
        <f>IFERROR(__xludf.DUMMYFUNCTION("""COMPUTED_VALUE"""),"HUB-LSP-74")</f>
        <v>HUB-LSP-74</v>
      </c>
      <c r="D3374" s="234">
        <f>IFERROR(__xludf.DUMMYFUNCTION("""COMPUTED_VALUE"""),36.0)</f>
        <v>36</v>
      </c>
      <c r="E3374" s="237" t="str">
        <f>IFERROR(__xludf.DUMMYFUNCTION("""COMPUTED_VALUE"""),"LT0PCQ01UVOV2")</f>
        <v>LT0PCQ01UVOV2</v>
      </c>
      <c r="F3374" s="238" t="str">
        <f>IFERROR(__xludf.DUMMYFUNCTION("""COMPUTED_VALUE"""),"UFL4C38,UDC4C00")</f>
        <v>UFL4C38,UDC4C00</v>
      </c>
      <c r="G3374" s="238">
        <f>IFERROR(__xludf.DUMMYFUNCTION("""COMPUTED_VALUE"""),46017.89583333333)</f>
        <v>46017.89583</v>
      </c>
      <c r="H3374" s="238">
        <f>IFERROR(__xludf.DUMMYFUNCTION("""COMPUTED_VALUE"""),46017.97916666667)</f>
        <v>46017.97917</v>
      </c>
      <c r="I3374" s="237" t="str">
        <f t="shared" si="1"/>
        <v>Fora</v>
      </c>
      <c r="J3374" s="239">
        <v>120.00000001396984</v>
      </c>
    </row>
    <row r="3375">
      <c r="A3375" s="234" t="s">
        <v>4720</v>
      </c>
      <c r="B3375" s="234" t="str">
        <f>IFERROR(__xludf.DUMMYFUNCTION("""COMPUTED_VALUE"""),"LM Hub_SP_Jurubatuba")</f>
        <v>LM Hub_SP_Jurubatuba</v>
      </c>
      <c r="C3375" s="234" t="str">
        <f>IFERROR(__xludf.DUMMYFUNCTION("""COMPUTED_VALUE"""),"HUB-LSP-16")</f>
        <v>HUB-LSP-16</v>
      </c>
      <c r="D3375" s="234">
        <f>IFERROR(__xludf.DUMMYFUNCTION("""COMPUTED_VALUE"""),32.0)</f>
        <v>32</v>
      </c>
      <c r="E3375" s="237" t="str">
        <f>IFERROR(__xludf.DUMMYFUNCTION("""COMPUTED_VALUE"""),"LT0PCQ01UVNW1")</f>
        <v>LT0PCQ01UVNW1</v>
      </c>
      <c r="F3375" s="238" t="str">
        <f>IFERROR(__xludf.DUMMYFUNCTION("""COMPUTED_VALUE"""),"CUA7C61")</f>
        <v>CUA7C61</v>
      </c>
      <c r="G3375" s="238">
        <f>IFERROR(__xludf.DUMMYFUNCTION("""COMPUTED_VALUE"""),46017.89583333333)</f>
        <v>46017.89583</v>
      </c>
      <c r="H3375" s="238">
        <f>IFERROR(__xludf.DUMMYFUNCTION("""COMPUTED_VALUE"""),46017.97916666667)</f>
        <v>46017.97917</v>
      </c>
      <c r="I3375" s="237" t="str">
        <f t="shared" si="1"/>
        <v>Fora</v>
      </c>
      <c r="J3375" s="239">
        <v>120.00000001396984</v>
      </c>
    </row>
    <row r="3376">
      <c r="A3376" s="234" t="s">
        <v>4721</v>
      </c>
      <c r="B3376" s="234" t="str">
        <f>IFERROR(__xludf.DUMMYFUNCTION("""COMPUTED_VALUE"""),"LM Hub_SP_São José dos Campos")</f>
        <v>LM Hub_SP_São José dos Campos</v>
      </c>
      <c r="C3376" s="234" t="str">
        <f>IFERROR(__xludf.DUMMYFUNCTION("""COMPUTED_VALUE"""),"HUB-LSP-04")</f>
        <v>HUB-LSP-04</v>
      </c>
      <c r="D3376" s="234"/>
      <c r="E3376" s="237" t="str">
        <f>IFERROR(__xludf.DUMMYFUNCTION("""COMPUTED_VALUE"""),"LT0PCQ01UVQU1")</f>
        <v>LT0PCQ01UVQU1</v>
      </c>
      <c r="F3376" s="238" t="str">
        <f>IFERROR(__xludf.DUMMYFUNCTION("""COMPUTED_VALUE"""),"ENU3E65")</f>
        <v>ENU3E65</v>
      </c>
      <c r="G3376" s="238">
        <f>IFERROR(__xludf.DUMMYFUNCTION("""COMPUTED_VALUE"""),46017.89583333333)</f>
        <v>46017.89583</v>
      </c>
      <c r="H3376" s="238">
        <f>IFERROR(__xludf.DUMMYFUNCTION("""COMPUTED_VALUE"""),46017.97916666667)</f>
        <v>46017.97917</v>
      </c>
      <c r="I3376" s="237" t="str">
        <f t="shared" si="1"/>
        <v>Fora</v>
      </c>
      <c r="J3376" s="239">
        <v>120.00000001396984</v>
      </c>
    </row>
    <row r="3377">
      <c r="A3377" s="234" t="s">
        <v>4722</v>
      </c>
      <c r="B3377" s="234" t="str">
        <f>IFERROR(__xludf.DUMMYFUNCTION("""COMPUTED_VALUE"""),"LM Hub_SP_São José dos Campos")</f>
        <v>LM Hub_SP_São José dos Campos</v>
      </c>
      <c r="C3377" s="234" t="str">
        <f>IFERROR(__xludf.DUMMYFUNCTION("""COMPUTED_VALUE"""),"HUB-LSP-04")</f>
        <v>HUB-LSP-04</v>
      </c>
      <c r="D3377" s="234">
        <f>IFERROR(__xludf.DUMMYFUNCTION("""COMPUTED_VALUE"""),20.0)</f>
        <v>20</v>
      </c>
      <c r="E3377" s="237" t="str">
        <f>IFERROR(__xludf.DUMMYFUNCTION("""COMPUTED_VALUE"""),"LT0PCQ01UVQW2")</f>
        <v>LT0PCQ01UVQW2</v>
      </c>
      <c r="F3377" s="238" t="str">
        <f>IFERROR(__xludf.DUMMYFUNCTION("""COMPUTED_VALUE"""),"UGN5F59")</f>
        <v>UGN5F59</v>
      </c>
      <c r="G3377" s="238">
        <f>IFERROR(__xludf.DUMMYFUNCTION("""COMPUTED_VALUE"""),46017.89583333333)</f>
        <v>46017.89583</v>
      </c>
      <c r="H3377" s="238">
        <f>IFERROR(__xludf.DUMMYFUNCTION("""COMPUTED_VALUE"""),46017.97916666667)</f>
        <v>46017.97917</v>
      </c>
      <c r="I3377" s="237" t="str">
        <f t="shared" si="1"/>
        <v>Fora</v>
      </c>
      <c r="J3377" s="239">
        <v>120.00000001396984</v>
      </c>
    </row>
    <row r="3378">
      <c r="A3378" s="234" t="s">
        <v>4723</v>
      </c>
      <c r="B3378" s="234" t="str">
        <f>IFERROR(__xludf.DUMMYFUNCTION("""COMPUTED_VALUE"""),"LM Hub_SP_São Paulo_Lapa")</f>
        <v>LM Hub_SP_São Paulo_Lapa</v>
      </c>
      <c r="C3378" s="234" t="str">
        <f>IFERROR(__xludf.DUMMYFUNCTION("""COMPUTED_VALUE"""),"HUB-LSP-15")</f>
        <v>HUB-LSP-15</v>
      </c>
      <c r="D3378" s="234"/>
      <c r="E3378" s="237" t="str">
        <f>IFERROR(__xludf.DUMMYFUNCTION("""COMPUTED_VALUE"""),"LT0PCQ01UVNS1")</f>
        <v>LT0PCQ01UVNS1</v>
      </c>
      <c r="F3378" s="238" t="str">
        <f>IFERROR(__xludf.DUMMYFUNCTION("""COMPUTED_VALUE"""),"-")</f>
        <v>-</v>
      </c>
      <c r="G3378" s="238">
        <f>IFERROR(__xludf.DUMMYFUNCTION("""COMPUTED_VALUE"""),46017.89583333333)</f>
        <v>46017.89583</v>
      </c>
      <c r="H3378" s="238">
        <f>IFERROR(__xludf.DUMMYFUNCTION("""COMPUTED_VALUE"""),46017.97916666667)</f>
        <v>46017.97917</v>
      </c>
      <c r="I3378" s="237" t="str">
        <f t="shared" si="1"/>
        <v>Fora</v>
      </c>
      <c r="J3378" s="239">
        <v>119.00000001071021</v>
      </c>
    </row>
    <row r="3379">
      <c r="A3379" s="234" t="s">
        <v>4724</v>
      </c>
      <c r="B3379" s="234" t="str">
        <f>IFERROR(__xludf.DUMMYFUNCTION("""COMPUTED_VALUE"""),"LM Hub_SP_Santos_Praia Grande")</f>
        <v>LM Hub_SP_Santos_Praia Grande</v>
      </c>
      <c r="C3379" s="234" t="str">
        <f>IFERROR(__xludf.DUMMYFUNCTION("""COMPUTED_VALUE"""),"HUB-LSP-09")</f>
        <v>HUB-LSP-09</v>
      </c>
      <c r="D3379" s="234">
        <f>IFERROR(__xludf.DUMMYFUNCTION("""COMPUTED_VALUE"""),38.0)</f>
        <v>38</v>
      </c>
      <c r="E3379" s="237" t="str">
        <f>IFERROR(__xludf.DUMMYFUNCTION("""COMPUTED_VALUE"""),"LT0PCQ01UVQ51")</f>
        <v>LT0PCQ01UVQ51</v>
      </c>
      <c r="F3379" s="238" t="str">
        <f>IFERROR(__xludf.DUMMYFUNCTION("""COMPUTED_VALUE"""),"FEQ5G38,DBM6B83")</f>
        <v>FEQ5G38,DBM6B83</v>
      </c>
      <c r="G3379" s="238">
        <f>IFERROR(__xludf.DUMMYFUNCTION("""COMPUTED_VALUE"""),46017.896527777775)</f>
        <v>46017.89653</v>
      </c>
      <c r="H3379" s="238">
        <f>IFERROR(__xludf.DUMMYFUNCTION("""COMPUTED_VALUE"""),46017.97916666667)</f>
        <v>46017.97917</v>
      </c>
      <c r="I3379" s="237" t="str">
        <f t="shared" si="1"/>
        <v>Fora</v>
      </c>
      <c r="J3379" s="239">
        <v>119.00000001071021</v>
      </c>
    </row>
    <row r="3380">
      <c r="A3380" s="234" t="s">
        <v>4725</v>
      </c>
      <c r="B3380" s="234" t="str">
        <f>IFERROR(__xludf.DUMMYFUNCTION("""COMPUTED_VALUE"""),"LM Hub_SP_Santos_PraiaGrande_02")</f>
        <v>LM Hub_SP_Santos_PraiaGrande_02</v>
      </c>
      <c r="C3380" s="234" t="str">
        <f>IFERROR(__xludf.DUMMYFUNCTION("""COMPUTED_VALUE"""),"HUB-LSP-63")</f>
        <v>HUB-LSP-63</v>
      </c>
      <c r="D3380" s="234">
        <f>IFERROR(__xludf.DUMMYFUNCTION("""COMPUTED_VALUE"""),37.0)</f>
        <v>37</v>
      </c>
      <c r="E3380" s="237" t="str">
        <f>IFERROR(__xludf.DUMMYFUNCTION("""COMPUTED_VALUE"""),"LT0PCQ01UVQ72")</f>
        <v>LT0PCQ01UVQ72</v>
      </c>
      <c r="F3380" s="238" t="str">
        <f>IFERROR(__xludf.DUMMYFUNCTION("""COMPUTED_VALUE"""),"DVS4I95")</f>
        <v>DVS4I95</v>
      </c>
      <c r="G3380" s="238">
        <f>IFERROR(__xludf.DUMMYFUNCTION("""COMPUTED_VALUE"""),46017.896527777775)</f>
        <v>46017.89653</v>
      </c>
      <c r="H3380" s="238">
        <f>IFERROR(__xludf.DUMMYFUNCTION("""COMPUTED_VALUE"""),46017.97916666667)</f>
        <v>46017.97917</v>
      </c>
      <c r="I3380" s="237" t="str">
        <f t="shared" si="1"/>
        <v>Fora</v>
      </c>
      <c r="J3380" s="239">
        <v>118.99999998975545</v>
      </c>
    </row>
    <row r="3381">
      <c r="A3381" s="234" t="s">
        <v>4726</v>
      </c>
      <c r="B3381" s="234" t="str">
        <f>IFERROR(__xludf.DUMMYFUNCTION("""COMPUTED_VALUE"""),"LM Hub_SP_Guarujá")</f>
        <v>LM Hub_SP_Guarujá</v>
      </c>
      <c r="C3381" s="234" t="str">
        <f>IFERROR(__xludf.DUMMYFUNCTION("""COMPUTED_VALUE"""),"HUB-LSP-06")</f>
        <v>HUB-LSP-06</v>
      </c>
      <c r="D3381" s="234">
        <f>IFERROR(__xludf.DUMMYFUNCTION("""COMPUTED_VALUE"""),40.0)</f>
        <v>40</v>
      </c>
      <c r="E3381" s="237" t="str">
        <f>IFERROR(__xludf.DUMMYFUNCTION("""COMPUTED_VALUE"""),"LT0PCQ01UVPG1")</f>
        <v>LT0PCQ01UVPG1</v>
      </c>
      <c r="F3381" s="238" t="str">
        <f>IFERROR(__xludf.DUMMYFUNCTION("""COMPUTED_VALUE"""),"GFQ6J64")</f>
        <v>GFQ6J64</v>
      </c>
      <c r="G3381" s="238">
        <f>IFERROR(__xludf.DUMMYFUNCTION("""COMPUTED_VALUE"""),46017.91666666667)</f>
        <v>46017.91667</v>
      </c>
      <c r="H3381" s="238">
        <f>IFERROR(__xludf.DUMMYFUNCTION("""COMPUTED_VALUE"""),46017.99930555555)</f>
        <v>46017.99931</v>
      </c>
      <c r="I3381" s="237" t="str">
        <f t="shared" si="1"/>
        <v>Fora</v>
      </c>
      <c r="J3381" s="239">
        <v>119.99999999301508</v>
      </c>
    </row>
    <row r="3382">
      <c r="A3382" s="234" t="s">
        <v>4727</v>
      </c>
      <c r="B3382" s="234" t="str">
        <f>IFERROR(__xludf.DUMMYFUNCTION("""COMPUTED_VALUE"""),"LM Hub_SP_Artur Alvim")</f>
        <v>LM Hub_SP_Artur Alvim</v>
      </c>
      <c r="C3382" s="234" t="str">
        <f>IFERROR(__xludf.DUMMYFUNCTION("""COMPUTED_VALUE"""),"HUB-LSP-07")</f>
        <v>HUB-LSP-07</v>
      </c>
      <c r="D3382" s="234"/>
      <c r="E3382" s="237" t="str">
        <f>IFERROR(__xludf.DUMMYFUNCTION("""COMPUTED_VALUE"""),"LT0PCQ01UVNC1")</f>
        <v>LT0PCQ01UVNC1</v>
      </c>
      <c r="F3382" s="238" t="str">
        <f>IFERROR(__xludf.DUMMYFUNCTION("""COMPUTED_VALUE"""),"EZL3F51,DJB2582")</f>
        <v>EZL3F51,DJB2582</v>
      </c>
      <c r="G3382" s="238">
        <f>IFERROR(__xludf.DUMMYFUNCTION("""COMPUTED_VALUE"""),46017.91666666667)</f>
        <v>46017.91667</v>
      </c>
      <c r="H3382" s="238">
        <f>IFERROR(__xludf.DUMMYFUNCTION("""COMPUTED_VALUE"""),46018.0)</f>
        <v>46018</v>
      </c>
      <c r="I3382" s="237" t="str">
        <f t="shared" si="1"/>
        <v>Fora</v>
      </c>
      <c r="J3382" s="239">
        <v>119.99999999301508</v>
      </c>
    </row>
    <row r="3383">
      <c r="A3383" s="234" t="s">
        <v>4728</v>
      </c>
      <c r="B3383" s="234" t="str">
        <f>IFERROR(__xludf.DUMMYFUNCTION("""COMPUTED_VALUE"""),"LM Hub_SP_Artur Alvim")</f>
        <v>LM Hub_SP_Artur Alvim</v>
      </c>
      <c r="C3383" s="234" t="str">
        <f>IFERROR(__xludf.DUMMYFUNCTION("""COMPUTED_VALUE"""),"HUB-LSP-07")</f>
        <v>HUB-LSP-07</v>
      </c>
      <c r="D3383" s="234">
        <f>IFERROR(__xludf.DUMMYFUNCTION("""COMPUTED_VALUE"""),43.0)</f>
        <v>43</v>
      </c>
      <c r="E3383" s="237" t="str">
        <f>IFERROR(__xludf.DUMMYFUNCTION("""COMPUTED_VALUE"""),"LT0PCQ01UVNE2")</f>
        <v>LT0PCQ01UVNE2</v>
      </c>
      <c r="F3383" s="238" t="str">
        <f>IFERROR(__xludf.DUMMYFUNCTION("""COMPUTED_VALUE"""),"QHC9G48,DLA2E02")</f>
        <v>QHC9G48,DLA2E02</v>
      </c>
      <c r="G3383" s="238">
        <f>IFERROR(__xludf.DUMMYFUNCTION("""COMPUTED_VALUE"""),46017.91666666667)</f>
        <v>46017.91667</v>
      </c>
      <c r="H3383" s="238">
        <f>IFERROR(__xludf.DUMMYFUNCTION("""COMPUTED_VALUE"""),46018.0)</f>
        <v>46018</v>
      </c>
      <c r="I3383" s="237" t="str">
        <f t="shared" si="1"/>
        <v>Fora</v>
      </c>
      <c r="J3383" s="239">
        <v>119.99999999301508</v>
      </c>
    </row>
    <row r="3384">
      <c r="A3384" s="234" t="s">
        <v>4729</v>
      </c>
      <c r="B3384" s="234" t="str">
        <f>IFERROR(__xludf.DUMMYFUNCTION("""COMPUTED_VALUE"""),"LM Hub_SP_Barueri_01")</f>
        <v>LM Hub_SP_Barueri_01</v>
      </c>
      <c r="C3384" s="234" t="str">
        <f>IFERROR(__xludf.DUMMYFUNCTION("""COMPUTED_VALUE"""),"HUB-LSP-81")</f>
        <v>HUB-LSP-81</v>
      </c>
      <c r="D3384" s="234">
        <f>IFERROR(__xludf.DUMMYFUNCTION("""COMPUTED_VALUE"""),12.0)</f>
        <v>12</v>
      </c>
      <c r="E3384" s="237" t="str">
        <f>IFERROR(__xludf.DUMMYFUNCTION("""COMPUTED_VALUE"""),"LT0PCQ01UZ3Y1")</f>
        <v>LT0PCQ01UZ3Y1</v>
      </c>
      <c r="F3384" s="238" t="str">
        <f>IFERROR(__xludf.DUMMYFUNCTION("""COMPUTED_VALUE"""),"SUQ5C99")</f>
        <v>SUQ5C99</v>
      </c>
      <c r="G3384" s="238">
        <f>IFERROR(__xludf.DUMMYFUNCTION("""COMPUTED_VALUE"""),46017.91666666667)</f>
        <v>46017.91667</v>
      </c>
      <c r="H3384" s="238">
        <f>IFERROR(__xludf.DUMMYFUNCTION("""COMPUTED_VALUE"""),46018.0)</f>
        <v>46018</v>
      </c>
      <c r="I3384" s="237" t="str">
        <f t="shared" si="1"/>
        <v>Fora</v>
      </c>
      <c r="J3384" s="239">
        <v>119.99999999301508</v>
      </c>
    </row>
    <row r="3385">
      <c r="A3385" s="234" t="s">
        <v>4730</v>
      </c>
      <c r="B3385" s="234" t="str">
        <f>IFERROR(__xludf.DUMMYFUNCTION("""COMPUTED_VALUE"""),"LM Hub_SP_Guarulhos")</f>
        <v>LM Hub_SP_Guarulhos</v>
      </c>
      <c r="C3385" s="234" t="str">
        <f>IFERROR(__xludf.DUMMYFUNCTION("""COMPUTED_VALUE"""),"HUB-LSP-77")</f>
        <v>HUB-LSP-77</v>
      </c>
      <c r="D3385" s="234"/>
      <c r="E3385" s="237" t="str">
        <f>IFERROR(__xludf.DUMMYFUNCTION("""COMPUTED_VALUE"""),"LT0PCQ01UW4P3")</f>
        <v>LT0PCQ01UW4P3</v>
      </c>
      <c r="F3385" s="234"/>
      <c r="G3385" s="238">
        <f>IFERROR(__xludf.DUMMYFUNCTION("""COMPUTED_VALUE"""),46017.91666666667)</f>
        <v>46017.91667</v>
      </c>
      <c r="H3385" s="238">
        <f>IFERROR(__xludf.DUMMYFUNCTION("""COMPUTED_VALUE"""),46018.0)</f>
        <v>46018</v>
      </c>
      <c r="I3385" s="237" t="str">
        <f t="shared" si="1"/>
        <v>Fora</v>
      </c>
      <c r="J3385" s="239">
        <v>119.99999999301508</v>
      </c>
    </row>
    <row r="3386">
      <c r="A3386" s="234" t="s">
        <v>4731</v>
      </c>
      <c r="B3386" s="234" t="str">
        <f>IFERROR(__xludf.DUMMYFUNCTION("""COMPUTED_VALUE"""),"LM Hub_SP_Guarulhos")</f>
        <v>LM Hub_SP_Guarulhos</v>
      </c>
      <c r="C3386" s="234" t="str">
        <f>IFERROR(__xludf.DUMMYFUNCTION("""COMPUTED_VALUE"""),"HUB-LSP-77")</f>
        <v>HUB-LSP-77</v>
      </c>
      <c r="D3386" s="234">
        <f>IFERROR(__xludf.DUMMYFUNCTION("""COMPUTED_VALUE"""),5.0)</f>
        <v>5</v>
      </c>
      <c r="E3386" s="237" t="str">
        <f>IFERROR(__xludf.DUMMYFUNCTION("""COMPUTED_VALUE"""),"LT0PCQ01UW4L1")</f>
        <v>LT0PCQ01UW4L1</v>
      </c>
      <c r="F3386" s="238" t="str">
        <f>IFERROR(__xludf.DUMMYFUNCTION("""COMPUTED_VALUE"""),"EPU0B23,BWP1348")</f>
        <v>EPU0B23,BWP1348</v>
      </c>
      <c r="G3386" s="238">
        <f>IFERROR(__xludf.DUMMYFUNCTION("""COMPUTED_VALUE"""),46017.91666666667)</f>
        <v>46017.91667</v>
      </c>
      <c r="H3386" s="238">
        <f>IFERROR(__xludf.DUMMYFUNCTION("""COMPUTED_VALUE"""),46018.0)</f>
        <v>46018</v>
      </c>
      <c r="I3386" s="237" t="str">
        <f t="shared" si="1"/>
        <v>Fora</v>
      </c>
      <c r="J3386" s="239">
        <v>119.99999999301508</v>
      </c>
    </row>
    <row r="3387">
      <c r="A3387" s="234" t="s">
        <v>4732</v>
      </c>
      <c r="B3387" s="234" t="str">
        <f>IFERROR(__xludf.DUMMYFUNCTION("""COMPUTED_VALUE"""),"LM Hub_SP_Guarulhos")</f>
        <v>LM Hub_SP_Guarulhos</v>
      </c>
      <c r="C3387" s="234" t="str">
        <f>IFERROR(__xludf.DUMMYFUNCTION("""COMPUTED_VALUE"""),"HUB-LSP-77")</f>
        <v>HUB-LSP-77</v>
      </c>
      <c r="D3387" s="234">
        <f>IFERROR(__xludf.DUMMYFUNCTION("""COMPUTED_VALUE"""),6.0)</f>
        <v>6</v>
      </c>
      <c r="E3387" s="237" t="str">
        <f>IFERROR(__xludf.DUMMYFUNCTION("""COMPUTED_VALUE"""),"LT0PCQ01UW4N2")</f>
        <v>LT0PCQ01UW4N2</v>
      </c>
      <c r="F3387" s="238" t="str">
        <f>IFERROR(__xludf.DUMMYFUNCTION("""COMPUTED_VALUE"""),"EHH9B85,FFN2F39")</f>
        <v>EHH9B85,FFN2F39</v>
      </c>
      <c r="G3387" s="238">
        <f>IFERROR(__xludf.DUMMYFUNCTION("""COMPUTED_VALUE"""),46017.91666666667)</f>
        <v>46017.91667</v>
      </c>
      <c r="H3387" s="238">
        <f>IFERROR(__xludf.DUMMYFUNCTION("""COMPUTED_VALUE"""),46018.0)</f>
        <v>46018</v>
      </c>
      <c r="I3387" s="237" t="str">
        <f t="shared" si="1"/>
        <v>Fora</v>
      </c>
      <c r="J3387" s="239">
        <v>119.99999999301508</v>
      </c>
    </row>
    <row r="3388">
      <c r="A3388" s="234" t="s">
        <v>4733</v>
      </c>
      <c r="B3388" s="234" t="str">
        <f>IFERROR(__xludf.DUMMYFUNCTION("""COMPUTED_VALUE"""),"LM Hub_SP_Itapevi")</f>
        <v>LM Hub_SP_Itapevi</v>
      </c>
      <c r="C3388" s="234" t="str">
        <f>IFERROR(__xludf.DUMMYFUNCTION("""COMPUTED_VALUE"""),"HUB-LSP-41")</f>
        <v>HUB-LSP-41</v>
      </c>
      <c r="D3388" s="234">
        <f>IFERROR(__xludf.DUMMYFUNCTION("""COMPUTED_VALUE"""),17.0)</f>
        <v>17</v>
      </c>
      <c r="E3388" s="237" t="str">
        <f>IFERROR(__xludf.DUMMYFUNCTION("""COMPUTED_VALUE"""),"LT0PCQ01UVOD1")</f>
        <v>LT0PCQ01UVOD1</v>
      </c>
      <c r="F3388" s="238" t="str">
        <f>IFERROR(__xludf.DUMMYFUNCTION("""COMPUTED_VALUE"""),"DPF6F59,NGQ2G16")</f>
        <v>DPF6F59,NGQ2G16</v>
      </c>
      <c r="G3388" s="238">
        <f>IFERROR(__xludf.DUMMYFUNCTION("""COMPUTED_VALUE"""),46017.91666666667)</f>
        <v>46017.91667</v>
      </c>
      <c r="H3388" s="238">
        <f>IFERROR(__xludf.DUMMYFUNCTION("""COMPUTED_VALUE"""),46018.0)</f>
        <v>46018</v>
      </c>
      <c r="I3388" s="237" t="str">
        <f t="shared" si="1"/>
        <v>Fora</v>
      </c>
      <c r="J3388" s="239">
        <v>119.99999999301508</v>
      </c>
    </row>
    <row r="3389">
      <c r="A3389" s="234" t="s">
        <v>4734</v>
      </c>
      <c r="B3389" s="234" t="str">
        <f>IFERROR(__xludf.DUMMYFUNCTION("""COMPUTED_VALUE"""),"LM Hub_SP_Limeira_Campo Belo")</f>
        <v>LM Hub_SP_Limeira_Campo Belo</v>
      </c>
      <c r="C3389" s="234" t="str">
        <f>IFERROR(__xludf.DUMMYFUNCTION("""COMPUTED_VALUE"""),"HUB-LSP-24")</f>
        <v>HUB-LSP-24</v>
      </c>
      <c r="D3389" s="234"/>
      <c r="E3389" s="237" t="str">
        <f>IFERROR(__xludf.DUMMYFUNCTION("""COMPUTED_VALUE"""),"LT0PCQ01UVQL2")</f>
        <v>LT0PCQ01UVQL2</v>
      </c>
      <c r="F3389" s="238" t="str">
        <f>IFERROR(__xludf.DUMMYFUNCTION("""COMPUTED_VALUE"""),"FJK3B27,FXO3A21")</f>
        <v>FJK3B27,FXO3A21</v>
      </c>
      <c r="G3389" s="238">
        <f>IFERROR(__xludf.DUMMYFUNCTION("""COMPUTED_VALUE"""),46017.91666666667)</f>
        <v>46017.91667</v>
      </c>
      <c r="H3389" s="238">
        <f>IFERROR(__xludf.DUMMYFUNCTION("""COMPUTED_VALUE"""),46018.0)</f>
        <v>46018</v>
      </c>
      <c r="I3389" s="237" t="str">
        <f t="shared" si="1"/>
        <v>Fora</v>
      </c>
      <c r="J3389" s="239">
        <v>119.99999999301508</v>
      </c>
    </row>
    <row r="3390">
      <c r="A3390" s="234" t="s">
        <v>4735</v>
      </c>
      <c r="B3390" s="234" t="str">
        <f>IFERROR(__xludf.DUMMYFUNCTION("""COMPUTED_VALUE"""),"LM Hub_SP_Limeira_Campo Belo")</f>
        <v>LM Hub_SP_Limeira_Campo Belo</v>
      </c>
      <c r="C3390" s="234" t="str">
        <f>IFERROR(__xludf.DUMMYFUNCTION("""COMPUTED_VALUE"""),"HUB-LSP-24")</f>
        <v>HUB-LSP-24</v>
      </c>
      <c r="D3390" s="234">
        <f>IFERROR(__xludf.DUMMYFUNCTION("""COMPUTED_VALUE"""),19.0)</f>
        <v>19</v>
      </c>
      <c r="E3390" s="237" t="str">
        <f>IFERROR(__xludf.DUMMYFUNCTION("""COMPUTED_VALUE"""),"LT0PCQ01UVQJ1")</f>
        <v>LT0PCQ01UVQJ1</v>
      </c>
      <c r="F3390" s="238" t="str">
        <f>IFERROR(__xludf.DUMMYFUNCTION("""COMPUTED_VALUE"""),"EXU6A75,DVS4C57")</f>
        <v>EXU6A75,DVS4C57</v>
      </c>
      <c r="G3390" s="238">
        <f>IFERROR(__xludf.DUMMYFUNCTION("""COMPUTED_VALUE"""),46017.91666666667)</f>
        <v>46017.91667</v>
      </c>
      <c r="H3390" s="238">
        <f>IFERROR(__xludf.DUMMYFUNCTION("""COMPUTED_VALUE"""),46018.0)</f>
        <v>46018</v>
      </c>
      <c r="I3390" s="237" t="str">
        <f t="shared" si="1"/>
        <v>Fora</v>
      </c>
      <c r="J3390" s="239">
        <v>119.99999999301508</v>
      </c>
    </row>
    <row r="3391">
      <c r="A3391" s="234" t="s">
        <v>4736</v>
      </c>
      <c r="B3391" s="234" t="str">
        <f>IFERROR(__xludf.DUMMYFUNCTION("""COMPUTED_VALUE"""),"LM Hub_SP_Mauá")</f>
        <v>LM Hub_SP_Mauá</v>
      </c>
      <c r="C3391" s="234" t="str">
        <f>IFERROR(__xludf.DUMMYFUNCTION("""COMPUTED_VALUE"""),"HUB-LSP-64")</f>
        <v>HUB-LSP-64</v>
      </c>
      <c r="D3391" s="234">
        <f>IFERROR(__xludf.DUMMYFUNCTION("""COMPUTED_VALUE"""),13.0)</f>
        <v>13</v>
      </c>
      <c r="E3391" s="237" t="str">
        <f>IFERROR(__xludf.DUMMYFUNCTION("""COMPUTED_VALUE"""),"LT0PCQ01UVON1")</f>
        <v>LT0PCQ01UVON1</v>
      </c>
      <c r="F3391" s="238" t="str">
        <f>IFERROR(__xludf.DUMMYFUNCTION("""COMPUTED_VALUE"""),"FQF6B98,DTA7802")</f>
        <v>FQF6B98,DTA7802</v>
      </c>
      <c r="G3391" s="238">
        <f>IFERROR(__xludf.DUMMYFUNCTION("""COMPUTED_VALUE"""),46017.91666666667)</f>
        <v>46017.91667</v>
      </c>
      <c r="H3391" s="238">
        <f>IFERROR(__xludf.DUMMYFUNCTION("""COMPUTED_VALUE"""),46018.0)</f>
        <v>46018</v>
      </c>
      <c r="I3391" s="237" t="str">
        <f t="shared" si="1"/>
        <v>Fora</v>
      </c>
      <c r="J3391" s="239">
        <v>119.99999999301508</v>
      </c>
    </row>
    <row r="3392">
      <c r="A3392" s="234" t="s">
        <v>4737</v>
      </c>
      <c r="B3392" s="234" t="str">
        <f>IFERROR(__xludf.DUMMYFUNCTION("""COMPUTED_VALUE"""),"LM Hub_SP_São José do Rio P")</f>
        <v>LM Hub_SP_São José do Rio P</v>
      </c>
      <c r="C3392" s="234" t="str">
        <f>IFERROR(__xludf.DUMMYFUNCTION("""COMPUTED_VALUE"""),"HUB-LSP-27")</f>
        <v>HUB-LSP-27</v>
      </c>
      <c r="D3392" s="234">
        <f>IFERROR(__xludf.DUMMYFUNCTION("""COMPUTED_VALUE"""),23.0)</f>
        <v>23</v>
      </c>
      <c r="E3392" s="237" t="str">
        <f>IFERROR(__xludf.DUMMYFUNCTION("""COMPUTED_VALUE"""),"LT0PCQ01UY9Y1")</f>
        <v>LT0PCQ01UY9Y1</v>
      </c>
      <c r="F3392" s="238" t="str">
        <f>IFERROR(__xludf.DUMMYFUNCTION("""COMPUTED_VALUE"""),"SFO1F38,GAS2G93")</f>
        <v>SFO1F38,GAS2G93</v>
      </c>
      <c r="G3392" s="238">
        <f>IFERROR(__xludf.DUMMYFUNCTION("""COMPUTED_VALUE"""),46017.91666666667)</f>
        <v>46017.91667</v>
      </c>
      <c r="H3392" s="238">
        <f>IFERROR(__xludf.DUMMYFUNCTION("""COMPUTED_VALUE"""),46018.0)</f>
        <v>46018</v>
      </c>
      <c r="I3392" s="237" t="str">
        <f t="shared" si="1"/>
        <v>Fora</v>
      </c>
      <c r="J3392" s="239">
        <v>119.99999999301508</v>
      </c>
    </row>
    <row r="3393">
      <c r="A3393" s="234" t="s">
        <v>4738</v>
      </c>
      <c r="B3393" s="234" t="str">
        <f>IFERROR(__xludf.DUMMYFUNCTION("""COMPUTED_VALUE"""),"SoC_GO_Goiânia_02")</f>
        <v>SoC_GO_Goiânia_02</v>
      </c>
      <c r="C3393" s="234" t="str">
        <f>IFERROR(__xludf.DUMMYFUNCTION("""COMPUTED_VALUE"""),"SOC-GO2")</f>
        <v>SOC-GO2</v>
      </c>
      <c r="D3393" s="234">
        <f>IFERROR(__xludf.DUMMYFUNCTION("""COMPUTED_VALUE"""),86.0)</f>
        <v>86</v>
      </c>
      <c r="E3393" s="237" t="str">
        <f>IFERROR(__xludf.DUMMYFUNCTION("""COMPUTED_VALUE"""),"LT1PCQ01VTP91")</f>
        <v>LT1PCQ01VTP91</v>
      </c>
      <c r="F3393" s="238" t="str">
        <f>IFERROR(__xludf.DUMMYFUNCTION("""COMPUTED_VALUE"""),"GFZ9D57,GKF1066")</f>
        <v>GFZ9D57,GKF1066</v>
      </c>
      <c r="G3393" s="238">
        <f>IFERROR(__xludf.DUMMYFUNCTION("""COMPUTED_VALUE"""),46017.91666666667)</f>
        <v>46017.91667</v>
      </c>
      <c r="H3393" s="238">
        <f>IFERROR(__xludf.DUMMYFUNCTION("""COMPUTED_VALUE"""),46018.0)</f>
        <v>46018</v>
      </c>
      <c r="I3393" s="237" t="str">
        <f t="shared" si="1"/>
        <v>Fora</v>
      </c>
      <c r="J3393" s="239">
        <v>119.99999999301508</v>
      </c>
    </row>
    <row r="3394">
      <c r="A3394" s="234" t="s">
        <v>4739</v>
      </c>
      <c r="B3394" s="234" t="str">
        <f>IFERROR(__xludf.DUMMYFUNCTION("""COMPUTED_VALUE"""),"SoC_MG_Betim")</f>
        <v>SoC_MG_Betim</v>
      </c>
      <c r="C3394" s="234" t="str">
        <f>IFERROR(__xludf.DUMMYFUNCTION("""COMPUTED_VALUE"""),"SOC-MG2")</f>
        <v>SOC-MG2</v>
      </c>
      <c r="D3394" s="234"/>
      <c r="E3394" s="237" t="str">
        <f>IFERROR(__xludf.DUMMYFUNCTION("""COMPUTED_VALUE"""),"LT0PCQ01UTBQ1")</f>
        <v>LT0PCQ01UTBQ1</v>
      </c>
      <c r="F3394" s="238" t="str">
        <f>IFERROR(__xludf.DUMMYFUNCTION("""COMPUTED_VALUE"""),"RFE4B95,MLT4098")</f>
        <v>RFE4B95,MLT4098</v>
      </c>
      <c r="G3394" s="238">
        <f>IFERROR(__xludf.DUMMYFUNCTION("""COMPUTED_VALUE"""),46017.91666666667)</f>
        <v>46017.91667</v>
      </c>
      <c r="H3394" s="238">
        <f>IFERROR(__xludf.DUMMYFUNCTION("""COMPUTED_VALUE"""),46018.0)</f>
        <v>46018</v>
      </c>
      <c r="I3394" s="237" t="str">
        <f t="shared" si="1"/>
        <v>Fora</v>
      </c>
      <c r="J3394" s="239">
        <v>119.99999999301508</v>
      </c>
    </row>
    <row r="3395">
      <c r="A3395" s="234" t="s">
        <v>4740</v>
      </c>
      <c r="B3395" s="234" t="str">
        <f>IFERROR(__xludf.DUMMYFUNCTION("""COMPUTED_VALUE"""),"SoC_MG_Betim")</f>
        <v>SoC_MG_Betim</v>
      </c>
      <c r="C3395" s="234" t="str">
        <f>IFERROR(__xludf.DUMMYFUNCTION("""COMPUTED_VALUE"""),"SOC-MG2")</f>
        <v>SOC-MG2</v>
      </c>
      <c r="D3395" s="234"/>
      <c r="E3395" s="237" t="str">
        <f>IFERROR(__xludf.DUMMYFUNCTION("""COMPUTED_VALUE"""),"LT0PCQ01UTBS2")</f>
        <v>LT0PCQ01UTBS2</v>
      </c>
      <c r="F3395" s="238" t="str">
        <f>IFERROR(__xludf.DUMMYFUNCTION("""COMPUTED_VALUE"""),"PYS7I47")</f>
        <v>PYS7I47</v>
      </c>
      <c r="G3395" s="238">
        <f>IFERROR(__xludf.DUMMYFUNCTION("""COMPUTED_VALUE"""),46017.91666666667)</f>
        <v>46017.91667</v>
      </c>
      <c r="H3395" s="238">
        <f>IFERROR(__xludf.DUMMYFUNCTION("""COMPUTED_VALUE"""),46018.0)</f>
        <v>46018</v>
      </c>
      <c r="I3395" s="237" t="str">
        <f t="shared" si="1"/>
        <v>Fora</v>
      </c>
      <c r="J3395" s="239">
        <v>119.00000000023283</v>
      </c>
    </row>
    <row r="3396">
      <c r="A3396" s="234" t="s">
        <v>4741</v>
      </c>
      <c r="B3396" s="234" t="str">
        <f>IFERROR(__xludf.DUMMYFUNCTION("""COMPUTED_VALUE"""),"LM Hub_SP_Santo André")</f>
        <v>LM Hub_SP_Santo André</v>
      </c>
      <c r="C3396" s="234" t="str">
        <f>IFERROR(__xludf.DUMMYFUNCTION("""COMPUTED_VALUE"""),"HUB-LSP-93")</f>
        <v>HUB-LSP-93</v>
      </c>
      <c r="D3396" s="234">
        <f>IFERROR(__xludf.DUMMYFUNCTION("""COMPUTED_VALUE"""),8.0)</f>
        <v>8</v>
      </c>
      <c r="E3396" s="237" t="str">
        <f>IFERROR(__xludf.DUMMYFUNCTION("""COMPUTED_VALUE"""),"LT0PCQ01UXE71")</f>
        <v>LT0PCQ01UXE71</v>
      </c>
      <c r="F3396" s="238" t="str">
        <f>IFERROR(__xludf.DUMMYFUNCTION("""COMPUTED_VALUE"""),"AUH5C55,AXE8E39")</f>
        <v>AUH5C55,AXE8E39</v>
      </c>
      <c r="G3396" s="238">
        <f>IFERROR(__xludf.DUMMYFUNCTION("""COMPUTED_VALUE"""),46017.91736111111)</f>
        <v>46017.91736</v>
      </c>
      <c r="H3396" s="238">
        <f>IFERROR(__xludf.DUMMYFUNCTION("""COMPUTED_VALUE"""),46018.0)</f>
        <v>46018</v>
      </c>
      <c r="I3396" s="237" t="str">
        <f t="shared" si="1"/>
        <v>Fora</v>
      </c>
      <c r="J3396" s="239">
        <v>90.0</v>
      </c>
    </row>
    <row r="3397">
      <c r="A3397" s="234" t="s">
        <v>4742</v>
      </c>
      <c r="B3397" s="234" t="str">
        <f>IFERROR(__xludf.DUMMYFUNCTION("""COMPUTED_VALUE"""),"LM Hub_SP_Osasco_02")</f>
        <v>LM Hub_SP_Osasco_02</v>
      </c>
      <c r="C3397" s="234" t="str">
        <f>IFERROR(__xludf.DUMMYFUNCTION("""COMPUTED_VALUE"""),"HUB-LSP-60")</f>
        <v>HUB-LSP-60</v>
      </c>
      <c r="D3397" s="234"/>
      <c r="E3397" s="237" t="str">
        <f>IFERROR(__xludf.DUMMYFUNCTION("""COMPUTED_VALUE"""),"LT0PCQ01UVOI1")</f>
        <v>LT0PCQ01UVOI1</v>
      </c>
      <c r="F3397" s="238" t="str">
        <f>IFERROR(__xludf.DUMMYFUNCTION("""COMPUTED_VALUE"""),"HBN8F05,TKX7F43")</f>
        <v>HBN8F05,TKX7F43</v>
      </c>
      <c r="G3397" s="238">
        <f>IFERROR(__xludf.DUMMYFUNCTION("""COMPUTED_VALUE"""),46017.9375)</f>
        <v>46017.9375</v>
      </c>
      <c r="H3397" s="238">
        <f>IFERROR(__xludf.DUMMYFUNCTION("""COMPUTED_VALUE"""),46018.0)</f>
        <v>46018</v>
      </c>
      <c r="I3397" s="237" t="str">
        <f t="shared" si="1"/>
        <v>Fora</v>
      </c>
      <c r="J3397" s="239">
        <v>59.99999998603016</v>
      </c>
    </row>
    <row r="3398">
      <c r="A3398" s="234" t="s">
        <v>4743</v>
      </c>
      <c r="B3398" s="234" t="str">
        <f>IFERROR(__xludf.DUMMYFUNCTION("""COMPUTED_VALUE"""),"LM Hub_SP_Jardim Adriana")</f>
        <v>LM Hub_SP_Jardim Adriana</v>
      </c>
      <c r="C3398" s="234" t="str">
        <f>IFERROR(__xludf.DUMMYFUNCTION("""COMPUTED_VALUE"""),"HUB-LSP-12")</f>
        <v>HUB-LSP-12</v>
      </c>
      <c r="D3398" s="234">
        <f>IFERROR(__xludf.DUMMYFUNCTION("""COMPUTED_VALUE"""),7.0)</f>
        <v>7</v>
      </c>
      <c r="E3398" s="237" t="str">
        <f>IFERROR(__xludf.DUMMYFUNCTION("""COMPUTED_VALUE"""),"LT0PCQ01UVNL1")</f>
        <v>LT0PCQ01UVNL1</v>
      </c>
      <c r="F3398" s="238" t="str">
        <f>IFERROR(__xludf.DUMMYFUNCTION("""COMPUTED_VALUE"""),"CSK0A38")</f>
        <v>CSK0A38</v>
      </c>
      <c r="G3398" s="238">
        <f>IFERROR(__xludf.DUMMYFUNCTION("""COMPUTED_VALUE"""),46017.97916666667)</f>
        <v>46017.97917</v>
      </c>
      <c r="H3398" s="238">
        <f>IFERROR(__xludf.DUMMYFUNCTION("""COMPUTED_VALUE"""),46018.02083333333)</f>
        <v>46018.02083</v>
      </c>
      <c r="I3398" s="237" t="str">
        <f t="shared" si="1"/>
        <v>Fora</v>
      </c>
      <c r="J3398" s="239">
        <v>119.99999999301508</v>
      </c>
    </row>
    <row r="3399">
      <c r="A3399" s="234" t="s">
        <v>4744</v>
      </c>
      <c r="B3399" s="234" t="str">
        <f>IFERROR(__xludf.DUMMYFUNCTION("""COMPUTED_VALUE"""),"LM Hub_SP_Parque Novo Mundo")</f>
        <v>LM Hub_SP_Parque Novo Mundo</v>
      </c>
      <c r="C3399" s="234" t="str">
        <f>IFERROR(__xludf.DUMMYFUNCTION("""COMPUTED_VALUE"""),"HUB-LSP-89")</f>
        <v>HUB-LSP-89</v>
      </c>
      <c r="D3399" s="234">
        <f>IFERROR(__xludf.DUMMYFUNCTION("""COMPUTED_VALUE"""),34.0)</f>
        <v>34</v>
      </c>
      <c r="E3399" s="237" t="str">
        <f>IFERROR(__xludf.DUMMYFUNCTION("""COMPUTED_VALUE"""),"LT0PCQ01UW9Q1")</f>
        <v>LT0PCQ01UW9Q1</v>
      </c>
      <c r="F3399" s="238" t="str">
        <f>IFERROR(__xludf.DUMMYFUNCTION("""COMPUTED_VALUE"""),"GIQ1C13,AKZ0B43")</f>
        <v>GIQ1C13,AKZ0B43</v>
      </c>
      <c r="G3399" s="238">
        <f>IFERROR(__xludf.DUMMYFUNCTION("""COMPUTED_VALUE"""),46017.9375)</f>
        <v>46017.9375</v>
      </c>
      <c r="H3399" s="238">
        <f>IFERROR(__xludf.DUMMYFUNCTION("""COMPUTED_VALUE"""),46018.02083333333)</f>
        <v>46018.02083</v>
      </c>
      <c r="I3399" s="237" t="str">
        <f t="shared" si="1"/>
        <v>Fora</v>
      </c>
      <c r="J3399" s="239">
        <v>119.99999999301508</v>
      </c>
    </row>
    <row r="3400">
      <c r="A3400" s="234" t="s">
        <v>4745</v>
      </c>
      <c r="B3400" s="234" t="str">
        <f>IFERROR(__xludf.DUMMYFUNCTION("""COMPUTED_VALUE"""),"LM Hub_SP_Piracicaba")</f>
        <v>LM Hub_SP_Piracicaba</v>
      </c>
      <c r="C3400" s="234" t="str">
        <f>IFERROR(__xludf.DUMMYFUNCTION("""COMPUTED_VALUE"""),"HUB-LSP-62")</f>
        <v>HUB-LSP-62</v>
      </c>
      <c r="D3400" s="234">
        <f>IFERROR(__xludf.DUMMYFUNCTION("""COMPUTED_VALUE"""),42.0)</f>
        <v>42</v>
      </c>
      <c r="E3400" s="237" t="str">
        <f>IFERROR(__xludf.DUMMYFUNCTION("""COMPUTED_VALUE"""),"LT0PCQ01UW4Y1")</f>
        <v>LT0PCQ01UW4Y1</v>
      </c>
      <c r="F3400" s="238" t="str">
        <f>IFERROR(__xludf.DUMMYFUNCTION("""COMPUTED_VALUE"""),"EOF4D32,EOF4D30")</f>
        <v>EOF4D32,EOF4D30</v>
      </c>
      <c r="G3400" s="238">
        <f>IFERROR(__xludf.DUMMYFUNCTION("""COMPUTED_VALUE"""),46017.9375)</f>
        <v>46017.9375</v>
      </c>
      <c r="H3400" s="238">
        <f>IFERROR(__xludf.DUMMYFUNCTION("""COMPUTED_VALUE"""),46018.02083333333)</f>
        <v>46018.02083</v>
      </c>
      <c r="I3400" s="237" t="str">
        <f t="shared" si="1"/>
        <v>Fora</v>
      </c>
      <c r="J3400" s="239">
        <v>119.99999999301508</v>
      </c>
    </row>
    <row r="3401">
      <c r="A3401" s="234" t="s">
        <v>4746</v>
      </c>
      <c r="B3401" s="234" t="str">
        <f>IFERROR(__xludf.DUMMYFUNCTION("""COMPUTED_VALUE"""),"LM Hub_SP_São Paulo_Carandiru")</f>
        <v>LM Hub_SP_São Paulo_Carandiru</v>
      </c>
      <c r="C3401" s="234" t="str">
        <f>IFERROR(__xludf.DUMMYFUNCTION("""COMPUTED_VALUE"""),"HUB-LSP-18")</f>
        <v>HUB-LSP-18</v>
      </c>
      <c r="D3401" s="234">
        <f>IFERROR(__xludf.DUMMYFUNCTION("""COMPUTED_VALUE"""),46.0)</f>
        <v>46</v>
      </c>
      <c r="E3401" s="237" t="str">
        <f>IFERROR(__xludf.DUMMYFUNCTION("""COMPUTED_VALUE"""),"LT0PCQ01UVNX1")</f>
        <v>LT0PCQ01UVNX1</v>
      </c>
      <c r="F3401" s="238" t="str">
        <f>IFERROR(__xludf.DUMMYFUNCTION("""COMPUTED_VALUE"""),"GDB4E59")</f>
        <v>GDB4E59</v>
      </c>
      <c r="G3401" s="238">
        <f>IFERROR(__xludf.DUMMYFUNCTION("""COMPUTED_VALUE"""),46017.9375)</f>
        <v>46017.9375</v>
      </c>
      <c r="H3401" s="238">
        <f>IFERROR(__xludf.DUMMYFUNCTION("""COMPUTED_VALUE"""),46018.02083333333)</f>
        <v>46018.02083</v>
      </c>
      <c r="I3401" s="237" t="str">
        <f t="shared" si="1"/>
        <v>Fora</v>
      </c>
      <c r="J3401" s="239">
        <v>119.99999999301508</v>
      </c>
    </row>
    <row r="3402">
      <c r="A3402" s="234" t="s">
        <v>4747</v>
      </c>
      <c r="B3402" s="234" t="str">
        <f>IFERROR(__xludf.DUMMYFUNCTION("""COMPUTED_VALUE"""),"LM Hub_SP_São Paulo_Carandiru")</f>
        <v>LM Hub_SP_São Paulo_Carandiru</v>
      </c>
      <c r="C3402" s="234" t="str">
        <f>IFERROR(__xludf.DUMMYFUNCTION("""COMPUTED_VALUE"""),"HUB-LSP-18")</f>
        <v>HUB-LSP-18</v>
      </c>
      <c r="D3402" s="234">
        <f>IFERROR(__xludf.DUMMYFUNCTION("""COMPUTED_VALUE"""),9.0)</f>
        <v>9</v>
      </c>
      <c r="E3402" s="237" t="str">
        <f>IFERROR(__xludf.DUMMYFUNCTION("""COMPUTED_VALUE"""),"LT0PCQ01UVNZ2")</f>
        <v>LT0PCQ01UVNZ2</v>
      </c>
      <c r="F3402" s="238" t="str">
        <f>IFERROR(__xludf.DUMMYFUNCTION("""COMPUTED_VALUE"""),"BVT4B34")</f>
        <v>BVT4B34</v>
      </c>
      <c r="G3402" s="238">
        <f>IFERROR(__xludf.DUMMYFUNCTION("""COMPUTED_VALUE"""),46017.9375)</f>
        <v>46017.9375</v>
      </c>
      <c r="H3402" s="238">
        <f>IFERROR(__xludf.DUMMYFUNCTION("""COMPUTED_VALUE"""),46018.02083333333)</f>
        <v>46018.02083</v>
      </c>
      <c r="I3402" s="237" t="str">
        <f t="shared" si="1"/>
        <v>Fora</v>
      </c>
      <c r="J3402" s="239">
        <v>119.99999999301508</v>
      </c>
    </row>
    <row r="3403">
      <c r="A3403" s="234" t="s">
        <v>4748</v>
      </c>
      <c r="B3403" s="234" t="str">
        <f>IFERROR(__xludf.DUMMYFUNCTION("""COMPUTED_VALUE"""),"LM Hub_SP_São Paulo_Carandiru")</f>
        <v>LM Hub_SP_São Paulo_Carandiru</v>
      </c>
      <c r="C3403" s="234" t="str">
        <f>IFERROR(__xludf.DUMMYFUNCTION("""COMPUTED_VALUE"""),"HUB-LSP-18")</f>
        <v>HUB-LSP-18</v>
      </c>
      <c r="D3403" s="234">
        <f>IFERROR(__xludf.DUMMYFUNCTION("""COMPUTED_VALUE"""),45.0)</f>
        <v>45</v>
      </c>
      <c r="E3403" s="237" t="str">
        <f>IFERROR(__xludf.DUMMYFUNCTION("""COMPUTED_VALUE"""),"LT0PCQ01UVO13")</f>
        <v>LT0PCQ01UVO13</v>
      </c>
      <c r="F3403" s="238" t="str">
        <f>IFERROR(__xludf.DUMMYFUNCTION("""COMPUTED_VALUE"""),"SWA1B76")</f>
        <v>SWA1B76</v>
      </c>
      <c r="G3403" s="238">
        <f>IFERROR(__xludf.DUMMYFUNCTION("""COMPUTED_VALUE"""),46017.9375)</f>
        <v>46017.9375</v>
      </c>
      <c r="H3403" s="238">
        <f>IFERROR(__xludf.DUMMYFUNCTION("""COMPUTED_VALUE"""),46018.02083333333)</f>
        <v>46018.02083</v>
      </c>
      <c r="I3403" s="237" t="str">
        <f t="shared" si="1"/>
        <v>Fora</v>
      </c>
      <c r="J3403" s="239">
        <v>119.99999999301508</v>
      </c>
    </row>
    <row r="3404">
      <c r="A3404" s="234" t="s">
        <v>4749</v>
      </c>
      <c r="B3404" s="234" t="str">
        <f>IFERROR(__xludf.DUMMYFUNCTION("""COMPUTED_VALUE"""),"LM Hub_SP_Suzano_Baruel")</f>
        <v>LM Hub_SP_Suzano_Baruel</v>
      </c>
      <c r="C3404" s="234" t="str">
        <f>IFERROR(__xludf.DUMMYFUNCTION("""COMPUTED_VALUE"""),"HUB-LSP-97")</f>
        <v>HUB-LSP-97</v>
      </c>
      <c r="D3404" s="234"/>
      <c r="E3404" s="237" t="str">
        <f>IFERROR(__xludf.DUMMYFUNCTION("""COMPUTED_VALUE"""),"LT0PCQ01V0962")</f>
        <v>LT0PCQ01V0962</v>
      </c>
      <c r="F3404" s="238" t="str">
        <f>IFERROR(__xludf.DUMMYFUNCTION("""COMPUTED_VALUE"""),"DOT3E21,EGJ9093")</f>
        <v>DOT3E21,EGJ9093</v>
      </c>
      <c r="G3404" s="238">
        <f>IFERROR(__xludf.DUMMYFUNCTION("""COMPUTED_VALUE"""),46017.9375)</f>
        <v>46017.9375</v>
      </c>
      <c r="H3404" s="238">
        <f>IFERROR(__xludf.DUMMYFUNCTION("""COMPUTED_VALUE"""),46018.02083333333)</f>
        <v>46018.02083</v>
      </c>
      <c r="I3404" s="237" t="str">
        <f t="shared" si="1"/>
        <v>Fora</v>
      </c>
      <c r="J3404" s="239">
        <v>119.99999999301508</v>
      </c>
    </row>
    <row r="3405">
      <c r="A3405" s="234" t="s">
        <v>4750</v>
      </c>
      <c r="B3405" s="234" t="str">
        <f>IFERROR(__xludf.DUMMYFUNCTION("""COMPUTED_VALUE"""),"LM Hub_SP_Suzano_Baruel")</f>
        <v>LM Hub_SP_Suzano_Baruel</v>
      </c>
      <c r="C3405" s="234" t="str">
        <f>IFERROR(__xludf.DUMMYFUNCTION("""COMPUTED_VALUE"""),"HUB-LSP-97")</f>
        <v>HUB-LSP-97</v>
      </c>
      <c r="D3405" s="234">
        <f>IFERROR(__xludf.DUMMYFUNCTION("""COMPUTED_VALUE"""),47.0)</f>
        <v>47</v>
      </c>
      <c r="E3405" s="237" t="str">
        <f>IFERROR(__xludf.DUMMYFUNCTION("""COMPUTED_VALUE"""),"LT0PCQ01V0941")</f>
        <v>LT0PCQ01V0941</v>
      </c>
      <c r="F3405" s="238" t="str">
        <f>IFERROR(__xludf.DUMMYFUNCTION("""COMPUTED_VALUE"""),"FZO3D72,DKH9I98")</f>
        <v>FZO3D72,DKH9I98</v>
      </c>
      <c r="G3405" s="238">
        <f>IFERROR(__xludf.DUMMYFUNCTION("""COMPUTED_VALUE"""),46017.9375)</f>
        <v>46017.9375</v>
      </c>
      <c r="H3405" s="238">
        <f>IFERROR(__xludf.DUMMYFUNCTION("""COMPUTED_VALUE"""),46018.02083333333)</f>
        <v>46018.02083</v>
      </c>
      <c r="I3405" s="237" t="str">
        <f t="shared" si="1"/>
        <v>Fora</v>
      </c>
      <c r="J3405" s="239">
        <v>119.99999999301508</v>
      </c>
    </row>
    <row r="3406">
      <c r="A3406" s="234" t="s">
        <v>4751</v>
      </c>
      <c r="B3406" s="234" t="str">
        <f>IFERROR(__xludf.DUMMYFUNCTION("""COMPUTED_VALUE"""),"LM Hub_SP_VilaGuilherme")</f>
        <v>LM Hub_SP_VilaGuilherme</v>
      </c>
      <c r="C3406" s="234" t="str">
        <f>IFERROR(__xludf.DUMMYFUNCTION("""COMPUTED_VALUE"""),"HUB-LSP-68")</f>
        <v>HUB-LSP-68</v>
      </c>
      <c r="D3406" s="234"/>
      <c r="E3406" s="237" t="str">
        <f>IFERROR(__xludf.DUMMYFUNCTION("""COMPUTED_VALUE"""),"LT0PCQ01UVOP1")</f>
        <v>LT0PCQ01UVOP1</v>
      </c>
      <c r="F3406" s="238" t="str">
        <f>IFERROR(__xludf.DUMMYFUNCTION("""COMPUTED_VALUE"""),"CUA8366,BWS2717")</f>
        <v>CUA8366,BWS2717</v>
      </c>
      <c r="G3406" s="238">
        <f>IFERROR(__xludf.DUMMYFUNCTION("""COMPUTED_VALUE"""),46017.9375)</f>
        <v>46017.9375</v>
      </c>
      <c r="H3406" s="238">
        <f>IFERROR(__xludf.DUMMYFUNCTION("""COMPUTED_VALUE"""),46018.02083333333)</f>
        <v>46018.02083</v>
      </c>
      <c r="I3406" s="237" t="str">
        <f t="shared" si="1"/>
        <v>Fora</v>
      </c>
      <c r="J3406" s="239">
        <v>119.99999999301508</v>
      </c>
    </row>
    <row r="3407">
      <c r="A3407" s="234" t="s">
        <v>4752</v>
      </c>
      <c r="B3407" s="234" t="str">
        <f>IFERROR(__xludf.DUMMYFUNCTION("""COMPUTED_VALUE"""),"LM Hub_SP_VilaGuilherme")</f>
        <v>LM Hub_SP_VilaGuilherme</v>
      </c>
      <c r="C3407" s="234" t="str">
        <f>IFERROR(__xludf.DUMMYFUNCTION("""COMPUTED_VALUE"""),"HUB-LSP-68")</f>
        <v>HUB-LSP-68</v>
      </c>
      <c r="D3407" s="234">
        <f>IFERROR(__xludf.DUMMYFUNCTION("""COMPUTED_VALUE"""),14.0)</f>
        <v>14</v>
      </c>
      <c r="E3407" s="237" t="str">
        <f>IFERROR(__xludf.DUMMYFUNCTION("""COMPUTED_VALUE"""),"LT0PCQ01UVOR2")</f>
        <v>LT0PCQ01UVOR2</v>
      </c>
      <c r="F3407" s="238" t="str">
        <f>IFERROR(__xludf.DUMMYFUNCTION("""COMPUTED_VALUE"""),"CSK6F34,CSK6F30")</f>
        <v>CSK6F34,CSK6F30</v>
      </c>
      <c r="G3407" s="238">
        <f>IFERROR(__xludf.DUMMYFUNCTION("""COMPUTED_VALUE"""),46017.9375)</f>
        <v>46017.9375</v>
      </c>
      <c r="H3407" s="238">
        <f>IFERROR(__xludf.DUMMYFUNCTION("""COMPUTED_VALUE"""),46018.02083333333)</f>
        <v>46018.02083</v>
      </c>
      <c r="I3407" s="237" t="str">
        <f t="shared" si="1"/>
        <v>Fora</v>
      </c>
      <c r="J3407" s="239">
        <v>118.99999998975545</v>
      </c>
    </row>
    <row r="3408">
      <c r="A3408" s="234" t="s">
        <v>4753</v>
      </c>
      <c r="B3408" s="234" t="str">
        <f>IFERROR(__xludf.DUMMYFUNCTION("""COMPUTED_VALUE"""),"LM Hub_SP_VilaGuilherme")</f>
        <v>LM Hub_SP_VilaGuilherme</v>
      </c>
      <c r="C3408" s="234" t="str">
        <f>IFERROR(__xludf.DUMMYFUNCTION("""COMPUTED_VALUE"""),"HUB-LSP-68")</f>
        <v>HUB-LSP-68</v>
      </c>
      <c r="D3408" s="234"/>
      <c r="E3408" s="237" t="str">
        <f>IFERROR(__xludf.DUMMYFUNCTION("""COMPUTED_VALUE"""),"LT0PCQ01UTCB1")</f>
        <v>LT0PCQ01UTCB1</v>
      </c>
      <c r="F3408" s="238" t="str">
        <f>IFERROR(__xludf.DUMMYFUNCTION("""COMPUTED_VALUE"""),"HFD4H27,JXG9745")</f>
        <v>HFD4H27,JXG9745</v>
      </c>
      <c r="G3408" s="238">
        <f>IFERROR(__xludf.DUMMYFUNCTION("""COMPUTED_VALUE"""),46017.93819444445)</f>
        <v>46017.93819</v>
      </c>
      <c r="H3408" s="238">
        <f>IFERROR(__xludf.DUMMYFUNCTION("""COMPUTED_VALUE"""),46018.02083333333)</f>
        <v>46018.02083</v>
      </c>
      <c r="I3408" s="237" t="str">
        <f t="shared" si="1"/>
        <v>Fora</v>
      </c>
      <c r="J3408" s="239">
        <v>120.00000001396984</v>
      </c>
    </row>
    <row r="3409">
      <c r="A3409" s="234" t="s">
        <v>4754</v>
      </c>
      <c r="B3409" s="234" t="str">
        <f>IFERROR(__xludf.DUMMYFUNCTION("""COMPUTED_VALUE"""),"LM Hub_RJ_Rio de Janeiro_Campo G")</f>
        <v>LM Hub_RJ_Rio de Janeiro_Campo G</v>
      </c>
      <c r="C3409" s="234" t="str">
        <f>IFERROR(__xludf.DUMMYFUNCTION("""COMPUTED_VALUE"""),"HUB-LRJ-04")</f>
        <v>HUB-LRJ-04</v>
      </c>
      <c r="D3409" s="234">
        <f>IFERROR(__xludf.DUMMYFUNCTION("""COMPUTED_VALUE"""),16.0)</f>
        <v>16</v>
      </c>
      <c r="E3409" s="237" t="str">
        <f>IFERROR(__xludf.DUMMYFUNCTION("""COMPUTED_VALUE"""),"LT0PCQ01UVRR1")</f>
        <v>LT0PCQ01UVRR1</v>
      </c>
      <c r="F3409" s="238" t="str">
        <f>IFERROR(__xludf.DUMMYFUNCTION("""COMPUTED_VALUE"""),"UAX1H37,TME7C19")</f>
        <v>UAX1H37,TME7C19</v>
      </c>
      <c r="G3409" s="238">
        <f>IFERROR(__xludf.DUMMYFUNCTION("""COMPUTED_VALUE"""),46017.95833333333)</f>
        <v>46017.95833</v>
      </c>
      <c r="H3409" s="238">
        <f>IFERROR(__xludf.DUMMYFUNCTION("""COMPUTED_VALUE"""),46018.04166666667)</f>
        <v>46018.04167</v>
      </c>
      <c r="I3409" s="237" t="str">
        <f t="shared" si="1"/>
        <v>Fora</v>
      </c>
      <c r="J3409" s="239">
        <v>120.00000001396984</v>
      </c>
    </row>
    <row r="3410">
      <c r="A3410" s="234" t="s">
        <v>4755</v>
      </c>
      <c r="B3410" s="234" t="str">
        <f>IFERROR(__xludf.DUMMYFUNCTION("""COMPUTED_VALUE"""),"LM Hub_RJ_São João do Meriti")</f>
        <v>LM Hub_RJ_São João do Meriti</v>
      </c>
      <c r="C3410" s="234" t="str">
        <f>IFERROR(__xludf.DUMMYFUNCTION("""COMPUTED_VALUE"""),"HUB-LRJ-01")</f>
        <v>HUB-LRJ-01</v>
      </c>
      <c r="D3410" s="234">
        <f>IFERROR(__xludf.DUMMYFUNCTION("""COMPUTED_VALUE"""),13.0)</f>
        <v>13</v>
      </c>
      <c r="E3410" s="237" t="str">
        <f>IFERROR(__xludf.DUMMYFUNCTION("""COMPUTED_VALUE"""),"LT0PCQ01UZHI1")</f>
        <v>LT0PCQ01UZHI1</v>
      </c>
      <c r="F3410" s="238" t="str">
        <f>IFERROR(__xludf.DUMMYFUNCTION("""COMPUTED_VALUE"""),"STY3A64,TAT8D53")</f>
        <v>STY3A64,TAT8D53</v>
      </c>
      <c r="G3410" s="238">
        <f>IFERROR(__xludf.DUMMYFUNCTION("""COMPUTED_VALUE"""),46017.95833333333)</f>
        <v>46017.95833</v>
      </c>
      <c r="H3410" s="238">
        <f>IFERROR(__xludf.DUMMYFUNCTION("""COMPUTED_VALUE"""),46018.04166666667)</f>
        <v>46018.04167</v>
      </c>
      <c r="I3410" s="237" t="str">
        <f t="shared" si="1"/>
        <v>Fora</v>
      </c>
      <c r="J3410" s="239">
        <v>120.00000001396984</v>
      </c>
    </row>
    <row r="3411">
      <c r="A3411" s="234" t="s">
        <v>4756</v>
      </c>
      <c r="B3411" s="234" t="str">
        <f>IFERROR(__xludf.DUMMYFUNCTION("""COMPUTED_VALUE"""),"LM Hub_SP_Jundiaí")</f>
        <v>LM Hub_SP_Jundiaí</v>
      </c>
      <c r="C3411" s="234" t="str">
        <f>IFERROR(__xludf.DUMMYFUNCTION("""COMPUTED_VALUE"""),"HUB-LSP-100")</f>
        <v>HUB-LSP-100</v>
      </c>
      <c r="D3411" s="234">
        <f>IFERROR(__xludf.DUMMYFUNCTION("""COMPUTED_VALUE"""),32.0)</f>
        <v>32</v>
      </c>
      <c r="E3411" s="237" t="str">
        <f>IFERROR(__xludf.DUMMYFUNCTION("""COMPUTED_VALUE"""),"LT0PCQ01V0191")</f>
        <v>LT0PCQ01V0191</v>
      </c>
      <c r="F3411" s="238" t="str">
        <f>IFERROR(__xludf.DUMMYFUNCTION("""COMPUTED_VALUE"""),"BVK2A99,TKB0J29")</f>
        <v>BVK2A99,TKB0J29</v>
      </c>
      <c r="G3411" s="238">
        <f>IFERROR(__xludf.DUMMYFUNCTION("""COMPUTED_VALUE"""),46017.95833333333)</f>
        <v>46017.95833</v>
      </c>
      <c r="H3411" s="238">
        <f>IFERROR(__xludf.DUMMYFUNCTION("""COMPUTED_VALUE"""),46018.04166666667)</f>
        <v>46018.04167</v>
      </c>
      <c r="I3411" s="237" t="str">
        <f t="shared" si="1"/>
        <v>Fora</v>
      </c>
      <c r="J3411" s="239">
        <v>120.00000001396984</v>
      </c>
    </row>
    <row r="3412">
      <c r="A3412" s="234" t="s">
        <v>4757</v>
      </c>
      <c r="B3412" s="234" t="str">
        <f>IFERROR(__xludf.DUMMYFUNCTION("""COMPUTED_VALUE"""),"SoC_PE_Jaboatão dos Guararapes")</f>
        <v>SoC_PE_Jaboatão dos Guararapes</v>
      </c>
      <c r="C3412" s="234" t="str">
        <f>IFERROR(__xludf.DUMMYFUNCTION("""COMPUTED_VALUE"""),"SOC-PE2")</f>
        <v>SOC-PE2</v>
      </c>
      <c r="D3412" s="234"/>
      <c r="E3412" s="237" t="str">
        <f>IFERROR(__xludf.DUMMYFUNCTION("""COMPUTED_VALUE"""),"LT1PCQ01VTXV1")</f>
        <v>LT1PCQ01VTXV1</v>
      </c>
      <c r="F3412" s="238" t="str">
        <f>IFERROR(__xludf.DUMMYFUNCTION("""COMPUTED_VALUE"""),"RDG0D48,FTY1276")</f>
        <v>RDG0D48,FTY1276</v>
      </c>
      <c r="G3412" s="238">
        <f>IFERROR(__xludf.DUMMYFUNCTION("""COMPUTED_VALUE"""),46017.95833333333)</f>
        <v>46017.95833</v>
      </c>
      <c r="H3412" s="238">
        <f>IFERROR(__xludf.DUMMYFUNCTION("""COMPUTED_VALUE"""),46018.04166666667)</f>
        <v>46018.04167</v>
      </c>
      <c r="I3412" s="237" t="str">
        <f t="shared" si="1"/>
        <v>Fora</v>
      </c>
      <c r="J3412" s="239">
        <v>119.00000001071021</v>
      </c>
    </row>
    <row r="3413">
      <c r="A3413" s="234" t="s">
        <v>4758</v>
      </c>
      <c r="B3413" s="234" t="str">
        <f>IFERROR(__xludf.DUMMYFUNCTION("""COMPUTED_VALUE"""),"LM Hub_RJ_Nova Iguaçu")</f>
        <v>LM Hub_RJ_Nova Iguaçu</v>
      </c>
      <c r="C3413" s="234" t="str">
        <f>IFERROR(__xludf.DUMMYFUNCTION("""COMPUTED_VALUE"""),"HUB-LRJ-27")</f>
        <v>HUB-LRJ-27</v>
      </c>
      <c r="D3413" s="234">
        <f>IFERROR(__xludf.DUMMYFUNCTION("""COMPUTED_VALUE"""),12.0)</f>
        <v>12</v>
      </c>
      <c r="E3413" s="237" t="str">
        <f>IFERROR(__xludf.DUMMYFUNCTION("""COMPUTED_VALUE"""),"LT0PCQ01UZGX1")</f>
        <v>LT0PCQ01UZGX1</v>
      </c>
      <c r="F3413" s="238" t="str">
        <f>IFERROR(__xludf.DUMMYFUNCTION("""COMPUTED_VALUE"""),"UAX1H48,STM4B09")</f>
        <v>UAX1H48,STM4B09</v>
      </c>
      <c r="G3413" s="238">
        <f>IFERROR(__xludf.DUMMYFUNCTION("""COMPUTED_VALUE"""),46017.959027777775)</f>
        <v>46017.95903</v>
      </c>
      <c r="H3413" s="238">
        <f>IFERROR(__xludf.DUMMYFUNCTION("""COMPUTED_VALUE"""),46018.04166666667)</f>
        <v>46018.04167</v>
      </c>
      <c r="I3413" s="237" t="str">
        <f t="shared" si="1"/>
        <v>Fora</v>
      </c>
      <c r="J3413" s="239">
        <v>119.99999999301508</v>
      </c>
    </row>
    <row r="3414">
      <c r="A3414" s="234" t="s">
        <v>4759</v>
      </c>
      <c r="B3414" s="234" t="str">
        <f>IFERROR(__xludf.DUMMYFUNCTION("""COMPUTED_VALUE"""),"LM Hub_SP_Araraquara")</f>
        <v>LM Hub_SP_Araraquara</v>
      </c>
      <c r="C3414" s="234" t="str">
        <f>IFERROR(__xludf.DUMMYFUNCTION("""COMPUTED_VALUE"""),"HUB-LSP-29")</f>
        <v>HUB-LSP-29</v>
      </c>
      <c r="D3414" s="234"/>
      <c r="E3414" s="237" t="str">
        <f>IFERROR(__xludf.DUMMYFUNCTION("""COMPUTED_VALUE"""),"LT0PCQ01UVRC1")</f>
        <v>LT0PCQ01UVRC1</v>
      </c>
      <c r="F3414" s="238" t="str">
        <f>IFERROR(__xludf.DUMMYFUNCTION("""COMPUTED_VALUE"""),"-")</f>
        <v>-</v>
      </c>
      <c r="G3414" s="238">
        <f>IFERROR(__xludf.DUMMYFUNCTION("""COMPUTED_VALUE"""),46017.97916666667)</f>
        <v>46017.97917</v>
      </c>
      <c r="H3414" s="238">
        <f>IFERROR(__xludf.DUMMYFUNCTION("""COMPUTED_VALUE"""),46018.0625)</f>
        <v>46018.0625</v>
      </c>
      <c r="I3414" s="237" t="str">
        <f t="shared" si="1"/>
        <v>Fora</v>
      </c>
      <c r="J3414" s="239">
        <v>119.99999999301508</v>
      </c>
    </row>
    <row r="3415">
      <c r="A3415" s="234" t="s">
        <v>4760</v>
      </c>
      <c r="B3415" s="234" t="str">
        <f>IFERROR(__xludf.DUMMYFUNCTION("""COMPUTED_VALUE"""),"LM Hub_SP_Atibaia_Ponte_Alta")</f>
        <v>LM Hub_SP_Atibaia_Ponte_Alta</v>
      </c>
      <c r="C3415" s="234" t="str">
        <f>IFERROR(__xludf.DUMMYFUNCTION("""COMPUTED_VALUE"""),"HUB-LSP-87")</f>
        <v>HUB-LSP-87</v>
      </c>
      <c r="D3415" s="234"/>
      <c r="E3415" s="237" t="str">
        <f>IFERROR(__xludf.DUMMYFUNCTION("""COMPUTED_VALUE"""),"LT0PCQ01UY6S2")</f>
        <v>LT0PCQ01UY6S2</v>
      </c>
      <c r="F3415" s="238" t="str">
        <f>IFERROR(__xludf.DUMMYFUNCTION("""COMPUTED_VALUE"""),"TBQ8J62,TJQ2H59")</f>
        <v>TBQ8J62,TJQ2H59</v>
      </c>
      <c r="G3415" s="238">
        <f>IFERROR(__xludf.DUMMYFUNCTION("""COMPUTED_VALUE"""),46017.97916666667)</f>
        <v>46017.97917</v>
      </c>
      <c r="H3415" s="238">
        <f>IFERROR(__xludf.DUMMYFUNCTION("""COMPUTED_VALUE"""),46018.0625)</f>
        <v>46018.0625</v>
      </c>
      <c r="I3415" s="237" t="str">
        <f t="shared" si="1"/>
        <v>Fora</v>
      </c>
      <c r="J3415" s="239">
        <v>119.99999999301508</v>
      </c>
    </row>
    <row r="3416">
      <c r="A3416" s="234" t="s">
        <v>4761</v>
      </c>
      <c r="B3416" s="234" t="str">
        <f>IFERROR(__xludf.DUMMYFUNCTION("""COMPUTED_VALUE"""),"LM Hub_SP_Atibaia_Ponte_Alta")</f>
        <v>LM Hub_SP_Atibaia_Ponte_Alta</v>
      </c>
      <c r="C3416" s="234" t="str">
        <f>IFERROR(__xludf.DUMMYFUNCTION("""COMPUTED_VALUE"""),"HUB-LSP-87")</f>
        <v>HUB-LSP-87</v>
      </c>
      <c r="D3416" s="234">
        <f>IFERROR(__xludf.DUMMYFUNCTION("""COMPUTED_VALUE"""),17.0)</f>
        <v>17</v>
      </c>
      <c r="E3416" s="237" t="str">
        <f>IFERROR(__xludf.DUMMYFUNCTION("""COMPUTED_VALUE"""),"LT0PCQ01UY6Q1")</f>
        <v>LT0PCQ01UY6Q1</v>
      </c>
      <c r="F3416" s="238" t="str">
        <f>IFERROR(__xludf.DUMMYFUNCTION("""COMPUTED_VALUE"""),"RGC7B22,TKL7J08")</f>
        <v>RGC7B22,TKL7J08</v>
      </c>
      <c r="G3416" s="238">
        <f>IFERROR(__xludf.DUMMYFUNCTION("""COMPUTED_VALUE"""),46017.97916666667)</f>
        <v>46017.97917</v>
      </c>
      <c r="H3416" s="238">
        <f>IFERROR(__xludf.DUMMYFUNCTION("""COMPUTED_VALUE"""),46018.0625)</f>
        <v>46018.0625</v>
      </c>
      <c r="I3416" s="237" t="str">
        <f t="shared" si="1"/>
        <v>Fora</v>
      </c>
      <c r="J3416" s="239">
        <v>119.99999999301508</v>
      </c>
    </row>
    <row r="3417">
      <c r="A3417" s="234" t="s">
        <v>4762</v>
      </c>
      <c r="B3417" s="234" t="str">
        <f>IFERROR(__xludf.DUMMYFUNCTION("""COMPUTED_VALUE"""),"LM Hub_SP_Várzea Paulista")</f>
        <v>LM Hub_SP_Várzea Paulista</v>
      </c>
      <c r="C3417" s="234" t="str">
        <f>IFERROR(__xludf.DUMMYFUNCTION("""COMPUTED_VALUE"""),"HUB-LSP-61")</f>
        <v>HUB-LSP-61</v>
      </c>
      <c r="D3417" s="234"/>
      <c r="E3417" s="237" t="str">
        <f>IFERROR(__xludf.DUMMYFUNCTION("""COMPUTED_VALUE"""),"LT0PCQ01UVQS2")</f>
        <v>LT0PCQ01UVQS2</v>
      </c>
      <c r="F3417" s="238" t="str">
        <f>IFERROR(__xludf.DUMMYFUNCTION("""COMPUTED_VALUE"""),"RJG8E37,FCG5D30")</f>
        <v>RJG8E37,FCG5D30</v>
      </c>
      <c r="G3417" s="238">
        <f>IFERROR(__xludf.DUMMYFUNCTION("""COMPUTED_VALUE"""),46017.97916666667)</f>
        <v>46017.97917</v>
      </c>
      <c r="H3417" s="238">
        <f>IFERROR(__xludf.DUMMYFUNCTION("""COMPUTED_VALUE"""),46018.0625)</f>
        <v>46018.0625</v>
      </c>
      <c r="I3417" s="237" t="str">
        <f t="shared" si="1"/>
        <v>Fora</v>
      </c>
      <c r="J3417" s="239">
        <v>119.99999999301508</v>
      </c>
    </row>
    <row r="3418">
      <c r="A3418" s="234" t="s">
        <v>4763</v>
      </c>
      <c r="B3418" s="234" t="str">
        <f>IFERROR(__xludf.DUMMYFUNCTION("""COMPUTED_VALUE"""),"LM Hub_SP_Várzea Paulista")</f>
        <v>LM Hub_SP_Várzea Paulista</v>
      </c>
      <c r="C3418" s="234" t="str">
        <f>IFERROR(__xludf.DUMMYFUNCTION("""COMPUTED_VALUE"""),"HUB-LSP-61")</f>
        <v>HUB-LSP-61</v>
      </c>
      <c r="D3418" s="234">
        <f>IFERROR(__xludf.DUMMYFUNCTION("""COMPUTED_VALUE"""),9.0)</f>
        <v>9</v>
      </c>
      <c r="E3418" s="237" t="str">
        <f>IFERROR(__xludf.DUMMYFUNCTION("""COMPUTED_VALUE"""),"LT0PCQ01UVQQ1")</f>
        <v>LT0PCQ01UVQQ1</v>
      </c>
      <c r="F3418" s="238" t="str">
        <f>IFERROR(__xludf.DUMMYFUNCTION("""COMPUTED_VALUE"""),"DBM1F51")</f>
        <v>DBM1F51</v>
      </c>
      <c r="G3418" s="238">
        <f>IFERROR(__xludf.DUMMYFUNCTION("""COMPUTED_VALUE"""),46017.97916666667)</f>
        <v>46017.97917</v>
      </c>
      <c r="H3418" s="238">
        <f>IFERROR(__xludf.DUMMYFUNCTION("""COMPUTED_VALUE"""),46018.0625)</f>
        <v>46018.0625</v>
      </c>
      <c r="I3418" s="237" t="str">
        <f t="shared" si="1"/>
        <v>Fora</v>
      </c>
      <c r="J3418" s="239">
        <v>479.9999999930151</v>
      </c>
    </row>
    <row r="3419">
      <c r="A3419" s="234" t="s">
        <v>499</v>
      </c>
      <c r="B3419" s="234" t="str">
        <f>IFERROR(__xludf.DUMMYFUNCTION("""COMPUTED_VALUE"""),"SoC_SP_Cravinhos")</f>
        <v>SoC_SP_Cravinhos</v>
      </c>
      <c r="C3419" s="234" t="str">
        <f>IFERROR(__xludf.DUMMYFUNCTION("""COMPUTED_VALUE"""),"SOC-SP5")</f>
        <v>SOC-SP5</v>
      </c>
      <c r="D3419" s="234">
        <f>IFERROR(__xludf.DUMMYFUNCTION("""COMPUTED_VALUE"""),95.0)</f>
        <v>95</v>
      </c>
      <c r="E3419" s="237" t="str">
        <f>IFERROR(__xludf.DUMMYFUNCTION("""COMPUTED_VALUE"""),"LT1PCQ01VTXP1")</f>
        <v>LT1PCQ01VTXP1</v>
      </c>
      <c r="F3419" s="238" t="str">
        <f>IFERROR(__xludf.DUMMYFUNCTION("""COMPUTED_VALUE"""),"FEK3A22,EWJ2318")</f>
        <v>FEK3A22,EWJ2318</v>
      </c>
      <c r="G3419" s="238">
        <f>IFERROR(__xludf.DUMMYFUNCTION("""COMPUTED_VALUE"""),46017.75)</f>
        <v>46017.75</v>
      </c>
      <c r="H3419" s="238">
        <f>IFERROR(__xludf.DUMMYFUNCTION("""COMPUTED_VALUE"""),46018.08333333333)</f>
        <v>46018.08333</v>
      </c>
      <c r="I3419" s="237" t="str">
        <f t="shared" si="1"/>
        <v>Fora</v>
      </c>
      <c r="J3419" s="239">
        <v>119.99999999301508</v>
      </c>
    </row>
    <row r="3420">
      <c r="A3420" s="234" t="s">
        <v>4764</v>
      </c>
      <c r="B3420" s="234" t="str">
        <f>IFERROR(__xludf.DUMMYFUNCTION("""COMPUTED_VALUE"""),"LM Hub_RJ_Ilha do Governador")</f>
        <v>LM Hub_RJ_Ilha do Governador</v>
      </c>
      <c r="C3420" s="234" t="str">
        <f>IFERROR(__xludf.DUMMYFUNCTION("""COMPUTED_VALUE"""),"HUB-LRJ-32")</f>
        <v>HUB-LRJ-32</v>
      </c>
      <c r="D3420" s="234">
        <f>IFERROR(__xludf.DUMMYFUNCTION("""COMPUTED_VALUE"""),13.0)</f>
        <v>13</v>
      </c>
      <c r="E3420" s="237" t="str">
        <f>IFERROR(__xludf.DUMMYFUNCTION("""COMPUTED_VALUE"""),"LT0PCR01UZH51")</f>
        <v>LT0PCR01UZH51</v>
      </c>
      <c r="F3420" s="238" t="str">
        <f>IFERROR(__xludf.DUMMYFUNCTION("""COMPUTED_VALUE"""),"ESU3H82,UDQ3B86")</f>
        <v>ESU3H82,UDQ3B86</v>
      </c>
      <c r="G3420" s="238">
        <f>IFERROR(__xludf.DUMMYFUNCTION("""COMPUTED_VALUE"""),46018.0)</f>
        <v>46018</v>
      </c>
      <c r="H3420" s="238">
        <f>IFERROR(__xludf.DUMMYFUNCTION("""COMPUTED_VALUE"""),46018.08333333333)</f>
        <v>46018.08333</v>
      </c>
      <c r="I3420" s="237" t="str">
        <f t="shared" si="1"/>
        <v>Fora</v>
      </c>
      <c r="J3420" s="239">
        <v>119.99999999301508</v>
      </c>
    </row>
    <row r="3421">
      <c r="A3421" s="234" t="s">
        <v>4765</v>
      </c>
      <c r="B3421" s="234" t="str">
        <f>IFERROR(__xludf.DUMMYFUNCTION("""COMPUTED_VALUE"""),"SoC_PE_Jaboatão dos Guararapes")</f>
        <v>SoC_PE_Jaboatão dos Guararapes</v>
      </c>
      <c r="C3421" s="234" t="str">
        <f>IFERROR(__xludf.DUMMYFUNCTION("""COMPUTED_VALUE"""),"SOC-PE2")</f>
        <v>SOC-PE2</v>
      </c>
      <c r="D3421" s="234"/>
      <c r="E3421" s="237" t="str">
        <f>IFERROR(__xludf.DUMMYFUNCTION("""COMPUTED_VALUE"""),"LT1PCR01VTP01")</f>
        <v>LT1PCR01VTP01</v>
      </c>
      <c r="F3421" s="238" t="str">
        <f>IFERROR(__xludf.DUMMYFUNCTION("""COMPUTED_VALUE"""),"MLK8E70,NYD7118")</f>
        <v>MLK8E70,NYD7118</v>
      </c>
      <c r="G3421" s="238">
        <f>IFERROR(__xludf.DUMMYFUNCTION("""COMPUTED_VALUE"""),46018.0)</f>
        <v>46018</v>
      </c>
      <c r="H3421" s="238">
        <f>IFERROR(__xludf.DUMMYFUNCTION("""COMPUTED_VALUE"""),46018.08333333333)</f>
        <v>46018.08333</v>
      </c>
      <c r="I3421" s="237" t="str">
        <f t="shared" si="1"/>
        <v>Fora</v>
      </c>
      <c r="J3421" s="239">
        <v>119.99999999301508</v>
      </c>
    </row>
    <row r="3422">
      <c r="A3422" s="234" t="s">
        <v>4766</v>
      </c>
      <c r="B3422" s="234" t="str">
        <f>IFERROR(__xludf.DUMMYFUNCTION("""COMPUTED_VALUE"""),"SoC_PR_Curitiba")</f>
        <v>SoC_PR_Curitiba</v>
      </c>
      <c r="C3422" s="234" t="str">
        <f>IFERROR(__xludf.DUMMYFUNCTION("""COMPUTED_VALUE"""),"SOC-PR1")</f>
        <v>SOC-PR1</v>
      </c>
      <c r="D3422" s="234">
        <f>IFERROR(__xludf.DUMMYFUNCTION("""COMPUTED_VALUE"""),24.0)</f>
        <v>24</v>
      </c>
      <c r="E3422" s="237" t="str">
        <f>IFERROR(__xludf.DUMMYFUNCTION("""COMPUTED_VALUE"""),"LT0PCR01UVM61")</f>
        <v>LT0PCR01UVM61</v>
      </c>
      <c r="F3422" s="238" t="str">
        <f>IFERROR(__xludf.DUMMYFUNCTION("""COMPUTED_VALUE"""),"TAO3B09,UED4G88")</f>
        <v>TAO3B09,UED4G88</v>
      </c>
      <c r="G3422" s="238">
        <f>IFERROR(__xludf.DUMMYFUNCTION("""COMPUTED_VALUE"""),46018.0)</f>
        <v>46018</v>
      </c>
      <c r="H3422" s="238">
        <f>IFERROR(__xludf.DUMMYFUNCTION("""COMPUTED_VALUE"""),46018.08333333333)</f>
        <v>46018.08333</v>
      </c>
      <c r="I3422" s="237" t="str">
        <f t="shared" si="1"/>
        <v>Fora</v>
      </c>
      <c r="J3422" s="239">
        <v>119.99999999301508</v>
      </c>
    </row>
    <row r="3423">
      <c r="A3423" s="234" t="s">
        <v>4767</v>
      </c>
      <c r="B3423" s="234" t="str">
        <f>IFERROR(__xludf.DUMMYFUNCTION("""COMPUTED_VALUE"""),"SoC_RJ_Duque de Caxias")</f>
        <v>SoC_RJ_Duque de Caxias</v>
      </c>
      <c r="C3423" s="234" t="str">
        <f>IFERROR(__xludf.DUMMYFUNCTION("""COMPUTED_VALUE"""),"SOC-RJ2")</f>
        <v>SOC-RJ2</v>
      </c>
      <c r="D3423" s="234"/>
      <c r="E3423" s="237" t="str">
        <f>IFERROR(__xludf.DUMMYFUNCTION("""COMPUTED_VALUE"""),"LT1PCR01VTOT1")</f>
        <v>LT1PCR01VTOT1</v>
      </c>
      <c r="F3423" s="238" t="str">
        <f>IFERROR(__xludf.DUMMYFUNCTION("""COMPUTED_VALUE"""),"UFV3D66,DKP0140")</f>
        <v>UFV3D66,DKP0140</v>
      </c>
      <c r="G3423" s="238">
        <f>IFERROR(__xludf.DUMMYFUNCTION("""COMPUTED_VALUE"""),46018.0)</f>
        <v>46018</v>
      </c>
      <c r="H3423" s="238">
        <f>IFERROR(__xludf.DUMMYFUNCTION("""COMPUTED_VALUE"""),46018.08333333333)</f>
        <v>46018.08333</v>
      </c>
      <c r="I3423" s="237" t="str">
        <f t="shared" si="1"/>
        <v>Fora</v>
      </c>
      <c r="J3423" s="239">
        <v>119.99999999301508</v>
      </c>
    </row>
    <row r="3424">
      <c r="A3424" s="234" t="s">
        <v>4768</v>
      </c>
      <c r="B3424" s="234" t="str">
        <f>IFERROR(__xludf.DUMMYFUNCTION("""COMPUTED_VALUE"""),"SoC_SP_Cravinhos")</f>
        <v>SoC_SP_Cravinhos</v>
      </c>
      <c r="C3424" s="234" t="str">
        <f>IFERROR(__xludf.DUMMYFUNCTION("""COMPUTED_VALUE"""),"SOC-SP5")</f>
        <v>SOC-SP5</v>
      </c>
      <c r="D3424" s="234">
        <f>IFERROR(__xludf.DUMMYFUNCTION("""COMPUTED_VALUE"""),113.0)</f>
        <v>113</v>
      </c>
      <c r="E3424" s="237" t="str">
        <f>IFERROR(__xludf.DUMMYFUNCTION("""COMPUTED_VALUE"""),"LT1PCR01VTOI1")</f>
        <v>LT1PCR01VTOI1</v>
      </c>
      <c r="F3424" s="238" t="str">
        <f>IFERROR(__xludf.DUMMYFUNCTION("""COMPUTED_VALUE"""),"CVN8H07,EJW5H60")</f>
        <v>CVN8H07,EJW5H60</v>
      </c>
      <c r="G3424" s="238">
        <f>IFERROR(__xludf.DUMMYFUNCTION("""COMPUTED_VALUE"""),46018.0)</f>
        <v>46018</v>
      </c>
      <c r="H3424" s="238">
        <f>IFERROR(__xludf.DUMMYFUNCTION("""COMPUTED_VALUE"""),46018.08333333333)</f>
        <v>46018.08333</v>
      </c>
      <c r="I3424" s="237" t="str">
        <f t="shared" si="1"/>
        <v>Fora</v>
      </c>
      <c r="J3424" s="239">
        <v>120.00000001396984</v>
      </c>
    </row>
    <row r="3425">
      <c r="A3425" s="234" t="s">
        <v>4769</v>
      </c>
      <c r="B3425" s="234" t="str">
        <f>IFERROR(__xludf.DUMMYFUNCTION("""COMPUTED_VALUE"""),"LM Hub_MG_Varginha_Fausto")</f>
        <v>LM Hub_MG_Varginha_Fausto</v>
      </c>
      <c r="C3425" s="234" t="str">
        <f>IFERROR(__xludf.DUMMYFUNCTION("""COMPUTED_VALUE"""),"HUB-LMG-45")</f>
        <v>HUB-LMG-45</v>
      </c>
      <c r="D3425" s="234">
        <f>IFERROR(__xludf.DUMMYFUNCTION("""COMPUTED_VALUE"""),8.0)</f>
        <v>8</v>
      </c>
      <c r="E3425" s="237" t="str">
        <f>IFERROR(__xludf.DUMMYFUNCTION("""COMPUTED_VALUE"""),"LT0PCR01UZ3P1")</f>
        <v>LT0PCR01UZ3P1</v>
      </c>
      <c r="F3425" s="238" t="str">
        <f>IFERROR(__xludf.DUMMYFUNCTION("""COMPUTED_VALUE"""),"ETM1F71,EML4J52")</f>
        <v>ETM1F71,EML4J52</v>
      </c>
      <c r="G3425" s="238">
        <f>IFERROR(__xludf.DUMMYFUNCTION("""COMPUTED_VALUE"""),46018.02083333333)</f>
        <v>46018.02083</v>
      </c>
      <c r="H3425" s="238">
        <f>IFERROR(__xludf.DUMMYFUNCTION("""COMPUTED_VALUE"""),46018.10416666667)</f>
        <v>46018.10417</v>
      </c>
      <c r="I3425" s="237" t="str">
        <f t="shared" si="1"/>
        <v>Fora</v>
      </c>
      <c r="J3425" s="239">
        <v>119.99999999301508</v>
      </c>
    </row>
    <row r="3426">
      <c r="A3426" s="234" t="s">
        <v>4770</v>
      </c>
      <c r="B3426" s="234" t="str">
        <f>IFERROR(__xludf.DUMMYFUNCTION("""COMPUTED_VALUE"""),"SoC_RJ_Duque de Caxias")</f>
        <v>SoC_RJ_Duque de Caxias</v>
      </c>
      <c r="C3426" s="234" t="str">
        <f>IFERROR(__xludf.DUMMYFUNCTION("""COMPUTED_VALUE"""),"SOC-RJ2")</f>
        <v>SOC-RJ2</v>
      </c>
      <c r="D3426" s="234"/>
      <c r="E3426" s="237" t="str">
        <f>IFERROR(__xludf.DUMMYFUNCTION("""COMPUTED_VALUE"""),"LT1PCR01VTOU1")</f>
        <v>LT1PCR01VTOU1</v>
      </c>
      <c r="F3426" s="238" t="str">
        <f>IFERROR(__xludf.DUMMYFUNCTION("""COMPUTED_VALUE"""),"UDG8A89,UFH2E88")</f>
        <v>UDG8A89,UFH2E88</v>
      </c>
      <c r="G3426" s="238">
        <f>IFERROR(__xludf.DUMMYFUNCTION("""COMPUTED_VALUE"""),46018.04166666667)</f>
        <v>46018.04167</v>
      </c>
      <c r="H3426" s="238">
        <f>IFERROR(__xludf.DUMMYFUNCTION("""COMPUTED_VALUE"""),46018.125)</f>
        <v>46018.125</v>
      </c>
      <c r="I3426" s="237" t="str">
        <f t="shared" si="1"/>
        <v>Fora</v>
      </c>
      <c r="J3426" s="239">
        <v>119.99999999301508</v>
      </c>
    </row>
    <row r="3427">
      <c r="A3427" s="234" t="s">
        <v>4771</v>
      </c>
      <c r="B3427" s="234" t="str">
        <f>IFERROR(__xludf.DUMMYFUNCTION("""COMPUTED_VALUE"""),"SoC_RS_Gravataí_02")</f>
        <v>SoC_RS_Gravataí_02</v>
      </c>
      <c r="C3427" s="234" t="str">
        <f>IFERROR(__xludf.DUMMYFUNCTION("""COMPUTED_VALUE"""),"SOC-RS2")</f>
        <v>SOC-RS2</v>
      </c>
      <c r="D3427" s="234"/>
      <c r="E3427" s="237" t="str">
        <f>IFERROR(__xludf.DUMMYFUNCTION("""COMPUTED_VALUE"""),"LT1PCR01VTON1")</f>
        <v>LT1PCR01VTON1</v>
      </c>
      <c r="F3427" s="238" t="str">
        <f>IFERROR(__xludf.DUMMYFUNCTION("""COMPUTED_VALUE"""),"-")</f>
        <v>-</v>
      </c>
      <c r="G3427" s="238">
        <f>IFERROR(__xludf.DUMMYFUNCTION("""COMPUTED_VALUE"""),46018.04166666667)</f>
        <v>46018.04167</v>
      </c>
      <c r="H3427" s="238">
        <f>IFERROR(__xludf.DUMMYFUNCTION("""COMPUTED_VALUE"""),46018.125)</f>
        <v>46018.125</v>
      </c>
      <c r="I3427" s="237" t="str">
        <f t="shared" si="1"/>
        <v>Fora</v>
      </c>
      <c r="J3427" s="239">
        <v>119.99999999301508</v>
      </c>
    </row>
    <row r="3428">
      <c r="A3428" s="234" t="s">
        <v>4772</v>
      </c>
      <c r="B3428" s="234" t="str">
        <f>IFERROR(__xludf.DUMMYFUNCTION("""COMPUTED_VALUE"""),"SoC_SC_Itajaí")</f>
        <v>SoC_SC_Itajaí</v>
      </c>
      <c r="C3428" s="234" t="str">
        <f>IFERROR(__xludf.DUMMYFUNCTION("""COMPUTED_VALUE"""),"SOC-SC1")</f>
        <v>SOC-SC1</v>
      </c>
      <c r="D3428" s="234">
        <f>IFERROR(__xludf.DUMMYFUNCTION("""COMPUTED_VALUE"""),100.0)</f>
        <v>100</v>
      </c>
      <c r="E3428" s="237" t="str">
        <f>IFERROR(__xludf.DUMMYFUNCTION("""COMPUTED_VALUE"""),"LT1PCR01VTOL1")</f>
        <v>LT1PCR01VTOL1</v>
      </c>
      <c r="F3428" s="238" t="str">
        <f>IFERROR(__xludf.DUMMYFUNCTION("""COMPUTED_VALUE"""),"BDP1B43,AUQ9I97")</f>
        <v>BDP1B43,AUQ9I97</v>
      </c>
      <c r="G3428" s="238">
        <f>IFERROR(__xludf.DUMMYFUNCTION("""COMPUTED_VALUE"""),46018.04166666667)</f>
        <v>46018.04167</v>
      </c>
      <c r="H3428" s="238">
        <f>IFERROR(__xludf.DUMMYFUNCTION("""COMPUTED_VALUE"""),46018.125)</f>
        <v>46018.125</v>
      </c>
      <c r="I3428" s="237" t="str">
        <f t="shared" si="1"/>
        <v>Fora</v>
      </c>
      <c r="J3428" s="239">
        <v>119.99999999301508</v>
      </c>
    </row>
    <row r="3429">
      <c r="A3429" s="234" t="s">
        <v>500</v>
      </c>
      <c r="B3429" s="234" t="str">
        <f>IFERROR(__xludf.DUMMYFUNCTION("""COMPUTED_VALUE"""),"SoC_SC_Itajaí")</f>
        <v>SoC_SC_Itajaí</v>
      </c>
      <c r="C3429" s="234" t="str">
        <f>IFERROR(__xludf.DUMMYFUNCTION("""COMPUTED_VALUE"""),"SOC-SC1")</f>
        <v>SOC-SC1</v>
      </c>
      <c r="D3429" s="234">
        <f>IFERROR(__xludf.DUMMYFUNCTION("""COMPUTED_VALUE"""),5.0)</f>
        <v>5</v>
      </c>
      <c r="E3429" s="237" t="str">
        <f>IFERROR(__xludf.DUMMYFUNCTION("""COMPUTED_VALUE"""),"LT1PCR01VTOM1")</f>
        <v>LT1PCR01VTOM1</v>
      </c>
      <c r="F3429" s="238" t="str">
        <f>IFERROR(__xludf.DUMMYFUNCTION("""COMPUTED_VALUE"""),"CUE0H25,TXE9H32")</f>
        <v>CUE0H25,TXE9H32</v>
      </c>
      <c r="G3429" s="238">
        <f>IFERROR(__xludf.DUMMYFUNCTION("""COMPUTED_VALUE"""),46018.04166666667)</f>
        <v>46018.04167</v>
      </c>
      <c r="H3429" s="238">
        <f>IFERROR(__xludf.DUMMYFUNCTION("""COMPUTED_VALUE"""),46018.125)</f>
        <v>46018.125</v>
      </c>
      <c r="I3429" s="237" t="str">
        <f t="shared" si="1"/>
        <v>Fora</v>
      </c>
      <c r="J3429" s="239">
        <v>120.00000001396984</v>
      </c>
    </row>
    <row r="3430">
      <c r="A3430" s="234" t="s">
        <v>4773</v>
      </c>
      <c r="B3430" s="234" t="str">
        <f>IFERROR(__xludf.DUMMYFUNCTION("""COMPUTED_VALUE"""),"LM Hub_SP_Tatuí")</f>
        <v>LM Hub_SP_Tatuí</v>
      </c>
      <c r="C3430" s="234" t="str">
        <f>IFERROR(__xludf.DUMMYFUNCTION("""COMPUTED_VALUE"""),"HUB-LSP-51")</f>
        <v>HUB-LSP-51</v>
      </c>
      <c r="D3430" s="234">
        <f>IFERROR(__xludf.DUMMYFUNCTION("""COMPUTED_VALUE"""),23.0)</f>
        <v>23</v>
      </c>
      <c r="E3430" s="237" t="str">
        <f>IFERROR(__xludf.DUMMYFUNCTION("""COMPUTED_VALUE"""),"LT0PCR01UVP31")</f>
        <v>LT0PCR01UVP31</v>
      </c>
      <c r="F3430" s="238" t="str">
        <f>IFERROR(__xludf.DUMMYFUNCTION("""COMPUTED_VALUE"""),"SWU9B89,RBC5B90")</f>
        <v>SWU9B89,RBC5B90</v>
      </c>
      <c r="G3430" s="238">
        <f>IFERROR(__xludf.DUMMYFUNCTION("""COMPUTED_VALUE"""),46018.08333333333)</f>
        <v>46018.08333</v>
      </c>
      <c r="H3430" s="238">
        <f>IFERROR(__xludf.DUMMYFUNCTION("""COMPUTED_VALUE"""),46018.16666666667)</f>
        <v>46018.16667</v>
      </c>
      <c r="I3430" s="237" t="str">
        <f t="shared" si="1"/>
        <v>Fora</v>
      </c>
      <c r="J3430" s="239">
        <v>120.00000001396984</v>
      </c>
    </row>
    <row r="3431">
      <c r="A3431" s="234" t="s">
        <v>501</v>
      </c>
      <c r="B3431" s="234" t="str">
        <f>IFERROR(__xludf.DUMMYFUNCTION("""COMPUTED_VALUE"""),"SoC_BA_Simoes Filho")</f>
        <v>SoC_BA_Simoes Filho</v>
      </c>
      <c r="C3431" s="234" t="str">
        <f>IFERROR(__xludf.DUMMYFUNCTION("""COMPUTED_VALUE"""),"SOC-BA2")</f>
        <v>SOC-BA2</v>
      </c>
      <c r="D3431" s="234">
        <f>IFERROR(__xludf.DUMMYFUNCTION("""COMPUTED_VALUE"""),111.0)</f>
        <v>111</v>
      </c>
      <c r="E3431" s="237" t="str">
        <f>IFERROR(__xludf.DUMMYFUNCTION("""COMPUTED_VALUE"""),"LT1PCR01VTP71")</f>
        <v>LT1PCR01VTP71</v>
      </c>
      <c r="F3431" s="238" t="str">
        <f>IFERROR(__xludf.DUMMYFUNCTION("""COMPUTED_VALUE"""),"HBN8G06,GXM8D20")</f>
        <v>HBN8G06,GXM8D20</v>
      </c>
      <c r="G3431" s="238">
        <f>IFERROR(__xludf.DUMMYFUNCTION("""COMPUTED_VALUE"""),46018.08333333333)</f>
        <v>46018.08333</v>
      </c>
      <c r="H3431" s="238">
        <f>IFERROR(__xludf.DUMMYFUNCTION("""COMPUTED_VALUE"""),46018.16666666667)</f>
        <v>46018.16667</v>
      </c>
      <c r="I3431" s="237" t="str">
        <f t="shared" si="1"/>
        <v>Fora</v>
      </c>
      <c r="J3431" s="239">
        <v>120.00000001396984</v>
      </c>
    </row>
    <row r="3432">
      <c r="A3432" s="234" t="s">
        <v>502</v>
      </c>
      <c r="B3432" s="234" t="str">
        <f>IFERROR(__xludf.DUMMYFUNCTION("""COMPUTED_VALUE"""),"SoC_RJ_Duque de Caxias")</f>
        <v>SoC_RJ_Duque de Caxias</v>
      </c>
      <c r="C3432" s="234" t="str">
        <f>IFERROR(__xludf.DUMMYFUNCTION("""COMPUTED_VALUE"""),"SOC-RJ2")</f>
        <v>SOC-RJ2</v>
      </c>
      <c r="D3432" s="234">
        <f>IFERROR(__xludf.DUMMYFUNCTION("""COMPUTED_VALUE"""),110.0)</f>
        <v>110</v>
      </c>
      <c r="E3432" s="237" t="str">
        <f>IFERROR(__xludf.DUMMYFUNCTION("""COMPUTED_VALUE"""),"LT1PCR01VTOV1")</f>
        <v>LT1PCR01VTOV1</v>
      </c>
      <c r="F3432" s="238" t="str">
        <f>IFERROR(__xludf.DUMMYFUNCTION("""COMPUTED_VALUE"""),"UFV3D66,DKP0140")</f>
        <v>UFV3D66,DKP0140</v>
      </c>
      <c r="G3432" s="238">
        <f>IFERROR(__xludf.DUMMYFUNCTION("""COMPUTED_VALUE"""),46018.08333333333)</f>
        <v>46018.08333</v>
      </c>
      <c r="H3432" s="238">
        <f>IFERROR(__xludf.DUMMYFUNCTION("""COMPUTED_VALUE"""),46018.16666666667)</f>
        <v>46018.16667</v>
      </c>
      <c r="I3432" s="237" t="str">
        <f t="shared" si="1"/>
        <v>Fora</v>
      </c>
      <c r="J3432" s="239">
        <v>119.99999999301508</v>
      </c>
    </row>
    <row r="3433">
      <c r="A3433" s="234" t="s">
        <v>4774</v>
      </c>
      <c r="B3433" s="234" t="str">
        <f>IFERROR(__xludf.DUMMYFUNCTION("""COMPUTED_VALUE"""),"LM Hub_SP_Itapetininga")</f>
        <v>LM Hub_SP_Itapetininga</v>
      </c>
      <c r="C3433" s="234" t="str">
        <f>IFERROR(__xludf.DUMMYFUNCTION("""COMPUTED_VALUE"""),"HUB-LSP-53")</f>
        <v>HUB-LSP-53</v>
      </c>
      <c r="D3433" s="234">
        <f>IFERROR(__xludf.DUMMYFUNCTION("""COMPUTED_VALUE"""),18.0)</f>
        <v>18</v>
      </c>
      <c r="E3433" s="237" t="str">
        <f>IFERROR(__xludf.DUMMYFUNCTION("""COMPUTED_VALUE"""),"LT0PCR01UVP01")</f>
        <v>LT0PCR01UVP01</v>
      </c>
      <c r="F3433" s="238" t="str">
        <f>IFERROR(__xludf.DUMMYFUNCTION("""COMPUTED_VALUE"""),"FLQ1E34")</f>
        <v>FLQ1E34</v>
      </c>
      <c r="G3433" s="238">
        <f>IFERROR(__xludf.DUMMYFUNCTION("""COMPUTED_VALUE"""),46018.10416666667)</f>
        <v>46018.10417</v>
      </c>
      <c r="H3433" s="238">
        <f>IFERROR(__xludf.DUMMYFUNCTION("""COMPUTED_VALUE"""),46018.1875)</f>
        <v>46018.1875</v>
      </c>
      <c r="I3433" s="237" t="str">
        <f t="shared" si="1"/>
        <v>Fora</v>
      </c>
      <c r="J3433" s="239">
        <v>119.99999999301508</v>
      </c>
    </row>
    <row r="3434">
      <c r="A3434" s="234" t="s">
        <v>4775</v>
      </c>
      <c r="B3434" s="234" t="str">
        <f>IFERROR(__xludf.DUMMYFUNCTION("""COMPUTED_VALUE"""),"LM Hub_SP_São Carlos")</f>
        <v>LM Hub_SP_São Carlos</v>
      </c>
      <c r="C3434" s="234" t="str">
        <f>IFERROR(__xludf.DUMMYFUNCTION("""COMPUTED_VALUE"""),"HUB-LSP-31")</f>
        <v>HUB-LSP-31</v>
      </c>
      <c r="D3434" s="234">
        <f>IFERROR(__xludf.DUMMYFUNCTION("""COMPUTED_VALUE"""),16.0)</f>
        <v>16</v>
      </c>
      <c r="E3434" s="237" t="str">
        <f>IFERROR(__xludf.DUMMYFUNCTION("""COMPUTED_VALUE"""),"LT0PCR01UVR01")</f>
        <v>LT0PCR01UVR01</v>
      </c>
      <c r="F3434" s="238" t="str">
        <f>IFERROR(__xludf.DUMMYFUNCTION("""COMPUTED_VALUE"""),"EFO6B06,MJH0C66")</f>
        <v>EFO6B06,MJH0C66</v>
      </c>
      <c r="G3434" s="238">
        <f>IFERROR(__xludf.DUMMYFUNCTION("""COMPUTED_VALUE"""),46018.10416666667)</f>
        <v>46018.10417</v>
      </c>
      <c r="H3434" s="238">
        <f>IFERROR(__xludf.DUMMYFUNCTION("""COMPUTED_VALUE"""),46018.1875)</f>
        <v>46018.1875</v>
      </c>
      <c r="I3434" s="237" t="str">
        <f t="shared" si="1"/>
        <v>Fora</v>
      </c>
      <c r="J3434" s="239">
        <v>119.99999999301508</v>
      </c>
    </row>
    <row r="3435">
      <c r="A3435" s="234" t="s">
        <v>4776</v>
      </c>
      <c r="B3435" s="234" t="str">
        <f>IFERROR(__xludf.DUMMYFUNCTION("""COMPUTED_VALUE"""),"LM Hub_SP_Itapeva")</f>
        <v>LM Hub_SP_Itapeva</v>
      </c>
      <c r="C3435" s="234" t="str">
        <f>IFERROR(__xludf.DUMMYFUNCTION("""COMPUTED_VALUE"""),"HUB-LSP-39")</f>
        <v>HUB-LSP-39</v>
      </c>
      <c r="D3435" s="234">
        <f>IFERROR(__xludf.DUMMYFUNCTION("""COMPUTED_VALUE"""),22.0)</f>
        <v>22</v>
      </c>
      <c r="E3435" s="237" t="str">
        <f>IFERROR(__xludf.DUMMYFUNCTION("""COMPUTED_VALUE"""),"LT0PCR01UVP61")</f>
        <v>LT0PCR01UVP61</v>
      </c>
      <c r="F3435" s="238" t="str">
        <f>IFERROR(__xludf.DUMMYFUNCTION("""COMPUTED_VALUE"""),"EKH3F34,FAB8G72")</f>
        <v>EKH3F34,FAB8G72</v>
      </c>
      <c r="G3435" s="238">
        <f>IFERROR(__xludf.DUMMYFUNCTION("""COMPUTED_VALUE"""),46018.125)</f>
        <v>46018.125</v>
      </c>
      <c r="H3435" s="238">
        <f>IFERROR(__xludf.DUMMYFUNCTION("""COMPUTED_VALUE"""),46018.20833333333)</f>
        <v>46018.20833</v>
      </c>
      <c r="I3435" s="237" t="str">
        <f t="shared" si="1"/>
        <v>Fora</v>
      </c>
      <c r="J3435" s="239">
        <v>119.99999999301508</v>
      </c>
    </row>
    <row r="3436">
      <c r="A3436" s="234" t="s">
        <v>4777</v>
      </c>
      <c r="B3436" s="234" t="str">
        <f>IFERROR(__xludf.DUMMYFUNCTION("""COMPUTED_VALUE"""),"LM Hub_SP_Sumaré_Nova Veneza_1")</f>
        <v>LM Hub_SP_Sumaré_Nova Veneza_1</v>
      </c>
      <c r="C3436" s="234" t="str">
        <f>IFERROR(__xludf.DUMMYFUNCTION("""COMPUTED_VALUE"""),"HUB-LSP-88")</f>
        <v>HUB-LSP-88</v>
      </c>
      <c r="D3436" s="234">
        <f>IFERROR(__xludf.DUMMYFUNCTION("""COMPUTED_VALUE"""),21.0)</f>
        <v>21</v>
      </c>
      <c r="E3436" s="237" t="str">
        <f>IFERROR(__xludf.DUMMYFUNCTION("""COMPUTED_VALUE"""),"LT0PCR01UZ1I1")</f>
        <v>LT0PCR01UZ1I1</v>
      </c>
      <c r="F3436" s="238" t="str">
        <f>IFERROR(__xludf.DUMMYFUNCTION("""COMPUTED_VALUE"""),"BHP5D68,GIJ9J09")</f>
        <v>BHP5D68,GIJ9J09</v>
      </c>
      <c r="G3436" s="238">
        <f>IFERROR(__xludf.DUMMYFUNCTION("""COMPUTED_VALUE"""),46018.125)</f>
        <v>46018.125</v>
      </c>
      <c r="H3436" s="238">
        <f>IFERROR(__xludf.DUMMYFUNCTION("""COMPUTED_VALUE"""),46018.20833333333)</f>
        <v>46018.20833</v>
      </c>
      <c r="I3436" s="237" t="str">
        <f t="shared" si="1"/>
        <v>Fora</v>
      </c>
      <c r="J3436" s="239">
        <v>119.99999999301508</v>
      </c>
    </row>
    <row r="3437">
      <c r="A3437" s="234" t="s">
        <v>4778</v>
      </c>
      <c r="B3437" s="234" t="str">
        <f>IFERROR(__xludf.DUMMYFUNCTION("""COMPUTED_VALUE"""),"SoC_BA_Simoes Filho")</f>
        <v>SoC_BA_Simoes Filho</v>
      </c>
      <c r="C3437" s="234" t="str">
        <f>IFERROR(__xludf.DUMMYFUNCTION("""COMPUTED_VALUE"""),"SOC-BA2")</f>
        <v>SOC-BA2</v>
      </c>
      <c r="D3437" s="234"/>
      <c r="E3437" s="237" t="str">
        <f>IFERROR(__xludf.DUMMYFUNCTION("""COMPUTED_VALUE"""),"LT1PCR01VTP81")</f>
        <v>LT1PCR01VTP81</v>
      </c>
      <c r="F3437" s="238" t="str">
        <f>IFERROR(__xludf.DUMMYFUNCTION("""COMPUTED_VALUE"""),"QWA8I14")</f>
        <v>QWA8I14</v>
      </c>
      <c r="G3437" s="238">
        <f>IFERROR(__xludf.DUMMYFUNCTION("""COMPUTED_VALUE"""),46018.125)</f>
        <v>46018.125</v>
      </c>
      <c r="H3437" s="238">
        <f>IFERROR(__xludf.DUMMYFUNCTION("""COMPUTED_VALUE"""),46018.20833333333)</f>
        <v>46018.20833</v>
      </c>
      <c r="I3437" s="237" t="str">
        <f t="shared" si="1"/>
        <v>Fora</v>
      </c>
      <c r="J3437" s="239">
        <v>119.99999999301508</v>
      </c>
    </row>
    <row r="3438">
      <c r="A3438" s="234" t="s">
        <v>4779</v>
      </c>
      <c r="B3438" s="234" t="str">
        <f>IFERROR(__xludf.DUMMYFUNCTION("""COMPUTED_VALUE"""),"SoC_RJ_Duque de Caxias")</f>
        <v>SoC_RJ_Duque de Caxias</v>
      </c>
      <c r="C3438" s="234" t="str">
        <f>IFERROR(__xludf.DUMMYFUNCTION("""COMPUTED_VALUE"""),"SOC-RJ2")</f>
        <v>SOC-RJ2</v>
      </c>
      <c r="D3438" s="234">
        <f>IFERROR(__xludf.DUMMYFUNCTION("""COMPUTED_VALUE"""),97.0)</f>
        <v>97</v>
      </c>
      <c r="E3438" s="237" t="str">
        <f>IFERROR(__xludf.DUMMYFUNCTION("""COMPUTED_VALUE"""),"LT1PCR01VTOW1")</f>
        <v>LT1PCR01VTOW1</v>
      </c>
      <c r="F3438" s="238" t="str">
        <f>IFERROR(__xludf.DUMMYFUNCTION("""COMPUTED_VALUE"""),"UDG8A89,UFH2E88")</f>
        <v>UDG8A89,UFH2E88</v>
      </c>
      <c r="G3438" s="238">
        <f>IFERROR(__xludf.DUMMYFUNCTION("""COMPUTED_VALUE"""),46018.125)</f>
        <v>46018.125</v>
      </c>
      <c r="H3438" s="238">
        <f>IFERROR(__xludf.DUMMYFUNCTION("""COMPUTED_VALUE"""),46018.20833333333)</f>
        <v>46018.20833</v>
      </c>
      <c r="I3438" s="237" t="str">
        <f t="shared" si="1"/>
        <v>Fora</v>
      </c>
      <c r="J3438" s="239">
        <v>119.99999999301508</v>
      </c>
    </row>
    <row r="3439">
      <c r="A3439" s="234" t="s">
        <v>4780</v>
      </c>
      <c r="B3439" s="234" t="str">
        <f>IFERROR(__xludf.DUMMYFUNCTION("""COMPUTED_VALUE"""),"SoC_RS_Gravataí_02")</f>
        <v>SoC_RS_Gravataí_02</v>
      </c>
      <c r="C3439" s="234" t="str">
        <f>IFERROR(__xludf.DUMMYFUNCTION("""COMPUTED_VALUE"""),"SOC-RS2")</f>
        <v>SOC-RS2</v>
      </c>
      <c r="D3439" s="234"/>
      <c r="E3439" s="237" t="str">
        <f>IFERROR(__xludf.DUMMYFUNCTION("""COMPUTED_VALUE"""),"LT1PCR01VTOO1")</f>
        <v>LT1PCR01VTOO1</v>
      </c>
      <c r="F3439" s="238" t="str">
        <f>IFERROR(__xludf.DUMMYFUNCTION("""COMPUTED_VALUE"""),"-")</f>
        <v>-</v>
      </c>
      <c r="G3439" s="238">
        <f>IFERROR(__xludf.DUMMYFUNCTION("""COMPUTED_VALUE"""),46018.125)</f>
        <v>46018.125</v>
      </c>
      <c r="H3439" s="238">
        <f>IFERROR(__xludf.DUMMYFUNCTION("""COMPUTED_VALUE"""),46018.20833333333)</f>
        <v>46018.20833</v>
      </c>
      <c r="I3439" s="237" t="str">
        <f t="shared" si="1"/>
        <v>Fora</v>
      </c>
      <c r="J3439" s="239">
        <v>120.00000001396984</v>
      </c>
    </row>
    <row r="3440">
      <c r="A3440" s="234" t="s">
        <v>4781</v>
      </c>
      <c r="B3440" s="234" t="str">
        <f>IFERROR(__xludf.DUMMYFUNCTION("""COMPUTED_VALUE"""),"LM Hub_SP_Campinas_São Martinho")</f>
        <v>LM Hub_SP_Campinas_São Martinho</v>
      </c>
      <c r="C3440" s="234" t="str">
        <f>IFERROR(__xludf.DUMMYFUNCTION("""COMPUTED_VALUE"""),"HUB-LSP-19")</f>
        <v>HUB-LSP-19</v>
      </c>
      <c r="D3440" s="234"/>
      <c r="E3440" s="237" t="str">
        <f>IFERROR(__xludf.DUMMYFUNCTION("""COMPUTED_VALUE"""),"LT0PCR01UVRU1")</f>
        <v>LT0PCR01UVRU1</v>
      </c>
      <c r="F3440" s="238" t="str">
        <f>IFERROR(__xludf.DUMMYFUNCTION("""COMPUTED_VALUE"""),"GCJ6G71")</f>
        <v>GCJ6G71</v>
      </c>
      <c r="G3440" s="238">
        <f>IFERROR(__xludf.DUMMYFUNCTION("""COMPUTED_VALUE"""),46018.14583333333)</f>
        <v>46018.14583</v>
      </c>
      <c r="H3440" s="238">
        <f>IFERROR(__xludf.DUMMYFUNCTION("""COMPUTED_VALUE"""),46018.22916666667)</f>
        <v>46018.22917</v>
      </c>
      <c r="I3440" s="237" t="str">
        <f t="shared" si="1"/>
        <v>Fora</v>
      </c>
      <c r="J3440" s="239">
        <v>120.00000001396984</v>
      </c>
    </row>
    <row r="3441">
      <c r="A3441" s="234" t="s">
        <v>4782</v>
      </c>
      <c r="B3441" s="234" t="str">
        <f>IFERROR(__xludf.DUMMYFUNCTION("""COMPUTED_VALUE"""),"LM Hub_SP_Mogi Mirim")</f>
        <v>LM Hub_SP_Mogi Mirim</v>
      </c>
      <c r="C3441" s="234" t="str">
        <f>IFERROR(__xludf.DUMMYFUNCTION("""COMPUTED_VALUE"""),"HUB-LSP-37")</f>
        <v>HUB-LSP-37</v>
      </c>
      <c r="D3441" s="234">
        <f>IFERROR(__xludf.DUMMYFUNCTION("""COMPUTED_VALUE"""),35.0)</f>
        <v>35</v>
      </c>
      <c r="E3441" s="237" t="str">
        <f>IFERROR(__xludf.DUMMYFUNCTION("""COMPUTED_VALUE"""),"LT0PCR01UVR71")</f>
        <v>LT0PCR01UVR71</v>
      </c>
      <c r="F3441" s="238" t="str">
        <f>IFERROR(__xludf.DUMMYFUNCTION("""COMPUTED_VALUE"""),"FEJ1E97,UEF4J87")</f>
        <v>FEJ1E97,UEF4J87</v>
      </c>
      <c r="G3441" s="238">
        <f>IFERROR(__xludf.DUMMYFUNCTION("""COMPUTED_VALUE"""),46018.14583333333)</f>
        <v>46018.14583</v>
      </c>
      <c r="H3441" s="238">
        <f>IFERROR(__xludf.DUMMYFUNCTION("""COMPUTED_VALUE"""),46018.22916666667)</f>
        <v>46018.22917</v>
      </c>
      <c r="I3441" s="237" t="str">
        <f t="shared" si="1"/>
        <v>Fora</v>
      </c>
      <c r="J3441" s="239">
        <v>120.00000001396984</v>
      </c>
    </row>
    <row r="3442">
      <c r="A3442" s="234" t="s">
        <v>4783</v>
      </c>
      <c r="B3442" s="234" t="str">
        <f>IFERROR(__xludf.DUMMYFUNCTION("""COMPUTED_VALUE"""),"LM Hub_SP_Osasco_02")</f>
        <v>LM Hub_SP_Osasco_02</v>
      </c>
      <c r="C3442" s="234" t="str">
        <f>IFERROR(__xludf.DUMMYFUNCTION("""COMPUTED_VALUE"""),"HUB-LSP-60")</f>
        <v>HUB-LSP-60</v>
      </c>
      <c r="D3442" s="234">
        <f>IFERROR(__xludf.DUMMYFUNCTION("""COMPUTED_VALUE"""),27.0)</f>
        <v>27</v>
      </c>
      <c r="E3442" s="237" t="str">
        <f>IFERROR(__xludf.DUMMYFUNCTION("""COMPUTED_VALUE"""),"LT0PCR01UWEF1")</f>
        <v>LT0PCR01UWEF1</v>
      </c>
      <c r="F3442" s="238" t="str">
        <f>IFERROR(__xludf.DUMMYFUNCTION("""COMPUTED_VALUE"""),"EGJ5D59,TKR9B83")</f>
        <v>EGJ5D59,TKR9B83</v>
      </c>
      <c r="G3442" s="238">
        <f>IFERROR(__xludf.DUMMYFUNCTION("""COMPUTED_VALUE"""),46018.14583333333)</f>
        <v>46018.14583</v>
      </c>
      <c r="H3442" s="238">
        <f>IFERROR(__xludf.DUMMYFUNCTION("""COMPUTED_VALUE"""),46018.22916666667)</f>
        <v>46018.22917</v>
      </c>
      <c r="I3442" s="237" t="str">
        <f t="shared" si="1"/>
        <v>Fora</v>
      </c>
      <c r="J3442" s="239">
        <v>120.00000001396984</v>
      </c>
    </row>
    <row r="3443">
      <c r="A3443" s="234" t="s">
        <v>503</v>
      </c>
      <c r="B3443" s="234" t="str">
        <f>IFERROR(__xludf.DUMMYFUNCTION("""COMPUTED_VALUE"""),"LM Hub_SP_Sorocaba_Região Norte")</f>
        <v>LM Hub_SP_Sorocaba_Região Norte</v>
      </c>
      <c r="C3443" s="234" t="str">
        <f>IFERROR(__xludf.DUMMYFUNCTION("""COMPUTED_VALUE"""),"HUB-LSP-10")</f>
        <v>HUB-LSP-10</v>
      </c>
      <c r="D3443" s="234">
        <f>IFERROR(__xludf.DUMMYFUNCTION("""COMPUTED_VALUE"""),25.0)</f>
        <v>25</v>
      </c>
      <c r="E3443" s="237" t="str">
        <f>IFERROR(__xludf.DUMMYFUNCTION("""COMPUTED_VALUE"""),"LT0PCR01UVQ91")</f>
        <v>LT0PCR01UVQ91</v>
      </c>
      <c r="F3443" s="238" t="str">
        <f>IFERROR(__xludf.DUMMYFUNCTION("""COMPUTED_VALUE"""),"DNU8E03,MGA6B94")</f>
        <v>DNU8E03,MGA6B94</v>
      </c>
      <c r="G3443" s="238">
        <f>IFERROR(__xludf.DUMMYFUNCTION("""COMPUTED_VALUE"""),46018.14583333333)</f>
        <v>46018.14583</v>
      </c>
      <c r="H3443" s="238">
        <f>IFERROR(__xludf.DUMMYFUNCTION("""COMPUTED_VALUE"""),46018.22916666667)</f>
        <v>46018.22917</v>
      </c>
      <c r="I3443" s="237" t="str">
        <f t="shared" si="1"/>
        <v>Fora</v>
      </c>
      <c r="J3443" s="239">
        <v>120.00000001396984</v>
      </c>
    </row>
    <row r="3444">
      <c r="A3444" s="234" t="s">
        <v>4784</v>
      </c>
      <c r="B3444" s="234" t="str">
        <f>IFERROR(__xludf.DUMMYFUNCTION("""COMPUTED_VALUE"""),"LM Hub_SP_Sorocaba_Região Norte")</f>
        <v>LM Hub_SP_Sorocaba_Região Norte</v>
      </c>
      <c r="C3444" s="234" t="str">
        <f>IFERROR(__xludf.DUMMYFUNCTION("""COMPUTED_VALUE"""),"HUB-LSP-10")</f>
        <v>HUB-LSP-10</v>
      </c>
      <c r="D3444" s="234">
        <f>IFERROR(__xludf.DUMMYFUNCTION("""COMPUTED_VALUE"""),26.0)</f>
        <v>26</v>
      </c>
      <c r="E3444" s="237" t="str">
        <f>IFERROR(__xludf.DUMMYFUNCTION("""COMPUTED_VALUE"""),"LT0PCR01UVQB2")</f>
        <v>LT0PCR01UVQB2</v>
      </c>
      <c r="F3444" s="238" t="str">
        <f>IFERROR(__xludf.DUMMYFUNCTION("""COMPUTED_VALUE"""),"CLJ7I10")</f>
        <v>CLJ7I10</v>
      </c>
      <c r="G3444" s="238">
        <f>IFERROR(__xludf.DUMMYFUNCTION("""COMPUTED_VALUE"""),46018.14583333333)</f>
        <v>46018.14583</v>
      </c>
      <c r="H3444" s="238">
        <f>IFERROR(__xludf.DUMMYFUNCTION("""COMPUTED_VALUE"""),46018.22916666667)</f>
        <v>46018.22917</v>
      </c>
      <c r="I3444" s="237" t="str">
        <f t="shared" si="1"/>
        <v>Fora</v>
      </c>
      <c r="J3444" s="239">
        <v>479.9999999930151</v>
      </c>
    </row>
    <row r="3445">
      <c r="A3445" s="234" t="s">
        <v>4785</v>
      </c>
      <c r="B3445" s="234" t="str">
        <f>IFERROR(__xludf.DUMMYFUNCTION("""COMPUTED_VALUE"""),"SoC_MG_Betim")</f>
        <v>SoC_MG_Betim</v>
      </c>
      <c r="C3445" s="234" t="str">
        <f>IFERROR(__xludf.DUMMYFUNCTION("""COMPUTED_VALUE"""),"SOC-MG2")</f>
        <v>SOC-MG2</v>
      </c>
      <c r="D3445" s="234">
        <f>IFERROR(__xludf.DUMMYFUNCTION("""COMPUTED_VALUE"""),91.0)</f>
        <v>91</v>
      </c>
      <c r="E3445" s="237" t="str">
        <f>IFERROR(__xludf.DUMMYFUNCTION("""COMPUTED_VALUE"""),"LT1PCQ01VTXT1")</f>
        <v>LT1PCQ01VTXT1</v>
      </c>
      <c r="F3445" s="238" t="str">
        <f>IFERROR(__xludf.DUMMYFUNCTION("""COMPUTED_VALUE"""),"DPS6J99,EQU1H83")</f>
        <v>DPS6J99,EQU1H83</v>
      </c>
      <c r="G3445" s="238">
        <f>IFERROR(__xludf.DUMMYFUNCTION("""COMPUTED_VALUE"""),46017.91666666667)</f>
        <v>46017.91667</v>
      </c>
      <c r="H3445" s="238">
        <f>IFERROR(__xludf.DUMMYFUNCTION("""COMPUTED_VALUE"""),46018.25)</f>
        <v>46018.25</v>
      </c>
      <c r="I3445" s="237" t="str">
        <f t="shared" si="1"/>
        <v>Fora</v>
      </c>
      <c r="J3445" s="239">
        <v>240.00000000698492</v>
      </c>
    </row>
    <row r="3446">
      <c r="A3446" s="234" t="s">
        <v>504</v>
      </c>
      <c r="B3446" s="234" t="str">
        <f>IFERROR(__xludf.DUMMYFUNCTION("""COMPUTED_VALUE"""),"SoC_MG_Betim")</f>
        <v>SoC_MG_Betim</v>
      </c>
      <c r="C3446" s="234" t="str">
        <f>IFERROR(__xludf.DUMMYFUNCTION("""COMPUTED_VALUE"""),"SOC-MG2")</f>
        <v>SOC-MG2</v>
      </c>
      <c r="D3446" s="234">
        <f>IFERROR(__xludf.DUMMYFUNCTION("""COMPUTED_VALUE"""),91.0)</f>
        <v>91</v>
      </c>
      <c r="E3446" s="237" t="str">
        <f>IFERROR(__xludf.DUMMYFUNCTION("""COMPUTED_VALUE"""),"LT1PCR01VV3A1")</f>
        <v>LT1PCR01VV3A1</v>
      </c>
      <c r="F3446" s="238" t="str">
        <f>IFERROR(__xludf.DUMMYFUNCTION("""COMPUTED_VALUE"""),"BPQ0J63,CPI5G44")</f>
        <v>BPQ0J63,CPI5G44</v>
      </c>
      <c r="G3446" s="238">
        <f>IFERROR(__xludf.DUMMYFUNCTION("""COMPUTED_VALUE"""),46018.08333333333)</f>
        <v>46018.08333</v>
      </c>
      <c r="H3446" s="238">
        <f>IFERROR(__xludf.DUMMYFUNCTION("""COMPUTED_VALUE"""),46018.25)</f>
        <v>46018.25</v>
      </c>
      <c r="I3446" s="237" t="str">
        <f t="shared" si="1"/>
        <v>Fora</v>
      </c>
      <c r="J3446" s="239">
        <v>119.99999999301508</v>
      </c>
    </row>
    <row r="3447">
      <c r="A3447" s="234" t="s">
        <v>4786</v>
      </c>
      <c r="B3447" s="234" t="str">
        <f>IFERROR(__xludf.DUMMYFUNCTION("""COMPUTED_VALUE"""),"LM Hub_SP_Guaratinguetá")</f>
        <v>LM Hub_SP_Guaratinguetá</v>
      </c>
      <c r="C3447" s="234" t="str">
        <f>IFERROR(__xludf.DUMMYFUNCTION("""COMPUTED_VALUE"""),"HUB-LSP-33")</f>
        <v>HUB-LSP-33</v>
      </c>
      <c r="D3447" s="234">
        <f>IFERROR(__xludf.DUMMYFUNCTION("""COMPUTED_VALUE"""),7.0)</f>
        <v>7</v>
      </c>
      <c r="E3447" s="237" t="str">
        <f>IFERROR(__xludf.DUMMYFUNCTION("""COMPUTED_VALUE"""),"LT0PCR01UVPQ1")</f>
        <v>LT0PCR01UVPQ1</v>
      </c>
      <c r="F3447" s="238" t="str">
        <f>IFERROR(__xludf.DUMMYFUNCTION("""COMPUTED_VALUE"""),"SWH0E90,TAX1I63")</f>
        <v>SWH0E90,TAX1I63</v>
      </c>
      <c r="G3447" s="238">
        <f>IFERROR(__xludf.DUMMYFUNCTION("""COMPUTED_VALUE"""),46018.16666666667)</f>
        <v>46018.16667</v>
      </c>
      <c r="H3447" s="238">
        <f>IFERROR(__xludf.DUMMYFUNCTION("""COMPUTED_VALUE"""),46018.25)</f>
        <v>46018.25</v>
      </c>
      <c r="I3447" s="237" t="str">
        <f t="shared" si="1"/>
        <v>Fora</v>
      </c>
      <c r="J3447" s="239">
        <v>119.99999999301508</v>
      </c>
    </row>
    <row r="3448">
      <c r="A3448" s="234" t="s">
        <v>4787</v>
      </c>
      <c r="B3448" s="234" t="str">
        <f>IFERROR(__xludf.DUMMYFUNCTION("""COMPUTED_VALUE"""),"LM Hub_SP_Limeira_Campo Belo")</f>
        <v>LM Hub_SP_Limeira_Campo Belo</v>
      </c>
      <c r="C3448" s="234" t="str">
        <f>IFERROR(__xludf.DUMMYFUNCTION("""COMPUTED_VALUE"""),"HUB-LSP-24")</f>
        <v>HUB-LSP-24</v>
      </c>
      <c r="D3448" s="234">
        <f>IFERROR(__xludf.DUMMYFUNCTION("""COMPUTED_VALUE"""),29.0)</f>
        <v>29</v>
      </c>
      <c r="E3448" s="237" t="str">
        <f>IFERROR(__xludf.DUMMYFUNCTION("""COMPUTED_VALUE"""),"LT0PCR01UVQI1")</f>
        <v>LT0PCR01UVQI1</v>
      </c>
      <c r="F3448" s="238" t="str">
        <f>IFERROR(__xludf.DUMMYFUNCTION("""COMPUTED_VALUE"""),"EKU0C05,UEX5I46")</f>
        <v>EKU0C05,UEX5I46</v>
      </c>
      <c r="G3448" s="238">
        <f>IFERROR(__xludf.DUMMYFUNCTION("""COMPUTED_VALUE"""),46018.16666666667)</f>
        <v>46018.16667</v>
      </c>
      <c r="H3448" s="238">
        <f>IFERROR(__xludf.DUMMYFUNCTION("""COMPUTED_VALUE"""),46018.25)</f>
        <v>46018.25</v>
      </c>
      <c r="I3448" s="237" t="str">
        <f t="shared" si="1"/>
        <v>Fora</v>
      </c>
      <c r="J3448" s="239">
        <v>119.99999999301508</v>
      </c>
    </row>
    <row r="3449">
      <c r="A3449" s="234" t="s">
        <v>4788</v>
      </c>
      <c r="B3449" s="234" t="str">
        <f>IFERROR(__xludf.DUMMYFUNCTION("""COMPUTED_VALUE"""),"LM Hub_SP_Registro")</f>
        <v>LM Hub_SP_Registro</v>
      </c>
      <c r="C3449" s="234" t="str">
        <f>IFERROR(__xludf.DUMMYFUNCTION("""COMPUTED_VALUE"""),"HUB-LSP-40")</f>
        <v>HUB-LSP-40</v>
      </c>
      <c r="D3449" s="234">
        <f>IFERROR(__xludf.DUMMYFUNCTION("""COMPUTED_VALUE"""),20.0)</f>
        <v>20</v>
      </c>
      <c r="E3449" s="237" t="str">
        <f>IFERROR(__xludf.DUMMYFUNCTION("""COMPUTED_VALUE"""),"LT0PCR01UVPK1")</f>
        <v>LT0PCR01UVPK1</v>
      </c>
      <c r="F3449" s="238" t="str">
        <f>IFERROR(__xludf.DUMMYFUNCTION("""COMPUTED_VALUE"""),"EKK9E13,EKK9E10")</f>
        <v>EKK9E13,EKK9E10</v>
      </c>
      <c r="G3449" s="238">
        <f>IFERROR(__xludf.DUMMYFUNCTION("""COMPUTED_VALUE"""),46018.16666666667)</f>
        <v>46018.16667</v>
      </c>
      <c r="H3449" s="238">
        <f>IFERROR(__xludf.DUMMYFUNCTION("""COMPUTED_VALUE"""),46018.25)</f>
        <v>46018.25</v>
      </c>
      <c r="I3449" s="237" t="str">
        <f t="shared" si="1"/>
        <v>Fora</v>
      </c>
      <c r="J3449" s="239">
        <v>119.99999999301508</v>
      </c>
    </row>
    <row r="3450">
      <c r="A3450" s="234" t="s">
        <v>528</v>
      </c>
      <c r="B3450" s="234" t="str">
        <f>IFERROR(__xludf.DUMMYFUNCTION("""COMPUTED_VALUE"""),"LM Hub_SP_São Bernardo do Campo")</f>
        <v>LM Hub_SP_São Bernardo do Campo</v>
      </c>
      <c r="C3450" s="234" t="str">
        <f>IFERROR(__xludf.DUMMYFUNCTION("""COMPUTED_VALUE"""),"HUB-LSP-79")</f>
        <v>HUB-LSP-79</v>
      </c>
      <c r="D3450" s="234"/>
      <c r="E3450" s="237" t="str">
        <f>IFERROR(__xludf.DUMMYFUNCTION("""COMPUTED_VALUE"""),"LT0PCR01UW2F1")</f>
        <v>LT0PCR01UW2F1</v>
      </c>
      <c r="F3450" s="238" t="str">
        <f>IFERROR(__xludf.DUMMYFUNCTION("""COMPUTED_VALUE"""),"FUF6H46,NVV7D82")</f>
        <v>FUF6H46,NVV7D82</v>
      </c>
      <c r="G3450" s="238">
        <f>IFERROR(__xludf.DUMMYFUNCTION("""COMPUTED_VALUE"""),46018.16666666667)</f>
        <v>46018.16667</v>
      </c>
      <c r="H3450" s="238">
        <f>IFERROR(__xludf.DUMMYFUNCTION("""COMPUTED_VALUE"""),46018.25)</f>
        <v>46018.25</v>
      </c>
      <c r="I3450" s="237" t="str">
        <f t="shared" si="1"/>
        <v>Fora</v>
      </c>
      <c r="J3450" s="239">
        <v>119.99999999301508</v>
      </c>
    </row>
    <row r="3451">
      <c r="A3451" s="234" t="s">
        <v>529</v>
      </c>
      <c r="B3451" s="234" t="str">
        <f>IFERROR(__xludf.DUMMYFUNCTION("""COMPUTED_VALUE"""),"LM Hub_SP_Várzea Paulista")</f>
        <v>LM Hub_SP_Várzea Paulista</v>
      </c>
      <c r="C3451" s="234" t="str">
        <f>IFERROR(__xludf.DUMMYFUNCTION("""COMPUTED_VALUE"""),"HUB-LSP-61")</f>
        <v>HUB-LSP-61</v>
      </c>
      <c r="D3451" s="234"/>
      <c r="E3451" s="237" t="str">
        <f>IFERROR(__xludf.DUMMYFUNCTION("""COMPUTED_VALUE"""),"LT0PCR01UVQP1")</f>
        <v>LT0PCR01UVQP1</v>
      </c>
      <c r="F3451" s="238" t="str">
        <f>IFERROR(__xludf.DUMMYFUNCTION("""COMPUTED_VALUE"""),"CUC6J82,CUB1E64")</f>
        <v>CUC6J82,CUB1E64</v>
      </c>
      <c r="G3451" s="238">
        <f>IFERROR(__xludf.DUMMYFUNCTION("""COMPUTED_VALUE"""),46018.16666666667)</f>
        <v>46018.16667</v>
      </c>
      <c r="H3451" s="238">
        <f>IFERROR(__xludf.DUMMYFUNCTION("""COMPUTED_VALUE"""),46018.25)</f>
        <v>46018.25</v>
      </c>
      <c r="I3451" s="237" t="str">
        <f t="shared" si="1"/>
        <v>Fora</v>
      </c>
      <c r="J3451" s="239">
        <v>119.99999999301508</v>
      </c>
    </row>
    <row r="3452">
      <c r="A3452" s="234" t="s">
        <v>505</v>
      </c>
      <c r="B3452" s="234" t="str">
        <f>IFERROR(__xludf.DUMMYFUNCTION("""COMPUTED_VALUE"""),"SoC_PR_Curitiba")</f>
        <v>SoC_PR_Curitiba</v>
      </c>
      <c r="C3452" s="234" t="str">
        <f>IFERROR(__xludf.DUMMYFUNCTION("""COMPUTED_VALUE"""),"SOC-PR1")</f>
        <v>SOC-PR1</v>
      </c>
      <c r="D3452" s="234">
        <f>IFERROR(__xludf.DUMMYFUNCTION("""COMPUTED_VALUE"""),6.0)</f>
        <v>6</v>
      </c>
      <c r="E3452" s="237" t="str">
        <f>IFERROR(__xludf.DUMMYFUNCTION("""COMPUTED_VALUE"""),"LT0PCR01UVM91")</f>
        <v>LT0PCR01UVM91</v>
      </c>
      <c r="F3452" s="238" t="str">
        <f>IFERROR(__xludf.DUMMYFUNCTION("""COMPUTED_VALUE"""),"CUC1I14,BEY5C17")</f>
        <v>CUC1I14,BEY5C17</v>
      </c>
      <c r="G3452" s="238">
        <f>IFERROR(__xludf.DUMMYFUNCTION("""COMPUTED_VALUE"""),46018.16666666667)</f>
        <v>46018.16667</v>
      </c>
      <c r="H3452" s="238">
        <f>IFERROR(__xludf.DUMMYFUNCTION("""COMPUTED_VALUE"""),46018.25)</f>
        <v>46018.25</v>
      </c>
      <c r="I3452" s="237" t="str">
        <f t="shared" si="1"/>
        <v>Fora</v>
      </c>
      <c r="J3452" s="239">
        <v>119.99999999301508</v>
      </c>
    </row>
    <row r="3453">
      <c r="A3453" s="234" t="s">
        <v>507</v>
      </c>
      <c r="B3453" s="234" t="str">
        <f>IFERROR(__xludf.DUMMYFUNCTION("""COMPUTED_VALUE"""),"LM Hub_SP_Atibaia_Ponte_Alta")</f>
        <v>LM Hub_SP_Atibaia_Ponte_Alta</v>
      </c>
      <c r="C3453" s="234" t="str">
        <f>IFERROR(__xludf.DUMMYFUNCTION("""COMPUTED_VALUE"""),"HUB-LSP-87")</f>
        <v>HUB-LSP-87</v>
      </c>
      <c r="D3453" s="234">
        <f>IFERROR(__xludf.DUMMYFUNCTION("""COMPUTED_VALUE"""),14.0)</f>
        <v>14</v>
      </c>
      <c r="E3453" s="237" t="str">
        <f>IFERROR(__xludf.DUMMYFUNCTION("""COMPUTED_VALUE"""),"LT0PCR01UY6P1")</f>
        <v>LT0PCR01UY6P1</v>
      </c>
      <c r="F3453" s="238" t="str">
        <f>IFERROR(__xludf.DUMMYFUNCTION("""COMPUTED_VALUE"""),"CUF0G72,TKU7B09")</f>
        <v>CUF0G72,TKU7B09</v>
      </c>
      <c r="G3453" s="238">
        <f>IFERROR(__xludf.DUMMYFUNCTION("""COMPUTED_VALUE"""),46018.1875)</f>
        <v>46018.1875</v>
      </c>
      <c r="H3453" s="238">
        <f>IFERROR(__xludf.DUMMYFUNCTION("""COMPUTED_VALUE"""),46018.27083333333)</f>
        <v>46018.27083</v>
      </c>
      <c r="I3453" s="237" t="str">
        <f t="shared" si="1"/>
        <v>Fora</v>
      </c>
      <c r="J3453" s="239">
        <v>119.99999999301508</v>
      </c>
    </row>
    <row r="3454">
      <c r="A3454" s="234" t="s">
        <v>509</v>
      </c>
      <c r="B3454" s="234" t="str">
        <f>IFERROR(__xludf.DUMMYFUNCTION("""COMPUTED_VALUE"""),"LM Hub_SP_Embu das Artes")</f>
        <v>LM Hub_SP_Embu das Artes</v>
      </c>
      <c r="C3454" s="234" t="str">
        <f>IFERROR(__xludf.DUMMYFUNCTION("""COMPUTED_VALUE"""),"HUB-LSP-36")</f>
        <v>HUB-LSP-36</v>
      </c>
      <c r="D3454" s="234">
        <f>IFERROR(__xludf.DUMMYFUNCTION("""COMPUTED_VALUE"""),9.0)</f>
        <v>9</v>
      </c>
      <c r="E3454" s="237" t="str">
        <f>IFERROR(__xludf.DUMMYFUNCTION("""COMPUTED_VALUE"""),"LT0PCR01UWF61")</f>
        <v>LT0PCR01UWF61</v>
      </c>
      <c r="F3454" s="238" t="str">
        <f>IFERROR(__xludf.DUMMYFUNCTION("""COMPUTED_VALUE"""),"SUQ5C99,TLD5B82")</f>
        <v>SUQ5C99,TLD5B82</v>
      </c>
      <c r="G3454" s="238">
        <f>IFERROR(__xludf.DUMMYFUNCTION("""COMPUTED_VALUE"""),46018.1875)</f>
        <v>46018.1875</v>
      </c>
      <c r="H3454" s="238">
        <f>IFERROR(__xludf.DUMMYFUNCTION("""COMPUTED_VALUE"""),46018.27083333333)</f>
        <v>46018.27083</v>
      </c>
      <c r="I3454" s="237" t="str">
        <f t="shared" si="1"/>
        <v>Fora</v>
      </c>
      <c r="J3454" s="239">
        <v>119.99999999301508</v>
      </c>
    </row>
    <row r="3455">
      <c r="A3455" s="234" t="s">
        <v>530</v>
      </c>
      <c r="B3455" s="234" t="str">
        <f>IFERROR(__xludf.DUMMYFUNCTION("""COMPUTED_VALUE"""),"LM Hub_SP_Taubaté")</f>
        <v>LM Hub_SP_Taubaté</v>
      </c>
      <c r="C3455" s="234" t="str">
        <f>IFERROR(__xludf.DUMMYFUNCTION("""COMPUTED_VALUE"""),"HUB-LSP-08")</f>
        <v>HUB-LSP-08</v>
      </c>
      <c r="D3455" s="234"/>
      <c r="E3455" s="237" t="str">
        <f>IFERROR(__xludf.DUMMYFUNCTION("""COMPUTED_VALUE"""),"LT0PCR01UVPY1")</f>
        <v>LT0PCR01UVPY1</v>
      </c>
      <c r="F3455" s="238" t="str">
        <f>IFERROR(__xludf.DUMMYFUNCTION("""COMPUTED_VALUE"""),"BKU9G23,TKD3E65")</f>
        <v>BKU9G23,TKD3E65</v>
      </c>
      <c r="G3455" s="238">
        <f>IFERROR(__xludf.DUMMYFUNCTION("""COMPUTED_VALUE"""),46018.1875)</f>
        <v>46018.1875</v>
      </c>
      <c r="H3455" s="238">
        <f>IFERROR(__xludf.DUMMYFUNCTION("""COMPUTED_VALUE"""),46018.27083333333)</f>
        <v>46018.27083</v>
      </c>
      <c r="I3455" s="237" t="str">
        <f t="shared" si="1"/>
        <v>Fora</v>
      </c>
      <c r="J3455" s="239">
        <v>540.0</v>
      </c>
    </row>
    <row r="3456">
      <c r="A3456" s="234" t="s">
        <v>510</v>
      </c>
      <c r="B3456" s="234" t="str">
        <f>IFERROR(__xludf.DUMMYFUNCTION("""COMPUTED_VALUE"""),"SoC_BA_Simoes Filho")</f>
        <v>SoC_BA_Simoes Filho</v>
      </c>
      <c r="C3456" s="234" t="str">
        <f>IFERROR(__xludf.DUMMYFUNCTION("""COMPUTED_VALUE"""),"SOC-BA2")</f>
        <v>SOC-BA2</v>
      </c>
      <c r="D3456" s="234">
        <f>IFERROR(__xludf.DUMMYFUNCTION("""COMPUTED_VALUE"""),89.0)</f>
        <v>89</v>
      </c>
      <c r="E3456" s="237" t="str">
        <f>IFERROR(__xludf.DUMMYFUNCTION("""COMPUTED_VALUE"""),"LT0PCQ01UZC71")</f>
        <v>LT0PCQ01UZC71</v>
      </c>
      <c r="F3456" s="238" t="str">
        <f>IFERROR(__xludf.DUMMYFUNCTION("""COMPUTED_VALUE"""),"DTD3005,ELQ0756")</f>
        <v>DTD3005,ELQ0756</v>
      </c>
      <c r="G3456" s="238">
        <f>IFERROR(__xludf.DUMMYFUNCTION("""COMPUTED_VALUE"""),46017.91666666667)</f>
        <v>46017.91667</v>
      </c>
      <c r="H3456" s="238">
        <f>IFERROR(__xludf.DUMMYFUNCTION("""COMPUTED_VALUE"""),46018.29166666667)</f>
        <v>46018.29167</v>
      </c>
      <c r="I3456" s="237" t="str">
        <f t="shared" si="1"/>
        <v>Fora</v>
      </c>
      <c r="J3456" s="239">
        <v>540.0</v>
      </c>
    </row>
    <row r="3457">
      <c r="A3457" s="234" t="s">
        <v>511</v>
      </c>
      <c r="B3457" s="234" t="str">
        <f>IFERROR(__xludf.DUMMYFUNCTION("""COMPUTED_VALUE"""),"SoC_BA_Simoes Filho")</f>
        <v>SoC_BA_Simoes Filho</v>
      </c>
      <c r="C3457" s="234" t="str">
        <f>IFERROR(__xludf.DUMMYFUNCTION("""COMPUTED_VALUE"""),"SOC-BA2")</f>
        <v>SOC-BA2</v>
      </c>
      <c r="D3457" s="234">
        <f>IFERROR(__xludf.DUMMYFUNCTION("""COMPUTED_VALUE"""),88.0)</f>
        <v>88</v>
      </c>
      <c r="E3457" s="237" t="str">
        <f>IFERROR(__xludf.DUMMYFUNCTION("""COMPUTED_VALUE"""),"LT0PCQ01UZC92")</f>
        <v>LT0PCQ01UZC92</v>
      </c>
      <c r="F3457" s="238" t="str">
        <f>IFERROR(__xludf.DUMMYFUNCTION("""COMPUTED_VALUE"""),"FTA0J91,HNY1H42")</f>
        <v>FTA0J91,HNY1H42</v>
      </c>
      <c r="G3457" s="238">
        <f>IFERROR(__xludf.DUMMYFUNCTION("""COMPUTED_VALUE"""),46017.91666666667)</f>
        <v>46017.91667</v>
      </c>
      <c r="H3457" s="238">
        <f>IFERROR(__xludf.DUMMYFUNCTION("""COMPUTED_VALUE"""),46018.29166666667)</f>
        <v>46018.29167</v>
      </c>
      <c r="I3457" s="237" t="str">
        <f t="shared" si="1"/>
        <v>Fora</v>
      </c>
      <c r="J3457" s="239">
        <v>540.0</v>
      </c>
    </row>
    <row r="3458">
      <c r="A3458" s="234" t="s">
        <v>4789</v>
      </c>
      <c r="B3458" s="234" t="str">
        <f>IFERROR(__xludf.DUMMYFUNCTION("""COMPUTED_VALUE"""),"SoC_MG_Betim")</f>
        <v>SoC_MG_Betim</v>
      </c>
      <c r="C3458" s="234" t="str">
        <f>IFERROR(__xludf.DUMMYFUNCTION("""COMPUTED_VALUE"""),"SOC-MG2")</f>
        <v>SOC-MG2</v>
      </c>
      <c r="D3458" s="234">
        <f>IFERROR(__xludf.DUMMYFUNCTION("""COMPUTED_VALUE"""),90.0)</f>
        <v>90</v>
      </c>
      <c r="E3458" s="237" t="str">
        <f>IFERROR(__xludf.DUMMYFUNCTION("""COMPUTED_VALUE"""),"LT0PCQ01UVM21")</f>
        <v>LT0PCQ01UVM21</v>
      </c>
      <c r="F3458" s="238" t="str">
        <f>IFERROR(__xludf.DUMMYFUNCTION("""COMPUTED_VALUE"""),"UDW5E79,TLL6F35")</f>
        <v>UDW5E79,TLL6F35</v>
      </c>
      <c r="G3458" s="238">
        <f>IFERROR(__xludf.DUMMYFUNCTION("""COMPUTED_VALUE"""),46017.91666666667)</f>
        <v>46017.91667</v>
      </c>
      <c r="H3458" s="238">
        <f>IFERROR(__xludf.DUMMYFUNCTION("""COMPUTED_VALUE"""),46018.29166666667)</f>
        <v>46018.29167</v>
      </c>
      <c r="I3458" s="237" t="str">
        <f t="shared" si="1"/>
        <v>Fora</v>
      </c>
      <c r="J3458" s="239">
        <v>540.0</v>
      </c>
    </row>
    <row r="3459">
      <c r="A3459" s="234" t="s">
        <v>532</v>
      </c>
      <c r="B3459" s="234" t="str">
        <f>IFERROR(__xludf.DUMMYFUNCTION("""COMPUTED_VALUE"""),"SoC_MG_Betim")</f>
        <v>SoC_MG_Betim</v>
      </c>
      <c r="C3459" s="234" t="str">
        <f>IFERROR(__xludf.DUMMYFUNCTION("""COMPUTED_VALUE"""),"SOC-MG2")</f>
        <v>SOC-MG2</v>
      </c>
      <c r="D3459" s="234"/>
      <c r="E3459" s="237" t="str">
        <f>IFERROR(__xludf.DUMMYFUNCTION("""COMPUTED_VALUE"""),"LT0PCQ01UVM32")</f>
        <v>LT0PCQ01UVM32</v>
      </c>
      <c r="F3459" s="238" t="str">
        <f>IFERROR(__xludf.DUMMYFUNCTION("""COMPUTED_VALUE"""),"FLN0H65,FTJ9A92")</f>
        <v>FLN0H65,FTJ9A92</v>
      </c>
      <c r="G3459" s="238">
        <f>IFERROR(__xludf.DUMMYFUNCTION("""COMPUTED_VALUE"""),46017.91666666667)</f>
        <v>46017.91667</v>
      </c>
      <c r="H3459" s="238">
        <f>IFERROR(__xludf.DUMMYFUNCTION("""COMPUTED_VALUE"""),46018.29166666667)</f>
        <v>46018.29167</v>
      </c>
      <c r="I3459" s="237" t="str">
        <f t="shared" si="1"/>
        <v>Fora</v>
      </c>
      <c r="J3459" s="239">
        <v>540.0</v>
      </c>
    </row>
    <row r="3460">
      <c r="A3460" s="234" t="s">
        <v>512</v>
      </c>
      <c r="B3460" s="234" t="str">
        <f>IFERROR(__xludf.DUMMYFUNCTION("""COMPUTED_VALUE"""),"SoC_PE_Jaboatão dos Guararapes")</f>
        <v>SoC_PE_Jaboatão dos Guararapes</v>
      </c>
      <c r="C3460" s="234" t="str">
        <f>IFERROR(__xludf.DUMMYFUNCTION("""COMPUTED_VALUE"""),"SOC-PE2")</f>
        <v>SOC-PE2</v>
      </c>
      <c r="D3460" s="234">
        <f>IFERROR(__xludf.DUMMYFUNCTION("""COMPUTED_VALUE"""),98.0)</f>
        <v>98</v>
      </c>
      <c r="E3460" s="237" t="str">
        <f>IFERROR(__xludf.DUMMYFUNCTION("""COMPUTED_VALUE"""),"LT0PCQ01UZA82")</f>
        <v>LT0PCQ01UZA82</v>
      </c>
      <c r="F3460" s="238" t="str">
        <f>IFERROR(__xludf.DUMMYFUNCTION("""COMPUTED_VALUE"""),"KHT1D81,KKC6J04")</f>
        <v>KHT1D81,KKC6J04</v>
      </c>
      <c r="G3460" s="238">
        <f>IFERROR(__xludf.DUMMYFUNCTION("""COMPUTED_VALUE"""),46017.91666666667)</f>
        <v>46017.91667</v>
      </c>
      <c r="H3460" s="238">
        <f>IFERROR(__xludf.DUMMYFUNCTION("""COMPUTED_VALUE"""),46018.29166666667)</f>
        <v>46018.29167</v>
      </c>
      <c r="I3460" s="237" t="str">
        <f t="shared" si="1"/>
        <v>Fora</v>
      </c>
      <c r="J3460" s="239">
        <v>540.0</v>
      </c>
    </row>
    <row r="3461">
      <c r="A3461" s="234" t="s">
        <v>534</v>
      </c>
      <c r="B3461" s="234" t="str">
        <f>IFERROR(__xludf.DUMMYFUNCTION("""COMPUTED_VALUE"""),"SoC_PE_Jaboatão dos Guararapes")</f>
        <v>SoC_PE_Jaboatão dos Guararapes</v>
      </c>
      <c r="C3461" s="234" t="str">
        <f>IFERROR(__xludf.DUMMYFUNCTION("""COMPUTED_VALUE"""),"SOC-PE2")</f>
        <v>SOC-PE2</v>
      </c>
      <c r="D3461" s="234"/>
      <c r="E3461" s="237" t="str">
        <f>IFERROR(__xludf.DUMMYFUNCTION("""COMPUTED_VALUE"""),"LT0PCQ01UZAA3")</f>
        <v>LT0PCQ01UZAA3</v>
      </c>
      <c r="F3461" s="238" t="str">
        <f>IFERROR(__xludf.DUMMYFUNCTION("""COMPUTED_VALUE"""),"CUD4A24,FPG9I38")</f>
        <v>CUD4A24,FPG9I38</v>
      </c>
      <c r="G3461" s="238">
        <f>IFERROR(__xludf.DUMMYFUNCTION("""COMPUTED_VALUE"""),46017.91666666667)</f>
        <v>46017.91667</v>
      </c>
      <c r="H3461" s="238">
        <f>IFERROR(__xludf.DUMMYFUNCTION("""COMPUTED_VALUE"""),46018.29166666667)</f>
        <v>46018.29167</v>
      </c>
      <c r="I3461" s="237" t="str">
        <f t="shared" si="1"/>
        <v>Fora</v>
      </c>
      <c r="J3461" s="239">
        <v>540.0</v>
      </c>
    </row>
    <row r="3462">
      <c r="A3462" s="234" t="s">
        <v>513</v>
      </c>
      <c r="B3462" s="234" t="str">
        <f>IFERROR(__xludf.DUMMYFUNCTION("""COMPUTED_VALUE"""),"SoC_RJ_Duque de Caxias")</f>
        <v>SoC_RJ_Duque de Caxias</v>
      </c>
      <c r="C3462" s="234" t="str">
        <f>IFERROR(__xludf.DUMMYFUNCTION("""COMPUTED_VALUE"""),"SOC-RJ2")</f>
        <v>SOC-RJ2</v>
      </c>
      <c r="D3462" s="234">
        <f>IFERROR(__xludf.DUMMYFUNCTION("""COMPUTED_VALUE"""),97.0)</f>
        <v>97</v>
      </c>
      <c r="E3462" s="237" t="str">
        <f>IFERROR(__xludf.DUMMYFUNCTION("""COMPUTED_VALUE"""),"LT0PCQ01UTM02")</f>
        <v>LT0PCQ01UTM02</v>
      </c>
      <c r="F3462" s="238" t="str">
        <f>IFERROR(__xludf.DUMMYFUNCTION("""COMPUTED_VALUE"""),"HBZ5F88,KPW6C08")</f>
        <v>HBZ5F88,KPW6C08</v>
      </c>
      <c r="G3462" s="238">
        <f>IFERROR(__xludf.DUMMYFUNCTION("""COMPUTED_VALUE"""),46017.91666666667)</f>
        <v>46017.91667</v>
      </c>
      <c r="H3462" s="238">
        <f>IFERROR(__xludf.DUMMYFUNCTION("""COMPUTED_VALUE"""),46018.29166666667)</f>
        <v>46018.29167</v>
      </c>
      <c r="I3462" s="237" t="str">
        <f t="shared" si="1"/>
        <v>Fora</v>
      </c>
      <c r="J3462" s="239">
        <v>540.0</v>
      </c>
    </row>
    <row r="3463">
      <c r="A3463" s="234" t="s">
        <v>514</v>
      </c>
      <c r="B3463" s="234" t="str">
        <f>IFERROR(__xludf.DUMMYFUNCTION("""COMPUTED_VALUE"""),"SoC_SC_Itajaí")</f>
        <v>SoC_SC_Itajaí</v>
      </c>
      <c r="C3463" s="234" t="str">
        <f>IFERROR(__xludf.DUMMYFUNCTION("""COMPUTED_VALUE"""),"SOC-SC1")</f>
        <v>SOC-SC1</v>
      </c>
      <c r="D3463" s="234">
        <f>IFERROR(__xludf.DUMMYFUNCTION("""COMPUTED_VALUE"""),100.0)</f>
        <v>100</v>
      </c>
      <c r="E3463" s="237" t="str">
        <f>IFERROR(__xludf.DUMMYFUNCTION("""COMPUTED_VALUE"""),"LT0PCQ01UYNO1")</f>
        <v>LT0PCQ01UYNO1</v>
      </c>
      <c r="F3463" s="238" t="str">
        <f>IFERROR(__xludf.DUMMYFUNCTION("""COMPUTED_VALUE"""),"RAF2D89,RLI1G86")</f>
        <v>RAF2D89,RLI1G86</v>
      </c>
      <c r="G3463" s="238">
        <f>IFERROR(__xludf.DUMMYFUNCTION("""COMPUTED_VALUE"""),46017.91666666667)</f>
        <v>46017.91667</v>
      </c>
      <c r="H3463" s="238">
        <f>IFERROR(__xludf.DUMMYFUNCTION("""COMPUTED_VALUE"""),46018.29166666667)</f>
        <v>46018.29167</v>
      </c>
      <c r="I3463" s="237" t="str">
        <f t="shared" si="1"/>
        <v>Fora</v>
      </c>
      <c r="J3463" s="239">
        <v>539.0000000072177</v>
      </c>
    </row>
    <row r="3464">
      <c r="A3464" s="234" t="s">
        <v>515</v>
      </c>
      <c r="B3464" s="234" t="str">
        <f>IFERROR(__xludf.DUMMYFUNCTION("""COMPUTED_VALUE"""),"SoC_RS_Gravataí_02")</f>
        <v>SoC_RS_Gravataí_02</v>
      </c>
      <c r="C3464" s="234" t="str">
        <f>IFERROR(__xludf.DUMMYFUNCTION("""COMPUTED_VALUE"""),"SOC-RS2")</f>
        <v>SOC-RS2</v>
      </c>
      <c r="D3464" s="234">
        <f>IFERROR(__xludf.DUMMYFUNCTION("""COMPUTED_VALUE"""),17.0)</f>
        <v>17</v>
      </c>
      <c r="E3464" s="237" t="str">
        <f>IFERROR(__xludf.DUMMYFUNCTION("""COMPUTED_VALUE"""),"LT0PCQ01UZKE1")</f>
        <v>LT0PCQ01UZKE1</v>
      </c>
      <c r="F3464" s="238" t="str">
        <f>IFERROR(__xludf.DUMMYFUNCTION("""COMPUTED_VALUE"""),"EZU3H00,OMV5H28")</f>
        <v>EZU3H00,OMV5H28</v>
      </c>
      <c r="G3464" s="238">
        <f>IFERROR(__xludf.DUMMYFUNCTION("""COMPUTED_VALUE"""),46017.91736111111)</f>
        <v>46017.91736</v>
      </c>
      <c r="H3464" s="238">
        <f>IFERROR(__xludf.DUMMYFUNCTION("""COMPUTED_VALUE"""),46018.29166666667)</f>
        <v>46018.29167</v>
      </c>
      <c r="I3464" s="237" t="str">
        <f t="shared" si="1"/>
        <v>Fora</v>
      </c>
      <c r="J3464" s="239">
        <v>539.0000000072177</v>
      </c>
    </row>
    <row r="3465">
      <c r="A3465" s="234" t="s">
        <v>517</v>
      </c>
      <c r="B3465" s="234" t="str">
        <f>IFERROR(__xludf.DUMMYFUNCTION("""COMPUTED_VALUE"""),"SoC_RS_Gravataí_02")</f>
        <v>SoC_RS_Gravataí_02</v>
      </c>
      <c r="C3465" s="234" t="str">
        <f>IFERROR(__xludf.DUMMYFUNCTION("""COMPUTED_VALUE"""),"SOC-RS2")</f>
        <v>SOC-RS2</v>
      </c>
      <c r="D3465" s="234">
        <f>IFERROR(__xludf.DUMMYFUNCTION("""COMPUTED_VALUE"""),102.0)</f>
        <v>102</v>
      </c>
      <c r="E3465" s="237" t="str">
        <f>IFERROR(__xludf.DUMMYFUNCTION("""COMPUTED_VALUE"""),"LT0PCQ01UZKG2")</f>
        <v>LT0PCQ01UZKG2</v>
      </c>
      <c r="F3465" s="238" t="str">
        <f>IFERROR(__xludf.DUMMYFUNCTION("""COMPUTED_VALUE"""),"IYJ0E00,JDF8F14")</f>
        <v>IYJ0E00,JDF8F14</v>
      </c>
      <c r="G3465" s="238">
        <f>IFERROR(__xludf.DUMMYFUNCTION("""COMPUTED_VALUE"""),46017.91736111111)</f>
        <v>46017.91736</v>
      </c>
      <c r="H3465" s="238">
        <f>IFERROR(__xludf.DUMMYFUNCTION("""COMPUTED_VALUE"""),46018.29166666667)</f>
        <v>46018.29167</v>
      </c>
      <c r="I3465" s="237" t="str">
        <f t="shared" si="1"/>
        <v>Fora</v>
      </c>
      <c r="J3465" s="239">
        <v>539.0000000072177</v>
      </c>
    </row>
    <row r="3466">
      <c r="A3466" s="234" t="s">
        <v>4790</v>
      </c>
      <c r="B3466" s="234" t="str">
        <f>IFERROR(__xludf.DUMMYFUNCTION("""COMPUTED_VALUE"""),"SoC_SP_Cravinhos")</f>
        <v>SoC_SP_Cravinhos</v>
      </c>
      <c r="C3466" s="234" t="str">
        <f>IFERROR(__xludf.DUMMYFUNCTION("""COMPUTED_VALUE"""),"SOC-SP5")</f>
        <v>SOC-SP5</v>
      </c>
      <c r="D3466" s="234">
        <f>IFERROR(__xludf.DUMMYFUNCTION("""COMPUTED_VALUE"""),94.0)</f>
        <v>94</v>
      </c>
      <c r="E3466" s="237" t="str">
        <f>IFERROR(__xludf.DUMMYFUNCTION("""COMPUTED_VALUE"""),"LT0PCQ01UVN31")</f>
        <v>LT0PCQ01UVN31</v>
      </c>
      <c r="F3466" s="238" t="str">
        <f>IFERROR(__xludf.DUMMYFUNCTION("""COMPUTED_VALUE"""),"EPU5C78,TIV0I78")</f>
        <v>EPU5C78,TIV0I78</v>
      </c>
      <c r="G3466" s="238">
        <f>IFERROR(__xludf.DUMMYFUNCTION("""COMPUTED_VALUE"""),46017.91736111111)</f>
        <v>46017.91736</v>
      </c>
      <c r="H3466" s="238">
        <f>IFERROR(__xludf.DUMMYFUNCTION("""COMPUTED_VALUE"""),46018.29166666667)</f>
        <v>46018.29167</v>
      </c>
      <c r="I3466" s="237" t="str">
        <f t="shared" si="1"/>
        <v>Fora</v>
      </c>
      <c r="J3466" s="239">
        <v>539.0000000072177</v>
      </c>
    </row>
    <row r="3467">
      <c r="A3467" s="234" t="s">
        <v>4791</v>
      </c>
      <c r="B3467" s="234" t="str">
        <f>IFERROR(__xludf.DUMMYFUNCTION("""COMPUTED_VALUE"""),"SoC_SP_Cravinhos")</f>
        <v>SoC_SP_Cravinhos</v>
      </c>
      <c r="C3467" s="234" t="str">
        <f>IFERROR(__xludf.DUMMYFUNCTION("""COMPUTED_VALUE"""),"SOC-SP5")</f>
        <v>SOC-SP5</v>
      </c>
      <c r="D3467" s="234">
        <f>IFERROR(__xludf.DUMMYFUNCTION("""COMPUTED_VALUE"""),94.0)</f>
        <v>94</v>
      </c>
      <c r="E3467" s="237" t="str">
        <f>IFERROR(__xludf.DUMMYFUNCTION("""COMPUTED_VALUE"""),"LT0PCQ01UVN52")</f>
        <v>LT0PCQ01UVN52</v>
      </c>
      <c r="F3467" s="238" t="str">
        <f>IFERROR(__xludf.DUMMYFUNCTION("""COMPUTED_VALUE"""),"EWJ0F90,LVB1J28")</f>
        <v>EWJ0F90,LVB1J28</v>
      </c>
      <c r="G3467" s="238">
        <f>IFERROR(__xludf.DUMMYFUNCTION("""COMPUTED_VALUE"""),46017.91736111111)</f>
        <v>46017.91736</v>
      </c>
      <c r="H3467" s="238">
        <f>IFERROR(__xludf.DUMMYFUNCTION("""COMPUTED_VALUE"""),46018.29166666667)</f>
        <v>46018.29167</v>
      </c>
      <c r="I3467" s="237" t="str">
        <f t="shared" si="1"/>
        <v>Fora</v>
      </c>
      <c r="J3467" s="239">
        <v>360.0</v>
      </c>
    </row>
    <row r="3468">
      <c r="A3468" s="234" t="s">
        <v>518</v>
      </c>
      <c r="B3468" s="234" t="str">
        <f>IFERROR(__xludf.DUMMYFUNCTION("""COMPUTED_VALUE"""),"SoC_GO_Goiânia_02")</f>
        <v>SoC_GO_Goiânia_02</v>
      </c>
      <c r="C3468" s="234" t="str">
        <f>IFERROR(__xludf.DUMMYFUNCTION("""COMPUTED_VALUE"""),"SOC-GO2")</f>
        <v>SOC-GO2</v>
      </c>
      <c r="D3468" s="234">
        <f>IFERROR(__xludf.DUMMYFUNCTION("""COMPUTED_VALUE"""),87.0)</f>
        <v>87</v>
      </c>
      <c r="E3468" s="237" t="str">
        <f>IFERROR(__xludf.DUMMYFUNCTION("""COMPUTED_VALUE"""),"LT0PCQ01UZJ01")</f>
        <v>LT0PCQ01UZJ01</v>
      </c>
      <c r="F3468" s="238" t="str">
        <f>IFERROR(__xludf.DUMMYFUNCTION("""COMPUTED_VALUE"""),"EWJ2F39,SUS4E11")</f>
        <v>EWJ2F39,SUS4E11</v>
      </c>
      <c r="G3468" s="238">
        <f>IFERROR(__xludf.DUMMYFUNCTION("""COMPUTED_VALUE"""),46018.04166666667)</f>
        <v>46018.04167</v>
      </c>
      <c r="H3468" s="238">
        <f>IFERROR(__xludf.DUMMYFUNCTION("""COMPUTED_VALUE"""),46018.29166666667)</f>
        <v>46018.29167</v>
      </c>
      <c r="I3468" s="237" t="str">
        <f t="shared" si="1"/>
        <v>Fora</v>
      </c>
      <c r="J3468" s="239">
        <v>300.00000001396984</v>
      </c>
    </row>
    <row r="3469">
      <c r="A3469" s="234" t="s">
        <v>535</v>
      </c>
      <c r="B3469" s="234" t="str">
        <f>IFERROR(__xludf.DUMMYFUNCTION("""COMPUTED_VALUE"""),"SoC_GO_Goiânia_02")</f>
        <v>SoC_GO_Goiânia_02</v>
      </c>
      <c r="C3469" s="234" t="str">
        <f>IFERROR(__xludf.DUMMYFUNCTION("""COMPUTED_VALUE"""),"SOC-GO2")</f>
        <v>SOC-GO2</v>
      </c>
      <c r="D3469" s="234"/>
      <c r="E3469" s="237" t="str">
        <f>IFERROR(__xludf.DUMMYFUNCTION("""COMPUTED_VALUE"""),"LT0PCQ01UZJ22")</f>
        <v>LT0PCQ01UZJ22</v>
      </c>
      <c r="F3469" s="238" t="str">
        <f>IFERROR(__xludf.DUMMYFUNCTION("""COMPUTED_VALUE"""),"BTR3J20,KDM9B22")</f>
        <v>BTR3J20,KDM9B22</v>
      </c>
      <c r="G3469" s="238">
        <f>IFERROR(__xludf.DUMMYFUNCTION("""COMPUTED_VALUE"""),46018.08333333333)</f>
        <v>46018.08333</v>
      </c>
      <c r="H3469" s="238">
        <f>IFERROR(__xludf.DUMMYFUNCTION("""COMPUTED_VALUE"""),46018.29166666667)</f>
        <v>46018.29167</v>
      </c>
      <c r="I3469" s="237" t="str">
        <f t="shared" si="1"/>
        <v>Fora</v>
      </c>
      <c r="J3469" s="239">
        <v>300.00000001396984</v>
      </c>
    </row>
    <row r="3470">
      <c r="A3470" s="234" t="s">
        <v>4792</v>
      </c>
      <c r="B3470" s="234" t="str">
        <f>IFERROR(__xludf.DUMMYFUNCTION("""COMPUTED_VALUE"""),"SoC_PE_Jaboatão dos Guararapes")</f>
        <v>SoC_PE_Jaboatão dos Guararapes</v>
      </c>
      <c r="C3470" s="234" t="str">
        <f>IFERROR(__xludf.DUMMYFUNCTION("""COMPUTED_VALUE"""),"SOC-PE2")</f>
        <v>SOC-PE2</v>
      </c>
      <c r="D3470" s="234">
        <f>IFERROR(__xludf.DUMMYFUNCTION("""COMPUTED_VALUE"""),113.0)</f>
        <v>113</v>
      </c>
      <c r="E3470" s="237" t="str">
        <f>IFERROR(__xludf.DUMMYFUNCTION("""COMPUTED_VALUE"""),"LT0PCQ01UZA61")</f>
        <v>LT0PCQ01UZA61</v>
      </c>
      <c r="F3470" s="238" t="str">
        <f>IFERROR(__xludf.DUMMYFUNCTION("""COMPUTED_VALUE"""),"BUP5F08,FXL9F43")</f>
        <v>BUP5F08,FXL9F43</v>
      </c>
      <c r="G3470" s="238">
        <f>IFERROR(__xludf.DUMMYFUNCTION("""COMPUTED_VALUE"""),46018.08333333333)</f>
        <v>46018.08333</v>
      </c>
      <c r="H3470" s="238">
        <f>IFERROR(__xludf.DUMMYFUNCTION("""COMPUTED_VALUE"""),46018.29166666667)</f>
        <v>46018.29167</v>
      </c>
      <c r="I3470" s="237" t="str">
        <f t="shared" si="1"/>
        <v>Fora</v>
      </c>
      <c r="J3470" s="239">
        <v>120.00000001396984</v>
      </c>
    </row>
    <row r="3471">
      <c r="A3471" s="234" t="s">
        <v>519</v>
      </c>
      <c r="B3471" s="234" t="str">
        <f>IFERROR(__xludf.DUMMYFUNCTION("""COMPUTED_VALUE"""),"LM Hub_SP_Jundiaí")</f>
        <v>LM Hub_SP_Jundiaí</v>
      </c>
      <c r="C3471" s="234" t="str">
        <f>IFERROR(__xludf.DUMMYFUNCTION("""COMPUTED_VALUE"""),"HUB-LSP-100")</f>
        <v>HUB-LSP-100</v>
      </c>
      <c r="D3471" s="234">
        <f>IFERROR(__xludf.DUMMYFUNCTION("""COMPUTED_VALUE"""),36.0)</f>
        <v>36</v>
      </c>
      <c r="E3471" s="237" t="str">
        <f>IFERROR(__xludf.DUMMYFUNCTION("""COMPUTED_VALUE"""),"LT0PCR01V0161")</f>
        <v>LT0PCR01V0161</v>
      </c>
      <c r="F3471" s="238" t="str">
        <f>IFERROR(__xludf.DUMMYFUNCTION("""COMPUTED_VALUE"""),"EDI6E81,GEU3A01")</f>
        <v>EDI6E81,GEU3A01</v>
      </c>
      <c r="G3471" s="238">
        <f>IFERROR(__xludf.DUMMYFUNCTION("""COMPUTED_VALUE"""),46018.20833333333)</f>
        <v>46018.20833</v>
      </c>
      <c r="H3471" s="238">
        <f>IFERROR(__xludf.DUMMYFUNCTION("""COMPUTED_VALUE"""),46018.29166666667)</f>
        <v>46018.29167</v>
      </c>
      <c r="I3471" s="237" t="str">
        <f t="shared" si="1"/>
        <v>Fora</v>
      </c>
      <c r="J3471" s="239">
        <v>120.00000001396984</v>
      </c>
    </row>
    <row r="3472">
      <c r="A3472" s="234" t="s">
        <v>536</v>
      </c>
      <c r="B3472" s="234" t="str">
        <f>IFERROR(__xludf.DUMMYFUNCTION("""COMPUTED_VALUE"""),"LM Hub_SP_Jurubatuba")</f>
        <v>LM Hub_SP_Jurubatuba</v>
      </c>
      <c r="C3472" s="234" t="str">
        <f>IFERROR(__xludf.DUMMYFUNCTION("""COMPUTED_VALUE"""),"HUB-LSP-16")</f>
        <v>HUB-LSP-16</v>
      </c>
      <c r="D3472" s="234"/>
      <c r="E3472" s="237" t="str">
        <f>IFERROR(__xludf.DUMMYFUNCTION("""COMPUTED_VALUE"""),"LT0PCR01UWE81")</f>
        <v>LT0PCR01UWE81</v>
      </c>
      <c r="F3472" s="238" t="str">
        <f>IFERROR(__xludf.DUMMYFUNCTION("""COMPUTED_VALUE"""),"MQV9D62,BTV6J01")</f>
        <v>MQV9D62,BTV6J01</v>
      </c>
      <c r="G3472" s="238">
        <f>IFERROR(__xludf.DUMMYFUNCTION("""COMPUTED_VALUE"""),46018.20833333333)</f>
        <v>46018.20833</v>
      </c>
      <c r="H3472" s="238">
        <f>IFERROR(__xludf.DUMMYFUNCTION("""COMPUTED_VALUE"""),46018.29166666667)</f>
        <v>46018.29167</v>
      </c>
      <c r="I3472" s="237" t="str">
        <f t="shared" si="1"/>
        <v>Fora</v>
      </c>
      <c r="J3472" s="239">
        <v>120.00000001396984</v>
      </c>
    </row>
    <row r="3473">
      <c r="A3473" s="234" t="s">
        <v>537</v>
      </c>
      <c r="B3473" s="234" t="str">
        <f>IFERROR(__xludf.DUMMYFUNCTION("""COMPUTED_VALUE"""),"LM Hub_SP_Jurubatuba")</f>
        <v>LM Hub_SP_Jurubatuba</v>
      </c>
      <c r="C3473" s="234" t="str">
        <f>IFERROR(__xludf.DUMMYFUNCTION("""COMPUTED_VALUE"""),"HUB-LSP-16")</f>
        <v>HUB-LSP-16</v>
      </c>
      <c r="D3473" s="234"/>
      <c r="E3473" s="237" t="str">
        <f>IFERROR(__xludf.DUMMYFUNCTION("""COMPUTED_VALUE"""),"LT0PCR01UWEA2")</f>
        <v>LT0PCR01UWEA2</v>
      </c>
      <c r="F3473" s="238" t="str">
        <f>IFERROR(__xludf.DUMMYFUNCTION("""COMPUTED_VALUE"""),"CUA7C61,FPW0F14")</f>
        <v>CUA7C61,FPW0F14</v>
      </c>
      <c r="G3473" s="238">
        <f>IFERROR(__xludf.DUMMYFUNCTION("""COMPUTED_VALUE"""),46018.20833333333)</f>
        <v>46018.20833</v>
      </c>
      <c r="H3473" s="238">
        <f>IFERROR(__xludf.DUMMYFUNCTION("""COMPUTED_VALUE"""),46018.29166666667)</f>
        <v>46018.29167</v>
      </c>
      <c r="I3473" s="237" t="str">
        <f t="shared" si="1"/>
        <v>Fora</v>
      </c>
      <c r="J3473" s="239">
        <v>120.00000001396984</v>
      </c>
    </row>
    <row r="3474">
      <c r="A3474" s="234" t="s">
        <v>538</v>
      </c>
      <c r="B3474" s="234" t="str">
        <f>IFERROR(__xludf.DUMMYFUNCTION("""COMPUTED_VALUE"""),"LM Hub_SP_Piracicaba")</f>
        <v>LM Hub_SP_Piracicaba</v>
      </c>
      <c r="C3474" s="234" t="str">
        <f>IFERROR(__xludf.DUMMYFUNCTION("""COMPUTED_VALUE"""),"HUB-LSP-62")</f>
        <v>HUB-LSP-62</v>
      </c>
      <c r="D3474" s="234"/>
      <c r="E3474" s="237" t="str">
        <f>IFERROR(__xludf.DUMMYFUNCTION("""COMPUTED_VALUE"""),"LT0PCR01UW4U1")</f>
        <v>LT0PCR01UW4U1</v>
      </c>
      <c r="F3474" s="238" t="str">
        <f>IFERROR(__xludf.DUMMYFUNCTION("""COMPUTED_VALUE"""),"GYS8H24")</f>
        <v>GYS8H24</v>
      </c>
      <c r="G3474" s="238">
        <f>IFERROR(__xludf.DUMMYFUNCTION("""COMPUTED_VALUE"""),46018.20833333333)</f>
        <v>46018.20833</v>
      </c>
      <c r="H3474" s="238">
        <f>IFERROR(__xludf.DUMMYFUNCTION("""COMPUTED_VALUE"""),46018.29166666667)</f>
        <v>46018.29167</v>
      </c>
      <c r="I3474" s="237" t="str">
        <f t="shared" si="1"/>
        <v>Fora</v>
      </c>
      <c r="J3474" s="239">
        <v>120.00000001396984</v>
      </c>
    </row>
    <row r="3475">
      <c r="A3475" s="234" t="s">
        <v>539</v>
      </c>
      <c r="B3475" s="234" t="str">
        <f>IFERROR(__xludf.DUMMYFUNCTION("""COMPUTED_VALUE"""),"LM Hub_SP_Santos_PraiaGrande_02")</f>
        <v>LM Hub_SP_Santos_PraiaGrande_02</v>
      </c>
      <c r="C3475" s="234" t="str">
        <f>IFERROR(__xludf.DUMMYFUNCTION("""COMPUTED_VALUE"""),"HUB-LSP-63")</f>
        <v>HUB-LSP-63</v>
      </c>
      <c r="D3475" s="234"/>
      <c r="E3475" s="237" t="str">
        <f>IFERROR(__xludf.DUMMYFUNCTION("""COMPUTED_VALUE"""),"LT0PCR01UWF31")</f>
        <v>LT0PCR01UWF31</v>
      </c>
      <c r="F3475" s="238" t="str">
        <f>IFERROR(__xludf.DUMMYFUNCTION("""COMPUTED_VALUE"""),"SDG3A20,TIY1H79")</f>
        <v>SDG3A20,TIY1H79</v>
      </c>
      <c r="G3475" s="238">
        <f>IFERROR(__xludf.DUMMYFUNCTION("""COMPUTED_VALUE"""),46018.20833333333)</f>
        <v>46018.20833</v>
      </c>
      <c r="H3475" s="238">
        <f>IFERROR(__xludf.DUMMYFUNCTION("""COMPUTED_VALUE"""),46018.29166666667)</f>
        <v>46018.29167</v>
      </c>
      <c r="I3475" s="237" t="str">
        <f t="shared" si="1"/>
        <v>Fora</v>
      </c>
      <c r="J3475" s="239">
        <v>120.00000001396984</v>
      </c>
    </row>
    <row r="3476">
      <c r="A3476" s="234" t="s">
        <v>520</v>
      </c>
      <c r="B3476" s="234" t="str">
        <f>IFERROR(__xludf.DUMMYFUNCTION("""COMPUTED_VALUE"""),"SoC_RJ_Duque de Caxias")</f>
        <v>SoC_RJ_Duque de Caxias</v>
      </c>
      <c r="C3476" s="234" t="str">
        <f>IFERROR(__xludf.DUMMYFUNCTION("""COMPUTED_VALUE"""),"SOC-RJ2")</f>
        <v>SOC-RJ2</v>
      </c>
      <c r="D3476" s="234">
        <f>IFERROR(__xludf.DUMMYFUNCTION("""COMPUTED_VALUE"""),112.0)</f>
        <v>112</v>
      </c>
      <c r="E3476" s="237" t="str">
        <f>IFERROR(__xludf.DUMMYFUNCTION("""COMPUTED_VALUE"""),"LT0PCQ01UTLY1")</f>
        <v>LT0PCQ01UTLY1</v>
      </c>
      <c r="F3476" s="238" t="str">
        <f>IFERROR(__xludf.DUMMYFUNCTION("""COMPUTED_VALUE"""),"CUL1I33,RKQ0J15")</f>
        <v>CUL1I33,RKQ0J15</v>
      </c>
      <c r="G3476" s="238">
        <f>IFERROR(__xludf.DUMMYFUNCTION("""COMPUTED_VALUE"""),46018.20833333333)</f>
        <v>46018.20833</v>
      </c>
      <c r="H3476" s="238">
        <f>IFERROR(__xludf.DUMMYFUNCTION("""COMPUTED_VALUE"""),46018.29166666667)</f>
        <v>46018.29167</v>
      </c>
      <c r="I3476" s="237" t="str">
        <f t="shared" si="1"/>
        <v>Fora</v>
      </c>
      <c r="J3476" s="239">
        <v>120.00000001396984</v>
      </c>
    </row>
    <row r="3477">
      <c r="A3477" s="234" t="s">
        <v>540</v>
      </c>
      <c r="B3477" s="234" t="str">
        <f>IFERROR(__xludf.DUMMYFUNCTION("""COMPUTED_VALUE"""),"SoC_SP_Santana")</f>
        <v>SoC_SP_Santana</v>
      </c>
      <c r="C3477" s="234" t="str">
        <f>IFERROR(__xludf.DUMMYFUNCTION("""COMPUTED_VALUE"""),"SOC-SP2")</f>
        <v>SOC-SP2</v>
      </c>
      <c r="D3477" s="234"/>
      <c r="E3477" s="237" t="str">
        <f>IFERROR(__xludf.DUMMYFUNCTION("""COMPUTED_VALUE"""),"LT0PCR01UVZ71")</f>
        <v>LT0PCR01UVZ71</v>
      </c>
      <c r="F3477" s="238" t="str">
        <f>IFERROR(__xludf.DUMMYFUNCTION("""COMPUTED_VALUE"""),"OKQ5H03,FJP9A36")</f>
        <v>OKQ5H03,FJP9A36</v>
      </c>
      <c r="G3477" s="238">
        <f>IFERROR(__xludf.DUMMYFUNCTION("""COMPUTED_VALUE"""),46018.20833333333)</f>
        <v>46018.20833</v>
      </c>
      <c r="H3477" s="238">
        <f>IFERROR(__xludf.DUMMYFUNCTION("""COMPUTED_VALUE"""),46018.29166666667)</f>
        <v>46018.29167</v>
      </c>
      <c r="I3477" s="237" t="str">
        <f t="shared" si="1"/>
        <v>Fora</v>
      </c>
      <c r="J3477" s="239">
        <v>119.00000001071021</v>
      </c>
    </row>
    <row r="3478">
      <c r="A3478" s="234" t="s">
        <v>521</v>
      </c>
      <c r="B3478" s="234" t="str">
        <f>IFERROR(__xludf.DUMMYFUNCTION("""COMPUTED_VALUE"""),"LM Hub_SP_Barueri_01")</f>
        <v>LM Hub_SP_Barueri_01</v>
      </c>
      <c r="C3478" s="234" t="str">
        <f>IFERROR(__xludf.DUMMYFUNCTION("""COMPUTED_VALUE"""),"HUB-LSP-81")</f>
        <v>HUB-LSP-81</v>
      </c>
      <c r="D3478" s="234">
        <f>IFERROR(__xludf.DUMMYFUNCTION("""COMPUTED_VALUE"""),19.0)</f>
        <v>19</v>
      </c>
      <c r="E3478" s="237" t="str">
        <f>IFERROR(__xludf.DUMMYFUNCTION("""COMPUTED_VALUE"""),"LT0PCR01UZ3U1")</f>
        <v>LT0PCR01UZ3U1</v>
      </c>
      <c r="F3478" s="238" t="str">
        <f>IFERROR(__xludf.DUMMYFUNCTION("""COMPUTED_VALUE"""),"FZJ9H38")</f>
        <v>FZJ9H38</v>
      </c>
      <c r="G3478" s="238">
        <f>IFERROR(__xludf.DUMMYFUNCTION("""COMPUTED_VALUE"""),46018.209027777775)</f>
        <v>46018.20903</v>
      </c>
      <c r="H3478" s="238">
        <f>IFERROR(__xludf.DUMMYFUNCTION("""COMPUTED_VALUE"""),46018.29166666667)</f>
        <v>46018.29167</v>
      </c>
      <c r="I3478" s="237" t="str">
        <f t="shared" si="1"/>
        <v>Fora</v>
      </c>
      <c r="J3478" s="239">
        <v>119.99999999301508</v>
      </c>
    </row>
    <row r="3479">
      <c r="A3479" s="234" t="s">
        <v>522</v>
      </c>
      <c r="B3479" s="234" t="str">
        <f>IFERROR(__xludf.DUMMYFUNCTION("""COMPUTED_VALUE"""),"LM Hub_SP_Guarujá")</f>
        <v>LM Hub_SP_Guarujá</v>
      </c>
      <c r="C3479" s="234" t="str">
        <f>IFERROR(__xludf.DUMMYFUNCTION("""COMPUTED_VALUE"""),"HUB-LSP-06")</f>
        <v>HUB-LSP-06</v>
      </c>
      <c r="D3479" s="234">
        <f>IFERROR(__xludf.DUMMYFUNCTION("""COMPUTED_VALUE"""),33.0)</f>
        <v>33</v>
      </c>
      <c r="E3479" s="237" t="str">
        <f>IFERROR(__xludf.DUMMYFUNCTION("""COMPUTED_VALUE"""),"LT0PCR01UWEP1")</f>
        <v>LT0PCR01UWEP1</v>
      </c>
      <c r="F3479" s="238" t="str">
        <f>IFERROR(__xludf.DUMMYFUNCTION("""COMPUTED_VALUE"""),"SVL5H32")</f>
        <v>SVL5H32</v>
      </c>
      <c r="G3479" s="238">
        <f>IFERROR(__xludf.DUMMYFUNCTION("""COMPUTED_VALUE"""),46018.22916666667)</f>
        <v>46018.22917</v>
      </c>
      <c r="H3479" s="238">
        <f>IFERROR(__xludf.DUMMYFUNCTION("""COMPUTED_VALUE"""),46018.3125)</f>
        <v>46018.3125</v>
      </c>
      <c r="I3479" s="237" t="str">
        <f t="shared" si="1"/>
        <v>Fora</v>
      </c>
      <c r="J3479" s="239">
        <v>119.99999999301508</v>
      </c>
    </row>
    <row r="3480">
      <c r="A3480" s="234" t="s">
        <v>523</v>
      </c>
      <c r="B3480" s="234" t="str">
        <f>IFERROR(__xludf.DUMMYFUNCTION("""COMPUTED_VALUE"""),"LM Hub_SP_Itaqua_Zimba")</f>
        <v>LM Hub_SP_Itaqua_Zimba</v>
      </c>
      <c r="C3480" s="234" t="str">
        <f>IFERROR(__xludf.DUMMYFUNCTION("""COMPUTED_VALUE"""),"HUB-LSP-74")</f>
        <v>HUB-LSP-74</v>
      </c>
      <c r="D3480" s="234">
        <f>IFERROR(__xludf.DUMMYFUNCTION("""COMPUTED_VALUE"""),12.0)</f>
        <v>12</v>
      </c>
      <c r="E3480" s="237" t="str">
        <f>IFERROR(__xludf.DUMMYFUNCTION("""COMPUTED_VALUE"""),"LT0PCR01UWEM1")</f>
        <v>LT0PCR01UWEM1</v>
      </c>
      <c r="F3480" s="238" t="str">
        <f>IFERROR(__xludf.DUMMYFUNCTION("""COMPUTED_VALUE"""),"CYT4D62,TLF5G42")</f>
        <v>CYT4D62,TLF5G42</v>
      </c>
      <c r="G3480" s="238">
        <f>IFERROR(__xludf.DUMMYFUNCTION("""COMPUTED_VALUE"""),46018.22916666667)</f>
        <v>46018.22917</v>
      </c>
      <c r="H3480" s="238">
        <f>IFERROR(__xludf.DUMMYFUNCTION("""COMPUTED_VALUE"""),46018.3125)</f>
        <v>46018.3125</v>
      </c>
      <c r="I3480" s="237" t="str">
        <f t="shared" si="1"/>
        <v>Fora</v>
      </c>
      <c r="J3480" s="239">
        <v>119.99999999301508</v>
      </c>
    </row>
    <row r="3481">
      <c r="A3481" s="234" t="s">
        <v>541</v>
      </c>
      <c r="B3481" s="234" t="str">
        <f>IFERROR(__xludf.DUMMYFUNCTION("""COMPUTED_VALUE"""),"LM Hub_SP_Santos_Praia Grande")</f>
        <v>LM Hub_SP_Santos_Praia Grande</v>
      </c>
      <c r="C3481" s="234" t="str">
        <f>IFERROR(__xludf.DUMMYFUNCTION("""COMPUTED_VALUE"""),"HUB-LSP-09")</f>
        <v>HUB-LSP-09</v>
      </c>
      <c r="D3481" s="234"/>
      <c r="E3481" s="237" t="str">
        <f>IFERROR(__xludf.DUMMYFUNCTION("""COMPUTED_VALUE"""),"LT0PCR01UWES1")</f>
        <v>LT0PCR01UWES1</v>
      </c>
      <c r="F3481" s="238" t="str">
        <f>IFERROR(__xludf.DUMMYFUNCTION("""COMPUTED_VALUE"""),"FXR1J68,HJF7A64")</f>
        <v>FXR1J68,HJF7A64</v>
      </c>
      <c r="G3481" s="238">
        <f>IFERROR(__xludf.DUMMYFUNCTION("""COMPUTED_VALUE"""),46018.22916666667)</f>
        <v>46018.22917</v>
      </c>
      <c r="H3481" s="238">
        <f>IFERROR(__xludf.DUMMYFUNCTION("""COMPUTED_VALUE"""),46018.3125)</f>
        <v>46018.3125</v>
      </c>
      <c r="I3481" s="237" t="str">
        <f t="shared" si="1"/>
        <v>Fora</v>
      </c>
      <c r="J3481" s="239">
        <v>119.99999999301508</v>
      </c>
    </row>
    <row r="3482">
      <c r="A3482" s="234" t="s">
        <v>524</v>
      </c>
      <c r="B3482" s="234" t="str">
        <f>IFERROR(__xludf.DUMMYFUNCTION("""COMPUTED_VALUE"""),"LM Hub_SP_São José dos Campos")</f>
        <v>LM Hub_SP_São José dos Campos</v>
      </c>
      <c r="C3482" s="234" t="str">
        <f>IFERROR(__xludf.DUMMYFUNCTION("""COMPUTED_VALUE"""),"HUB-LSP-04")</f>
        <v>HUB-LSP-04</v>
      </c>
      <c r="D3482" s="234">
        <f>IFERROR(__xludf.DUMMYFUNCTION("""COMPUTED_VALUE"""),15.0)</f>
        <v>15</v>
      </c>
      <c r="E3482" s="237" t="str">
        <f>IFERROR(__xludf.DUMMYFUNCTION("""COMPUTED_VALUE"""),"LT0PCR01UWEU1")</f>
        <v>LT0PCR01UWEU1</v>
      </c>
      <c r="F3482" s="238" t="str">
        <f>IFERROR(__xludf.DUMMYFUNCTION("""COMPUTED_VALUE"""),"ENU3E65")</f>
        <v>ENU3E65</v>
      </c>
      <c r="G3482" s="238">
        <f>IFERROR(__xludf.DUMMYFUNCTION("""COMPUTED_VALUE"""),46018.22916666667)</f>
        <v>46018.22917</v>
      </c>
      <c r="H3482" s="238">
        <f>IFERROR(__xludf.DUMMYFUNCTION("""COMPUTED_VALUE"""),46018.3125)</f>
        <v>46018.3125</v>
      </c>
      <c r="I3482" s="237" t="str">
        <f t="shared" si="1"/>
        <v>Fora</v>
      </c>
      <c r="J3482" s="239">
        <v>119.99999999301508</v>
      </c>
    </row>
    <row r="3483">
      <c r="A3483" s="234" t="s">
        <v>542</v>
      </c>
      <c r="B3483" s="234" t="str">
        <f>IFERROR(__xludf.DUMMYFUNCTION("""COMPUTED_VALUE"""),"LM Hub_SP_São Paulo_Mooca")</f>
        <v>LM Hub_SP_São Paulo_Mooca</v>
      </c>
      <c r="C3483" s="234" t="str">
        <f>IFERROR(__xludf.DUMMYFUNCTION("""COMPUTED_VALUE"""),"HUB-LSP-13")</f>
        <v>HUB-LSP-13</v>
      </c>
      <c r="D3483" s="234"/>
      <c r="E3483" s="237" t="str">
        <f>IFERROR(__xludf.DUMMYFUNCTION("""COMPUTED_VALUE"""),"LT0PCR01UTHE3")</f>
        <v>LT0PCR01UTHE3</v>
      </c>
      <c r="F3483" s="238" t="str">
        <f>IFERROR(__xludf.DUMMYFUNCTION("""COMPUTED_VALUE"""),"-")</f>
        <v>-</v>
      </c>
      <c r="G3483" s="238">
        <f>IFERROR(__xludf.DUMMYFUNCTION("""COMPUTED_VALUE"""),46018.22916666667)</f>
        <v>46018.22917</v>
      </c>
      <c r="H3483" s="238">
        <f>IFERROR(__xludf.DUMMYFUNCTION("""COMPUTED_VALUE"""),46018.3125)</f>
        <v>46018.3125</v>
      </c>
      <c r="I3483" s="237" t="str">
        <f t="shared" si="1"/>
        <v>Fora</v>
      </c>
      <c r="J3483" s="239">
        <v>119.99999999301508</v>
      </c>
    </row>
    <row r="3484">
      <c r="A3484" s="234" t="s">
        <v>543</v>
      </c>
      <c r="B3484" s="234" t="str">
        <f>IFERROR(__xludf.DUMMYFUNCTION("""COMPUTED_VALUE"""),"LM Hub_SP_São Paulo_Mooca")</f>
        <v>LM Hub_SP_São Paulo_Mooca</v>
      </c>
      <c r="C3484" s="234" t="str">
        <f>IFERROR(__xludf.DUMMYFUNCTION("""COMPUTED_VALUE"""),"HUB-LSP-13")</f>
        <v>HUB-LSP-13</v>
      </c>
      <c r="D3484" s="234"/>
      <c r="E3484" s="237" t="str">
        <f>IFERROR(__xludf.DUMMYFUNCTION("""COMPUTED_VALUE"""),"LT0PCR01UTHB1")</f>
        <v>LT0PCR01UTHB1</v>
      </c>
      <c r="F3484" s="238" t="str">
        <f>IFERROR(__xludf.DUMMYFUNCTION("""COMPUTED_VALUE"""),"HOA1G08")</f>
        <v>HOA1G08</v>
      </c>
      <c r="G3484" s="238">
        <f>IFERROR(__xludf.DUMMYFUNCTION("""COMPUTED_VALUE"""),46018.22916666667)</f>
        <v>46018.22917</v>
      </c>
      <c r="H3484" s="238">
        <f>IFERROR(__xludf.DUMMYFUNCTION("""COMPUTED_VALUE"""),46018.3125)</f>
        <v>46018.3125</v>
      </c>
      <c r="I3484" s="237" t="str">
        <f t="shared" si="1"/>
        <v>Fora</v>
      </c>
      <c r="J3484" s="239">
        <v>119.99999999301508</v>
      </c>
    </row>
    <row r="3485">
      <c r="A3485" s="234" t="s">
        <v>525</v>
      </c>
      <c r="B3485" s="234" t="str">
        <f>IFERROR(__xludf.DUMMYFUNCTION("""COMPUTED_VALUE"""),"LM Hub_SP_São Paulo_Mooca")</f>
        <v>LM Hub_SP_São Paulo_Mooca</v>
      </c>
      <c r="C3485" s="234" t="str">
        <f>IFERROR(__xludf.DUMMYFUNCTION("""COMPUTED_VALUE"""),"HUB-LSP-13")</f>
        <v>HUB-LSP-13</v>
      </c>
      <c r="D3485" s="234">
        <f>IFERROR(__xludf.DUMMYFUNCTION("""COMPUTED_VALUE"""),21.0)</f>
        <v>21</v>
      </c>
      <c r="E3485" s="237" t="str">
        <f>IFERROR(__xludf.DUMMYFUNCTION("""COMPUTED_VALUE"""),"LT0PCR01UTHD2")</f>
        <v>LT0PCR01UTHD2</v>
      </c>
      <c r="F3485" s="238" t="str">
        <f>IFERROR(__xludf.DUMMYFUNCTION("""COMPUTED_VALUE"""),"SWK5E27")</f>
        <v>SWK5E27</v>
      </c>
      <c r="G3485" s="238">
        <f>IFERROR(__xludf.DUMMYFUNCTION("""COMPUTED_VALUE"""),46018.22916666667)</f>
        <v>46018.22917</v>
      </c>
      <c r="H3485" s="238">
        <f>IFERROR(__xludf.DUMMYFUNCTION("""COMPUTED_VALUE"""),46018.3125)</f>
        <v>46018.3125</v>
      </c>
      <c r="I3485" s="237" t="str">
        <f t="shared" si="1"/>
        <v>Fora</v>
      </c>
      <c r="J3485" s="239">
        <v>119.99999999301508</v>
      </c>
    </row>
    <row r="3486">
      <c r="A3486" s="234" t="s">
        <v>526</v>
      </c>
      <c r="B3486" s="234" t="str">
        <f>IFERROR(__xludf.DUMMYFUNCTION("""COMPUTED_VALUE"""),"LM Hub_SP_Suzano_Baruel")</f>
        <v>LM Hub_SP_Suzano_Baruel</v>
      </c>
      <c r="C3486" s="234" t="str">
        <f>IFERROR(__xludf.DUMMYFUNCTION("""COMPUTED_VALUE"""),"HUB-LSP-97")</f>
        <v>HUB-LSP-97</v>
      </c>
      <c r="D3486" s="234">
        <f>IFERROR(__xludf.DUMMYFUNCTION("""COMPUTED_VALUE"""),13.0)</f>
        <v>13</v>
      </c>
      <c r="E3486" s="237" t="str">
        <f>IFERROR(__xludf.DUMMYFUNCTION("""COMPUTED_VALUE"""),"LT0PCR01V0931")</f>
        <v>LT0PCR01V0931</v>
      </c>
      <c r="F3486" s="238" t="str">
        <f>IFERROR(__xludf.DUMMYFUNCTION("""COMPUTED_VALUE"""),"CSN7991,EGJ9544")</f>
        <v>CSN7991,EGJ9544</v>
      </c>
      <c r="G3486" s="238">
        <f>IFERROR(__xludf.DUMMYFUNCTION("""COMPUTED_VALUE"""),46018.22916666667)</f>
        <v>46018.22917</v>
      </c>
      <c r="H3486" s="238">
        <f>IFERROR(__xludf.DUMMYFUNCTION("""COMPUTED_VALUE"""),46018.3125)</f>
        <v>46018.3125</v>
      </c>
      <c r="I3486" s="237" t="str">
        <f t="shared" si="1"/>
        <v>Fora</v>
      </c>
      <c r="J3486" s="239">
        <v>119.00000000023283</v>
      </c>
    </row>
    <row r="3487">
      <c r="A3487" s="234" t="s">
        <v>527</v>
      </c>
      <c r="B3487" s="234" t="str">
        <f>IFERROR(__xludf.DUMMYFUNCTION("""COMPUTED_VALUE"""),"LM Hub_SP_Itapevi")</f>
        <v>LM Hub_SP_Itapevi</v>
      </c>
      <c r="C3487" s="234" t="str">
        <f>IFERROR(__xludf.DUMMYFUNCTION("""COMPUTED_VALUE"""),"HUB-LSP-41")</f>
        <v>HUB-LSP-41</v>
      </c>
      <c r="D3487" s="234">
        <f>IFERROR(__xludf.DUMMYFUNCTION("""COMPUTED_VALUE"""),8.0)</f>
        <v>8</v>
      </c>
      <c r="E3487" s="237" t="str">
        <f>IFERROR(__xludf.DUMMYFUNCTION("""COMPUTED_VALUE"""),"LT0PCR01UVOA1")</f>
        <v>LT0PCR01UVOA1</v>
      </c>
      <c r="F3487" s="238" t="str">
        <f>IFERROR(__xludf.DUMMYFUNCTION("""COMPUTED_VALUE"""),"EMU5F62,FGK3A38")</f>
        <v>EMU5F62,FGK3A38</v>
      </c>
      <c r="G3487" s="238">
        <f>IFERROR(__xludf.DUMMYFUNCTION("""COMPUTED_VALUE"""),46018.22986111111)</f>
        <v>46018.22986</v>
      </c>
      <c r="H3487" s="238">
        <f>IFERROR(__xludf.DUMMYFUNCTION("""COMPUTED_VALUE"""),46018.3125)</f>
        <v>46018.3125</v>
      </c>
      <c r="I3487" s="237" t="str">
        <f t="shared" si="1"/>
        <v>Fora</v>
      </c>
      <c r="J3487" s="239">
        <v>119.99999999301508</v>
      </c>
    </row>
    <row r="3488">
      <c r="A3488" s="234" t="s">
        <v>4793</v>
      </c>
      <c r="B3488" s="234" t="str">
        <f>IFERROR(__xludf.DUMMYFUNCTION("""COMPUTED_VALUE"""),"LM Hub_SP_Parque Novo Mundo")</f>
        <v>LM Hub_SP_Parque Novo Mundo</v>
      </c>
      <c r="C3488" s="234" t="str">
        <f>IFERROR(__xludf.DUMMYFUNCTION("""COMPUTED_VALUE"""),"HUB-LSP-89")</f>
        <v>HUB-LSP-89</v>
      </c>
      <c r="D3488" s="234"/>
      <c r="E3488" s="237" t="str">
        <f>IFERROR(__xludf.DUMMYFUNCTION("""COMPUTED_VALUE"""),"LT1PCQ01VTR91")</f>
        <v>LT1PCQ01VTR91</v>
      </c>
      <c r="F3488" s="234"/>
      <c r="G3488" s="238">
        <f>IFERROR(__xludf.DUMMYFUNCTION("""COMPUTED_VALUE"""),46017.91666666667)</f>
        <v>46017.91667</v>
      </c>
      <c r="H3488" s="238">
        <f>IFERROR(__xludf.DUMMYFUNCTION("""COMPUTED_VALUE"""),46018.0)</f>
        <v>46018</v>
      </c>
      <c r="I3488" s="237" t="str">
        <f t="shared" si="1"/>
        <v>Fora</v>
      </c>
      <c r="J3488" s="239">
        <v>120.00000001396984</v>
      </c>
    </row>
    <row r="3489">
      <c r="A3489" s="234" t="s">
        <v>4794</v>
      </c>
      <c r="B3489" s="234" t="str">
        <f>IFERROR(__xludf.DUMMYFUNCTION("""COMPUTED_VALUE"""),"LM Hub_RJ_Jacarepaguá")</f>
        <v>LM Hub_RJ_Jacarepaguá</v>
      </c>
      <c r="C3489" s="234" t="str">
        <f>IFERROR(__xludf.DUMMYFUNCTION("""COMPUTED_VALUE"""),"HUB-LRJ-29")</f>
        <v>HUB-LRJ-29</v>
      </c>
      <c r="D3489" s="234"/>
      <c r="E3489" s="237" t="str">
        <f>IFERROR(__xludf.DUMMYFUNCTION("""COMPUTED_VALUE"""),"LT0PCQ01UZGQ1")</f>
        <v>LT0PCQ01UZGQ1</v>
      </c>
      <c r="F3489" s="238" t="str">
        <f>IFERROR(__xludf.DUMMYFUNCTION("""COMPUTED_VALUE"""),"TBQ8J40,TPO3D55")</f>
        <v>TBQ8J40,TPO3D55</v>
      </c>
      <c r="G3489" s="238">
        <f>IFERROR(__xludf.DUMMYFUNCTION("""COMPUTED_VALUE"""),46017.89583333333)</f>
        <v>46017.89583</v>
      </c>
      <c r="H3489" s="238">
        <f>IFERROR(__xludf.DUMMYFUNCTION("""COMPUTED_VALUE"""),46017.97916666667)</f>
        <v>46017.97917</v>
      </c>
      <c r="I3489" s="237" t="str">
        <f t="shared" si="1"/>
        <v>Fora</v>
      </c>
      <c r="J3489" s="239">
        <v>60.00000000698492</v>
      </c>
    </row>
    <row r="3490">
      <c r="A3490" s="234" t="s">
        <v>4795</v>
      </c>
      <c r="B3490" s="234" t="str">
        <f>IFERROR(__xludf.DUMMYFUNCTION("""COMPUTED_VALUE"""),"LM Hub_SP_São Paulo_Carandiru")</f>
        <v>LM Hub_SP_São Paulo_Carandiru</v>
      </c>
      <c r="C3490" s="234" t="str">
        <f>IFERROR(__xludf.DUMMYFUNCTION("""COMPUTED_VALUE"""),"HUB-LSP-18")</f>
        <v>HUB-LSP-18</v>
      </c>
      <c r="D3490" s="234"/>
      <c r="E3490" s="237" t="str">
        <f>IFERROR(__xludf.DUMMYFUNCTION("""COMPUTED_VALUE"""),"LT1PCQ01VTR71")</f>
        <v>LT1PCQ01VTR71</v>
      </c>
      <c r="F3490" s="234"/>
      <c r="G3490" s="238">
        <f>IFERROR(__xludf.DUMMYFUNCTION("""COMPUTED_VALUE"""),46017.95833333333)</f>
        <v>46017.95833</v>
      </c>
      <c r="H3490" s="238">
        <f>IFERROR(__xludf.DUMMYFUNCTION("""COMPUTED_VALUE"""),46018.0)</f>
        <v>46018</v>
      </c>
      <c r="I3490" s="237" t="str">
        <f t="shared" si="1"/>
        <v>Fora</v>
      </c>
      <c r="J3490" s="239">
        <v>120.00000001396984</v>
      </c>
    </row>
    <row r="3491">
      <c r="A3491" s="234" t="s">
        <v>4796</v>
      </c>
      <c r="B3491" s="234" t="str">
        <f>IFERROR(__xludf.DUMMYFUNCTION("""COMPUTED_VALUE"""),"LM Hub_SP_Mogi Mirim")</f>
        <v>LM Hub_SP_Mogi Mirim</v>
      </c>
      <c r="C3491" s="234" t="str">
        <f>IFERROR(__xludf.DUMMYFUNCTION("""COMPUTED_VALUE"""),"HUB-LSP-37")</f>
        <v>HUB-LSP-37</v>
      </c>
      <c r="D3491" s="234"/>
      <c r="E3491" s="237" t="str">
        <f>IFERROR(__xludf.DUMMYFUNCTION("""COMPUTED_VALUE"""),"LT1PCQ01VTR81")</f>
        <v>LT1PCQ01VTR81</v>
      </c>
      <c r="F3491" s="234"/>
      <c r="G3491" s="238">
        <f>IFERROR(__xludf.DUMMYFUNCTION("""COMPUTED_VALUE"""),46017.95833333333)</f>
        <v>46017.95833</v>
      </c>
      <c r="H3491" s="238">
        <f>IFERROR(__xludf.DUMMYFUNCTION("""COMPUTED_VALUE"""),46018.04166666667)</f>
        <v>46018.04167</v>
      </c>
      <c r="I3491" s="237" t="str">
        <f t="shared" si="1"/>
        <v>Fora</v>
      </c>
      <c r="J3491" s="239">
        <v>119.99999999301508</v>
      </c>
    </row>
    <row r="3492">
      <c r="A3492" s="234" t="s">
        <v>4797</v>
      </c>
      <c r="B3492" s="234" t="str">
        <f>IFERROR(__xludf.DUMMYFUNCTION("""COMPUTED_VALUE"""),"SoC_GO_Goiânia_02")</f>
        <v>SoC_GO_Goiânia_02</v>
      </c>
      <c r="C3492" s="234" t="str">
        <f>IFERROR(__xludf.DUMMYFUNCTION("""COMPUTED_VALUE"""),"SOC-GO2")</f>
        <v>SOC-GO2</v>
      </c>
      <c r="D3492" s="234"/>
      <c r="E3492" s="237" t="str">
        <f>IFERROR(__xludf.DUMMYFUNCTION("""COMPUTED_VALUE"""),"LT1PCR01VTPA1")</f>
        <v>LT1PCR01VTPA1</v>
      </c>
      <c r="F3492" s="234"/>
      <c r="G3492" s="238">
        <f>IFERROR(__xludf.DUMMYFUNCTION("""COMPUTED_VALUE"""),46018.0)</f>
        <v>46018</v>
      </c>
      <c r="H3492" s="238">
        <f>IFERROR(__xludf.DUMMYFUNCTION("""COMPUTED_VALUE"""),46018.08333333333)</f>
        <v>46018.08333</v>
      </c>
      <c r="I3492" s="237" t="str">
        <f t="shared" si="1"/>
        <v>Fora</v>
      </c>
      <c r="J3492" s="239">
        <v>29.99999999301508</v>
      </c>
    </row>
    <row r="3493">
      <c r="A3493" s="234" t="s">
        <v>4798</v>
      </c>
      <c r="B3493" s="234" t="str">
        <f>IFERROR(__xludf.DUMMYFUNCTION("""COMPUTED_VALUE"""),"SoC_SC_Itajaí")</f>
        <v>SoC_SC_Itajaí</v>
      </c>
      <c r="C3493" s="234" t="str">
        <f>IFERROR(__xludf.DUMMYFUNCTION("""COMPUTED_VALUE"""),"SOC-SC1")</f>
        <v>SOC-SC1</v>
      </c>
      <c r="D3493" s="234"/>
      <c r="E3493" s="237" t="str">
        <f>IFERROR(__xludf.DUMMYFUNCTION("""COMPUTED_VALUE"""),"LT0PCQ01UYNF2")</f>
        <v>LT0PCQ01UYNF2</v>
      </c>
      <c r="F3493" s="238" t="str">
        <f>IFERROR(__xludf.DUMMYFUNCTION("""COMPUTED_VALUE"""),"XCD4584,GBH5481")</f>
        <v>XCD4584,GBH5481</v>
      </c>
      <c r="G3493" s="238">
        <f>IFERROR(__xludf.DUMMYFUNCTION("""COMPUTED_VALUE"""),46018.0625)</f>
        <v>46018.0625</v>
      </c>
      <c r="H3493" s="238">
        <f>IFERROR(__xludf.DUMMYFUNCTION("""COMPUTED_VALUE"""),46018.08333333333)</f>
        <v>46018.08333</v>
      </c>
      <c r="I3493" s="237" t="str">
        <f t="shared" si="1"/>
        <v>Fora</v>
      </c>
      <c r="J3493" s="239">
        <v>119.99999999301508</v>
      </c>
    </row>
    <row r="3494">
      <c r="A3494" s="234" t="s">
        <v>4799</v>
      </c>
      <c r="B3494" s="234" t="str">
        <f>IFERROR(__xludf.DUMMYFUNCTION("""COMPUTED_VALUE"""),"SoC_MG_Betim")</f>
        <v>SoC_MG_Betim</v>
      </c>
      <c r="C3494" s="234" t="str">
        <f>IFERROR(__xludf.DUMMYFUNCTION("""COMPUTED_VALUE"""),"SOC-MG2")</f>
        <v>SOC-MG2</v>
      </c>
      <c r="D3494" s="234"/>
      <c r="E3494" s="237" t="str">
        <f>IFERROR(__xludf.DUMMYFUNCTION("""COMPUTED_VALUE"""),"LT1PCR01VTP51")</f>
        <v>LT1PCR01VTP51</v>
      </c>
      <c r="F3494" s="234"/>
      <c r="G3494" s="238">
        <f>IFERROR(__xludf.DUMMYFUNCTION("""COMPUTED_VALUE"""),46018.16666666667)</f>
        <v>46018.16667</v>
      </c>
      <c r="H3494" s="238">
        <f>IFERROR(__xludf.DUMMYFUNCTION("""COMPUTED_VALUE"""),46018.25)</f>
        <v>46018.25</v>
      </c>
      <c r="I3494" s="237" t="str">
        <f t="shared" si="1"/>
        <v>Fora</v>
      </c>
      <c r="J3494" s="239">
        <v>119.99999999301508</v>
      </c>
    </row>
    <row r="3495">
      <c r="A3495" s="234" t="s">
        <v>4800</v>
      </c>
      <c r="B3495" s="234" t="str">
        <f>IFERROR(__xludf.DUMMYFUNCTION("""COMPUTED_VALUE"""),"SoC_MG_Betim")</f>
        <v>SoC_MG_Betim</v>
      </c>
      <c r="C3495" s="234" t="str">
        <f>IFERROR(__xludf.DUMMYFUNCTION("""COMPUTED_VALUE"""),"SOC-MG2")</f>
        <v>SOC-MG2</v>
      </c>
      <c r="D3495" s="234"/>
      <c r="E3495" s="237" t="str">
        <f>IFERROR(__xludf.DUMMYFUNCTION("""COMPUTED_VALUE"""),"LT1PCR01VTP61")</f>
        <v>LT1PCR01VTP61</v>
      </c>
      <c r="F3495" s="234"/>
      <c r="G3495" s="238">
        <f>IFERROR(__xludf.DUMMYFUNCTION("""COMPUTED_VALUE"""),46018.16666666667)</f>
        <v>46018.16667</v>
      </c>
      <c r="H3495" s="238">
        <f>IFERROR(__xludf.DUMMYFUNCTION("""COMPUTED_VALUE"""),46018.25)</f>
        <v>46018.25</v>
      </c>
      <c r="I3495" s="237" t="str">
        <f t="shared" si="1"/>
        <v>Fora</v>
      </c>
      <c r="J3495" s="239">
        <v>120.00000001396984</v>
      </c>
    </row>
    <row r="3496">
      <c r="A3496" s="234" t="s">
        <v>4801</v>
      </c>
      <c r="B3496" s="234" t="str">
        <f>IFERROR(__xludf.DUMMYFUNCTION("""COMPUTED_VALUE"""),"LM Hub_SP_Santos_PraiaGrande_02")</f>
        <v>LM Hub_SP_Santos_PraiaGrande_02</v>
      </c>
      <c r="C3496" s="234" t="str">
        <f>IFERROR(__xludf.DUMMYFUNCTION("""COMPUTED_VALUE"""),"HUB-LSP-63")</f>
        <v>HUB-LSP-63</v>
      </c>
      <c r="D3496" s="234"/>
      <c r="E3496" s="237" t="str">
        <f>IFERROR(__xludf.DUMMYFUNCTION("""COMPUTED_VALUE"""),"LT1PCR01VTRA1")</f>
        <v>LT1PCR01VTRA1</v>
      </c>
      <c r="F3496" s="234"/>
      <c r="G3496" s="238">
        <f>IFERROR(__xludf.DUMMYFUNCTION("""COMPUTED_VALUE"""),46018.20833333333)</f>
        <v>46018.20833</v>
      </c>
      <c r="H3496" s="238">
        <f>IFERROR(__xludf.DUMMYFUNCTION("""COMPUTED_VALUE"""),46018.29166666667)</f>
        <v>46018.29167</v>
      </c>
      <c r="I3496" s="237" t="str">
        <f t="shared" si="1"/>
        <v>Fora</v>
      </c>
      <c r="J3496" s="239">
        <v>119.99999999301508</v>
      </c>
    </row>
    <row r="3497">
      <c r="A3497" s="234" t="s">
        <v>4802</v>
      </c>
      <c r="B3497" s="234" t="str">
        <f>IFERROR(__xludf.DUMMYFUNCTION("""COMPUTED_VALUE"""),"SoC_RJ_Duque de Caxias")</f>
        <v>SoC_RJ_Duque de Caxias</v>
      </c>
      <c r="C3497" s="234" t="str">
        <f>IFERROR(__xludf.DUMMYFUNCTION("""COMPUTED_VALUE"""),"SOC-RJ2")</f>
        <v>SOC-RJ2</v>
      </c>
      <c r="D3497" s="234">
        <f>IFERROR(__xludf.DUMMYFUNCTION("""COMPUTED_VALUE"""),97.0)</f>
        <v>97</v>
      </c>
      <c r="E3497" s="237" t="str">
        <f>IFERROR(__xludf.DUMMYFUNCTION("""COMPUTED_VALUE"""),"LT1PCR01VU7N1")</f>
        <v>LT1PCR01VU7N1</v>
      </c>
      <c r="F3497" s="238" t="str">
        <f>IFERROR(__xludf.DUMMYFUNCTION("""COMPUTED_VALUE"""),"AUW5E52")</f>
        <v>AUW5E52</v>
      </c>
      <c r="G3497" s="238">
        <f>IFERROR(__xludf.DUMMYFUNCTION("""COMPUTED_VALUE"""),46018.5)</f>
        <v>46018.5</v>
      </c>
      <c r="H3497" s="238">
        <f>IFERROR(__xludf.DUMMYFUNCTION("""COMPUTED_VALUE"""),46018.58333333333)</f>
        <v>46018.58333</v>
      </c>
      <c r="I3497" s="237" t="str">
        <f t="shared" si="1"/>
        <v>Fora</v>
      </c>
      <c r="J3497" s="239">
        <v>599.0000000037253</v>
      </c>
    </row>
    <row r="3498">
      <c r="A3498" s="234" t="s">
        <v>4803</v>
      </c>
      <c r="B3498" s="234" t="str">
        <f>IFERROR(__xludf.DUMMYFUNCTION("""COMPUTED_VALUE"""),"SoC_SC_Itajaí")</f>
        <v>SoC_SC_Itajaí</v>
      </c>
      <c r="C3498" s="234" t="str">
        <f>IFERROR(__xludf.DUMMYFUNCTION("""COMPUTED_VALUE"""),"SOC-SC1")</f>
        <v>SOC-SC1</v>
      </c>
      <c r="D3498" s="234" t="str">
        <f>IFERROR(__xludf.DUMMYFUNCTION("""COMPUTED_VALUE"""),"100/9")</f>
        <v>100/9</v>
      </c>
      <c r="E3498" s="237" t="str">
        <f>IFERROR(__xludf.DUMMYFUNCTION("""COMPUTED_VALUE"""),"LT0PCR01UYNI2")</f>
        <v>LT0PCR01UYNI2</v>
      </c>
      <c r="F3498" s="238" t="str">
        <f>IFERROR(__xludf.DUMMYFUNCTION("""COMPUTED_VALUE"""),"BEQ5A59")</f>
        <v>BEQ5A59</v>
      </c>
      <c r="G3498" s="238">
        <f>IFERROR(__xludf.DUMMYFUNCTION("""COMPUTED_VALUE"""),46018.25069444445)</f>
        <v>46018.25069</v>
      </c>
      <c r="H3498" s="238">
        <f>IFERROR(__xludf.DUMMYFUNCTION("""COMPUTED_VALUE"""),46018.66666666667)</f>
        <v>46018.66667</v>
      </c>
      <c r="I3498" s="237" t="str">
        <f t="shared" si="1"/>
        <v>Fora</v>
      </c>
      <c r="J3498" s="239">
        <v>597.0000000076834</v>
      </c>
    </row>
    <row r="3499">
      <c r="A3499" s="234" t="s">
        <v>4804</v>
      </c>
      <c r="B3499" s="234" t="str">
        <f>IFERROR(__xludf.DUMMYFUNCTION("""COMPUTED_VALUE"""),"SoC_RJ_Duque de Caxias")</f>
        <v>SoC_RJ_Duque de Caxias</v>
      </c>
      <c r="C3499" s="234" t="str">
        <f>IFERROR(__xludf.DUMMYFUNCTION("""COMPUTED_VALUE"""),"SOC-RJ2")</f>
        <v>SOC-RJ2</v>
      </c>
      <c r="D3499" s="234"/>
      <c r="E3499" s="237" t="str">
        <f>IFERROR(__xludf.DUMMYFUNCTION("""COMPUTED_VALUE"""),"LT0PCR01UX3A2")</f>
        <v>LT0PCR01UX3A2</v>
      </c>
      <c r="F3499" s="238" t="str">
        <f>IFERROR(__xludf.DUMMYFUNCTION("""COMPUTED_VALUE"""),"BZF4B42")</f>
        <v>BZF4B42</v>
      </c>
      <c r="G3499" s="238">
        <f>IFERROR(__xludf.DUMMYFUNCTION("""COMPUTED_VALUE"""),46018.25208333333)</f>
        <v>46018.25208</v>
      </c>
      <c r="H3499" s="238">
        <f>IFERROR(__xludf.DUMMYFUNCTION("""COMPUTED_VALUE"""),46018.66666666667)</f>
        <v>46018.66667</v>
      </c>
      <c r="I3499" s="237" t="str">
        <f t="shared" si="1"/>
        <v>Fora</v>
      </c>
      <c r="J3499" s="239">
        <v>600.0000000069849</v>
      </c>
    </row>
    <row r="3500">
      <c r="A3500" s="234" t="s">
        <v>4805</v>
      </c>
      <c r="B3500" s="234" t="str">
        <f>IFERROR(__xludf.DUMMYFUNCTION("""COMPUTED_VALUE"""),"SoC_GO_Goiânia_02")</f>
        <v>SoC_GO_Goiânia_02</v>
      </c>
      <c r="C3500" s="234" t="str">
        <f>IFERROR(__xludf.DUMMYFUNCTION("""COMPUTED_VALUE"""),"SOC-GO2")</f>
        <v>SOC-GO2</v>
      </c>
      <c r="D3500" s="234" t="str">
        <f>IFERROR(__xludf.DUMMYFUNCTION("""COMPUTED_VALUE"""),"86/113")</f>
        <v>86/113</v>
      </c>
      <c r="E3500" s="237" t="str">
        <f>IFERROR(__xludf.DUMMYFUNCTION("""COMPUTED_VALUE"""),"LT0PCR01UZIS2")</f>
        <v>LT0PCR01UZIS2</v>
      </c>
      <c r="F3500" s="238" t="str">
        <f>IFERROR(__xludf.DUMMYFUNCTION("""COMPUTED_VALUE"""),"UES0H21")</f>
        <v>UES0H21</v>
      </c>
      <c r="G3500" s="238">
        <f>IFERROR(__xludf.DUMMYFUNCTION("""COMPUTED_VALUE"""),46018.45833333333)</f>
        <v>46018.45833</v>
      </c>
      <c r="H3500" s="238">
        <f>IFERROR(__xludf.DUMMYFUNCTION("""COMPUTED_VALUE"""),46018.875)</f>
        <v>46018.875</v>
      </c>
      <c r="I3500" s="237" t="str">
        <f t="shared" si="1"/>
        <v>Fora</v>
      </c>
      <c r="J3500" s="239">
        <v>120.00000001396984</v>
      </c>
    </row>
    <row r="3501">
      <c r="A3501" s="234" t="s">
        <v>4806</v>
      </c>
      <c r="B3501" s="234" t="str">
        <f>IFERROR(__xludf.DUMMYFUNCTION("""COMPUTED_VALUE"""),"SoC_PE_Jaboatão dos Guararapes")</f>
        <v>SoC_PE_Jaboatão dos Guararapes</v>
      </c>
      <c r="C3501" s="234" t="str">
        <f>IFERROR(__xludf.DUMMYFUNCTION("""COMPUTED_VALUE"""),"SOC-PE2")</f>
        <v>SOC-PE2</v>
      </c>
      <c r="D3501" s="234" t="str">
        <f>IFERROR(__xludf.DUMMYFUNCTION("""COMPUTED_VALUE"""),"22/98")</f>
        <v>22/98</v>
      </c>
      <c r="E3501" s="237" t="str">
        <f>IFERROR(__xludf.DUMMYFUNCTION("""COMPUTED_VALUE"""),"LT0PCR01UZA51")</f>
        <v>LT0PCR01UZA51</v>
      </c>
      <c r="F3501" s="238" t="str">
        <f>IFERROR(__xludf.DUMMYFUNCTION("""COMPUTED_VALUE"""),"MLK8E70,NYD7118")</f>
        <v>MLK8E70,NYD7118</v>
      </c>
      <c r="G3501" s="238">
        <f>IFERROR(__xludf.DUMMYFUNCTION("""COMPUTED_VALUE"""),46018.83333333333)</f>
        <v>46018.83333</v>
      </c>
      <c r="H3501" s="238">
        <f>IFERROR(__xludf.DUMMYFUNCTION("""COMPUTED_VALUE"""),46018.91666666667)</f>
        <v>46018.91667</v>
      </c>
      <c r="I3501" s="237" t="str">
        <f t="shared" si="1"/>
        <v>Fora</v>
      </c>
      <c r="J3501" s="239">
        <v>540.0</v>
      </c>
    </row>
    <row r="3502">
      <c r="A3502" s="234" t="s">
        <v>4807</v>
      </c>
      <c r="B3502" s="234" t="str">
        <f>IFERROR(__xludf.DUMMYFUNCTION("""COMPUTED_VALUE"""),"SoC_BA_Simoes Filho")</f>
        <v>SoC_BA_Simoes Filho</v>
      </c>
      <c r="C3502" s="234" t="str">
        <f>IFERROR(__xludf.DUMMYFUNCTION("""COMPUTED_VALUE"""),"SOC-BA2")</f>
        <v>SOC-BA2</v>
      </c>
      <c r="D3502" s="234">
        <f>IFERROR(__xludf.DUMMYFUNCTION("""COMPUTED_VALUE"""),89.0)</f>
        <v>89</v>
      </c>
      <c r="E3502" s="237" t="str">
        <f>IFERROR(__xludf.DUMMYFUNCTION("""COMPUTED_VALUE"""),"LT0PCR01UZC62")</f>
        <v>LT0PCR01UZC62</v>
      </c>
      <c r="F3502" s="238" t="str">
        <f>IFERROR(__xludf.DUMMYFUNCTION("""COMPUTED_VALUE"""),"EOE5E10,SWS4F15")</f>
        <v>EOE5E10,SWS4F15</v>
      </c>
      <c r="G3502" s="238">
        <f>IFERROR(__xludf.DUMMYFUNCTION("""COMPUTED_VALUE"""),46018.58333333333)</f>
        <v>46018.58333</v>
      </c>
      <c r="H3502" s="238">
        <f>IFERROR(__xludf.DUMMYFUNCTION("""COMPUTED_VALUE"""),46018.95833333333)</f>
        <v>46018.95833</v>
      </c>
      <c r="I3502" s="237" t="str">
        <f t="shared" si="1"/>
        <v>Fora</v>
      </c>
      <c r="J3502" s="239">
        <v>540.0</v>
      </c>
    </row>
    <row r="3503">
      <c r="A3503" s="234" t="s">
        <v>4808</v>
      </c>
      <c r="B3503" s="234" t="str">
        <f>IFERROR(__xludf.DUMMYFUNCTION("""COMPUTED_VALUE"""),"SoC_GO_Goiânia_02")</f>
        <v>SoC_GO_Goiânia_02</v>
      </c>
      <c r="C3503" s="234" t="str">
        <f>IFERROR(__xludf.DUMMYFUNCTION("""COMPUTED_VALUE"""),"SOC-GO2")</f>
        <v>SOC-GO2</v>
      </c>
      <c r="D3503" s="234">
        <f>IFERROR(__xludf.DUMMYFUNCTION("""COMPUTED_VALUE"""),87.0)</f>
        <v>87</v>
      </c>
      <c r="E3503" s="237" t="str">
        <f>IFERROR(__xludf.DUMMYFUNCTION("""COMPUTED_VALUE"""),"LT0PCR01UZIZ2")</f>
        <v>LT0PCR01UZIZ2</v>
      </c>
      <c r="F3503" s="238" t="str">
        <f>IFERROR(__xludf.DUMMYFUNCTION("""COMPUTED_VALUE"""),"FVS7J52")</f>
        <v>FVS7J52</v>
      </c>
      <c r="G3503" s="238">
        <f>IFERROR(__xludf.DUMMYFUNCTION("""COMPUTED_VALUE"""),46018.58333333333)</f>
        <v>46018.58333</v>
      </c>
      <c r="H3503" s="238">
        <f>IFERROR(__xludf.DUMMYFUNCTION("""COMPUTED_VALUE"""),46018.95833333333)</f>
        <v>46018.95833</v>
      </c>
      <c r="I3503" s="237" t="str">
        <f t="shared" si="1"/>
        <v>Fora</v>
      </c>
      <c r="J3503" s="239">
        <v>538.9999999967404</v>
      </c>
    </row>
    <row r="3504">
      <c r="A3504" s="234" t="s">
        <v>4809</v>
      </c>
      <c r="B3504" s="234" t="str">
        <f>IFERROR(__xludf.DUMMYFUNCTION("""COMPUTED_VALUE"""),"SoC_SP_Cravinhos")</f>
        <v>SoC_SP_Cravinhos</v>
      </c>
      <c r="C3504" s="234" t="str">
        <f>IFERROR(__xludf.DUMMYFUNCTION("""COMPUTED_VALUE"""),"SOC-SP5")</f>
        <v>SOC-SP5</v>
      </c>
      <c r="D3504" s="234" t="str">
        <f>IFERROR(__xludf.DUMMYFUNCTION("""COMPUTED_VALUE"""),"94/49")</f>
        <v>94/49</v>
      </c>
      <c r="E3504" s="237" t="str">
        <f>IFERROR(__xludf.DUMMYFUNCTION("""COMPUTED_VALUE"""),"LT0PCR01UVMY2")</f>
        <v>LT0PCR01UVMY2</v>
      </c>
      <c r="F3504" s="238" t="str">
        <f>IFERROR(__xludf.DUMMYFUNCTION("""COMPUTED_VALUE"""),"QOB2B39")</f>
        <v>QOB2B39</v>
      </c>
      <c r="G3504" s="238">
        <f>IFERROR(__xludf.DUMMYFUNCTION("""COMPUTED_VALUE"""),46018.584027777775)</f>
        <v>46018.58403</v>
      </c>
      <c r="H3504" s="238">
        <f>IFERROR(__xludf.DUMMYFUNCTION("""COMPUTED_VALUE"""),46018.95833333333)</f>
        <v>46018.95833</v>
      </c>
      <c r="I3504" s="237" t="str">
        <f t="shared" si="1"/>
        <v>Fora</v>
      </c>
      <c r="J3504" s="239">
        <v>538.9999999967404</v>
      </c>
    </row>
    <row r="3505">
      <c r="A3505" s="234" t="s">
        <v>4810</v>
      </c>
      <c r="B3505" s="234" t="str">
        <f>IFERROR(__xludf.DUMMYFUNCTION("""COMPUTED_VALUE"""),"SoC_SP_Cravinhos")</f>
        <v>SoC_SP_Cravinhos</v>
      </c>
      <c r="C3505" s="234" t="str">
        <f>IFERROR(__xludf.DUMMYFUNCTION("""COMPUTED_VALUE"""),"SOC-SP5")</f>
        <v>SOC-SP5</v>
      </c>
      <c r="D3505" s="234">
        <f>IFERROR(__xludf.DUMMYFUNCTION("""COMPUTED_VALUE"""),95.0)</f>
        <v>95</v>
      </c>
      <c r="E3505" s="237" t="str">
        <f>IFERROR(__xludf.DUMMYFUNCTION("""COMPUTED_VALUE"""),"LT0PCR01UVMW1")</f>
        <v>LT0PCR01UVMW1</v>
      </c>
      <c r="F3505" s="238" t="str">
        <f>IFERROR(__xludf.DUMMYFUNCTION("""COMPUTED_VALUE"""),"QJQ7C17")</f>
        <v>QJQ7C17</v>
      </c>
      <c r="G3505" s="238">
        <f>IFERROR(__xludf.DUMMYFUNCTION("""COMPUTED_VALUE"""),46018.584027777775)</f>
        <v>46018.58403</v>
      </c>
      <c r="H3505" s="238">
        <f>IFERROR(__xludf.DUMMYFUNCTION("""COMPUTED_VALUE"""),46018.95833333333)</f>
        <v>46018.95833</v>
      </c>
      <c r="I3505" s="237" t="str">
        <f t="shared" si="1"/>
        <v>Fora</v>
      </c>
      <c r="J3505" s="239">
        <v>537.9999999934807</v>
      </c>
    </row>
    <row r="3506">
      <c r="A3506" s="234" t="s">
        <v>4811</v>
      </c>
      <c r="B3506" s="234" t="str">
        <f>IFERROR(__xludf.DUMMYFUNCTION("""COMPUTED_VALUE"""),"SoC_RJ_Duque de Caxias")</f>
        <v>SoC_RJ_Duque de Caxias</v>
      </c>
      <c r="C3506" s="234" t="str">
        <f>IFERROR(__xludf.DUMMYFUNCTION("""COMPUTED_VALUE"""),"SOC-RJ2")</f>
        <v>SOC-RJ2</v>
      </c>
      <c r="D3506" s="234">
        <f>IFERROR(__xludf.DUMMYFUNCTION("""COMPUTED_VALUE"""),29.0)</f>
        <v>29</v>
      </c>
      <c r="E3506" s="237" t="str">
        <f>IFERROR(__xludf.DUMMYFUNCTION("""COMPUTED_VALUE"""),"LT0PCR01UTLX2")</f>
        <v>LT0PCR01UTLX2</v>
      </c>
      <c r="F3506" s="238" t="str">
        <f>IFERROR(__xludf.DUMMYFUNCTION("""COMPUTED_VALUE"""),"LPO6D50")</f>
        <v>LPO6D50</v>
      </c>
      <c r="G3506" s="238">
        <f>IFERROR(__xludf.DUMMYFUNCTION("""COMPUTED_VALUE"""),46018.58472222222)</f>
        <v>46018.58472</v>
      </c>
      <c r="H3506" s="238">
        <f>IFERROR(__xludf.DUMMYFUNCTION("""COMPUTED_VALUE"""),46018.95833333333)</f>
        <v>46018.95833</v>
      </c>
      <c r="I3506" s="237" t="str">
        <f t="shared" si="1"/>
        <v>Fora</v>
      </c>
      <c r="J3506" s="239">
        <v>537.9999999934807</v>
      </c>
    </row>
    <row r="3507">
      <c r="A3507" s="234" t="s">
        <v>4812</v>
      </c>
      <c r="B3507" s="234" t="str">
        <f>IFERROR(__xludf.DUMMYFUNCTION("""COMPUTED_VALUE"""),"SoC_RJ_Duque de Caxias")</f>
        <v>SoC_RJ_Duque de Caxias</v>
      </c>
      <c r="C3507" s="234" t="str">
        <f>IFERROR(__xludf.DUMMYFUNCTION("""COMPUTED_VALUE"""),"SOC-RJ2")</f>
        <v>SOC-RJ2</v>
      </c>
      <c r="D3507" s="234">
        <f>IFERROR(__xludf.DUMMYFUNCTION("""COMPUTED_VALUE"""),96.0)</f>
        <v>96</v>
      </c>
      <c r="E3507" s="237" t="str">
        <f>IFERROR(__xludf.DUMMYFUNCTION("""COMPUTED_VALUE"""),"LT0PCR01UTLV1")</f>
        <v>LT0PCR01UTLV1</v>
      </c>
      <c r="F3507" s="238" t="str">
        <f>IFERROR(__xludf.DUMMYFUNCTION("""COMPUTED_VALUE"""),"GAV9D67")</f>
        <v>GAV9D67</v>
      </c>
      <c r="G3507" s="238">
        <f>IFERROR(__xludf.DUMMYFUNCTION("""COMPUTED_VALUE"""),46018.58472222222)</f>
        <v>46018.58472</v>
      </c>
      <c r="H3507" s="238">
        <f>IFERROR(__xludf.DUMMYFUNCTION("""COMPUTED_VALUE"""),46018.95833333333)</f>
        <v>46018.95833</v>
      </c>
      <c r="I3507" s="237" t="str">
        <f t="shared" si="1"/>
        <v>Fora</v>
      </c>
      <c r="J3507" s="239">
        <v>120.00000001396984</v>
      </c>
    </row>
    <row r="3508">
      <c r="A3508" s="234" t="s">
        <v>4813</v>
      </c>
      <c r="B3508" s="234" t="str">
        <f>IFERROR(__xludf.DUMMYFUNCTION("""COMPUTED_VALUE"""),"LM Hub_SP_Santos_Praia Grande")</f>
        <v>LM Hub_SP_Santos_Praia Grande</v>
      </c>
      <c r="C3508" s="234" t="str">
        <f>IFERROR(__xludf.DUMMYFUNCTION("""COMPUTED_VALUE"""),"HUB-LSP-09")</f>
        <v>HUB-LSP-09</v>
      </c>
      <c r="D3508" s="234">
        <f>IFERROR(__xludf.DUMMYFUNCTION("""COMPUTED_VALUE"""),32.0)</f>
        <v>32</v>
      </c>
      <c r="E3508" s="237" t="str">
        <f>IFERROR(__xludf.DUMMYFUNCTION("""COMPUTED_VALUE"""),"LT0PCR01UVQ31")</f>
        <v>LT0PCR01UVQ31</v>
      </c>
      <c r="F3508" s="238" t="str">
        <f>IFERROR(__xludf.DUMMYFUNCTION("""COMPUTED_VALUE"""),"FPA0G56")</f>
        <v>FPA0G56</v>
      </c>
      <c r="G3508" s="238">
        <f>IFERROR(__xludf.DUMMYFUNCTION("""COMPUTED_VALUE"""),46018.89583333333)</f>
        <v>46018.89583</v>
      </c>
      <c r="H3508" s="238">
        <f>IFERROR(__xludf.DUMMYFUNCTION("""COMPUTED_VALUE"""),46018.97916666667)</f>
        <v>46018.97917</v>
      </c>
      <c r="I3508" s="237" t="str">
        <f t="shared" si="1"/>
        <v>Fora</v>
      </c>
      <c r="J3508" s="239">
        <v>120.00000001396984</v>
      </c>
    </row>
    <row r="3509">
      <c r="A3509" s="234" t="s">
        <v>4814</v>
      </c>
      <c r="B3509" s="234" t="str">
        <f>IFERROR(__xludf.DUMMYFUNCTION("""COMPUTED_VALUE"""),"LM Hub_SP_São Paulo_Lapa")</f>
        <v>LM Hub_SP_São Paulo_Lapa</v>
      </c>
      <c r="C3509" s="234" t="str">
        <f>IFERROR(__xludf.DUMMYFUNCTION("""COMPUTED_VALUE"""),"HUB-LSP-15")</f>
        <v>HUB-LSP-15</v>
      </c>
      <c r="D3509" s="234">
        <f>IFERROR(__xludf.DUMMYFUNCTION("""COMPUTED_VALUE"""),23.0)</f>
        <v>23</v>
      </c>
      <c r="E3509" s="237" t="str">
        <f>IFERROR(__xludf.DUMMYFUNCTION("""COMPUTED_VALUE"""),"LT0PCR01UVNT1")</f>
        <v>LT0PCR01UVNT1</v>
      </c>
      <c r="F3509" s="238" t="str">
        <f>IFERROR(__xludf.DUMMYFUNCTION("""COMPUTED_VALUE"""),"FWY4H89")</f>
        <v>FWY4H89</v>
      </c>
      <c r="G3509" s="238">
        <f>IFERROR(__xludf.DUMMYFUNCTION("""COMPUTED_VALUE"""),46018.89583333333)</f>
        <v>46018.89583</v>
      </c>
      <c r="H3509" s="238">
        <f>IFERROR(__xludf.DUMMYFUNCTION("""COMPUTED_VALUE"""),46018.97916666667)</f>
        <v>46018.97917</v>
      </c>
      <c r="I3509" s="237" t="str">
        <f t="shared" si="1"/>
        <v>Fora</v>
      </c>
      <c r="J3509" s="239">
        <v>119.00000001071021</v>
      </c>
    </row>
    <row r="3510">
      <c r="A3510" s="234" t="s">
        <v>4815</v>
      </c>
      <c r="B3510" s="234" t="str">
        <f>IFERROR(__xludf.DUMMYFUNCTION("""COMPUTED_VALUE"""),"LM Hub_SP_Itaqua_Zimba")</f>
        <v>LM Hub_SP_Itaqua_Zimba</v>
      </c>
      <c r="C3510" s="234" t="str">
        <f>IFERROR(__xludf.DUMMYFUNCTION("""COMPUTED_VALUE"""),"HUB-LSP-74")</f>
        <v>HUB-LSP-74</v>
      </c>
      <c r="D3510" s="234">
        <f>IFERROR(__xludf.DUMMYFUNCTION("""COMPUTED_VALUE"""),35.0)</f>
        <v>35</v>
      </c>
      <c r="E3510" s="237" t="str">
        <f>IFERROR(__xludf.DUMMYFUNCTION("""COMPUTED_VALUE"""),"LT0PCR01UVOX1")</f>
        <v>LT0PCR01UVOX1</v>
      </c>
      <c r="F3510" s="238" t="str">
        <f>IFERROR(__xludf.DUMMYFUNCTION("""COMPUTED_VALUE"""),"TIZ8A99")</f>
        <v>TIZ8A99</v>
      </c>
      <c r="G3510" s="238">
        <f>IFERROR(__xludf.DUMMYFUNCTION("""COMPUTED_VALUE"""),46018.896527777775)</f>
        <v>46018.89653</v>
      </c>
      <c r="H3510" s="238">
        <f>IFERROR(__xludf.DUMMYFUNCTION("""COMPUTED_VALUE"""),46018.97916666667)</f>
        <v>46018.97917</v>
      </c>
      <c r="I3510" s="237" t="str">
        <f t="shared" si="1"/>
        <v>Fora</v>
      </c>
      <c r="J3510" s="239">
        <v>119.00000001071021</v>
      </c>
    </row>
    <row r="3511">
      <c r="A3511" s="234" t="s">
        <v>4816</v>
      </c>
      <c r="B3511" s="234" t="str">
        <f>IFERROR(__xludf.DUMMYFUNCTION("""COMPUTED_VALUE"""),"LM Hub_SP_Jurubatuba")</f>
        <v>LM Hub_SP_Jurubatuba</v>
      </c>
      <c r="C3511" s="234" t="str">
        <f>IFERROR(__xludf.DUMMYFUNCTION("""COMPUTED_VALUE"""),"HUB-LSP-16")</f>
        <v>HUB-LSP-16</v>
      </c>
      <c r="D3511" s="234">
        <f>IFERROR(__xludf.DUMMYFUNCTION("""COMPUTED_VALUE"""),33.0)</f>
        <v>33</v>
      </c>
      <c r="E3511" s="237" t="str">
        <f>IFERROR(__xludf.DUMMYFUNCTION("""COMPUTED_VALUE"""),"LT0PCR01UTC71")</f>
        <v>LT0PCR01UTC71</v>
      </c>
      <c r="F3511" s="238" t="str">
        <f>IFERROR(__xludf.DUMMYFUNCTION("""COMPUTED_VALUE"""),"FNK8E47")</f>
        <v>FNK8E47</v>
      </c>
      <c r="G3511" s="238">
        <f>IFERROR(__xludf.DUMMYFUNCTION("""COMPUTED_VALUE"""),46018.896527777775)</f>
        <v>46018.89653</v>
      </c>
      <c r="H3511" s="238">
        <f>IFERROR(__xludf.DUMMYFUNCTION("""COMPUTED_VALUE"""),46018.97916666667)</f>
        <v>46018.97917</v>
      </c>
      <c r="I3511" s="237" t="str">
        <f t="shared" si="1"/>
        <v>Fora</v>
      </c>
      <c r="J3511" s="239">
        <v>118.00000000745058</v>
      </c>
    </row>
    <row r="3512">
      <c r="A3512" s="234" t="s">
        <v>4817</v>
      </c>
      <c r="B3512" s="234" t="str">
        <f>IFERROR(__xludf.DUMMYFUNCTION("""COMPUTED_VALUE"""),"LM Hub_SP_São José dos Campos")</f>
        <v>LM Hub_SP_São José dos Campos</v>
      </c>
      <c r="C3512" s="234" t="str">
        <f>IFERROR(__xludf.DUMMYFUNCTION("""COMPUTED_VALUE"""),"HUB-LSP-04")</f>
        <v>HUB-LSP-04</v>
      </c>
      <c r="D3512" s="234">
        <f>IFERROR(__xludf.DUMMYFUNCTION("""COMPUTED_VALUE"""),20.0)</f>
        <v>20</v>
      </c>
      <c r="E3512" s="237" t="str">
        <f>IFERROR(__xludf.DUMMYFUNCTION("""COMPUTED_VALUE"""),"LT0PCR01UTCJ1")</f>
        <v>LT0PCR01UTCJ1</v>
      </c>
      <c r="F3512" s="238" t="str">
        <f>IFERROR(__xludf.DUMMYFUNCTION("""COMPUTED_VALUE"""),"RYF5C99")</f>
        <v>RYF5C99</v>
      </c>
      <c r="G3512" s="238">
        <f>IFERROR(__xludf.DUMMYFUNCTION("""COMPUTED_VALUE"""),46018.89722222222)</f>
        <v>46018.89722</v>
      </c>
      <c r="H3512" s="238">
        <f>IFERROR(__xludf.DUMMYFUNCTION("""COMPUTED_VALUE"""),46018.97916666667)</f>
        <v>46018.97917</v>
      </c>
      <c r="I3512" s="237" t="str">
        <f t="shared" si="1"/>
        <v>Fora</v>
      </c>
      <c r="J3512" s="239">
        <v>118.99999998975545</v>
      </c>
    </row>
    <row r="3513">
      <c r="A3513" s="234" t="s">
        <v>4818</v>
      </c>
      <c r="B3513" s="234" t="str">
        <f>IFERROR(__xludf.DUMMYFUNCTION("""COMPUTED_VALUE"""),"LM Hub_SP_Guarujá")</f>
        <v>LM Hub_SP_Guarujá</v>
      </c>
      <c r="C3513" s="234" t="str">
        <f>IFERROR(__xludf.DUMMYFUNCTION("""COMPUTED_VALUE"""),"HUB-LSP-06")</f>
        <v>HUB-LSP-06</v>
      </c>
      <c r="D3513" s="234">
        <f>IFERROR(__xludf.DUMMYFUNCTION("""COMPUTED_VALUE"""),36.0)</f>
        <v>36</v>
      </c>
      <c r="E3513" s="237" t="str">
        <f>IFERROR(__xludf.DUMMYFUNCTION("""COMPUTED_VALUE"""),"LT0PCR01UVPH1")</f>
        <v>LT0PCR01UVPH1</v>
      </c>
      <c r="F3513" s="238" t="str">
        <f>IFERROR(__xludf.DUMMYFUNCTION("""COMPUTED_VALUE"""),"TJN5H17")</f>
        <v>TJN5H17</v>
      </c>
      <c r="G3513" s="238">
        <f>IFERROR(__xludf.DUMMYFUNCTION("""COMPUTED_VALUE"""),46018.91666666667)</f>
        <v>46018.91667</v>
      </c>
      <c r="H3513" s="238">
        <f>IFERROR(__xludf.DUMMYFUNCTION("""COMPUTED_VALUE"""),46018.99930555555)</f>
        <v>46018.99931</v>
      </c>
      <c r="I3513" s="237" t="str">
        <f t="shared" si="1"/>
        <v>Fora</v>
      </c>
      <c r="J3513" s="239">
        <v>119.99999999301508</v>
      </c>
    </row>
    <row r="3514">
      <c r="A3514" s="234" t="s">
        <v>4819</v>
      </c>
      <c r="B3514" s="234" t="str">
        <f>IFERROR(__xludf.DUMMYFUNCTION("""COMPUTED_VALUE"""),"LM Hub_SP_Barueri_01")</f>
        <v>LM Hub_SP_Barueri_01</v>
      </c>
      <c r="C3514" s="234" t="str">
        <f>IFERROR(__xludf.DUMMYFUNCTION("""COMPUTED_VALUE"""),"HUB-LSP-81")</f>
        <v>HUB-LSP-81</v>
      </c>
      <c r="D3514" s="234">
        <f>IFERROR(__xludf.DUMMYFUNCTION("""COMPUTED_VALUE"""),18.0)</f>
        <v>18</v>
      </c>
      <c r="E3514" s="237" t="str">
        <f>IFERROR(__xludf.DUMMYFUNCTION("""COMPUTED_VALUE"""),"LT0PCR01UZ3Z1")</f>
        <v>LT0PCR01UZ3Z1</v>
      </c>
      <c r="F3514" s="238" t="str">
        <f>IFERROR(__xludf.DUMMYFUNCTION("""COMPUTED_VALUE"""),"DVA3A62")</f>
        <v>DVA3A62</v>
      </c>
      <c r="G3514" s="238">
        <f>IFERROR(__xludf.DUMMYFUNCTION("""COMPUTED_VALUE"""),46018.91666666667)</f>
        <v>46018.91667</v>
      </c>
      <c r="H3514" s="238">
        <f>IFERROR(__xludf.DUMMYFUNCTION("""COMPUTED_VALUE"""),46019.0)</f>
        <v>46019</v>
      </c>
      <c r="I3514" s="237" t="str">
        <f t="shared" si="1"/>
        <v>Fora</v>
      </c>
      <c r="J3514" s="239">
        <v>119.99999999301508</v>
      </c>
    </row>
    <row r="3515">
      <c r="A3515" s="234" t="s">
        <v>4820</v>
      </c>
      <c r="B3515" s="234" t="str">
        <f>IFERROR(__xludf.DUMMYFUNCTION("""COMPUTED_VALUE"""),"LM Hub_SP_Itapevi")</f>
        <v>LM Hub_SP_Itapevi</v>
      </c>
      <c r="C3515" s="234" t="str">
        <f>IFERROR(__xludf.DUMMYFUNCTION("""COMPUTED_VALUE"""),"HUB-LSP-41")</f>
        <v>HUB-LSP-41</v>
      </c>
      <c r="D3515" s="234">
        <f>IFERROR(__xludf.DUMMYFUNCTION("""COMPUTED_VALUE"""),21.0)</f>
        <v>21</v>
      </c>
      <c r="E3515" s="237" t="str">
        <f>IFERROR(__xludf.DUMMYFUNCTION("""COMPUTED_VALUE"""),"LT0PCR01UVOE1")</f>
        <v>LT0PCR01UVOE1</v>
      </c>
      <c r="F3515" s="238" t="str">
        <f>IFERROR(__xludf.DUMMYFUNCTION("""COMPUTED_VALUE"""),"OWR2D74")</f>
        <v>OWR2D74</v>
      </c>
      <c r="G3515" s="238">
        <f>IFERROR(__xludf.DUMMYFUNCTION("""COMPUTED_VALUE"""),46018.91666666667)</f>
        <v>46018.91667</v>
      </c>
      <c r="H3515" s="238">
        <f>IFERROR(__xludf.DUMMYFUNCTION("""COMPUTED_VALUE"""),46019.0)</f>
        <v>46019</v>
      </c>
      <c r="I3515" s="237" t="str">
        <f t="shared" si="1"/>
        <v>Fora</v>
      </c>
      <c r="J3515" s="239">
        <v>119.99999999301508</v>
      </c>
    </row>
    <row r="3516">
      <c r="A3516" s="234" t="s">
        <v>4821</v>
      </c>
      <c r="B3516" s="234" t="str">
        <f>IFERROR(__xludf.DUMMYFUNCTION("""COMPUTED_VALUE"""),"LM Hub_SP_Mauá")</f>
        <v>LM Hub_SP_Mauá</v>
      </c>
      <c r="C3516" s="234" t="str">
        <f>IFERROR(__xludf.DUMMYFUNCTION("""COMPUTED_VALUE"""),"HUB-LSP-64")</f>
        <v>HUB-LSP-64</v>
      </c>
      <c r="D3516" s="234"/>
      <c r="E3516" s="237" t="str">
        <f>IFERROR(__xludf.DUMMYFUNCTION("""COMPUTED_VALUE"""),"LT0PCR01UVOO1")</f>
        <v>LT0PCR01UVOO1</v>
      </c>
      <c r="F3516" s="238" t="str">
        <f>IFERROR(__xludf.DUMMYFUNCTION("""COMPUTED_VALUE"""),"QQO8H42,FSO9H65")</f>
        <v>QQO8H42,FSO9H65</v>
      </c>
      <c r="G3516" s="238">
        <f>IFERROR(__xludf.DUMMYFUNCTION("""COMPUTED_VALUE"""),46018.91666666667)</f>
        <v>46018.91667</v>
      </c>
      <c r="H3516" s="238">
        <f>IFERROR(__xludf.DUMMYFUNCTION("""COMPUTED_VALUE"""),46019.0)</f>
        <v>46019</v>
      </c>
      <c r="I3516" s="237" t="str">
        <f t="shared" si="1"/>
        <v>Fora</v>
      </c>
      <c r="J3516" s="239">
        <v>119.99999999301508</v>
      </c>
    </row>
    <row r="3517">
      <c r="A3517" s="234" t="s">
        <v>4822</v>
      </c>
      <c r="B3517" s="234" t="str">
        <f>IFERROR(__xludf.DUMMYFUNCTION("""COMPUTED_VALUE"""),"LM Hub_SP_Osasco_02")</f>
        <v>LM Hub_SP_Osasco_02</v>
      </c>
      <c r="C3517" s="234" t="str">
        <f>IFERROR(__xludf.DUMMYFUNCTION("""COMPUTED_VALUE"""),"HUB-LSP-60")</f>
        <v>HUB-LSP-60</v>
      </c>
      <c r="D3517" s="234">
        <f>IFERROR(__xludf.DUMMYFUNCTION("""COMPUTED_VALUE"""),29.0)</f>
        <v>29</v>
      </c>
      <c r="E3517" s="237" t="str">
        <f>IFERROR(__xludf.DUMMYFUNCTION("""COMPUTED_VALUE"""),"LT0PCR01UVOK1")</f>
        <v>LT0PCR01UVOK1</v>
      </c>
      <c r="F3517" s="238" t="str">
        <f>IFERROR(__xludf.DUMMYFUNCTION("""COMPUTED_VALUE"""),"EGJ5D59")</f>
        <v>EGJ5D59</v>
      </c>
      <c r="G3517" s="238">
        <f>IFERROR(__xludf.DUMMYFUNCTION("""COMPUTED_VALUE"""),46018.91666666667)</f>
        <v>46018.91667</v>
      </c>
      <c r="H3517" s="238">
        <f>IFERROR(__xludf.DUMMYFUNCTION("""COMPUTED_VALUE"""),46019.0)</f>
        <v>46019</v>
      </c>
      <c r="I3517" s="237" t="str">
        <f t="shared" si="1"/>
        <v>Fora</v>
      </c>
      <c r="J3517" s="239">
        <v>1.000000003259629</v>
      </c>
    </row>
    <row r="3518">
      <c r="A3518" s="234" t="s">
        <v>4823</v>
      </c>
      <c r="B3518" s="234" t="str">
        <f>IFERROR(__xludf.DUMMYFUNCTION("""COMPUTED_VALUE"""),"SoC_RJ_Duque de Caxias")</f>
        <v>SoC_RJ_Duque de Caxias</v>
      </c>
      <c r="C3518" s="234" t="str">
        <f>IFERROR(__xludf.DUMMYFUNCTION("""COMPUTED_VALUE"""),"SOC-RJ2")</f>
        <v>SOC-RJ2</v>
      </c>
      <c r="D3518" s="234"/>
      <c r="E3518" s="237" t="str">
        <f>IFERROR(__xludf.DUMMYFUNCTION("""COMPUTED_VALUE"""),"LT1PCR01VU7P1")</f>
        <v>LT1PCR01VU7P1</v>
      </c>
      <c r="F3518" s="234"/>
      <c r="G3518" s="238">
        <f>IFERROR(__xludf.DUMMYFUNCTION("""COMPUTED_VALUE"""),46018.99930555555)</f>
        <v>46018.99931</v>
      </c>
      <c r="H3518" s="238">
        <f>IFERROR(__xludf.DUMMYFUNCTION("""COMPUTED_VALUE"""),46019.0)</f>
        <v>46019</v>
      </c>
      <c r="I3518" s="237" t="str">
        <f t="shared" si="1"/>
        <v>Fora</v>
      </c>
      <c r="J3518" s="239">
        <v>119.00000000023283</v>
      </c>
    </row>
    <row r="3519">
      <c r="A3519" s="234" t="s">
        <v>4824</v>
      </c>
      <c r="B3519" s="234" t="str">
        <f>IFERROR(__xludf.DUMMYFUNCTION("""COMPUTED_VALUE"""),"LM Hub_SP_Artur Alvim")</f>
        <v>LM Hub_SP_Artur Alvim</v>
      </c>
      <c r="C3519" s="234" t="str">
        <f>IFERROR(__xludf.DUMMYFUNCTION("""COMPUTED_VALUE"""),"HUB-LSP-07")</f>
        <v>HUB-LSP-07</v>
      </c>
      <c r="D3519" s="234">
        <f>IFERROR(__xludf.DUMMYFUNCTION("""COMPUTED_VALUE"""),16.0)</f>
        <v>16</v>
      </c>
      <c r="E3519" s="237" t="str">
        <f>IFERROR(__xludf.DUMMYFUNCTION("""COMPUTED_VALUE"""),"LT0PCR01UVNG1")</f>
        <v>LT0PCR01UVNG1</v>
      </c>
      <c r="F3519" s="238" t="str">
        <f>IFERROR(__xludf.DUMMYFUNCTION("""COMPUTED_VALUE"""),"NKW3F61")</f>
        <v>NKW3F61</v>
      </c>
      <c r="G3519" s="238">
        <f>IFERROR(__xludf.DUMMYFUNCTION("""COMPUTED_VALUE"""),46018.91736111111)</f>
        <v>46018.91736</v>
      </c>
      <c r="H3519" s="238">
        <f>IFERROR(__xludf.DUMMYFUNCTION("""COMPUTED_VALUE"""),46019.0)</f>
        <v>46019</v>
      </c>
      <c r="I3519" s="237" t="str">
        <f t="shared" si="1"/>
        <v>Fora</v>
      </c>
      <c r="J3519" s="239">
        <v>119.00000000023283</v>
      </c>
    </row>
    <row r="3520">
      <c r="A3520" s="234" t="s">
        <v>4825</v>
      </c>
      <c r="B3520" s="234" t="str">
        <f>IFERROR(__xludf.DUMMYFUNCTION("""COMPUTED_VALUE"""),"LM Hub_SP_Guarulhos")</f>
        <v>LM Hub_SP_Guarulhos</v>
      </c>
      <c r="C3520" s="234" t="str">
        <f>IFERROR(__xludf.DUMMYFUNCTION("""COMPUTED_VALUE"""),"HUB-LSP-77")</f>
        <v>HUB-LSP-77</v>
      </c>
      <c r="D3520" s="234">
        <f>IFERROR(__xludf.DUMMYFUNCTION("""COMPUTED_VALUE"""),25.0)</f>
        <v>25</v>
      </c>
      <c r="E3520" s="237" t="str">
        <f>IFERROR(__xludf.DUMMYFUNCTION("""COMPUTED_VALUE"""),"LT0PCR01UW4O1")</f>
        <v>LT0PCR01UW4O1</v>
      </c>
      <c r="F3520" s="238" t="str">
        <f>IFERROR(__xludf.DUMMYFUNCTION("""COMPUTED_VALUE"""),"IRW2J90")</f>
        <v>IRW2J90</v>
      </c>
      <c r="G3520" s="238">
        <f>IFERROR(__xludf.DUMMYFUNCTION("""COMPUTED_VALUE"""),46018.91736111111)</f>
        <v>46018.91736</v>
      </c>
      <c r="H3520" s="238">
        <f>IFERROR(__xludf.DUMMYFUNCTION("""COMPUTED_VALUE"""),46019.0)</f>
        <v>46019</v>
      </c>
      <c r="I3520" s="237" t="str">
        <f t="shared" si="1"/>
        <v>Fora</v>
      </c>
      <c r="J3520" s="239">
        <v>119.00000000023283</v>
      </c>
    </row>
    <row r="3521">
      <c r="A3521" s="234" t="s">
        <v>4826</v>
      </c>
      <c r="B3521" s="234" t="str">
        <f>IFERROR(__xludf.DUMMYFUNCTION("""COMPUTED_VALUE"""),"LM Hub_SP_Santo André")</f>
        <v>LM Hub_SP_Santo André</v>
      </c>
      <c r="C3521" s="234" t="str">
        <f>IFERROR(__xludf.DUMMYFUNCTION("""COMPUTED_VALUE"""),"HUB-LSP-93")</f>
        <v>HUB-LSP-93</v>
      </c>
      <c r="D3521" s="234"/>
      <c r="E3521" s="237" t="str">
        <f>IFERROR(__xludf.DUMMYFUNCTION("""COMPUTED_VALUE"""),"LT0PCR01UXE61")</f>
        <v>LT0PCR01UXE61</v>
      </c>
      <c r="F3521" s="238" t="str">
        <f>IFERROR(__xludf.DUMMYFUNCTION("""COMPUTED_VALUE"""),"AUH5C55,AXE8E39")</f>
        <v>AUH5C55,AXE8E39</v>
      </c>
      <c r="G3521" s="238">
        <f>IFERROR(__xludf.DUMMYFUNCTION("""COMPUTED_VALUE"""),46018.91736111111)</f>
        <v>46018.91736</v>
      </c>
      <c r="H3521" s="238">
        <f>IFERROR(__xludf.DUMMYFUNCTION("""COMPUTED_VALUE"""),46019.0)</f>
        <v>46019</v>
      </c>
      <c r="I3521" s="237" t="str">
        <f t="shared" si="1"/>
        <v>Fora</v>
      </c>
      <c r="J3521" s="239">
        <v>119.99999999301508</v>
      </c>
    </row>
    <row r="3522">
      <c r="A3522" s="234" t="s">
        <v>4827</v>
      </c>
      <c r="B3522" s="234" t="str">
        <f>IFERROR(__xludf.DUMMYFUNCTION("""COMPUTED_VALUE"""),"LM Hub_SP_Jardim Adriana")</f>
        <v>LM Hub_SP_Jardim Adriana</v>
      </c>
      <c r="C3522" s="234" t="str">
        <f>IFERROR(__xludf.DUMMYFUNCTION("""COMPUTED_VALUE"""),"HUB-LSP-12")</f>
        <v>HUB-LSP-12</v>
      </c>
      <c r="D3522" s="234">
        <f>IFERROR(__xludf.DUMMYFUNCTION("""COMPUTED_VALUE"""),5.0)</f>
        <v>5</v>
      </c>
      <c r="E3522" s="237" t="str">
        <f>IFERROR(__xludf.DUMMYFUNCTION("""COMPUTED_VALUE"""),"LT0PCR01UVNM1")</f>
        <v>LT0PCR01UVNM1</v>
      </c>
      <c r="F3522" s="238" t="str">
        <f>IFERROR(__xludf.DUMMYFUNCTION("""COMPUTED_VALUE"""),"GCS0J70")</f>
        <v>GCS0J70</v>
      </c>
      <c r="G3522" s="238">
        <f>IFERROR(__xludf.DUMMYFUNCTION("""COMPUTED_VALUE"""),46018.9375)</f>
        <v>46018.9375</v>
      </c>
      <c r="H3522" s="238">
        <f>IFERROR(__xludf.DUMMYFUNCTION("""COMPUTED_VALUE"""),46019.02083333333)</f>
        <v>46019.02083</v>
      </c>
      <c r="I3522" s="237" t="str">
        <f t="shared" si="1"/>
        <v>Fora</v>
      </c>
      <c r="J3522" s="239">
        <v>119.99999999301508</v>
      </c>
    </row>
    <row r="3523">
      <c r="A3523" s="234" t="s">
        <v>4828</v>
      </c>
      <c r="B3523" s="234" t="str">
        <f>IFERROR(__xludf.DUMMYFUNCTION("""COMPUTED_VALUE"""),"LM Hub_SP_Parque Novo Mundo")</f>
        <v>LM Hub_SP_Parque Novo Mundo</v>
      </c>
      <c r="C3523" s="234" t="str">
        <f>IFERROR(__xludf.DUMMYFUNCTION("""COMPUTED_VALUE"""),"HUB-LSP-89")</f>
        <v>HUB-LSP-89</v>
      </c>
      <c r="D3523" s="234"/>
      <c r="E3523" s="237" t="str">
        <f>IFERROR(__xludf.DUMMYFUNCTION("""COMPUTED_VALUE"""),"LT0PCR01UW9R1")</f>
        <v>LT0PCR01UW9R1</v>
      </c>
      <c r="F3523" s="238" t="str">
        <f>IFERROR(__xludf.DUMMYFUNCTION("""COMPUTED_VALUE"""),"GIQ1C13,AKZ0B43")</f>
        <v>GIQ1C13,AKZ0B43</v>
      </c>
      <c r="G3523" s="238">
        <f>IFERROR(__xludf.DUMMYFUNCTION("""COMPUTED_VALUE"""),46018.9375)</f>
        <v>46018.9375</v>
      </c>
      <c r="H3523" s="238">
        <f>IFERROR(__xludf.DUMMYFUNCTION("""COMPUTED_VALUE"""),46019.02083333333)</f>
        <v>46019.02083</v>
      </c>
      <c r="I3523" s="237" t="str">
        <f t="shared" si="1"/>
        <v>Fora</v>
      </c>
      <c r="J3523" s="239">
        <v>119.99999999301508</v>
      </c>
    </row>
    <row r="3524">
      <c r="A3524" s="234" t="s">
        <v>4829</v>
      </c>
      <c r="B3524" s="234" t="str">
        <f>IFERROR(__xludf.DUMMYFUNCTION("""COMPUTED_VALUE"""),"LM Hub_SP_Piracicaba")</f>
        <v>LM Hub_SP_Piracicaba</v>
      </c>
      <c r="C3524" s="234" t="str">
        <f>IFERROR(__xludf.DUMMYFUNCTION("""COMPUTED_VALUE"""),"HUB-LSP-62")</f>
        <v>HUB-LSP-62</v>
      </c>
      <c r="D3524" s="234">
        <f>IFERROR(__xludf.DUMMYFUNCTION("""COMPUTED_VALUE"""),34.0)</f>
        <v>34</v>
      </c>
      <c r="E3524" s="237" t="str">
        <f>IFERROR(__xludf.DUMMYFUNCTION("""COMPUTED_VALUE"""),"LT0PCR01UW4Z1")</f>
        <v>LT0PCR01UW4Z1</v>
      </c>
      <c r="F3524" s="238" t="str">
        <f>IFERROR(__xludf.DUMMYFUNCTION("""COMPUTED_VALUE"""),"EOF4D32")</f>
        <v>EOF4D32</v>
      </c>
      <c r="G3524" s="238">
        <f>IFERROR(__xludf.DUMMYFUNCTION("""COMPUTED_VALUE"""),46018.9375)</f>
        <v>46018.9375</v>
      </c>
      <c r="H3524" s="238">
        <f>IFERROR(__xludf.DUMMYFUNCTION("""COMPUTED_VALUE"""),46019.02083333333)</f>
        <v>46019.02083</v>
      </c>
      <c r="I3524" s="237" t="str">
        <f t="shared" si="1"/>
        <v>Fora</v>
      </c>
      <c r="J3524" s="239">
        <v>118.99999998975545</v>
      </c>
    </row>
    <row r="3525">
      <c r="A3525" s="234" t="s">
        <v>4830</v>
      </c>
      <c r="B3525" s="234" t="str">
        <f>IFERROR(__xludf.DUMMYFUNCTION("""COMPUTED_VALUE"""),"LM Hub_SP_VilaGuilherme")</f>
        <v>LM Hub_SP_VilaGuilherme</v>
      </c>
      <c r="C3525" s="234" t="str">
        <f>IFERROR(__xludf.DUMMYFUNCTION("""COMPUTED_VALUE"""),"HUB-LSP-68")</f>
        <v>HUB-LSP-68</v>
      </c>
      <c r="D3525" s="234">
        <f>IFERROR(__xludf.DUMMYFUNCTION("""COMPUTED_VALUE"""),28.0)</f>
        <v>28</v>
      </c>
      <c r="E3525" s="237" t="str">
        <f>IFERROR(__xludf.DUMMYFUNCTION("""COMPUTED_VALUE"""),"LT0PCR01UTCA1")</f>
        <v>LT0PCR01UTCA1</v>
      </c>
      <c r="F3525" s="238" t="str">
        <f>IFERROR(__xludf.DUMMYFUNCTION("""COMPUTED_VALUE"""),"OEO1I34")</f>
        <v>OEO1I34</v>
      </c>
      <c r="G3525" s="238">
        <f>IFERROR(__xludf.DUMMYFUNCTION("""COMPUTED_VALUE"""),46018.93819444445)</f>
        <v>46018.93819</v>
      </c>
      <c r="H3525" s="238">
        <f>IFERROR(__xludf.DUMMYFUNCTION("""COMPUTED_VALUE"""),46019.02083333333)</f>
        <v>46019.02083</v>
      </c>
      <c r="I3525" s="237" t="str">
        <f t="shared" si="1"/>
        <v>Fora</v>
      </c>
      <c r="J3525" s="239">
        <v>117.99999998649582</v>
      </c>
    </row>
    <row r="3526">
      <c r="A3526" s="234" t="s">
        <v>4831</v>
      </c>
      <c r="B3526" s="234" t="str">
        <f>IFERROR(__xludf.DUMMYFUNCTION("""COMPUTED_VALUE"""),"LM Hub_SP_São Paulo_Carandiru")</f>
        <v>LM Hub_SP_São Paulo_Carandiru</v>
      </c>
      <c r="C3526" s="234" t="str">
        <f>IFERROR(__xludf.DUMMYFUNCTION("""COMPUTED_VALUE"""),"HUB-LSP-18")</f>
        <v>HUB-LSP-18</v>
      </c>
      <c r="D3526" s="234">
        <f>IFERROR(__xludf.DUMMYFUNCTION("""COMPUTED_VALUE"""),9.0)</f>
        <v>9</v>
      </c>
      <c r="E3526" s="237" t="str">
        <f>IFERROR(__xludf.DUMMYFUNCTION("""COMPUTED_VALUE"""),"LT0PCR01UVO21")</f>
        <v>LT0PCR01UVO21</v>
      </c>
      <c r="F3526" s="238" t="str">
        <f>IFERROR(__xludf.DUMMYFUNCTION("""COMPUTED_VALUE"""),"BVT4B34")</f>
        <v>BVT4B34</v>
      </c>
      <c r="G3526" s="238">
        <f>IFERROR(__xludf.DUMMYFUNCTION("""COMPUTED_VALUE"""),46018.93888888889)</f>
        <v>46018.93889</v>
      </c>
      <c r="H3526" s="238">
        <f>IFERROR(__xludf.DUMMYFUNCTION("""COMPUTED_VALUE"""),46019.02083333333)</f>
        <v>46019.02083</v>
      </c>
      <c r="I3526" s="237" t="str">
        <f t="shared" si="1"/>
        <v>Fora</v>
      </c>
      <c r="J3526" s="239">
        <v>599.9999999860302</v>
      </c>
    </row>
    <row r="3527">
      <c r="A3527" s="234" t="s">
        <v>4832</v>
      </c>
      <c r="B3527" s="234" t="str">
        <f>IFERROR(__xludf.DUMMYFUNCTION("""COMPUTED_VALUE"""),"SoC_GO_Goiânia_02")</f>
        <v>SoC_GO_Goiânia_02</v>
      </c>
      <c r="C3527" s="234" t="str">
        <f>IFERROR(__xludf.DUMMYFUNCTION("""COMPUTED_VALUE"""),"SOC-GO2")</f>
        <v>SOC-GO2</v>
      </c>
      <c r="D3527" s="234">
        <f>IFERROR(__xludf.DUMMYFUNCTION("""COMPUTED_VALUE"""),86.0)</f>
        <v>86</v>
      </c>
      <c r="E3527" s="237" t="str">
        <f>IFERROR(__xludf.DUMMYFUNCTION("""COMPUTED_VALUE"""),"LT0PCR01UZIQ1")</f>
        <v>LT0PCR01UZIQ1</v>
      </c>
      <c r="F3527" s="238" t="str">
        <f>IFERROR(__xludf.DUMMYFUNCTION("""COMPUTED_VALUE"""),"FQE9H60")</f>
        <v>FQE9H60</v>
      </c>
      <c r="G3527" s="238">
        <f>IFERROR(__xludf.DUMMYFUNCTION("""COMPUTED_VALUE"""),46018.66666666667)</f>
        <v>46018.66667</v>
      </c>
      <c r="H3527" s="238">
        <f>IFERROR(__xludf.DUMMYFUNCTION("""COMPUTED_VALUE"""),46019.08333333333)</f>
        <v>46019.08333</v>
      </c>
      <c r="I3527" s="237" t="str">
        <f t="shared" si="1"/>
        <v>Fora</v>
      </c>
      <c r="J3527" s="239">
        <v>599.9999999860302</v>
      </c>
    </row>
    <row r="3528">
      <c r="A3528" s="234" t="s">
        <v>4833</v>
      </c>
      <c r="B3528" s="234" t="str">
        <f>IFERROR(__xludf.DUMMYFUNCTION("""COMPUTED_VALUE"""),"SoC_MG_Betim")</f>
        <v>SoC_MG_Betim</v>
      </c>
      <c r="C3528" s="234" t="str">
        <f>IFERROR(__xludf.DUMMYFUNCTION("""COMPUTED_VALUE"""),"SOC-MG2")</f>
        <v>SOC-MG2</v>
      </c>
      <c r="D3528" s="234">
        <f>IFERROR(__xludf.DUMMYFUNCTION("""COMPUTED_VALUE"""),112.0)</f>
        <v>112</v>
      </c>
      <c r="E3528" s="237" t="str">
        <f>IFERROR(__xludf.DUMMYFUNCTION("""COMPUTED_VALUE"""),"LT0PCR01UVLP2")</f>
        <v>LT0PCR01UVLP2</v>
      </c>
      <c r="F3528" s="238" t="str">
        <f>IFERROR(__xludf.DUMMYFUNCTION("""COMPUTED_VALUE"""),"STT8D25")</f>
        <v>STT8D25</v>
      </c>
      <c r="G3528" s="238">
        <f>IFERROR(__xludf.DUMMYFUNCTION("""COMPUTED_VALUE"""),46018.66666666667)</f>
        <v>46018.66667</v>
      </c>
      <c r="H3528" s="238">
        <f>IFERROR(__xludf.DUMMYFUNCTION("""COMPUTED_VALUE"""),46019.08333333333)</f>
        <v>46019.08333</v>
      </c>
      <c r="I3528" s="237" t="str">
        <f t="shared" si="1"/>
        <v>Fora</v>
      </c>
      <c r="J3528" s="239">
        <v>599.9999999860302</v>
      </c>
    </row>
    <row r="3529">
      <c r="A3529" s="234" t="s">
        <v>4834</v>
      </c>
      <c r="B3529" s="234" t="str">
        <f>IFERROR(__xludf.DUMMYFUNCTION("""COMPUTED_VALUE"""),"SoC_RS_Gravataí_02")</f>
        <v>SoC_RS_Gravataí_02</v>
      </c>
      <c r="C3529" s="234" t="str">
        <f>IFERROR(__xludf.DUMMYFUNCTION("""COMPUTED_VALUE"""),"SOC-RS2")</f>
        <v>SOC-RS2</v>
      </c>
      <c r="D3529" s="234">
        <f>IFERROR(__xludf.DUMMYFUNCTION("""COMPUTED_VALUE"""),102.0)</f>
        <v>102</v>
      </c>
      <c r="E3529" s="237" t="str">
        <f>IFERROR(__xludf.DUMMYFUNCTION("""COMPUTED_VALUE"""),"LT0PCR01UZK01")</f>
        <v>LT0PCR01UZK01</v>
      </c>
      <c r="F3529" s="238" t="str">
        <f>IFERROR(__xludf.DUMMYFUNCTION("""COMPUTED_VALUE"""),"JCX0C86")</f>
        <v>JCX0C86</v>
      </c>
      <c r="G3529" s="238">
        <f>IFERROR(__xludf.DUMMYFUNCTION("""COMPUTED_VALUE"""),46018.66666666667)</f>
        <v>46018.66667</v>
      </c>
      <c r="H3529" s="238">
        <f>IFERROR(__xludf.DUMMYFUNCTION("""COMPUTED_VALUE"""),46019.08333333333)</f>
        <v>46019.08333</v>
      </c>
      <c r="I3529" s="237" t="str">
        <f t="shared" si="1"/>
        <v>Fora</v>
      </c>
      <c r="J3529" s="239">
        <v>540.0</v>
      </c>
    </row>
    <row r="3530">
      <c r="A3530" s="234" t="s">
        <v>4835</v>
      </c>
      <c r="B3530" s="234" t="str">
        <f>IFERROR(__xludf.DUMMYFUNCTION("""COMPUTED_VALUE"""),"SoC_BA_Simoes Filho")</f>
        <v>SoC_BA_Simoes Filho</v>
      </c>
      <c r="C3530" s="234" t="str">
        <f>IFERROR(__xludf.DUMMYFUNCTION("""COMPUTED_VALUE"""),"SOC-BA2")</f>
        <v>SOC-BA2</v>
      </c>
      <c r="D3530" s="234">
        <f>IFERROR(__xludf.DUMMYFUNCTION("""COMPUTED_VALUE"""),110.0)</f>
        <v>110</v>
      </c>
      <c r="E3530" s="237" t="str">
        <f>IFERROR(__xludf.DUMMYFUNCTION("""COMPUTED_VALUE"""),"LT0PCR01UZC41")</f>
        <v>LT0PCR01UZC41</v>
      </c>
      <c r="F3530" s="238" t="str">
        <f>IFERROR(__xludf.DUMMYFUNCTION("""COMPUTED_VALUE"""),"BEO5D91")</f>
        <v>BEO5D91</v>
      </c>
      <c r="G3530" s="238">
        <f>IFERROR(__xludf.DUMMYFUNCTION("""COMPUTED_VALUE"""),46018.79166666667)</f>
        <v>46018.79167</v>
      </c>
      <c r="H3530" s="238">
        <f>IFERROR(__xludf.DUMMYFUNCTION("""COMPUTED_VALUE"""),46019.16666666667)</f>
        <v>46019.16667</v>
      </c>
      <c r="I3530" s="237" t="str">
        <f t="shared" si="1"/>
        <v>Fora</v>
      </c>
      <c r="J3530" s="239">
        <v>540.0</v>
      </c>
    </row>
    <row r="3531">
      <c r="A3531" s="234" t="s">
        <v>4836</v>
      </c>
      <c r="B3531" s="234" t="str">
        <f>IFERROR(__xludf.DUMMYFUNCTION("""COMPUTED_VALUE"""),"SoC_PE_Jaboatão dos Guararapes")</f>
        <v>SoC_PE_Jaboatão dos Guararapes</v>
      </c>
      <c r="C3531" s="234" t="str">
        <f>IFERROR(__xludf.DUMMYFUNCTION("""COMPUTED_VALUE"""),"SOC-PE2")</f>
        <v>SOC-PE2</v>
      </c>
      <c r="D3531" s="234"/>
      <c r="E3531" s="237" t="str">
        <f>IFERROR(__xludf.DUMMYFUNCTION("""COMPUTED_VALUE"""),"LT0PCR01UZ9Z1")</f>
        <v>LT0PCR01UZ9Z1</v>
      </c>
      <c r="F3531" s="238" t="str">
        <f>IFERROR(__xludf.DUMMYFUNCTION("""COMPUTED_VALUE"""),"FJI8B31")</f>
        <v>FJI8B31</v>
      </c>
      <c r="G3531" s="238">
        <f>IFERROR(__xludf.DUMMYFUNCTION("""COMPUTED_VALUE"""),46018.79166666667)</f>
        <v>46018.79167</v>
      </c>
      <c r="H3531" s="238">
        <f>IFERROR(__xludf.DUMMYFUNCTION("""COMPUTED_VALUE"""),46019.16666666667)</f>
        <v>46019.16667</v>
      </c>
      <c r="I3531" s="237" t="str">
        <f t="shared" si="1"/>
        <v>Fora</v>
      </c>
      <c r="J3531" s="239">
        <v>540.0</v>
      </c>
    </row>
    <row r="3532">
      <c r="A3532" s="234" t="s">
        <v>4837</v>
      </c>
      <c r="B3532" s="234" t="str">
        <f>IFERROR(__xludf.DUMMYFUNCTION("""COMPUTED_VALUE"""),"SoC_PE_Jaboatão dos Guararapes")</f>
        <v>SoC_PE_Jaboatão dos Guararapes</v>
      </c>
      <c r="C3532" s="234" t="str">
        <f>IFERROR(__xludf.DUMMYFUNCTION("""COMPUTED_VALUE"""),"SOC-PE2")</f>
        <v>SOC-PE2</v>
      </c>
      <c r="D3532" s="234">
        <f>IFERROR(__xludf.DUMMYFUNCTION("""COMPUTED_VALUE"""),98.0)</f>
        <v>98</v>
      </c>
      <c r="E3532" s="237" t="str">
        <f>IFERROR(__xludf.DUMMYFUNCTION("""COMPUTED_VALUE"""),"LT0PCR01UZA12")</f>
        <v>LT0PCR01UZA12</v>
      </c>
      <c r="F3532" s="238" t="str">
        <f>IFERROR(__xludf.DUMMYFUNCTION("""COMPUTED_VALUE"""),"TDS9G74,TEB5C98")</f>
        <v>TDS9G74,TEB5C98</v>
      </c>
      <c r="G3532" s="238">
        <f>IFERROR(__xludf.DUMMYFUNCTION("""COMPUTED_VALUE"""),46018.79166666667)</f>
        <v>46018.79167</v>
      </c>
      <c r="H3532" s="238">
        <f>IFERROR(__xludf.DUMMYFUNCTION("""COMPUTED_VALUE"""),46019.16666666667)</f>
        <v>46019.16667</v>
      </c>
      <c r="I3532" s="237" t="str">
        <f t="shared" si="1"/>
        <v>Fora</v>
      </c>
      <c r="J3532" s="239">
        <v>540.0</v>
      </c>
    </row>
    <row r="3533">
      <c r="A3533" s="234" t="s">
        <v>4838</v>
      </c>
      <c r="B3533" s="234" t="str">
        <f>IFERROR(__xludf.DUMMYFUNCTION("""COMPUTED_VALUE"""),"SoC_RS_Gravataí_02")</f>
        <v>SoC_RS_Gravataí_02</v>
      </c>
      <c r="C3533" s="234" t="str">
        <f>IFERROR(__xludf.DUMMYFUNCTION("""COMPUTED_VALUE"""),"SOC-RS2")</f>
        <v>SOC-RS2</v>
      </c>
      <c r="D3533" s="234">
        <f>IFERROR(__xludf.DUMMYFUNCTION("""COMPUTED_VALUE"""),15.0)</f>
        <v>15</v>
      </c>
      <c r="E3533" s="237" t="str">
        <f>IFERROR(__xludf.DUMMYFUNCTION("""COMPUTED_VALUE"""),"LT0PCR01UZKA1")</f>
        <v>LT0PCR01UZKA1</v>
      </c>
      <c r="F3533" s="238" t="str">
        <f>IFERROR(__xludf.DUMMYFUNCTION("""COMPUTED_VALUE"""),"BDV5H00")</f>
        <v>BDV5H00</v>
      </c>
      <c r="G3533" s="238">
        <f>IFERROR(__xludf.DUMMYFUNCTION("""COMPUTED_VALUE"""),46018.79166666667)</f>
        <v>46018.79167</v>
      </c>
      <c r="H3533" s="238">
        <f>IFERROR(__xludf.DUMMYFUNCTION("""COMPUTED_VALUE"""),46019.16666666667)</f>
        <v>46019.16667</v>
      </c>
      <c r="I3533" s="237" t="str">
        <f t="shared" si="1"/>
        <v>Fora</v>
      </c>
      <c r="J3533" s="239">
        <v>540.0</v>
      </c>
    </row>
    <row r="3534">
      <c r="A3534" s="234" t="s">
        <v>4839</v>
      </c>
      <c r="B3534" s="234" t="str">
        <f>IFERROR(__xludf.DUMMYFUNCTION("""COMPUTED_VALUE"""),"SoC_SC_Itajaí")</f>
        <v>SoC_SC_Itajaí</v>
      </c>
      <c r="C3534" s="234" t="str">
        <f>IFERROR(__xludf.DUMMYFUNCTION("""COMPUTED_VALUE"""),"SOC-SC1")</f>
        <v>SOC-SC1</v>
      </c>
      <c r="D3534" s="234">
        <f>IFERROR(__xludf.DUMMYFUNCTION("""COMPUTED_VALUE"""),101.0)</f>
        <v>101</v>
      </c>
      <c r="E3534" s="237" t="str">
        <f>IFERROR(__xludf.DUMMYFUNCTION("""COMPUTED_VALUE"""),"LT0PCR01UYNK1")</f>
        <v>LT0PCR01UYNK1</v>
      </c>
      <c r="F3534" s="238" t="str">
        <f>IFERROR(__xludf.DUMMYFUNCTION("""COMPUTED_VALUE"""),"RLC5A30")</f>
        <v>RLC5A30</v>
      </c>
      <c r="G3534" s="238">
        <f>IFERROR(__xludf.DUMMYFUNCTION("""COMPUTED_VALUE"""),46018.79166666667)</f>
        <v>46018.79167</v>
      </c>
      <c r="H3534" s="238">
        <f>IFERROR(__xludf.DUMMYFUNCTION("""COMPUTED_VALUE"""),46019.16666666667)</f>
        <v>46019.16667</v>
      </c>
      <c r="I3534" s="237" t="str">
        <f t="shared" si="1"/>
        <v>Fora</v>
      </c>
      <c r="J3534" s="239">
        <v>120.00000001396984</v>
      </c>
    </row>
    <row r="3535">
      <c r="A3535" s="234" t="s">
        <v>4840</v>
      </c>
      <c r="B3535" s="234" t="str">
        <f>IFERROR(__xludf.DUMMYFUNCTION("""COMPUTED_VALUE"""),"SoC_GO_Goiânia_02")</f>
        <v>SoC_GO_Goiânia_02</v>
      </c>
      <c r="C3535" s="234" t="str">
        <f>IFERROR(__xludf.DUMMYFUNCTION("""COMPUTED_VALUE"""),"SOC-GO2")</f>
        <v>SOC-GO2</v>
      </c>
      <c r="D3535" s="234"/>
      <c r="E3535" s="237" t="str">
        <f>IFERROR(__xludf.DUMMYFUNCTION("""COMPUTED_VALUE"""),"LT1PCS01VVB91")</f>
        <v>LT1PCS01VVB91</v>
      </c>
      <c r="F3535" s="238" t="str">
        <f>IFERROR(__xludf.DUMMYFUNCTION("""COMPUTED_VALUE"""),"EML5F21,EML2G51")</f>
        <v>EML5F21,EML2G51</v>
      </c>
      <c r="G3535" s="238">
        <f>IFERROR(__xludf.DUMMYFUNCTION("""COMPUTED_VALUE"""),46019.08333333333)</f>
        <v>46019.08333</v>
      </c>
      <c r="H3535" s="238">
        <f>IFERROR(__xludf.DUMMYFUNCTION("""COMPUTED_VALUE"""),46019.16666666667)</f>
        <v>46019.16667</v>
      </c>
      <c r="I3535" s="237" t="str">
        <f t="shared" si="1"/>
        <v>Fora</v>
      </c>
      <c r="J3535" s="239">
        <v>120.00000001396984</v>
      </c>
    </row>
    <row r="3536">
      <c r="A3536" s="234" t="s">
        <v>4841</v>
      </c>
      <c r="B3536" s="234" t="str">
        <f>IFERROR(__xludf.DUMMYFUNCTION("""COMPUTED_VALUE"""),"SoC_PR_Curitiba")</f>
        <v>SoC_PR_Curitiba</v>
      </c>
      <c r="C3536" s="234" t="str">
        <f>IFERROR(__xludf.DUMMYFUNCTION("""COMPUTED_VALUE"""),"SOC-PR1")</f>
        <v>SOC-PR1</v>
      </c>
      <c r="D3536" s="234">
        <f>IFERROR(__xludf.DUMMYFUNCTION("""COMPUTED_VALUE"""),8.0)</f>
        <v>8</v>
      </c>
      <c r="E3536" s="237" t="str">
        <f>IFERROR(__xludf.DUMMYFUNCTION("""COMPUTED_VALUE"""),"LT1PCS01VVB61")</f>
        <v>LT1PCS01VVB61</v>
      </c>
      <c r="F3536" s="238" t="str">
        <f>IFERROR(__xludf.DUMMYFUNCTION("""COMPUTED_VALUE"""),"TPL8J06")</f>
        <v>TPL8J06</v>
      </c>
      <c r="G3536" s="238">
        <f>IFERROR(__xludf.DUMMYFUNCTION("""COMPUTED_VALUE"""),46019.08333333333)</f>
        <v>46019.08333</v>
      </c>
      <c r="H3536" s="238">
        <f>IFERROR(__xludf.DUMMYFUNCTION("""COMPUTED_VALUE"""),46019.16666666667)</f>
        <v>46019.16667</v>
      </c>
      <c r="I3536" s="237" t="str">
        <f t="shared" si="1"/>
        <v>Fora</v>
      </c>
      <c r="J3536" s="239">
        <v>120.00000001396984</v>
      </c>
    </row>
    <row r="3537">
      <c r="A3537" s="234" t="s">
        <v>4842</v>
      </c>
      <c r="B3537" s="234" t="str">
        <f>IFERROR(__xludf.DUMMYFUNCTION("""COMPUTED_VALUE"""),"SoC_RS_Gravataí_02")</f>
        <v>SoC_RS_Gravataí_02</v>
      </c>
      <c r="C3537" s="234" t="str">
        <f>IFERROR(__xludf.DUMMYFUNCTION("""COMPUTED_VALUE"""),"SOC-RS2")</f>
        <v>SOC-RS2</v>
      </c>
      <c r="D3537" s="234"/>
      <c r="E3537" s="237" t="str">
        <f>IFERROR(__xludf.DUMMYFUNCTION("""COMPUTED_VALUE"""),"LT1PCS01VVB71")</f>
        <v>LT1PCS01VVB71</v>
      </c>
      <c r="F3537" s="238" t="str">
        <f>IFERROR(__xludf.DUMMYFUNCTION("""COMPUTED_VALUE"""),"UFN3C25,UEN0D43")</f>
        <v>UFN3C25,UEN0D43</v>
      </c>
      <c r="G3537" s="238">
        <f>IFERROR(__xludf.DUMMYFUNCTION("""COMPUTED_VALUE"""),46019.08333333333)</f>
        <v>46019.08333</v>
      </c>
      <c r="H3537" s="238">
        <f>IFERROR(__xludf.DUMMYFUNCTION("""COMPUTED_VALUE"""),46019.16666666667)</f>
        <v>46019.16667</v>
      </c>
      <c r="I3537" s="237" t="str">
        <f t="shared" si="1"/>
        <v>Fora</v>
      </c>
      <c r="J3537" s="239">
        <v>120.00000001396984</v>
      </c>
    </row>
    <row r="3538">
      <c r="A3538" s="234" t="s">
        <v>4843</v>
      </c>
      <c r="B3538" s="234" t="str">
        <f>IFERROR(__xludf.DUMMYFUNCTION("""COMPUTED_VALUE"""),"SoC_SC_Itajaí")</f>
        <v>SoC_SC_Itajaí</v>
      </c>
      <c r="C3538" s="234" t="str">
        <f>IFERROR(__xludf.DUMMYFUNCTION("""COMPUTED_VALUE"""),"SOC-SC1")</f>
        <v>SOC-SC1</v>
      </c>
      <c r="D3538" s="234"/>
      <c r="E3538" s="237" t="str">
        <f>IFERROR(__xludf.DUMMYFUNCTION("""COMPUTED_VALUE"""),"LT1PCS01VVB81")</f>
        <v>LT1PCS01VVB81</v>
      </c>
      <c r="F3538" s="238" t="str">
        <f>IFERROR(__xludf.DUMMYFUNCTION("""COMPUTED_VALUE"""),"FZL6F93,TJM0A28")</f>
        <v>FZL6F93,TJM0A28</v>
      </c>
      <c r="G3538" s="238">
        <f>IFERROR(__xludf.DUMMYFUNCTION("""COMPUTED_VALUE"""),46019.08333333333)</f>
        <v>46019.08333</v>
      </c>
      <c r="H3538" s="238">
        <f>IFERROR(__xludf.DUMMYFUNCTION("""COMPUTED_VALUE"""),46019.16666666667)</f>
        <v>46019.16667</v>
      </c>
      <c r="I3538" s="237" t="str">
        <f t="shared" si="1"/>
        <v>Fora</v>
      </c>
      <c r="J3538" s="239">
        <v>479.9999999930151</v>
      </c>
    </row>
    <row r="3539">
      <c r="A3539" s="234" t="s">
        <v>4844</v>
      </c>
      <c r="B3539" s="234" t="str">
        <f>IFERROR(__xludf.DUMMYFUNCTION("""COMPUTED_VALUE"""),"SoC_MG_Betim")</f>
        <v>SoC_MG_Betim</v>
      </c>
      <c r="C3539" s="234" t="str">
        <f>IFERROR(__xludf.DUMMYFUNCTION("""COMPUTED_VALUE"""),"SOC-MG2")</f>
        <v>SOC-MG2</v>
      </c>
      <c r="D3539" s="234">
        <f>IFERROR(__xludf.DUMMYFUNCTION("""COMPUTED_VALUE"""),90.0)</f>
        <v>90</v>
      </c>
      <c r="E3539" s="237" t="str">
        <f>IFERROR(__xludf.DUMMYFUNCTION("""COMPUTED_VALUE"""),"LT1PCR01VVB31")</f>
        <v>LT1PCR01VVB31</v>
      </c>
      <c r="F3539" s="238" t="str">
        <f>IFERROR(__xludf.DUMMYFUNCTION("""COMPUTED_VALUE"""),"FHN1I45")</f>
        <v>FHN1I45</v>
      </c>
      <c r="G3539" s="238">
        <f>IFERROR(__xludf.DUMMYFUNCTION("""COMPUTED_VALUE"""),46018.875)</f>
        <v>46018.875</v>
      </c>
      <c r="H3539" s="238">
        <f>IFERROR(__xludf.DUMMYFUNCTION("""COMPUTED_VALUE"""),46019.20833333333)</f>
        <v>46019.20833</v>
      </c>
      <c r="I3539" s="237" t="str">
        <f t="shared" si="1"/>
        <v>Fora</v>
      </c>
      <c r="J3539" s="239">
        <v>119.99999999301508</v>
      </c>
    </row>
    <row r="3540">
      <c r="A3540" s="234" t="s">
        <v>4845</v>
      </c>
      <c r="B3540" s="234" t="str">
        <f>IFERROR(__xludf.DUMMYFUNCTION("""COMPUTED_VALUE"""),"SoC_RJ_Duque de Caxias")</f>
        <v>SoC_RJ_Duque de Caxias</v>
      </c>
      <c r="C3540" s="234" t="str">
        <f>IFERROR(__xludf.DUMMYFUNCTION("""COMPUTED_VALUE"""),"SOC-RJ2")</f>
        <v>SOC-RJ2</v>
      </c>
      <c r="D3540" s="234"/>
      <c r="E3540" s="237" t="str">
        <f>IFERROR(__xludf.DUMMYFUNCTION("""COMPUTED_VALUE"""),"LT1PCR01VVAE1")</f>
        <v>LT1PCR01VVAE1</v>
      </c>
      <c r="F3540" s="238" t="str">
        <f>IFERROR(__xludf.DUMMYFUNCTION("""COMPUTED_VALUE"""),"FUB5G68,GFZ6B31")</f>
        <v>FUB5G68,GFZ6B31</v>
      </c>
      <c r="G3540" s="238">
        <f>IFERROR(__xludf.DUMMYFUNCTION("""COMPUTED_VALUE"""),46019.125)</f>
        <v>46019.125</v>
      </c>
      <c r="H3540" s="238">
        <f>IFERROR(__xludf.DUMMYFUNCTION("""COMPUTED_VALUE"""),46019.20833333333)</f>
        <v>46019.20833</v>
      </c>
      <c r="I3540" s="237" t="str">
        <f t="shared" si="1"/>
        <v>Fora</v>
      </c>
      <c r="J3540" s="239">
        <v>479.9999999930151</v>
      </c>
    </row>
    <row r="3541">
      <c r="A3541" s="234" t="s">
        <v>4846</v>
      </c>
      <c r="B3541" s="234" t="str">
        <f>IFERROR(__xludf.DUMMYFUNCTION("""COMPUTED_VALUE"""),"SoC_MG_Betim")</f>
        <v>SoC_MG_Betim</v>
      </c>
      <c r="C3541" s="234" t="str">
        <f>IFERROR(__xludf.DUMMYFUNCTION("""COMPUTED_VALUE"""),"SOC-MG2")</f>
        <v>SOC-MG2</v>
      </c>
      <c r="D3541" s="234">
        <f>IFERROR(__xludf.DUMMYFUNCTION("""COMPUTED_VALUE"""),111.0)</f>
        <v>111</v>
      </c>
      <c r="E3541" s="237" t="str">
        <f>IFERROR(__xludf.DUMMYFUNCTION("""COMPUTED_VALUE"""),"LT1PCR01VVB21")</f>
        <v>LT1PCR01VVB21</v>
      </c>
      <c r="F3541" s="238" t="str">
        <f>IFERROR(__xludf.DUMMYFUNCTION("""COMPUTED_VALUE"""),"SKL6A10")</f>
        <v>SKL6A10</v>
      </c>
      <c r="G3541" s="238">
        <f>IFERROR(__xludf.DUMMYFUNCTION("""COMPUTED_VALUE"""),46018.91666666667)</f>
        <v>46018.91667</v>
      </c>
      <c r="H3541" s="238">
        <f>IFERROR(__xludf.DUMMYFUNCTION("""COMPUTED_VALUE"""),46019.25)</f>
        <v>46019.25</v>
      </c>
      <c r="I3541" s="237" t="str">
        <f t="shared" si="1"/>
        <v>Fora</v>
      </c>
      <c r="J3541" s="239">
        <v>479.9999999930151</v>
      </c>
    </row>
    <row r="3542">
      <c r="A3542" s="234" t="s">
        <v>4847</v>
      </c>
      <c r="B3542" s="234" t="str">
        <f>IFERROR(__xludf.DUMMYFUNCTION("""COMPUTED_VALUE"""),"SoC_RJ_Duque de Caxias")</f>
        <v>SoC_RJ_Duque de Caxias</v>
      </c>
      <c r="C3542" s="234" t="str">
        <f>IFERROR(__xludf.DUMMYFUNCTION("""COMPUTED_VALUE"""),"SOC-RJ2")</f>
        <v>SOC-RJ2</v>
      </c>
      <c r="D3542" s="234"/>
      <c r="E3542" s="237" t="str">
        <f>IFERROR(__xludf.DUMMYFUNCTION("""COMPUTED_VALUE"""),"LT1PCR01VVAD1")</f>
        <v>LT1PCR01VVAD1</v>
      </c>
      <c r="F3542" s="238" t="str">
        <f>IFERROR(__xludf.DUMMYFUNCTION("""COMPUTED_VALUE"""),"NZI6J95")</f>
        <v>NZI6J95</v>
      </c>
      <c r="G3542" s="238">
        <f>IFERROR(__xludf.DUMMYFUNCTION("""COMPUTED_VALUE"""),46018.91666666667)</f>
        <v>46018.91667</v>
      </c>
      <c r="H3542" s="238">
        <f>IFERROR(__xludf.DUMMYFUNCTION("""COMPUTED_VALUE"""),46019.25)</f>
        <v>46019.25</v>
      </c>
      <c r="I3542" s="237" t="str">
        <f t="shared" si="1"/>
        <v>Fora</v>
      </c>
      <c r="J3542" s="239">
        <v>479.9999999930151</v>
      </c>
    </row>
    <row r="3543">
      <c r="A3543" s="234" t="s">
        <v>4848</v>
      </c>
      <c r="B3543" s="234" t="str">
        <f>IFERROR(__xludf.DUMMYFUNCTION("""COMPUTED_VALUE"""),"SoC_SP_Cravinhos")</f>
        <v>SoC_SP_Cravinhos</v>
      </c>
      <c r="C3543" s="234" t="str">
        <f>IFERROR(__xludf.DUMMYFUNCTION("""COMPUTED_VALUE"""),"SOC-SP5")</f>
        <v>SOC-SP5</v>
      </c>
      <c r="D3543" s="234">
        <f>IFERROR(__xludf.DUMMYFUNCTION("""COMPUTED_VALUE"""),94.0)</f>
        <v>94</v>
      </c>
      <c r="E3543" s="237" t="str">
        <f>IFERROR(__xludf.DUMMYFUNCTION("""COMPUTED_VALUE"""),"LT1PCR01VVAB1")</f>
        <v>LT1PCR01VVAB1</v>
      </c>
      <c r="F3543" s="238" t="str">
        <f>IFERROR(__xludf.DUMMYFUNCTION("""COMPUTED_VALUE"""),"DBM0E35")</f>
        <v>DBM0E35</v>
      </c>
      <c r="G3543" s="238">
        <f>IFERROR(__xludf.DUMMYFUNCTION("""COMPUTED_VALUE"""),46018.91666666667)</f>
        <v>46018.91667</v>
      </c>
      <c r="H3543" s="238">
        <f>IFERROR(__xludf.DUMMYFUNCTION("""COMPUTED_VALUE"""),46019.25)</f>
        <v>46019.25</v>
      </c>
      <c r="I3543" s="237" t="str">
        <f t="shared" si="1"/>
        <v>Fora</v>
      </c>
      <c r="J3543" s="239">
        <v>540.0</v>
      </c>
    </row>
    <row r="3544">
      <c r="A3544" s="234" t="s">
        <v>4849</v>
      </c>
      <c r="B3544" s="234" t="str">
        <f>IFERROR(__xludf.DUMMYFUNCTION("""COMPUTED_VALUE"""),"SoC_BA_Simoes Filho")</f>
        <v>SoC_BA_Simoes Filho</v>
      </c>
      <c r="C3544" s="234" t="str">
        <f>IFERROR(__xludf.DUMMYFUNCTION("""COMPUTED_VALUE"""),"SOC-BA2")</f>
        <v>SOC-BA2</v>
      </c>
      <c r="D3544" s="234"/>
      <c r="E3544" s="237" t="str">
        <f>IFERROR(__xludf.DUMMYFUNCTION("""COMPUTED_VALUE"""),"LT0PCR01UZC81")</f>
        <v>LT0PCR01UZC81</v>
      </c>
      <c r="F3544" s="238" t="str">
        <f>IFERROR(__xludf.DUMMYFUNCTION("""COMPUTED_VALUE"""),"NST5F83")</f>
        <v>NST5F83</v>
      </c>
      <c r="G3544" s="238">
        <f>IFERROR(__xludf.DUMMYFUNCTION("""COMPUTED_VALUE"""),46018.91666666667)</f>
        <v>46018.91667</v>
      </c>
      <c r="H3544" s="238">
        <f>IFERROR(__xludf.DUMMYFUNCTION("""COMPUTED_VALUE"""),46019.29166666667)</f>
        <v>46019.29167</v>
      </c>
      <c r="I3544" s="237" t="str">
        <f t="shared" si="1"/>
        <v>Fora</v>
      </c>
      <c r="J3544" s="239">
        <v>540.0</v>
      </c>
    </row>
    <row r="3545">
      <c r="A3545" s="234" t="s">
        <v>4850</v>
      </c>
      <c r="B3545" s="234" t="str">
        <f>IFERROR(__xludf.DUMMYFUNCTION("""COMPUTED_VALUE"""),"SoC_BA_Simoes Filho")</f>
        <v>SoC_BA_Simoes Filho</v>
      </c>
      <c r="C3545" s="234" t="str">
        <f>IFERROR(__xludf.DUMMYFUNCTION("""COMPUTED_VALUE"""),"SOC-BA2")</f>
        <v>SOC-BA2</v>
      </c>
      <c r="D3545" s="234">
        <f>IFERROR(__xludf.DUMMYFUNCTION("""COMPUTED_VALUE"""),88.0)</f>
        <v>88</v>
      </c>
      <c r="E3545" s="237" t="str">
        <f>IFERROR(__xludf.DUMMYFUNCTION("""COMPUTED_VALUE"""),"LT0PCR01UZCA2")</f>
        <v>LT0PCR01UZCA2</v>
      </c>
      <c r="F3545" s="238" t="str">
        <f>IFERROR(__xludf.DUMMYFUNCTION("""COMPUTED_VALUE"""),"MRN6C83,PJF7H63")</f>
        <v>MRN6C83,PJF7H63</v>
      </c>
      <c r="G3545" s="238">
        <f>IFERROR(__xludf.DUMMYFUNCTION("""COMPUTED_VALUE"""),46018.91666666667)</f>
        <v>46018.91667</v>
      </c>
      <c r="H3545" s="238">
        <f>IFERROR(__xludf.DUMMYFUNCTION("""COMPUTED_VALUE"""),46019.29166666667)</f>
        <v>46019.29167</v>
      </c>
      <c r="I3545" s="237" t="str">
        <f t="shared" si="1"/>
        <v>Fora</v>
      </c>
      <c r="J3545" s="239">
        <v>540.0</v>
      </c>
    </row>
    <row r="3546">
      <c r="A3546" s="234" t="s">
        <v>4851</v>
      </c>
      <c r="B3546" s="234" t="str">
        <f>IFERROR(__xludf.DUMMYFUNCTION("""COMPUTED_VALUE"""),"SoC_RJ_Duque de Caxias")</f>
        <v>SoC_RJ_Duque de Caxias</v>
      </c>
      <c r="C3546" s="234" t="str">
        <f>IFERROR(__xludf.DUMMYFUNCTION("""COMPUTED_VALUE"""),"SOC-RJ2")</f>
        <v>SOC-RJ2</v>
      </c>
      <c r="D3546" s="234"/>
      <c r="E3546" s="237" t="str">
        <f>IFERROR(__xludf.DUMMYFUNCTION("""COMPUTED_VALUE"""),"LT0PCR01UTLZ1")</f>
        <v>LT0PCR01UTLZ1</v>
      </c>
      <c r="F3546" s="238" t="str">
        <f>IFERROR(__xludf.DUMMYFUNCTION("""COMPUTED_VALUE"""),"PPL1H94")</f>
        <v>PPL1H94</v>
      </c>
      <c r="G3546" s="238">
        <f>IFERROR(__xludf.DUMMYFUNCTION("""COMPUTED_VALUE"""),46018.91666666667)</f>
        <v>46018.91667</v>
      </c>
      <c r="H3546" s="238">
        <f>IFERROR(__xludf.DUMMYFUNCTION("""COMPUTED_VALUE"""),46019.29166666667)</f>
        <v>46019.29167</v>
      </c>
      <c r="I3546" s="237" t="str">
        <f t="shared" si="1"/>
        <v>Fora</v>
      </c>
      <c r="J3546" s="239">
        <v>240.00000000698492</v>
      </c>
    </row>
    <row r="3547">
      <c r="A3547" s="234" t="s">
        <v>4852</v>
      </c>
      <c r="B3547" s="234" t="str">
        <f>IFERROR(__xludf.DUMMYFUNCTION("""COMPUTED_VALUE"""),"SoC_RJ_Duque de Caxias")</f>
        <v>SoC_RJ_Duque de Caxias</v>
      </c>
      <c r="C3547" s="234" t="str">
        <f>IFERROR(__xludf.DUMMYFUNCTION("""COMPUTED_VALUE"""),"SOC-RJ2")</f>
        <v>SOC-RJ2</v>
      </c>
      <c r="D3547" s="234"/>
      <c r="E3547" s="237" t="str">
        <f>IFERROR(__xludf.DUMMYFUNCTION("""COMPUTED_VALUE"""),"LT0PCR01UTM12")</f>
        <v>LT0PCR01UTM12</v>
      </c>
      <c r="F3547" s="238" t="str">
        <f>IFERROR(__xludf.DUMMYFUNCTION("""COMPUTED_VALUE"""),"RRS9C16,LLN6291")</f>
        <v>RRS9C16,LLN6291</v>
      </c>
      <c r="G3547" s="238">
        <f>IFERROR(__xludf.DUMMYFUNCTION("""COMPUTED_VALUE"""),46019.125)</f>
        <v>46019.125</v>
      </c>
      <c r="H3547" s="238">
        <f>IFERROR(__xludf.DUMMYFUNCTION("""COMPUTED_VALUE"""),46019.29166666667)</f>
        <v>46019.29167</v>
      </c>
      <c r="I3547" s="237" t="str">
        <f t="shared" si="1"/>
        <v>Fora</v>
      </c>
      <c r="J3547" s="239">
        <v>540.0</v>
      </c>
    </row>
    <row r="3548">
      <c r="A3548" s="234" t="s">
        <v>4853</v>
      </c>
      <c r="B3548" s="234" t="str">
        <f>IFERROR(__xludf.DUMMYFUNCTION("""COMPUTED_VALUE"""),"SoC_RS_Gravataí_02")</f>
        <v>SoC_RS_Gravataí_02</v>
      </c>
      <c r="C3548" s="234" t="str">
        <f>IFERROR(__xludf.DUMMYFUNCTION("""COMPUTED_VALUE"""),"SOC-RS2")</f>
        <v>SOC-RS2</v>
      </c>
      <c r="D3548" s="234">
        <f>IFERROR(__xludf.DUMMYFUNCTION("""COMPUTED_VALUE"""),102.0)</f>
        <v>102</v>
      </c>
      <c r="E3548" s="237" t="str">
        <f>IFERROR(__xludf.DUMMYFUNCTION("""COMPUTED_VALUE"""),"LT0PCR01UZKC1")</f>
        <v>LT0PCR01UZKC1</v>
      </c>
      <c r="F3548" s="238" t="str">
        <f>IFERROR(__xludf.DUMMYFUNCTION("""COMPUTED_VALUE"""),"QJO9I79")</f>
        <v>QJO9I79</v>
      </c>
      <c r="G3548" s="238">
        <f>IFERROR(__xludf.DUMMYFUNCTION("""COMPUTED_VALUE"""),46018.91666666667)</f>
        <v>46018.91667</v>
      </c>
      <c r="H3548" s="238">
        <f>IFERROR(__xludf.DUMMYFUNCTION("""COMPUTED_VALUE"""),46019.29166666667)</f>
        <v>46019.29167</v>
      </c>
      <c r="I3548" s="237" t="str">
        <f t="shared" si="1"/>
        <v>Fora</v>
      </c>
      <c r="J3548" s="239">
        <v>540.0</v>
      </c>
    </row>
    <row r="3549">
      <c r="A3549" s="234" t="s">
        <v>4854</v>
      </c>
      <c r="B3549" s="234" t="str">
        <f>IFERROR(__xludf.DUMMYFUNCTION("""COMPUTED_VALUE"""),"SoC_SC_Itajaí")</f>
        <v>SoC_SC_Itajaí</v>
      </c>
      <c r="C3549" s="234" t="str">
        <f>IFERROR(__xludf.DUMMYFUNCTION("""COMPUTED_VALUE"""),"SOC-SC1")</f>
        <v>SOC-SC1</v>
      </c>
      <c r="D3549" s="234"/>
      <c r="E3549" s="237" t="str">
        <f>IFERROR(__xludf.DUMMYFUNCTION("""COMPUTED_VALUE"""),"LT0PCR01UYNP1")</f>
        <v>LT0PCR01UYNP1</v>
      </c>
      <c r="F3549" s="238" t="str">
        <f>IFERROR(__xludf.DUMMYFUNCTION("""COMPUTED_VALUE"""),"RLF4B54")</f>
        <v>RLF4B54</v>
      </c>
      <c r="G3549" s="238">
        <f>IFERROR(__xludf.DUMMYFUNCTION("""COMPUTED_VALUE"""),46018.91666666667)</f>
        <v>46018.91667</v>
      </c>
      <c r="H3549" s="238">
        <f>IFERROR(__xludf.DUMMYFUNCTION("""COMPUTED_VALUE"""),46019.29166666667)</f>
        <v>46019.29167</v>
      </c>
      <c r="I3549" s="237" t="str">
        <f t="shared" si="1"/>
        <v>Fora</v>
      </c>
      <c r="J3549" s="239">
        <v>539.0000000072177</v>
      </c>
    </row>
    <row r="3550">
      <c r="A3550" s="234" t="s">
        <v>4855</v>
      </c>
      <c r="B3550" s="234" t="str">
        <f>IFERROR(__xludf.DUMMYFUNCTION("""COMPUTED_VALUE"""),"SoC_GO_Goiânia_02")</f>
        <v>SoC_GO_Goiânia_02</v>
      </c>
      <c r="C3550" s="234" t="str">
        <f>IFERROR(__xludf.DUMMYFUNCTION("""COMPUTED_VALUE"""),"SOC-GO2")</f>
        <v>SOC-GO2</v>
      </c>
      <c r="D3550" s="234"/>
      <c r="E3550" s="237" t="str">
        <f>IFERROR(__xludf.DUMMYFUNCTION("""COMPUTED_VALUE"""),"LT0PCR01UZJ41")</f>
        <v>LT0PCR01UZJ41</v>
      </c>
      <c r="F3550" s="238" t="str">
        <f>IFERROR(__xludf.DUMMYFUNCTION("""COMPUTED_VALUE"""),"TXA6J94")</f>
        <v>TXA6J94</v>
      </c>
      <c r="G3550" s="238">
        <f>IFERROR(__xludf.DUMMYFUNCTION("""COMPUTED_VALUE"""),46018.91736111111)</f>
        <v>46018.91736</v>
      </c>
      <c r="H3550" s="238">
        <f>IFERROR(__xludf.DUMMYFUNCTION("""COMPUTED_VALUE"""),46019.29166666667)</f>
        <v>46019.29167</v>
      </c>
      <c r="I3550" s="237" t="str">
        <f t="shared" si="1"/>
        <v>Fora</v>
      </c>
      <c r="J3550" s="239">
        <v>539.0000000072177</v>
      </c>
    </row>
    <row r="3551">
      <c r="A3551" s="234" t="s">
        <v>4856</v>
      </c>
      <c r="B3551" s="234" t="str">
        <f>IFERROR(__xludf.DUMMYFUNCTION("""COMPUTED_VALUE"""),"SoC_PE_Jaboatão dos Guararapes")</f>
        <v>SoC_PE_Jaboatão dos Guararapes</v>
      </c>
      <c r="C3551" s="234" t="str">
        <f>IFERROR(__xludf.DUMMYFUNCTION("""COMPUTED_VALUE"""),"SOC-PE2")</f>
        <v>SOC-PE2</v>
      </c>
      <c r="D3551" s="234"/>
      <c r="E3551" s="237" t="str">
        <f>IFERROR(__xludf.DUMMYFUNCTION("""COMPUTED_VALUE"""),"LT0PCR01UZA71")</f>
        <v>LT0PCR01UZA71</v>
      </c>
      <c r="F3551" s="238" t="str">
        <f>IFERROR(__xludf.DUMMYFUNCTION("""COMPUTED_VALUE"""),"REB0A06")</f>
        <v>REB0A06</v>
      </c>
      <c r="G3551" s="238">
        <f>IFERROR(__xludf.DUMMYFUNCTION("""COMPUTED_VALUE"""),46018.91736111111)</f>
        <v>46018.91736</v>
      </c>
      <c r="H3551" s="238">
        <f>IFERROR(__xludf.DUMMYFUNCTION("""COMPUTED_VALUE"""),46019.29166666667)</f>
        <v>46019.29167</v>
      </c>
      <c r="I3551" s="237" t="str">
        <f t="shared" si="1"/>
        <v>Fora</v>
      </c>
      <c r="J3551" s="239">
        <v>539.0000000072177</v>
      </c>
    </row>
    <row r="3552">
      <c r="A3552" s="234" t="s">
        <v>4857</v>
      </c>
      <c r="B3552" s="234" t="str">
        <f>IFERROR(__xludf.DUMMYFUNCTION("""COMPUTED_VALUE"""),"SoC_PE_Jaboatão dos Guararapes")</f>
        <v>SoC_PE_Jaboatão dos Guararapes</v>
      </c>
      <c r="C3552" s="234" t="str">
        <f>IFERROR(__xludf.DUMMYFUNCTION("""COMPUTED_VALUE"""),"SOC-PE2")</f>
        <v>SOC-PE2</v>
      </c>
      <c r="D3552" s="234"/>
      <c r="E3552" s="237" t="str">
        <f>IFERROR(__xludf.DUMMYFUNCTION("""COMPUTED_VALUE"""),"LT0PCR01UZA92")</f>
        <v>LT0PCR01UZA92</v>
      </c>
      <c r="F3552" s="238" t="str">
        <f>IFERROR(__xludf.DUMMYFUNCTION("""COMPUTED_VALUE"""),"SXV2D39")</f>
        <v>SXV2D39</v>
      </c>
      <c r="G3552" s="238">
        <f>IFERROR(__xludf.DUMMYFUNCTION("""COMPUTED_VALUE"""),46018.91736111111)</f>
        <v>46018.91736</v>
      </c>
      <c r="H3552" s="238">
        <f>IFERROR(__xludf.DUMMYFUNCTION("""COMPUTED_VALUE"""),46019.29166666667)</f>
        <v>46019.29167</v>
      </c>
      <c r="I3552" s="237" t="str">
        <f t="shared" si="1"/>
        <v>Fora</v>
      </c>
      <c r="J3552" s="239">
        <v>538.0000000144355</v>
      </c>
    </row>
    <row r="3553">
      <c r="A3553" s="234" t="s">
        <v>4858</v>
      </c>
      <c r="B3553" s="234" t="str">
        <f>IFERROR(__xludf.DUMMYFUNCTION("""COMPUTED_VALUE"""),"SoC_MG_Betim")</f>
        <v>SoC_MG_Betim</v>
      </c>
      <c r="C3553" s="234" t="str">
        <f>IFERROR(__xludf.DUMMYFUNCTION("""COMPUTED_VALUE"""),"SOC-MG2")</f>
        <v>SOC-MG2</v>
      </c>
      <c r="D3553" s="234">
        <f>IFERROR(__xludf.DUMMYFUNCTION("""COMPUTED_VALUE"""),18.0)</f>
        <v>18</v>
      </c>
      <c r="E3553" s="237" t="str">
        <f>IFERROR(__xludf.DUMMYFUNCTION("""COMPUTED_VALUE"""),"LT0PCR01UTBT1")</f>
        <v>LT0PCR01UTBT1</v>
      </c>
      <c r="F3553" s="238" t="str">
        <f>IFERROR(__xludf.DUMMYFUNCTION("""COMPUTED_VALUE"""),"PEM3C73")</f>
        <v>PEM3C73</v>
      </c>
      <c r="G3553" s="238">
        <f>IFERROR(__xludf.DUMMYFUNCTION("""COMPUTED_VALUE"""),46018.91805555555)</f>
        <v>46018.91806</v>
      </c>
      <c r="H3553" s="238">
        <f>IFERROR(__xludf.DUMMYFUNCTION("""COMPUTED_VALUE"""),46019.29166666667)</f>
        <v>46019.29167</v>
      </c>
      <c r="I3553" s="237" t="str">
        <f t="shared" si="1"/>
        <v>Fora</v>
      </c>
      <c r="J3553" s="239">
        <v>538.0000000144355</v>
      </c>
    </row>
    <row r="3554">
      <c r="A3554" s="234" t="s">
        <v>4859</v>
      </c>
      <c r="B3554" s="234" t="str">
        <f>IFERROR(__xludf.DUMMYFUNCTION("""COMPUTED_VALUE"""),"SoC_MG_Betim")</f>
        <v>SoC_MG_Betim</v>
      </c>
      <c r="C3554" s="234" t="str">
        <f>IFERROR(__xludf.DUMMYFUNCTION("""COMPUTED_VALUE"""),"SOC-MG2")</f>
        <v>SOC-MG2</v>
      </c>
      <c r="D3554" s="234">
        <f>IFERROR(__xludf.DUMMYFUNCTION("""COMPUTED_VALUE"""),91.0)</f>
        <v>91</v>
      </c>
      <c r="E3554" s="237" t="str">
        <f>IFERROR(__xludf.DUMMYFUNCTION("""COMPUTED_VALUE"""),"LT0PCR01UTBV2")</f>
        <v>LT0PCR01UTBV2</v>
      </c>
      <c r="F3554" s="238" t="str">
        <f>IFERROR(__xludf.DUMMYFUNCTION("""COMPUTED_VALUE"""),"SYI9B23")</f>
        <v>SYI9B23</v>
      </c>
      <c r="G3554" s="238">
        <f>IFERROR(__xludf.DUMMYFUNCTION("""COMPUTED_VALUE"""),46018.91805555555)</f>
        <v>46018.91806</v>
      </c>
      <c r="H3554" s="238">
        <f>IFERROR(__xludf.DUMMYFUNCTION("""COMPUTED_VALUE"""),46019.29166666667)</f>
        <v>46019.29167</v>
      </c>
      <c r="I3554" s="237" t="str">
        <f t="shared" si="1"/>
        <v>Fora</v>
      </c>
      <c r="J3554" s="239" t="e">
        <v>#VALUE!</v>
      </c>
    </row>
    <row r="3555">
      <c r="A3555" s="234" t="s">
        <v>4860</v>
      </c>
      <c r="B3555" s="234" t="str">
        <f>IFERROR(__xludf.DUMMYFUNCTION("""COMPUTED_VALUE"""),"Fanout Desconhecido")</f>
        <v>Fanout Desconhecido</v>
      </c>
      <c r="C3555" s="234" t="str">
        <f>IFERROR(__xludf.DUMMYFUNCTION("""COMPUTED_VALUE"""),"-")</f>
        <v>-</v>
      </c>
      <c r="D3555" s="234" t="str">
        <f>IFERROR(__xludf.DUMMYFUNCTION("""COMPUTED_VALUE"""),"90/91")</f>
        <v>90/91</v>
      </c>
      <c r="E3555" s="237" t="str">
        <f>IFERROR(__xludf.DUMMYFUNCTION("""COMPUTED_VALUE"""),"LT1PCT01VX0J1")</f>
        <v>LT1PCT01VX0J1</v>
      </c>
      <c r="F3555" s="238" t="str">
        <f>IFERROR(__xludf.DUMMYFUNCTION("""COMPUTED_VALUE"""),"-")</f>
        <v>-</v>
      </c>
      <c r="G3555" s="238" t="str">
        <f>IFERROR(__xludf.DUMMYFUNCTION("""COMPUTED_VALUE"""),"-")</f>
        <v>-</v>
      </c>
      <c r="H3555" s="238" t="str">
        <f>IFERROR(__xludf.DUMMYFUNCTION("""COMPUTED_VALUE"""),"-")</f>
        <v>-</v>
      </c>
      <c r="I3555" s="237" t="str">
        <f t="shared" si="1"/>
        <v>Dentro</v>
      </c>
      <c r="J3555" s="239">
        <v>120.00000000349246</v>
      </c>
    </row>
    <row r="3556">
      <c r="A3556" s="234" t="s">
        <v>4861</v>
      </c>
      <c r="B3556" s="234" t="str">
        <f>IFERROR(__xludf.DUMMYFUNCTION("""COMPUTED_VALUE"""),"SoC_SP_Guarulhos")</f>
        <v>SoC_SP_Guarulhos</v>
      </c>
      <c r="C3556" s="234" t="str">
        <f>IFERROR(__xludf.DUMMYFUNCTION("""COMPUTED_VALUE"""),"SOC-SP6")</f>
        <v>SOC-SP6</v>
      </c>
      <c r="D3556" s="234">
        <f>IFERROR(__xludf.DUMMYFUNCTION("""COMPUTED_VALUE"""),25.0)</f>
        <v>25</v>
      </c>
      <c r="E3556" s="237" t="str">
        <f>IFERROR(__xludf.DUMMYFUNCTION("""COMPUTED_VALUE"""),"LT0PCT01V8O81")</f>
        <v>LT0PCT01V8O81</v>
      </c>
      <c r="F3556" s="234" t="str">
        <f>IFERROR(__xludf.DUMMYFUNCTION("""COMPUTED_VALUE"""),"EMU7J50,MDL1B13")</f>
        <v>EMU7J50,MDL1B13</v>
      </c>
      <c r="G3556" s="238">
        <f>IFERROR(__xludf.DUMMYFUNCTION("""COMPUTED_VALUE"""),46020.75)</f>
        <v>46020.75</v>
      </c>
      <c r="H3556" s="238">
        <f>IFERROR(__xludf.DUMMYFUNCTION("""COMPUTED_VALUE"""),46020.833333333336)</f>
        <v>46020.83333</v>
      </c>
      <c r="I3556" s="237" t="str">
        <f t="shared" si="1"/>
        <v>Fora</v>
      </c>
      <c r="J3556" s="239">
        <v>300.00000001396984</v>
      </c>
    </row>
    <row r="3557">
      <c r="A3557" s="234" t="s">
        <v>4862</v>
      </c>
      <c r="B3557" s="234" t="str">
        <f>IFERROR(__xludf.DUMMYFUNCTION("""COMPUTED_VALUE"""),"SoC_BA_Simoes Filho")</f>
        <v>SoC_BA_Simoes Filho</v>
      </c>
      <c r="C3557" s="234" t="str">
        <f>IFERROR(__xludf.DUMMYFUNCTION("""COMPUTED_VALUE"""),"SOC-BA2")</f>
        <v>SOC-BA2</v>
      </c>
      <c r="D3557" s="234">
        <f>IFERROR(__xludf.DUMMYFUNCTION("""COMPUTED_VALUE"""),88.0)</f>
        <v>88</v>
      </c>
      <c r="E3557" s="237" t="str">
        <f>IFERROR(__xludf.DUMMYFUNCTION("""COMPUTED_VALUE"""),"LT0PCT01VBS81")</f>
        <v>LT0PCT01VBS81</v>
      </c>
      <c r="F3557" s="238" t="str">
        <f>IFERROR(__xludf.DUMMYFUNCTION("""COMPUTED_VALUE"""),"QOR3E81,TEG8E37")</f>
        <v>QOR3E81,TEG8E37</v>
      </c>
      <c r="G3557" s="238">
        <f>IFERROR(__xludf.DUMMYFUNCTION("""COMPUTED_VALUE"""),46020.70833333333)</f>
        <v>46020.70833</v>
      </c>
      <c r="H3557" s="238">
        <f>IFERROR(__xludf.DUMMYFUNCTION("""COMPUTED_VALUE"""),46020.91666666667)</f>
        <v>46020.91667</v>
      </c>
      <c r="I3557" s="237" t="str">
        <f t="shared" si="1"/>
        <v>Fora</v>
      </c>
      <c r="J3557" s="239" t="e">
        <v>#VALUE!</v>
      </c>
    </row>
    <row r="3558">
      <c r="A3558" s="234" t="s">
        <v>4863</v>
      </c>
      <c r="B3558" s="234" t="str">
        <f>IFERROR(__xludf.DUMMYFUNCTION("""COMPUTED_VALUE"""),"Fanout Desconhecido")</f>
        <v>Fanout Desconhecido</v>
      </c>
      <c r="C3558" s="234" t="str">
        <f>IFERROR(__xludf.DUMMYFUNCTION("""COMPUTED_VALUE"""),"-")</f>
        <v>-</v>
      </c>
      <c r="D3558" s="234">
        <f>IFERROR(__xludf.DUMMYFUNCTION("""COMPUTED_VALUE"""),96.0)</f>
        <v>96</v>
      </c>
      <c r="E3558" s="237" t="str">
        <f>IFERROR(__xludf.DUMMYFUNCTION("""COMPUTED_VALUE"""),"LT1PCT01VX0I1")</f>
        <v>LT1PCT01VX0I1</v>
      </c>
      <c r="F3558" s="238" t="str">
        <f>IFERROR(__xludf.DUMMYFUNCTION("""COMPUTED_VALUE"""),"-")</f>
        <v>-</v>
      </c>
      <c r="G3558" s="238" t="str">
        <f>IFERROR(__xludf.DUMMYFUNCTION("""COMPUTED_VALUE"""),"-")</f>
        <v>-</v>
      </c>
      <c r="H3558" s="238" t="str">
        <f>IFERROR(__xludf.DUMMYFUNCTION("""COMPUTED_VALUE"""),"-")</f>
        <v>-</v>
      </c>
      <c r="I3558" s="237" t="str">
        <f t="shared" si="1"/>
        <v>Dentro</v>
      </c>
      <c r="J3558" s="239">
        <v>540.0</v>
      </c>
    </row>
    <row r="3559">
      <c r="A3559" s="234" t="s">
        <v>4864</v>
      </c>
      <c r="B3559" s="234" t="str">
        <f>IFERROR(__xludf.DUMMYFUNCTION("""COMPUTED_VALUE"""),"SoC_SC_Itajaí")</f>
        <v>SoC_SC_Itajaí</v>
      </c>
      <c r="C3559" s="234" t="str">
        <f>IFERROR(__xludf.DUMMYFUNCTION("""COMPUTED_VALUE"""),"SOC-SC1")</f>
        <v>SOC-SC1</v>
      </c>
      <c r="D3559" s="234">
        <f>IFERROR(__xludf.DUMMYFUNCTION("""COMPUTED_VALUE"""),100.0)</f>
        <v>100</v>
      </c>
      <c r="E3559" s="237" t="str">
        <f>IFERROR(__xludf.DUMMYFUNCTION("""COMPUTED_VALUE"""),"LT0PCT01VB3Y1")</f>
        <v>LT0PCT01VB3Y1</v>
      </c>
      <c r="F3559" s="238" t="str">
        <f>IFERROR(__xludf.DUMMYFUNCTION("""COMPUTED_VALUE"""),"OPN3H95,IPN8J87")</f>
        <v>OPN3H95,IPN8J87</v>
      </c>
      <c r="G3559" s="238">
        <f>IFERROR(__xludf.DUMMYFUNCTION("""COMPUTED_VALUE"""),46020.58333333333)</f>
        <v>46020.58333</v>
      </c>
      <c r="H3559" s="238">
        <f>IFERROR(__xludf.DUMMYFUNCTION("""COMPUTED_VALUE"""),46020.95833333333)</f>
        <v>46020.95833</v>
      </c>
      <c r="I3559" s="237" t="str">
        <f t="shared" si="1"/>
        <v>Fora</v>
      </c>
      <c r="J3559" s="239" t="e">
        <v>#VALUE!</v>
      </c>
    </row>
    <row r="3560">
      <c r="A3560" s="234" t="s">
        <v>544</v>
      </c>
      <c r="B3560" s="234" t="str">
        <f>IFERROR(__xludf.DUMMYFUNCTION("""COMPUTED_VALUE"""),"Fanout Desconhecido")</f>
        <v>Fanout Desconhecido</v>
      </c>
      <c r="C3560" s="234" t="str">
        <f>IFERROR(__xludf.DUMMYFUNCTION("""COMPUTED_VALUE"""),"-")</f>
        <v>-</v>
      </c>
      <c r="D3560" s="234">
        <f>IFERROR(__xludf.DUMMYFUNCTION("""COMPUTED_VALUE"""),88.0)</f>
        <v>88</v>
      </c>
      <c r="E3560" s="237" t="str">
        <f>IFERROR(__xludf.DUMMYFUNCTION("""COMPUTED_VALUE"""),"LT1PCT01VX0L1")</f>
        <v>LT1PCT01VX0L1</v>
      </c>
      <c r="F3560" s="238" t="str">
        <f>IFERROR(__xludf.DUMMYFUNCTION("""COMPUTED_VALUE"""),"-")</f>
        <v>-</v>
      </c>
      <c r="G3560" s="238" t="str">
        <f>IFERROR(__xludf.DUMMYFUNCTION("""COMPUTED_VALUE"""),"-")</f>
        <v>-</v>
      </c>
      <c r="H3560" s="238" t="str">
        <f>IFERROR(__xludf.DUMMYFUNCTION("""COMPUTED_VALUE"""),"-")</f>
        <v>-</v>
      </c>
      <c r="I3560" s="237" t="str">
        <f t="shared" si="1"/>
        <v>Dentro</v>
      </c>
      <c r="J3560" s="239">
        <v>120.00000001396984</v>
      </c>
    </row>
    <row r="3561">
      <c r="A3561" s="234" t="s">
        <v>4865</v>
      </c>
      <c r="B3561" s="234" t="str">
        <f>IFERROR(__xludf.DUMMYFUNCTION("""COMPUTED_VALUE"""),"LM Hub_RJ_Jacarepaguá")</f>
        <v>LM Hub_RJ_Jacarepaguá</v>
      </c>
      <c r="C3561" s="234" t="str">
        <f>IFERROR(__xludf.DUMMYFUNCTION("""COMPUTED_VALUE"""),"HUB-LRJ-29")</f>
        <v>HUB-LRJ-29</v>
      </c>
      <c r="D3561" s="234"/>
      <c r="E3561" s="237" t="str">
        <f>IFERROR(__xludf.DUMMYFUNCTION("""COMPUTED_VALUE"""),"LT0PCT01VBX01")</f>
        <v>LT0PCT01VBX01</v>
      </c>
      <c r="F3561" s="238" t="str">
        <f>IFERROR(__xludf.DUMMYFUNCTION("""COMPUTED_VALUE"""),"HKD3A60,TLQ2F27")</f>
        <v>HKD3A60,TLQ2F27</v>
      </c>
      <c r="G3561" s="238">
        <f>IFERROR(__xludf.DUMMYFUNCTION("""COMPUTED_VALUE"""),46020.89583333333)</f>
        <v>46020.89583</v>
      </c>
      <c r="H3561" s="238">
        <f>IFERROR(__xludf.DUMMYFUNCTION("""COMPUTED_VALUE"""),46020.97916666667)</f>
        <v>46020.97917</v>
      </c>
      <c r="I3561" s="237" t="str">
        <f t="shared" si="1"/>
        <v>Fora</v>
      </c>
      <c r="J3561" s="239">
        <v>119.00000001071021</v>
      </c>
    </row>
    <row r="3562">
      <c r="A3562" s="234" t="s">
        <v>4866</v>
      </c>
      <c r="B3562" s="234" t="str">
        <f>IFERROR(__xludf.DUMMYFUNCTION("""COMPUTED_VALUE"""),"LM Hub_SP_Itaqua_Zimba")</f>
        <v>LM Hub_SP_Itaqua_Zimba</v>
      </c>
      <c r="C3562" s="234" t="str">
        <f>IFERROR(__xludf.DUMMYFUNCTION("""COMPUTED_VALUE"""),"HUB-LSP-74")</f>
        <v>HUB-LSP-74</v>
      </c>
      <c r="D3562" s="234">
        <f>IFERROR(__xludf.DUMMYFUNCTION("""COMPUTED_VALUE"""),38.0)</f>
        <v>38</v>
      </c>
      <c r="E3562" s="237" t="str">
        <f>IFERROR(__xludf.DUMMYFUNCTION("""COMPUTED_VALUE"""),"LT0PCT01V82A1")</f>
        <v>LT0PCT01V82A1</v>
      </c>
      <c r="F3562" s="238" t="str">
        <f>IFERROR(__xludf.DUMMYFUNCTION("""COMPUTED_VALUE"""),"FQB9D27,GGI8F52")</f>
        <v>FQB9D27,GGI8F52</v>
      </c>
      <c r="G3562" s="238">
        <f>IFERROR(__xludf.DUMMYFUNCTION("""COMPUTED_VALUE"""),46020.896527777775)</f>
        <v>46020.89653</v>
      </c>
      <c r="H3562" s="238">
        <f>IFERROR(__xludf.DUMMYFUNCTION("""COMPUTED_VALUE"""),46020.97916666667)</f>
        <v>46020.97917</v>
      </c>
      <c r="I3562" s="237" t="str">
        <f t="shared" si="1"/>
        <v>Fora</v>
      </c>
      <c r="J3562" s="239">
        <v>119.00000000023283</v>
      </c>
    </row>
    <row r="3563">
      <c r="A3563" s="234" t="s">
        <v>4867</v>
      </c>
      <c r="B3563" s="234" t="str">
        <f>IFERROR(__xludf.DUMMYFUNCTION("""COMPUTED_VALUE"""),"LM Hub_SP_Guarujá")</f>
        <v>LM Hub_SP_Guarujá</v>
      </c>
      <c r="C3563" s="234" t="str">
        <f>IFERROR(__xludf.DUMMYFUNCTION("""COMPUTED_VALUE"""),"HUB-LSP-06")</f>
        <v>HUB-LSP-06</v>
      </c>
      <c r="D3563" s="234">
        <f>IFERROR(__xludf.DUMMYFUNCTION("""COMPUTED_VALUE"""),34.0)</f>
        <v>34</v>
      </c>
      <c r="E3563" s="237" t="str">
        <f>IFERROR(__xludf.DUMMYFUNCTION("""COMPUTED_VALUE"""),"LT0PCT01V82U1")</f>
        <v>LT0PCT01V82U1</v>
      </c>
      <c r="F3563" s="234" t="str">
        <f>IFERROR(__xludf.DUMMYFUNCTION("""COMPUTED_VALUE"""),"SVL5H32")</f>
        <v>SVL5H32</v>
      </c>
      <c r="G3563" s="238">
        <f>IFERROR(__xludf.DUMMYFUNCTION("""COMPUTED_VALUE"""),46020.916666666664)</f>
        <v>46020.91667</v>
      </c>
      <c r="H3563" s="238">
        <f>IFERROR(__xludf.DUMMYFUNCTION("""COMPUTED_VALUE"""),46020.99930555555)</f>
        <v>46020.99931</v>
      </c>
      <c r="I3563" s="237" t="str">
        <f t="shared" si="1"/>
        <v>Fora</v>
      </c>
      <c r="J3563" s="239">
        <v>118.99999998975545</v>
      </c>
    </row>
    <row r="3564">
      <c r="A3564" s="234" t="s">
        <v>4868</v>
      </c>
      <c r="B3564" s="234" t="str">
        <f>IFERROR(__xludf.DUMMYFUNCTION("""COMPUTED_VALUE"""),"LM Hub_SP_Sorocaba_Região Norte")</f>
        <v>LM Hub_SP_Sorocaba_Região Norte</v>
      </c>
      <c r="C3564" s="234" t="str">
        <f>IFERROR(__xludf.DUMMYFUNCTION("""COMPUTED_VALUE"""),"HUB-LSP-10")</f>
        <v>HUB-LSP-10</v>
      </c>
      <c r="D3564" s="234">
        <f>IFERROR(__xludf.DUMMYFUNCTION("""COMPUTED_VALUE"""),14.0)</f>
        <v>14</v>
      </c>
      <c r="E3564" s="237" t="str">
        <f>IFERROR(__xludf.DUMMYFUNCTION("""COMPUTED_VALUE"""),"LT1PCT01VX0M1")</f>
        <v>LT1PCT01VX0M1</v>
      </c>
      <c r="F3564" s="238" t="str">
        <f>IFERROR(__xludf.DUMMYFUNCTION("""COMPUTED_VALUE"""),"ESU4F58,IJF6J83")</f>
        <v>ESU4F58,IJF6J83</v>
      </c>
      <c r="G3564" s="238">
        <f>IFERROR(__xludf.DUMMYFUNCTION("""COMPUTED_VALUE"""),46020.91666666667)</f>
        <v>46020.91667</v>
      </c>
      <c r="H3564" s="238">
        <f>IFERROR(__xludf.DUMMYFUNCTION("""COMPUTED_VALUE"""),46020.99930555555)</f>
        <v>46020.99931</v>
      </c>
      <c r="I3564" s="237" t="str">
        <f t="shared" si="1"/>
        <v>Fora</v>
      </c>
      <c r="J3564" s="239">
        <v>120.00000000349246</v>
      </c>
    </row>
    <row r="3565">
      <c r="A3565" s="234" t="s">
        <v>4869</v>
      </c>
      <c r="B3565" s="234" t="str">
        <f>IFERROR(__xludf.DUMMYFUNCTION("""COMPUTED_VALUE"""),"LM Hub_SP_Barueri_01")</f>
        <v>LM Hub_SP_Barueri_01</v>
      </c>
      <c r="C3565" s="234" t="str">
        <f>IFERROR(__xludf.DUMMYFUNCTION("""COMPUTED_VALUE"""),"HUB-LSP-81")</f>
        <v>HUB-LSP-81</v>
      </c>
      <c r="D3565" s="234">
        <f>IFERROR(__xludf.DUMMYFUNCTION("""COMPUTED_VALUE"""),28.0)</f>
        <v>28</v>
      </c>
      <c r="E3565" s="237" t="str">
        <f>IFERROR(__xludf.DUMMYFUNCTION("""COMPUTED_VALUE"""),"LT0PCT01VBJT1")</f>
        <v>LT0PCT01VBJT1</v>
      </c>
      <c r="F3565" s="238" t="str">
        <f>IFERROR(__xludf.DUMMYFUNCTION("""COMPUTED_VALUE"""),"-")</f>
        <v>-</v>
      </c>
      <c r="G3565" s="238">
        <f>IFERROR(__xludf.DUMMYFUNCTION("""COMPUTED_VALUE"""),46020.916666666664)</f>
        <v>46020.91667</v>
      </c>
      <c r="H3565" s="238">
        <f>IFERROR(__xludf.DUMMYFUNCTION("""COMPUTED_VALUE"""),46021.0)</f>
        <v>46021</v>
      </c>
      <c r="I3565" s="237" t="str">
        <f t="shared" si="1"/>
        <v>Fora</v>
      </c>
      <c r="J3565" s="239">
        <v>120.00000000349246</v>
      </c>
    </row>
    <row r="3566">
      <c r="A3566" s="234" t="s">
        <v>4870</v>
      </c>
      <c r="B3566" s="234" t="str">
        <f>IFERROR(__xludf.DUMMYFUNCTION("""COMPUTED_VALUE"""),"LM Hub_SP_Itapevi")</f>
        <v>LM Hub_SP_Itapevi</v>
      </c>
      <c r="C3566" s="234" t="str">
        <f>IFERROR(__xludf.DUMMYFUNCTION("""COMPUTED_VALUE"""),"HUB-LSP-41")</f>
        <v>HUB-LSP-41</v>
      </c>
      <c r="D3566" s="234">
        <f>IFERROR(__xludf.DUMMYFUNCTION("""COMPUTED_VALUE"""),32.0)</f>
        <v>32</v>
      </c>
      <c r="E3566" s="237" t="str">
        <f>IFERROR(__xludf.DUMMYFUNCTION("""COMPUTED_VALUE"""),"LT0PCT01V81P1")</f>
        <v>LT0PCT01V81P1</v>
      </c>
      <c r="F3566" s="234" t="str">
        <f>IFERROR(__xludf.DUMMYFUNCTION("""COMPUTED_VALUE"""),"EMU5F62")</f>
        <v>EMU5F62</v>
      </c>
      <c r="G3566" s="238">
        <f>IFERROR(__xludf.DUMMYFUNCTION("""COMPUTED_VALUE"""),46020.916666666664)</f>
        <v>46020.91667</v>
      </c>
      <c r="H3566" s="238">
        <f>IFERROR(__xludf.DUMMYFUNCTION("""COMPUTED_VALUE"""),46021.0)</f>
        <v>46021</v>
      </c>
      <c r="I3566" s="237" t="str">
        <f t="shared" si="1"/>
        <v>Fora</v>
      </c>
      <c r="J3566" s="239">
        <v>120.00000000349246</v>
      </c>
    </row>
    <row r="3567">
      <c r="A3567" s="234" t="s">
        <v>4871</v>
      </c>
      <c r="B3567" s="234" t="str">
        <f>IFERROR(__xludf.DUMMYFUNCTION("""COMPUTED_VALUE"""),"LM Hub_SP_Jurubatuba")</f>
        <v>LM Hub_SP_Jurubatuba</v>
      </c>
      <c r="C3567" s="234" t="str">
        <f>IFERROR(__xludf.DUMMYFUNCTION("""COMPUTED_VALUE"""),"HUB-LSP-16")</f>
        <v>HUB-LSP-16</v>
      </c>
      <c r="D3567" s="234">
        <f>IFERROR(__xludf.DUMMYFUNCTION("""COMPUTED_VALUE"""),36.0)</f>
        <v>36</v>
      </c>
      <c r="E3567" s="237" t="str">
        <f>IFERROR(__xludf.DUMMYFUNCTION("""COMPUTED_VALUE"""),"LT0PCT01V8151")</f>
        <v>LT0PCT01V8151</v>
      </c>
      <c r="F3567" s="234" t="str">
        <f>IFERROR(__xludf.DUMMYFUNCTION("""COMPUTED_VALUE"""),"MQV9D62")</f>
        <v>MQV9D62</v>
      </c>
      <c r="G3567" s="238">
        <f>IFERROR(__xludf.DUMMYFUNCTION("""COMPUTED_VALUE"""),46020.916666666664)</f>
        <v>46020.91667</v>
      </c>
      <c r="H3567" s="238">
        <f>IFERROR(__xludf.DUMMYFUNCTION("""COMPUTED_VALUE"""),46021.0)</f>
        <v>46021</v>
      </c>
      <c r="I3567" s="237" t="str">
        <f t="shared" si="1"/>
        <v>Fora</v>
      </c>
      <c r="J3567" s="239">
        <v>119.99999999301508</v>
      </c>
    </row>
    <row r="3568">
      <c r="A3568" s="234" t="s">
        <v>4872</v>
      </c>
      <c r="B3568" s="234" t="str">
        <f>IFERROR(__xludf.DUMMYFUNCTION("""COMPUTED_VALUE"""),"LM Hub_SP_Osasco_02")</f>
        <v>LM Hub_SP_Osasco_02</v>
      </c>
      <c r="C3568" s="234" t="str">
        <f>IFERROR(__xludf.DUMMYFUNCTION("""COMPUTED_VALUE"""),"HUB-LSP-60")</f>
        <v>HUB-LSP-60</v>
      </c>
      <c r="D3568" s="234">
        <f>IFERROR(__xludf.DUMMYFUNCTION("""COMPUTED_VALUE"""),33.0)</f>
        <v>33</v>
      </c>
      <c r="E3568" s="237" t="str">
        <f>IFERROR(__xludf.DUMMYFUNCTION("""COMPUTED_VALUE"""),"LT0PCT01V81U1")</f>
        <v>LT0PCT01V81U1</v>
      </c>
      <c r="F3568" s="238" t="str">
        <f>IFERROR(__xludf.DUMMYFUNCTION("""COMPUTED_VALUE"""),"PYF4A02,TKC6A82")</f>
        <v>PYF4A02,TKC6A82</v>
      </c>
      <c r="G3568" s="238">
        <f>IFERROR(__xludf.DUMMYFUNCTION("""COMPUTED_VALUE"""),46020.91666666667)</f>
        <v>46020.91667</v>
      </c>
      <c r="H3568" s="238">
        <f>IFERROR(__xludf.DUMMYFUNCTION("""COMPUTED_VALUE"""),46021.0)</f>
        <v>46021</v>
      </c>
      <c r="I3568" s="237" t="str">
        <f t="shared" si="1"/>
        <v>Fora</v>
      </c>
      <c r="J3568" s="239">
        <v>119.99999999301508</v>
      </c>
    </row>
    <row r="3569">
      <c r="A3569" s="234" t="s">
        <v>4873</v>
      </c>
      <c r="B3569" s="234" t="str">
        <f>IFERROR(__xludf.DUMMYFUNCTION("""COMPUTED_VALUE"""),"LM Hub_SP_Santo André")</f>
        <v>LM Hub_SP_Santo André</v>
      </c>
      <c r="C3569" s="234" t="str">
        <f>IFERROR(__xludf.DUMMYFUNCTION("""COMPUTED_VALUE"""),"HUB-LSP-93")</f>
        <v>HUB-LSP-93</v>
      </c>
      <c r="D3569" s="234">
        <f>IFERROR(__xludf.DUMMYFUNCTION("""COMPUTED_VALUE"""),9.0)</f>
        <v>9</v>
      </c>
      <c r="E3569" s="237" t="str">
        <f>IFERROR(__xludf.DUMMYFUNCTION("""COMPUTED_VALUE"""),"LT0PCT01V9SU1")</f>
        <v>LT0PCT01V9SU1</v>
      </c>
      <c r="F3569" s="238" t="str">
        <f>IFERROR(__xludf.DUMMYFUNCTION("""COMPUTED_VALUE"""),"QQO8H42,FSO9H65")</f>
        <v>QQO8H42,FSO9H65</v>
      </c>
      <c r="G3569" s="238">
        <f>IFERROR(__xludf.DUMMYFUNCTION("""COMPUTED_VALUE"""),46020.91666666667)</f>
        <v>46020.91667</v>
      </c>
      <c r="H3569" s="238">
        <f>IFERROR(__xludf.DUMMYFUNCTION("""COMPUTED_VALUE"""),46021.0)</f>
        <v>46021</v>
      </c>
      <c r="I3569" s="237" t="str">
        <f t="shared" si="1"/>
        <v>Fora</v>
      </c>
      <c r="J3569" s="239">
        <v>119.99999999301508</v>
      </c>
    </row>
    <row r="3570">
      <c r="A3570" s="234" t="s">
        <v>4874</v>
      </c>
      <c r="B3570" s="234" t="str">
        <f>IFERROR(__xludf.DUMMYFUNCTION("""COMPUTED_VALUE"""),"LM Hub_SP_Santo André")</f>
        <v>LM Hub_SP_Santo André</v>
      </c>
      <c r="C3570" s="234" t="str">
        <f>IFERROR(__xludf.DUMMYFUNCTION("""COMPUTED_VALUE"""),"HUB-LSP-93")</f>
        <v>HUB-LSP-93</v>
      </c>
      <c r="D3570" s="234">
        <f>IFERROR(__xludf.DUMMYFUNCTION("""COMPUTED_VALUE"""),5.0)</f>
        <v>5</v>
      </c>
      <c r="E3570" s="237" t="str">
        <f>IFERROR(__xludf.DUMMYFUNCTION("""COMPUTED_VALUE"""),"LT0PCT01V9SV2")</f>
        <v>LT0PCT01V9SV2</v>
      </c>
      <c r="F3570" s="238" t="str">
        <f>IFERROR(__xludf.DUMMYFUNCTION("""COMPUTED_VALUE"""),"EOE6F71,FSM3A18")</f>
        <v>EOE6F71,FSM3A18</v>
      </c>
      <c r="G3570" s="238">
        <f>IFERROR(__xludf.DUMMYFUNCTION("""COMPUTED_VALUE"""),46020.91666666667)</f>
        <v>46020.91667</v>
      </c>
      <c r="H3570" s="238">
        <f>IFERROR(__xludf.DUMMYFUNCTION("""COMPUTED_VALUE"""),46021.0)</f>
        <v>46021</v>
      </c>
      <c r="I3570" s="237" t="str">
        <f t="shared" si="1"/>
        <v>Fora</v>
      </c>
      <c r="J3570" s="239">
        <v>119.99999999301508</v>
      </c>
    </row>
    <row r="3571">
      <c r="A3571" s="234" t="s">
        <v>4875</v>
      </c>
      <c r="B3571" s="234" t="str">
        <f>IFERROR(__xludf.DUMMYFUNCTION("""COMPUTED_VALUE"""),"LM Hub_SP_São José do Rio P")</f>
        <v>LM Hub_SP_São José do Rio P</v>
      </c>
      <c r="C3571" s="234" t="str">
        <f>IFERROR(__xludf.DUMMYFUNCTION("""COMPUTED_VALUE"""),"HUB-LSP-27")</f>
        <v>HUB-LSP-27</v>
      </c>
      <c r="D3571" s="234">
        <f>IFERROR(__xludf.DUMMYFUNCTION("""COMPUTED_VALUE"""),24.0)</f>
        <v>24</v>
      </c>
      <c r="E3571" s="237" t="str">
        <f>IFERROR(__xludf.DUMMYFUNCTION("""COMPUTED_VALUE"""),"LT0PCT01VAPM1")</f>
        <v>LT0PCT01VAPM1</v>
      </c>
      <c r="F3571" s="238" t="str">
        <f>IFERROR(__xludf.DUMMYFUNCTION("""COMPUTED_VALUE"""),"FCE6H12,GAS2J32")</f>
        <v>FCE6H12,GAS2J32</v>
      </c>
      <c r="G3571" s="238">
        <f>IFERROR(__xludf.DUMMYFUNCTION("""COMPUTED_VALUE"""),46020.91666666667)</f>
        <v>46020.91667</v>
      </c>
      <c r="H3571" s="238">
        <f>IFERROR(__xludf.DUMMYFUNCTION("""COMPUTED_VALUE"""),46021.0)</f>
        <v>46021</v>
      </c>
      <c r="I3571" s="237" t="str">
        <f t="shared" si="1"/>
        <v>Fora</v>
      </c>
      <c r="J3571" s="239">
        <v>119.99999999301508</v>
      </c>
    </row>
    <row r="3572">
      <c r="A3572" s="234" t="s">
        <v>4876</v>
      </c>
      <c r="B3572" s="234" t="str">
        <f>IFERROR(__xludf.DUMMYFUNCTION("""COMPUTED_VALUE"""),"LM Hub_SP_Sorocaba_Região Norte")</f>
        <v>LM Hub_SP_Sorocaba_Região Norte</v>
      </c>
      <c r="C3572" s="234" t="str">
        <f>IFERROR(__xludf.DUMMYFUNCTION("""COMPUTED_VALUE"""),"HUB-LSP-10")</f>
        <v>HUB-LSP-10</v>
      </c>
      <c r="D3572" s="234"/>
      <c r="E3572" s="237" t="str">
        <f>IFERROR(__xludf.DUMMYFUNCTION("""COMPUTED_VALUE"""),"LT1PCT01VWYV1")</f>
        <v>LT1PCT01VWYV1</v>
      </c>
      <c r="F3572" s="238" t="str">
        <f>IFERROR(__xludf.DUMMYFUNCTION("""COMPUTED_VALUE"""),"AYR3J06,EMU9H08")</f>
        <v>AYR3J06,EMU9H08</v>
      </c>
      <c r="G3572" s="238">
        <f>IFERROR(__xludf.DUMMYFUNCTION("""COMPUTED_VALUE"""),46020.91666666667)</f>
        <v>46020.91667</v>
      </c>
      <c r="H3572" s="238">
        <f>IFERROR(__xludf.DUMMYFUNCTION("""COMPUTED_VALUE"""),46021.0)</f>
        <v>46021</v>
      </c>
      <c r="I3572" s="237" t="str">
        <f t="shared" si="1"/>
        <v>Fora</v>
      </c>
      <c r="J3572" s="239">
        <v>119.00000000023283</v>
      </c>
    </row>
    <row r="3573">
      <c r="A3573" s="234" t="s">
        <v>4877</v>
      </c>
      <c r="B3573" s="234" t="str">
        <f>IFERROR(__xludf.DUMMYFUNCTION("""COMPUTED_VALUE"""),"LM Hub_SP_Artur Alvim")</f>
        <v>LM Hub_SP_Artur Alvim</v>
      </c>
      <c r="C3573" s="234" t="str">
        <f>IFERROR(__xludf.DUMMYFUNCTION("""COMPUTED_VALUE"""),"HUB-LSP-07")</f>
        <v>HUB-LSP-07</v>
      </c>
      <c r="D3573" s="234">
        <f>IFERROR(__xludf.DUMMYFUNCTION("""COMPUTED_VALUE"""),35.0)</f>
        <v>35</v>
      </c>
      <c r="E3573" s="237" t="str">
        <f>IFERROR(__xludf.DUMMYFUNCTION("""COMPUTED_VALUE"""),"LT0PCT01V80N1")</f>
        <v>LT0PCT01V80N1</v>
      </c>
      <c r="F3573" s="234" t="str">
        <f>IFERROR(__xludf.DUMMYFUNCTION("""COMPUTED_VALUE"""),"EBS3J90")</f>
        <v>EBS3J90</v>
      </c>
      <c r="G3573" s="238">
        <f>IFERROR(__xludf.DUMMYFUNCTION("""COMPUTED_VALUE"""),46020.91736111111)</f>
        <v>46020.91736</v>
      </c>
      <c r="H3573" s="238">
        <f>IFERROR(__xludf.DUMMYFUNCTION("""COMPUTED_VALUE"""),46021.0)</f>
        <v>46021</v>
      </c>
      <c r="I3573" s="237" t="str">
        <f t="shared" si="1"/>
        <v>Fora</v>
      </c>
      <c r="J3573" s="239">
        <v>119.00000000023283</v>
      </c>
    </row>
    <row r="3574">
      <c r="A3574" s="234" t="s">
        <v>4878</v>
      </c>
      <c r="B3574" s="234" t="str">
        <f>IFERROR(__xludf.DUMMYFUNCTION("""COMPUTED_VALUE"""),"LM Hub_SP_Guarulhos")</f>
        <v>LM Hub_SP_Guarulhos</v>
      </c>
      <c r="C3574" s="234" t="str">
        <f>IFERROR(__xludf.DUMMYFUNCTION("""COMPUTED_VALUE"""),"HUB-LSP-77")</f>
        <v>HUB-LSP-77</v>
      </c>
      <c r="D3574" s="234">
        <f>IFERROR(__xludf.DUMMYFUNCTION("""COMPUTED_VALUE"""),37.0)</f>
        <v>37</v>
      </c>
      <c r="E3574" s="237" t="str">
        <f>IFERROR(__xludf.DUMMYFUNCTION("""COMPUTED_VALUE"""),"LT0PCT01V8HW1")</f>
        <v>LT0PCT01V8HW1</v>
      </c>
      <c r="F3574" s="238" t="str">
        <f>IFERROR(__xludf.DUMMYFUNCTION("""COMPUTED_VALUE"""),"MFO5E94,JXB0B94")</f>
        <v>MFO5E94,JXB0B94</v>
      </c>
      <c r="G3574" s="238">
        <f>IFERROR(__xludf.DUMMYFUNCTION("""COMPUTED_VALUE"""),46020.91736111111)</f>
        <v>46020.91736</v>
      </c>
      <c r="H3574" s="238">
        <f>IFERROR(__xludf.DUMMYFUNCTION("""COMPUTED_VALUE"""),46021.0)</f>
        <v>46021</v>
      </c>
      <c r="I3574" s="237" t="str">
        <f t="shared" si="1"/>
        <v>Fora</v>
      </c>
      <c r="J3574" s="239">
        <v>119.00000000023283</v>
      </c>
    </row>
    <row r="3575">
      <c r="A3575" s="234" t="s">
        <v>4879</v>
      </c>
      <c r="B3575" s="234" t="str">
        <f>IFERROR(__xludf.DUMMYFUNCTION("""COMPUTED_VALUE"""),"LM Hub_SP_Limeira_Campo Belo")</f>
        <v>LM Hub_SP_Limeira_Campo Belo</v>
      </c>
      <c r="C3575" s="234" t="str">
        <f>IFERROR(__xludf.DUMMYFUNCTION("""COMPUTED_VALUE"""),"HUB-LSP-24")</f>
        <v>HUB-LSP-24</v>
      </c>
      <c r="D3575" s="234">
        <f>IFERROR(__xludf.DUMMYFUNCTION("""COMPUTED_VALUE"""),7.0)</f>
        <v>7</v>
      </c>
      <c r="E3575" s="237" t="str">
        <f>IFERROR(__xludf.DUMMYFUNCTION("""COMPUTED_VALUE"""),"LT0PCT01V8421")</f>
        <v>LT0PCT01V8421</v>
      </c>
      <c r="F3575" s="238" t="str">
        <f>IFERROR(__xludf.DUMMYFUNCTION("""COMPUTED_VALUE"""),"SUS0E35,FXG4H42")</f>
        <v>SUS0E35,FXG4H42</v>
      </c>
      <c r="G3575" s="238">
        <f>IFERROR(__xludf.DUMMYFUNCTION("""COMPUTED_VALUE"""),46020.91736111111)</f>
        <v>46020.91736</v>
      </c>
      <c r="H3575" s="238">
        <f>IFERROR(__xludf.DUMMYFUNCTION("""COMPUTED_VALUE"""),46021.0)</f>
        <v>46021</v>
      </c>
      <c r="I3575" s="237" t="str">
        <f t="shared" si="1"/>
        <v>Fora</v>
      </c>
      <c r="J3575" s="239">
        <v>119.99999999301508</v>
      </c>
    </row>
    <row r="3576">
      <c r="A3576" s="234" t="s">
        <v>4880</v>
      </c>
      <c r="B3576" s="234" t="str">
        <f>IFERROR(__xludf.DUMMYFUNCTION("""COMPUTED_VALUE"""),"LM Hub_SP_Jardim Adriana")</f>
        <v>LM Hub_SP_Jardim Adriana</v>
      </c>
      <c r="C3576" s="234" t="str">
        <f>IFERROR(__xludf.DUMMYFUNCTION("""COMPUTED_VALUE"""),"HUB-LSP-12")</f>
        <v>HUB-LSP-12</v>
      </c>
      <c r="D3576" s="234">
        <f>IFERROR(__xludf.DUMMYFUNCTION("""COMPUTED_VALUE"""),8.0)</f>
        <v>8</v>
      </c>
      <c r="E3576" s="237" t="str">
        <f>IFERROR(__xludf.DUMMYFUNCTION("""COMPUTED_VALUE"""),"LT0PCT01V80S1")</f>
        <v>LT0PCT01V80S1</v>
      </c>
      <c r="F3576" s="238" t="str">
        <f>IFERROR(__xludf.DUMMYFUNCTION("""COMPUTED_VALUE"""),"CUA4J46")</f>
        <v>CUA4J46</v>
      </c>
      <c r="G3576" s="238">
        <f>IFERROR(__xludf.DUMMYFUNCTION("""COMPUTED_VALUE"""),46020.9375)</f>
        <v>46020.9375</v>
      </c>
      <c r="H3576" s="238">
        <f>IFERROR(__xludf.DUMMYFUNCTION("""COMPUTED_VALUE"""),46021.02083333333)</f>
        <v>46021.02083</v>
      </c>
      <c r="I3576" s="237" t="str">
        <f t="shared" si="1"/>
        <v>Fora</v>
      </c>
      <c r="J3576" s="239">
        <v>119.99999999301508</v>
      </c>
    </row>
    <row r="3577">
      <c r="A3577" s="234" t="s">
        <v>4881</v>
      </c>
      <c r="B3577" s="234" t="str">
        <f>IFERROR(__xludf.DUMMYFUNCTION("""COMPUTED_VALUE"""),"LM Hub_SP_Parque Novo Mundo")</f>
        <v>LM Hub_SP_Parque Novo Mundo</v>
      </c>
      <c r="C3577" s="234" t="str">
        <f>IFERROR(__xludf.DUMMYFUNCTION("""COMPUTED_VALUE"""),"HUB-LSP-89")</f>
        <v>HUB-LSP-89</v>
      </c>
      <c r="D3577" s="234"/>
      <c r="E3577" s="237" t="str">
        <f>IFERROR(__xludf.DUMMYFUNCTION("""COMPUTED_VALUE"""),"LT0PCT01V8N01")</f>
        <v>LT0PCT01V8N01</v>
      </c>
      <c r="F3577" s="238" t="str">
        <f>IFERROR(__xludf.DUMMYFUNCTION("""COMPUTED_VALUE"""),"GIQ1C13,AKZ0B43")</f>
        <v>GIQ1C13,AKZ0B43</v>
      </c>
      <c r="G3577" s="238">
        <f>IFERROR(__xludf.DUMMYFUNCTION("""COMPUTED_VALUE"""),46020.9375)</f>
        <v>46020.9375</v>
      </c>
      <c r="H3577" s="238">
        <f>IFERROR(__xludf.DUMMYFUNCTION("""COMPUTED_VALUE"""),46021.02083333333)</f>
        <v>46021.02083</v>
      </c>
      <c r="I3577" s="237" t="str">
        <f t="shared" si="1"/>
        <v>Fora</v>
      </c>
      <c r="J3577" s="239">
        <v>119.99999999301508</v>
      </c>
    </row>
    <row r="3578">
      <c r="A3578" s="234" t="s">
        <v>4882</v>
      </c>
      <c r="B3578" s="234" t="str">
        <f>IFERROR(__xludf.DUMMYFUNCTION("""COMPUTED_VALUE"""),"LM Hub_SP_Piracicaba")</f>
        <v>LM Hub_SP_Piracicaba</v>
      </c>
      <c r="C3578" s="234" t="str">
        <f>IFERROR(__xludf.DUMMYFUNCTION("""COMPUTED_VALUE"""),"HUB-LSP-62")</f>
        <v>HUB-LSP-62</v>
      </c>
      <c r="D3578" s="234">
        <f>IFERROR(__xludf.DUMMYFUNCTION("""COMPUTED_VALUE"""),41.0)</f>
        <v>41</v>
      </c>
      <c r="E3578" s="237" t="str">
        <f>IFERROR(__xludf.DUMMYFUNCTION("""COMPUTED_VALUE"""),"LT0PCT01V8I61")</f>
        <v>LT0PCT01V8I61</v>
      </c>
      <c r="F3578" s="238" t="str">
        <f>IFERROR(__xludf.DUMMYFUNCTION("""COMPUTED_VALUE"""),"EOF4D32")</f>
        <v>EOF4D32</v>
      </c>
      <c r="G3578" s="238">
        <f>IFERROR(__xludf.DUMMYFUNCTION("""COMPUTED_VALUE"""),46020.9375)</f>
        <v>46020.9375</v>
      </c>
      <c r="H3578" s="238">
        <f>IFERROR(__xludf.DUMMYFUNCTION("""COMPUTED_VALUE"""),46021.02083333333)</f>
        <v>46021.02083</v>
      </c>
      <c r="I3578" s="237" t="str">
        <f t="shared" si="1"/>
        <v>Fora</v>
      </c>
      <c r="J3578" s="239">
        <v>118.99999998975545</v>
      </c>
    </row>
    <row r="3579">
      <c r="A3579" s="234" t="s">
        <v>4883</v>
      </c>
      <c r="B3579" s="234" t="str">
        <f>IFERROR(__xludf.DUMMYFUNCTION("""COMPUTED_VALUE"""),"LM Hub_SP_São Paulo_Carandiru")</f>
        <v>LM Hub_SP_São Paulo_Carandiru</v>
      </c>
      <c r="C3579" s="234" t="str">
        <f>IFERROR(__xludf.DUMMYFUNCTION("""COMPUTED_VALUE"""),"HUB-LSP-18")</f>
        <v>HUB-LSP-18</v>
      </c>
      <c r="D3579" s="234">
        <f>IFERROR(__xludf.DUMMYFUNCTION("""COMPUTED_VALUE"""),42.0)</f>
        <v>42</v>
      </c>
      <c r="E3579" s="237" t="str">
        <f>IFERROR(__xludf.DUMMYFUNCTION("""COMPUTED_VALUE"""),"LT0PCT01V81A1")</f>
        <v>LT0PCT01V81A1</v>
      </c>
      <c r="F3579" s="238" t="str">
        <f>IFERROR(__xludf.DUMMYFUNCTION("""COMPUTED_VALUE"""),"FZJ9H38")</f>
        <v>FZJ9H38</v>
      </c>
      <c r="G3579" s="238">
        <f>IFERROR(__xludf.DUMMYFUNCTION("""COMPUTED_VALUE"""),46020.93819444445)</f>
        <v>46020.93819</v>
      </c>
      <c r="H3579" s="238">
        <f>IFERROR(__xludf.DUMMYFUNCTION("""COMPUTED_VALUE"""),46021.02083333333)</f>
        <v>46021.02083</v>
      </c>
      <c r="I3579" s="237" t="str">
        <f t="shared" si="1"/>
        <v>Fora</v>
      </c>
      <c r="J3579" s="239">
        <v>118.99999998975545</v>
      </c>
    </row>
    <row r="3580">
      <c r="A3580" s="234" t="s">
        <v>4884</v>
      </c>
      <c r="B3580" s="234" t="str">
        <f>IFERROR(__xludf.DUMMYFUNCTION("""COMPUTED_VALUE"""),"LM Hub_SP_São Paulo_Carandiru")</f>
        <v>LM Hub_SP_São Paulo_Carandiru</v>
      </c>
      <c r="C3580" s="234" t="str">
        <f>IFERROR(__xludf.DUMMYFUNCTION("""COMPUTED_VALUE"""),"HUB-LSP-18")</f>
        <v>HUB-LSP-18</v>
      </c>
      <c r="D3580" s="234">
        <f>IFERROR(__xludf.DUMMYFUNCTION("""COMPUTED_VALUE"""),43.0)</f>
        <v>43</v>
      </c>
      <c r="E3580" s="237" t="str">
        <f>IFERROR(__xludf.DUMMYFUNCTION("""COMPUTED_VALUE"""),"LT0PCT01V81C2")</f>
        <v>LT0PCT01V81C2</v>
      </c>
      <c r="F3580" s="238" t="str">
        <f>IFERROR(__xludf.DUMMYFUNCTION("""COMPUTED_VALUE"""),"FLJ6920")</f>
        <v>FLJ6920</v>
      </c>
      <c r="G3580" s="238">
        <f>IFERROR(__xludf.DUMMYFUNCTION("""COMPUTED_VALUE"""),46020.93819444445)</f>
        <v>46020.93819</v>
      </c>
      <c r="H3580" s="238">
        <f>IFERROR(__xludf.DUMMYFUNCTION("""COMPUTED_VALUE"""),46021.02083333333)</f>
        <v>46021.02083</v>
      </c>
      <c r="I3580" s="237" t="str">
        <f t="shared" si="1"/>
        <v>Fora</v>
      </c>
      <c r="J3580" s="239">
        <v>118.99999998975545</v>
      </c>
    </row>
    <row r="3581">
      <c r="A3581" s="234" t="s">
        <v>4885</v>
      </c>
      <c r="B3581" s="234" t="str">
        <f>IFERROR(__xludf.DUMMYFUNCTION("""COMPUTED_VALUE"""),"LM Hub_SP_Suzano_Baruel")</f>
        <v>LM Hub_SP_Suzano_Baruel</v>
      </c>
      <c r="C3581" s="234" t="str">
        <f>IFERROR(__xludf.DUMMYFUNCTION("""COMPUTED_VALUE"""),"HUB-LSP-97")</f>
        <v>HUB-LSP-97</v>
      </c>
      <c r="D3581" s="234"/>
      <c r="E3581" s="237" t="str">
        <f>IFERROR(__xludf.DUMMYFUNCTION("""COMPUTED_VALUE"""),"LT0PCT01VCQU1")</f>
        <v>LT0PCT01VCQU1</v>
      </c>
      <c r="F3581" s="238" t="str">
        <f>IFERROR(__xludf.DUMMYFUNCTION("""COMPUTED_VALUE"""),"DOT3E21,EGJ9093")</f>
        <v>DOT3E21,EGJ9093</v>
      </c>
      <c r="G3581" s="238">
        <f>IFERROR(__xludf.DUMMYFUNCTION("""COMPUTED_VALUE"""),46020.93819444445)</f>
        <v>46020.93819</v>
      </c>
      <c r="H3581" s="238">
        <f>IFERROR(__xludf.DUMMYFUNCTION("""COMPUTED_VALUE"""),46021.02083333333)</f>
        <v>46021.02083</v>
      </c>
      <c r="I3581" s="237" t="str">
        <f t="shared" si="1"/>
        <v>Fora</v>
      </c>
      <c r="J3581" s="239">
        <v>118.99999998975545</v>
      </c>
    </row>
    <row r="3582">
      <c r="A3582" s="234" t="s">
        <v>4886</v>
      </c>
      <c r="B3582" s="234" t="str">
        <f>IFERROR(__xludf.DUMMYFUNCTION("""COMPUTED_VALUE"""),"LM Hub_SP_VilaGuilherme")</f>
        <v>LM Hub_SP_VilaGuilherme</v>
      </c>
      <c r="C3582" s="234" t="str">
        <f>IFERROR(__xludf.DUMMYFUNCTION("""COMPUTED_VALUE"""),"HUB-LSP-68")</f>
        <v>HUB-LSP-68</v>
      </c>
      <c r="D3582" s="234">
        <f>IFERROR(__xludf.DUMMYFUNCTION("""COMPUTED_VALUE"""),40.0)</f>
        <v>40</v>
      </c>
      <c r="E3582" s="237" t="str">
        <f>IFERROR(__xludf.DUMMYFUNCTION("""COMPUTED_VALUE"""),"LT0PCT01V8241")</f>
        <v>LT0PCT01V8241</v>
      </c>
      <c r="F3582" s="238" t="str">
        <f>IFERROR(__xludf.DUMMYFUNCTION("""COMPUTED_VALUE"""),"NKW3F61,STD9E75")</f>
        <v>NKW3F61,STD9E75</v>
      </c>
      <c r="G3582" s="238">
        <f>IFERROR(__xludf.DUMMYFUNCTION("""COMPUTED_VALUE"""),46020.93819444445)</f>
        <v>46020.93819</v>
      </c>
      <c r="H3582" s="238">
        <f>IFERROR(__xludf.DUMMYFUNCTION("""COMPUTED_VALUE"""),46021.02083333333)</f>
        <v>46021.02083</v>
      </c>
      <c r="I3582" s="237" t="str">
        <f t="shared" si="1"/>
        <v>Fora</v>
      </c>
      <c r="J3582" s="239">
        <v>120.00000001396984</v>
      </c>
    </row>
    <row r="3583">
      <c r="A3583" s="234" t="s">
        <v>4887</v>
      </c>
      <c r="B3583" s="234" t="str">
        <f>IFERROR(__xludf.DUMMYFUNCTION("""COMPUTED_VALUE"""),"LM Hub_RJ_Nova Iguaçu")</f>
        <v>LM Hub_RJ_Nova Iguaçu</v>
      </c>
      <c r="C3583" s="234" t="str">
        <f>IFERROR(__xludf.DUMMYFUNCTION("""COMPUTED_VALUE"""),"HUB-LRJ-27")</f>
        <v>HUB-LRJ-27</v>
      </c>
      <c r="D3583" s="234">
        <f>IFERROR(__xludf.DUMMYFUNCTION("""COMPUTED_VALUE"""),12.0)</f>
        <v>12</v>
      </c>
      <c r="E3583" s="237" t="str">
        <f>IFERROR(__xludf.DUMMYFUNCTION("""COMPUTED_VALUE"""),"LT0PCT01VBX81")</f>
        <v>LT0PCT01VBX81</v>
      </c>
      <c r="F3583" s="238" t="str">
        <f>IFERROR(__xludf.DUMMYFUNCTION("""COMPUTED_VALUE"""),"UAX1H40,STM2I89")</f>
        <v>UAX1H40,STM2I89</v>
      </c>
      <c r="G3583" s="238">
        <f>IFERROR(__xludf.DUMMYFUNCTION("""COMPUTED_VALUE"""),46020.95833333333)</f>
        <v>46020.95833</v>
      </c>
      <c r="H3583" s="238">
        <f>IFERROR(__xludf.DUMMYFUNCTION("""COMPUTED_VALUE"""),46021.04166666667)</f>
        <v>46021.04167</v>
      </c>
      <c r="I3583" s="237" t="str">
        <f t="shared" si="1"/>
        <v>Fora</v>
      </c>
      <c r="J3583" s="239">
        <v>120.00000001396984</v>
      </c>
    </row>
    <row r="3584">
      <c r="A3584" s="234" t="s">
        <v>4888</v>
      </c>
      <c r="B3584" s="234" t="str">
        <f>IFERROR(__xludf.DUMMYFUNCTION("""COMPUTED_VALUE"""),"LM Hub_RJ_Rio de Janeiro_Campo G")</f>
        <v>LM Hub_RJ_Rio de Janeiro_Campo G</v>
      </c>
      <c r="C3584" s="234" t="str">
        <f>IFERROR(__xludf.DUMMYFUNCTION("""COMPUTED_VALUE"""),"HUB-LRJ-04")</f>
        <v>HUB-LRJ-04</v>
      </c>
      <c r="D3584" s="234">
        <f>IFERROR(__xludf.DUMMYFUNCTION("""COMPUTED_VALUE"""),6.0)</f>
        <v>6</v>
      </c>
      <c r="E3584" s="237" t="str">
        <f>IFERROR(__xludf.DUMMYFUNCTION("""COMPUTED_VALUE"""),"LT0PCT01V8581")</f>
        <v>LT0PCT01V8581</v>
      </c>
      <c r="F3584" s="238" t="str">
        <f>IFERROR(__xludf.DUMMYFUNCTION("""COMPUTED_VALUE"""),"UAV9J05,TMG0D75")</f>
        <v>UAV9J05,TMG0D75</v>
      </c>
      <c r="G3584" s="238">
        <f>IFERROR(__xludf.DUMMYFUNCTION("""COMPUTED_VALUE"""),46020.95833333333)</f>
        <v>46020.95833</v>
      </c>
      <c r="H3584" s="238">
        <f>IFERROR(__xludf.DUMMYFUNCTION("""COMPUTED_VALUE"""),46021.04166666667)</f>
        <v>46021.04167</v>
      </c>
      <c r="I3584" s="237" t="str">
        <f t="shared" si="1"/>
        <v>Fora</v>
      </c>
      <c r="J3584" s="239">
        <v>120.00000001396984</v>
      </c>
    </row>
    <row r="3585">
      <c r="A3585" s="234" t="s">
        <v>4889</v>
      </c>
      <c r="B3585" s="234" t="str">
        <f>IFERROR(__xludf.DUMMYFUNCTION("""COMPUTED_VALUE"""),"LM Hub_RJ_São João do Meriti")</f>
        <v>LM Hub_RJ_São João do Meriti</v>
      </c>
      <c r="C3585" s="234" t="str">
        <f>IFERROR(__xludf.DUMMYFUNCTION("""COMPUTED_VALUE"""),"HUB-LRJ-01")</f>
        <v>HUB-LRJ-01</v>
      </c>
      <c r="D3585" s="234">
        <f>IFERROR(__xludf.DUMMYFUNCTION("""COMPUTED_VALUE"""),13.0)</f>
        <v>13</v>
      </c>
      <c r="E3585" s="237" t="str">
        <f>IFERROR(__xludf.DUMMYFUNCTION("""COMPUTED_VALUE"""),"LT0PCT01VBXT1")</f>
        <v>LT0PCT01VBXT1</v>
      </c>
      <c r="F3585" s="238" t="str">
        <f>IFERROR(__xludf.DUMMYFUNCTION("""COMPUTED_VALUE"""),"FTV1H09,MFT8J62")</f>
        <v>FTV1H09,MFT8J62</v>
      </c>
      <c r="G3585" s="238">
        <f>IFERROR(__xludf.DUMMYFUNCTION("""COMPUTED_VALUE"""),46020.95833333333)</f>
        <v>46020.95833</v>
      </c>
      <c r="H3585" s="238">
        <f>IFERROR(__xludf.DUMMYFUNCTION("""COMPUTED_VALUE"""),46021.04166666667)</f>
        <v>46021.04167</v>
      </c>
      <c r="I3585" s="237" t="str">
        <f t="shared" si="1"/>
        <v>Fora</v>
      </c>
      <c r="J3585" s="239">
        <v>120.00000001396984</v>
      </c>
    </row>
    <row r="3586">
      <c r="A3586" s="234" t="s">
        <v>4890</v>
      </c>
      <c r="B3586" s="234" t="str">
        <f>IFERROR(__xludf.DUMMYFUNCTION("""COMPUTED_VALUE"""),"LM Hub_SP_Jundiaí")</f>
        <v>LM Hub_SP_Jundiaí</v>
      </c>
      <c r="C3586" s="234" t="str">
        <f>IFERROR(__xludf.DUMMYFUNCTION("""COMPUTED_VALUE"""),"HUB-LSP-100")</f>
        <v>HUB-LSP-100</v>
      </c>
      <c r="D3586" s="234">
        <f>IFERROR(__xludf.DUMMYFUNCTION("""COMPUTED_VALUE"""),29.0)</f>
        <v>29</v>
      </c>
      <c r="E3586" s="237" t="str">
        <f>IFERROR(__xludf.DUMMYFUNCTION("""COMPUTED_VALUE"""),"LT0PCT01VCHC1")</f>
        <v>LT0PCT01VCHC1</v>
      </c>
      <c r="F3586" s="238" t="str">
        <f>IFERROR(__xludf.DUMMYFUNCTION("""COMPUTED_VALUE"""),"EDI5J16,TPO5B25")</f>
        <v>EDI5J16,TPO5B25</v>
      </c>
      <c r="G3586" s="238">
        <f>IFERROR(__xludf.DUMMYFUNCTION("""COMPUTED_VALUE"""),46020.95833333333)</f>
        <v>46020.95833</v>
      </c>
      <c r="H3586" s="238">
        <f>IFERROR(__xludf.DUMMYFUNCTION("""COMPUTED_VALUE"""),46021.04166666667)</f>
        <v>46021.04167</v>
      </c>
      <c r="I3586" s="237" t="str">
        <f t="shared" si="1"/>
        <v>Fora</v>
      </c>
      <c r="J3586" s="239">
        <v>120.00000001396984</v>
      </c>
    </row>
    <row r="3587">
      <c r="A3587" s="234" t="s">
        <v>4891</v>
      </c>
      <c r="B3587" s="234" t="str">
        <f>IFERROR(__xludf.DUMMYFUNCTION("""COMPUTED_VALUE"""),"LM Hub_SP_Mogi Mirim")</f>
        <v>LM Hub_SP_Mogi Mirim</v>
      </c>
      <c r="C3587" s="234" t="str">
        <f>IFERROR(__xludf.DUMMYFUNCTION("""COMPUTED_VALUE"""),"HUB-LSP-37")</f>
        <v>HUB-LSP-37</v>
      </c>
      <c r="D3587" s="234">
        <f>IFERROR(__xludf.DUMMYFUNCTION("""COMPUTED_VALUE"""),39.0)</f>
        <v>39</v>
      </c>
      <c r="E3587" s="237" t="str">
        <f>IFERROR(__xludf.DUMMYFUNCTION("""COMPUTED_VALUE"""),"LT0PCT01V84R1")</f>
        <v>LT0PCT01V84R1</v>
      </c>
      <c r="F3587" s="238" t="str">
        <f>IFERROR(__xludf.DUMMYFUNCTION("""COMPUTED_VALUE"""),"FQV7E24,EFU9D57")</f>
        <v>FQV7E24,EFU9D57</v>
      </c>
      <c r="G3587" s="238">
        <f>IFERROR(__xludf.DUMMYFUNCTION("""COMPUTED_VALUE"""),46020.95833333333)</f>
        <v>46020.95833</v>
      </c>
      <c r="H3587" s="238">
        <f>IFERROR(__xludf.DUMMYFUNCTION("""COMPUTED_VALUE"""),46021.04166666667)</f>
        <v>46021.04167</v>
      </c>
      <c r="I3587" s="237" t="str">
        <f t="shared" si="1"/>
        <v>Fora</v>
      </c>
      <c r="J3587" s="239">
        <v>119.99999999301508</v>
      </c>
    </row>
    <row r="3588">
      <c r="A3588" s="234" t="s">
        <v>4892</v>
      </c>
      <c r="B3588" s="234" t="str">
        <f>IFERROR(__xludf.DUMMYFUNCTION("""COMPUTED_VALUE"""),"LM Hub_SP_Araraquara")</f>
        <v>LM Hub_SP_Araraquara</v>
      </c>
      <c r="C3588" s="234" t="str">
        <f>IFERROR(__xludf.DUMMYFUNCTION("""COMPUTED_VALUE"""),"HUB-LSP-29")</f>
        <v>HUB-LSP-29</v>
      </c>
      <c r="D3588" s="234">
        <f>IFERROR(__xludf.DUMMYFUNCTION("""COMPUTED_VALUE"""),17.0)</f>
        <v>17</v>
      </c>
      <c r="E3588" s="237" t="str">
        <f>IFERROR(__xludf.DUMMYFUNCTION("""COMPUTED_VALUE"""),"LT0PCT01V84T1")</f>
        <v>LT0PCT01V84T1</v>
      </c>
      <c r="F3588" s="238" t="str">
        <f>IFERROR(__xludf.DUMMYFUNCTION("""COMPUTED_VALUE"""),"EWJ2H21")</f>
        <v>EWJ2H21</v>
      </c>
      <c r="G3588" s="238">
        <f>IFERROR(__xludf.DUMMYFUNCTION("""COMPUTED_VALUE"""),46020.97916666667)</f>
        <v>46020.97917</v>
      </c>
      <c r="H3588" s="238">
        <f>IFERROR(__xludf.DUMMYFUNCTION("""COMPUTED_VALUE"""),46021.0625)</f>
        <v>46021.0625</v>
      </c>
      <c r="I3588" s="237" t="str">
        <f t="shared" si="1"/>
        <v>Fora</v>
      </c>
      <c r="J3588" s="239">
        <v>119.00000000023283</v>
      </c>
    </row>
    <row r="3589">
      <c r="A3589" s="234" t="s">
        <v>4893</v>
      </c>
      <c r="B3589" s="234" t="str">
        <f>IFERROR(__xludf.DUMMYFUNCTION("""COMPUTED_VALUE"""),"LM Hub_SP_Atibaia_Ponte_Alta")</f>
        <v>LM Hub_SP_Atibaia_Ponte_Alta</v>
      </c>
      <c r="C3589" s="234" t="str">
        <f>IFERROR(__xludf.DUMMYFUNCTION("""COMPUTED_VALUE"""),"HUB-LSP-87")</f>
        <v>HUB-LSP-87</v>
      </c>
      <c r="D3589" s="234">
        <f>IFERROR(__xludf.DUMMYFUNCTION("""COMPUTED_VALUE"""),26.0)</f>
        <v>26</v>
      </c>
      <c r="E3589" s="237" t="str">
        <f>IFERROR(__xludf.DUMMYFUNCTION("""COMPUTED_VALUE"""),"LT0PCT01VAMG1")</f>
        <v>LT0PCT01VAMG1</v>
      </c>
      <c r="F3589" s="238" t="str">
        <f>IFERROR(__xludf.DUMMYFUNCTION("""COMPUTED_VALUE"""),"EXS7F82,FWQ3J69")</f>
        <v>EXS7F82,FWQ3J69</v>
      </c>
      <c r="G3589" s="238">
        <f>IFERROR(__xludf.DUMMYFUNCTION("""COMPUTED_VALUE"""),46020.97986111111)</f>
        <v>46020.97986</v>
      </c>
      <c r="H3589" s="238">
        <f>IFERROR(__xludf.DUMMYFUNCTION("""COMPUTED_VALUE"""),46021.0625)</f>
        <v>46021.0625</v>
      </c>
      <c r="I3589" s="237" t="str">
        <f t="shared" si="1"/>
        <v>Fora</v>
      </c>
      <c r="J3589" s="239">
        <v>119.00000000023283</v>
      </c>
    </row>
    <row r="3590">
      <c r="A3590" s="234" t="s">
        <v>4894</v>
      </c>
      <c r="B3590" s="234" t="str">
        <f>IFERROR(__xludf.DUMMYFUNCTION("""COMPUTED_VALUE"""),"LM Hub_SP_Várzea Paulista")</f>
        <v>LM Hub_SP_Várzea Paulista</v>
      </c>
      <c r="C3590" s="234" t="str">
        <f>IFERROR(__xludf.DUMMYFUNCTION("""COMPUTED_VALUE"""),"HUB-LSP-61")</f>
        <v>HUB-LSP-61</v>
      </c>
      <c r="D3590" s="234">
        <f>IFERROR(__xludf.DUMMYFUNCTION("""COMPUTED_VALUE"""),7.0)</f>
        <v>7</v>
      </c>
      <c r="E3590" s="237" t="str">
        <f>IFERROR(__xludf.DUMMYFUNCTION("""COMPUTED_VALUE"""),"LT0PCT01V8491")</f>
        <v>LT0PCT01V8491</v>
      </c>
      <c r="F3590" s="238" t="str">
        <f>IFERROR(__xludf.DUMMYFUNCTION("""COMPUTED_VALUE"""),"RJG8E37,FCG5D30")</f>
        <v>RJG8E37,FCG5D30</v>
      </c>
      <c r="G3590" s="238">
        <f>IFERROR(__xludf.DUMMYFUNCTION("""COMPUTED_VALUE"""),46020.97986111111)</f>
        <v>46020.97986</v>
      </c>
      <c r="H3590" s="238">
        <f>IFERROR(__xludf.DUMMYFUNCTION("""COMPUTED_VALUE"""),46021.0625)</f>
        <v>46021.0625</v>
      </c>
      <c r="I3590" s="237" t="str">
        <f t="shared" si="1"/>
        <v>Fora</v>
      </c>
      <c r="J3590" s="239">
        <v>119.99999999301508</v>
      </c>
    </row>
    <row r="3591">
      <c r="A3591" s="234" t="s">
        <v>4895</v>
      </c>
      <c r="B3591" s="234" t="str">
        <f>IFERROR(__xludf.DUMMYFUNCTION("""COMPUTED_VALUE"""),"LM Hub_RJ_Ilha do Governador")</f>
        <v>LM Hub_RJ_Ilha do Governador</v>
      </c>
      <c r="C3591" s="234" t="str">
        <f>IFERROR(__xludf.DUMMYFUNCTION("""COMPUTED_VALUE"""),"HUB-LRJ-32")</f>
        <v>HUB-LRJ-32</v>
      </c>
      <c r="D3591" s="234">
        <f>IFERROR(__xludf.DUMMYFUNCTION("""COMPUTED_VALUE"""),27.0)</f>
        <v>27</v>
      </c>
      <c r="E3591" s="237" t="str">
        <f>IFERROR(__xludf.DUMMYFUNCTION("""COMPUTED_VALUE"""),"LT0PCU01VBXG1")</f>
        <v>LT0PCU01VBXG1</v>
      </c>
      <c r="F3591" s="238" t="str">
        <f>IFERROR(__xludf.DUMMYFUNCTION("""COMPUTED_VALUE"""),"FEK8J46,AOF6A34")</f>
        <v>FEK8J46,AOF6A34</v>
      </c>
      <c r="G3591" s="238">
        <f>IFERROR(__xludf.DUMMYFUNCTION("""COMPUTED_VALUE"""),46021.0)</f>
        <v>46021</v>
      </c>
      <c r="H3591" s="238">
        <f>IFERROR(__xludf.DUMMYFUNCTION("""COMPUTED_VALUE"""),46021.08333333333)</f>
        <v>46021.08333</v>
      </c>
      <c r="I3591" s="237" t="str">
        <f t="shared" si="1"/>
        <v>Fora</v>
      </c>
      <c r="J3591" s="239">
        <v>119.99999999301508</v>
      </c>
    </row>
    <row r="3592">
      <c r="A3592" s="234" t="s">
        <v>4896</v>
      </c>
      <c r="B3592" s="234" t="str">
        <f>IFERROR(__xludf.DUMMYFUNCTION("""COMPUTED_VALUE"""),"SoC_PR_Curitiba")</f>
        <v>SoC_PR_Curitiba</v>
      </c>
      <c r="C3592" s="234" t="str">
        <f>IFERROR(__xludf.DUMMYFUNCTION("""COMPUTED_VALUE"""),"SOC-PR1")</f>
        <v>SOC-PR1</v>
      </c>
      <c r="D3592" s="234">
        <f>IFERROR(__xludf.DUMMYFUNCTION("""COMPUTED_VALUE"""),22.0)</f>
        <v>22</v>
      </c>
      <c r="E3592" s="237" t="str">
        <f>IFERROR(__xludf.DUMMYFUNCTION("""COMPUTED_VALUE"""),"LT0PCU01V7ZC1")</f>
        <v>LT0PCU01V7ZC1</v>
      </c>
      <c r="F3592" s="238" t="str">
        <f>IFERROR(__xludf.DUMMYFUNCTION("""COMPUTED_VALUE"""),"TAW1D01,RXQ4G83")</f>
        <v>TAW1D01,RXQ4G83</v>
      </c>
      <c r="G3592" s="238">
        <f>IFERROR(__xludf.DUMMYFUNCTION("""COMPUTED_VALUE"""),46021.0)</f>
        <v>46021</v>
      </c>
      <c r="H3592" s="238">
        <f>IFERROR(__xludf.DUMMYFUNCTION("""COMPUTED_VALUE"""),46021.08333333333)</f>
        <v>46021.08333</v>
      </c>
      <c r="I3592" s="237" t="str">
        <f t="shared" si="1"/>
        <v>Fora</v>
      </c>
      <c r="J3592" s="239">
        <v>120.00000001396984</v>
      </c>
    </row>
    <row r="3593">
      <c r="A3593" s="234" t="s">
        <v>4897</v>
      </c>
      <c r="B3593" s="234" t="str">
        <f>IFERROR(__xludf.DUMMYFUNCTION("""COMPUTED_VALUE"""),"LM Hub_MG_Varginha_Fausto")</f>
        <v>LM Hub_MG_Varginha_Fausto</v>
      </c>
      <c r="C3593" s="234" t="str">
        <f>IFERROR(__xludf.DUMMYFUNCTION("""COMPUTED_VALUE"""),"HUB-LMG-45")</f>
        <v>HUB-LMG-45</v>
      </c>
      <c r="D3593" s="234">
        <f>IFERROR(__xludf.DUMMYFUNCTION("""COMPUTED_VALUE"""),15.0)</f>
        <v>15</v>
      </c>
      <c r="E3593" s="237" t="str">
        <f>IFERROR(__xludf.DUMMYFUNCTION("""COMPUTED_VALUE"""),"LT0PCU01VBJI1")</f>
        <v>LT0PCU01VBJI1</v>
      </c>
      <c r="F3593" s="238" t="str">
        <f>IFERROR(__xludf.DUMMYFUNCTION("""COMPUTED_VALUE"""),"FCL2G36,FCB5H21")</f>
        <v>FCL2G36,FCB5H21</v>
      </c>
      <c r="G3593" s="238">
        <f>IFERROR(__xludf.DUMMYFUNCTION("""COMPUTED_VALUE"""),46021.02083333333)</f>
        <v>46021.02083</v>
      </c>
      <c r="H3593" s="238">
        <f>IFERROR(__xludf.DUMMYFUNCTION("""COMPUTED_VALUE"""),46021.10416666667)</f>
        <v>46021.10417</v>
      </c>
      <c r="I3593" s="237" t="str">
        <f t="shared" si="1"/>
        <v>Fora</v>
      </c>
      <c r="J3593" s="239">
        <v>119.99999999301508</v>
      </c>
    </row>
    <row r="3594">
      <c r="A3594" s="234" t="s">
        <v>4898</v>
      </c>
      <c r="B3594" s="234" t="str">
        <f>IFERROR(__xludf.DUMMYFUNCTION("""COMPUTED_VALUE"""),"SoC_SP_Louveira")</f>
        <v>SoC_SP_Louveira</v>
      </c>
      <c r="C3594" s="234" t="str">
        <f>IFERROR(__xludf.DUMMYFUNCTION("""COMPUTED_VALUE"""),"SOC-SP7")</f>
        <v>SOC-SP7</v>
      </c>
      <c r="D3594" s="234">
        <f>IFERROR(__xludf.DUMMYFUNCTION("""COMPUTED_VALUE"""),16.0)</f>
        <v>16</v>
      </c>
      <c r="E3594" s="237" t="str">
        <f>IFERROR(__xludf.DUMMYFUNCTION("""COMPUTED_VALUE"""),"LT0PCU01V80B1")</f>
        <v>LT0PCU01V80B1</v>
      </c>
      <c r="F3594" s="238" t="str">
        <f>IFERROR(__xludf.DUMMYFUNCTION("""COMPUTED_VALUE"""),"SWP1G25,GBX4F42")</f>
        <v>SWP1G25,GBX4F42</v>
      </c>
      <c r="G3594" s="238">
        <f>IFERROR(__xludf.DUMMYFUNCTION("""COMPUTED_VALUE"""),46021.04166666667)</f>
        <v>46021.04167</v>
      </c>
      <c r="H3594" s="238">
        <f>IFERROR(__xludf.DUMMYFUNCTION("""COMPUTED_VALUE"""),46021.125)</f>
        <v>46021.125</v>
      </c>
      <c r="I3594" s="237" t="str">
        <f t="shared" si="1"/>
        <v>Fora</v>
      </c>
      <c r="J3594" s="239">
        <v>120.00000001396984</v>
      </c>
    </row>
    <row r="3595">
      <c r="A3595" s="234" t="s">
        <v>4899</v>
      </c>
      <c r="B3595" s="234" t="str">
        <f>IFERROR(__xludf.DUMMYFUNCTION("""COMPUTED_VALUE"""),"SoC_SP_São Bernardo do Campo")</f>
        <v>SoC_SP_São Bernardo do Campo</v>
      </c>
      <c r="C3595" s="234" t="str">
        <f>IFERROR(__xludf.DUMMYFUNCTION("""COMPUTED_VALUE"""),"SOC-SP8")</f>
        <v>SOC-SP8</v>
      </c>
      <c r="D3595" s="234">
        <f>IFERROR(__xludf.DUMMYFUNCTION("""COMPUTED_VALUE"""),12.0)</f>
        <v>12</v>
      </c>
      <c r="E3595" s="237" t="str">
        <f>IFERROR(__xludf.DUMMYFUNCTION("""COMPUTED_VALUE"""),"LT0PCU01V82H1")</f>
        <v>LT0PCU01V82H1</v>
      </c>
      <c r="F3595" s="238" t="str">
        <f>IFERROR(__xludf.DUMMYFUNCTION("""COMPUTED_VALUE"""),"FLO1G76")</f>
        <v>FLO1G76</v>
      </c>
      <c r="G3595" s="238">
        <f>IFERROR(__xludf.DUMMYFUNCTION("""COMPUTED_VALUE"""),46021.08333333333)</f>
        <v>46021.08333</v>
      </c>
      <c r="H3595" s="238">
        <f>IFERROR(__xludf.DUMMYFUNCTION("""COMPUTED_VALUE"""),46021.16666666667)</f>
        <v>46021.16667</v>
      </c>
      <c r="I3595" s="237" t="str">
        <f t="shared" si="1"/>
        <v>Fora</v>
      </c>
      <c r="J3595" s="239" t="e">
        <v>#VALUE!</v>
      </c>
    </row>
    <row r="3596">
      <c r="A3596" s="234" t="s">
        <v>4900</v>
      </c>
      <c r="B3596" s="234" t="str">
        <f>IFERROR(__xludf.DUMMYFUNCTION("""COMPUTED_VALUE"""),"Fanout Desconhecido")</f>
        <v>Fanout Desconhecido</v>
      </c>
      <c r="C3596" s="234" t="str">
        <f>IFERROR(__xludf.DUMMYFUNCTION("""COMPUTED_VALUE"""),"-")</f>
        <v>-</v>
      </c>
      <c r="D3596" s="234">
        <f>IFERROR(__xludf.DUMMYFUNCTION("""COMPUTED_VALUE"""),17.0)</f>
        <v>17</v>
      </c>
      <c r="E3596" s="237" t="str">
        <f>IFERROR(__xludf.DUMMYFUNCTION("""COMPUTED_VALUE"""),"LT0PCU01V82E1")</f>
        <v>LT0PCU01V82E1</v>
      </c>
      <c r="F3596" s="238" t="str">
        <f>IFERROR(__xludf.DUMMYFUNCTION("""COMPUTED_VALUE"""),"-")</f>
        <v>-</v>
      </c>
      <c r="G3596" s="238" t="str">
        <f>IFERROR(__xludf.DUMMYFUNCTION("""COMPUTED_VALUE"""),"-")</f>
        <v>-</v>
      </c>
      <c r="H3596" s="238" t="str">
        <f>IFERROR(__xludf.DUMMYFUNCTION("""COMPUTED_VALUE"""),"-")</f>
        <v>-</v>
      </c>
      <c r="I3596" s="237" t="str">
        <f t="shared" si="1"/>
        <v>Dentro</v>
      </c>
      <c r="J3596" s="239">
        <v>119.99999999301508</v>
      </c>
    </row>
    <row r="3597">
      <c r="A3597" s="234" t="s">
        <v>4901</v>
      </c>
      <c r="B3597" s="234" t="str">
        <f>IFERROR(__xludf.DUMMYFUNCTION("""COMPUTED_VALUE"""),"LM Hub_SP_São Carlos")</f>
        <v>LM Hub_SP_São Carlos</v>
      </c>
      <c r="C3597" s="234" t="str">
        <f>IFERROR(__xludf.DUMMYFUNCTION("""COMPUTED_VALUE"""),"HUB-LSP-31")</f>
        <v>HUB-LSP-31</v>
      </c>
      <c r="D3597" s="234">
        <f>IFERROR(__xludf.DUMMYFUNCTION("""COMPUTED_VALUE"""),5.0)</f>
        <v>5</v>
      </c>
      <c r="E3597" s="237" t="str">
        <f>IFERROR(__xludf.DUMMYFUNCTION("""COMPUTED_VALUE"""),"LT0PCU01V84H1")</f>
        <v>LT0PCU01V84H1</v>
      </c>
      <c r="F3597" s="238" t="str">
        <f>IFERROR(__xludf.DUMMYFUNCTION("""COMPUTED_VALUE"""),"GHJ3E37,OUU8J45")</f>
        <v>GHJ3E37,OUU8J45</v>
      </c>
      <c r="G3597" s="238">
        <f>IFERROR(__xludf.DUMMYFUNCTION("""COMPUTED_VALUE"""),46021.10416666667)</f>
        <v>46021.10417</v>
      </c>
      <c r="H3597" s="238">
        <f>IFERROR(__xludf.DUMMYFUNCTION("""COMPUTED_VALUE"""),46021.1875)</f>
        <v>46021.1875</v>
      </c>
      <c r="I3597" s="237" t="str">
        <f t="shared" si="1"/>
        <v>Fora</v>
      </c>
      <c r="J3597" s="239" t="e">
        <v>#VALUE!</v>
      </c>
    </row>
    <row r="3598">
      <c r="A3598" s="234" t="s">
        <v>4902</v>
      </c>
      <c r="B3598" s="234" t="str">
        <f>IFERROR(__xludf.DUMMYFUNCTION("""COMPUTED_VALUE"""),"Fanout Desconhecido")</f>
        <v>Fanout Desconhecido</v>
      </c>
      <c r="C3598" s="234" t="str">
        <f>IFERROR(__xludf.DUMMYFUNCTION("""COMPUTED_VALUE"""),"-")</f>
        <v>-</v>
      </c>
      <c r="D3598" s="234">
        <f>IFERROR(__xludf.DUMMYFUNCTION("""COMPUTED_VALUE"""),24.0)</f>
        <v>24</v>
      </c>
      <c r="E3598" s="237" t="str">
        <f>IFERROR(__xludf.DUMMYFUNCTION("""COMPUTED_VALUE"""),"LT0PCU01V82K1")</f>
        <v>LT0PCU01V82K1</v>
      </c>
      <c r="F3598" s="238" t="str">
        <f>IFERROR(__xludf.DUMMYFUNCTION("""COMPUTED_VALUE"""),"-")</f>
        <v>-</v>
      </c>
      <c r="G3598" s="238" t="str">
        <f>IFERROR(__xludf.DUMMYFUNCTION("""COMPUTED_VALUE"""),"-")</f>
        <v>-</v>
      </c>
      <c r="H3598" s="238" t="str">
        <f>IFERROR(__xludf.DUMMYFUNCTION("""COMPUTED_VALUE"""),"-")</f>
        <v>-</v>
      </c>
      <c r="I3598" s="237" t="str">
        <f t="shared" si="1"/>
        <v>Dentro</v>
      </c>
      <c r="J3598" s="239" t="e">
        <v>#VALUE!</v>
      </c>
    </row>
    <row r="3599">
      <c r="A3599" s="234" t="s">
        <v>4903</v>
      </c>
      <c r="B3599" s="234" t="str">
        <f>IFERROR(__xludf.DUMMYFUNCTION("""COMPUTED_VALUE"""),"Fanout Desconhecido")</f>
        <v>Fanout Desconhecido</v>
      </c>
      <c r="C3599" s="234" t="str">
        <f>IFERROR(__xludf.DUMMYFUNCTION("""COMPUTED_VALUE"""),"-")</f>
        <v>-</v>
      </c>
      <c r="D3599" s="234">
        <f>IFERROR(__xludf.DUMMYFUNCTION("""COMPUTED_VALUE"""),8.0)</f>
        <v>8</v>
      </c>
      <c r="E3599" s="237" t="str">
        <f>IFERROR(__xludf.DUMMYFUNCTION("""COMPUTED_VALUE"""),"LT0PCU01VBH31")</f>
        <v>LT0PCU01VBH31</v>
      </c>
      <c r="F3599" s="238" t="str">
        <f>IFERROR(__xludf.DUMMYFUNCTION("""COMPUTED_VALUE"""),"-")</f>
        <v>-</v>
      </c>
      <c r="G3599" s="238" t="str">
        <f>IFERROR(__xludf.DUMMYFUNCTION("""COMPUTED_VALUE"""),"-")</f>
        <v>-</v>
      </c>
      <c r="H3599" s="238" t="str">
        <f>IFERROR(__xludf.DUMMYFUNCTION("""COMPUTED_VALUE"""),"-")</f>
        <v>-</v>
      </c>
      <c r="I3599" s="237" t="str">
        <f t="shared" si="1"/>
        <v>Dentro</v>
      </c>
      <c r="J3599" s="239" t="e">
        <v>#VALUE!</v>
      </c>
    </row>
    <row r="3600">
      <c r="A3600" s="234" t="s">
        <v>4904</v>
      </c>
      <c r="B3600" s="234" t="str">
        <f>IFERROR(__xludf.DUMMYFUNCTION("""COMPUTED_VALUE"""),"Fanout Desconhecido")</f>
        <v>Fanout Desconhecido</v>
      </c>
      <c r="C3600" s="234" t="str">
        <f>IFERROR(__xludf.DUMMYFUNCTION("""COMPUTED_VALUE"""),"-")</f>
        <v>-</v>
      </c>
      <c r="D3600" s="234">
        <f>IFERROR(__xludf.DUMMYFUNCTION("""COMPUTED_VALUE"""),6.0)</f>
        <v>6</v>
      </c>
      <c r="E3600" s="237" t="str">
        <f>IFERROR(__xludf.DUMMYFUNCTION("""COMPUTED_VALUE"""),"LT0PCU01V85B1")</f>
        <v>LT0PCU01V85B1</v>
      </c>
      <c r="F3600" s="238" t="str">
        <f>IFERROR(__xludf.DUMMYFUNCTION("""COMPUTED_VALUE"""),"-")</f>
        <v>-</v>
      </c>
      <c r="G3600" s="238" t="str">
        <f>IFERROR(__xludf.DUMMYFUNCTION("""COMPUTED_VALUE"""),"-")</f>
        <v>-</v>
      </c>
      <c r="H3600" s="238" t="str">
        <f>IFERROR(__xludf.DUMMYFUNCTION("""COMPUTED_VALUE"""),"-")</f>
        <v>-</v>
      </c>
      <c r="I3600" s="237" t="str">
        <f t="shared" si="1"/>
        <v>Dentro</v>
      </c>
      <c r="J3600" s="239" t="e">
        <v>#VALUE!</v>
      </c>
    </row>
    <row r="3601">
      <c r="A3601" s="234" t="s">
        <v>4905</v>
      </c>
      <c r="B3601" s="234" t="str">
        <f>IFERROR(__xludf.DUMMYFUNCTION("""COMPUTED_VALUE"""),"Fanout Desconhecido")</f>
        <v>Fanout Desconhecido</v>
      </c>
      <c r="C3601" s="234" t="str">
        <f>IFERROR(__xludf.DUMMYFUNCTION("""COMPUTED_VALUE"""),"-")</f>
        <v>-</v>
      </c>
      <c r="D3601" s="234">
        <f>IFERROR(__xludf.DUMMYFUNCTION("""COMPUTED_VALUE"""),33.0)</f>
        <v>33</v>
      </c>
      <c r="E3601" s="237" t="str">
        <f>IFERROR(__xludf.DUMMYFUNCTION("""COMPUTED_VALUE"""),"LT0PCU01V84O1")</f>
        <v>LT0PCU01V84O1</v>
      </c>
      <c r="F3601" s="238" t="str">
        <f>IFERROR(__xludf.DUMMYFUNCTION("""COMPUTED_VALUE"""),"-")</f>
        <v>-</v>
      </c>
      <c r="G3601" s="238" t="str">
        <f>IFERROR(__xludf.DUMMYFUNCTION("""COMPUTED_VALUE"""),"-")</f>
        <v>-</v>
      </c>
      <c r="H3601" s="238" t="str">
        <f>IFERROR(__xludf.DUMMYFUNCTION("""COMPUTED_VALUE"""),"-")</f>
        <v>-</v>
      </c>
      <c r="I3601" s="237" t="str">
        <f t="shared" si="1"/>
        <v>Dentro</v>
      </c>
      <c r="J3601" s="239" t="e">
        <v>#VALUE!</v>
      </c>
    </row>
    <row r="3602">
      <c r="A3602" s="234" t="s">
        <v>4906</v>
      </c>
      <c r="B3602" s="234" t="str">
        <f>IFERROR(__xludf.DUMMYFUNCTION("""COMPUTED_VALUE"""),"Fanout Desconhecido")</f>
        <v>Fanout Desconhecido</v>
      </c>
      <c r="C3602" s="234" t="str">
        <f>IFERROR(__xludf.DUMMYFUNCTION("""COMPUTED_VALUE"""),"-")</f>
        <v>-</v>
      </c>
      <c r="D3602" s="234">
        <f>IFERROR(__xludf.DUMMYFUNCTION("""COMPUTED_VALUE"""),28.0)</f>
        <v>28</v>
      </c>
      <c r="E3602" s="237" t="str">
        <f>IFERROR(__xludf.DUMMYFUNCTION("""COMPUTED_VALUE"""),"LT0PCU01V8S51")</f>
        <v>LT0PCU01V8S51</v>
      </c>
      <c r="F3602" s="238" t="str">
        <f>IFERROR(__xludf.DUMMYFUNCTION("""COMPUTED_VALUE"""),"-")</f>
        <v>-</v>
      </c>
      <c r="G3602" s="238" t="str">
        <f>IFERROR(__xludf.DUMMYFUNCTION("""COMPUTED_VALUE"""),"-")</f>
        <v>-</v>
      </c>
      <c r="H3602" s="238" t="str">
        <f>IFERROR(__xludf.DUMMYFUNCTION("""COMPUTED_VALUE"""),"-")</f>
        <v>-</v>
      </c>
      <c r="I3602" s="237" t="str">
        <f t="shared" si="1"/>
        <v>Dentro</v>
      </c>
      <c r="J3602" s="239" t="e">
        <v>#VALUE!</v>
      </c>
    </row>
    <row r="3603">
      <c r="A3603" s="234" t="s">
        <v>4907</v>
      </c>
      <c r="B3603" s="234" t="str">
        <f>IFERROR(__xludf.DUMMYFUNCTION("""COMPUTED_VALUE"""),"Fanout Desconhecido")</f>
        <v>Fanout Desconhecido</v>
      </c>
      <c r="C3603" s="234" t="str">
        <f>IFERROR(__xludf.DUMMYFUNCTION("""COMPUTED_VALUE"""),"-")</f>
        <v>-</v>
      </c>
      <c r="D3603" s="234">
        <f>IFERROR(__xludf.DUMMYFUNCTION("""COMPUTED_VALUE"""),9.0)</f>
        <v>9</v>
      </c>
      <c r="E3603" s="237" t="str">
        <f>IFERROR(__xludf.DUMMYFUNCTION("""COMPUTED_VALUE"""),"LT0PCU01VQ3H1")</f>
        <v>LT0PCU01VQ3H1</v>
      </c>
      <c r="F3603" s="238" t="str">
        <f>IFERROR(__xludf.DUMMYFUNCTION("""COMPUTED_VALUE"""),"-")</f>
        <v>-</v>
      </c>
      <c r="G3603" s="238" t="str">
        <f>IFERROR(__xludf.DUMMYFUNCTION("""COMPUTED_VALUE"""),"-")</f>
        <v>-</v>
      </c>
      <c r="H3603" s="238" t="str">
        <f>IFERROR(__xludf.DUMMYFUNCTION("""COMPUTED_VALUE"""),"-")</f>
        <v>-</v>
      </c>
      <c r="I3603" s="237" t="str">
        <f t="shared" si="1"/>
        <v>Dentro</v>
      </c>
      <c r="J3603" s="239" t="e">
        <v>#VALUE!</v>
      </c>
    </row>
    <row r="3604">
      <c r="A3604" s="234" t="s">
        <v>4908</v>
      </c>
      <c r="B3604" s="234" t="str">
        <f>IFERROR(__xludf.DUMMYFUNCTION("""COMPUTED_VALUE"""),"Fanout Desconhecido")</f>
        <v>Fanout Desconhecido</v>
      </c>
      <c r="C3604" s="234" t="str">
        <f>IFERROR(__xludf.DUMMYFUNCTION("""COMPUTED_VALUE"""),"-")</f>
        <v>-</v>
      </c>
      <c r="D3604" s="234"/>
      <c r="E3604" s="237" t="str">
        <f>IFERROR(__xludf.DUMMYFUNCTION("""COMPUTED_VALUE"""),"LT0PCU01V83P1")</f>
        <v>LT0PCU01V83P1</v>
      </c>
      <c r="F3604" s="238" t="str">
        <f>IFERROR(__xludf.DUMMYFUNCTION("""COMPUTED_VALUE"""),"-")</f>
        <v>-</v>
      </c>
      <c r="G3604" s="238" t="str">
        <f>IFERROR(__xludf.DUMMYFUNCTION("""COMPUTED_VALUE"""),"-")</f>
        <v>-</v>
      </c>
      <c r="H3604" s="238" t="str">
        <f>IFERROR(__xludf.DUMMYFUNCTION("""COMPUTED_VALUE"""),"-")</f>
        <v>-</v>
      </c>
      <c r="I3604" s="237" t="str">
        <f t="shared" si="1"/>
        <v>Dentro</v>
      </c>
      <c r="J3604" s="239" t="e">
        <v>#VALUE!</v>
      </c>
    </row>
    <row r="3605">
      <c r="A3605" s="234" t="s">
        <v>545</v>
      </c>
      <c r="B3605" s="234" t="str">
        <f>IFERROR(__xludf.DUMMYFUNCTION("""COMPUTED_VALUE"""),"Fanout Desconhecido")</f>
        <v>Fanout Desconhecido</v>
      </c>
      <c r="C3605" s="234" t="str">
        <f>IFERROR(__xludf.DUMMYFUNCTION("""COMPUTED_VALUE"""),"-")</f>
        <v>-</v>
      </c>
      <c r="D3605" s="234">
        <f>IFERROR(__xludf.DUMMYFUNCTION("""COMPUTED_VALUE"""),7.0)</f>
        <v>7</v>
      </c>
      <c r="E3605" s="237" t="str">
        <f>IFERROR(__xludf.DUMMYFUNCTION("""COMPUTED_VALUE"""),"LT0PCU01V8351")</f>
        <v>LT0PCU01V8351</v>
      </c>
      <c r="F3605" s="238" t="str">
        <f>IFERROR(__xludf.DUMMYFUNCTION("""COMPUTED_VALUE"""),"-")</f>
        <v>-</v>
      </c>
      <c r="G3605" s="238" t="str">
        <f>IFERROR(__xludf.DUMMYFUNCTION("""COMPUTED_VALUE"""),"-")</f>
        <v>-</v>
      </c>
      <c r="H3605" s="238" t="str">
        <f>IFERROR(__xludf.DUMMYFUNCTION("""COMPUTED_VALUE"""),"-")</f>
        <v>-</v>
      </c>
      <c r="I3605" s="237" t="str">
        <f t="shared" si="1"/>
        <v>Dentro</v>
      </c>
      <c r="J3605" s="239" t="e">
        <v>#VALUE!</v>
      </c>
    </row>
    <row r="3606">
      <c r="A3606" s="234" t="s">
        <v>546</v>
      </c>
      <c r="B3606" s="234" t="str">
        <f>IFERROR(__xludf.DUMMYFUNCTION("""COMPUTED_VALUE"""),"Fanout Desconhecido")</f>
        <v>Fanout Desconhecido</v>
      </c>
      <c r="C3606" s="234" t="str">
        <f>IFERROR(__xludf.DUMMYFUNCTION("""COMPUTED_VALUE"""),"-")</f>
        <v>-</v>
      </c>
      <c r="D3606" s="234">
        <f>IFERROR(__xludf.DUMMYFUNCTION("""COMPUTED_VALUE"""),12.0)</f>
        <v>12</v>
      </c>
      <c r="E3606" s="237" t="str">
        <f>IFERROR(__xludf.DUMMYFUNCTION("""COMPUTED_VALUE"""),"LT0PCU01V83Y1")</f>
        <v>LT0PCU01V83Y1</v>
      </c>
      <c r="F3606" s="238" t="str">
        <f>IFERROR(__xludf.DUMMYFUNCTION("""COMPUTED_VALUE"""),"-")</f>
        <v>-</v>
      </c>
      <c r="G3606" s="238" t="str">
        <f>IFERROR(__xludf.DUMMYFUNCTION("""COMPUTED_VALUE"""),"-")</f>
        <v>-</v>
      </c>
      <c r="H3606" s="238" t="str">
        <f>IFERROR(__xludf.DUMMYFUNCTION("""COMPUTED_VALUE"""),"-")</f>
        <v>-</v>
      </c>
      <c r="I3606" s="237" t="str">
        <f t="shared" si="1"/>
        <v>Dentro</v>
      </c>
      <c r="J3606" s="239" t="e">
        <v>#VALUE!</v>
      </c>
    </row>
    <row r="3607">
      <c r="A3607" s="234" t="s">
        <v>547</v>
      </c>
      <c r="B3607" s="234" t="str">
        <f>IFERROR(__xludf.DUMMYFUNCTION("""COMPUTED_VALUE"""),"Fanout Desconhecido")</f>
        <v>Fanout Desconhecido</v>
      </c>
      <c r="C3607" s="234" t="str">
        <f>IFERROR(__xludf.DUMMYFUNCTION("""COMPUTED_VALUE"""),"-")</f>
        <v>-</v>
      </c>
      <c r="D3607" s="234">
        <f>IFERROR(__xludf.DUMMYFUNCTION("""COMPUTED_VALUE"""),15.0)</f>
        <v>15</v>
      </c>
      <c r="E3607" s="237" t="str">
        <f>IFERROR(__xludf.DUMMYFUNCTION("""COMPUTED_VALUE"""),"LT0PCU01V82Y1")</f>
        <v>LT0PCU01V82Y1</v>
      </c>
      <c r="F3607" s="238" t="str">
        <f>IFERROR(__xludf.DUMMYFUNCTION("""COMPUTED_VALUE"""),"-")</f>
        <v>-</v>
      </c>
      <c r="G3607" s="238" t="str">
        <f>IFERROR(__xludf.DUMMYFUNCTION("""COMPUTED_VALUE"""),"-")</f>
        <v>-</v>
      </c>
      <c r="H3607" s="238" t="str">
        <f>IFERROR(__xludf.DUMMYFUNCTION("""COMPUTED_VALUE"""),"-")</f>
        <v>-</v>
      </c>
      <c r="I3607" s="237" t="str">
        <f t="shared" si="1"/>
        <v>Dentro</v>
      </c>
      <c r="J3607" s="239" t="e">
        <v>#VALUE!</v>
      </c>
    </row>
    <row r="3608">
      <c r="A3608" s="234" t="s">
        <v>549</v>
      </c>
      <c r="B3608" s="234" t="str">
        <f>IFERROR(__xludf.DUMMYFUNCTION("""COMPUTED_VALUE"""),"Fanout Desconhecido")</f>
        <v>Fanout Desconhecido</v>
      </c>
      <c r="C3608" s="234" t="str">
        <f>IFERROR(__xludf.DUMMYFUNCTION("""COMPUTED_VALUE"""),"-")</f>
        <v>-</v>
      </c>
      <c r="D3608" s="234">
        <f>IFERROR(__xludf.DUMMYFUNCTION("""COMPUTED_VALUE"""),27.0)</f>
        <v>27</v>
      </c>
      <c r="E3608" s="237" t="str">
        <f>IFERROR(__xludf.DUMMYFUNCTION("""COMPUTED_VALUE"""),"LT0PCU01V8G21")</f>
        <v>LT0PCU01V8G21</v>
      </c>
      <c r="F3608" s="238" t="str">
        <f>IFERROR(__xludf.DUMMYFUNCTION("""COMPUTED_VALUE"""),"-")</f>
        <v>-</v>
      </c>
      <c r="G3608" s="238" t="str">
        <f>IFERROR(__xludf.DUMMYFUNCTION("""COMPUTED_VALUE"""),"-")</f>
        <v>-</v>
      </c>
      <c r="H3608" s="238" t="str">
        <f>IFERROR(__xludf.DUMMYFUNCTION("""COMPUTED_VALUE"""),"-")</f>
        <v>-</v>
      </c>
      <c r="I3608" s="237" t="str">
        <f t="shared" si="1"/>
        <v>Dentro</v>
      </c>
      <c r="J3608" s="239" t="e">
        <v>#VALUE!</v>
      </c>
    </row>
    <row r="3609">
      <c r="A3609" s="234" t="s">
        <v>550</v>
      </c>
      <c r="B3609" s="234" t="str">
        <f>IFERROR(__xludf.DUMMYFUNCTION("""COMPUTED_VALUE"""),"Fanout Desconhecido")</f>
        <v>Fanout Desconhecido</v>
      </c>
      <c r="C3609" s="234" t="str">
        <f>IFERROR(__xludf.DUMMYFUNCTION("""COMPUTED_VALUE"""),"-")</f>
        <v>-</v>
      </c>
      <c r="D3609" s="234">
        <f>IFERROR(__xludf.DUMMYFUNCTION("""COMPUTED_VALUE"""),13.0)</f>
        <v>13</v>
      </c>
      <c r="E3609" s="237" t="str">
        <f>IFERROR(__xludf.DUMMYFUNCTION("""COMPUTED_VALUE"""),"LT0PCU01V8451")</f>
        <v>LT0PCU01V8451</v>
      </c>
      <c r="F3609" s="238" t="str">
        <f>IFERROR(__xludf.DUMMYFUNCTION("""COMPUTED_VALUE"""),"-")</f>
        <v>-</v>
      </c>
      <c r="G3609" s="238" t="str">
        <f>IFERROR(__xludf.DUMMYFUNCTION("""COMPUTED_VALUE"""),"-")</f>
        <v>-</v>
      </c>
      <c r="H3609" s="238" t="str">
        <f>IFERROR(__xludf.DUMMYFUNCTION("""COMPUTED_VALUE"""),"-")</f>
        <v>-</v>
      </c>
      <c r="I3609" s="237" t="str">
        <f t="shared" si="1"/>
        <v>Dentro</v>
      </c>
      <c r="J3609" s="239" t="e">
        <v>#VALUE!</v>
      </c>
    </row>
    <row r="3610">
      <c r="A3610" s="234" t="s">
        <v>551</v>
      </c>
      <c r="B3610" s="234" t="str">
        <f>IFERROR(__xludf.DUMMYFUNCTION("""COMPUTED_VALUE"""),"Fanout Desconhecido")</f>
        <v>Fanout Desconhecido</v>
      </c>
      <c r="C3610" s="234" t="str">
        <f>IFERROR(__xludf.DUMMYFUNCTION("""COMPUTED_VALUE"""),"-")</f>
        <v>-</v>
      </c>
      <c r="D3610" s="234">
        <f>IFERROR(__xludf.DUMMYFUNCTION("""COMPUTED_VALUE"""),98.0)</f>
        <v>98</v>
      </c>
      <c r="E3610" s="237" t="str">
        <f>IFERROR(__xludf.DUMMYFUNCTION("""COMPUTED_VALUE"""),"LT1PCU01VX0F1")</f>
        <v>LT1PCU01VX0F1</v>
      </c>
      <c r="F3610" s="238" t="str">
        <f>IFERROR(__xludf.DUMMYFUNCTION("""COMPUTED_VALUE"""),"-")</f>
        <v>-</v>
      </c>
      <c r="G3610" s="238" t="str">
        <f>IFERROR(__xludf.DUMMYFUNCTION("""COMPUTED_VALUE"""),"-")</f>
        <v>-</v>
      </c>
      <c r="H3610" s="238" t="str">
        <f>IFERROR(__xludf.DUMMYFUNCTION("""COMPUTED_VALUE"""),"-")</f>
        <v>-</v>
      </c>
      <c r="I3610" s="237" t="str">
        <f t="shared" si="1"/>
        <v>Dentro</v>
      </c>
      <c r="J3610" s="239" t="e">
        <v>#VALUE!</v>
      </c>
    </row>
    <row r="3611">
      <c r="A3611" s="234" t="s">
        <v>552</v>
      </c>
      <c r="B3611" s="234" t="str">
        <f>IFERROR(__xludf.DUMMYFUNCTION("""COMPUTED_VALUE"""),"Fanout Desconhecido")</f>
        <v>Fanout Desconhecido</v>
      </c>
      <c r="C3611" s="234" t="str">
        <f>IFERROR(__xludf.DUMMYFUNCTION("""COMPUTED_VALUE"""),"-")</f>
        <v>-</v>
      </c>
      <c r="D3611" s="234">
        <f>IFERROR(__xludf.DUMMYFUNCTION("""COMPUTED_VALUE"""),21.0)</f>
        <v>21</v>
      </c>
      <c r="E3611" s="237" t="str">
        <f>IFERROR(__xludf.DUMMYFUNCTION("""COMPUTED_VALUE"""),"LT0PCU01V7ZF1")</f>
        <v>LT0PCU01V7ZF1</v>
      </c>
      <c r="F3611" s="238" t="str">
        <f>IFERROR(__xludf.DUMMYFUNCTION("""COMPUTED_VALUE"""),"-")</f>
        <v>-</v>
      </c>
      <c r="G3611" s="238" t="str">
        <f>IFERROR(__xludf.DUMMYFUNCTION("""COMPUTED_VALUE"""),"-")</f>
        <v>-</v>
      </c>
      <c r="H3611" s="238" t="str">
        <f>IFERROR(__xludf.DUMMYFUNCTION("""COMPUTED_VALUE"""),"-")</f>
        <v>-</v>
      </c>
      <c r="I3611" s="237" t="str">
        <f t="shared" si="1"/>
        <v>Dentro</v>
      </c>
      <c r="J3611" s="239" t="e">
        <v>#VALUE!</v>
      </c>
    </row>
    <row r="3612">
      <c r="A3612" s="234" t="s">
        <v>4909</v>
      </c>
      <c r="B3612" s="234" t="str">
        <f>IFERROR(__xludf.DUMMYFUNCTION("""COMPUTED_VALUE"""),"Fanout Desconhecido")</f>
        <v>Fanout Desconhecido</v>
      </c>
      <c r="C3612" s="234" t="str">
        <f>IFERROR(__xludf.DUMMYFUNCTION("""COMPUTED_VALUE"""),"-")</f>
        <v>-</v>
      </c>
      <c r="D3612" s="234">
        <f>IFERROR(__xludf.DUMMYFUNCTION("""COMPUTED_VALUE"""),32.0)</f>
        <v>32</v>
      </c>
      <c r="E3612" s="237" t="str">
        <f>IFERROR(__xludf.DUMMYFUNCTION("""COMPUTED_VALUE"""),"LT1PCU01VX0E1")</f>
        <v>LT1PCU01VX0E1</v>
      </c>
      <c r="F3612" s="238" t="str">
        <f>IFERROR(__xludf.DUMMYFUNCTION("""COMPUTED_VALUE"""),"-")</f>
        <v>-</v>
      </c>
      <c r="G3612" s="238" t="str">
        <f>IFERROR(__xludf.DUMMYFUNCTION("""COMPUTED_VALUE"""),"-")</f>
        <v>-</v>
      </c>
      <c r="H3612" s="238" t="str">
        <f>IFERROR(__xludf.DUMMYFUNCTION("""COMPUTED_VALUE"""),"-")</f>
        <v>-</v>
      </c>
      <c r="I3612" s="237" t="str">
        <f t="shared" si="1"/>
        <v>Dentro</v>
      </c>
      <c r="J3612" s="239" t="e">
        <v>#VALUE!</v>
      </c>
    </row>
    <row r="3613">
      <c r="A3613" s="234" t="s">
        <v>4910</v>
      </c>
      <c r="B3613" s="234" t="str">
        <f>IFERROR(__xludf.DUMMYFUNCTION("""COMPUTED_VALUE"""),"Fanout Desconhecido")</f>
        <v>Fanout Desconhecido</v>
      </c>
      <c r="C3613" s="234" t="str">
        <f>IFERROR(__xludf.DUMMYFUNCTION("""COMPUTED_VALUE"""),"-")</f>
        <v>-</v>
      </c>
      <c r="D3613" s="234">
        <f>IFERROR(__xludf.DUMMYFUNCTION("""COMPUTED_VALUE"""),113.0)</f>
        <v>113</v>
      </c>
      <c r="E3613" s="237" t="str">
        <f>IFERROR(__xludf.DUMMYFUNCTION("""COMPUTED_VALUE"""),"LT1PCU01VX0C1")</f>
        <v>LT1PCU01VX0C1</v>
      </c>
      <c r="F3613" s="238" t="str">
        <f>IFERROR(__xludf.DUMMYFUNCTION("""COMPUTED_VALUE"""),"-")</f>
        <v>-</v>
      </c>
      <c r="G3613" s="238" t="str">
        <f>IFERROR(__xludf.DUMMYFUNCTION("""COMPUTED_VALUE"""),"-")</f>
        <v>-</v>
      </c>
      <c r="H3613" s="238" t="str">
        <f>IFERROR(__xludf.DUMMYFUNCTION("""COMPUTED_VALUE"""),"-")</f>
        <v>-</v>
      </c>
      <c r="I3613" s="237" t="str">
        <f t="shared" si="1"/>
        <v>Dentro</v>
      </c>
      <c r="J3613" s="239" t="e">
        <v>#VALUE!</v>
      </c>
    </row>
    <row r="3614">
      <c r="A3614" s="234" t="s">
        <v>554</v>
      </c>
      <c r="B3614" s="234" t="str">
        <f>IFERROR(__xludf.DUMMYFUNCTION("""COMPUTED_VALUE"""),"Fanout Desconhecido")</f>
        <v>Fanout Desconhecido</v>
      </c>
      <c r="C3614" s="234" t="str">
        <f>IFERROR(__xludf.DUMMYFUNCTION("""COMPUTED_VALUE"""),"-")</f>
        <v>-</v>
      </c>
      <c r="D3614" s="234">
        <f>IFERROR(__xludf.DUMMYFUNCTION("""COMPUTED_VALUE"""),26.0)</f>
        <v>26</v>
      </c>
      <c r="E3614" s="237" t="str">
        <f>IFERROR(__xludf.DUMMYFUNCTION("""COMPUTED_VALUE"""),"LT0PCU01VAMC1")</f>
        <v>LT0PCU01VAMC1</v>
      </c>
      <c r="F3614" s="238" t="str">
        <f>IFERROR(__xludf.DUMMYFUNCTION("""COMPUTED_VALUE"""),"-")</f>
        <v>-</v>
      </c>
      <c r="G3614" s="238" t="str">
        <f>IFERROR(__xludf.DUMMYFUNCTION("""COMPUTED_VALUE"""),"-")</f>
        <v>-</v>
      </c>
      <c r="H3614" s="238" t="str">
        <f>IFERROR(__xludf.DUMMYFUNCTION("""COMPUTED_VALUE"""),"-")</f>
        <v>-</v>
      </c>
      <c r="I3614" s="237" t="str">
        <f t="shared" si="1"/>
        <v>Dentro</v>
      </c>
      <c r="J3614" s="239" t="e">
        <v>#VALUE!</v>
      </c>
    </row>
    <row r="3615">
      <c r="A3615" s="234" t="s">
        <v>556</v>
      </c>
      <c r="B3615" s="234" t="str">
        <f>IFERROR(__xludf.DUMMYFUNCTION("""COMPUTED_VALUE"""),"Fanout Desconhecido")</f>
        <v>Fanout Desconhecido</v>
      </c>
      <c r="C3615" s="234" t="str">
        <f>IFERROR(__xludf.DUMMYFUNCTION("""COMPUTED_VALUE"""),"-")</f>
        <v>-</v>
      </c>
      <c r="D3615" s="234">
        <f>IFERROR(__xludf.DUMMYFUNCTION("""COMPUTED_VALUE"""),5.0)</f>
        <v>5</v>
      </c>
      <c r="E3615" s="237" t="str">
        <f>IFERROR(__xludf.DUMMYFUNCTION("""COMPUTED_VALUE"""),"LT0PCU01V8SW1")</f>
        <v>LT0PCU01V8SW1</v>
      </c>
      <c r="F3615" s="238" t="str">
        <f>IFERROR(__xludf.DUMMYFUNCTION("""COMPUTED_VALUE"""),"-")</f>
        <v>-</v>
      </c>
      <c r="G3615" s="238" t="str">
        <f>IFERROR(__xludf.DUMMYFUNCTION("""COMPUTED_VALUE"""),"-")</f>
        <v>-</v>
      </c>
      <c r="H3615" s="238" t="str">
        <f>IFERROR(__xludf.DUMMYFUNCTION("""COMPUTED_VALUE"""),"-")</f>
        <v>-</v>
      </c>
      <c r="I3615" s="237" t="str">
        <f t="shared" si="1"/>
        <v>Dentro</v>
      </c>
      <c r="J3615" s="239" t="e">
        <v>#VALUE!</v>
      </c>
    </row>
    <row r="3616">
      <c r="A3616" s="234" t="s">
        <v>557</v>
      </c>
      <c r="B3616" s="234" t="str">
        <f>IFERROR(__xludf.DUMMYFUNCTION("""COMPUTED_VALUE"""),"Fanout Desconhecido")</f>
        <v>Fanout Desconhecido</v>
      </c>
      <c r="C3616" s="234" t="str">
        <f>IFERROR(__xludf.DUMMYFUNCTION("""COMPUTED_VALUE"""),"-")</f>
        <v>-</v>
      </c>
      <c r="D3616" s="234">
        <f>IFERROR(__xludf.DUMMYFUNCTION("""COMPUTED_VALUE"""),16.0)</f>
        <v>16</v>
      </c>
      <c r="E3616" s="237" t="str">
        <f>IFERROR(__xludf.DUMMYFUNCTION("""COMPUTED_VALUE"""),"LT0PCU01VQ3D1")</f>
        <v>LT0PCU01VQ3D1</v>
      </c>
      <c r="F3616" s="238" t="str">
        <f>IFERROR(__xludf.DUMMYFUNCTION("""COMPUTED_VALUE"""),"-")</f>
        <v>-</v>
      </c>
      <c r="G3616" s="238" t="str">
        <f>IFERROR(__xludf.DUMMYFUNCTION("""COMPUTED_VALUE"""),"-")</f>
        <v>-</v>
      </c>
      <c r="H3616" s="238" t="str">
        <f>IFERROR(__xludf.DUMMYFUNCTION("""COMPUTED_VALUE"""),"-")</f>
        <v>-</v>
      </c>
      <c r="I3616" s="237" t="str">
        <f t="shared" si="1"/>
        <v>Dentro</v>
      </c>
      <c r="J3616" s="239" t="e">
        <v>#VALUE!</v>
      </c>
    </row>
    <row r="3617">
      <c r="A3617" s="234" t="s">
        <v>558</v>
      </c>
      <c r="B3617" s="234" t="str">
        <f>IFERROR(__xludf.DUMMYFUNCTION("""COMPUTED_VALUE"""),"Fanout Desconhecido")</f>
        <v>Fanout Desconhecido</v>
      </c>
      <c r="C3617" s="234" t="str">
        <f>IFERROR(__xludf.DUMMYFUNCTION("""COMPUTED_VALUE"""),"-")</f>
        <v>-</v>
      </c>
      <c r="D3617" s="234" t="str">
        <f>IFERROR(__xludf.DUMMYFUNCTION("""COMPUTED_VALUE"""),"87/86")</f>
        <v>87/86</v>
      </c>
      <c r="E3617" s="237" t="str">
        <f>IFERROR(__xludf.DUMMYFUNCTION("""COMPUTED_VALUE"""),"LT0PCT01VBZF1")</f>
        <v>LT0PCT01VBZF1</v>
      </c>
      <c r="F3617" s="238" t="str">
        <f>IFERROR(__xludf.DUMMYFUNCTION("""COMPUTED_VALUE"""),"-")</f>
        <v>-</v>
      </c>
      <c r="G3617" s="238" t="str">
        <f>IFERROR(__xludf.DUMMYFUNCTION("""COMPUTED_VALUE"""),"-")</f>
        <v>-</v>
      </c>
      <c r="H3617" s="238" t="str">
        <f>IFERROR(__xludf.DUMMYFUNCTION("""COMPUTED_VALUE"""),"-")</f>
        <v>-</v>
      </c>
      <c r="I3617" s="237" t="str">
        <f t="shared" si="1"/>
        <v>Dentro</v>
      </c>
      <c r="J3617" s="239" t="e">
        <v>#VALUE!</v>
      </c>
    </row>
    <row r="3618">
      <c r="A3618" s="234" t="s">
        <v>4911</v>
      </c>
      <c r="B3618" s="234" t="str">
        <f>IFERROR(__xludf.DUMMYFUNCTION("""COMPUTED_VALUE"""),"Fanout Desconhecido")</f>
        <v>Fanout Desconhecido</v>
      </c>
      <c r="C3618" s="234" t="str">
        <f>IFERROR(__xludf.DUMMYFUNCTION("""COMPUTED_VALUE"""),"-")</f>
        <v>-</v>
      </c>
      <c r="D3618" s="234"/>
      <c r="E3618" s="237" t="str">
        <f>IFERROR(__xludf.DUMMYFUNCTION("""COMPUTED_VALUE"""),"LT0PCT01VBZH2")</f>
        <v>LT0PCT01VBZH2</v>
      </c>
      <c r="F3618" s="238" t="str">
        <f>IFERROR(__xludf.DUMMYFUNCTION("""COMPUTED_VALUE"""),"-")</f>
        <v>-</v>
      </c>
      <c r="G3618" s="238" t="str">
        <f>IFERROR(__xludf.DUMMYFUNCTION("""COMPUTED_VALUE"""),"-")</f>
        <v>-</v>
      </c>
      <c r="H3618" s="238" t="str">
        <f>IFERROR(__xludf.DUMMYFUNCTION("""COMPUTED_VALUE"""),"-")</f>
        <v>-</v>
      </c>
      <c r="I3618" s="237" t="str">
        <f t="shared" si="1"/>
        <v>Dentro</v>
      </c>
      <c r="J3618" s="239" t="e">
        <v>#VALUE!</v>
      </c>
    </row>
    <row r="3619">
      <c r="A3619" s="234" t="s">
        <v>560</v>
      </c>
      <c r="B3619" s="234" t="str">
        <f>IFERROR(__xludf.DUMMYFUNCTION("""COMPUTED_VALUE"""),"Fanout Desconhecido")</f>
        <v>Fanout Desconhecido</v>
      </c>
      <c r="C3619" s="234" t="str">
        <f>IFERROR(__xludf.DUMMYFUNCTION("""COMPUTED_VALUE"""),"-")</f>
        <v>-</v>
      </c>
      <c r="D3619" s="234">
        <f>IFERROR(__xludf.DUMMYFUNCTION("""COMPUTED_VALUE"""),100.0)</f>
        <v>100</v>
      </c>
      <c r="E3619" s="237" t="str">
        <f>IFERROR(__xludf.DUMMYFUNCTION("""COMPUTED_VALUE"""),"LT0PCT01VB421")</f>
        <v>LT0PCT01VB421</v>
      </c>
      <c r="F3619" s="238" t="str">
        <f>IFERROR(__xludf.DUMMYFUNCTION("""COMPUTED_VALUE"""),"-")</f>
        <v>-</v>
      </c>
      <c r="G3619" s="238" t="str">
        <f>IFERROR(__xludf.DUMMYFUNCTION("""COMPUTED_VALUE"""),"-")</f>
        <v>-</v>
      </c>
      <c r="H3619" s="238" t="str">
        <f>IFERROR(__xludf.DUMMYFUNCTION("""COMPUTED_VALUE"""),"-")</f>
        <v>-</v>
      </c>
      <c r="I3619" s="237" t="str">
        <f t="shared" si="1"/>
        <v>Dentro</v>
      </c>
      <c r="J3619" s="239" t="e">
        <v>#VALUE!</v>
      </c>
    </row>
    <row r="3620">
      <c r="A3620" s="234" t="s">
        <v>561</v>
      </c>
      <c r="B3620" s="234" t="str">
        <f>IFERROR(__xludf.DUMMYFUNCTION("""COMPUTED_VALUE"""),"Fanout Desconhecido")</f>
        <v>Fanout Desconhecido</v>
      </c>
      <c r="C3620" s="234" t="str">
        <f>IFERROR(__xludf.DUMMYFUNCTION("""COMPUTED_VALUE"""),"-")</f>
        <v>-</v>
      </c>
      <c r="D3620" s="234">
        <f>IFERROR(__xludf.DUMMYFUNCTION("""COMPUTED_VALUE"""),94.0)</f>
        <v>94</v>
      </c>
      <c r="E3620" s="237" t="str">
        <f>IFERROR(__xludf.DUMMYFUNCTION("""COMPUTED_VALUE"""),"LT0PCT01V8051")</f>
        <v>LT0PCT01V8051</v>
      </c>
      <c r="F3620" s="238" t="str">
        <f>IFERROR(__xludf.DUMMYFUNCTION("""COMPUTED_VALUE"""),"-")</f>
        <v>-</v>
      </c>
      <c r="G3620" s="238" t="str">
        <f>IFERROR(__xludf.DUMMYFUNCTION("""COMPUTED_VALUE"""),"-")</f>
        <v>-</v>
      </c>
      <c r="H3620" s="238" t="str">
        <f>IFERROR(__xludf.DUMMYFUNCTION("""COMPUTED_VALUE"""),"-")</f>
        <v>-</v>
      </c>
      <c r="I3620" s="237" t="str">
        <f t="shared" si="1"/>
        <v>Dentro</v>
      </c>
      <c r="J3620" s="239" t="e">
        <v>#VALUE!</v>
      </c>
    </row>
    <row r="3621">
      <c r="A3621" s="234" t="s">
        <v>4912</v>
      </c>
      <c r="B3621" s="234" t="str">
        <f>IFERROR(__xludf.DUMMYFUNCTION("""COMPUTED_VALUE"""),"Fanout Desconhecido")</f>
        <v>Fanout Desconhecido</v>
      </c>
      <c r="C3621" s="234" t="str">
        <f>IFERROR(__xludf.DUMMYFUNCTION("""COMPUTED_VALUE"""),"-")</f>
        <v>-</v>
      </c>
      <c r="D3621" s="234">
        <f>IFERROR(__xludf.DUMMYFUNCTION("""COMPUTED_VALUE"""),90.0)</f>
        <v>90</v>
      </c>
      <c r="E3621" s="237" t="str">
        <f>IFERROR(__xludf.DUMMYFUNCTION("""COMPUTED_VALUE"""),"LT0PCT01V7ZA1")</f>
        <v>LT0PCT01V7ZA1</v>
      </c>
      <c r="F3621" s="238" t="str">
        <f>IFERROR(__xludf.DUMMYFUNCTION("""COMPUTED_VALUE"""),"-")</f>
        <v>-</v>
      </c>
      <c r="G3621" s="238" t="str">
        <f>IFERROR(__xludf.DUMMYFUNCTION("""COMPUTED_VALUE"""),"-")</f>
        <v>-</v>
      </c>
      <c r="H3621" s="238" t="str">
        <f>IFERROR(__xludf.DUMMYFUNCTION("""COMPUTED_VALUE"""),"-")</f>
        <v>-</v>
      </c>
      <c r="I3621" s="237" t="str">
        <f t="shared" si="1"/>
        <v>Dentro</v>
      </c>
      <c r="J3621" s="239" t="e">
        <v>#VALUE!</v>
      </c>
    </row>
    <row r="3622">
      <c r="A3622" s="234" t="s">
        <v>4913</v>
      </c>
      <c r="B3622" s="234" t="str">
        <f>IFERROR(__xludf.DUMMYFUNCTION("""COMPUTED_VALUE"""),"Fanout Desconhecido")</f>
        <v>Fanout Desconhecido</v>
      </c>
      <c r="C3622" s="234" t="str">
        <f>IFERROR(__xludf.DUMMYFUNCTION("""COMPUTED_VALUE"""),"-")</f>
        <v>-</v>
      </c>
      <c r="D3622" s="234">
        <f>IFERROR(__xludf.DUMMYFUNCTION("""COMPUTED_VALUE"""),97.0)</f>
        <v>97</v>
      </c>
      <c r="E3622" s="237" t="str">
        <f>IFERROR(__xludf.DUMMYFUNCTION("""COMPUTED_VALUE"""),"LT0PCT01V9I11")</f>
        <v>LT0PCT01V9I11</v>
      </c>
      <c r="F3622" s="238" t="str">
        <f>IFERROR(__xludf.DUMMYFUNCTION("""COMPUTED_VALUE"""),"-")</f>
        <v>-</v>
      </c>
      <c r="G3622" s="238" t="str">
        <f>IFERROR(__xludf.DUMMYFUNCTION("""COMPUTED_VALUE"""),"-")</f>
        <v>-</v>
      </c>
      <c r="H3622" s="238" t="str">
        <f>IFERROR(__xludf.DUMMYFUNCTION("""COMPUTED_VALUE"""),"-")</f>
        <v>-</v>
      </c>
      <c r="I3622" s="237" t="str">
        <f t="shared" si="1"/>
        <v>Dentro</v>
      </c>
      <c r="J3622" s="239" t="e">
        <v>#VALUE!</v>
      </c>
    </row>
    <row r="3623">
      <c r="A3623" s="234" t="s">
        <v>562</v>
      </c>
      <c r="B3623" s="234" t="str">
        <f>IFERROR(__xludf.DUMMYFUNCTION("""COMPUTED_VALUE"""),"Fanout Desconhecido")</f>
        <v>Fanout Desconhecido</v>
      </c>
      <c r="C3623" s="234" t="str">
        <f>IFERROR(__xludf.DUMMYFUNCTION("""COMPUTED_VALUE"""),"-")</f>
        <v>-</v>
      </c>
      <c r="D3623" s="234">
        <f>IFERROR(__xludf.DUMMYFUNCTION("""COMPUTED_VALUE"""),102.0)</f>
        <v>102</v>
      </c>
      <c r="E3623" s="237" t="str">
        <f>IFERROR(__xludf.DUMMYFUNCTION("""COMPUTED_VALUE"""),"LT0PCT01VC0Q1")</f>
        <v>LT0PCT01VC0Q1</v>
      </c>
      <c r="F3623" s="238" t="str">
        <f>IFERROR(__xludf.DUMMYFUNCTION("""COMPUTED_VALUE"""),"-")</f>
        <v>-</v>
      </c>
      <c r="G3623" s="238" t="str">
        <f>IFERROR(__xludf.DUMMYFUNCTION("""COMPUTED_VALUE"""),"-")</f>
        <v>-</v>
      </c>
      <c r="H3623" s="238" t="str">
        <f>IFERROR(__xludf.DUMMYFUNCTION("""COMPUTED_VALUE"""),"-")</f>
        <v>-</v>
      </c>
      <c r="I3623" s="237" t="str">
        <f t="shared" si="1"/>
        <v>Dentro</v>
      </c>
      <c r="J3623" s="239" t="e">
        <v>#VALUE!</v>
      </c>
    </row>
    <row r="3624">
      <c r="A3624" s="234" t="s">
        <v>564</v>
      </c>
      <c r="B3624" s="234" t="str">
        <f>IFERROR(__xludf.DUMMYFUNCTION("""COMPUTED_VALUE"""),"Fanout Desconhecido")</f>
        <v>Fanout Desconhecido</v>
      </c>
      <c r="C3624" s="234" t="str">
        <f>IFERROR(__xludf.DUMMYFUNCTION("""COMPUTED_VALUE"""),"-")</f>
        <v>-</v>
      </c>
      <c r="D3624" s="234">
        <f>IFERROR(__xludf.DUMMYFUNCTION("""COMPUTED_VALUE"""),18.0)</f>
        <v>18</v>
      </c>
      <c r="E3624" s="237" t="str">
        <f>IFERROR(__xludf.DUMMYFUNCTION("""COMPUTED_VALUE"""),"LT0PCU01VBJQ1")</f>
        <v>LT0PCU01VBJQ1</v>
      </c>
      <c r="F3624" s="238" t="str">
        <f>IFERROR(__xludf.DUMMYFUNCTION("""COMPUTED_VALUE"""),"-")</f>
        <v>-</v>
      </c>
      <c r="G3624" s="238" t="str">
        <f>IFERROR(__xludf.DUMMYFUNCTION("""COMPUTED_VALUE"""),"-")</f>
        <v>-</v>
      </c>
      <c r="H3624" s="238" t="str">
        <f>IFERROR(__xludf.DUMMYFUNCTION("""COMPUTED_VALUE"""),"-")</f>
        <v>-</v>
      </c>
      <c r="I3624" s="237" t="str">
        <f t="shared" si="1"/>
        <v>Dentro</v>
      </c>
      <c r="J3624" s="239" t="e">
        <v>#VALUE!</v>
      </c>
    </row>
    <row r="3625">
      <c r="A3625" s="234" t="s">
        <v>565</v>
      </c>
      <c r="B3625" s="234" t="str">
        <f>IFERROR(__xludf.DUMMYFUNCTION("""COMPUTED_VALUE"""),"Fanout Desconhecido")</f>
        <v>Fanout Desconhecido</v>
      </c>
      <c r="C3625" s="234" t="str">
        <f>IFERROR(__xludf.DUMMYFUNCTION("""COMPUTED_VALUE"""),"-")</f>
        <v>-</v>
      </c>
      <c r="D3625" s="234">
        <f>IFERROR(__xludf.DUMMYFUNCTION("""COMPUTED_VALUE"""),35.0)</f>
        <v>35</v>
      </c>
      <c r="E3625" s="237" t="str">
        <f>IFERROR(__xludf.DUMMYFUNCTION("""COMPUTED_VALUE"""),"LT0PCU01VCH91")</f>
        <v>LT0PCU01VCH91</v>
      </c>
      <c r="F3625" s="238" t="str">
        <f>IFERROR(__xludf.DUMMYFUNCTION("""COMPUTED_VALUE"""),"-")</f>
        <v>-</v>
      </c>
      <c r="G3625" s="238" t="str">
        <f>IFERROR(__xludf.DUMMYFUNCTION("""COMPUTED_VALUE"""),"-")</f>
        <v>-</v>
      </c>
      <c r="H3625" s="238" t="str">
        <f>IFERROR(__xludf.DUMMYFUNCTION("""COMPUTED_VALUE"""),"-")</f>
        <v>-</v>
      </c>
      <c r="I3625" s="237" t="str">
        <f t="shared" si="1"/>
        <v>Dentro</v>
      </c>
      <c r="J3625" s="239" t="e">
        <v>#VALUE!</v>
      </c>
    </row>
    <row r="3626">
      <c r="A3626" s="234" t="s">
        <v>566</v>
      </c>
      <c r="B3626" s="234" t="str">
        <f>IFERROR(__xludf.DUMMYFUNCTION("""COMPUTED_VALUE"""),"Fanout Desconhecido")</f>
        <v>Fanout Desconhecido</v>
      </c>
      <c r="C3626" s="234" t="str">
        <f>IFERROR(__xludf.DUMMYFUNCTION("""COMPUTED_VALUE"""),"-")</f>
        <v>-</v>
      </c>
      <c r="D3626" s="234">
        <f>IFERROR(__xludf.DUMMYFUNCTION("""COMPUTED_VALUE"""),37.0)</f>
        <v>37</v>
      </c>
      <c r="E3626" s="237" t="str">
        <f>IFERROR(__xludf.DUMMYFUNCTION("""COMPUTED_VALUE"""),"LT0PCU01V8I11")</f>
        <v>LT0PCU01V8I11</v>
      </c>
      <c r="F3626" s="238" t="str">
        <f>IFERROR(__xludf.DUMMYFUNCTION("""COMPUTED_VALUE"""),"-")</f>
        <v>-</v>
      </c>
      <c r="G3626" s="238" t="str">
        <f>IFERROR(__xludf.DUMMYFUNCTION("""COMPUTED_VALUE"""),"-")</f>
        <v>-</v>
      </c>
      <c r="H3626" s="238" t="str">
        <f>IFERROR(__xludf.DUMMYFUNCTION("""COMPUTED_VALUE"""),"-")</f>
        <v>-</v>
      </c>
      <c r="I3626" s="237" t="str">
        <f t="shared" si="1"/>
        <v>Dentro</v>
      </c>
      <c r="J3626" s="239" t="e">
        <v>#VALUE!</v>
      </c>
    </row>
    <row r="3627">
      <c r="A3627" s="234" t="s">
        <v>567</v>
      </c>
      <c r="B3627" s="234" t="str">
        <f>IFERROR(__xludf.DUMMYFUNCTION("""COMPUTED_VALUE"""),"Fanout Desconhecido")</f>
        <v>Fanout Desconhecido</v>
      </c>
      <c r="C3627" s="234" t="str">
        <f>IFERROR(__xludf.DUMMYFUNCTION("""COMPUTED_VALUE"""),"-")</f>
        <v>-</v>
      </c>
      <c r="D3627" s="234">
        <f>IFERROR(__xludf.DUMMYFUNCTION("""COMPUTED_VALUE"""),23.0)</f>
        <v>23</v>
      </c>
      <c r="E3627" s="237" t="str">
        <f>IFERROR(__xludf.DUMMYFUNCTION("""COMPUTED_VALUE"""),"LT0PCU01V8ST1")</f>
        <v>LT0PCU01V8ST1</v>
      </c>
      <c r="F3627" s="238" t="str">
        <f>IFERROR(__xludf.DUMMYFUNCTION("""COMPUTED_VALUE"""),"-")</f>
        <v>-</v>
      </c>
      <c r="G3627" s="238" t="str">
        <f>IFERROR(__xludf.DUMMYFUNCTION("""COMPUTED_VALUE"""),"-")</f>
        <v>-</v>
      </c>
      <c r="H3627" s="238" t="str">
        <f>IFERROR(__xludf.DUMMYFUNCTION("""COMPUTED_VALUE"""),"-")</f>
        <v>-</v>
      </c>
      <c r="I3627" s="237" t="str">
        <f t="shared" si="1"/>
        <v>Dentro</v>
      </c>
      <c r="J3627" s="239" t="e">
        <v>#VALUE!</v>
      </c>
    </row>
    <row r="3628">
      <c r="A3628" s="234" t="s">
        <v>568</v>
      </c>
      <c r="B3628" s="234" t="str">
        <f>IFERROR(__xludf.DUMMYFUNCTION("""COMPUTED_VALUE"""),"Fanout Desconhecido")</f>
        <v>Fanout Desconhecido</v>
      </c>
      <c r="C3628" s="234" t="str">
        <f>IFERROR(__xludf.DUMMYFUNCTION("""COMPUTED_VALUE"""),"-")</f>
        <v>-</v>
      </c>
      <c r="D3628" s="234">
        <f>IFERROR(__xludf.DUMMYFUNCTION("""COMPUTED_VALUE"""),39.0)</f>
        <v>39</v>
      </c>
      <c r="E3628" s="237" t="str">
        <f>IFERROR(__xludf.DUMMYFUNCTION("""COMPUTED_VALUE"""),"LT0PCU01V8S11")</f>
        <v>LT0PCU01V8S11</v>
      </c>
      <c r="F3628" s="238" t="str">
        <f>IFERROR(__xludf.DUMMYFUNCTION("""COMPUTED_VALUE"""),"-")</f>
        <v>-</v>
      </c>
      <c r="G3628" s="238" t="str">
        <f>IFERROR(__xludf.DUMMYFUNCTION("""COMPUTED_VALUE"""),"-")</f>
        <v>-</v>
      </c>
      <c r="H3628" s="238" t="str">
        <f>IFERROR(__xludf.DUMMYFUNCTION("""COMPUTED_VALUE"""),"-")</f>
        <v>-</v>
      </c>
      <c r="I3628" s="237" t="str">
        <f t="shared" si="1"/>
        <v>Dentro</v>
      </c>
      <c r="J3628" s="239" t="e">
        <v>#VALUE!</v>
      </c>
    </row>
    <row r="3629">
      <c r="A3629" s="234" t="s">
        <v>569</v>
      </c>
      <c r="B3629" s="234" t="str">
        <f>IFERROR(__xludf.DUMMYFUNCTION("""COMPUTED_VALUE"""),"Fanout Desconhecido")</f>
        <v>Fanout Desconhecido</v>
      </c>
      <c r="C3629" s="234" t="str">
        <f>IFERROR(__xludf.DUMMYFUNCTION("""COMPUTED_VALUE"""),"-")</f>
        <v>-</v>
      </c>
      <c r="D3629" s="234">
        <f>IFERROR(__xludf.DUMMYFUNCTION("""COMPUTED_VALUE"""),34.0)</f>
        <v>34</v>
      </c>
      <c r="E3629" s="237" t="str">
        <f>IFERROR(__xludf.DUMMYFUNCTION("""COMPUTED_VALUE"""),"LT0PCU01V8SF1")</f>
        <v>LT0PCU01V8SF1</v>
      </c>
      <c r="F3629" s="238" t="str">
        <f>IFERROR(__xludf.DUMMYFUNCTION("""COMPUTED_VALUE"""),"-")</f>
        <v>-</v>
      </c>
      <c r="G3629" s="238" t="str">
        <f>IFERROR(__xludf.DUMMYFUNCTION("""COMPUTED_VALUE"""),"-")</f>
        <v>-</v>
      </c>
      <c r="H3629" s="238" t="str">
        <f>IFERROR(__xludf.DUMMYFUNCTION("""COMPUTED_VALUE"""),"-")</f>
        <v>-</v>
      </c>
      <c r="I3629" s="237" t="str">
        <f t="shared" si="1"/>
        <v>Dentro</v>
      </c>
      <c r="J3629" s="239" t="e">
        <v>#VALUE!</v>
      </c>
    </row>
    <row r="3630">
      <c r="A3630" s="234" t="s">
        <v>570</v>
      </c>
      <c r="B3630" s="234" t="str">
        <f>IFERROR(__xludf.DUMMYFUNCTION("""COMPUTED_VALUE"""),"Fanout Desconhecido")</f>
        <v>Fanout Desconhecido</v>
      </c>
      <c r="C3630" s="234" t="str">
        <f>IFERROR(__xludf.DUMMYFUNCTION("""COMPUTED_VALUE"""),"-")</f>
        <v>-</v>
      </c>
      <c r="D3630" s="234">
        <f>IFERROR(__xludf.DUMMYFUNCTION("""COMPUTED_VALUE"""),15.0)</f>
        <v>15</v>
      </c>
      <c r="E3630" s="237" t="str">
        <f>IFERROR(__xludf.DUMMYFUNCTION("""COMPUTED_VALUE"""),"LT0PCU01V81L1")</f>
        <v>LT0PCU01V81L1</v>
      </c>
      <c r="F3630" s="238" t="str">
        <f>IFERROR(__xludf.DUMMYFUNCTION("""COMPUTED_VALUE"""),"-")</f>
        <v>-</v>
      </c>
      <c r="G3630" s="238" t="str">
        <f>IFERROR(__xludf.DUMMYFUNCTION("""COMPUTED_VALUE"""),"-")</f>
        <v>-</v>
      </c>
      <c r="H3630" s="238" t="str">
        <f>IFERROR(__xludf.DUMMYFUNCTION("""COMPUTED_VALUE"""),"-")</f>
        <v>-</v>
      </c>
      <c r="I3630" s="237" t="str">
        <f t="shared" si="1"/>
        <v>Dentro</v>
      </c>
      <c r="J3630" s="239" t="e">
        <v>#VALUE!</v>
      </c>
    </row>
    <row r="3631">
      <c r="A3631" s="234" t="s">
        <v>571</v>
      </c>
      <c r="B3631" s="234" t="str">
        <f>IFERROR(__xludf.DUMMYFUNCTION("""COMPUTED_VALUE"""),"Fanout Desconhecido")</f>
        <v>Fanout Desconhecido</v>
      </c>
      <c r="C3631" s="234" t="str">
        <f>IFERROR(__xludf.DUMMYFUNCTION("""COMPUTED_VALUE"""),"-")</f>
        <v>-</v>
      </c>
      <c r="D3631" s="234">
        <f>IFERROR(__xludf.DUMMYFUNCTION("""COMPUTED_VALUE"""),22.0)</f>
        <v>22</v>
      </c>
      <c r="E3631" s="237" t="str">
        <f>IFERROR(__xludf.DUMMYFUNCTION("""COMPUTED_VALUE"""),"LT0PCU01V8SC1")</f>
        <v>LT0PCU01V8SC1</v>
      </c>
      <c r="F3631" s="238" t="str">
        <f>IFERROR(__xludf.DUMMYFUNCTION("""COMPUTED_VALUE"""),"-")</f>
        <v>-</v>
      </c>
      <c r="G3631" s="238" t="str">
        <f>IFERROR(__xludf.DUMMYFUNCTION("""COMPUTED_VALUE"""),"-")</f>
        <v>-</v>
      </c>
      <c r="H3631" s="238" t="str">
        <f>IFERROR(__xludf.DUMMYFUNCTION("""COMPUTED_VALUE"""),"-")</f>
        <v>-</v>
      </c>
      <c r="I3631" s="237" t="str">
        <f t="shared" si="1"/>
        <v>Dentro</v>
      </c>
      <c r="J3631" s="239" t="e">
        <v>#VALUE!</v>
      </c>
    </row>
    <row r="3632">
      <c r="A3632" s="234" t="s">
        <v>572</v>
      </c>
      <c r="B3632" s="234" t="str">
        <f>IFERROR(__xludf.DUMMYFUNCTION("""COMPUTED_VALUE"""),"Fanout Desconhecido")</f>
        <v>Fanout Desconhecido</v>
      </c>
      <c r="C3632" s="234" t="str">
        <f>IFERROR(__xludf.DUMMYFUNCTION("""COMPUTED_VALUE"""),"-")</f>
        <v>-</v>
      </c>
      <c r="D3632" s="234">
        <f>IFERROR(__xludf.DUMMYFUNCTION("""COMPUTED_VALUE"""),9.0)</f>
        <v>9</v>
      </c>
      <c r="E3632" s="237" t="str">
        <f>IFERROR(__xludf.DUMMYFUNCTION("""COMPUTED_VALUE"""),"LT0PCU01V8SI1")</f>
        <v>LT0PCU01V8SI1</v>
      </c>
      <c r="F3632" s="238" t="str">
        <f>IFERROR(__xludf.DUMMYFUNCTION("""COMPUTED_VALUE"""),"-")</f>
        <v>-</v>
      </c>
      <c r="G3632" s="238" t="str">
        <f>IFERROR(__xludf.DUMMYFUNCTION("""COMPUTED_VALUE"""),"-")</f>
        <v>-</v>
      </c>
      <c r="H3632" s="238" t="str">
        <f>IFERROR(__xludf.DUMMYFUNCTION("""COMPUTED_VALUE"""),"-")</f>
        <v>-</v>
      </c>
      <c r="I3632" s="237" t="str">
        <f t="shared" si="1"/>
        <v>Dentro</v>
      </c>
      <c r="J3632" s="239" t="e">
        <v>#VALUE!</v>
      </c>
    </row>
    <row r="3633">
      <c r="A3633" s="234" t="s">
        <v>573</v>
      </c>
      <c r="B3633" s="234" t="str">
        <f>IFERROR(__xludf.DUMMYFUNCTION("""COMPUTED_VALUE"""),"Fanout Desconhecido")</f>
        <v>Fanout Desconhecido</v>
      </c>
      <c r="C3633" s="234" t="str">
        <f>IFERROR(__xludf.DUMMYFUNCTION("""COMPUTED_VALUE"""),"-")</f>
        <v>-</v>
      </c>
      <c r="D3633" s="234">
        <f>IFERROR(__xludf.DUMMYFUNCTION("""COMPUTED_VALUE"""),19.0)</f>
        <v>19</v>
      </c>
      <c r="E3633" s="237" t="str">
        <f>IFERROR(__xludf.DUMMYFUNCTION("""COMPUTED_VALUE"""),"LT0PCU01V8SL1")</f>
        <v>LT0PCU01V8SL1</v>
      </c>
      <c r="F3633" s="238" t="str">
        <f>IFERROR(__xludf.DUMMYFUNCTION("""COMPUTED_VALUE"""),"-")</f>
        <v>-</v>
      </c>
      <c r="G3633" s="238" t="str">
        <f>IFERROR(__xludf.DUMMYFUNCTION("""COMPUTED_VALUE"""),"-")</f>
        <v>-</v>
      </c>
      <c r="H3633" s="238" t="str">
        <f>IFERROR(__xludf.DUMMYFUNCTION("""COMPUTED_VALUE"""),"-")</f>
        <v>-</v>
      </c>
      <c r="I3633" s="237" t="str">
        <f t="shared" si="1"/>
        <v>Dentro</v>
      </c>
      <c r="J3633" s="239" t="e">
        <v>#VALUE!</v>
      </c>
    </row>
    <row r="3634">
      <c r="A3634" s="234" t="s">
        <v>574</v>
      </c>
      <c r="B3634" s="234" t="str">
        <f>IFERROR(__xludf.DUMMYFUNCTION("""COMPUTED_VALUE"""),"Fanout Desconhecido")</f>
        <v>Fanout Desconhecido</v>
      </c>
      <c r="C3634" s="234" t="str">
        <f>IFERROR(__xludf.DUMMYFUNCTION("""COMPUTED_VALUE"""),"-")</f>
        <v>-</v>
      </c>
      <c r="D3634" s="234">
        <f>IFERROR(__xludf.DUMMYFUNCTION("""COMPUTED_VALUE"""),48.0)</f>
        <v>48</v>
      </c>
      <c r="E3634" s="237" t="str">
        <f>IFERROR(__xludf.DUMMYFUNCTION("""COMPUTED_VALUE"""),"LT0PCU01VCQQ1")</f>
        <v>LT0PCU01VCQQ1</v>
      </c>
      <c r="F3634" s="238" t="str">
        <f>IFERROR(__xludf.DUMMYFUNCTION("""COMPUTED_VALUE"""),"-")</f>
        <v>-</v>
      </c>
      <c r="G3634" s="238" t="str">
        <f>IFERROR(__xludf.DUMMYFUNCTION("""COMPUTED_VALUE"""),"-")</f>
        <v>-</v>
      </c>
      <c r="H3634" s="238" t="str">
        <f>IFERROR(__xludf.DUMMYFUNCTION("""COMPUTED_VALUE"""),"-")</f>
        <v>-</v>
      </c>
      <c r="I3634" s="237" t="str">
        <f t="shared" si="1"/>
        <v>Dentro</v>
      </c>
      <c r="J3634" s="239" t="e">
        <v>#VALUE!</v>
      </c>
    </row>
    <row r="3635">
      <c r="A3635" s="234" t="s">
        <v>575</v>
      </c>
      <c r="B3635" s="234" t="str">
        <f>IFERROR(__xludf.DUMMYFUNCTION("""COMPUTED_VALUE"""),"Fanout Desconhecido")</f>
        <v>Fanout Desconhecido</v>
      </c>
      <c r="C3635" s="234" t="str">
        <f>IFERROR(__xludf.DUMMYFUNCTION("""COMPUTED_VALUE"""),"-")</f>
        <v>-</v>
      </c>
      <c r="D3635" s="234">
        <f>IFERROR(__xludf.DUMMYFUNCTION("""COMPUTED_VALUE"""),49.0)</f>
        <v>49</v>
      </c>
      <c r="E3635" s="237" t="str">
        <f>IFERROR(__xludf.DUMMYFUNCTION("""COMPUTED_VALUE"""),"LT0PCU01VQCZ1")</f>
        <v>LT0PCU01VQCZ1</v>
      </c>
      <c r="F3635" s="238" t="str">
        <f>IFERROR(__xludf.DUMMYFUNCTION("""COMPUTED_VALUE"""),"-")</f>
        <v>-</v>
      </c>
      <c r="G3635" s="238" t="str">
        <f>IFERROR(__xludf.DUMMYFUNCTION("""COMPUTED_VALUE"""),"-")</f>
        <v>-</v>
      </c>
      <c r="H3635" s="238" t="str">
        <f>IFERROR(__xludf.DUMMYFUNCTION("""COMPUTED_VALUE"""),"-")</f>
        <v>-</v>
      </c>
      <c r="I3635" s="237" t="str">
        <f t="shared" si="1"/>
        <v>Dentro</v>
      </c>
      <c r="J3635" s="239">
        <v>598.0000000004657</v>
      </c>
    </row>
    <row r="3636">
      <c r="A3636" s="234" t="s">
        <v>548</v>
      </c>
      <c r="B3636" s="234"/>
      <c r="C3636" s="234" t="str">
        <f>IFERROR(__xludf.DUMMYFUNCTION("""COMPUTED_VALUE"""),"-")</f>
        <v>-</v>
      </c>
      <c r="D3636" s="234">
        <f>IFERROR(__xludf.DUMMYFUNCTION("""COMPUTED_VALUE"""),97.0)</f>
        <v>97</v>
      </c>
      <c r="E3636" s="237" t="str">
        <f>IFERROR(__xludf.DUMMYFUNCTION("""COMPUTED_VALUE"""),"LT0PCU01V9HT2")</f>
        <v>LT0PCU01V9HT2</v>
      </c>
      <c r="F3636" s="238" t="str">
        <f>IFERROR(__xludf.DUMMYFUNCTION("""COMPUTED_VALUE"""),"FCZ0D42")</f>
        <v>FCZ0D42</v>
      </c>
      <c r="G3636" s="238">
        <f>IFERROR(__xludf.DUMMYFUNCTION("""COMPUTED_VALUE"""),46021.25138888889)</f>
        <v>46021.25139</v>
      </c>
      <c r="H3636" s="238">
        <f>IFERROR(__xludf.DUMMYFUNCTION("""COMPUTED_VALUE"""),46021.66666666667)</f>
        <v>46021.66667</v>
      </c>
      <c r="I3636" s="237" t="str">
        <f t="shared" si="1"/>
        <v>Fora</v>
      </c>
      <c r="J3636" s="239">
        <v>599.0000000037253</v>
      </c>
    </row>
    <row r="3637">
      <c r="A3637" s="234" t="s">
        <v>4914</v>
      </c>
      <c r="B3637" s="234"/>
      <c r="C3637" s="234" t="str">
        <f>IFERROR(__xludf.DUMMYFUNCTION("""COMPUTED_VALUE"""),"-")</f>
        <v>-</v>
      </c>
      <c r="D3637" s="234">
        <f>IFERROR(__xludf.DUMMYFUNCTION("""COMPUTED_VALUE"""),87.0)</f>
        <v>87</v>
      </c>
      <c r="E3637" s="237" t="str">
        <f>IFERROR(__xludf.DUMMYFUNCTION("""COMPUTED_VALUE"""),"LT0PCU01VBZ42")</f>
        <v>LT0PCU01VBZ42</v>
      </c>
      <c r="F3637" s="238" t="str">
        <f>IFERROR(__xludf.DUMMYFUNCTION("""COMPUTED_VALUE"""),"PAG8G43")</f>
        <v>PAG8G43</v>
      </c>
      <c r="G3637" s="238">
        <f>IFERROR(__xludf.DUMMYFUNCTION("""COMPUTED_VALUE"""),46021.25069444445)</f>
        <v>46021.25069</v>
      </c>
      <c r="H3637" s="238">
        <f>IFERROR(__xludf.DUMMYFUNCTION("""COMPUTED_VALUE"""),46021.66666666667)</f>
        <v>46021.66667</v>
      </c>
      <c r="I3637" s="237" t="str">
        <f t="shared" si="1"/>
        <v>Fora</v>
      </c>
      <c r="J3637" s="239">
        <v>238.00000000046566</v>
      </c>
    </row>
    <row r="3638">
      <c r="A3638" s="234" t="s">
        <v>597</v>
      </c>
      <c r="B3638" s="234"/>
      <c r="C3638" s="234" t="str">
        <f>IFERROR(__xludf.DUMMYFUNCTION("""COMPUTED_VALUE"""),"-")</f>
        <v>-</v>
      </c>
      <c r="D3638" s="234">
        <f>IFERROR(__xludf.DUMMYFUNCTION("""COMPUTED_VALUE"""),87.0)</f>
        <v>87</v>
      </c>
      <c r="E3638" s="237" t="str">
        <f>IFERROR(__xludf.DUMMYFUNCTION("""COMPUTED_VALUE"""),"LT0PCU01VBZD3")</f>
        <v>LT0PCU01VBZD3</v>
      </c>
      <c r="F3638" s="238" t="str">
        <f>IFERROR(__xludf.DUMMYFUNCTION("""COMPUTED_VALUE"""),"IRI8H22")</f>
        <v>IRI8H22</v>
      </c>
      <c r="G3638" s="238">
        <f>IFERROR(__xludf.DUMMYFUNCTION("""COMPUTED_VALUE"""),46021.58472222222)</f>
        <v>46021.58472</v>
      </c>
      <c r="H3638" s="238">
        <f>IFERROR(__xludf.DUMMYFUNCTION("""COMPUTED_VALUE"""),46021.75)</f>
        <v>46021.75</v>
      </c>
      <c r="I3638" s="237" t="str">
        <f t="shared" si="1"/>
        <v>Fora</v>
      </c>
      <c r="J3638" s="239">
        <v>119.99999999301508</v>
      </c>
    </row>
    <row r="3639">
      <c r="A3639" s="244" t="s">
        <v>4915</v>
      </c>
      <c r="B3639" s="234"/>
      <c r="C3639" s="234" t="str">
        <f>IFERROR(__xludf.DUMMYFUNCTION("""COMPUTED_VALUE"""),"-")</f>
        <v>-</v>
      </c>
      <c r="D3639" s="234">
        <f>IFERROR(__xludf.DUMMYFUNCTION("""COMPUTED_VALUE"""),96.0)</f>
        <v>96</v>
      </c>
      <c r="E3639" s="245" t="str">
        <f>IFERROR(__xludf.DUMMYFUNCTION("""COMPUTED_VALUE"""),"LT1PCU01VX8E1")</f>
        <v>LT1PCU01VX8E1</v>
      </c>
      <c r="F3639" s="238" t="str">
        <f>IFERROR(__xludf.DUMMYFUNCTION("""COMPUTED_VALUE"""),"BZF4B42")</f>
        <v>BZF4B42</v>
      </c>
      <c r="G3639" s="238">
        <f>IFERROR(__xludf.DUMMYFUNCTION("""COMPUTED_VALUE"""),46021.66666666667)</f>
        <v>46021.66667</v>
      </c>
      <c r="H3639" s="238">
        <f>IFERROR(__xludf.DUMMYFUNCTION("""COMPUTED_VALUE"""),46021.75)</f>
        <v>46021.75</v>
      </c>
      <c r="I3639" s="237" t="str">
        <f t="shared" si="1"/>
        <v>Fora</v>
      </c>
      <c r="J3639" s="239">
        <v>119.99999999301508</v>
      </c>
    </row>
    <row r="3640">
      <c r="A3640" s="244" t="s">
        <v>4916</v>
      </c>
      <c r="B3640" s="234"/>
      <c r="C3640" s="234" t="str">
        <f>IFERROR(__xludf.DUMMYFUNCTION("""COMPUTED_VALUE"""),"-")</f>
        <v>-</v>
      </c>
      <c r="D3640" s="234">
        <f>IFERROR(__xludf.DUMMYFUNCTION("""COMPUTED_VALUE"""),113.0)</f>
        <v>113</v>
      </c>
      <c r="E3640" s="245" t="str">
        <f>IFERROR(__xludf.DUMMYFUNCTION("""COMPUTED_VALUE"""),"LT1PCU01VXOX1")</f>
        <v>LT1PCU01VXOX1</v>
      </c>
      <c r="F3640" s="238" t="str">
        <f>IFERROR(__xludf.DUMMYFUNCTION("""COMPUTED_VALUE"""),"NTT8979")</f>
        <v>NTT8979</v>
      </c>
      <c r="G3640" s="238">
        <f>IFERROR(__xludf.DUMMYFUNCTION("""COMPUTED_VALUE"""),46021.75)</f>
        <v>46021.75</v>
      </c>
      <c r="H3640" s="238">
        <f>IFERROR(__xludf.DUMMYFUNCTION("""COMPUTED_VALUE"""),46021.83333333333)</f>
        <v>46021.83333</v>
      </c>
      <c r="I3640" s="237" t="str">
        <f t="shared" si="1"/>
        <v>Fora</v>
      </c>
      <c r="J3640" s="239">
        <v>299.9999999930151</v>
      </c>
    </row>
    <row r="3641">
      <c r="A3641" s="244" t="s">
        <v>4917</v>
      </c>
      <c r="B3641" s="234"/>
      <c r="C3641" s="234" t="str">
        <f>IFERROR(__xludf.DUMMYFUNCTION("""COMPUTED_VALUE"""),"-")</f>
        <v>-</v>
      </c>
      <c r="D3641" s="234">
        <f>IFERROR(__xludf.DUMMYFUNCTION("""COMPUTED_VALUE"""),88.0)</f>
        <v>88</v>
      </c>
      <c r="E3641" s="245" t="str">
        <f>IFERROR(__xludf.DUMMYFUNCTION("""COMPUTED_VALUE"""),"LT1PCU01VXRP1")</f>
        <v>LT1PCU01VXRP1</v>
      </c>
      <c r="F3641" s="238" t="str">
        <f>IFERROR(__xludf.DUMMYFUNCTION("""COMPUTED_VALUE"""),"FXS8F63")</f>
        <v>FXS8F63</v>
      </c>
      <c r="G3641" s="238">
        <f>IFERROR(__xludf.DUMMYFUNCTION("""COMPUTED_VALUE"""),46021.66666666667)</f>
        <v>46021.66667</v>
      </c>
      <c r="H3641" s="238">
        <f>IFERROR(__xludf.DUMMYFUNCTION("""COMPUTED_VALUE"""),46021.875)</f>
        <v>46021.875</v>
      </c>
      <c r="I3641" s="237" t="str">
        <f t="shared" si="1"/>
        <v>Fora</v>
      </c>
      <c r="J3641" s="239">
        <v>118.99999998975545</v>
      </c>
    </row>
    <row r="3642">
      <c r="A3642" s="244" t="s">
        <v>4918</v>
      </c>
      <c r="B3642" s="234" t="str">
        <f>IFERROR(__xludf.DUMMYFUNCTION("""COMPUTED_VALUE"""),"LM Hub_SP_São Bernardo do Campo")</f>
        <v>LM Hub_SP_São Bernardo do Campo</v>
      </c>
      <c r="C3642" s="234" t="str">
        <f>IFERROR(__xludf.DUMMYFUNCTION("""COMPUTED_VALUE"""),"HUB-LSP-79")</f>
        <v>HUB-LSP-79</v>
      </c>
      <c r="D3642" s="234">
        <f>IFERROR(__xludf.DUMMYFUNCTION("""COMPUTED_VALUE"""),8.0)</f>
        <v>8</v>
      </c>
      <c r="E3642" s="245" t="str">
        <f>IFERROR(__xludf.DUMMYFUNCTION("""COMPUTED_VALUE"""),"LT0PCU01VQ821")</f>
        <v>LT0PCU01VQ821</v>
      </c>
      <c r="F3642" s="238" t="str">
        <f>IFERROR(__xludf.DUMMYFUNCTION("""COMPUTED_VALUE"""),"FNK8E47,FAM1829")</f>
        <v>FNK8E47,FAM1829</v>
      </c>
      <c r="G3642" s="238">
        <f>IFERROR(__xludf.DUMMYFUNCTION("""COMPUTED_VALUE"""),46021.87569444445)</f>
        <v>46021.87569</v>
      </c>
      <c r="H3642" s="238">
        <f>IFERROR(__xludf.DUMMYFUNCTION("""COMPUTED_VALUE"""),46021.95833333333)</f>
        <v>46021.95833</v>
      </c>
      <c r="I3642" s="237" t="str">
        <f t="shared" si="1"/>
        <v>Fora</v>
      </c>
      <c r="J3642" s="239">
        <v>119.99999999301508</v>
      </c>
    </row>
    <row r="3643">
      <c r="A3643" s="244" t="s">
        <v>4919</v>
      </c>
      <c r="B3643" s="234" t="str">
        <f>IFERROR(__xludf.DUMMYFUNCTION("""COMPUTED_VALUE"""),"LM Hub_PR_Curitiba")</f>
        <v>LM Hub_PR_Curitiba</v>
      </c>
      <c r="C3643" s="234" t="str">
        <f>IFERROR(__xludf.DUMMYFUNCTION("""COMPUTED_VALUE"""),"HUB-LPR-16")</f>
        <v>HUB-LPR-16</v>
      </c>
      <c r="D3643" s="234">
        <f>IFERROR(__xludf.DUMMYFUNCTION("""COMPUTED_VALUE"""),15.0)</f>
        <v>15</v>
      </c>
      <c r="E3643" s="245" t="str">
        <f>IFERROR(__xludf.DUMMYFUNCTION("""COMPUTED_VALUE"""),"LT0PCU01V8521")</f>
        <v>LT0PCU01V8521</v>
      </c>
      <c r="F3643" s="238" t="str">
        <f>IFERROR(__xludf.DUMMYFUNCTION("""COMPUTED_VALUE"""),"RYX9H77,TPW5E28")</f>
        <v>RYX9H77,TPW5E28</v>
      </c>
      <c r="G3643" s="238">
        <f>IFERROR(__xludf.DUMMYFUNCTION("""COMPUTED_VALUE"""),46021.875)</f>
        <v>46021.875</v>
      </c>
      <c r="H3643" s="238">
        <f>IFERROR(__xludf.DUMMYFUNCTION("""COMPUTED_VALUE"""),46021.95833333333)</f>
        <v>46021.95833</v>
      </c>
      <c r="I3643" s="237" t="str">
        <f t="shared" si="1"/>
        <v>Fora</v>
      </c>
      <c r="J3643" s="239">
        <v>118.99999998975545</v>
      </c>
    </row>
    <row r="3644">
      <c r="A3644" s="244" t="s">
        <v>4920</v>
      </c>
      <c r="B3644" s="234" t="str">
        <f>IFERROR(__xludf.DUMMYFUNCTION("""COMPUTED_VALUE"""),"LM Hub_SP_Embu das Artes")</f>
        <v>LM Hub_SP_Embu das Artes</v>
      </c>
      <c r="C3644" s="234" t="str">
        <f>IFERROR(__xludf.DUMMYFUNCTION("""COMPUTED_VALUE"""),"HUB-LSP-36")</f>
        <v>HUB-LSP-36</v>
      </c>
      <c r="D3644" s="234">
        <f>IFERROR(__xludf.DUMMYFUNCTION("""COMPUTED_VALUE"""),35.0)</f>
        <v>35</v>
      </c>
      <c r="E3644" s="245" t="str">
        <f>IFERROR(__xludf.DUMMYFUNCTION("""COMPUTED_VALUE"""),"LT0PCU01V81K1")</f>
        <v>LT0PCU01V81K1</v>
      </c>
      <c r="F3644" s="238" t="str">
        <f>IFERROR(__xludf.DUMMYFUNCTION("""COMPUTED_VALUE"""),"FNY8F71,TMH5F48")</f>
        <v>FNY8F71,TMH5F48</v>
      </c>
      <c r="G3644" s="238">
        <f>IFERROR(__xludf.DUMMYFUNCTION("""COMPUTED_VALUE"""),46021.87569444445)</f>
        <v>46021.87569</v>
      </c>
      <c r="H3644" s="238">
        <f>IFERROR(__xludf.DUMMYFUNCTION("""COMPUTED_VALUE"""),46021.95833333333)</f>
        <v>46021.95833</v>
      </c>
      <c r="I3644" s="237" t="str">
        <f t="shared" si="1"/>
        <v>Fora</v>
      </c>
      <c r="J3644" s="239">
        <v>118.99999998975545</v>
      </c>
    </row>
    <row r="3645">
      <c r="A3645" s="244" t="s">
        <v>4921</v>
      </c>
      <c r="B3645" s="234" t="str">
        <f>IFERROR(__xludf.DUMMYFUNCTION("""COMPUTED_VALUE"""),"LM Hub_SP_Embu das Artes")</f>
        <v>LM Hub_SP_Embu das Artes</v>
      </c>
      <c r="C3645" s="234" t="str">
        <f>IFERROR(__xludf.DUMMYFUNCTION("""COMPUTED_VALUE"""),"HUB-LSP-36")</f>
        <v>HUB-LSP-36</v>
      </c>
      <c r="D3645" s="234">
        <f>IFERROR(__xludf.DUMMYFUNCTION("""COMPUTED_VALUE"""),38.0)</f>
        <v>38</v>
      </c>
      <c r="E3645" s="245" t="str">
        <f>IFERROR(__xludf.DUMMYFUNCTION("""COMPUTED_VALUE"""),"LT0PCU01V81M2")</f>
        <v>LT0PCU01V81M2</v>
      </c>
      <c r="F3645" s="238" t="str">
        <f>IFERROR(__xludf.DUMMYFUNCTION("""COMPUTED_VALUE"""),"FGL3B43,FQB3D75")</f>
        <v>FGL3B43,FQB3D75</v>
      </c>
      <c r="G3645" s="238">
        <f>IFERROR(__xludf.DUMMYFUNCTION("""COMPUTED_VALUE"""),46021.87569444445)</f>
        <v>46021.87569</v>
      </c>
      <c r="H3645" s="238">
        <f>IFERROR(__xludf.DUMMYFUNCTION("""COMPUTED_VALUE"""),46021.95833333333)</f>
        <v>46021.95833</v>
      </c>
      <c r="I3645" s="237" t="str">
        <f t="shared" si="1"/>
        <v>Fora</v>
      </c>
      <c r="J3645" s="239">
        <v>119.99999999301508</v>
      </c>
    </row>
    <row r="3646">
      <c r="A3646" s="244" t="s">
        <v>4922</v>
      </c>
      <c r="B3646" s="234" t="str">
        <f>IFERROR(__xludf.DUMMYFUNCTION("""COMPUTED_VALUE"""),"LM Hub_SP_Embu das Artes_02")</f>
        <v>LM Hub_SP_Embu das Artes_02</v>
      </c>
      <c r="C3646" s="234" t="str">
        <f>IFERROR(__xludf.DUMMYFUNCTION("""COMPUTED_VALUE"""),"HUB-LSP-96")</f>
        <v>HUB-LSP-96</v>
      </c>
      <c r="D3646" s="234">
        <f>IFERROR(__xludf.DUMMYFUNCTION("""COMPUTED_VALUE"""),43.0)</f>
        <v>43</v>
      </c>
      <c r="E3646" s="245" t="str">
        <f>IFERROR(__xludf.DUMMYFUNCTION("""COMPUTED_VALUE"""),"LT0PCU01VAHF1")</f>
        <v>LT0PCU01VAHF1</v>
      </c>
      <c r="F3646" s="238" t="str">
        <f>IFERROR(__xludf.DUMMYFUNCTION("""COMPUTED_VALUE"""),"GBE0G47,FJP5G21")</f>
        <v>GBE0G47,FJP5G21</v>
      </c>
      <c r="G3646" s="238">
        <f>IFERROR(__xludf.DUMMYFUNCTION("""COMPUTED_VALUE"""),46021.875)</f>
        <v>46021.875</v>
      </c>
      <c r="H3646" s="238">
        <f>IFERROR(__xludf.DUMMYFUNCTION("""COMPUTED_VALUE"""),46021.95833333333)</f>
        <v>46021.95833</v>
      </c>
      <c r="I3646" s="237" t="str">
        <f t="shared" si="1"/>
        <v>Fora</v>
      </c>
      <c r="J3646" s="239">
        <v>538.9999999967404</v>
      </c>
    </row>
    <row r="3647">
      <c r="A3647" s="244" t="s">
        <v>4923</v>
      </c>
      <c r="B3647" s="234"/>
      <c r="C3647" s="234" t="str">
        <f>IFERROR(__xludf.DUMMYFUNCTION("""COMPUTED_VALUE"""),"-")</f>
        <v>-</v>
      </c>
      <c r="D3647" s="234">
        <f>IFERROR(__xludf.DUMMYFUNCTION("""COMPUTED_VALUE"""),97.0)</f>
        <v>97</v>
      </c>
      <c r="E3647" s="245" t="str">
        <f>IFERROR(__xludf.DUMMYFUNCTION("""COMPUTED_VALUE"""),"LT0PCU01V9I01")</f>
        <v>LT0PCU01V9I01</v>
      </c>
      <c r="F3647" s="238" t="str">
        <f>IFERROR(__xludf.DUMMYFUNCTION("""COMPUTED_VALUE"""),"FCU5E86")</f>
        <v>FCU5E86</v>
      </c>
      <c r="G3647" s="238">
        <f>IFERROR(__xludf.DUMMYFUNCTION("""COMPUTED_VALUE"""),46021.584027777775)</f>
        <v>46021.58403</v>
      </c>
      <c r="H3647" s="238">
        <f>IFERROR(__xludf.DUMMYFUNCTION("""COMPUTED_VALUE"""),46021.95833333333)</f>
        <v>46021.95833</v>
      </c>
      <c r="I3647" s="237" t="str">
        <f t="shared" si="1"/>
        <v>Fora</v>
      </c>
      <c r="J3647" s="239">
        <v>360.0</v>
      </c>
    </row>
    <row r="3648">
      <c r="A3648" s="244" t="s">
        <v>596</v>
      </c>
      <c r="B3648" s="234"/>
      <c r="C3648" s="234" t="str">
        <f>IFERROR(__xludf.DUMMYFUNCTION("""COMPUTED_VALUE"""),"-")</f>
        <v>-</v>
      </c>
      <c r="D3648" s="234">
        <f>IFERROR(__xludf.DUMMYFUNCTION("""COMPUTED_VALUE"""),100.0)</f>
        <v>100</v>
      </c>
      <c r="E3648" s="245" t="str">
        <f>IFERROR(__xludf.DUMMYFUNCTION("""COMPUTED_VALUE"""),"LT0PCU01VB432")</f>
        <v>LT0PCU01VB432</v>
      </c>
      <c r="F3648" s="238" t="str">
        <f>IFERROR(__xludf.DUMMYFUNCTION("""COMPUTED_VALUE"""),"RYC3F96")</f>
        <v>RYC3F96</v>
      </c>
      <c r="G3648" s="238">
        <f>IFERROR(__xludf.DUMMYFUNCTION("""COMPUTED_VALUE"""),46021.70833333333)</f>
        <v>46021.70833</v>
      </c>
      <c r="H3648" s="238">
        <f>IFERROR(__xludf.DUMMYFUNCTION("""COMPUTED_VALUE"""),46021.95833333333)</f>
        <v>46021.95833</v>
      </c>
      <c r="I3648" s="237" t="str">
        <f t="shared" si="1"/>
        <v>Fora</v>
      </c>
      <c r="J3648" s="239">
        <v>120.00000001396984</v>
      </c>
    </row>
    <row r="3649">
      <c r="A3649" s="244" t="s">
        <v>4924</v>
      </c>
      <c r="B3649" s="234" t="str">
        <f>IFERROR(__xludf.DUMMYFUNCTION("""COMPUTED_VALUE"""),"LM Hub_RJ_Jacarepaguá")</f>
        <v>LM Hub_RJ_Jacarepaguá</v>
      </c>
      <c r="C3649" s="234" t="str">
        <f>IFERROR(__xludf.DUMMYFUNCTION("""COMPUTED_VALUE"""),"HUB-LRJ-29")</f>
        <v>HUB-LRJ-29</v>
      </c>
      <c r="D3649" s="234">
        <f>IFERROR(__xludf.DUMMYFUNCTION("""COMPUTED_VALUE"""),8.0)</f>
        <v>8</v>
      </c>
      <c r="E3649" s="245" t="str">
        <f>IFERROR(__xludf.DUMMYFUNCTION("""COMPUTED_VALUE"""),"LT0PCU01VBX11")</f>
        <v>LT0PCU01VBX11</v>
      </c>
      <c r="F3649" s="238" t="str">
        <f>IFERROR(__xludf.DUMMYFUNCTION("""COMPUTED_VALUE"""),"TJD6E97,TLK7J13")</f>
        <v>TJD6E97,TLK7J13</v>
      </c>
      <c r="G3649" s="238">
        <f>IFERROR(__xludf.DUMMYFUNCTION("""COMPUTED_VALUE"""),46021.89583333333)</f>
        <v>46021.89583</v>
      </c>
      <c r="H3649" s="238">
        <f>IFERROR(__xludf.DUMMYFUNCTION("""COMPUTED_VALUE"""),46021.97916666667)</f>
        <v>46021.97917</v>
      </c>
      <c r="I3649" s="237" t="str">
        <f t="shared" si="1"/>
        <v>Fora</v>
      </c>
      <c r="J3649" s="239">
        <v>119.00000001071021</v>
      </c>
    </row>
    <row r="3650">
      <c r="A3650" s="244" t="s">
        <v>4925</v>
      </c>
      <c r="B3650" s="234" t="str">
        <f>IFERROR(__xludf.DUMMYFUNCTION("""COMPUTED_VALUE"""),"LM Hub_SP_Santos_Praia Grande")</f>
        <v>LM Hub_SP_Santos_Praia Grande</v>
      </c>
      <c r="C3650" s="234" t="str">
        <f>IFERROR(__xludf.DUMMYFUNCTION("""COMPUTED_VALUE"""),"HUB-LSP-09")</f>
        <v>HUB-LSP-09</v>
      </c>
      <c r="D3650" s="234">
        <f>IFERROR(__xludf.DUMMYFUNCTION("""COMPUTED_VALUE"""),19.0)</f>
        <v>19</v>
      </c>
      <c r="E3650" s="245" t="str">
        <f>IFERROR(__xludf.DUMMYFUNCTION("""COMPUTED_VALUE"""),"LT0PCU01V83K1")</f>
        <v>LT0PCU01V83K1</v>
      </c>
      <c r="F3650" s="238" t="str">
        <f>IFERROR(__xludf.DUMMYFUNCTION("""COMPUTED_VALUE"""),"FUZ4C73,TLL9H76")</f>
        <v>FUZ4C73,TLL9H76</v>
      </c>
      <c r="G3650" s="238">
        <f>IFERROR(__xludf.DUMMYFUNCTION("""COMPUTED_VALUE"""),46021.896527777775)</f>
        <v>46021.89653</v>
      </c>
      <c r="H3650" s="238">
        <f>IFERROR(__xludf.DUMMYFUNCTION("""COMPUTED_VALUE"""),46021.97916666667)</f>
        <v>46021.97917</v>
      </c>
      <c r="I3650" s="237" t="str">
        <f t="shared" si="1"/>
        <v>Fora</v>
      </c>
      <c r="J3650" s="239">
        <v>119.00000001071021</v>
      </c>
    </row>
    <row r="3651">
      <c r="A3651" s="244" t="s">
        <v>4926</v>
      </c>
      <c r="B3651" s="234" t="str">
        <f>IFERROR(__xludf.DUMMYFUNCTION("""COMPUTED_VALUE"""),"LM Hub_SP_Itaqua_Zimba")</f>
        <v>LM Hub_SP_Itaqua_Zimba</v>
      </c>
      <c r="C3651" s="234" t="str">
        <f>IFERROR(__xludf.DUMMYFUNCTION("""COMPUTED_VALUE"""),"HUB-LSP-74")</f>
        <v>HUB-LSP-74</v>
      </c>
      <c r="D3651" s="234">
        <f>IFERROR(__xludf.DUMMYFUNCTION("""COMPUTED_VALUE"""),33.0)</f>
        <v>33</v>
      </c>
      <c r="E3651" s="245" t="str">
        <f>IFERROR(__xludf.DUMMYFUNCTION("""COMPUTED_VALUE"""),"LT0PCU01V82C1")</f>
        <v>LT0PCU01V82C1</v>
      </c>
      <c r="F3651" s="238" t="str">
        <f>IFERROR(__xludf.DUMMYFUNCTION("""COMPUTED_VALUE"""),"FQB9D27,GGI8F52")</f>
        <v>FQB9D27,GGI8F52</v>
      </c>
      <c r="G3651" s="238">
        <f>IFERROR(__xludf.DUMMYFUNCTION("""COMPUTED_VALUE"""),46021.896527777775)</f>
        <v>46021.89653</v>
      </c>
      <c r="H3651" s="238">
        <f>IFERROR(__xludf.DUMMYFUNCTION("""COMPUTED_VALUE"""),46021.97916666667)</f>
        <v>46021.97917</v>
      </c>
      <c r="I3651" s="237" t="str">
        <f t="shared" si="1"/>
        <v>Fora</v>
      </c>
      <c r="J3651" s="239">
        <v>118.00000000745058</v>
      </c>
    </row>
    <row r="3652">
      <c r="A3652" s="244" t="s">
        <v>4927</v>
      </c>
      <c r="B3652" s="234" t="str">
        <f>IFERROR(__xludf.DUMMYFUNCTION("""COMPUTED_VALUE"""),"LM Hub_SP_São José dos Campos")</f>
        <v>LM Hub_SP_São José dos Campos</v>
      </c>
      <c r="C3652" s="234" t="str">
        <f>IFERROR(__xludf.DUMMYFUNCTION("""COMPUTED_VALUE"""),"HUB-LSP-04")</f>
        <v>HUB-LSP-04</v>
      </c>
      <c r="D3652" s="234">
        <f>IFERROR(__xludf.DUMMYFUNCTION("""COMPUTED_VALUE"""),17.0)</f>
        <v>17</v>
      </c>
      <c r="E3652" s="245" t="str">
        <f>IFERROR(__xludf.DUMMYFUNCTION("""COMPUTED_VALUE"""),"LT0PCU01VQ3M1")</f>
        <v>LT0PCU01VQ3M1</v>
      </c>
      <c r="F3652" s="238" t="str">
        <f>IFERROR(__xludf.DUMMYFUNCTION("""COMPUTED_VALUE"""),"FYQ5533")</f>
        <v>FYQ5533</v>
      </c>
      <c r="G3652" s="238">
        <f>IFERROR(__xludf.DUMMYFUNCTION("""COMPUTED_VALUE"""),46021.89722222222)</f>
        <v>46021.89722</v>
      </c>
      <c r="H3652" s="238">
        <f>IFERROR(__xludf.DUMMYFUNCTION("""COMPUTED_VALUE"""),46021.97916666667)</f>
        <v>46021.97917</v>
      </c>
      <c r="I3652" s="237" t="str">
        <f t="shared" si="1"/>
        <v>Fora</v>
      </c>
      <c r="J3652" s="239">
        <v>120.00000001396984</v>
      </c>
    </row>
    <row r="3653">
      <c r="A3653" s="244" t="s">
        <v>4928</v>
      </c>
      <c r="B3653" s="234" t="str">
        <f>IFERROR(__xludf.DUMMYFUNCTION("""COMPUTED_VALUE"""),"LM Hub_SP_Jurubatuba")</f>
        <v>LM Hub_SP_Jurubatuba</v>
      </c>
      <c r="C3653" s="234" t="str">
        <f>IFERROR(__xludf.DUMMYFUNCTION("""COMPUTED_VALUE"""),"HUB-LSP-16")</f>
        <v>HUB-LSP-16</v>
      </c>
      <c r="D3653" s="234">
        <f>IFERROR(__xludf.DUMMYFUNCTION("""COMPUTED_VALUE"""),34.0)</f>
        <v>34</v>
      </c>
      <c r="E3653" s="245" t="str">
        <f>IFERROR(__xludf.DUMMYFUNCTION("""COMPUTED_VALUE"""),"LT0PCU01V8161")</f>
        <v>LT0PCU01V8161</v>
      </c>
      <c r="F3653" s="238" t="str">
        <f>IFERROR(__xludf.DUMMYFUNCTION("""COMPUTED_VALUE"""),"CUA7C61,FPW0F14")</f>
        <v>CUA7C61,FPW0F14</v>
      </c>
      <c r="G3653" s="238">
        <f>IFERROR(__xludf.DUMMYFUNCTION("""COMPUTED_VALUE"""),46021.89583333333)</f>
        <v>46021.89583</v>
      </c>
      <c r="H3653" s="238">
        <f>IFERROR(__xludf.DUMMYFUNCTION("""COMPUTED_VALUE"""),46021.97916666667)</f>
        <v>46021.97917</v>
      </c>
      <c r="I3653" s="237" t="str">
        <f t="shared" si="1"/>
        <v>Fora</v>
      </c>
      <c r="J3653" s="239">
        <v>120.00000001396984</v>
      </c>
    </row>
    <row r="3654">
      <c r="A3654" s="244" t="s">
        <v>4929</v>
      </c>
      <c r="B3654" s="234"/>
      <c r="C3654" s="234" t="str">
        <f>IFERROR(__xludf.DUMMYFUNCTION("""COMPUTED_VALUE"""),"-")</f>
        <v>-</v>
      </c>
      <c r="D3654" s="234">
        <f>IFERROR(__xludf.DUMMYFUNCTION("""COMPUTED_VALUE"""),12.0)</f>
        <v>12</v>
      </c>
      <c r="E3654" s="245" t="str">
        <f>IFERROR(__xludf.DUMMYFUNCTION("""COMPUTED_VALUE"""),"LT0PCU01V8111")</f>
        <v>LT0PCU01V8111</v>
      </c>
      <c r="F3654" s="238" t="str">
        <f>IFERROR(__xludf.DUMMYFUNCTION("""COMPUTED_VALUE"""),"NKW3F61")</f>
        <v>NKW3F61</v>
      </c>
      <c r="G3654" s="238">
        <f>IFERROR(__xludf.DUMMYFUNCTION("""COMPUTED_VALUE"""),46021.89583333333)</f>
        <v>46021.89583</v>
      </c>
      <c r="H3654" s="238">
        <f>IFERROR(__xludf.DUMMYFUNCTION("""COMPUTED_VALUE"""),46021.97916666667)</f>
        <v>46021.97917</v>
      </c>
      <c r="I3654" s="237" t="str">
        <f t="shared" si="1"/>
        <v>Fora</v>
      </c>
      <c r="J3654" s="239">
        <v>118.99999998975545</v>
      </c>
    </row>
    <row r="3655">
      <c r="A3655" s="244" t="s">
        <v>4930</v>
      </c>
      <c r="B3655" s="234" t="str">
        <f>IFERROR(__xludf.DUMMYFUNCTION("""COMPUTED_VALUE"""),"LM Hub_SP_Guarujá")</f>
        <v>LM Hub_SP_Guarujá</v>
      </c>
      <c r="C3655" s="234" t="str">
        <f>IFERROR(__xludf.DUMMYFUNCTION("""COMPUTED_VALUE"""),"HUB-LSP-06")</f>
        <v>HUB-LSP-06</v>
      </c>
      <c r="D3655" s="234">
        <f>IFERROR(__xludf.DUMMYFUNCTION("""COMPUTED_VALUE"""),36.0)</f>
        <v>36</v>
      </c>
      <c r="E3655" s="245" t="str">
        <f>IFERROR(__xludf.DUMMYFUNCTION("""COMPUTED_VALUE"""),"LT0PCU01V82V1")</f>
        <v>LT0PCU01V82V1</v>
      </c>
      <c r="F3655" s="238" t="str">
        <f>IFERROR(__xludf.DUMMYFUNCTION("""COMPUTED_VALUE"""),"DIK3532")</f>
        <v>DIK3532</v>
      </c>
      <c r="G3655" s="238">
        <f>IFERROR(__xludf.DUMMYFUNCTION("""COMPUTED_VALUE"""),46021.91666666667)</f>
        <v>46021.91667</v>
      </c>
      <c r="H3655" s="238">
        <f>IFERROR(__xludf.DUMMYFUNCTION("""COMPUTED_VALUE"""),46021.99930555555)</f>
        <v>46021.99931</v>
      </c>
      <c r="I3655" s="237" t="str">
        <f t="shared" si="1"/>
        <v>Fora</v>
      </c>
      <c r="J3655" s="239">
        <v>119.99999999301508</v>
      </c>
    </row>
    <row r="3656">
      <c r="A3656" s="244" t="s">
        <v>4931</v>
      </c>
      <c r="B3656" s="234" t="str">
        <f>IFERROR(__xludf.DUMMYFUNCTION("""COMPUTED_VALUE"""),"LM Hub_SP_Osasco_02")</f>
        <v>LM Hub_SP_Osasco_02</v>
      </c>
      <c r="C3656" s="234" t="str">
        <f>IFERROR(__xludf.DUMMYFUNCTION("""COMPUTED_VALUE"""),"HUB-LSP-60")</f>
        <v>HUB-LSP-60</v>
      </c>
      <c r="D3656" s="234">
        <f>IFERROR(__xludf.DUMMYFUNCTION("""COMPUTED_VALUE"""),28.0)</f>
        <v>28</v>
      </c>
      <c r="E3656" s="245" t="str">
        <f>IFERROR(__xludf.DUMMYFUNCTION("""COMPUTED_VALUE"""),"LT0PCU01V81W1")</f>
        <v>LT0PCU01V81W1</v>
      </c>
      <c r="F3656" s="238" t="str">
        <f>IFERROR(__xludf.DUMMYFUNCTION("""COMPUTED_VALUE"""),"ARA0I24,TKW4D57")</f>
        <v>ARA0I24,TKW4D57</v>
      </c>
      <c r="G3656" s="238">
        <f>IFERROR(__xludf.DUMMYFUNCTION("""COMPUTED_VALUE"""),46021.91666666667)</f>
        <v>46021.91667</v>
      </c>
      <c r="H3656" s="238">
        <f>IFERROR(__xludf.DUMMYFUNCTION("""COMPUTED_VALUE"""),46022.0)</f>
        <v>46022</v>
      </c>
      <c r="I3656" s="237" t="str">
        <f t="shared" si="1"/>
        <v>Fora</v>
      </c>
      <c r="J3656" s="239">
        <v>118.00000000745058</v>
      </c>
    </row>
    <row r="3657">
      <c r="A3657" s="244" t="s">
        <v>4932</v>
      </c>
      <c r="B3657" s="234" t="str">
        <f>IFERROR(__xludf.DUMMYFUNCTION("""COMPUTED_VALUE"""),"LM Hub_SP_Guarulhos")</f>
        <v>LM Hub_SP_Guarulhos</v>
      </c>
      <c r="C3657" s="234" t="str">
        <f>IFERROR(__xludf.DUMMYFUNCTION("""COMPUTED_VALUE"""),"HUB-LSP-77")</f>
        <v>HUB-LSP-77</v>
      </c>
      <c r="D3657" s="234">
        <f>IFERROR(__xludf.DUMMYFUNCTION("""COMPUTED_VALUE"""),46.0)</f>
        <v>46</v>
      </c>
      <c r="E3657" s="245" t="str">
        <f>IFERROR(__xludf.DUMMYFUNCTION("""COMPUTED_VALUE"""),"LT0PCU01V8I22")</f>
        <v>LT0PCU01V8I22</v>
      </c>
      <c r="F3657" s="238" t="str">
        <f>IFERROR(__xludf.DUMMYFUNCTION("""COMPUTED_VALUE"""),"NFG8B11,GDP0B86")</f>
        <v>NFG8B11,GDP0B86</v>
      </c>
      <c r="G3657" s="238">
        <f>IFERROR(__xludf.DUMMYFUNCTION("""COMPUTED_VALUE"""),46021.91805555555)</f>
        <v>46021.91806</v>
      </c>
      <c r="H3657" s="238">
        <f>IFERROR(__xludf.DUMMYFUNCTION("""COMPUTED_VALUE"""),46022.0)</f>
        <v>46022</v>
      </c>
      <c r="I3657" s="237" t="str">
        <f t="shared" si="1"/>
        <v>Fora</v>
      </c>
      <c r="J3657" s="239">
        <v>119.00000000023283</v>
      </c>
    </row>
    <row r="3658">
      <c r="A3658" s="244" t="s">
        <v>4933</v>
      </c>
      <c r="B3658" s="234" t="str">
        <f>IFERROR(__xludf.DUMMYFUNCTION("""COMPUTED_VALUE"""),"LM Hub_SP_Limeira_Campo Belo")</f>
        <v>LM Hub_SP_Limeira_Campo Belo</v>
      </c>
      <c r="C3658" s="234" t="str">
        <f>IFERROR(__xludf.DUMMYFUNCTION("""COMPUTED_VALUE"""),"HUB-LSP-24")</f>
        <v>HUB-LSP-24</v>
      </c>
      <c r="D3658" s="234">
        <f>IFERROR(__xludf.DUMMYFUNCTION("""COMPUTED_VALUE"""),9.0)</f>
        <v>9</v>
      </c>
      <c r="E3658" s="245" t="str">
        <f>IFERROR(__xludf.DUMMYFUNCTION("""COMPUTED_VALUE"""),"LT0PCU01V8441")</f>
        <v>LT0PCU01V8441</v>
      </c>
      <c r="F3658" s="238" t="str">
        <f>IFERROR(__xludf.DUMMYFUNCTION("""COMPUTED_VALUE"""),"UEY6G90,TAX1I61")</f>
        <v>UEY6G90,TAX1I61</v>
      </c>
      <c r="G3658" s="238">
        <f>IFERROR(__xludf.DUMMYFUNCTION("""COMPUTED_VALUE"""),46021.91736111111)</f>
        <v>46021.91736</v>
      </c>
      <c r="H3658" s="238">
        <f>IFERROR(__xludf.DUMMYFUNCTION("""COMPUTED_VALUE"""),46022.0)</f>
        <v>46022</v>
      </c>
      <c r="I3658" s="237" t="str">
        <f t="shared" si="1"/>
        <v>Fora</v>
      </c>
      <c r="J3658" s="239">
        <v>118.00000000745058</v>
      </c>
    </row>
    <row r="3659">
      <c r="A3659" s="244" t="s">
        <v>4934</v>
      </c>
      <c r="B3659" s="234" t="str">
        <f>IFERROR(__xludf.DUMMYFUNCTION("""COMPUTED_VALUE"""),"LM Hub_SP_Guarulhos")</f>
        <v>LM Hub_SP_Guarulhos</v>
      </c>
      <c r="C3659" s="234" t="str">
        <f>IFERROR(__xludf.DUMMYFUNCTION("""COMPUTED_VALUE"""),"HUB-LSP-77")</f>
        <v>HUB-LSP-77</v>
      </c>
      <c r="D3659" s="234">
        <f>IFERROR(__xludf.DUMMYFUNCTION("""COMPUTED_VALUE"""),47.0)</f>
        <v>47</v>
      </c>
      <c r="E3659" s="245" t="str">
        <f>IFERROR(__xludf.DUMMYFUNCTION("""COMPUTED_VALUE"""),"LT0PCU01V8I01")</f>
        <v>LT0PCU01V8I01</v>
      </c>
      <c r="F3659" s="238" t="str">
        <f>IFERROR(__xludf.DUMMYFUNCTION("""COMPUTED_VALUE"""),"EPU5B13,GLB6C22")</f>
        <v>EPU5B13,GLB6C22</v>
      </c>
      <c r="G3659" s="238">
        <f>IFERROR(__xludf.DUMMYFUNCTION("""COMPUTED_VALUE"""),46021.91805555555)</f>
        <v>46021.91806</v>
      </c>
      <c r="H3659" s="238">
        <f>IFERROR(__xludf.DUMMYFUNCTION("""COMPUTED_VALUE"""),46022.0)</f>
        <v>46022</v>
      </c>
      <c r="I3659" s="237" t="str">
        <f t="shared" si="1"/>
        <v>Fora</v>
      </c>
      <c r="J3659" s="239">
        <v>119.99999999301508</v>
      </c>
    </row>
    <row r="3660">
      <c r="A3660" s="244" t="s">
        <v>4935</v>
      </c>
      <c r="B3660" s="234" t="str">
        <f>IFERROR(__xludf.DUMMYFUNCTION("""COMPUTED_VALUE"""),"LM Hub_SP_Barueri_01")</f>
        <v>LM Hub_SP_Barueri_01</v>
      </c>
      <c r="C3660" s="234" t="str">
        <f>IFERROR(__xludf.DUMMYFUNCTION("""COMPUTED_VALUE"""),"HUB-LSP-81")</f>
        <v>HUB-LSP-81</v>
      </c>
      <c r="D3660" s="234">
        <f>IFERROR(__xludf.DUMMYFUNCTION("""COMPUTED_VALUE"""),7.0)</f>
        <v>7</v>
      </c>
      <c r="E3660" s="245" t="str">
        <f>IFERROR(__xludf.DUMMYFUNCTION("""COMPUTED_VALUE"""),"LT0PCU01VBJV1")</f>
        <v>LT0PCU01VBJV1</v>
      </c>
      <c r="F3660" s="238" t="str">
        <f>IFERROR(__xludf.DUMMYFUNCTION("""COMPUTED_VALUE"""),"BTZ0G54,EOE7F81")</f>
        <v>BTZ0G54,EOE7F81</v>
      </c>
      <c r="G3660" s="238">
        <f>IFERROR(__xludf.DUMMYFUNCTION("""COMPUTED_VALUE"""),46021.91666666667)</f>
        <v>46021.91667</v>
      </c>
      <c r="H3660" s="238">
        <f>IFERROR(__xludf.DUMMYFUNCTION("""COMPUTED_VALUE"""),46022.0)</f>
        <v>46022</v>
      </c>
      <c r="I3660" s="237" t="str">
        <f t="shared" si="1"/>
        <v>Fora</v>
      </c>
      <c r="J3660" s="239">
        <v>119.99999999301508</v>
      </c>
    </row>
    <row r="3661">
      <c r="A3661" s="244" t="s">
        <v>4936</v>
      </c>
      <c r="B3661" s="234"/>
      <c r="C3661" s="234" t="str">
        <f>IFERROR(__xludf.DUMMYFUNCTION("""COMPUTED_VALUE"""),"-")</f>
        <v>-</v>
      </c>
      <c r="D3661" s="234">
        <f>IFERROR(__xludf.DUMMYFUNCTION("""COMPUTED_VALUE"""),29.0)</f>
        <v>29</v>
      </c>
      <c r="E3661" s="245" t="str">
        <f>IFERROR(__xludf.DUMMYFUNCTION("""COMPUTED_VALUE"""),"LT1PCU01VX8F1")</f>
        <v>LT1PCU01VX8F1</v>
      </c>
      <c r="F3661" s="238" t="str">
        <f>IFERROR(__xludf.DUMMYFUNCTION("""COMPUTED_VALUE"""),"EGJ9E80")</f>
        <v>EGJ9E80</v>
      </c>
      <c r="G3661" s="238">
        <f>IFERROR(__xludf.DUMMYFUNCTION("""COMPUTED_VALUE"""),46021.91666666667)</f>
        <v>46021.91667</v>
      </c>
      <c r="H3661" s="238">
        <f>IFERROR(__xludf.DUMMYFUNCTION("""COMPUTED_VALUE"""),46022.0)</f>
        <v>46022</v>
      </c>
      <c r="I3661" s="237" t="str">
        <f t="shared" si="1"/>
        <v>Fora</v>
      </c>
      <c r="J3661" s="239">
        <v>119.99999999301508</v>
      </c>
    </row>
    <row r="3662">
      <c r="A3662" s="244" t="s">
        <v>4937</v>
      </c>
      <c r="B3662" s="234"/>
      <c r="C3662" s="234" t="str">
        <f>IFERROR(__xludf.DUMMYFUNCTION("""COMPUTED_VALUE"""),"-")</f>
        <v>-</v>
      </c>
      <c r="D3662" s="234">
        <f>IFERROR(__xludf.DUMMYFUNCTION("""COMPUTED_VALUE"""),21.0)</f>
        <v>21</v>
      </c>
      <c r="E3662" s="245" t="str">
        <f>IFERROR(__xludf.DUMMYFUNCTION("""COMPUTED_VALUE"""),"LT0PCU01V8201")</f>
        <v>LT0PCU01V8201</v>
      </c>
      <c r="F3662" s="238" t="str">
        <f>IFERROR(__xludf.DUMMYFUNCTION("""COMPUTED_VALUE"""),"FXQ8H67")</f>
        <v>FXQ8H67</v>
      </c>
      <c r="G3662" s="238">
        <f>IFERROR(__xludf.DUMMYFUNCTION("""COMPUTED_VALUE"""),46021.91666666667)</f>
        <v>46021.91667</v>
      </c>
      <c r="H3662" s="238">
        <f>IFERROR(__xludf.DUMMYFUNCTION("""COMPUTED_VALUE"""),46022.0)</f>
        <v>46022</v>
      </c>
      <c r="I3662" s="237" t="str">
        <f t="shared" si="1"/>
        <v>Fora</v>
      </c>
      <c r="J3662" s="239">
        <v>119.00000000023283</v>
      </c>
    </row>
    <row r="3663">
      <c r="A3663" s="244" t="s">
        <v>4938</v>
      </c>
      <c r="B3663" s="234"/>
      <c r="C3663" s="234" t="str">
        <f>IFERROR(__xludf.DUMMYFUNCTION("""COMPUTED_VALUE"""),"-")</f>
        <v>-</v>
      </c>
      <c r="D3663" s="234">
        <f>IFERROR(__xludf.DUMMYFUNCTION("""COMPUTED_VALUE"""),40.0)</f>
        <v>40</v>
      </c>
      <c r="E3663" s="245" t="str">
        <f>IFERROR(__xludf.DUMMYFUNCTION("""COMPUTED_VALUE"""),"LT0PCU01V80P1")</f>
        <v>LT0PCU01V80P1</v>
      </c>
      <c r="F3663" s="238" t="str">
        <f>IFERROR(__xludf.DUMMYFUNCTION("""COMPUTED_VALUE"""),"EZL3F51")</f>
        <v>EZL3F51</v>
      </c>
      <c r="G3663" s="238">
        <f>IFERROR(__xludf.DUMMYFUNCTION("""COMPUTED_VALUE"""),46021.91736111111)</f>
        <v>46021.91736</v>
      </c>
      <c r="H3663" s="238">
        <f>IFERROR(__xludf.DUMMYFUNCTION("""COMPUTED_VALUE"""),46022.0)</f>
        <v>46022</v>
      </c>
      <c r="I3663" s="237" t="str">
        <f t="shared" si="1"/>
        <v>Fora</v>
      </c>
      <c r="J3663" s="239">
        <v>119.99999999301508</v>
      </c>
    </row>
    <row r="3664">
      <c r="A3664" s="244" t="s">
        <v>4939</v>
      </c>
      <c r="B3664" s="234"/>
      <c r="C3664" s="234" t="str">
        <f>IFERROR(__xludf.DUMMYFUNCTION("""COMPUTED_VALUE"""),"-")</f>
        <v>-</v>
      </c>
      <c r="D3664" s="234">
        <f>IFERROR(__xludf.DUMMYFUNCTION("""COMPUTED_VALUE"""),8.0)</f>
        <v>8</v>
      </c>
      <c r="E3664" s="245" t="str">
        <f>IFERROR(__xludf.DUMMYFUNCTION("""COMPUTED_VALUE"""),"LT0PCU01V81Q1")</f>
        <v>LT0PCU01V81Q1</v>
      </c>
      <c r="F3664" s="238" t="str">
        <f>IFERROR(__xludf.DUMMYFUNCTION("""COMPUTED_VALUE"""),"EMU5F62")</f>
        <v>EMU5F62</v>
      </c>
      <c r="G3664" s="238">
        <f>IFERROR(__xludf.DUMMYFUNCTION("""COMPUTED_VALUE"""),46021.91666666667)</f>
        <v>46021.91667</v>
      </c>
      <c r="H3664" s="238">
        <f>IFERROR(__xludf.DUMMYFUNCTION("""COMPUTED_VALUE"""),46022.0)</f>
        <v>46022</v>
      </c>
      <c r="I3664" s="237" t="str">
        <f t="shared" si="1"/>
        <v>Fora</v>
      </c>
      <c r="J3664" s="239">
        <v>59.99999998603016</v>
      </c>
    </row>
    <row r="3665">
      <c r="A3665" s="244" t="s">
        <v>4940</v>
      </c>
      <c r="B3665" s="234" t="str">
        <f>IFERROR(__xludf.DUMMYFUNCTION("""COMPUTED_VALUE"""),"LM Hub_SP_Araraquara")</f>
        <v>LM Hub_SP_Araraquara</v>
      </c>
      <c r="C3665" s="234" t="str">
        <f>IFERROR(__xludf.DUMMYFUNCTION("""COMPUTED_VALUE"""),"HUB-LSP-29")</f>
        <v>HUB-LSP-29</v>
      </c>
      <c r="D3665" s="234">
        <f>IFERROR(__xludf.DUMMYFUNCTION("""COMPUTED_VALUE"""),14.0)</f>
        <v>14</v>
      </c>
      <c r="E3665" s="245" t="str">
        <f>IFERROR(__xludf.DUMMYFUNCTION("""COMPUTED_VALUE"""),"LT1PCU01VX6U1")</f>
        <v>LT1PCU01VX6U1</v>
      </c>
      <c r="F3665" s="238" t="str">
        <f>IFERROR(__xludf.DUMMYFUNCTION("""COMPUTED_VALUE"""),"DBB6C34")</f>
        <v>DBB6C34</v>
      </c>
      <c r="G3665" s="238">
        <f>IFERROR(__xludf.DUMMYFUNCTION("""COMPUTED_VALUE"""),46021.97916666667)</f>
        <v>46021.97917</v>
      </c>
      <c r="H3665" s="238">
        <f>IFERROR(__xludf.DUMMYFUNCTION("""COMPUTED_VALUE"""),46022.02083333333)</f>
        <v>46022.02083</v>
      </c>
      <c r="I3665" s="237" t="str">
        <f t="shared" si="1"/>
        <v>Fora</v>
      </c>
      <c r="J3665" s="239">
        <v>117.99999998649582</v>
      </c>
    </row>
    <row r="3666">
      <c r="A3666" s="244" t="s">
        <v>4941</v>
      </c>
      <c r="B3666" s="234" t="str">
        <f>IFERROR(__xludf.DUMMYFUNCTION("""COMPUTED_VALUE"""),"LM Hub_SP_São Paulo_Carandiru")</f>
        <v>LM Hub_SP_São Paulo_Carandiru</v>
      </c>
      <c r="C3666" s="234" t="str">
        <f>IFERROR(__xludf.DUMMYFUNCTION("""COMPUTED_VALUE"""),"HUB-LSP-18")</f>
        <v>HUB-LSP-18</v>
      </c>
      <c r="D3666" s="234">
        <f>IFERROR(__xludf.DUMMYFUNCTION("""COMPUTED_VALUE"""),49.0)</f>
        <v>49</v>
      </c>
      <c r="E3666" s="245" t="str">
        <f>IFERROR(__xludf.DUMMYFUNCTION("""COMPUTED_VALUE"""),"LT0PCU01V81E1")</f>
        <v>LT0PCU01V81E1</v>
      </c>
      <c r="F3666" s="238" t="str">
        <f>IFERROR(__xludf.DUMMYFUNCTION("""COMPUTED_VALUE"""),"CUN2I58")</f>
        <v>CUN2I58</v>
      </c>
      <c r="G3666" s="238">
        <f>IFERROR(__xludf.DUMMYFUNCTION("""COMPUTED_VALUE"""),46021.93888888889)</f>
        <v>46021.93889</v>
      </c>
      <c r="H3666" s="238">
        <f>IFERROR(__xludf.DUMMYFUNCTION("""COMPUTED_VALUE"""),46022.02083333333)</f>
        <v>46022.02083</v>
      </c>
      <c r="I3666" s="237" t="str">
        <f t="shared" si="1"/>
        <v>Fora</v>
      </c>
      <c r="J3666" s="239">
        <v>118.99999998975545</v>
      </c>
    </row>
    <row r="3667">
      <c r="A3667" s="244" t="s">
        <v>4942</v>
      </c>
      <c r="B3667" s="234" t="str">
        <f>IFERROR(__xludf.DUMMYFUNCTION("""COMPUTED_VALUE"""),"LM Hub_SP_VilaGuilherme")</f>
        <v>LM Hub_SP_VilaGuilherme</v>
      </c>
      <c r="C3667" s="234" t="str">
        <f>IFERROR(__xludf.DUMMYFUNCTION("""COMPUTED_VALUE"""),"HUB-LSP-68")</f>
        <v>HUB-LSP-68</v>
      </c>
      <c r="D3667" s="234">
        <f>IFERROR(__xludf.DUMMYFUNCTION("""COMPUTED_VALUE"""),48.0)</f>
        <v>48</v>
      </c>
      <c r="E3667" s="245" t="str">
        <f>IFERROR(__xludf.DUMMYFUNCTION("""COMPUTED_VALUE"""),"LT0PCU01V8261")</f>
        <v>LT0PCU01V8261</v>
      </c>
      <c r="F3667" s="238" t="str">
        <f>IFERROR(__xludf.DUMMYFUNCTION("""COMPUTED_VALUE"""),"AHB3D37,JRB8H41")</f>
        <v>AHB3D37,JRB8H41</v>
      </c>
      <c r="G3667" s="238">
        <f>IFERROR(__xludf.DUMMYFUNCTION("""COMPUTED_VALUE"""),46021.93819444445)</f>
        <v>46021.93819</v>
      </c>
      <c r="H3667" s="238">
        <f>IFERROR(__xludf.DUMMYFUNCTION("""COMPUTED_VALUE"""),46022.02083333333)</f>
        <v>46022.02083</v>
      </c>
      <c r="I3667" s="237" t="str">
        <f t="shared" si="1"/>
        <v>Fora</v>
      </c>
      <c r="J3667" s="239">
        <v>119.99999999301508</v>
      </c>
    </row>
    <row r="3668">
      <c r="A3668" s="244" t="s">
        <v>4943</v>
      </c>
      <c r="B3668" s="234" t="str">
        <f>IFERROR(__xludf.DUMMYFUNCTION("""COMPUTED_VALUE"""),"LM Hub_SP_Piracicaba")</f>
        <v>LM Hub_SP_Piracicaba</v>
      </c>
      <c r="C3668" s="234" t="str">
        <f>IFERROR(__xludf.DUMMYFUNCTION("""COMPUTED_VALUE"""),"HUB-LSP-62")</f>
        <v>HUB-LSP-62</v>
      </c>
      <c r="D3668" s="234">
        <f>IFERROR(__xludf.DUMMYFUNCTION("""COMPUTED_VALUE"""),39.0)</f>
        <v>39</v>
      </c>
      <c r="E3668" s="245" t="str">
        <f>IFERROR(__xludf.DUMMYFUNCTION("""COMPUTED_VALUE"""),"LT0PCU01V8I71")</f>
        <v>LT0PCU01V8I71</v>
      </c>
      <c r="F3668" s="238" t="str">
        <f>IFERROR(__xludf.DUMMYFUNCTION("""COMPUTED_VALUE"""),"EOF4D32")</f>
        <v>EOF4D32</v>
      </c>
      <c r="G3668" s="238">
        <f>IFERROR(__xludf.DUMMYFUNCTION("""COMPUTED_VALUE"""),46021.9375)</f>
        <v>46021.9375</v>
      </c>
      <c r="H3668" s="238">
        <f>IFERROR(__xludf.DUMMYFUNCTION("""COMPUTED_VALUE"""),46022.02083333333)</f>
        <v>46022.02083</v>
      </c>
      <c r="I3668" s="237" t="str">
        <f t="shared" si="1"/>
        <v>Fora</v>
      </c>
      <c r="J3668" s="239">
        <v>119.99999999301508</v>
      </c>
    </row>
    <row r="3669">
      <c r="A3669" s="244" t="s">
        <v>4944</v>
      </c>
      <c r="B3669" s="234"/>
      <c r="C3669" s="234" t="str">
        <f>IFERROR(__xludf.DUMMYFUNCTION("""COMPUTED_VALUE"""),"-")</f>
        <v>-</v>
      </c>
      <c r="D3669" s="234">
        <f>IFERROR(__xludf.DUMMYFUNCTION("""COMPUTED_VALUE"""),37.0)</f>
        <v>37</v>
      </c>
      <c r="E3669" s="245" t="str">
        <f>IFERROR(__xludf.DUMMYFUNCTION("""COMPUTED_VALUE"""),"LT0PCU01V80U1")</f>
        <v>LT0PCU01V80U1</v>
      </c>
      <c r="F3669" s="238" t="str">
        <f>IFERROR(__xludf.DUMMYFUNCTION("""COMPUTED_VALUE"""),"GCS0J70")</f>
        <v>GCS0J70</v>
      </c>
      <c r="G3669" s="238">
        <f>IFERROR(__xludf.DUMMYFUNCTION("""COMPUTED_VALUE"""),46021.9375)</f>
        <v>46021.9375</v>
      </c>
      <c r="H3669" s="238">
        <f>IFERROR(__xludf.DUMMYFUNCTION("""COMPUTED_VALUE"""),46022.02083333333)</f>
        <v>46022.02083</v>
      </c>
      <c r="I3669" s="237" t="str">
        <f t="shared" si="1"/>
        <v>Fora</v>
      </c>
      <c r="J3669" s="239">
        <v>59.99999998603016</v>
      </c>
    </row>
    <row r="3670">
      <c r="A3670" s="244" t="s">
        <v>4945</v>
      </c>
      <c r="B3670" s="234" t="str">
        <f>IFERROR(__xludf.DUMMYFUNCTION("""COMPUTED_VALUE"""),"LM Hub_SP_Araraquara")</f>
        <v>LM Hub_SP_Araraquara</v>
      </c>
      <c r="C3670" s="234" t="str">
        <f>IFERROR(__xludf.DUMMYFUNCTION("""COMPUTED_VALUE"""),"HUB-LSP-29")</f>
        <v>HUB-LSP-29</v>
      </c>
      <c r="D3670" s="234">
        <f>IFERROR(__xludf.DUMMYFUNCTION("""COMPUTED_VALUE"""),41.0)</f>
        <v>41</v>
      </c>
      <c r="E3670" s="245" t="str">
        <f>IFERROR(__xludf.DUMMYFUNCTION("""COMPUTED_VALUE"""),"LT1PCU01VX6V2")</f>
        <v>LT1PCU01VX6V2</v>
      </c>
      <c r="F3670" s="238" t="str">
        <f>IFERROR(__xludf.DUMMYFUNCTION("""COMPUTED_VALUE"""),"DZE2I45")</f>
        <v>DZE2I45</v>
      </c>
      <c r="G3670" s="238">
        <f>IFERROR(__xludf.DUMMYFUNCTION("""COMPUTED_VALUE"""),46021.97916666667)</f>
        <v>46021.97917</v>
      </c>
      <c r="H3670" s="238">
        <f>IFERROR(__xludf.DUMMYFUNCTION("""COMPUTED_VALUE"""),46022.02083333333)</f>
        <v>46022.02083</v>
      </c>
      <c r="I3670" s="237" t="str">
        <f t="shared" si="1"/>
        <v>Fora</v>
      </c>
      <c r="J3670" s="239">
        <v>120.00000001396984</v>
      </c>
    </row>
    <row r="3671">
      <c r="A3671" s="244" t="s">
        <v>4946</v>
      </c>
      <c r="B3671" s="234"/>
      <c r="C3671" s="234" t="str">
        <f>IFERROR(__xludf.DUMMYFUNCTION("""COMPUTED_VALUE"""),"-")</f>
        <v>-</v>
      </c>
      <c r="D3671" s="234">
        <f>IFERROR(__xludf.DUMMYFUNCTION("""COMPUTED_VALUE"""),42.0)</f>
        <v>42</v>
      </c>
      <c r="E3671" s="245" t="str">
        <f>IFERROR(__xludf.DUMMYFUNCTION("""COMPUTED_VALUE"""),"LT0PCU01VCHD1")</f>
        <v>LT0PCU01VCHD1</v>
      </c>
      <c r="F3671" s="238" t="str">
        <f>IFERROR(__xludf.DUMMYFUNCTION("""COMPUTED_VALUE"""),"BVK2A99")</f>
        <v>BVK2A99</v>
      </c>
      <c r="G3671" s="238">
        <f>IFERROR(__xludf.DUMMYFUNCTION("""COMPUTED_VALUE"""),46021.95833333333)</f>
        <v>46021.95833</v>
      </c>
      <c r="H3671" s="238">
        <f>IFERROR(__xludf.DUMMYFUNCTION("""COMPUTED_VALUE"""),46022.04166666667)</f>
        <v>46022.04167</v>
      </c>
      <c r="I3671" s="237" t="str">
        <f t="shared" si="1"/>
        <v>Fora</v>
      </c>
      <c r="J3671" s="239">
        <v>120.00000001396984</v>
      </c>
    </row>
    <row r="3672">
      <c r="A3672" s="244" t="s">
        <v>4947</v>
      </c>
      <c r="B3672" s="234"/>
      <c r="C3672" s="234" t="str">
        <f>IFERROR(__xludf.DUMMYFUNCTION("""COMPUTED_VALUE"""),"-")</f>
        <v>-</v>
      </c>
      <c r="D3672" s="234">
        <f>IFERROR(__xludf.DUMMYFUNCTION("""COMPUTED_VALUE"""),114.0)</f>
        <v>114</v>
      </c>
      <c r="E3672" s="245" t="str">
        <f>IFERROR(__xludf.DUMMYFUNCTION("""COMPUTED_VALUE"""),"LT1PCU01VX8G1")</f>
        <v>LT1PCU01VX8G1</v>
      </c>
      <c r="F3672" s="238" t="str">
        <f>IFERROR(__xludf.DUMMYFUNCTION("""COMPUTED_VALUE"""),"EQN2H35")</f>
        <v>EQN2H35</v>
      </c>
      <c r="G3672" s="238">
        <f>IFERROR(__xludf.DUMMYFUNCTION("""COMPUTED_VALUE"""),46021.95833333333)</f>
        <v>46021.95833</v>
      </c>
      <c r="H3672" s="238">
        <f>IFERROR(__xludf.DUMMYFUNCTION("""COMPUTED_VALUE"""),46022.04166666667)</f>
        <v>46022.04167</v>
      </c>
      <c r="I3672" s="237" t="str">
        <f t="shared" si="1"/>
        <v>Fora</v>
      </c>
      <c r="J3672" s="239">
        <v>120.00000001396984</v>
      </c>
    </row>
    <row r="3673">
      <c r="A3673" s="244" t="s">
        <v>4948</v>
      </c>
      <c r="B3673" s="234"/>
      <c r="C3673" s="234" t="str">
        <f>IFERROR(__xludf.DUMMYFUNCTION("""COMPUTED_VALUE"""),"-")</f>
        <v>-</v>
      </c>
      <c r="D3673" s="234">
        <f>IFERROR(__xludf.DUMMYFUNCTION("""COMPUTED_VALUE"""),9.0)</f>
        <v>9</v>
      </c>
      <c r="E3673" s="245" t="str">
        <f>IFERROR(__xludf.DUMMYFUNCTION("""COMPUTED_VALUE"""),"LT1PCU01VXYV1")</f>
        <v>LT1PCU01VXYV1</v>
      </c>
      <c r="F3673" s="238" t="str">
        <f>IFERROR(__xludf.DUMMYFUNCTION("""COMPUTED_VALUE"""),"EGK9B97")</f>
        <v>EGK9B97</v>
      </c>
      <c r="G3673" s="238">
        <f>IFERROR(__xludf.DUMMYFUNCTION("""COMPUTED_VALUE"""),46021.95833333333)</f>
        <v>46021.95833</v>
      </c>
      <c r="H3673" s="238">
        <f>IFERROR(__xludf.DUMMYFUNCTION("""COMPUTED_VALUE"""),46022.04166666667)</f>
        <v>46022.04167</v>
      </c>
      <c r="I3673" s="237" t="str">
        <f t="shared" si="1"/>
        <v>Fora</v>
      </c>
      <c r="J3673" s="239">
        <v>120.00000001396984</v>
      </c>
    </row>
    <row r="3674">
      <c r="A3674" s="244" t="s">
        <v>4949</v>
      </c>
      <c r="B3674" s="234" t="str">
        <f>IFERROR(__xludf.DUMMYFUNCTION("""COMPUTED_VALUE"""),"LM Hub_RJ_Nova Iguaçu")</f>
        <v>LM Hub_RJ_Nova Iguaçu</v>
      </c>
      <c r="C3674" s="234" t="str">
        <f>IFERROR(__xludf.DUMMYFUNCTION("""COMPUTED_VALUE"""),"HUB-LRJ-27")</f>
        <v>HUB-LRJ-27</v>
      </c>
      <c r="D3674" s="234">
        <f>IFERROR(__xludf.DUMMYFUNCTION("""COMPUTED_VALUE"""),13.0)</f>
        <v>13</v>
      </c>
      <c r="E3674" s="245" t="str">
        <f>IFERROR(__xludf.DUMMYFUNCTION("""COMPUTED_VALUE"""),"LT0PCU01VBX91")</f>
        <v>LT0PCU01VBX91</v>
      </c>
      <c r="F3674" s="238" t="str">
        <f>IFERROR(__xludf.DUMMYFUNCTION("""COMPUTED_VALUE"""),"SVS9B84,TPP5D05")</f>
        <v>SVS9B84,TPP5D05</v>
      </c>
      <c r="G3674" s="238">
        <f>IFERROR(__xludf.DUMMYFUNCTION("""COMPUTED_VALUE"""),46021.95833333333)</f>
        <v>46021.95833</v>
      </c>
      <c r="H3674" s="238">
        <f>IFERROR(__xludf.DUMMYFUNCTION("""COMPUTED_VALUE"""),46022.04166666667)</f>
        <v>46022.04167</v>
      </c>
      <c r="I3674" s="237" t="str">
        <f t="shared" si="1"/>
        <v>Fora</v>
      </c>
      <c r="J3674" s="239">
        <v>120.00000001396984</v>
      </c>
    </row>
    <row r="3675">
      <c r="A3675" s="244" t="s">
        <v>4950</v>
      </c>
      <c r="B3675" s="234"/>
      <c r="C3675" s="234" t="str">
        <f>IFERROR(__xludf.DUMMYFUNCTION("""COMPUTED_VALUE"""),"-")</f>
        <v>-</v>
      </c>
      <c r="D3675" s="234">
        <f>IFERROR(__xludf.DUMMYFUNCTION("""COMPUTED_VALUE"""),16.0)</f>
        <v>16</v>
      </c>
      <c r="E3675" s="245" t="str">
        <f>IFERROR(__xludf.DUMMYFUNCTION("""COMPUTED_VALUE"""),"LT1PCU01VXWV1")</f>
        <v>LT1PCU01VXWV1</v>
      </c>
      <c r="F3675" s="238" t="str">
        <f>IFERROR(__xludf.DUMMYFUNCTION("""COMPUTED_VALUE"""),"EWJ2H21")</f>
        <v>EWJ2H21</v>
      </c>
      <c r="G3675" s="238">
        <f>IFERROR(__xludf.DUMMYFUNCTION("""COMPUTED_VALUE"""),46021.95833333333)</f>
        <v>46021.95833</v>
      </c>
      <c r="H3675" s="238">
        <f>IFERROR(__xludf.DUMMYFUNCTION("""COMPUTED_VALUE"""),46022.04166666667)</f>
        <v>46022.04167</v>
      </c>
      <c r="I3675" s="237" t="str">
        <f t="shared" si="1"/>
        <v>Fora</v>
      </c>
      <c r="J3675" s="239">
        <v>120.00000001396984</v>
      </c>
    </row>
    <row r="3676">
      <c r="A3676" s="244" t="s">
        <v>4951</v>
      </c>
      <c r="B3676" s="234"/>
      <c r="C3676" s="234" t="str">
        <f>IFERROR(__xludf.DUMMYFUNCTION("""COMPUTED_VALUE"""),"-")</f>
        <v>-</v>
      </c>
      <c r="D3676" s="234">
        <f>IFERROR(__xludf.DUMMYFUNCTION("""COMPUTED_VALUE"""),15.0)</f>
        <v>15</v>
      </c>
      <c r="E3676" s="245" t="str">
        <f>IFERROR(__xludf.DUMMYFUNCTION("""COMPUTED_VALUE"""),"LT0PCU01V8591")</f>
        <v>LT0PCU01V8591</v>
      </c>
      <c r="F3676" s="238" t="str">
        <f>IFERROR(__xludf.DUMMYFUNCTION("""COMPUTED_VALUE"""),"UAX1H40")</f>
        <v>UAX1H40</v>
      </c>
      <c r="G3676" s="238">
        <f>IFERROR(__xludf.DUMMYFUNCTION("""COMPUTED_VALUE"""),46021.95833333333)</f>
        <v>46021.95833</v>
      </c>
      <c r="H3676" s="238">
        <f>IFERROR(__xludf.DUMMYFUNCTION("""COMPUTED_VALUE"""),46022.04166666667)</f>
        <v>46022.04167</v>
      </c>
      <c r="I3676" s="237" t="str">
        <f t="shared" si="1"/>
        <v>Fora</v>
      </c>
      <c r="J3676" s="239">
        <v>120.00000001396984</v>
      </c>
    </row>
    <row r="3677">
      <c r="A3677" s="244" t="s">
        <v>4952</v>
      </c>
      <c r="B3677" s="234"/>
      <c r="C3677" s="234" t="str">
        <f>IFERROR(__xludf.DUMMYFUNCTION("""COMPUTED_VALUE"""),"-")</f>
        <v>-</v>
      </c>
      <c r="D3677" s="234">
        <f>IFERROR(__xludf.DUMMYFUNCTION("""COMPUTED_VALUE"""),36.0)</f>
        <v>36</v>
      </c>
      <c r="E3677" s="245" t="str">
        <f>IFERROR(__xludf.DUMMYFUNCTION("""COMPUTED_VALUE"""),"LT0PCU01V84S1")</f>
        <v>LT0PCU01V84S1</v>
      </c>
      <c r="F3677" s="238" t="str">
        <f>IFERROR(__xludf.DUMMYFUNCTION("""COMPUTED_VALUE"""),"GHB5H18")</f>
        <v>GHB5H18</v>
      </c>
      <c r="G3677" s="238">
        <f>IFERROR(__xludf.DUMMYFUNCTION("""COMPUTED_VALUE"""),46021.95833333333)</f>
        <v>46021.95833</v>
      </c>
      <c r="H3677" s="238">
        <f>IFERROR(__xludf.DUMMYFUNCTION("""COMPUTED_VALUE"""),46022.04166666667)</f>
        <v>46022.04167</v>
      </c>
      <c r="I3677" s="237" t="str">
        <f t="shared" si="1"/>
        <v>Fora</v>
      </c>
      <c r="J3677" s="239">
        <v>120.00000001396984</v>
      </c>
    </row>
    <row r="3678">
      <c r="A3678" s="244" t="s">
        <v>4953</v>
      </c>
      <c r="B3678" s="234" t="str">
        <f>IFERROR(__xludf.DUMMYFUNCTION("""COMPUTED_VALUE"""),"LM Hub_RJ_São João do Meriti")</f>
        <v>LM Hub_RJ_São João do Meriti</v>
      </c>
      <c r="C3678" s="234" t="str">
        <f>IFERROR(__xludf.DUMMYFUNCTION("""COMPUTED_VALUE"""),"HUB-LRJ-01")</f>
        <v>HUB-LRJ-01</v>
      </c>
      <c r="D3678" s="234">
        <f>IFERROR(__xludf.DUMMYFUNCTION("""COMPUTED_VALUE"""),5.0)</f>
        <v>5</v>
      </c>
      <c r="E3678" s="245" t="str">
        <f>IFERROR(__xludf.DUMMYFUNCTION("""COMPUTED_VALUE"""),"LT0PCU01VBXU1")</f>
        <v>LT0PCU01VBXU1</v>
      </c>
      <c r="F3678" s="238" t="str">
        <f>IFERROR(__xludf.DUMMYFUNCTION("""COMPUTED_VALUE"""),"GGC2A51,MQI2F16")</f>
        <v>GGC2A51,MQI2F16</v>
      </c>
      <c r="G3678" s="238">
        <f>IFERROR(__xludf.DUMMYFUNCTION("""COMPUTED_VALUE"""),46021.95833333333)</f>
        <v>46021.95833</v>
      </c>
      <c r="H3678" s="238">
        <f>IFERROR(__xludf.DUMMYFUNCTION("""COMPUTED_VALUE"""),46022.04166666667)</f>
        <v>46022.04167</v>
      </c>
      <c r="I3678" s="237" t="str">
        <f t="shared" si="1"/>
        <v>Fora</v>
      </c>
      <c r="J3678" s="239">
        <v>119.00000000023283</v>
      </c>
    </row>
    <row r="3679">
      <c r="A3679" s="244" t="s">
        <v>4954</v>
      </c>
      <c r="B3679" s="234"/>
      <c r="C3679" s="234" t="str">
        <f>IFERROR(__xludf.DUMMYFUNCTION("""COMPUTED_VALUE"""),"-")</f>
        <v>-</v>
      </c>
      <c r="D3679" s="234">
        <f>IFERROR(__xludf.DUMMYFUNCTION("""COMPUTED_VALUE"""),35.0)</f>
        <v>35</v>
      </c>
      <c r="E3679" s="245" t="str">
        <f>IFERROR(__xludf.DUMMYFUNCTION("""COMPUTED_VALUE"""),"LT0PCU01VAMI1")</f>
        <v>LT0PCU01VAMI1</v>
      </c>
      <c r="F3679" s="238" t="str">
        <f>IFERROR(__xludf.DUMMYFUNCTION("""COMPUTED_VALUE"""),"IZQ0D75")</f>
        <v>IZQ0D75</v>
      </c>
      <c r="G3679" s="238">
        <f>IFERROR(__xludf.DUMMYFUNCTION("""COMPUTED_VALUE"""),46021.97986111111)</f>
        <v>46021.97986</v>
      </c>
      <c r="H3679" s="238">
        <f>IFERROR(__xludf.DUMMYFUNCTION("""COMPUTED_VALUE"""),46022.0625)</f>
        <v>46022.0625</v>
      </c>
      <c r="I3679" s="237" t="str">
        <f t="shared" si="1"/>
        <v>Fora</v>
      </c>
      <c r="J3679" s="239">
        <v>119.99999999301508</v>
      </c>
    </row>
    <row r="3680">
      <c r="A3680" s="244" t="s">
        <v>4955</v>
      </c>
      <c r="B3680" s="234"/>
      <c r="C3680" s="234" t="str">
        <f>IFERROR(__xludf.DUMMYFUNCTION("""COMPUTED_VALUE"""),"-")</f>
        <v>-</v>
      </c>
      <c r="D3680" s="234">
        <f>IFERROR(__xludf.DUMMYFUNCTION("""COMPUTED_VALUE"""),14.0)</f>
        <v>14</v>
      </c>
      <c r="E3680" s="245" t="str">
        <f>IFERROR(__xludf.DUMMYFUNCTION("""COMPUTED_VALUE"""),"LT0PCU01V84U1")</f>
        <v>LT0PCU01V84U1</v>
      </c>
      <c r="F3680" s="238" t="str">
        <f>IFERROR(__xludf.DUMMYFUNCTION("""COMPUTED_VALUE"""),"FYZ2D15")</f>
        <v>FYZ2D15</v>
      </c>
      <c r="G3680" s="238">
        <f>IFERROR(__xludf.DUMMYFUNCTION("""COMPUTED_VALUE"""),46021.97916666667)</f>
        <v>46021.97917</v>
      </c>
      <c r="H3680" s="238">
        <f>IFERROR(__xludf.DUMMYFUNCTION("""COMPUTED_VALUE"""),46022.0625)</f>
        <v>46022.0625</v>
      </c>
      <c r="I3680" s="237" t="str">
        <f t="shared" si="1"/>
        <v>Fora</v>
      </c>
      <c r="J3680" s="239">
        <v>119.99999999301508</v>
      </c>
    </row>
    <row r="3681">
      <c r="A3681" s="244" t="s">
        <v>4956</v>
      </c>
      <c r="B3681" s="234"/>
      <c r="C3681" s="234" t="str">
        <f>IFERROR(__xludf.DUMMYFUNCTION("""COMPUTED_VALUE"""),"-")</f>
        <v>-</v>
      </c>
      <c r="D3681" s="234"/>
      <c r="E3681" s="245" t="str">
        <f>IFERROR(__xludf.DUMMYFUNCTION("""COMPUTED_VALUE"""),"LT1PCU01VY001")</f>
        <v>LT1PCU01VY001</v>
      </c>
      <c r="F3681" s="238" t="str">
        <f>IFERROR(__xludf.DUMMYFUNCTION("""COMPUTED_VALUE"""),"CUG9E35")</f>
        <v>CUG9E35</v>
      </c>
      <c r="G3681" s="238">
        <f>IFERROR(__xludf.DUMMYFUNCTION("""COMPUTED_VALUE"""),46021.97916666667)</f>
        <v>46021.97917</v>
      </c>
      <c r="H3681" s="238">
        <f>IFERROR(__xludf.DUMMYFUNCTION("""COMPUTED_VALUE"""),46022.0625)</f>
        <v>46022.0625</v>
      </c>
      <c r="I3681" s="237" t="str">
        <f t="shared" si="1"/>
        <v>Fora</v>
      </c>
      <c r="J3681" s="239">
        <v>119.00000000023283</v>
      </c>
    </row>
    <row r="3682">
      <c r="A3682" s="244" t="s">
        <v>4957</v>
      </c>
      <c r="B3682" s="234"/>
      <c r="C3682" s="234" t="str">
        <f>IFERROR(__xludf.DUMMYFUNCTION("""COMPUTED_VALUE"""),"-")</f>
        <v>-</v>
      </c>
      <c r="D3682" s="234">
        <f>IFERROR(__xludf.DUMMYFUNCTION("""COMPUTED_VALUE"""),7.0)</f>
        <v>7</v>
      </c>
      <c r="E3682" s="245" t="str">
        <f>IFERROR(__xludf.DUMMYFUNCTION("""COMPUTED_VALUE"""),"LT0PCU01V84B1")</f>
        <v>LT0PCU01V84B1</v>
      </c>
      <c r="F3682" s="238" t="str">
        <f>IFERROR(__xludf.DUMMYFUNCTION("""COMPUTED_VALUE"""),"RJG8E37")</f>
        <v>RJG8E37</v>
      </c>
      <c r="G3682" s="238">
        <f>IFERROR(__xludf.DUMMYFUNCTION("""COMPUTED_VALUE"""),46021.97986111111)</f>
        <v>46021.97986</v>
      </c>
      <c r="H3682" s="238">
        <f>IFERROR(__xludf.DUMMYFUNCTION("""COMPUTED_VALUE"""),46022.0625)</f>
        <v>46022.0625</v>
      </c>
      <c r="I3682" s="237" t="str">
        <f t="shared" si="1"/>
        <v>Fora</v>
      </c>
      <c r="J3682" s="239">
        <v>119.99999999301508</v>
      </c>
    </row>
    <row r="3683">
      <c r="A3683" s="244" t="s">
        <v>4958</v>
      </c>
      <c r="B3683" s="234"/>
      <c r="C3683" s="234" t="str">
        <f>IFERROR(__xludf.DUMMYFUNCTION("""COMPUTED_VALUE"""),"-")</f>
        <v>-</v>
      </c>
      <c r="D3683" s="234">
        <f>IFERROR(__xludf.DUMMYFUNCTION("""COMPUTED_VALUE"""),27.0)</f>
        <v>27</v>
      </c>
      <c r="E3683" s="245" t="str">
        <f>IFERROR(__xludf.DUMMYFUNCTION("""COMPUTED_VALUE"""),"LT0PCV01VBXH1")</f>
        <v>LT0PCV01VBXH1</v>
      </c>
      <c r="F3683" s="238" t="str">
        <f>IFERROR(__xludf.DUMMYFUNCTION("""COMPUTED_VALUE"""),"FPP5F94")</f>
        <v>FPP5F94</v>
      </c>
      <c r="G3683" s="238">
        <f>IFERROR(__xludf.DUMMYFUNCTION("""COMPUTED_VALUE"""),46022.0)</f>
        <v>46022</v>
      </c>
      <c r="H3683" s="238">
        <f>IFERROR(__xludf.DUMMYFUNCTION("""COMPUTED_VALUE"""),46022.08333333333)</f>
        <v>46022.08333</v>
      </c>
      <c r="I3683" s="237" t="str">
        <f t="shared" si="1"/>
        <v>Fora</v>
      </c>
      <c r="J3683" s="239">
        <v>119.99999999301508</v>
      </c>
    </row>
    <row r="3684">
      <c r="A3684" s="244" t="s">
        <v>4959</v>
      </c>
      <c r="B3684" s="234"/>
      <c r="C3684" s="234" t="str">
        <f>IFERROR(__xludf.DUMMYFUNCTION("""COMPUTED_VALUE"""),"-")</f>
        <v>-</v>
      </c>
      <c r="D3684" s="234"/>
      <c r="E3684" s="245" t="str">
        <f>IFERROR(__xludf.DUMMYFUNCTION("""COMPUTED_VALUE"""),"LT0PCV01VBXW1")</f>
        <v>LT0PCV01VBXW1</v>
      </c>
      <c r="F3684" s="238" t="str">
        <f>IFERROR(__xludf.DUMMYFUNCTION("""COMPUTED_VALUE"""),"EMT2B70")</f>
        <v>EMT2B70</v>
      </c>
      <c r="G3684" s="238">
        <f>IFERROR(__xludf.DUMMYFUNCTION("""COMPUTED_VALUE"""),46022.0)</f>
        <v>46022</v>
      </c>
      <c r="H3684" s="238">
        <f>IFERROR(__xludf.DUMMYFUNCTION("""COMPUTED_VALUE"""),46022.08333333333)</f>
        <v>46022.08333</v>
      </c>
      <c r="I3684" s="237" t="str">
        <f t="shared" si="1"/>
        <v>Fora</v>
      </c>
      <c r="J3684" s="239">
        <v>120.00000001396984</v>
      </c>
    </row>
    <row r="3685">
      <c r="A3685" s="244" t="s">
        <v>4960</v>
      </c>
      <c r="B3685" s="234"/>
      <c r="C3685" s="234" t="str">
        <f>IFERROR(__xludf.DUMMYFUNCTION("""COMPUTED_VALUE"""),"-")</f>
        <v>-</v>
      </c>
      <c r="D3685" s="234">
        <f>IFERROR(__xludf.DUMMYFUNCTION("""COMPUTED_VALUE"""),17.0)</f>
        <v>17</v>
      </c>
      <c r="E3685" s="245" t="str">
        <f>IFERROR(__xludf.DUMMYFUNCTION("""COMPUTED_VALUE"""),"LT0PCV01VBJK1")</f>
        <v>LT0PCV01VBJK1</v>
      </c>
      <c r="F3685" s="238" t="str">
        <f>IFERROR(__xludf.DUMMYFUNCTION("""COMPUTED_VALUE"""),"RUP3E58")</f>
        <v>RUP3E58</v>
      </c>
      <c r="G3685" s="238">
        <f>IFERROR(__xludf.DUMMYFUNCTION("""COMPUTED_VALUE"""),46022.02083333333)</f>
        <v>46022.02083</v>
      </c>
      <c r="H3685" s="238">
        <f>IFERROR(__xludf.DUMMYFUNCTION("""COMPUTED_VALUE"""),46022.10416666667)</f>
        <v>46022.10417</v>
      </c>
      <c r="I3685" s="237" t="str">
        <f t="shared" si="1"/>
        <v>Fora</v>
      </c>
      <c r="J3685" s="239">
        <v>119.99999999301508</v>
      </c>
    </row>
    <row r="3686">
      <c r="A3686" s="244" t="s">
        <v>4961</v>
      </c>
      <c r="B3686" s="234"/>
      <c r="C3686" s="234" t="str">
        <f>IFERROR(__xludf.DUMMYFUNCTION("""COMPUTED_VALUE"""),"-")</f>
        <v>-</v>
      </c>
      <c r="D3686" s="234"/>
      <c r="E3686" s="245" t="str">
        <f>IFERROR(__xludf.DUMMYFUNCTION("""COMPUTED_VALUE"""),"LT0PCV01V80C1")</f>
        <v>LT0PCV01V80C1</v>
      </c>
      <c r="F3686" s="238" t="str">
        <f>IFERROR(__xludf.DUMMYFUNCTION("""COMPUTED_VALUE"""),"SWP1G25")</f>
        <v>SWP1G25</v>
      </c>
      <c r="G3686" s="238">
        <f>IFERROR(__xludf.DUMMYFUNCTION("""COMPUTED_VALUE"""),46022.04166666667)</f>
        <v>46022.04167</v>
      </c>
      <c r="H3686" s="238">
        <f>IFERROR(__xludf.DUMMYFUNCTION("""COMPUTED_VALUE"""),46022.125)</f>
        <v>46022.125</v>
      </c>
      <c r="I3686" s="237" t="str">
        <f t="shared" si="1"/>
        <v>Fora</v>
      </c>
      <c r="J3686" s="239">
        <v>297.00000000419095</v>
      </c>
    </row>
    <row r="3687">
      <c r="A3687" s="244" t="s">
        <v>595</v>
      </c>
      <c r="B3687" s="234"/>
      <c r="C3687" s="234" t="str">
        <f>IFERROR(__xludf.DUMMYFUNCTION("""COMPUTED_VALUE"""),"-")</f>
        <v>-</v>
      </c>
      <c r="D3687" s="234">
        <f>IFERROR(__xludf.DUMMYFUNCTION("""COMPUTED_VALUE"""),96.0)</f>
        <v>96</v>
      </c>
      <c r="E3687" s="245" t="str">
        <f>IFERROR(__xludf.DUMMYFUNCTION("""COMPUTED_VALUE"""),"LT0PCU01VQKI1")</f>
        <v>LT0PCU01VQKI1</v>
      </c>
      <c r="F3687" s="238" t="str">
        <f>IFERROR(__xludf.DUMMYFUNCTION("""COMPUTED_VALUE"""),"PPL1H94")</f>
        <v>PPL1H94</v>
      </c>
      <c r="G3687" s="238">
        <f>IFERROR(__xludf.DUMMYFUNCTION("""COMPUTED_VALUE"""),46021.91875)</f>
        <v>46021.91875</v>
      </c>
      <c r="H3687" s="238">
        <f>IFERROR(__xludf.DUMMYFUNCTION("""COMPUTED_VALUE"""),46022.125)</f>
        <v>46022.125</v>
      </c>
      <c r="I3687" s="237" t="str">
        <f t="shared" si="1"/>
        <v>Fora</v>
      </c>
      <c r="J3687" s="239">
        <v>119.99999999301508</v>
      </c>
    </row>
    <row r="3688">
      <c r="A3688" s="244" t="s">
        <v>4962</v>
      </c>
      <c r="B3688" s="234"/>
      <c r="C3688" s="234" t="str">
        <f>IFERROR(__xludf.DUMMYFUNCTION("""COMPUTED_VALUE"""),"-")</f>
        <v>-</v>
      </c>
      <c r="D3688" s="234"/>
      <c r="E3688" s="245" t="str">
        <f>IFERROR(__xludf.DUMMYFUNCTION("""COMPUTED_VALUE"""),"LT0PCV01VBY41")</f>
        <v>LT0PCV01VBY41</v>
      </c>
      <c r="F3688" s="238" t="str">
        <f>IFERROR(__xludf.DUMMYFUNCTION("""COMPUTED_VALUE"""),"OVI3C62")</f>
        <v>OVI3C62</v>
      </c>
      <c r="G3688" s="238">
        <f>IFERROR(__xludf.DUMMYFUNCTION("""COMPUTED_VALUE"""),46022.04166666667)</f>
        <v>46022.04167</v>
      </c>
      <c r="H3688" s="238">
        <f>IFERROR(__xludf.DUMMYFUNCTION("""COMPUTED_VALUE"""),46022.125)</f>
        <v>46022.125</v>
      </c>
      <c r="I3688" s="237" t="str">
        <f t="shared" si="1"/>
        <v>Fora</v>
      </c>
      <c r="J3688" s="239">
        <v>120.00000001396984</v>
      </c>
    </row>
    <row r="3689">
      <c r="A3689" s="244" t="s">
        <v>4963</v>
      </c>
      <c r="B3689" s="234"/>
      <c r="C3689" s="234" t="str">
        <f>IFERROR(__xludf.DUMMYFUNCTION("""COMPUTED_VALUE"""),"-")</f>
        <v>-</v>
      </c>
      <c r="D3689" s="234">
        <f>IFERROR(__xludf.DUMMYFUNCTION("""COMPUTED_VALUE"""),13.0)</f>
        <v>13</v>
      </c>
      <c r="E3689" s="245" t="str">
        <f>IFERROR(__xludf.DUMMYFUNCTION("""COMPUTED_VALUE"""),"LT0PCV01V82I1")</f>
        <v>LT0PCV01V82I1</v>
      </c>
      <c r="F3689" s="238" t="str">
        <f>IFERROR(__xludf.DUMMYFUNCTION("""COMPUTED_VALUE"""),"FLO1G76")</f>
        <v>FLO1G76</v>
      </c>
      <c r="G3689" s="238">
        <f>IFERROR(__xludf.DUMMYFUNCTION("""COMPUTED_VALUE"""),46022.08333333333)</f>
        <v>46022.08333</v>
      </c>
      <c r="H3689" s="238">
        <f>IFERROR(__xludf.DUMMYFUNCTION("""COMPUTED_VALUE"""),46022.16666666667)</f>
        <v>46022.16667</v>
      </c>
      <c r="I3689" s="237" t="str">
        <f t="shared" si="1"/>
        <v>Fora</v>
      </c>
      <c r="J3689" s="239">
        <v>119.99999999301508</v>
      </c>
    </row>
    <row r="3690">
      <c r="A3690" s="244" t="s">
        <v>4964</v>
      </c>
      <c r="B3690" s="234"/>
      <c r="C3690" s="234" t="str">
        <f>IFERROR(__xludf.DUMMYFUNCTION("""COMPUTED_VALUE"""),"-")</f>
        <v>-</v>
      </c>
      <c r="D3690" s="234">
        <f>IFERROR(__xludf.DUMMYFUNCTION("""COMPUTED_VALUE"""),49.0)</f>
        <v>49</v>
      </c>
      <c r="E3690" s="245" t="str">
        <f>IFERROR(__xludf.DUMMYFUNCTION("""COMPUTED_VALUE"""),"LT0PCV01V82F1")</f>
        <v>LT0PCV01V82F1</v>
      </c>
      <c r="F3690" s="238" t="str">
        <f>IFERROR(__xludf.DUMMYFUNCTION("""COMPUTED_VALUE"""),"FLQ1E34")</f>
        <v>FLQ1E34</v>
      </c>
      <c r="G3690" s="238">
        <f>IFERROR(__xludf.DUMMYFUNCTION("""COMPUTED_VALUE"""),46022.10416666667)</f>
        <v>46022.10417</v>
      </c>
      <c r="H3690" s="238">
        <f>IFERROR(__xludf.DUMMYFUNCTION("""COMPUTED_VALUE"""),46022.1875)</f>
        <v>46022.1875</v>
      </c>
      <c r="I3690" s="237" t="str">
        <f t="shared" si="1"/>
        <v>Fora</v>
      </c>
      <c r="J3690" s="239">
        <v>119.99999999301508</v>
      </c>
    </row>
    <row r="3691">
      <c r="A3691" s="244" t="s">
        <v>4965</v>
      </c>
      <c r="B3691" s="234"/>
      <c r="C3691" s="234" t="str">
        <f>IFERROR(__xludf.DUMMYFUNCTION("""COMPUTED_VALUE"""),"-")</f>
        <v>-</v>
      </c>
      <c r="D3691" s="234">
        <f>IFERROR(__xludf.DUMMYFUNCTION("""COMPUTED_VALUE"""),5.0)</f>
        <v>5</v>
      </c>
      <c r="E3691" s="245" t="str">
        <f>IFERROR(__xludf.DUMMYFUNCTION("""COMPUTED_VALUE"""),"LT0PCV01V84I1")</f>
        <v>LT0PCV01V84I1</v>
      </c>
      <c r="F3691" s="238" t="str">
        <f>IFERROR(__xludf.DUMMYFUNCTION("""COMPUTED_VALUE"""),"EFO6B06")</f>
        <v>EFO6B06</v>
      </c>
      <c r="G3691" s="238">
        <f>IFERROR(__xludf.DUMMYFUNCTION("""COMPUTED_VALUE"""),46022.10416666667)</f>
        <v>46022.10417</v>
      </c>
      <c r="H3691" s="238">
        <f>IFERROR(__xludf.DUMMYFUNCTION("""COMPUTED_VALUE"""),46022.1875)</f>
        <v>46022.1875</v>
      </c>
      <c r="I3691" s="237" t="str">
        <f t="shared" si="1"/>
        <v>Fora</v>
      </c>
      <c r="J3691" s="239">
        <v>119.99999999301508</v>
      </c>
    </row>
    <row r="3692">
      <c r="A3692" s="244" t="s">
        <v>4966</v>
      </c>
      <c r="B3692" s="234"/>
      <c r="C3692" s="234" t="str">
        <f>IFERROR(__xludf.DUMMYFUNCTION("""COMPUTED_VALUE"""),"-")</f>
        <v>-</v>
      </c>
      <c r="D3692" s="234">
        <f>IFERROR(__xludf.DUMMYFUNCTION("""COMPUTED_VALUE"""),26.0)</f>
        <v>26</v>
      </c>
      <c r="E3692" s="245" t="str">
        <f>IFERROR(__xludf.DUMMYFUNCTION("""COMPUTED_VALUE"""),"LT0PCV01V82L1")</f>
        <v>LT0PCV01V82L1</v>
      </c>
      <c r="F3692" s="238" t="str">
        <f>IFERROR(__xludf.DUMMYFUNCTION("""COMPUTED_VALUE"""),"FCT0E94")</f>
        <v>FCT0E94</v>
      </c>
      <c r="G3692" s="238">
        <f>IFERROR(__xludf.DUMMYFUNCTION("""COMPUTED_VALUE"""),46022.125)</f>
        <v>46022.125</v>
      </c>
      <c r="H3692" s="238">
        <f>IFERROR(__xludf.DUMMYFUNCTION("""COMPUTED_VALUE"""),46022.20833333333)</f>
        <v>46022.20833</v>
      </c>
      <c r="I3692" s="237" t="str">
        <f t="shared" si="1"/>
        <v>Fora</v>
      </c>
      <c r="J3692" s="239">
        <v>119.99999999301508</v>
      </c>
    </row>
    <row r="3693">
      <c r="A3693" s="244" t="s">
        <v>4967</v>
      </c>
      <c r="B3693" s="234"/>
      <c r="C3693" s="234" t="str">
        <f>IFERROR(__xludf.DUMMYFUNCTION("""COMPUTED_VALUE"""),"-")</f>
        <v>-</v>
      </c>
      <c r="D3693" s="234">
        <f>IFERROR(__xludf.DUMMYFUNCTION("""COMPUTED_VALUE"""),14.0)</f>
        <v>14</v>
      </c>
      <c r="E3693" s="245" t="str">
        <f>IFERROR(__xludf.DUMMYFUNCTION("""COMPUTED_VALUE"""),"LT0PCV01VBH41")</f>
        <v>LT0PCV01VBH41</v>
      </c>
      <c r="F3693" s="238" t="str">
        <f>IFERROR(__xludf.DUMMYFUNCTION("""COMPUTED_VALUE"""),"FVG9C61")</f>
        <v>FVG9C61</v>
      </c>
      <c r="G3693" s="238">
        <f>IFERROR(__xludf.DUMMYFUNCTION("""COMPUTED_VALUE"""),46022.125)</f>
        <v>46022.125</v>
      </c>
      <c r="H3693" s="238">
        <f>IFERROR(__xludf.DUMMYFUNCTION("""COMPUTED_VALUE"""),46022.20833333333)</f>
        <v>46022.20833</v>
      </c>
      <c r="I3693" s="237" t="str">
        <f t="shared" si="1"/>
        <v>Fora</v>
      </c>
      <c r="J3693" s="239">
        <v>120.00000001396984</v>
      </c>
    </row>
    <row r="3694">
      <c r="A3694" s="244" t="s">
        <v>4968</v>
      </c>
      <c r="B3694" s="234"/>
      <c r="C3694" s="234" t="str">
        <f>IFERROR(__xludf.DUMMYFUNCTION("""COMPUTED_VALUE"""),"-")</f>
        <v>-</v>
      </c>
      <c r="D3694" s="234">
        <f>IFERROR(__xludf.DUMMYFUNCTION("""COMPUTED_VALUE"""),35.0)</f>
        <v>35</v>
      </c>
      <c r="E3694" s="245" t="str">
        <f>IFERROR(__xludf.DUMMYFUNCTION("""COMPUTED_VALUE"""),"LT0PCV01V84P1")</f>
        <v>LT0PCV01V84P1</v>
      </c>
      <c r="F3694" s="238" t="str">
        <f>IFERROR(__xludf.DUMMYFUNCTION("""COMPUTED_VALUE"""),"DCU9C23")</f>
        <v>DCU9C23</v>
      </c>
      <c r="G3694" s="238">
        <f>IFERROR(__xludf.DUMMYFUNCTION("""COMPUTED_VALUE"""),46022.14583333333)</f>
        <v>46022.14583</v>
      </c>
      <c r="H3694" s="238">
        <f>IFERROR(__xludf.DUMMYFUNCTION("""COMPUTED_VALUE"""),46022.22916666667)</f>
        <v>46022.22917</v>
      </c>
      <c r="I3694" s="237" t="str">
        <f t="shared" si="1"/>
        <v>Fora</v>
      </c>
      <c r="J3694" s="239">
        <v>120.00000001396984</v>
      </c>
    </row>
    <row r="3695">
      <c r="A3695" s="244" t="s">
        <v>4969</v>
      </c>
      <c r="B3695" s="234"/>
      <c r="C3695" s="234" t="str">
        <f>IFERROR(__xludf.DUMMYFUNCTION("""COMPUTED_VALUE"""),"-")</f>
        <v>-</v>
      </c>
      <c r="D3695" s="234">
        <f>IFERROR(__xludf.DUMMYFUNCTION("""COMPUTED_VALUE"""),28.0)</f>
        <v>28</v>
      </c>
      <c r="E3695" s="245" t="str">
        <f>IFERROR(__xludf.DUMMYFUNCTION("""COMPUTED_VALUE"""),"LT0PCV01V8S61")</f>
        <v>LT0PCV01V8S61</v>
      </c>
      <c r="F3695" s="238" t="str">
        <f>IFERROR(__xludf.DUMMYFUNCTION("""COMPUTED_VALUE"""),"EGJ5D59")</f>
        <v>EGJ5D59</v>
      </c>
      <c r="G3695" s="238">
        <f>IFERROR(__xludf.DUMMYFUNCTION("""COMPUTED_VALUE"""),46022.14583333333)</f>
        <v>46022.14583</v>
      </c>
      <c r="H3695" s="238">
        <f>IFERROR(__xludf.DUMMYFUNCTION("""COMPUTED_VALUE"""),46022.22916666667)</f>
        <v>46022.22917</v>
      </c>
      <c r="I3695" s="237" t="str">
        <f t="shared" si="1"/>
        <v>Fora</v>
      </c>
      <c r="J3695" s="239">
        <v>118.00000000745058</v>
      </c>
    </row>
    <row r="3696">
      <c r="A3696" s="244" t="s">
        <v>4970</v>
      </c>
      <c r="B3696" s="234"/>
      <c r="C3696" s="234" t="str">
        <f>IFERROR(__xludf.DUMMYFUNCTION("""COMPUTED_VALUE"""),"-")</f>
        <v>-</v>
      </c>
      <c r="D3696" s="234">
        <f>IFERROR(__xludf.DUMMYFUNCTION("""COMPUTED_VALUE"""),6.0)</f>
        <v>6</v>
      </c>
      <c r="E3696" s="245" t="str">
        <f>IFERROR(__xludf.DUMMYFUNCTION("""COMPUTED_VALUE"""),"LT0PCV01V83R1")</f>
        <v>LT0PCV01V83R1</v>
      </c>
      <c r="F3696" s="238" t="str">
        <f>IFERROR(__xludf.DUMMYFUNCTION("""COMPUTED_VALUE"""),"ESU4F58")</f>
        <v>ESU4F58</v>
      </c>
      <c r="G3696" s="238">
        <f>IFERROR(__xludf.DUMMYFUNCTION("""COMPUTED_VALUE"""),46022.14722222222)</f>
        <v>46022.14722</v>
      </c>
      <c r="H3696" s="238">
        <f>IFERROR(__xludf.DUMMYFUNCTION("""COMPUTED_VALUE"""),46022.22916666667)</f>
        <v>46022.22917</v>
      </c>
      <c r="I3696" s="237" t="str">
        <f t="shared" si="1"/>
        <v>Fora</v>
      </c>
      <c r="J3696" s="239">
        <v>120.00000001396984</v>
      </c>
    </row>
    <row r="3697">
      <c r="A3697" s="244" t="s">
        <v>4971</v>
      </c>
      <c r="B3697" s="234"/>
      <c r="C3697" s="234" t="str">
        <f>IFERROR(__xludf.DUMMYFUNCTION("""COMPUTED_VALUE"""),"-")</f>
        <v>-</v>
      </c>
      <c r="D3697" s="234">
        <f>IFERROR(__xludf.DUMMYFUNCTION("""COMPUTED_VALUE"""),8.0)</f>
        <v>8</v>
      </c>
      <c r="E3697" s="245" t="str">
        <f>IFERROR(__xludf.DUMMYFUNCTION("""COMPUTED_VALUE"""),"LT0PCV01V85C1")</f>
        <v>LT0PCV01V85C1</v>
      </c>
      <c r="F3697" s="238" t="str">
        <f>IFERROR(__xludf.DUMMYFUNCTION("""COMPUTED_VALUE"""),"GCJ6G71")</f>
        <v>GCJ6G71</v>
      </c>
      <c r="G3697" s="238">
        <f>IFERROR(__xludf.DUMMYFUNCTION("""COMPUTED_VALUE"""),46022.14583333333)</f>
        <v>46022.14583</v>
      </c>
      <c r="H3697" s="238">
        <f>IFERROR(__xludf.DUMMYFUNCTION("""COMPUTED_VALUE"""),46022.22916666667)</f>
        <v>46022.22917</v>
      </c>
      <c r="I3697" s="237" t="str">
        <f t="shared" si="1"/>
        <v>Fora</v>
      </c>
      <c r="J3697" s="239">
        <v>119.99999999301508</v>
      </c>
    </row>
    <row r="3698">
      <c r="A3698" s="244" t="s">
        <v>4972</v>
      </c>
      <c r="B3698" s="234"/>
      <c r="C3698" s="234" t="str">
        <f>IFERROR(__xludf.DUMMYFUNCTION("""COMPUTED_VALUE"""),"-")</f>
        <v>-</v>
      </c>
      <c r="D3698" s="234">
        <f>IFERROR(__xludf.DUMMYFUNCTION("""COMPUTED_VALUE"""),9.0)</f>
        <v>9</v>
      </c>
      <c r="E3698" s="245" t="str">
        <f>IFERROR(__xludf.DUMMYFUNCTION("""COMPUTED_VALUE"""),"LT0PCV01V8461")</f>
        <v>LT0PCV01V8461</v>
      </c>
      <c r="F3698" s="238" t="str">
        <f>IFERROR(__xludf.DUMMYFUNCTION("""COMPUTED_VALUE"""),"QOP6827")</f>
        <v>QOP6827</v>
      </c>
      <c r="G3698" s="238">
        <f>IFERROR(__xludf.DUMMYFUNCTION("""COMPUTED_VALUE"""),46022.16666666667)</f>
        <v>46022.16667</v>
      </c>
      <c r="H3698" s="238">
        <f>IFERROR(__xludf.DUMMYFUNCTION("""COMPUTED_VALUE"""),46022.25)</f>
        <v>46022.25</v>
      </c>
      <c r="I3698" s="237" t="str">
        <f t="shared" si="1"/>
        <v>Fora</v>
      </c>
      <c r="J3698" s="239">
        <v>119.99999999301508</v>
      </c>
    </row>
    <row r="3699">
      <c r="A3699" s="244" t="s">
        <v>4973</v>
      </c>
      <c r="B3699" s="234"/>
      <c r="C3699" s="234" t="str">
        <f>IFERROR(__xludf.DUMMYFUNCTION("""COMPUTED_VALUE"""),"-")</f>
        <v>-</v>
      </c>
      <c r="D3699" s="234"/>
      <c r="E3699" s="245" t="str">
        <f>IFERROR(__xludf.DUMMYFUNCTION("""COMPUTED_VALUE"""),"LT0PCV01V83Z1")</f>
        <v>LT0PCV01V83Z1</v>
      </c>
      <c r="F3699" s="238" t="str">
        <f>IFERROR(__xludf.DUMMYFUNCTION("""COMPUTED_VALUE"""),"TAJ5D50")</f>
        <v>TAJ5D50</v>
      </c>
      <c r="G3699" s="238">
        <f>IFERROR(__xludf.DUMMYFUNCTION("""COMPUTED_VALUE"""),46022.16666666667)</f>
        <v>46022.16667</v>
      </c>
      <c r="H3699" s="238">
        <f>IFERROR(__xludf.DUMMYFUNCTION("""COMPUTED_VALUE"""),46022.25)</f>
        <v>46022.25</v>
      </c>
      <c r="I3699" s="237" t="str">
        <f t="shared" si="1"/>
        <v>Fora</v>
      </c>
      <c r="J3699" s="239">
        <v>119.99999999301508</v>
      </c>
    </row>
    <row r="3700">
      <c r="A3700" s="244" t="s">
        <v>4974</v>
      </c>
      <c r="B3700" s="234"/>
      <c r="C3700" s="234" t="str">
        <f>IFERROR(__xludf.DUMMYFUNCTION("""COMPUTED_VALUE"""),"-")</f>
        <v>-</v>
      </c>
      <c r="D3700" s="234">
        <f>IFERROR(__xludf.DUMMYFUNCTION("""COMPUTED_VALUE"""),12.0)</f>
        <v>12</v>
      </c>
      <c r="E3700" s="245" t="str">
        <f>IFERROR(__xludf.DUMMYFUNCTION("""COMPUTED_VALUE"""),"LT0PCV01V82Z1")</f>
        <v>LT0PCV01V82Z1</v>
      </c>
      <c r="F3700" s="238" t="str">
        <f>IFERROR(__xludf.DUMMYFUNCTION("""COMPUTED_VALUE"""),"MTB1C44")</f>
        <v>MTB1C44</v>
      </c>
      <c r="G3700" s="238">
        <f>IFERROR(__xludf.DUMMYFUNCTION("""COMPUTED_VALUE"""),46022.16666666667)</f>
        <v>46022.16667</v>
      </c>
      <c r="H3700" s="238">
        <f>IFERROR(__xludf.DUMMYFUNCTION("""COMPUTED_VALUE"""),46022.25)</f>
        <v>46022.25</v>
      </c>
      <c r="I3700" s="237" t="str">
        <f t="shared" si="1"/>
        <v>Fora</v>
      </c>
      <c r="J3700" s="239">
        <v>119.99999999301508</v>
      </c>
    </row>
    <row r="3701">
      <c r="A3701" s="244" t="s">
        <v>576</v>
      </c>
      <c r="B3701" s="234"/>
      <c r="C3701" s="234" t="str">
        <f>IFERROR(__xludf.DUMMYFUNCTION("""COMPUTED_VALUE"""),"-")</f>
        <v>-</v>
      </c>
      <c r="D3701" s="234">
        <f>IFERROR(__xludf.DUMMYFUNCTION("""COMPUTED_VALUE"""),15.0)</f>
        <v>15</v>
      </c>
      <c r="E3701" s="245" t="str">
        <f>IFERROR(__xludf.DUMMYFUNCTION("""COMPUTED_VALUE"""),"LT0PCV01V8SX1")</f>
        <v>LT0PCV01V8SX1</v>
      </c>
      <c r="F3701" s="238" t="str">
        <f>IFERROR(__xludf.DUMMYFUNCTION("""COMPUTED_VALUE"""),"CLU2E90")</f>
        <v>CLU2E90</v>
      </c>
      <c r="G3701" s="238">
        <f>IFERROR(__xludf.DUMMYFUNCTION("""COMPUTED_VALUE"""),46022.1875)</f>
        <v>46022.1875</v>
      </c>
      <c r="H3701" s="238">
        <f>IFERROR(__xludf.DUMMYFUNCTION("""COMPUTED_VALUE"""),46022.27083333333)</f>
        <v>46022.27083</v>
      </c>
      <c r="I3701" s="237" t="str">
        <f t="shared" si="1"/>
        <v>Fora</v>
      </c>
      <c r="J3701" s="239">
        <v>119.99999999301508</v>
      </c>
    </row>
    <row r="3702">
      <c r="A3702" s="244" t="s">
        <v>577</v>
      </c>
      <c r="B3702" s="234"/>
      <c r="C3702" s="234" t="str">
        <f>IFERROR(__xludf.DUMMYFUNCTION("""COMPUTED_VALUE"""),"-")</f>
        <v>-</v>
      </c>
      <c r="D3702" s="234">
        <f>IFERROR(__xludf.DUMMYFUNCTION("""COMPUTED_VALUE"""),34.0)</f>
        <v>34</v>
      </c>
      <c r="E3702" s="245" t="str">
        <f>IFERROR(__xludf.DUMMYFUNCTION("""COMPUTED_VALUE"""),"LT0PCV01VAMD1")</f>
        <v>LT0PCV01VAMD1</v>
      </c>
      <c r="F3702" s="238" t="str">
        <f>IFERROR(__xludf.DUMMYFUNCTION("""COMPUTED_VALUE"""),"FTQ6C55")</f>
        <v>FTQ6C55</v>
      </c>
      <c r="G3702" s="238">
        <f>IFERROR(__xludf.DUMMYFUNCTION("""COMPUTED_VALUE"""),46022.1875)</f>
        <v>46022.1875</v>
      </c>
      <c r="H3702" s="238">
        <f>IFERROR(__xludf.DUMMYFUNCTION("""COMPUTED_VALUE"""),46022.27083333333)</f>
        <v>46022.27083</v>
      </c>
      <c r="I3702" s="237" t="str">
        <f t="shared" si="1"/>
        <v>Fora</v>
      </c>
      <c r="J3702" s="239">
        <v>120.00000001396984</v>
      </c>
    </row>
    <row r="3703">
      <c r="A3703" s="244" t="s">
        <v>579</v>
      </c>
      <c r="B3703" s="234"/>
      <c r="C3703" s="234" t="str">
        <f>IFERROR(__xludf.DUMMYFUNCTION("""COMPUTED_VALUE"""),"-")</f>
        <v>-</v>
      </c>
      <c r="D3703" s="234">
        <f>IFERROR(__xludf.DUMMYFUNCTION("""COMPUTED_VALUE"""),18.0)</f>
        <v>18</v>
      </c>
      <c r="E3703" s="245" t="str">
        <f>IFERROR(__xludf.DUMMYFUNCTION("""COMPUTED_VALUE"""),"LT0PCV01VBJR1")</f>
        <v>LT0PCV01VBJR1</v>
      </c>
      <c r="F3703" s="238" t="str">
        <f>IFERROR(__xludf.DUMMYFUNCTION("""COMPUTED_VALUE"""),"TIZ8A99")</f>
        <v>TIZ8A99</v>
      </c>
      <c r="G3703" s="238">
        <f>IFERROR(__xludf.DUMMYFUNCTION("""COMPUTED_VALUE"""),46022.20833333333)</f>
        <v>46022.20833</v>
      </c>
      <c r="H3703" s="238">
        <f>IFERROR(__xludf.DUMMYFUNCTION("""COMPUTED_VALUE"""),46022.29166666667)</f>
        <v>46022.29167</v>
      </c>
      <c r="I3703" s="237" t="str">
        <f t="shared" si="1"/>
        <v>Fora</v>
      </c>
      <c r="J3703" s="239">
        <v>120.00000001396984</v>
      </c>
    </row>
    <row r="3704">
      <c r="A3704" s="234" t="s">
        <v>580</v>
      </c>
      <c r="B3704" s="234"/>
      <c r="C3704" s="234" t="str">
        <f>IFERROR(__xludf.DUMMYFUNCTION("""COMPUTED_VALUE"""),"-")</f>
        <v>-</v>
      </c>
      <c r="D3704" s="234">
        <f>IFERROR(__xludf.DUMMYFUNCTION("""COMPUTED_VALUE"""),36.0)</f>
        <v>36</v>
      </c>
      <c r="E3704" s="237" t="str">
        <f>IFERROR(__xludf.DUMMYFUNCTION("""COMPUTED_VALUE"""),"LT0PCV01VCHA1")</f>
        <v>LT0PCV01VCHA1</v>
      </c>
      <c r="F3704" s="238" t="str">
        <f>IFERROR(__xludf.DUMMYFUNCTION("""COMPUTED_VALUE"""),"-")</f>
        <v>-</v>
      </c>
      <c r="G3704" s="238">
        <f>IFERROR(__xludf.DUMMYFUNCTION("""COMPUTED_VALUE"""),46022.20833333333)</f>
        <v>46022.20833</v>
      </c>
      <c r="H3704" s="238">
        <f>IFERROR(__xludf.DUMMYFUNCTION("""COMPUTED_VALUE"""),46022.29166666667)</f>
        <v>46022.29167</v>
      </c>
      <c r="I3704" s="237" t="str">
        <f t="shared" si="1"/>
        <v>Fora</v>
      </c>
      <c r="J3704" s="239">
        <v>119.99999999301508</v>
      </c>
    </row>
    <row r="3705">
      <c r="A3705" s="244" t="s">
        <v>581</v>
      </c>
      <c r="B3705" s="234"/>
      <c r="C3705" s="234" t="str">
        <f>IFERROR(__xludf.DUMMYFUNCTION("""COMPUTED_VALUE"""),"-")</f>
        <v>-</v>
      </c>
      <c r="D3705" s="234"/>
      <c r="E3705" s="245" t="str">
        <f>IFERROR(__xludf.DUMMYFUNCTION("""COMPUTED_VALUE"""),"LT0PCV01V8SD1")</f>
        <v>LT0PCV01V8SD1</v>
      </c>
      <c r="F3705" s="238" t="str">
        <f>IFERROR(__xludf.DUMMYFUNCTION("""COMPUTED_VALUE"""),"CYT4D62")</f>
        <v>CYT4D62</v>
      </c>
      <c r="G3705" s="238">
        <f>IFERROR(__xludf.DUMMYFUNCTION("""COMPUTED_VALUE"""),46022.22916666667)</f>
        <v>46022.22917</v>
      </c>
      <c r="H3705" s="238">
        <f>IFERROR(__xludf.DUMMYFUNCTION("""COMPUTED_VALUE"""),46022.3125)</f>
        <v>46022.3125</v>
      </c>
      <c r="I3705" s="237" t="str">
        <f t="shared" si="1"/>
        <v>Fora</v>
      </c>
      <c r="J3705" s="239">
        <v>119.99999999301508</v>
      </c>
    </row>
    <row r="3706">
      <c r="A3706" s="244" t="s">
        <v>582</v>
      </c>
      <c r="B3706" s="234"/>
      <c r="C3706" s="234" t="str">
        <f>IFERROR(__xludf.DUMMYFUNCTION("""COMPUTED_VALUE"""),"-")</f>
        <v>-</v>
      </c>
      <c r="D3706" s="234">
        <f>IFERROR(__xludf.DUMMYFUNCTION("""COMPUTED_VALUE"""),7.0)</f>
        <v>7</v>
      </c>
      <c r="E3706" s="245" t="str">
        <f>IFERROR(__xludf.DUMMYFUNCTION("""COMPUTED_VALUE"""),"LT0PCV01V8SJ1")</f>
        <v>LT0PCV01V8SJ1</v>
      </c>
      <c r="F3706" s="238" t="str">
        <f>IFERROR(__xludf.DUMMYFUNCTION("""COMPUTED_VALUE"""),"BZL9H33")</f>
        <v>BZL9H33</v>
      </c>
      <c r="G3706" s="238">
        <f>IFERROR(__xludf.DUMMYFUNCTION("""COMPUTED_VALUE"""),46022.22916666667)</f>
        <v>46022.22917</v>
      </c>
      <c r="H3706" s="238">
        <f>IFERROR(__xludf.DUMMYFUNCTION("""COMPUTED_VALUE"""),46022.3125)</f>
        <v>46022.3125</v>
      </c>
      <c r="I3706" s="237" t="str">
        <f t="shared" si="1"/>
        <v>Fora</v>
      </c>
      <c r="J3706" s="239">
        <v>119.99999999301508</v>
      </c>
    </row>
    <row r="3707">
      <c r="A3707" s="244" t="s">
        <v>583</v>
      </c>
      <c r="B3707" s="234"/>
      <c r="C3707" s="234" t="str">
        <f>IFERROR(__xludf.DUMMYFUNCTION("""COMPUTED_VALUE"""),"-")</f>
        <v>-</v>
      </c>
      <c r="D3707" s="234">
        <f>IFERROR(__xludf.DUMMYFUNCTION("""COMPUTED_VALUE"""),14.0)</f>
        <v>14</v>
      </c>
      <c r="E3707" s="245" t="str">
        <f>IFERROR(__xludf.DUMMYFUNCTION("""COMPUTED_VALUE"""),"LT0PCV01V81N1")</f>
        <v>LT0PCV01V81N1</v>
      </c>
      <c r="F3707" s="238" t="str">
        <f>IFERROR(__xludf.DUMMYFUNCTION("""COMPUTED_VALUE"""),"CUC6J82")</f>
        <v>CUC6J82</v>
      </c>
      <c r="G3707" s="238">
        <f>IFERROR(__xludf.DUMMYFUNCTION("""COMPUTED_VALUE"""),46022.22916666667)</f>
        <v>46022.22917</v>
      </c>
      <c r="H3707" s="238">
        <f>IFERROR(__xludf.DUMMYFUNCTION("""COMPUTED_VALUE"""),46022.3125)</f>
        <v>46022.3125</v>
      </c>
      <c r="I3707" s="237" t="str">
        <f t="shared" si="1"/>
        <v>Fora</v>
      </c>
      <c r="J3707" s="239">
        <v>119.99999999301508</v>
      </c>
    </row>
    <row r="3708">
      <c r="A3708" s="244" t="s">
        <v>584</v>
      </c>
      <c r="B3708" s="234"/>
      <c r="C3708" s="234" t="str">
        <f>IFERROR(__xludf.DUMMYFUNCTION("""COMPUTED_VALUE"""),"-")</f>
        <v>-</v>
      </c>
      <c r="D3708" s="234">
        <f>IFERROR(__xludf.DUMMYFUNCTION("""COMPUTED_VALUE"""),33.0)</f>
        <v>33</v>
      </c>
      <c r="E3708" s="245" t="str">
        <f>IFERROR(__xludf.DUMMYFUNCTION("""COMPUTED_VALUE"""),"LT0PCV01V8SG1")</f>
        <v>LT0PCV01V8SG1</v>
      </c>
      <c r="F3708" s="238" t="str">
        <f>IFERROR(__xludf.DUMMYFUNCTION("""COMPUTED_VALUE"""),"SVL5H32")</f>
        <v>SVL5H32</v>
      </c>
      <c r="G3708" s="238">
        <f>IFERROR(__xludf.DUMMYFUNCTION("""COMPUTED_VALUE"""),46022.22916666667)</f>
        <v>46022.22917</v>
      </c>
      <c r="H3708" s="238">
        <f>IFERROR(__xludf.DUMMYFUNCTION("""COMPUTED_VALUE"""),46022.3125)</f>
        <v>46022.3125</v>
      </c>
      <c r="I3708" s="237" t="str">
        <f t="shared" si="1"/>
        <v>Fora</v>
      </c>
      <c r="J3708" s="239">
        <v>120.00000001396984</v>
      </c>
    </row>
    <row r="3709">
      <c r="A3709" s="244" t="s">
        <v>578</v>
      </c>
      <c r="B3709" s="234"/>
      <c r="C3709" s="234" t="str">
        <f>IFERROR(__xludf.DUMMYFUNCTION("""COMPUTED_VALUE"""),"-")</f>
        <v>-</v>
      </c>
      <c r="D3709" s="234"/>
      <c r="E3709" s="245" t="str">
        <f>IFERROR(__xludf.DUMMYFUNCTION("""COMPUTED_VALUE"""),"LT0PCV01V8I31")</f>
        <v>LT0PCV01V8I31</v>
      </c>
      <c r="F3709" s="238" t="str">
        <f>IFERROR(__xludf.DUMMYFUNCTION("""COMPUTED_VALUE"""),"OMY3I62")</f>
        <v>OMY3I62</v>
      </c>
      <c r="G3709" s="238">
        <f>IFERROR(__xludf.DUMMYFUNCTION("""COMPUTED_VALUE"""),46022.20833333333)</f>
        <v>46022.20833</v>
      </c>
      <c r="H3709" s="238">
        <f>IFERROR(__xludf.DUMMYFUNCTION("""COMPUTED_VALUE"""),46022.29166666667)</f>
        <v>46022.29167</v>
      </c>
      <c r="I3709" s="237" t="str">
        <f t="shared" si="1"/>
        <v>Fora</v>
      </c>
      <c r="J3709" s="239">
        <v>119.99999999301508</v>
      </c>
    </row>
    <row r="3710">
      <c r="A3710" s="244" t="s">
        <v>4975</v>
      </c>
      <c r="B3710" s="234"/>
      <c r="C3710" s="234" t="str">
        <f>IFERROR(__xludf.DUMMYFUNCTION("""COMPUTED_VALUE"""),"-")</f>
        <v>-</v>
      </c>
      <c r="D3710" s="234"/>
      <c r="E3710" s="245" t="str">
        <f>IFERROR(__xludf.DUMMYFUNCTION("""COMPUTED_VALUE"""),"LT0PCV01V8RV1")</f>
        <v>LT0PCV01V8RV1</v>
      </c>
      <c r="F3710" s="238" t="str">
        <f>IFERROR(__xludf.DUMMYFUNCTION("""COMPUTED_VALUE"""),"IYS3C29")</f>
        <v>IYS3C29</v>
      </c>
      <c r="G3710" s="238">
        <f>IFERROR(__xludf.DUMMYFUNCTION("""COMPUTED_VALUE"""),46022.25)</f>
        <v>46022.25</v>
      </c>
      <c r="H3710" s="238">
        <f>IFERROR(__xludf.DUMMYFUNCTION("""COMPUTED_VALUE"""),46022.33333333333)</f>
        <v>46022.33333</v>
      </c>
      <c r="I3710" s="237" t="str">
        <f t="shared" si="1"/>
        <v>Fora</v>
      </c>
      <c r="J3710" s="239">
        <v>118.99999998975545</v>
      </c>
    </row>
    <row r="3711">
      <c r="A3711" s="244" t="s">
        <v>4976</v>
      </c>
      <c r="B3711" s="234"/>
      <c r="C3711" s="234" t="str">
        <f>IFERROR(__xludf.DUMMYFUNCTION("""COMPUTED_VALUE"""),"-")</f>
        <v>-</v>
      </c>
      <c r="D3711" s="234"/>
      <c r="E3711" s="245" t="str">
        <f>IFERROR(__xludf.DUMMYFUNCTION("""COMPUTED_VALUE"""),"LT0PCV01V8SS1")</f>
        <v>LT0PCV01V8SS1</v>
      </c>
      <c r="F3711" s="238" t="str">
        <f>IFERROR(__xludf.DUMMYFUNCTION("""COMPUTED_VALUE"""),"EPU0B18")</f>
        <v>EPU0B18</v>
      </c>
      <c r="G3711" s="238">
        <f>IFERROR(__xludf.DUMMYFUNCTION("""COMPUTED_VALUE"""),46022.25069444445)</f>
        <v>46022.25069</v>
      </c>
      <c r="H3711" s="238">
        <f>IFERROR(__xludf.DUMMYFUNCTION("""COMPUTED_VALUE"""),46022.33333333333)</f>
        <v>46022.33333</v>
      </c>
      <c r="I3711" s="237" t="str">
        <f t="shared" si="1"/>
        <v>Fora</v>
      </c>
      <c r="J3711" s="239">
        <v>117.99999998649582</v>
      </c>
    </row>
    <row r="3712">
      <c r="A3712" s="244" t="s">
        <v>4977</v>
      </c>
      <c r="B3712" s="234"/>
      <c r="C3712" s="234" t="str">
        <f>IFERROR(__xludf.DUMMYFUNCTION("""COMPUTED_VALUE"""),"-")</f>
        <v>-</v>
      </c>
      <c r="D3712" s="234"/>
      <c r="E3712" s="245" t="str">
        <f>IFERROR(__xludf.DUMMYFUNCTION("""COMPUTED_VALUE"""),"LT0PCV01V8S81")</f>
        <v>LT0PCV01V8S81</v>
      </c>
      <c r="F3712" s="238" t="str">
        <f>IFERROR(__xludf.DUMMYFUNCTION("""COMPUTED_VALUE"""),"GBH6F83")</f>
        <v>GBH6F83</v>
      </c>
      <c r="G3712" s="238">
        <f>IFERROR(__xludf.DUMMYFUNCTION("""COMPUTED_VALUE"""),46022.25138888889)</f>
        <v>46022.25139</v>
      </c>
      <c r="H3712" s="238">
        <f>IFERROR(__xludf.DUMMYFUNCTION("""COMPUTED_VALUE"""),46022.33333333333)</f>
        <v>46022.33333</v>
      </c>
      <c r="I3712" s="237" t="str">
        <f t="shared" si="1"/>
        <v>Fora</v>
      </c>
      <c r="J3712" s="239">
        <v>119.99999999301508</v>
      </c>
    </row>
    <row r="3713">
      <c r="A3713" s="244" t="s">
        <v>4978</v>
      </c>
      <c r="B3713" s="234"/>
      <c r="C3713" s="234" t="str">
        <f>IFERROR(__xludf.DUMMYFUNCTION("""COMPUTED_VALUE"""),"-")</f>
        <v>-</v>
      </c>
      <c r="D3713" s="234"/>
      <c r="E3713" s="245" t="str">
        <f>IFERROR(__xludf.DUMMYFUNCTION("""COMPUTED_VALUE"""),"LT0PCV01V8RS1")</f>
        <v>LT0PCV01V8RS1</v>
      </c>
      <c r="F3713" s="238" t="str">
        <f>IFERROR(__xludf.DUMMYFUNCTION("""COMPUTED_VALUE"""),"ASH4C66")</f>
        <v>ASH4C66</v>
      </c>
      <c r="G3713" s="238">
        <f>IFERROR(__xludf.DUMMYFUNCTION("""COMPUTED_VALUE"""),46022.25)</f>
        <v>46022.25</v>
      </c>
      <c r="H3713" s="238">
        <f>IFERROR(__xludf.DUMMYFUNCTION("""COMPUTED_VALUE"""),46022.33333333333)</f>
        <v>46022.33333</v>
      </c>
      <c r="I3713" s="237" t="str">
        <f t="shared" si="1"/>
        <v>Fora</v>
      </c>
      <c r="J3713" s="239">
        <v>119.99999999301508</v>
      </c>
    </row>
    <row r="3714">
      <c r="A3714" s="244" t="s">
        <v>586</v>
      </c>
      <c r="B3714" s="234"/>
      <c r="C3714" s="234" t="str">
        <f>IFERROR(__xludf.DUMMYFUNCTION("""COMPUTED_VALUE"""),"-")</f>
        <v>-</v>
      </c>
      <c r="D3714" s="234">
        <f>IFERROR(__xludf.DUMMYFUNCTION("""COMPUTED_VALUE"""),16.0)</f>
        <v>16</v>
      </c>
      <c r="E3714" s="245" t="str">
        <f>IFERROR(__xludf.DUMMYFUNCTION("""COMPUTED_VALUE"""),"LT0PCV01VAHA1")</f>
        <v>LT0PCV01VAHA1</v>
      </c>
      <c r="F3714" s="238" t="str">
        <f>IFERROR(__xludf.DUMMYFUNCTION("""COMPUTED_VALUE"""),"FUF6H46")</f>
        <v>FUF6H46</v>
      </c>
      <c r="G3714" s="238">
        <f>IFERROR(__xludf.DUMMYFUNCTION("""COMPUTED_VALUE"""),46022.25)</f>
        <v>46022.25</v>
      </c>
      <c r="H3714" s="238">
        <f>IFERROR(__xludf.DUMMYFUNCTION("""COMPUTED_VALUE"""),46022.33333333333)</f>
        <v>46022.33333</v>
      </c>
      <c r="I3714" s="237" t="str">
        <f t="shared" si="1"/>
        <v>Fora</v>
      </c>
      <c r="J3714" s="239">
        <v>119.99999999301508</v>
      </c>
    </row>
    <row r="3715">
      <c r="A3715" s="244" t="s">
        <v>4979</v>
      </c>
      <c r="B3715" s="234"/>
      <c r="C3715" s="234" t="str">
        <f>IFERROR(__xludf.DUMMYFUNCTION("""COMPUTED_VALUE"""),"-")</f>
        <v>-</v>
      </c>
      <c r="D3715" s="234"/>
      <c r="E3715" s="245" t="str">
        <f>IFERROR(__xludf.DUMMYFUNCTION("""COMPUTED_VALUE"""),"LT0PCV01V8SA1")</f>
        <v>LT0PCV01V8SA1</v>
      </c>
      <c r="F3715" s="238" t="str">
        <f>IFERROR(__xludf.DUMMYFUNCTION("""COMPUTED_VALUE"""),"GIB8A68")</f>
        <v>GIB8A68</v>
      </c>
      <c r="G3715" s="238">
        <f>IFERROR(__xludf.DUMMYFUNCTION("""COMPUTED_VALUE"""),46022.25)</f>
        <v>46022.25</v>
      </c>
      <c r="H3715" s="238">
        <f>IFERROR(__xludf.DUMMYFUNCTION("""COMPUTED_VALUE"""),46022.33333333333)</f>
        <v>46022.33333</v>
      </c>
      <c r="I3715" s="237" t="str">
        <f t="shared" si="1"/>
        <v>Fora</v>
      </c>
      <c r="J3715" s="239">
        <v>119.00000001071021</v>
      </c>
    </row>
    <row r="3716">
      <c r="A3716" s="244" t="s">
        <v>588</v>
      </c>
      <c r="B3716" s="234"/>
      <c r="C3716" s="234" t="str">
        <f>IFERROR(__xludf.DUMMYFUNCTION("""COMPUTED_VALUE"""),"-")</f>
        <v>-</v>
      </c>
      <c r="D3716" s="234">
        <f>IFERROR(__xludf.DUMMYFUNCTION("""COMPUTED_VALUE"""),22.0)</f>
        <v>22</v>
      </c>
      <c r="E3716" s="245" t="str">
        <f>IFERROR(__xludf.DUMMYFUNCTION("""COMPUTED_VALUE"""),"LT0PCV01V8MY1")</f>
        <v>LT0PCV01V8MY1</v>
      </c>
      <c r="F3716" s="238" t="str">
        <f>IFERROR(__xludf.DUMMYFUNCTION("""COMPUTED_VALUE"""),"GIQ1C13")</f>
        <v>GIQ1C13</v>
      </c>
      <c r="G3716" s="238">
        <f>IFERROR(__xludf.DUMMYFUNCTION("""COMPUTED_VALUE"""),46022.271527777775)</f>
        <v>46022.27153</v>
      </c>
      <c r="H3716" s="238">
        <f>IFERROR(__xludf.DUMMYFUNCTION("""COMPUTED_VALUE"""),46022.35416666667)</f>
        <v>46022.35417</v>
      </c>
      <c r="I3716" s="237" t="str">
        <f t="shared" si="1"/>
        <v>Fora</v>
      </c>
      <c r="J3716" s="239">
        <v>119.00000000023283</v>
      </c>
    </row>
    <row r="3717">
      <c r="A3717" s="244" t="s">
        <v>4980</v>
      </c>
      <c r="B3717" s="234"/>
      <c r="C3717" s="234" t="str">
        <f>IFERROR(__xludf.DUMMYFUNCTION("""COMPUTED_VALUE"""),"-")</f>
        <v>-</v>
      </c>
      <c r="D3717" s="234"/>
      <c r="E3717" s="245" t="str">
        <f>IFERROR(__xludf.DUMMYFUNCTION("""COMPUTED_VALUE"""),"LT0PCV01V9SR1")</f>
        <v>LT0PCV01V9SR1</v>
      </c>
      <c r="F3717" s="238" t="str">
        <f>IFERROR(__xludf.DUMMYFUNCTION("""COMPUTED_VALUE"""),"RFD3G51")</f>
        <v>RFD3G51</v>
      </c>
      <c r="G3717" s="238">
        <f>IFERROR(__xludf.DUMMYFUNCTION("""COMPUTED_VALUE"""),46022.29236111111)</f>
        <v>46022.29236</v>
      </c>
      <c r="H3717" s="238">
        <f>IFERROR(__xludf.DUMMYFUNCTION("""COMPUTED_VALUE"""),46022.375)</f>
        <v>46022.375</v>
      </c>
      <c r="I3717" s="237" t="str">
        <f t="shared" si="1"/>
        <v>Fora</v>
      </c>
      <c r="J3717" s="239">
        <v>118.00000000745058</v>
      </c>
    </row>
    <row r="3718">
      <c r="A3718" s="244" t="s">
        <v>592</v>
      </c>
      <c r="B3718" s="234"/>
      <c r="C3718" s="234" t="str">
        <f>IFERROR(__xludf.DUMMYFUNCTION("""COMPUTED_VALUE"""),"-")</f>
        <v>-</v>
      </c>
      <c r="D3718" s="234">
        <f>IFERROR(__xludf.DUMMYFUNCTION("""COMPUTED_VALUE"""),37.0)</f>
        <v>37</v>
      </c>
      <c r="E3718" s="245" t="str">
        <f>IFERROR(__xludf.DUMMYFUNCTION("""COMPUTED_VALUE"""),"LT0PCV01V8S41")</f>
        <v>LT0PCV01V8S41</v>
      </c>
      <c r="F3718" s="238" t="str">
        <f>IFERROR(__xludf.DUMMYFUNCTION("""COMPUTED_VALUE"""),"FBH4883")</f>
        <v>FBH4883</v>
      </c>
      <c r="G3718" s="238">
        <f>IFERROR(__xludf.DUMMYFUNCTION("""COMPUTED_VALUE"""),46022.29305555555)</f>
        <v>46022.29306</v>
      </c>
      <c r="H3718" s="238">
        <f>IFERROR(__xludf.DUMMYFUNCTION("""COMPUTED_VALUE"""),46022.375)</f>
        <v>46022.375</v>
      </c>
      <c r="I3718" s="237" t="str">
        <f t="shared" si="1"/>
        <v>Fora</v>
      </c>
      <c r="J3718" s="239">
        <v>120.00000001396984</v>
      </c>
    </row>
    <row r="3719">
      <c r="A3719" s="244" t="s">
        <v>4981</v>
      </c>
      <c r="B3719" s="234"/>
      <c r="C3719" s="234" t="str">
        <f>IFERROR(__xludf.DUMMYFUNCTION("""COMPUTED_VALUE"""),"-")</f>
        <v>-</v>
      </c>
      <c r="D3719" s="234"/>
      <c r="E3719" s="245" t="str">
        <f>IFERROR(__xludf.DUMMYFUNCTION("""COMPUTED_VALUE"""),"LT0PCV01V8O51")</f>
        <v>LT0PCV01V8O51</v>
      </c>
      <c r="F3719" s="238" t="str">
        <f>IFERROR(__xludf.DUMMYFUNCTION("""COMPUTED_VALUE"""),"EJY4H62")</f>
        <v>EJY4H62</v>
      </c>
      <c r="G3719" s="238">
        <f>IFERROR(__xludf.DUMMYFUNCTION("""COMPUTED_VALUE"""),46022.33333333333)</f>
        <v>46022.33333</v>
      </c>
      <c r="H3719" s="238">
        <f>IFERROR(__xludf.DUMMYFUNCTION("""COMPUTED_VALUE"""),46022.41666666667)</f>
        <v>46022.41667</v>
      </c>
      <c r="I3719" s="237" t="str">
        <f t="shared" si="1"/>
        <v>Fora</v>
      </c>
      <c r="J3719" s="239">
        <v>239.0000000037253</v>
      </c>
    </row>
    <row r="3720">
      <c r="A3720" s="244" t="s">
        <v>4982</v>
      </c>
      <c r="B3720" s="234"/>
      <c r="C3720" s="234" t="str">
        <f>IFERROR(__xludf.DUMMYFUNCTION("""COMPUTED_VALUE"""),"-")</f>
        <v>-</v>
      </c>
      <c r="D3720" s="234"/>
      <c r="E3720" s="245" t="str">
        <f>IFERROR(__xludf.DUMMYFUNCTION("""COMPUTED_VALUE"""),"LT0PCV01V80F1")</f>
        <v>LT0PCV01V80F1</v>
      </c>
      <c r="F3720" s="238" t="str">
        <f>IFERROR(__xludf.DUMMYFUNCTION("""COMPUTED_VALUE"""),"STN3D74")</f>
        <v>STN3D74</v>
      </c>
      <c r="G3720" s="238">
        <f>IFERROR(__xludf.DUMMYFUNCTION("""COMPUTED_VALUE"""),46022.25069444445)</f>
        <v>46022.25069</v>
      </c>
      <c r="H3720" s="238">
        <f>IFERROR(__xludf.DUMMYFUNCTION("""COMPUTED_VALUE"""),46022.41666666667)</f>
        <v>46022.41667</v>
      </c>
      <c r="I3720" s="237" t="str">
        <f t="shared" si="1"/>
        <v>Fora</v>
      </c>
      <c r="J3720" s="239">
        <v>357.99999999348074</v>
      </c>
    </row>
    <row r="3721">
      <c r="A3721" s="244" t="s">
        <v>4983</v>
      </c>
      <c r="B3721" s="234"/>
      <c r="C3721" s="234" t="str">
        <f>IFERROR(__xludf.DUMMYFUNCTION("""COMPUTED_VALUE"""),"-")</f>
        <v>-</v>
      </c>
      <c r="D3721" s="234"/>
      <c r="E3721" s="245" t="str">
        <f>IFERROR(__xludf.DUMMYFUNCTION("""COMPUTED_VALUE"""),"LT0PCV01VBS21")</f>
        <v>LT0PCV01VBS21</v>
      </c>
      <c r="F3721" s="238" t="str">
        <f>IFERROR(__xludf.DUMMYFUNCTION("""COMPUTED_VALUE"""),"FFE1G68")</f>
        <v>FFE1G68</v>
      </c>
      <c r="G3721" s="238">
        <f>IFERROR(__xludf.DUMMYFUNCTION("""COMPUTED_VALUE"""),46022.25138888889)</f>
        <v>46022.25139</v>
      </c>
      <c r="H3721" s="238">
        <f>IFERROR(__xludf.DUMMYFUNCTION("""COMPUTED_VALUE"""),46022.5)</f>
        <v>46022.5</v>
      </c>
      <c r="I3721" s="237" t="str">
        <f t="shared" si="1"/>
        <v>Fora</v>
      </c>
      <c r="J3721" s="239">
        <v>119.99999999301508</v>
      </c>
    </row>
    <row r="3722">
      <c r="A3722" s="244" t="s">
        <v>4979</v>
      </c>
      <c r="B3722" s="234"/>
      <c r="C3722" s="234" t="str">
        <f>IFERROR(__xludf.DUMMYFUNCTION("""COMPUTED_VALUE"""),"-")</f>
        <v>-</v>
      </c>
      <c r="D3722" s="234"/>
      <c r="E3722" s="245" t="str">
        <f>IFERROR(__xludf.DUMMYFUNCTION("""COMPUTED_VALUE"""),"LT0PCV01V8SA1")</f>
        <v>LT0PCV01V8SA1</v>
      </c>
      <c r="F3722" s="238" t="str">
        <f>IFERROR(__xludf.DUMMYFUNCTION("""COMPUTED_VALUE"""),"GIB8A68")</f>
        <v>GIB8A68</v>
      </c>
      <c r="G3722" s="238">
        <f>IFERROR(__xludf.DUMMYFUNCTION("""COMPUTED_VALUE"""),46022.25)</f>
        <v>46022.25</v>
      </c>
      <c r="H3722" s="238">
        <f>IFERROR(__xludf.DUMMYFUNCTION("""COMPUTED_VALUE"""),46022.33333333333)</f>
        <v>46022.33333</v>
      </c>
      <c r="I3722" s="237" t="str">
        <f t="shared" si="1"/>
        <v>Fora</v>
      </c>
      <c r="J3722" s="239">
        <v>119.00000001071021</v>
      </c>
    </row>
    <row r="3723">
      <c r="A3723" s="244" t="s">
        <v>588</v>
      </c>
      <c r="B3723" s="234"/>
      <c r="C3723" s="234" t="str">
        <f>IFERROR(__xludf.DUMMYFUNCTION("""COMPUTED_VALUE"""),"-")</f>
        <v>-</v>
      </c>
      <c r="D3723" s="234"/>
      <c r="E3723" s="245" t="str">
        <f>IFERROR(__xludf.DUMMYFUNCTION("""COMPUTED_VALUE"""),"LT0PCV01V8MY1")</f>
        <v>LT0PCV01V8MY1</v>
      </c>
      <c r="F3723" s="238" t="str">
        <f>IFERROR(__xludf.DUMMYFUNCTION("""COMPUTED_VALUE"""),"GIQ1C13")</f>
        <v>GIQ1C13</v>
      </c>
      <c r="G3723" s="238">
        <f>IFERROR(__xludf.DUMMYFUNCTION("""COMPUTED_VALUE"""),46022.271527777775)</f>
        <v>46022.27153</v>
      </c>
      <c r="H3723" s="238">
        <f>IFERROR(__xludf.DUMMYFUNCTION("""COMPUTED_VALUE"""),46022.35416666667)</f>
        <v>46022.35417</v>
      </c>
      <c r="I3723" s="237" t="str">
        <f t="shared" si="1"/>
        <v>Fora</v>
      </c>
      <c r="J3723" s="239">
        <v>119.00000000023283</v>
      </c>
    </row>
    <row r="3724">
      <c r="A3724" s="244" t="s">
        <v>4980</v>
      </c>
      <c r="B3724" s="234"/>
      <c r="C3724" s="234" t="str">
        <f>IFERROR(__xludf.DUMMYFUNCTION("""COMPUTED_VALUE"""),"-")</f>
        <v>-</v>
      </c>
      <c r="D3724" s="234"/>
      <c r="E3724" s="245" t="str">
        <f>IFERROR(__xludf.DUMMYFUNCTION("""COMPUTED_VALUE"""),"LT0PCV01V9SR1")</f>
        <v>LT0PCV01V9SR1</v>
      </c>
      <c r="F3724" s="238" t="str">
        <f>IFERROR(__xludf.DUMMYFUNCTION("""COMPUTED_VALUE"""),"RFD3G51")</f>
        <v>RFD3G51</v>
      </c>
      <c r="G3724" s="238">
        <f>IFERROR(__xludf.DUMMYFUNCTION("""COMPUTED_VALUE"""),46022.29236111111)</f>
        <v>46022.29236</v>
      </c>
      <c r="H3724" s="238">
        <f>IFERROR(__xludf.DUMMYFUNCTION("""COMPUTED_VALUE"""),46022.375)</f>
        <v>46022.375</v>
      </c>
      <c r="I3724" s="237" t="str">
        <f t="shared" si="1"/>
        <v>Fora</v>
      </c>
      <c r="J3724" s="239">
        <v>118.00000000745058</v>
      </c>
    </row>
    <row r="3725">
      <c r="A3725" s="244" t="s">
        <v>592</v>
      </c>
      <c r="B3725" s="234"/>
      <c r="C3725" s="234" t="str">
        <f>IFERROR(__xludf.DUMMYFUNCTION("""COMPUTED_VALUE"""),"-")</f>
        <v>-</v>
      </c>
      <c r="D3725" s="234"/>
      <c r="E3725" s="245" t="str">
        <f>IFERROR(__xludf.DUMMYFUNCTION("""COMPUTED_VALUE"""),"LT0PCV01V8S41")</f>
        <v>LT0PCV01V8S41</v>
      </c>
      <c r="F3725" s="238" t="str">
        <f>IFERROR(__xludf.DUMMYFUNCTION("""COMPUTED_VALUE"""),"FBH4883")</f>
        <v>FBH4883</v>
      </c>
      <c r="G3725" s="238">
        <f>IFERROR(__xludf.DUMMYFUNCTION("""COMPUTED_VALUE"""),46022.29305555555)</f>
        <v>46022.29306</v>
      </c>
      <c r="H3725" s="238">
        <f>IFERROR(__xludf.DUMMYFUNCTION("""COMPUTED_VALUE"""),46022.375)</f>
        <v>46022.375</v>
      </c>
      <c r="I3725" s="237" t="str">
        <f t="shared" si="1"/>
        <v>Fora</v>
      </c>
      <c r="J3725" s="239">
        <v>120.00000001396984</v>
      </c>
    </row>
    <row r="3726">
      <c r="A3726" s="244" t="s">
        <v>4981</v>
      </c>
      <c r="B3726" s="234"/>
      <c r="C3726" s="234" t="str">
        <f>IFERROR(__xludf.DUMMYFUNCTION("""COMPUTED_VALUE"""),"-")</f>
        <v>-</v>
      </c>
      <c r="D3726" s="234"/>
      <c r="E3726" s="245" t="str">
        <f>IFERROR(__xludf.DUMMYFUNCTION("""COMPUTED_VALUE"""),"LT0PCV01V8O51")</f>
        <v>LT0PCV01V8O51</v>
      </c>
      <c r="F3726" s="238" t="str">
        <f>IFERROR(__xludf.DUMMYFUNCTION("""COMPUTED_VALUE"""),"EJY4H62")</f>
        <v>EJY4H62</v>
      </c>
      <c r="G3726" s="238">
        <f>IFERROR(__xludf.DUMMYFUNCTION("""COMPUTED_VALUE"""),46022.33333333333)</f>
        <v>46022.33333</v>
      </c>
      <c r="H3726" s="238">
        <f>IFERROR(__xludf.DUMMYFUNCTION("""COMPUTED_VALUE"""),46022.41666666667)</f>
        <v>46022.41667</v>
      </c>
      <c r="I3726" s="237" t="str">
        <f t="shared" si="1"/>
        <v>Fora</v>
      </c>
      <c r="J3726" s="239">
        <v>239.0000000037253</v>
      </c>
    </row>
    <row r="3727">
      <c r="A3727" s="244" t="s">
        <v>4982</v>
      </c>
      <c r="B3727" s="234"/>
      <c r="C3727" s="234" t="str">
        <f>IFERROR(__xludf.DUMMYFUNCTION("""COMPUTED_VALUE"""),"-")</f>
        <v>-</v>
      </c>
      <c r="D3727" s="234"/>
      <c r="E3727" s="245" t="str">
        <f>IFERROR(__xludf.DUMMYFUNCTION("""COMPUTED_VALUE"""),"LT0PCV01V80F1")</f>
        <v>LT0PCV01V80F1</v>
      </c>
      <c r="F3727" s="238" t="str">
        <f>IFERROR(__xludf.DUMMYFUNCTION("""COMPUTED_VALUE"""),"STN3D74")</f>
        <v>STN3D74</v>
      </c>
      <c r="G3727" s="238">
        <f>IFERROR(__xludf.DUMMYFUNCTION("""COMPUTED_VALUE"""),46022.25069444445)</f>
        <v>46022.25069</v>
      </c>
      <c r="H3727" s="238">
        <f>IFERROR(__xludf.DUMMYFUNCTION("""COMPUTED_VALUE"""),46022.41666666667)</f>
        <v>46022.41667</v>
      </c>
      <c r="I3727" s="237" t="str">
        <f t="shared" si="1"/>
        <v>Fora</v>
      </c>
      <c r="J3727" s="239">
        <v>357.99999999348074</v>
      </c>
    </row>
    <row r="3728">
      <c r="A3728" s="244" t="s">
        <v>4983</v>
      </c>
      <c r="B3728" s="234"/>
      <c r="C3728" s="234" t="str">
        <f>IFERROR(__xludf.DUMMYFUNCTION("""COMPUTED_VALUE"""),"-")</f>
        <v>-</v>
      </c>
      <c r="D3728" s="234">
        <f>IFERROR(__xludf.DUMMYFUNCTION("""COMPUTED_VALUE"""),113.0)</f>
        <v>113</v>
      </c>
      <c r="E3728" s="245" t="str">
        <f>IFERROR(__xludf.DUMMYFUNCTION("""COMPUTED_VALUE"""),"LT0PCV01VBS21")</f>
        <v>LT0PCV01VBS21</v>
      </c>
      <c r="F3728" s="238" t="str">
        <f>IFERROR(__xludf.DUMMYFUNCTION("""COMPUTED_VALUE"""),"FFE1G68")</f>
        <v>FFE1G68</v>
      </c>
      <c r="G3728" s="238">
        <f>IFERROR(__xludf.DUMMYFUNCTION("""COMPUTED_VALUE"""),46022.25138888889)</f>
        <v>46022.25139</v>
      </c>
      <c r="H3728" s="238">
        <f>IFERROR(__xludf.DUMMYFUNCTION("""COMPUTED_VALUE"""),46022.5)</f>
        <v>46022.5</v>
      </c>
      <c r="I3728" s="237" t="str">
        <f t="shared" si="1"/>
        <v>Fora</v>
      </c>
      <c r="J3728" s="239" t="e">
        <v>#VALUE!</v>
      </c>
    </row>
    <row r="3729">
      <c r="A3729" s="234" t="s">
        <v>4984</v>
      </c>
      <c r="B3729" s="234" t="str">
        <f>IFERROR(__xludf.DUMMYFUNCTION("""COMPUTED_VALUE"""),"Fanout Desconhecido")</f>
        <v>Fanout Desconhecido</v>
      </c>
      <c r="C3729" s="234" t="str">
        <f>IFERROR(__xludf.DUMMYFUNCTION("""COMPUTED_VALUE"""),"-")</f>
        <v>-</v>
      </c>
      <c r="D3729" s="234" t="str">
        <f>IFERROR(__xludf.DUMMYFUNCTION("""COMPUTED_VALUE"""),"98/18")</f>
        <v>98/18</v>
      </c>
      <c r="E3729" s="237" t="str">
        <f>IFERROR(__xludf.DUMMYFUNCTION("""COMPUTED_VALUE"""),"LT1Q1201VYQF1")</f>
        <v>LT1Q1201VYQF1</v>
      </c>
      <c r="F3729" s="238" t="str">
        <f>IFERROR(__xludf.DUMMYFUNCTION("""COMPUTED_VALUE"""),"-")</f>
        <v>-</v>
      </c>
      <c r="G3729" s="238" t="str">
        <f>IFERROR(__xludf.DUMMYFUNCTION("""COMPUTED_VALUE"""),"-")</f>
        <v>-</v>
      </c>
      <c r="H3729" s="238" t="str">
        <f>IFERROR(__xludf.DUMMYFUNCTION("""COMPUTED_VALUE"""),"-")</f>
        <v>-</v>
      </c>
      <c r="I3729" s="237" t="str">
        <f t="shared" si="1"/>
        <v>Dentro</v>
      </c>
      <c r="J3729" s="239" t="e">
        <v>#VALUE!</v>
      </c>
    </row>
    <row r="3730">
      <c r="A3730" s="234" t="s">
        <v>4985</v>
      </c>
      <c r="B3730" s="234" t="str">
        <f>IFERROR(__xludf.DUMMYFUNCTION("""COMPUTED_VALUE"""),"Fanout Desconhecido")</f>
        <v>Fanout Desconhecido</v>
      </c>
      <c r="C3730" s="234" t="str">
        <f>IFERROR(__xludf.DUMMYFUNCTION("""COMPUTED_VALUE"""),"-")</f>
        <v>-</v>
      </c>
      <c r="D3730" s="234">
        <f>IFERROR(__xludf.DUMMYFUNCTION("""COMPUTED_VALUE"""),96.0)</f>
        <v>96</v>
      </c>
      <c r="E3730" s="237" t="str">
        <f>IFERROR(__xludf.DUMMYFUNCTION("""COMPUTED_VALUE"""),"LT1Q1201VYJ61")</f>
        <v>LT1Q1201VYJ61</v>
      </c>
      <c r="F3730" s="238" t="str">
        <f>IFERROR(__xludf.DUMMYFUNCTION("""COMPUTED_VALUE"""),"-")</f>
        <v>-</v>
      </c>
      <c r="G3730" s="238" t="str">
        <f>IFERROR(__xludf.DUMMYFUNCTION("""COMPUTED_VALUE"""),"-")</f>
        <v>-</v>
      </c>
      <c r="H3730" s="238" t="str">
        <f>IFERROR(__xludf.DUMMYFUNCTION("""COMPUTED_VALUE"""),"-")</f>
        <v>-</v>
      </c>
      <c r="I3730" s="237" t="str">
        <f t="shared" si="1"/>
        <v>Dentro</v>
      </c>
      <c r="J3730" s="239" t="e">
        <v>#VALUE!</v>
      </c>
    </row>
    <row r="3731">
      <c r="A3731" s="234" t="s">
        <v>4986</v>
      </c>
      <c r="B3731" s="234" t="str">
        <f>IFERROR(__xludf.DUMMYFUNCTION("""COMPUTED_VALUE"""),"Fanout Desconhecido")</f>
        <v>Fanout Desconhecido</v>
      </c>
      <c r="C3731" s="234" t="str">
        <f>IFERROR(__xludf.DUMMYFUNCTION("""COMPUTED_VALUE"""),"-")</f>
        <v>-</v>
      </c>
      <c r="D3731" s="234">
        <f>IFERROR(__xludf.DUMMYFUNCTION("""COMPUTED_VALUE"""),100.0)</f>
        <v>100</v>
      </c>
      <c r="E3731" s="237" t="str">
        <f>IFERROR(__xludf.DUMMYFUNCTION("""COMPUTED_VALUE"""),"LT0Q1201VB401")</f>
        <v>LT0Q1201VB401</v>
      </c>
      <c r="F3731" s="238" t="str">
        <f>IFERROR(__xludf.DUMMYFUNCTION("""COMPUTED_VALUE"""),"-")</f>
        <v>-</v>
      </c>
      <c r="G3731" s="238" t="str">
        <f>IFERROR(__xludf.DUMMYFUNCTION("""COMPUTED_VALUE"""),"-")</f>
        <v>-</v>
      </c>
      <c r="H3731" s="238" t="str">
        <f>IFERROR(__xludf.DUMMYFUNCTION("""COMPUTED_VALUE"""),"-")</f>
        <v>-</v>
      </c>
      <c r="I3731" s="237" t="str">
        <f t="shared" si="1"/>
        <v>Dentro</v>
      </c>
      <c r="J3731" s="239" t="e">
        <v>#VALUE!</v>
      </c>
    </row>
    <row r="3732">
      <c r="A3732" s="234" t="s">
        <v>637</v>
      </c>
      <c r="B3732" s="234" t="str">
        <f>IFERROR(__xludf.DUMMYFUNCTION("""COMPUTED_VALUE"""),"Fanout Desconhecido")</f>
        <v>Fanout Desconhecido</v>
      </c>
      <c r="C3732" s="234" t="str">
        <f>IFERROR(__xludf.DUMMYFUNCTION("""COMPUTED_VALUE"""),"-")</f>
        <v>-</v>
      </c>
      <c r="D3732" s="234">
        <f>IFERROR(__xludf.DUMMYFUNCTION("""COMPUTED_VALUE"""),88.0)</f>
        <v>88</v>
      </c>
      <c r="E3732" s="237" t="str">
        <f>IFERROR(__xludf.DUMMYFUNCTION("""COMPUTED_VALUE"""),"LT0Q1201VBSB2")</f>
        <v>LT0Q1201VBSB2</v>
      </c>
      <c r="F3732" s="238" t="str">
        <f>IFERROR(__xludf.DUMMYFUNCTION("""COMPUTED_VALUE"""),"-")</f>
        <v>-</v>
      </c>
      <c r="G3732" s="238" t="str">
        <f>IFERROR(__xludf.DUMMYFUNCTION("""COMPUTED_VALUE"""),"-")</f>
        <v>-</v>
      </c>
      <c r="H3732" s="238" t="str">
        <f>IFERROR(__xludf.DUMMYFUNCTION("""COMPUTED_VALUE"""),"-")</f>
        <v>-</v>
      </c>
      <c r="I3732" s="237" t="str">
        <f t="shared" si="1"/>
        <v>Dentro</v>
      </c>
      <c r="J3732" s="239" t="e">
        <v>#VALUE!</v>
      </c>
    </row>
    <row r="3733">
      <c r="A3733" s="234" t="s">
        <v>4987</v>
      </c>
      <c r="B3733" s="234" t="str">
        <f>IFERROR(__xludf.DUMMYFUNCTION("""COMPUTED_VALUE"""),"Fanout Desconhecido")</f>
        <v>Fanout Desconhecido</v>
      </c>
      <c r="C3733" s="234" t="str">
        <f>IFERROR(__xludf.DUMMYFUNCTION("""COMPUTED_VALUE"""),"-")</f>
        <v>-</v>
      </c>
      <c r="D3733" s="234" t="str">
        <f>IFERROR(__xludf.DUMMYFUNCTION("""COMPUTED_VALUE"""),"94/113")</f>
        <v>94/113</v>
      </c>
      <c r="E3733" s="237" t="str">
        <f>IFERROR(__xludf.DUMMYFUNCTION("""COMPUTED_VALUE"""),"LT0Q1201V8011")</f>
        <v>LT0Q1201V8011</v>
      </c>
      <c r="F3733" s="238" t="str">
        <f>IFERROR(__xludf.DUMMYFUNCTION("""COMPUTED_VALUE"""),"-")</f>
        <v>-</v>
      </c>
      <c r="G3733" s="238" t="str">
        <f>IFERROR(__xludf.DUMMYFUNCTION("""COMPUTED_VALUE"""),"-")</f>
        <v>-</v>
      </c>
      <c r="H3733" s="238" t="str">
        <f>IFERROR(__xludf.DUMMYFUNCTION("""COMPUTED_VALUE"""),"-")</f>
        <v>-</v>
      </c>
      <c r="I3733" s="237" t="str">
        <f t="shared" si="1"/>
        <v>Dentro</v>
      </c>
      <c r="J3733" s="239" t="e">
        <v>#VALUE!</v>
      </c>
    </row>
    <row r="3734">
      <c r="A3734" s="234" t="s">
        <v>4988</v>
      </c>
      <c r="B3734" s="234" t="str">
        <f>IFERROR(__xludf.DUMMYFUNCTION("""COMPUTED_VALUE"""),"Fanout Desconhecido")</f>
        <v>Fanout Desconhecido</v>
      </c>
      <c r="C3734" s="234" t="str">
        <f>IFERROR(__xludf.DUMMYFUNCTION("""COMPUTED_VALUE"""),"-")</f>
        <v>-</v>
      </c>
      <c r="D3734" s="234" t="str">
        <f>IFERROR(__xludf.DUMMYFUNCTION("""COMPUTED_VALUE"""),"102/112")</f>
        <v>102/112</v>
      </c>
      <c r="E3734" s="237" t="str">
        <f>IFERROR(__xludf.DUMMYFUNCTION("""COMPUTED_VALUE"""),"LT1Q1201VYJ91")</f>
        <v>LT1Q1201VYJ91</v>
      </c>
      <c r="F3734" s="238" t="str">
        <f>IFERROR(__xludf.DUMMYFUNCTION("""COMPUTED_VALUE"""),"-")</f>
        <v>-</v>
      </c>
      <c r="G3734" s="238" t="str">
        <f>IFERROR(__xludf.DUMMYFUNCTION("""COMPUTED_VALUE"""),"-")</f>
        <v>-</v>
      </c>
      <c r="H3734" s="238" t="str">
        <f>IFERROR(__xludf.DUMMYFUNCTION("""COMPUTED_VALUE"""),"-")</f>
        <v>-</v>
      </c>
      <c r="I3734" s="237" t="str">
        <f t="shared" si="1"/>
        <v>Dentro</v>
      </c>
      <c r="J3734" s="239" t="e">
        <v>#VALUE!</v>
      </c>
    </row>
    <row r="3735">
      <c r="A3735" s="234" t="s">
        <v>638</v>
      </c>
      <c r="B3735" s="234" t="str">
        <f>IFERROR(__xludf.DUMMYFUNCTION("""COMPUTED_VALUE"""),"Fanout Desconhecido")</f>
        <v>Fanout Desconhecido</v>
      </c>
      <c r="C3735" s="234" t="str">
        <f>IFERROR(__xludf.DUMMYFUNCTION("""COMPUTED_VALUE"""),"-")</f>
        <v>-</v>
      </c>
      <c r="D3735" s="234" t="str">
        <f>IFERROR(__xludf.DUMMYFUNCTION("""COMPUTED_VALUE"""),"99/17")</f>
        <v>99/17</v>
      </c>
      <c r="E3735" s="237" t="str">
        <f>IFERROR(__xludf.DUMMYFUNCTION("""COMPUTED_VALUE"""),"LT0Q1201VBQ51")</f>
        <v>LT0Q1201VBQ51</v>
      </c>
      <c r="F3735" s="238" t="str">
        <f>IFERROR(__xludf.DUMMYFUNCTION("""COMPUTED_VALUE"""),"-")</f>
        <v>-</v>
      </c>
      <c r="G3735" s="238" t="str">
        <f>IFERROR(__xludf.DUMMYFUNCTION("""COMPUTED_VALUE"""),"-")</f>
        <v>-</v>
      </c>
      <c r="H3735" s="238" t="str">
        <f>IFERROR(__xludf.DUMMYFUNCTION("""COMPUTED_VALUE"""),"-")</f>
        <v>-</v>
      </c>
      <c r="I3735" s="237" t="str">
        <f t="shared" si="1"/>
        <v>Dentro</v>
      </c>
      <c r="J3735" s="239" t="e">
        <v>#VALUE!</v>
      </c>
    </row>
    <row r="3736">
      <c r="A3736" s="234" t="s">
        <v>4989</v>
      </c>
      <c r="B3736" s="234" t="str">
        <f>IFERROR(__xludf.DUMMYFUNCTION("""COMPUTED_VALUE"""),"Fanout Desconhecido")</f>
        <v>Fanout Desconhecido</v>
      </c>
      <c r="C3736" s="234" t="str">
        <f>IFERROR(__xludf.DUMMYFUNCTION("""COMPUTED_VALUE"""),"-")</f>
        <v>-</v>
      </c>
      <c r="D3736" s="234">
        <f>IFERROR(__xludf.DUMMYFUNCTION("""COMPUTED_VALUE"""),103.0)</f>
        <v>103</v>
      </c>
      <c r="E3736" s="237" t="str">
        <f>IFERROR(__xludf.DUMMYFUNCTION("""COMPUTED_VALUE"""),"LT0Q1201V9HY2")</f>
        <v>LT0Q1201V9HY2</v>
      </c>
      <c r="F3736" s="238" t="str">
        <f>IFERROR(__xludf.DUMMYFUNCTION("""COMPUTED_VALUE"""),"-")</f>
        <v>-</v>
      </c>
      <c r="G3736" s="238" t="str">
        <f>IFERROR(__xludf.DUMMYFUNCTION("""COMPUTED_VALUE"""),"-")</f>
        <v>-</v>
      </c>
      <c r="H3736" s="238" t="str">
        <f>IFERROR(__xludf.DUMMYFUNCTION("""COMPUTED_VALUE"""),"-")</f>
        <v>-</v>
      </c>
      <c r="I3736" s="237" t="str">
        <f t="shared" si="1"/>
        <v>Dentro</v>
      </c>
      <c r="J3736" s="239" t="e">
        <v>#VALUE!</v>
      </c>
    </row>
    <row r="3737">
      <c r="A3737" s="234" t="s">
        <v>4990</v>
      </c>
      <c r="B3737" s="234" t="str">
        <f>IFERROR(__xludf.DUMMYFUNCTION("""COMPUTED_VALUE"""),"Fanout Desconhecido")</f>
        <v>Fanout Desconhecido</v>
      </c>
      <c r="C3737" s="234" t="str">
        <f>IFERROR(__xludf.DUMMYFUNCTION("""COMPUTED_VALUE"""),"-")</f>
        <v>-</v>
      </c>
      <c r="D3737" s="234">
        <f>IFERROR(__xludf.DUMMYFUNCTION("""COMPUTED_VALUE"""),25.0)</f>
        <v>25</v>
      </c>
      <c r="E3737" s="237" t="str">
        <f>IFERROR(__xludf.DUMMYFUNCTION("""COMPUTED_VALUE"""),"LT0Q1201V9HW1")</f>
        <v>LT0Q1201V9HW1</v>
      </c>
      <c r="F3737" s="238" t="str">
        <f>IFERROR(__xludf.DUMMYFUNCTION("""COMPUTED_VALUE"""),"-")</f>
        <v>-</v>
      </c>
      <c r="G3737" s="238" t="str">
        <f>IFERROR(__xludf.DUMMYFUNCTION("""COMPUTED_VALUE"""),"-")</f>
        <v>-</v>
      </c>
      <c r="H3737" s="238" t="str">
        <f>IFERROR(__xludf.DUMMYFUNCTION("""COMPUTED_VALUE"""),"-")</f>
        <v>-</v>
      </c>
      <c r="I3737" s="237" t="str">
        <f t="shared" si="1"/>
        <v>Dentro</v>
      </c>
      <c r="J3737" s="239" t="e">
        <v>#VALUE!</v>
      </c>
    </row>
    <row r="3738">
      <c r="A3738" s="234" t="s">
        <v>4989</v>
      </c>
      <c r="B3738" s="234" t="str">
        <f>IFERROR(__xludf.DUMMYFUNCTION("""COMPUTED_VALUE"""),"Fanout Desconhecido")</f>
        <v>Fanout Desconhecido</v>
      </c>
      <c r="C3738" s="234" t="str">
        <f>IFERROR(__xludf.DUMMYFUNCTION("""COMPUTED_VALUE"""),"-")</f>
        <v>-</v>
      </c>
      <c r="D3738" s="234">
        <f>IFERROR(__xludf.DUMMYFUNCTION("""COMPUTED_VALUE"""),112.0)</f>
        <v>112</v>
      </c>
      <c r="E3738" s="237" t="str">
        <f>IFERROR(__xludf.DUMMYFUNCTION("""COMPUTED_VALUE"""),"LT0Q1201V9HY2")</f>
        <v>LT0Q1201V9HY2</v>
      </c>
      <c r="F3738" s="238" t="str">
        <f>IFERROR(__xludf.DUMMYFUNCTION("""COMPUTED_VALUE"""),"-")</f>
        <v>-</v>
      </c>
      <c r="G3738" s="238" t="str">
        <f>IFERROR(__xludf.DUMMYFUNCTION("""COMPUTED_VALUE"""),"-")</f>
        <v>-</v>
      </c>
      <c r="H3738" s="238" t="str">
        <f>IFERROR(__xludf.DUMMYFUNCTION("""COMPUTED_VALUE"""),"-")</f>
        <v>-</v>
      </c>
      <c r="I3738" s="237" t="str">
        <f t="shared" si="1"/>
        <v>Dentro</v>
      </c>
      <c r="J3738" s="239" t="e">
        <v>#VALUE!</v>
      </c>
    </row>
    <row r="3739">
      <c r="A3739" s="234" t="s">
        <v>4991</v>
      </c>
      <c r="B3739" s="234" t="str">
        <f>IFERROR(__xludf.DUMMYFUNCTION("""COMPUTED_VALUE"""),"Fanout Desconhecido")</f>
        <v>Fanout Desconhecido</v>
      </c>
      <c r="C3739" s="234" t="str">
        <f>IFERROR(__xludf.DUMMYFUNCTION("""COMPUTED_VALUE"""),"-")</f>
        <v>-</v>
      </c>
      <c r="D3739" s="234">
        <f>IFERROR(__xludf.DUMMYFUNCTION("""COMPUTED_VALUE"""),49.0)</f>
        <v>49</v>
      </c>
      <c r="E3739" s="237" t="str">
        <f>IFERROR(__xludf.DUMMYFUNCTION("""COMPUTED_VALUE"""),"LT0Q1201VBZA1")</f>
        <v>LT0Q1201VBZA1</v>
      </c>
      <c r="F3739" s="238" t="str">
        <f>IFERROR(__xludf.DUMMYFUNCTION("""COMPUTED_VALUE"""),"-")</f>
        <v>-</v>
      </c>
      <c r="G3739" s="238" t="str">
        <f>IFERROR(__xludf.DUMMYFUNCTION("""COMPUTED_VALUE"""),"-")</f>
        <v>-</v>
      </c>
      <c r="H3739" s="238" t="str">
        <f>IFERROR(__xludf.DUMMYFUNCTION("""COMPUTED_VALUE"""),"-")</f>
        <v>-</v>
      </c>
      <c r="I3739" s="237" t="str">
        <f t="shared" si="1"/>
        <v>Dentro</v>
      </c>
      <c r="J3739" s="239" t="e">
        <v>#VALUE!</v>
      </c>
    </row>
    <row r="3740">
      <c r="A3740" s="234" t="s">
        <v>4992</v>
      </c>
      <c r="B3740" s="234" t="str">
        <f>IFERROR(__xludf.DUMMYFUNCTION("""COMPUTED_VALUE"""),"Fanout Desconhecido")</f>
        <v>Fanout Desconhecido</v>
      </c>
      <c r="C3740" s="234" t="str">
        <f>IFERROR(__xludf.DUMMYFUNCTION("""COMPUTED_VALUE"""),"-")</f>
        <v>-</v>
      </c>
      <c r="D3740" s="234">
        <f>IFERROR(__xludf.DUMMYFUNCTION("""COMPUTED_VALUE"""),28.0)</f>
        <v>28</v>
      </c>
      <c r="E3740" s="237" t="str">
        <f>IFERROR(__xludf.DUMMYFUNCTION("""COMPUTED_VALUE"""),"LT0Q1201VBYB1")</f>
        <v>LT0Q1201VBYB1</v>
      </c>
      <c r="F3740" s="238" t="str">
        <f>IFERROR(__xludf.DUMMYFUNCTION("""COMPUTED_VALUE"""),"-")</f>
        <v>-</v>
      </c>
      <c r="G3740" s="238" t="str">
        <f>IFERROR(__xludf.DUMMYFUNCTION("""COMPUTED_VALUE"""),"-")</f>
        <v>-</v>
      </c>
      <c r="H3740" s="238" t="str">
        <f>IFERROR(__xludf.DUMMYFUNCTION("""COMPUTED_VALUE"""),"-")</f>
        <v>-</v>
      </c>
      <c r="I3740" s="237" t="str">
        <f t="shared" si="1"/>
        <v>Dentro</v>
      </c>
      <c r="J3740" s="239" t="e">
        <v>#VALUE!</v>
      </c>
    </row>
    <row r="3741">
      <c r="A3741" s="244" t="s">
        <v>4993</v>
      </c>
      <c r="B3741" s="234" t="str">
        <f>IFERROR(__xludf.DUMMYFUNCTION("""COMPUTED_VALUE"""),"Fanout Desconhecido")</f>
        <v>Fanout Desconhecido</v>
      </c>
      <c r="C3741" s="234" t="str">
        <f>IFERROR(__xludf.DUMMYFUNCTION("""COMPUTED_VALUE"""),"-")</f>
        <v>-</v>
      </c>
      <c r="D3741" s="234">
        <f>IFERROR(__xludf.DUMMYFUNCTION("""COMPUTED_VALUE"""),113.0)</f>
        <v>113</v>
      </c>
      <c r="E3741" s="245" t="str">
        <f>IFERROR(__xludf.DUMMYFUNCTION("""COMPUTED_VALUE"""),"LT0Q1201VBS91")</f>
        <v>LT0Q1201VBS91</v>
      </c>
      <c r="F3741" s="238" t="str">
        <f>IFERROR(__xludf.DUMMYFUNCTION("""COMPUTED_VALUE"""),"-")</f>
        <v>-</v>
      </c>
      <c r="G3741" s="238" t="str">
        <f>IFERROR(__xludf.DUMMYFUNCTION("""COMPUTED_VALUE"""),"-")</f>
        <v>-</v>
      </c>
      <c r="H3741" s="238" t="str">
        <f>IFERROR(__xludf.DUMMYFUNCTION("""COMPUTED_VALUE"""),"-")</f>
        <v>-</v>
      </c>
      <c r="I3741" s="237" t="str">
        <f t="shared" si="1"/>
        <v>Dentro</v>
      </c>
      <c r="J3741" s="239" t="e">
        <v>#VALUE!</v>
      </c>
    </row>
    <row r="3742">
      <c r="A3742" s="234" t="s">
        <v>4994</v>
      </c>
      <c r="B3742" s="234" t="str">
        <f>IFERROR(__xludf.DUMMYFUNCTION("""COMPUTED_VALUE"""),"Fanout Desconhecido")</f>
        <v>Fanout Desconhecido</v>
      </c>
      <c r="C3742" s="234" t="str">
        <f>IFERROR(__xludf.DUMMYFUNCTION("""COMPUTED_VALUE"""),"-")</f>
        <v>-</v>
      </c>
      <c r="D3742" s="234">
        <f>IFERROR(__xludf.DUMMYFUNCTION("""COMPUTED_VALUE"""),9.0)</f>
        <v>9</v>
      </c>
      <c r="E3742" s="237" t="str">
        <f>IFERROR(__xludf.DUMMYFUNCTION("""COMPUTED_VALUE"""),"LT0Q1201V8531")</f>
        <v>LT0Q1201V8531</v>
      </c>
      <c r="F3742" s="238" t="str">
        <f>IFERROR(__xludf.DUMMYFUNCTION("""COMPUTED_VALUE"""),"-")</f>
        <v>-</v>
      </c>
      <c r="G3742" s="238" t="str">
        <f>IFERROR(__xludf.DUMMYFUNCTION("""COMPUTED_VALUE"""),"-")</f>
        <v>-</v>
      </c>
      <c r="H3742" s="238" t="str">
        <f>IFERROR(__xludf.DUMMYFUNCTION("""COMPUTED_VALUE"""),"-")</f>
        <v>-</v>
      </c>
      <c r="I3742" s="237" t="str">
        <f t="shared" si="1"/>
        <v>Dentro</v>
      </c>
      <c r="J3742" s="239" t="e">
        <v>#VALUE!</v>
      </c>
    </row>
    <row r="3743">
      <c r="A3743" s="244" t="s">
        <v>4995</v>
      </c>
      <c r="B3743" s="234" t="str">
        <f>IFERROR(__xludf.DUMMYFUNCTION("""COMPUTED_VALUE"""),"Fanout Desconhecido")</f>
        <v>Fanout Desconhecido</v>
      </c>
      <c r="C3743" s="234" t="str">
        <f>IFERROR(__xludf.DUMMYFUNCTION("""COMPUTED_VALUE"""),"-")</f>
        <v>-</v>
      </c>
      <c r="D3743" s="234">
        <f>IFERROR(__xludf.DUMMYFUNCTION("""COMPUTED_VALUE"""),36.0)</f>
        <v>36</v>
      </c>
      <c r="E3743" s="245" t="str">
        <f>IFERROR(__xludf.DUMMYFUNCTION("""COMPUTED_VALUE"""),"LT0Q1201V8171")</f>
        <v>LT0Q1201V8171</v>
      </c>
      <c r="F3743" s="238" t="str">
        <f>IFERROR(__xludf.DUMMYFUNCTION("""COMPUTED_VALUE"""),"-")</f>
        <v>-</v>
      </c>
      <c r="G3743" s="238" t="str">
        <f>IFERROR(__xludf.DUMMYFUNCTION("""COMPUTED_VALUE"""),"-")</f>
        <v>-</v>
      </c>
      <c r="H3743" s="238" t="str">
        <f>IFERROR(__xludf.DUMMYFUNCTION("""COMPUTED_VALUE"""),"-")</f>
        <v>-</v>
      </c>
      <c r="I3743" s="237" t="str">
        <f t="shared" si="1"/>
        <v>Dentro</v>
      </c>
      <c r="J3743" s="239" t="e">
        <v>#VALUE!</v>
      </c>
    </row>
    <row r="3744">
      <c r="A3744" s="244" t="s">
        <v>4996</v>
      </c>
      <c r="B3744" s="234" t="str">
        <f>IFERROR(__xludf.DUMMYFUNCTION("""COMPUTED_VALUE"""),"Fanout Desconhecido")</f>
        <v>Fanout Desconhecido</v>
      </c>
      <c r="C3744" s="234" t="str">
        <f>IFERROR(__xludf.DUMMYFUNCTION("""COMPUTED_VALUE"""),"-")</f>
        <v>-</v>
      </c>
      <c r="D3744" s="234">
        <f>IFERROR(__xludf.DUMMYFUNCTION("""COMPUTED_VALUE"""),29.0)</f>
        <v>29</v>
      </c>
      <c r="E3744" s="245" t="str">
        <f>IFERROR(__xludf.DUMMYFUNCTION("""COMPUTED_VALUE"""),"LT0Q1201V8291")</f>
        <v>LT0Q1201V8291</v>
      </c>
      <c r="F3744" s="238" t="str">
        <f>IFERROR(__xludf.DUMMYFUNCTION("""COMPUTED_VALUE"""),"-")</f>
        <v>-</v>
      </c>
      <c r="G3744" s="238" t="str">
        <f>IFERROR(__xludf.DUMMYFUNCTION("""COMPUTED_VALUE"""),"-")</f>
        <v>-</v>
      </c>
      <c r="H3744" s="238" t="str">
        <f>IFERROR(__xludf.DUMMYFUNCTION("""COMPUTED_VALUE"""),"-")</f>
        <v>-</v>
      </c>
      <c r="I3744" s="237" t="str">
        <f t="shared" si="1"/>
        <v>Dentro</v>
      </c>
      <c r="J3744" s="239" t="e">
        <v>#VALUE!</v>
      </c>
    </row>
    <row r="3745">
      <c r="A3745" s="244" t="s">
        <v>4997</v>
      </c>
      <c r="B3745" s="234" t="str">
        <f>IFERROR(__xludf.DUMMYFUNCTION("""COMPUTED_VALUE"""),"Fanout Desconhecido")</f>
        <v>Fanout Desconhecido</v>
      </c>
      <c r="C3745" s="234" t="str">
        <f>IFERROR(__xludf.DUMMYFUNCTION("""COMPUTED_VALUE"""),"-")</f>
        <v>-</v>
      </c>
      <c r="D3745" s="234"/>
      <c r="E3745" s="245" t="str">
        <f>IFERROR(__xludf.DUMMYFUNCTION("""COMPUTED_VALUE"""),"LT0Q1201V82B2")</f>
        <v>LT0Q1201V82B2</v>
      </c>
      <c r="F3745" s="238" t="str">
        <f>IFERROR(__xludf.DUMMYFUNCTION("""COMPUTED_VALUE"""),"-")</f>
        <v>-</v>
      </c>
      <c r="G3745" s="238" t="str">
        <f>IFERROR(__xludf.DUMMYFUNCTION("""COMPUTED_VALUE"""),"-")</f>
        <v>-</v>
      </c>
      <c r="H3745" s="238" t="str">
        <f>IFERROR(__xludf.DUMMYFUNCTION("""COMPUTED_VALUE"""),"-")</f>
        <v>-</v>
      </c>
      <c r="I3745" s="237" t="str">
        <f t="shared" si="1"/>
        <v>Dentro</v>
      </c>
      <c r="J3745" s="239" t="e">
        <v>#VALUE!</v>
      </c>
    </row>
    <row r="3746">
      <c r="A3746" s="244" t="s">
        <v>4998</v>
      </c>
      <c r="B3746" s="234" t="str">
        <f>IFERROR(__xludf.DUMMYFUNCTION("""COMPUTED_VALUE"""),"Fanout Desconhecido")</f>
        <v>Fanout Desconhecido</v>
      </c>
      <c r="C3746" s="234" t="str">
        <f>IFERROR(__xludf.DUMMYFUNCTION("""COMPUTED_VALUE"""),"-")</f>
        <v>-</v>
      </c>
      <c r="D3746" s="234"/>
      <c r="E3746" s="245" t="str">
        <f>IFERROR(__xludf.DUMMYFUNCTION("""COMPUTED_VALUE"""),"LT0Q1201V84C1")</f>
        <v>LT0Q1201V84C1</v>
      </c>
      <c r="F3746" s="238" t="str">
        <f>IFERROR(__xludf.DUMMYFUNCTION("""COMPUTED_VALUE"""),"-")</f>
        <v>-</v>
      </c>
      <c r="G3746" s="238" t="str">
        <f>IFERROR(__xludf.DUMMYFUNCTION("""COMPUTED_VALUE"""),"-")</f>
        <v>-</v>
      </c>
      <c r="H3746" s="238" t="str">
        <f>IFERROR(__xludf.DUMMYFUNCTION("""COMPUTED_VALUE"""),"-")</f>
        <v>-</v>
      </c>
      <c r="I3746" s="237" t="str">
        <f t="shared" si="1"/>
        <v>Dentro</v>
      </c>
      <c r="J3746" s="239" t="e">
        <v>#VALUE!</v>
      </c>
    </row>
    <row r="3747">
      <c r="A3747" s="244" t="s">
        <v>4999</v>
      </c>
      <c r="B3747" s="234" t="str">
        <f>IFERROR(__xludf.DUMMYFUNCTION("""COMPUTED_VALUE"""),"Fanout Desconhecido")</f>
        <v>Fanout Desconhecido</v>
      </c>
      <c r="C3747" s="234" t="str">
        <f>IFERROR(__xludf.DUMMYFUNCTION("""COMPUTED_VALUE"""),"-")</f>
        <v>-</v>
      </c>
      <c r="D3747" s="234">
        <f>IFERROR(__xludf.DUMMYFUNCTION("""COMPUTED_VALUE"""),15.0)</f>
        <v>15</v>
      </c>
      <c r="E3747" s="245" t="str">
        <f>IFERROR(__xludf.DUMMYFUNCTION("""COMPUTED_VALUE"""),"LT0Q1201V84E2")</f>
        <v>LT0Q1201V84E2</v>
      </c>
      <c r="F3747" s="238" t="str">
        <f>IFERROR(__xludf.DUMMYFUNCTION("""COMPUTED_VALUE"""),"-")</f>
        <v>-</v>
      </c>
      <c r="G3747" s="238" t="str">
        <f>IFERROR(__xludf.DUMMYFUNCTION("""COMPUTED_VALUE"""),"-")</f>
        <v>-</v>
      </c>
      <c r="H3747" s="238" t="str">
        <f>IFERROR(__xludf.DUMMYFUNCTION("""COMPUTED_VALUE"""),"-")</f>
        <v>-</v>
      </c>
      <c r="I3747" s="237" t="str">
        <f t="shared" si="1"/>
        <v>Dentro</v>
      </c>
      <c r="J3747" s="239" t="e">
        <v>#VALUE!</v>
      </c>
    </row>
    <row r="3748">
      <c r="A3748" s="244" t="s">
        <v>5000</v>
      </c>
      <c r="B3748" s="234" t="str">
        <f>IFERROR(__xludf.DUMMYFUNCTION("""COMPUTED_VALUE"""),"Fanout Desconhecido")</f>
        <v>Fanout Desconhecido</v>
      </c>
      <c r="C3748" s="234" t="str">
        <f>IFERROR(__xludf.DUMMYFUNCTION("""COMPUTED_VALUE"""),"-")</f>
        <v>-</v>
      </c>
      <c r="D3748" s="234"/>
      <c r="E3748" s="245" t="str">
        <f>IFERROR(__xludf.DUMMYFUNCTION("""COMPUTED_VALUE"""),"LT0Q1201VBX21")</f>
        <v>LT0Q1201VBX21</v>
      </c>
      <c r="F3748" s="238" t="str">
        <f>IFERROR(__xludf.DUMMYFUNCTION("""COMPUTED_VALUE"""),"-")</f>
        <v>-</v>
      </c>
      <c r="G3748" s="238" t="str">
        <f>IFERROR(__xludf.DUMMYFUNCTION("""COMPUTED_VALUE"""),"-")</f>
        <v>-</v>
      </c>
      <c r="H3748" s="238" t="str">
        <f>IFERROR(__xludf.DUMMYFUNCTION("""COMPUTED_VALUE"""),"-")</f>
        <v>-</v>
      </c>
      <c r="I3748" s="237" t="str">
        <f t="shared" si="1"/>
        <v>Dentro</v>
      </c>
      <c r="J3748" s="239" t="e">
        <v>#VALUE!</v>
      </c>
    </row>
    <row r="3749">
      <c r="A3749" s="244" t="s">
        <v>5001</v>
      </c>
      <c r="B3749" s="234" t="str">
        <f>IFERROR(__xludf.DUMMYFUNCTION("""COMPUTED_VALUE"""),"Fanout Desconhecido")</f>
        <v>Fanout Desconhecido</v>
      </c>
      <c r="C3749" s="234" t="str">
        <f>IFERROR(__xludf.DUMMYFUNCTION("""COMPUTED_VALUE"""),"-")</f>
        <v>-</v>
      </c>
      <c r="D3749" s="234">
        <f>IFERROR(__xludf.DUMMYFUNCTION("""COMPUTED_VALUE"""),22.0)</f>
        <v>22</v>
      </c>
      <c r="E3749" s="245" t="str">
        <f>IFERROR(__xludf.DUMMYFUNCTION("""COMPUTED_VALUE"""),"LT0Q1201V83L1")</f>
        <v>LT0Q1201V83L1</v>
      </c>
      <c r="F3749" s="238" t="str">
        <f>IFERROR(__xludf.DUMMYFUNCTION("""COMPUTED_VALUE"""),"-")</f>
        <v>-</v>
      </c>
      <c r="G3749" s="238" t="str">
        <f>IFERROR(__xludf.DUMMYFUNCTION("""COMPUTED_VALUE"""),"-")</f>
        <v>-</v>
      </c>
      <c r="H3749" s="238" t="str">
        <f>IFERROR(__xludf.DUMMYFUNCTION("""COMPUTED_VALUE"""),"-")</f>
        <v>-</v>
      </c>
      <c r="I3749" s="237" t="str">
        <f t="shared" si="1"/>
        <v>Dentro</v>
      </c>
      <c r="J3749" s="239" t="e">
        <v>#VALUE!</v>
      </c>
    </row>
    <row r="3750">
      <c r="A3750" s="244" t="s">
        <v>5002</v>
      </c>
      <c r="B3750" s="234" t="str">
        <f>IFERROR(__xludf.DUMMYFUNCTION("""COMPUTED_VALUE"""),"Fanout Desconhecido")</f>
        <v>Fanout Desconhecido</v>
      </c>
      <c r="C3750" s="234" t="str">
        <f>IFERROR(__xludf.DUMMYFUNCTION("""COMPUTED_VALUE"""),"-")</f>
        <v>-</v>
      </c>
      <c r="D3750" s="234"/>
      <c r="E3750" s="245" t="str">
        <f>IFERROR(__xludf.DUMMYFUNCTION("""COMPUTED_VALUE"""),"LT0Q1201V83N2")</f>
        <v>LT0Q1201V83N2</v>
      </c>
      <c r="F3750" s="238" t="str">
        <f>IFERROR(__xludf.DUMMYFUNCTION("""COMPUTED_VALUE"""),"-")</f>
        <v>-</v>
      </c>
      <c r="G3750" s="238" t="str">
        <f>IFERROR(__xludf.DUMMYFUNCTION("""COMPUTED_VALUE"""),"-")</f>
        <v>-</v>
      </c>
      <c r="H3750" s="238" t="str">
        <f>IFERROR(__xludf.DUMMYFUNCTION("""COMPUTED_VALUE"""),"-")</f>
        <v>-</v>
      </c>
      <c r="I3750" s="237" t="str">
        <f t="shared" si="1"/>
        <v>Dentro</v>
      </c>
      <c r="J3750" s="239" t="e">
        <v>#VALUE!</v>
      </c>
    </row>
    <row r="3751">
      <c r="A3751" s="244" t="s">
        <v>5003</v>
      </c>
      <c r="B3751" s="234" t="str">
        <f>IFERROR(__xludf.DUMMYFUNCTION("""COMPUTED_VALUE"""),"Fanout Desconhecido")</f>
        <v>Fanout Desconhecido</v>
      </c>
      <c r="C3751" s="234" t="str">
        <f>IFERROR(__xludf.DUMMYFUNCTION("""COMPUTED_VALUE"""),"-")</f>
        <v>-</v>
      </c>
      <c r="D3751" s="234"/>
      <c r="E3751" s="245" t="str">
        <f>IFERROR(__xludf.DUMMYFUNCTION("""COMPUTED_VALUE"""),"LT0Q1201V82W1")</f>
        <v>LT0Q1201V82W1</v>
      </c>
      <c r="F3751" s="238" t="str">
        <f>IFERROR(__xludf.DUMMYFUNCTION("""COMPUTED_VALUE"""),"-")</f>
        <v>-</v>
      </c>
      <c r="G3751" s="238" t="str">
        <f>IFERROR(__xludf.DUMMYFUNCTION("""COMPUTED_VALUE"""),"-")</f>
        <v>-</v>
      </c>
      <c r="H3751" s="238" t="str">
        <f>IFERROR(__xludf.DUMMYFUNCTION("""COMPUTED_VALUE"""),"-")</f>
        <v>-</v>
      </c>
      <c r="I3751" s="237" t="str">
        <f t="shared" si="1"/>
        <v>Dentro</v>
      </c>
      <c r="J3751" s="239" t="e">
        <v>#VALUE!</v>
      </c>
    </row>
    <row r="3752">
      <c r="A3752" s="244" t="s">
        <v>5004</v>
      </c>
      <c r="B3752" s="234" t="str">
        <f>IFERROR(__xludf.DUMMYFUNCTION("""COMPUTED_VALUE"""),"Fanout Desconhecido")</f>
        <v>Fanout Desconhecido</v>
      </c>
      <c r="C3752" s="234" t="str">
        <f>IFERROR(__xludf.DUMMYFUNCTION("""COMPUTED_VALUE"""),"-")</f>
        <v>-</v>
      </c>
      <c r="D3752" s="234"/>
      <c r="E3752" s="245" t="str">
        <f>IFERROR(__xludf.DUMMYFUNCTION("""COMPUTED_VALUE"""),"LT0Q1201V80M1")</f>
        <v>LT0Q1201V80M1</v>
      </c>
      <c r="F3752" s="238" t="str">
        <f>IFERROR(__xludf.DUMMYFUNCTION("""COMPUTED_VALUE"""),"-")</f>
        <v>-</v>
      </c>
      <c r="G3752" s="238" t="str">
        <f>IFERROR(__xludf.DUMMYFUNCTION("""COMPUTED_VALUE"""),"-")</f>
        <v>-</v>
      </c>
      <c r="H3752" s="238" t="str">
        <f>IFERROR(__xludf.DUMMYFUNCTION("""COMPUTED_VALUE"""),"-")</f>
        <v>-</v>
      </c>
      <c r="I3752" s="237" t="str">
        <f t="shared" si="1"/>
        <v>Dentro</v>
      </c>
      <c r="J3752" s="239" t="e">
        <v>#VALUE!</v>
      </c>
    </row>
    <row r="3753">
      <c r="A3753" s="244" t="s">
        <v>5005</v>
      </c>
      <c r="B3753" s="234" t="str">
        <f>IFERROR(__xludf.DUMMYFUNCTION("""COMPUTED_VALUE"""),"Fanout Desconhecido")</f>
        <v>Fanout Desconhecido</v>
      </c>
      <c r="C3753" s="234" t="str">
        <f>IFERROR(__xludf.DUMMYFUNCTION("""COMPUTED_VALUE"""),"-")</f>
        <v>-</v>
      </c>
      <c r="D3753" s="234">
        <f>IFERROR(__xludf.DUMMYFUNCTION("""COMPUTED_VALUE"""),12.0)</f>
        <v>12</v>
      </c>
      <c r="E3753" s="245" t="str">
        <f>IFERROR(__xludf.DUMMYFUNCTION("""COMPUTED_VALUE"""),"LT0Q1201V81R1")</f>
        <v>LT0Q1201V81R1</v>
      </c>
      <c r="F3753" s="238" t="str">
        <f>IFERROR(__xludf.DUMMYFUNCTION("""COMPUTED_VALUE"""),"-")</f>
        <v>-</v>
      </c>
      <c r="G3753" s="238" t="str">
        <f>IFERROR(__xludf.DUMMYFUNCTION("""COMPUTED_VALUE"""),"-")</f>
        <v>-</v>
      </c>
      <c r="H3753" s="238" t="str">
        <f>IFERROR(__xludf.DUMMYFUNCTION("""COMPUTED_VALUE"""),"-")</f>
        <v>-</v>
      </c>
      <c r="I3753" s="237" t="str">
        <f t="shared" si="1"/>
        <v>Dentro</v>
      </c>
      <c r="J3753" s="239" t="e">
        <v>#VALUE!</v>
      </c>
    </row>
    <row r="3754">
      <c r="A3754" s="244" t="s">
        <v>5006</v>
      </c>
      <c r="B3754" s="234" t="str">
        <f>IFERROR(__xludf.DUMMYFUNCTION("""COMPUTED_VALUE"""),"Fanout Desconhecido")</f>
        <v>Fanout Desconhecido</v>
      </c>
      <c r="C3754" s="234" t="str">
        <f>IFERROR(__xludf.DUMMYFUNCTION("""COMPUTED_VALUE"""),"-")</f>
        <v>-</v>
      </c>
      <c r="D3754" s="234"/>
      <c r="E3754" s="245" t="str">
        <f>IFERROR(__xludf.DUMMYFUNCTION("""COMPUTED_VALUE"""),"LT0Q1201V81X1")</f>
        <v>LT0Q1201V81X1</v>
      </c>
      <c r="F3754" s="238" t="str">
        <f>IFERROR(__xludf.DUMMYFUNCTION("""COMPUTED_VALUE"""),"-")</f>
        <v>-</v>
      </c>
      <c r="G3754" s="238" t="str">
        <f>IFERROR(__xludf.DUMMYFUNCTION("""COMPUTED_VALUE"""),"-")</f>
        <v>-</v>
      </c>
      <c r="H3754" s="238" t="str">
        <f>IFERROR(__xludf.DUMMYFUNCTION("""COMPUTED_VALUE"""),"-")</f>
        <v>-</v>
      </c>
      <c r="I3754" s="237" t="str">
        <f t="shared" si="1"/>
        <v>Dentro</v>
      </c>
      <c r="J3754" s="239" t="e">
        <v>#VALUE!</v>
      </c>
    </row>
    <row r="3755">
      <c r="A3755" s="234" t="s">
        <v>5007</v>
      </c>
      <c r="B3755" s="234" t="str">
        <f>IFERROR(__xludf.DUMMYFUNCTION("""COMPUTED_VALUE"""),"Fanout Desconhecido")</f>
        <v>Fanout Desconhecido</v>
      </c>
      <c r="C3755" s="234" t="str">
        <f>IFERROR(__xludf.DUMMYFUNCTION("""COMPUTED_VALUE"""),"-")</f>
        <v>-</v>
      </c>
      <c r="D3755" s="234">
        <f>IFERROR(__xludf.DUMMYFUNCTION("""COMPUTED_VALUE"""),14.0)</f>
        <v>14</v>
      </c>
      <c r="E3755" s="237" t="str">
        <f>IFERROR(__xludf.DUMMYFUNCTION("""COMPUTED_VALUE"""),"LT0Q1201V8211")</f>
        <v>LT0Q1201V8211</v>
      </c>
      <c r="F3755" s="238" t="str">
        <f>IFERROR(__xludf.DUMMYFUNCTION("""COMPUTED_VALUE"""),"-")</f>
        <v>-</v>
      </c>
      <c r="G3755" s="238" t="str">
        <f>IFERROR(__xludf.DUMMYFUNCTION("""COMPUTED_VALUE"""),"-")</f>
        <v>-</v>
      </c>
      <c r="H3755" s="238" t="str">
        <f>IFERROR(__xludf.DUMMYFUNCTION("""COMPUTED_VALUE"""),"-")</f>
        <v>-</v>
      </c>
      <c r="I3755" s="237" t="str">
        <f t="shared" si="1"/>
        <v>Dentro</v>
      </c>
      <c r="J3755" s="239" t="e">
        <v>#VALUE!</v>
      </c>
    </row>
    <row r="3756">
      <c r="A3756" s="244" t="s">
        <v>5008</v>
      </c>
      <c r="B3756" s="234" t="str">
        <f>IFERROR(__xludf.DUMMYFUNCTION("""COMPUTED_VALUE"""),"Fanout Desconhecido")</f>
        <v>Fanout Desconhecido</v>
      </c>
      <c r="C3756" s="234" t="str">
        <f>IFERROR(__xludf.DUMMYFUNCTION("""COMPUTED_VALUE"""),"-")</f>
        <v>-</v>
      </c>
      <c r="D3756" s="234">
        <f>IFERROR(__xludf.DUMMYFUNCTION("""COMPUTED_VALUE"""),5.0)</f>
        <v>5</v>
      </c>
      <c r="E3756" s="245" t="str">
        <f>IFERROR(__xludf.DUMMYFUNCTION("""COMPUTED_VALUE"""),"LT0Q1201V8411")</f>
        <v>LT0Q1201V8411</v>
      </c>
      <c r="F3756" s="238" t="str">
        <f>IFERROR(__xludf.DUMMYFUNCTION("""COMPUTED_VALUE"""),"-")</f>
        <v>-</v>
      </c>
      <c r="G3756" s="238" t="str">
        <f>IFERROR(__xludf.DUMMYFUNCTION("""COMPUTED_VALUE"""),"-")</f>
        <v>-</v>
      </c>
      <c r="H3756" s="238" t="str">
        <f>IFERROR(__xludf.DUMMYFUNCTION("""COMPUTED_VALUE"""),"-")</f>
        <v>-</v>
      </c>
      <c r="I3756" s="237" t="str">
        <f t="shared" si="1"/>
        <v>Dentro</v>
      </c>
      <c r="J3756" s="239" t="e">
        <v>#VALUE!</v>
      </c>
    </row>
    <row r="3757">
      <c r="A3757" s="244" t="s">
        <v>5009</v>
      </c>
      <c r="B3757" s="234" t="str">
        <f>IFERROR(__xludf.DUMMYFUNCTION("""COMPUTED_VALUE"""),"Fanout Desconhecido")</f>
        <v>Fanout Desconhecido</v>
      </c>
      <c r="C3757" s="234" t="str">
        <f>IFERROR(__xludf.DUMMYFUNCTION("""COMPUTED_VALUE"""),"-")</f>
        <v>-</v>
      </c>
      <c r="D3757" s="234"/>
      <c r="E3757" s="245" t="str">
        <f>IFERROR(__xludf.DUMMYFUNCTION("""COMPUTED_VALUE"""),"LT0Q1201V8432")</f>
        <v>LT0Q1201V8432</v>
      </c>
      <c r="F3757" s="238" t="str">
        <f>IFERROR(__xludf.DUMMYFUNCTION("""COMPUTED_VALUE"""),"-")</f>
        <v>-</v>
      </c>
      <c r="G3757" s="238" t="str">
        <f>IFERROR(__xludf.DUMMYFUNCTION("""COMPUTED_VALUE"""),"-")</f>
        <v>-</v>
      </c>
      <c r="H3757" s="238" t="str">
        <f>IFERROR(__xludf.DUMMYFUNCTION("""COMPUTED_VALUE"""),"-")</f>
        <v>-</v>
      </c>
      <c r="I3757" s="237" t="str">
        <f t="shared" si="1"/>
        <v>Dentro</v>
      </c>
      <c r="J3757" s="239" t="e">
        <v>#VALUE!</v>
      </c>
    </row>
    <row r="3758">
      <c r="A3758" s="244" t="s">
        <v>5010</v>
      </c>
      <c r="B3758" s="234" t="str">
        <f>IFERROR(__xludf.DUMMYFUNCTION("""COMPUTED_VALUE"""),"Fanout Desconhecido")</f>
        <v>Fanout Desconhecido</v>
      </c>
      <c r="C3758" s="234" t="str">
        <f>IFERROR(__xludf.DUMMYFUNCTION("""COMPUTED_VALUE"""),"-")</f>
        <v>-</v>
      </c>
      <c r="D3758" s="234"/>
      <c r="E3758" s="245" t="str">
        <f>IFERROR(__xludf.DUMMYFUNCTION("""COMPUTED_VALUE"""),"LT0Q1201V8HV1")</f>
        <v>LT0Q1201V8HV1</v>
      </c>
      <c r="F3758" s="238" t="str">
        <f>IFERROR(__xludf.DUMMYFUNCTION("""COMPUTED_VALUE"""),"-")</f>
        <v>-</v>
      </c>
      <c r="G3758" s="238" t="str">
        <f>IFERROR(__xludf.DUMMYFUNCTION("""COMPUTED_VALUE"""),"-")</f>
        <v>-</v>
      </c>
      <c r="H3758" s="238" t="str">
        <f>IFERROR(__xludf.DUMMYFUNCTION("""COMPUTED_VALUE"""),"-")</f>
        <v>-</v>
      </c>
      <c r="I3758" s="237" t="str">
        <f t="shared" si="1"/>
        <v>Dentro</v>
      </c>
      <c r="J3758" s="239" t="e">
        <v>#VALUE!</v>
      </c>
    </row>
    <row r="3759">
      <c r="A3759" s="244" t="s">
        <v>5011</v>
      </c>
      <c r="B3759" s="234" t="str">
        <f>IFERROR(__xludf.DUMMYFUNCTION("""COMPUTED_VALUE"""),"Fanout Desconhecido")</f>
        <v>Fanout Desconhecido</v>
      </c>
      <c r="C3759" s="234" t="str">
        <f>IFERROR(__xludf.DUMMYFUNCTION("""COMPUTED_VALUE"""),"-")</f>
        <v>-</v>
      </c>
      <c r="D3759" s="234"/>
      <c r="E3759" s="245" t="str">
        <f>IFERROR(__xludf.DUMMYFUNCTION("""COMPUTED_VALUE"""),"LT0Q1201V8HX2")</f>
        <v>LT0Q1201V8HX2</v>
      </c>
      <c r="F3759" s="238" t="str">
        <f>IFERROR(__xludf.DUMMYFUNCTION("""COMPUTED_VALUE"""),"-")</f>
        <v>-</v>
      </c>
      <c r="G3759" s="238" t="str">
        <f>IFERROR(__xludf.DUMMYFUNCTION("""COMPUTED_VALUE"""),"-")</f>
        <v>-</v>
      </c>
      <c r="H3759" s="238" t="str">
        <f>IFERROR(__xludf.DUMMYFUNCTION("""COMPUTED_VALUE"""),"-")</f>
        <v>-</v>
      </c>
      <c r="I3759" s="237" t="str">
        <f t="shared" si="1"/>
        <v>Dentro</v>
      </c>
      <c r="J3759" s="239" t="e">
        <v>#VALUE!</v>
      </c>
    </row>
    <row r="3760">
      <c r="A3760" s="244" t="s">
        <v>5012</v>
      </c>
      <c r="B3760" s="234" t="str">
        <f>IFERROR(__xludf.DUMMYFUNCTION("""COMPUTED_VALUE"""),"Fanout Desconhecido")</f>
        <v>Fanout Desconhecido</v>
      </c>
      <c r="C3760" s="234" t="str">
        <f>IFERROR(__xludf.DUMMYFUNCTION("""COMPUTED_VALUE"""),"-")</f>
        <v>-</v>
      </c>
      <c r="D3760" s="234">
        <f>IFERROR(__xludf.DUMMYFUNCTION("""COMPUTED_VALUE"""),35.0)</f>
        <v>35</v>
      </c>
      <c r="E3760" s="245" t="str">
        <f>IFERROR(__xludf.DUMMYFUNCTION("""COMPUTED_VALUE"""),"LT0Q1201V8HZ3")</f>
        <v>LT0Q1201V8HZ3</v>
      </c>
      <c r="F3760" s="238" t="str">
        <f>IFERROR(__xludf.DUMMYFUNCTION("""COMPUTED_VALUE"""),"-")</f>
        <v>-</v>
      </c>
      <c r="G3760" s="238" t="str">
        <f>IFERROR(__xludf.DUMMYFUNCTION("""COMPUTED_VALUE"""),"-")</f>
        <v>-</v>
      </c>
      <c r="H3760" s="238" t="str">
        <f>IFERROR(__xludf.DUMMYFUNCTION("""COMPUTED_VALUE"""),"-")</f>
        <v>-</v>
      </c>
      <c r="I3760" s="237" t="str">
        <f t="shared" si="1"/>
        <v>Dentro</v>
      </c>
      <c r="J3760" s="239" t="e">
        <v>#VALUE!</v>
      </c>
    </row>
    <row r="3761">
      <c r="A3761" s="244" t="s">
        <v>5013</v>
      </c>
      <c r="B3761" s="234" t="str">
        <f>IFERROR(__xludf.DUMMYFUNCTION("""COMPUTED_VALUE"""),"Fanout Desconhecido")</f>
        <v>Fanout Desconhecido</v>
      </c>
      <c r="C3761" s="234" t="str">
        <f>IFERROR(__xludf.DUMMYFUNCTION("""COMPUTED_VALUE"""),"-")</f>
        <v>-</v>
      </c>
      <c r="D3761" s="234"/>
      <c r="E3761" s="245" t="str">
        <f>IFERROR(__xludf.DUMMYFUNCTION("""COMPUTED_VALUE"""),"LT0Q1201VAPN1")</f>
        <v>LT0Q1201VAPN1</v>
      </c>
      <c r="F3761" s="238" t="str">
        <f>IFERROR(__xludf.DUMMYFUNCTION("""COMPUTED_VALUE"""),"-")</f>
        <v>-</v>
      </c>
      <c r="G3761" s="238" t="str">
        <f>IFERROR(__xludf.DUMMYFUNCTION("""COMPUTED_VALUE"""),"-")</f>
        <v>-</v>
      </c>
      <c r="H3761" s="238" t="str">
        <f>IFERROR(__xludf.DUMMYFUNCTION("""COMPUTED_VALUE"""),"-")</f>
        <v>-</v>
      </c>
      <c r="I3761" s="237" t="str">
        <f t="shared" si="1"/>
        <v>Dentro</v>
      </c>
      <c r="J3761" s="239" t="e">
        <v>#VALUE!</v>
      </c>
    </row>
    <row r="3762">
      <c r="A3762" s="244" t="s">
        <v>5014</v>
      </c>
      <c r="B3762" s="234" t="str">
        <f>IFERROR(__xludf.DUMMYFUNCTION("""COMPUTED_VALUE"""),"Fanout Desconhecido")</f>
        <v>Fanout Desconhecido</v>
      </c>
      <c r="C3762" s="234" t="str">
        <f>IFERROR(__xludf.DUMMYFUNCTION("""COMPUTED_VALUE"""),"-")</f>
        <v>-</v>
      </c>
      <c r="D3762" s="234">
        <f>IFERROR(__xludf.DUMMYFUNCTION("""COMPUTED_VALUE"""),13.0)</f>
        <v>13</v>
      </c>
      <c r="E3762" s="245" t="str">
        <f>IFERROR(__xludf.DUMMYFUNCTION("""COMPUTED_VALUE"""),"LT0Q1201VBJX1")</f>
        <v>LT0Q1201VBJX1</v>
      </c>
      <c r="F3762" s="238" t="str">
        <f>IFERROR(__xludf.DUMMYFUNCTION("""COMPUTED_VALUE"""),"-")</f>
        <v>-</v>
      </c>
      <c r="G3762" s="238" t="str">
        <f>IFERROR(__xludf.DUMMYFUNCTION("""COMPUTED_VALUE"""),"-")</f>
        <v>-</v>
      </c>
      <c r="H3762" s="238" t="str">
        <f>IFERROR(__xludf.DUMMYFUNCTION("""COMPUTED_VALUE"""),"-")</f>
        <v>-</v>
      </c>
      <c r="I3762" s="237" t="str">
        <f t="shared" si="1"/>
        <v>Dentro</v>
      </c>
      <c r="J3762" s="239" t="e">
        <v>#VALUE!</v>
      </c>
    </row>
    <row r="3763">
      <c r="A3763" s="244" t="s">
        <v>5015</v>
      </c>
      <c r="B3763" s="234" t="str">
        <f>IFERROR(__xludf.DUMMYFUNCTION("""COMPUTED_VALUE"""),"Fanout Desconhecido")</f>
        <v>Fanout Desconhecido</v>
      </c>
      <c r="C3763" s="234" t="str">
        <f>IFERROR(__xludf.DUMMYFUNCTION("""COMPUTED_VALUE"""),"-")</f>
        <v>-</v>
      </c>
      <c r="D3763" s="234">
        <f>IFERROR(__xludf.DUMMYFUNCTION("""COMPUTED_VALUE"""),111.0)</f>
        <v>111</v>
      </c>
      <c r="E3763" s="245" t="str">
        <f>IFERROR(__xludf.DUMMYFUNCTION("""COMPUTED_VALUE"""),"LT1Q1201VYET1")</f>
        <v>LT1Q1201VYET1</v>
      </c>
      <c r="F3763" s="238" t="str">
        <f>IFERROR(__xludf.DUMMYFUNCTION("""COMPUTED_VALUE"""),"-")</f>
        <v>-</v>
      </c>
      <c r="G3763" s="238" t="str">
        <f>IFERROR(__xludf.DUMMYFUNCTION("""COMPUTED_VALUE"""),"-")</f>
        <v>-</v>
      </c>
      <c r="H3763" s="238" t="str">
        <f>IFERROR(__xludf.DUMMYFUNCTION("""COMPUTED_VALUE"""),"-")</f>
        <v>-</v>
      </c>
      <c r="I3763" s="237" t="str">
        <f t="shared" si="1"/>
        <v>Dentro</v>
      </c>
      <c r="J3763" s="239" t="e">
        <v>#VALUE!</v>
      </c>
    </row>
    <row r="3764">
      <c r="A3764" s="244" t="s">
        <v>640</v>
      </c>
      <c r="B3764" s="234" t="str">
        <f>IFERROR(__xludf.DUMMYFUNCTION("""COMPUTED_VALUE"""),"Fanout Desconhecido")</f>
        <v>Fanout Desconhecido</v>
      </c>
      <c r="C3764" s="234" t="str">
        <f>IFERROR(__xludf.DUMMYFUNCTION("""COMPUTED_VALUE"""),"-")</f>
        <v>-</v>
      </c>
      <c r="D3764" s="234">
        <f>IFERROR(__xludf.DUMMYFUNCTION("""COMPUTED_VALUE"""),110.0)</f>
        <v>110</v>
      </c>
      <c r="E3764" s="245" t="str">
        <f>IFERROR(__xludf.DUMMYFUNCTION("""COMPUTED_VALUE"""),"LT1Q1201VYEU1")</f>
        <v>LT1Q1201VYEU1</v>
      </c>
      <c r="F3764" s="238" t="str">
        <f>IFERROR(__xludf.DUMMYFUNCTION("""COMPUTED_VALUE"""),"-")</f>
        <v>-</v>
      </c>
      <c r="G3764" s="238" t="str">
        <f>IFERROR(__xludf.DUMMYFUNCTION("""COMPUTED_VALUE"""),"-")</f>
        <v>-</v>
      </c>
      <c r="H3764" s="238" t="str">
        <f>IFERROR(__xludf.DUMMYFUNCTION("""COMPUTED_VALUE"""),"-")</f>
        <v>-</v>
      </c>
      <c r="I3764" s="237" t="str">
        <f t="shared" si="1"/>
        <v>Dentro</v>
      </c>
      <c r="J3764" s="239" t="e">
        <v>#VALUE!</v>
      </c>
    </row>
    <row r="3765">
      <c r="A3765" s="244" t="s">
        <v>5016</v>
      </c>
      <c r="B3765" s="234" t="str">
        <f>IFERROR(__xludf.DUMMYFUNCTION("""COMPUTED_VALUE"""),"Fanout Desconhecido")</f>
        <v>Fanout Desconhecido</v>
      </c>
      <c r="C3765" s="234" t="str">
        <f>IFERROR(__xludf.DUMMYFUNCTION("""COMPUTED_VALUE"""),"-")</f>
        <v>-</v>
      </c>
      <c r="D3765" s="234">
        <f>IFERROR(__xludf.DUMMYFUNCTION("""COMPUTED_VALUE"""),12.0)</f>
        <v>12</v>
      </c>
      <c r="E3765" s="245" t="str">
        <f>IFERROR(__xludf.DUMMYFUNCTION("""COMPUTED_VALUE"""),"LT0Q1201V9SX1")</f>
        <v>LT0Q1201V9SX1</v>
      </c>
      <c r="F3765" s="238" t="str">
        <f>IFERROR(__xludf.DUMMYFUNCTION("""COMPUTED_VALUE"""),"-")</f>
        <v>-</v>
      </c>
      <c r="G3765" s="238" t="str">
        <f>IFERROR(__xludf.DUMMYFUNCTION("""COMPUTED_VALUE"""),"-")</f>
        <v>-</v>
      </c>
      <c r="H3765" s="238" t="str">
        <f>IFERROR(__xludf.DUMMYFUNCTION("""COMPUTED_VALUE"""),"-")</f>
        <v>-</v>
      </c>
      <c r="I3765" s="237" t="str">
        <f t="shared" si="1"/>
        <v>Dentro</v>
      </c>
      <c r="J3765" s="239" t="e">
        <v>#VALUE!</v>
      </c>
    </row>
    <row r="3766">
      <c r="A3766" s="244" t="s">
        <v>5017</v>
      </c>
      <c r="B3766" s="234" t="str">
        <f>IFERROR(__xludf.DUMMYFUNCTION("""COMPUTED_VALUE"""),"Fanout Desconhecido")</f>
        <v>Fanout Desconhecido</v>
      </c>
      <c r="C3766" s="234" t="str">
        <f>IFERROR(__xludf.DUMMYFUNCTION("""COMPUTED_VALUE"""),"-")</f>
        <v>-</v>
      </c>
      <c r="D3766" s="234"/>
      <c r="E3766" s="245" t="str">
        <f>IFERROR(__xludf.DUMMYFUNCTION("""COMPUTED_VALUE"""),"LT0Q1201V80V1")</f>
        <v>LT0Q1201V80V1</v>
      </c>
      <c r="F3766" s="238" t="str">
        <f>IFERROR(__xludf.DUMMYFUNCTION("""COMPUTED_VALUE"""),"-")</f>
        <v>-</v>
      </c>
      <c r="G3766" s="238" t="str">
        <f>IFERROR(__xludf.DUMMYFUNCTION("""COMPUTED_VALUE"""),"-")</f>
        <v>-</v>
      </c>
      <c r="H3766" s="238" t="str">
        <f>IFERROR(__xludf.DUMMYFUNCTION("""COMPUTED_VALUE"""),"-")</f>
        <v>-</v>
      </c>
      <c r="I3766" s="237" t="str">
        <f t="shared" si="1"/>
        <v>Dentro</v>
      </c>
      <c r="J3766" s="239" t="e">
        <v>#VALUE!</v>
      </c>
    </row>
    <row r="3767">
      <c r="A3767" s="244" t="s">
        <v>5018</v>
      </c>
      <c r="B3767" s="234" t="str">
        <f>IFERROR(__xludf.DUMMYFUNCTION("""COMPUTED_VALUE"""),"Fanout Desconhecido")</f>
        <v>Fanout Desconhecido</v>
      </c>
      <c r="C3767" s="234" t="str">
        <f>IFERROR(__xludf.DUMMYFUNCTION("""COMPUTED_VALUE"""),"-")</f>
        <v>-</v>
      </c>
      <c r="D3767" s="234">
        <f>IFERROR(__xludf.DUMMYFUNCTION("""COMPUTED_VALUE"""),33.0)</f>
        <v>33</v>
      </c>
      <c r="E3767" s="245" t="str">
        <f>IFERROR(__xludf.DUMMYFUNCTION("""COMPUTED_VALUE"""),"LT0Q1201V8191")</f>
        <v>LT0Q1201V8191</v>
      </c>
      <c r="F3767" s="238" t="str">
        <f>IFERROR(__xludf.DUMMYFUNCTION("""COMPUTED_VALUE"""),"-")</f>
        <v>-</v>
      </c>
      <c r="G3767" s="238" t="str">
        <f>IFERROR(__xludf.DUMMYFUNCTION("""COMPUTED_VALUE"""),"-")</f>
        <v>-</v>
      </c>
      <c r="H3767" s="238" t="str">
        <f>IFERROR(__xludf.DUMMYFUNCTION("""COMPUTED_VALUE"""),"-")</f>
        <v>-</v>
      </c>
      <c r="I3767" s="237" t="str">
        <f t="shared" si="1"/>
        <v>Dentro</v>
      </c>
      <c r="J3767" s="239" t="e">
        <v>#VALUE!</v>
      </c>
    </row>
    <row r="3768">
      <c r="A3768" s="244" t="s">
        <v>5019</v>
      </c>
      <c r="B3768" s="234" t="str">
        <f>IFERROR(__xludf.DUMMYFUNCTION("""COMPUTED_VALUE"""),"Fanout Desconhecido")</f>
        <v>Fanout Desconhecido</v>
      </c>
      <c r="C3768" s="234" t="str">
        <f>IFERROR(__xludf.DUMMYFUNCTION("""COMPUTED_VALUE"""),"-")</f>
        <v>-</v>
      </c>
      <c r="D3768" s="234">
        <f>IFERROR(__xludf.DUMMYFUNCTION("""COMPUTED_VALUE"""),27.0)</f>
        <v>27</v>
      </c>
      <c r="E3768" s="245" t="str">
        <f>IFERROR(__xludf.DUMMYFUNCTION("""COMPUTED_VALUE"""),"LT0Q1201V81B2")</f>
        <v>LT0Q1201V81B2</v>
      </c>
      <c r="F3768" s="238" t="str">
        <f>IFERROR(__xludf.DUMMYFUNCTION("""COMPUTED_VALUE"""),"-")</f>
        <v>-</v>
      </c>
      <c r="G3768" s="238" t="str">
        <f>IFERROR(__xludf.DUMMYFUNCTION("""COMPUTED_VALUE"""),"-")</f>
        <v>-</v>
      </c>
      <c r="H3768" s="238" t="str">
        <f>IFERROR(__xludf.DUMMYFUNCTION("""COMPUTED_VALUE"""),"-")</f>
        <v>-</v>
      </c>
      <c r="I3768" s="237" t="str">
        <f t="shared" si="1"/>
        <v>Dentro</v>
      </c>
      <c r="J3768" s="239" t="e">
        <v>#VALUE!</v>
      </c>
    </row>
    <row r="3769">
      <c r="A3769" s="244" t="s">
        <v>5020</v>
      </c>
      <c r="B3769" s="234" t="str">
        <f>IFERROR(__xludf.DUMMYFUNCTION("""COMPUTED_VALUE"""),"Fanout Desconhecido")</f>
        <v>Fanout Desconhecido</v>
      </c>
      <c r="C3769" s="234" t="str">
        <f>IFERROR(__xludf.DUMMYFUNCTION("""COMPUTED_VALUE"""),"-")</f>
        <v>-</v>
      </c>
      <c r="D3769" s="234">
        <f>IFERROR(__xludf.DUMMYFUNCTION("""COMPUTED_VALUE"""),32.0)</f>
        <v>32</v>
      </c>
      <c r="E3769" s="245" t="str">
        <f>IFERROR(__xludf.DUMMYFUNCTION("""COMPUTED_VALUE"""),"LT0Q1201V81D3")</f>
        <v>LT0Q1201V81D3</v>
      </c>
      <c r="F3769" s="238" t="str">
        <f>IFERROR(__xludf.DUMMYFUNCTION("""COMPUTED_VALUE"""),"-")</f>
        <v>-</v>
      </c>
      <c r="G3769" s="238" t="str">
        <f>IFERROR(__xludf.DUMMYFUNCTION("""COMPUTED_VALUE"""),"-")</f>
        <v>-</v>
      </c>
      <c r="H3769" s="238" t="str">
        <f>IFERROR(__xludf.DUMMYFUNCTION("""COMPUTED_VALUE"""),"-")</f>
        <v>-</v>
      </c>
      <c r="I3769" s="237" t="str">
        <f t="shared" si="1"/>
        <v>Dentro</v>
      </c>
      <c r="J3769" s="239" t="e">
        <v>#VALUE!</v>
      </c>
    </row>
    <row r="3770">
      <c r="A3770" s="244" t="s">
        <v>5021</v>
      </c>
      <c r="B3770" s="234" t="str">
        <f>IFERROR(__xludf.DUMMYFUNCTION("""COMPUTED_VALUE"""),"Fanout Desconhecido")</f>
        <v>Fanout Desconhecido</v>
      </c>
      <c r="C3770" s="234" t="str">
        <f>IFERROR(__xludf.DUMMYFUNCTION("""COMPUTED_VALUE"""),"-")</f>
        <v>-</v>
      </c>
      <c r="D3770" s="234">
        <f>IFERROR(__xludf.DUMMYFUNCTION("""COMPUTED_VALUE"""),42.0)</f>
        <v>42</v>
      </c>
      <c r="E3770" s="245" t="str">
        <f>IFERROR(__xludf.DUMMYFUNCTION("""COMPUTED_VALUE"""),"LT0Q1201V8231")</f>
        <v>LT0Q1201V8231</v>
      </c>
      <c r="F3770" s="238" t="str">
        <f>IFERROR(__xludf.DUMMYFUNCTION("""COMPUTED_VALUE"""),"-")</f>
        <v>-</v>
      </c>
      <c r="G3770" s="238" t="str">
        <f>IFERROR(__xludf.DUMMYFUNCTION("""COMPUTED_VALUE"""),"-")</f>
        <v>-</v>
      </c>
      <c r="H3770" s="238" t="str">
        <f>IFERROR(__xludf.DUMMYFUNCTION("""COMPUTED_VALUE"""),"-")</f>
        <v>-</v>
      </c>
      <c r="I3770" s="237" t="str">
        <f t="shared" si="1"/>
        <v>Dentro</v>
      </c>
      <c r="J3770" s="239" t="e">
        <v>#VALUE!</v>
      </c>
    </row>
    <row r="3771">
      <c r="A3771" s="244" t="s">
        <v>5022</v>
      </c>
      <c r="B3771" s="234" t="str">
        <f>IFERROR(__xludf.DUMMYFUNCTION("""COMPUTED_VALUE"""),"Fanout Desconhecido")</f>
        <v>Fanout Desconhecido</v>
      </c>
      <c r="C3771" s="234" t="str">
        <f>IFERROR(__xludf.DUMMYFUNCTION("""COMPUTED_VALUE"""),"-")</f>
        <v>-</v>
      </c>
      <c r="D3771" s="234">
        <f>IFERROR(__xludf.DUMMYFUNCTION("""COMPUTED_VALUE"""),37.0)</f>
        <v>37</v>
      </c>
      <c r="E3771" s="245" t="str">
        <f>IFERROR(__xludf.DUMMYFUNCTION("""COMPUTED_VALUE"""),"LT0Q1201V8I81")</f>
        <v>LT0Q1201V8I81</v>
      </c>
      <c r="F3771" s="238" t="str">
        <f>IFERROR(__xludf.DUMMYFUNCTION("""COMPUTED_VALUE"""),"-")</f>
        <v>-</v>
      </c>
      <c r="G3771" s="238" t="str">
        <f>IFERROR(__xludf.DUMMYFUNCTION("""COMPUTED_VALUE"""),"-")</f>
        <v>-</v>
      </c>
      <c r="H3771" s="238" t="str">
        <f>IFERROR(__xludf.DUMMYFUNCTION("""COMPUTED_VALUE"""),"-")</f>
        <v>-</v>
      </c>
      <c r="I3771" s="237" t="str">
        <f t="shared" si="1"/>
        <v>Dentro</v>
      </c>
      <c r="J3771" s="239" t="e">
        <v>#VALUE!</v>
      </c>
    </row>
    <row r="3772">
      <c r="A3772" s="244" t="s">
        <v>5023</v>
      </c>
      <c r="B3772" s="234" t="str">
        <f>IFERROR(__xludf.DUMMYFUNCTION("""COMPUTED_VALUE"""),"Fanout Desconhecido")</f>
        <v>Fanout Desconhecido</v>
      </c>
      <c r="C3772" s="234" t="str">
        <f>IFERROR(__xludf.DUMMYFUNCTION("""COMPUTED_VALUE"""),"-")</f>
        <v>-</v>
      </c>
      <c r="D3772" s="234">
        <f>IFERROR(__xludf.DUMMYFUNCTION("""COMPUTED_VALUE"""),38.0)</f>
        <v>38</v>
      </c>
      <c r="E3772" s="245" t="str">
        <f>IFERROR(__xludf.DUMMYFUNCTION("""COMPUTED_VALUE"""),"LT0Q1201VCQT1")</f>
        <v>LT0Q1201VCQT1</v>
      </c>
      <c r="F3772" s="238" t="str">
        <f>IFERROR(__xludf.DUMMYFUNCTION("""COMPUTED_VALUE"""),"-")</f>
        <v>-</v>
      </c>
      <c r="G3772" s="238" t="str">
        <f>IFERROR(__xludf.DUMMYFUNCTION("""COMPUTED_VALUE"""),"-")</f>
        <v>-</v>
      </c>
      <c r="H3772" s="238" t="str">
        <f>IFERROR(__xludf.DUMMYFUNCTION("""COMPUTED_VALUE"""),"-")</f>
        <v>-</v>
      </c>
      <c r="I3772" s="237" t="str">
        <f t="shared" si="1"/>
        <v>Dentro</v>
      </c>
      <c r="J3772" s="239" t="e">
        <v>#VALUE!</v>
      </c>
    </row>
    <row r="3773">
      <c r="A3773" s="244" t="s">
        <v>5024</v>
      </c>
      <c r="B3773" s="234" t="str">
        <f>IFERROR(__xludf.DUMMYFUNCTION("""COMPUTED_VALUE"""),"Fanout Desconhecido")</f>
        <v>Fanout Desconhecido</v>
      </c>
      <c r="C3773" s="234" t="str">
        <f>IFERROR(__xludf.DUMMYFUNCTION("""COMPUTED_VALUE"""),"-")</f>
        <v>-</v>
      </c>
      <c r="D3773" s="234">
        <f>IFERROR(__xludf.DUMMYFUNCTION("""COMPUTED_VALUE"""),18.0)</f>
        <v>18</v>
      </c>
      <c r="E3773" s="245" t="str">
        <f>IFERROR(__xludf.DUMMYFUNCTION("""COMPUTED_VALUE"""),"LT0Q1201VCQV2")</f>
        <v>LT0Q1201VCQV2</v>
      </c>
      <c r="F3773" s="238" t="str">
        <f>IFERROR(__xludf.DUMMYFUNCTION("""COMPUTED_VALUE"""),"-")</f>
        <v>-</v>
      </c>
      <c r="G3773" s="238" t="str">
        <f>IFERROR(__xludf.DUMMYFUNCTION("""COMPUTED_VALUE"""),"-")</f>
        <v>-</v>
      </c>
      <c r="H3773" s="238" t="str">
        <f>IFERROR(__xludf.DUMMYFUNCTION("""COMPUTED_VALUE"""),"-")</f>
        <v>-</v>
      </c>
      <c r="I3773" s="237" t="str">
        <f t="shared" si="1"/>
        <v>Dentro</v>
      </c>
      <c r="J3773" s="239" t="e">
        <v>#VALUE!</v>
      </c>
    </row>
    <row r="3774">
      <c r="A3774" s="244" t="s">
        <v>5025</v>
      </c>
      <c r="B3774" s="234" t="str">
        <f>IFERROR(__xludf.DUMMYFUNCTION("""COMPUTED_VALUE"""),"Fanout Desconhecido")</f>
        <v>Fanout Desconhecido</v>
      </c>
      <c r="C3774" s="234" t="str">
        <f>IFERROR(__xludf.DUMMYFUNCTION("""COMPUTED_VALUE"""),"-")</f>
        <v>-</v>
      </c>
      <c r="D3774" s="234">
        <f>IFERROR(__xludf.DUMMYFUNCTION("""COMPUTED_VALUE"""),7.0)</f>
        <v>7</v>
      </c>
      <c r="E3774" s="245" t="str">
        <f>IFERROR(__xludf.DUMMYFUNCTION("""COMPUTED_VALUE"""),"LT0Q1201V85A1")</f>
        <v>LT0Q1201V85A1</v>
      </c>
      <c r="F3774" s="238" t="str">
        <f>IFERROR(__xludf.DUMMYFUNCTION("""COMPUTED_VALUE"""),"-")</f>
        <v>-</v>
      </c>
      <c r="G3774" s="238" t="str">
        <f>IFERROR(__xludf.DUMMYFUNCTION("""COMPUTED_VALUE"""),"-")</f>
        <v>-</v>
      </c>
      <c r="H3774" s="238" t="str">
        <f>IFERROR(__xludf.DUMMYFUNCTION("""COMPUTED_VALUE"""),"-")</f>
        <v>-</v>
      </c>
      <c r="I3774" s="237" t="str">
        <f t="shared" si="1"/>
        <v>Dentro</v>
      </c>
      <c r="J3774" s="239" t="e">
        <v>#VALUE!</v>
      </c>
    </row>
    <row r="3775">
      <c r="A3775" s="244" t="s">
        <v>5026</v>
      </c>
      <c r="B3775" s="234" t="str">
        <f>IFERROR(__xludf.DUMMYFUNCTION("""COMPUTED_VALUE"""),"Fanout Desconhecido")</f>
        <v>Fanout Desconhecido</v>
      </c>
      <c r="C3775" s="234" t="str">
        <f>IFERROR(__xludf.DUMMYFUNCTION("""COMPUTED_VALUE"""),"-")</f>
        <v>-</v>
      </c>
      <c r="D3775" s="234">
        <f>IFERROR(__xludf.DUMMYFUNCTION("""COMPUTED_VALUE"""),5.0)</f>
        <v>5</v>
      </c>
      <c r="E3775" s="245" t="str">
        <f>IFERROR(__xludf.DUMMYFUNCTION("""COMPUTED_VALUE"""),"LT0Q1201VBXA1")</f>
        <v>LT0Q1201VBXA1</v>
      </c>
      <c r="F3775" s="238" t="str">
        <f>IFERROR(__xludf.DUMMYFUNCTION("""COMPUTED_VALUE"""),"-")</f>
        <v>-</v>
      </c>
      <c r="G3775" s="238" t="str">
        <f>IFERROR(__xludf.DUMMYFUNCTION("""COMPUTED_VALUE"""),"-")</f>
        <v>-</v>
      </c>
      <c r="H3775" s="238" t="str">
        <f>IFERROR(__xludf.DUMMYFUNCTION("""COMPUTED_VALUE"""),"-")</f>
        <v>-</v>
      </c>
      <c r="I3775" s="237" t="str">
        <f t="shared" si="1"/>
        <v>Dentro</v>
      </c>
      <c r="J3775" s="239" t="e">
        <v>#VALUE!</v>
      </c>
    </row>
    <row r="3776">
      <c r="A3776" s="244" t="s">
        <v>5027</v>
      </c>
      <c r="B3776" s="234" t="str">
        <f>IFERROR(__xludf.DUMMYFUNCTION("""COMPUTED_VALUE"""),"Fanout Desconhecido")</f>
        <v>Fanout Desconhecido</v>
      </c>
      <c r="C3776" s="234" t="str">
        <f>IFERROR(__xludf.DUMMYFUNCTION("""COMPUTED_VALUE"""),"-")</f>
        <v>-</v>
      </c>
      <c r="D3776" s="234">
        <f>IFERROR(__xludf.DUMMYFUNCTION("""COMPUTED_VALUE"""),8.0)</f>
        <v>8</v>
      </c>
      <c r="E3776" s="245" t="str">
        <f>IFERROR(__xludf.DUMMYFUNCTION("""COMPUTED_VALUE"""),"LT0Q1201VBXV1")</f>
        <v>LT0Q1201VBXV1</v>
      </c>
      <c r="F3776" s="238" t="str">
        <f>IFERROR(__xludf.DUMMYFUNCTION("""COMPUTED_VALUE"""),"-")</f>
        <v>-</v>
      </c>
      <c r="G3776" s="238" t="str">
        <f>IFERROR(__xludf.DUMMYFUNCTION("""COMPUTED_VALUE"""),"-")</f>
        <v>-</v>
      </c>
      <c r="H3776" s="238" t="str">
        <f>IFERROR(__xludf.DUMMYFUNCTION("""COMPUTED_VALUE"""),"-")</f>
        <v>-</v>
      </c>
      <c r="I3776" s="237" t="str">
        <f t="shared" si="1"/>
        <v>Dentro</v>
      </c>
      <c r="J3776" s="239" t="e">
        <v>#VALUE!</v>
      </c>
    </row>
    <row r="3777">
      <c r="A3777" s="244" t="s">
        <v>5028</v>
      </c>
      <c r="B3777" s="234" t="str">
        <f>IFERROR(__xludf.DUMMYFUNCTION("""COMPUTED_VALUE"""),"Fanout Desconhecido")</f>
        <v>Fanout Desconhecido</v>
      </c>
      <c r="C3777" s="234" t="str">
        <f>IFERROR(__xludf.DUMMYFUNCTION("""COMPUTED_VALUE"""),"-")</f>
        <v>-</v>
      </c>
      <c r="D3777" s="234">
        <f>IFERROR(__xludf.DUMMYFUNCTION("""COMPUTED_VALUE"""),34.0)</f>
        <v>34</v>
      </c>
      <c r="E3777" s="245" t="str">
        <f>IFERROR(__xludf.DUMMYFUNCTION("""COMPUTED_VALUE"""),"LT0Q1201VCHE1")</f>
        <v>LT0Q1201VCHE1</v>
      </c>
      <c r="F3777" s="238" t="str">
        <f>IFERROR(__xludf.DUMMYFUNCTION("""COMPUTED_VALUE"""),"-")</f>
        <v>-</v>
      </c>
      <c r="G3777" s="238" t="str">
        <f>IFERROR(__xludf.DUMMYFUNCTION("""COMPUTED_VALUE"""),"-")</f>
        <v>-</v>
      </c>
      <c r="H3777" s="238" t="str">
        <f>IFERROR(__xludf.DUMMYFUNCTION("""COMPUTED_VALUE"""),"-")</f>
        <v>-</v>
      </c>
      <c r="I3777" s="237" t="str">
        <f t="shared" si="1"/>
        <v>Dentro</v>
      </c>
      <c r="J3777" s="239" t="e">
        <v>#VALUE!</v>
      </c>
    </row>
    <row r="3778">
      <c r="A3778" s="244" t="s">
        <v>5029</v>
      </c>
      <c r="B3778" s="234" t="str">
        <f>IFERROR(__xludf.DUMMYFUNCTION("""COMPUTED_VALUE"""),"Fanout Desconhecido")</f>
        <v>Fanout Desconhecido</v>
      </c>
      <c r="C3778" s="234" t="str">
        <f>IFERROR(__xludf.DUMMYFUNCTION("""COMPUTED_VALUE"""),"-")</f>
        <v>-</v>
      </c>
      <c r="D3778" s="234"/>
      <c r="E3778" s="245" t="str">
        <f>IFERROR(__xludf.DUMMYFUNCTION("""COMPUTED_VALUE"""),"LT0Q1201V8481")</f>
        <v>LT0Q1201V8481</v>
      </c>
      <c r="F3778" s="238" t="str">
        <f>IFERROR(__xludf.DUMMYFUNCTION("""COMPUTED_VALUE"""),"-")</f>
        <v>-</v>
      </c>
      <c r="G3778" s="238" t="str">
        <f>IFERROR(__xludf.DUMMYFUNCTION("""COMPUTED_VALUE"""),"-")</f>
        <v>-</v>
      </c>
      <c r="H3778" s="238" t="str">
        <f>IFERROR(__xludf.DUMMYFUNCTION("""COMPUTED_VALUE"""),"-")</f>
        <v>-</v>
      </c>
      <c r="I3778" s="237" t="str">
        <f t="shared" si="1"/>
        <v>Dentro</v>
      </c>
      <c r="J3778" s="239" t="e">
        <v>#VALUE!</v>
      </c>
    </row>
    <row r="3779">
      <c r="A3779" s="244" t="s">
        <v>5030</v>
      </c>
      <c r="B3779" s="234" t="str">
        <f>IFERROR(__xludf.DUMMYFUNCTION("""COMPUTED_VALUE"""),"Fanout Desconhecido")</f>
        <v>Fanout Desconhecido</v>
      </c>
      <c r="C3779" s="234" t="str">
        <f>IFERROR(__xludf.DUMMYFUNCTION("""COMPUTED_VALUE"""),"-")</f>
        <v>-</v>
      </c>
      <c r="D3779" s="234">
        <f>IFERROR(__xludf.DUMMYFUNCTION("""COMPUTED_VALUE"""),19.0)</f>
        <v>19</v>
      </c>
      <c r="E3779" s="245" t="str">
        <f>IFERROR(__xludf.DUMMYFUNCTION("""COMPUTED_VALUE"""),"LT0Q1201V84A2")</f>
        <v>LT0Q1201V84A2</v>
      </c>
      <c r="F3779" s="238" t="str">
        <f>IFERROR(__xludf.DUMMYFUNCTION("""COMPUTED_VALUE"""),"-")</f>
        <v>-</v>
      </c>
      <c r="G3779" s="238" t="str">
        <f>IFERROR(__xludf.DUMMYFUNCTION("""COMPUTED_VALUE"""),"-")</f>
        <v>-</v>
      </c>
      <c r="H3779" s="238" t="str">
        <f>IFERROR(__xludf.DUMMYFUNCTION("""COMPUTED_VALUE"""),"-")</f>
        <v>-</v>
      </c>
      <c r="I3779" s="237" t="str">
        <f t="shared" si="1"/>
        <v>Dentro</v>
      </c>
      <c r="J3779" s="239" t="e">
        <v>#VALUE!</v>
      </c>
    </row>
    <row r="3780">
      <c r="A3780" s="244" t="s">
        <v>5031</v>
      </c>
      <c r="B3780" s="234" t="str">
        <f>IFERROR(__xludf.DUMMYFUNCTION("""COMPUTED_VALUE"""),"Fanout Desconhecido")</f>
        <v>Fanout Desconhecido</v>
      </c>
      <c r="C3780" s="234" t="str">
        <f>IFERROR(__xludf.DUMMYFUNCTION("""COMPUTED_VALUE"""),"-")</f>
        <v>-</v>
      </c>
      <c r="D3780" s="234">
        <f>IFERROR(__xludf.DUMMYFUNCTION("""COMPUTED_VALUE"""),6.0)</f>
        <v>6</v>
      </c>
      <c r="E3780" s="245" t="str">
        <f>IFERROR(__xludf.DUMMYFUNCTION("""COMPUTED_VALUE"""),"LT0Q1201VAMF1")</f>
        <v>LT0Q1201VAMF1</v>
      </c>
      <c r="F3780" s="238" t="str">
        <f>IFERROR(__xludf.DUMMYFUNCTION("""COMPUTED_VALUE"""),"-")</f>
        <v>-</v>
      </c>
      <c r="G3780" s="238" t="str">
        <f>IFERROR(__xludf.DUMMYFUNCTION("""COMPUTED_VALUE"""),"-")</f>
        <v>-</v>
      </c>
      <c r="H3780" s="238" t="str">
        <f>IFERROR(__xludf.DUMMYFUNCTION("""COMPUTED_VALUE"""),"-")</f>
        <v>-</v>
      </c>
      <c r="I3780" s="237" t="str">
        <f t="shared" si="1"/>
        <v>Dentro</v>
      </c>
      <c r="J3780" s="239" t="e">
        <v>#VALUE!</v>
      </c>
    </row>
    <row r="3781">
      <c r="A3781" s="244" t="s">
        <v>5032</v>
      </c>
      <c r="B3781" s="234" t="str">
        <f>IFERROR(__xludf.DUMMYFUNCTION("""COMPUTED_VALUE"""),"Fanout Desconhecido")</f>
        <v>Fanout Desconhecido</v>
      </c>
      <c r="C3781" s="234" t="str">
        <f>IFERROR(__xludf.DUMMYFUNCTION("""COMPUTED_VALUE"""),"-")</f>
        <v>-</v>
      </c>
      <c r="D3781" s="234"/>
      <c r="E3781" s="245" t="str">
        <f>IFERROR(__xludf.DUMMYFUNCTION("""COMPUTED_VALUE"""),"LT0Q1201VAMH2")</f>
        <v>LT0Q1201VAMH2</v>
      </c>
      <c r="F3781" s="238" t="str">
        <f>IFERROR(__xludf.DUMMYFUNCTION("""COMPUTED_VALUE"""),"-")</f>
        <v>-</v>
      </c>
      <c r="G3781" s="238" t="str">
        <f>IFERROR(__xludf.DUMMYFUNCTION("""COMPUTED_VALUE"""),"-")</f>
        <v>-</v>
      </c>
      <c r="H3781" s="238" t="str">
        <f>IFERROR(__xludf.DUMMYFUNCTION("""COMPUTED_VALUE"""),"-")</f>
        <v>-</v>
      </c>
      <c r="I3781" s="237" t="str">
        <f t="shared" si="1"/>
        <v>Dentro</v>
      </c>
      <c r="J3781" s="239" t="e">
        <v>#VALUE!</v>
      </c>
    </row>
    <row r="3782">
      <c r="A3782" s="234" t="s">
        <v>5033</v>
      </c>
      <c r="B3782" s="234" t="str">
        <f>IFERROR(__xludf.DUMMYFUNCTION("""COMPUTED_VALUE"""),"Fanout Desconhecido")</f>
        <v>Fanout Desconhecido</v>
      </c>
      <c r="C3782" s="234" t="str">
        <f>IFERROR(__xludf.DUMMYFUNCTION("""COMPUTED_VALUE"""),"-")</f>
        <v>-</v>
      </c>
      <c r="D3782" s="234"/>
      <c r="E3782" s="237" t="str">
        <f>IFERROR(__xludf.DUMMYFUNCTION("""COMPUTED_VALUE"""),"LT0Q1301VBXI1")</f>
        <v>LT0Q1301VBXI1</v>
      </c>
      <c r="F3782" s="238" t="str">
        <f>IFERROR(__xludf.DUMMYFUNCTION("""COMPUTED_VALUE"""),"-")</f>
        <v>-</v>
      </c>
      <c r="G3782" s="238" t="str">
        <f>IFERROR(__xludf.DUMMYFUNCTION("""COMPUTED_VALUE"""),"-")</f>
        <v>-</v>
      </c>
      <c r="H3782" s="238" t="str">
        <f>IFERROR(__xludf.DUMMYFUNCTION("""COMPUTED_VALUE"""),"-")</f>
        <v>-</v>
      </c>
      <c r="I3782" s="237" t="str">
        <f t="shared" si="1"/>
        <v>Dentro</v>
      </c>
      <c r="J3782" s="239" t="e">
        <v>#VALUE!</v>
      </c>
    </row>
    <row r="3783">
      <c r="A3783" s="244" t="s">
        <v>5034</v>
      </c>
      <c r="B3783" s="234" t="str">
        <f>IFERROR(__xludf.DUMMYFUNCTION("""COMPUTED_VALUE"""),"Fanout Desconhecido")</f>
        <v>Fanout Desconhecido</v>
      </c>
      <c r="C3783" s="234" t="str">
        <f>IFERROR(__xludf.DUMMYFUNCTION("""COMPUTED_VALUE"""),"-")</f>
        <v>-</v>
      </c>
      <c r="D3783" s="234">
        <f>IFERROR(__xludf.DUMMYFUNCTION("""COMPUTED_VALUE"""),16.0)</f>
        <v>16</v>
      </c>
      <c r="E3783" s="245" t="str">
        <f>IFERROR(__xludf.DUMMYFUNCTION("""COMPUTED_VALUE"""),"LT0Q1301V7ZD1")</f>
        <v>LT0Q1301V7ZD1</v>
      </c>
      <c r="F3783" s="238" t="str">
        <f>IFERROR(__xludf.DUMMYFUNCTION("""COMPUTED_VALUE"""),"-")</f>
        <v>-</v>
      </c>
      <c r="G3783" s="238" t="str">
        <f>IFERROR(__xludf.DUMMYFUNCTION("""COMPUTED_VALUE"""),"-")</f>
        <v>-</v>
      </c>
      <c r="H3783" s="238" t="str">
        <f>IFERROR(__xludf.DUMMYFUNCTION("""COMPUTED_VALUE"""),"-")</f>
        <v>-</v>
      </c>
      <c r="I3783" s="237" t="str">
        <f t="shared" si="1"/>
        <v>Dentro</v>
      </c>
      <c r="J3783" s="239" t="e">
        <v>#VALUE!</v>
      </c>
    </row>
    <row r="3784">
      <c r="A3784" s="244" t="s">
        <v>5035</v>
      </c>
      <c r="B3784" s="234" t="str">
        <f>IFERROR(__xludf.DUMMYFUNCTION("""COMPUTED_VALUE"""),"Fanout Desconhecido")</f>
        <v>Fanout Desconhecido</v>
      </c>
      <c r="C3784" s="234" t="str">
        <f>IFERROR(__xludf.DUMMYFUNCTION("""COMPUTED_VALUE"""),"-")</f>
        <v>-</v>
      </c>
      <c r="D3784" s="234">
        <f>IFERROR(__xludf.DUMMYFUNCTION("""COMPUTED_VALUE"""),87.0)</f>
        <v>87</v>
      </c>
      <c r="E3784" s="245" t="str">
        <f>IFERROR(__xludf.DUMMYFUNCTION("""COMPUTED_VALUE"""),"LT0Q1301VBYZ1")</f>
        <v>LT0Q1301VBYZ1</v>
      </c>
      <c r="F3784" s="238" t="str">
        <f>IFERROR(__xludf.DUMMYFUNCTION("""COMPUTED_VALUE"""),"-")</f>
        <v>-</v>
      </c>
      <c r="G3784" s="238" t="str">
        <f>IFERROR(__xludf.DUMMYFUNCTION("""COMPUTED_VALUE"""),"-")</f>
        <v>-</v>
      </c>
      <c r="H3784" s="238" t="str">
        <f>IFERROR(__xludf.DUMMYFUNCTION("""COMPUTED_VALUE"""),"-")</f>
        <v>-</v>
      </c>
      <c r="I3784" s="237" t="str">
        <f t="shared" si="1"/>
        <v>Dentro</v>
      </c>
      <c r="J3784" s="239" t="e">
        <v>#VALUE!</v>
      </c>
    </row>
    <row r="3785">
      <c r="A3785" s="244" t="s">
        <v>5036</v>
      </c>
      <c r="B3785" s="234" t="str">
        <f>IFERROR(__xludf.DUMMYFUNCTION("""COMPUTED_VALUE"""),"Fanout Desconhecido")</f>
        <v>Fanout Desconhecido</v>
      </c>
      <c r="C3785" s="234" t="str">
        <f>IFERROR(__xludf.DUMMYFUNCTION("""COMPUTED_VALUE"""),"-")</f>
        <v>-</v>
      </c>
      <c r="D3785" s="234">
        <f>IFERROR(__xludf.DUMMYFUNCTION("""COMPUTED_VALUE"""),87.0)</f>
        <v>87</v>
      </c>
      <c r="E3785" s="245" t="str">
        <f>IFERROR(__xludf.DUMMYFUNCTION("""COMPUTED_VALUE"""),"LT0Q1301VBZ12")</f>
        <v>LT0Q1301VBZ12</v>
      </c>
      <c r="F3785" s="238" t="str">
        <f>IFERROR(__xludf.DUMMYFUNCTION("""COMPUTED_VALUE"""),"-")</f>
        <v>-</v>
      </c>
      <c r="G3785" s="238" t="str">
        <f>IFERROR(__xludf.DUMMYFUNCTION("""COMPUTED_VALUE"""),"-")</f>
        <v>-</v>
      </c>
      <c r="H3785" s="238" t="str">
        <f>IFERROR(__xludf.DUMMYFUNCTION("""COMPUTED_VALUE"""),"-")</f>
        <v>-</v>
      </c>
      <c r="I3785" s="237" t="str">
        <f t="shared" si="1"/>
        <v>Dentro</v>
      </c>
      <c r="J3785" s="239" t="e">
        <v>#VALUE!</v>
      </c>
    </row>
    <row r="3786">
      <c r="A3786" s="244" t="s">
        <v>5037</v>
      </c>
      <c r="B3786" s="234" t="str">
        <f>IFERROR(__xludf.DUMMYFUNCTION("""COMPUTED_VALUE"""),"Fanout Desconhecido")</f>
        <v>Fanout Desconhecido</v>
      </c>
      <c r="C3786" s="234" t="str">
        <f>IFERROR(__xludf.DUMMYFUNCTION("""COMPUTED_VALUE"""),"-")</f>
        <v>-</v>
      </c>
      <c r="D3786" s="234">
        <f>IFERROR(__xludf.DUMMYFUNCTION("""COMPUTED_VALUE"""),87.0)</f>
        <v>87</v>
      </c>
      <c r="E3786" s="245" t="str">
        <f>IFERROR(__xludf.DUMMYFUNCTION("""COMPUTED_VALUE"""),"LT0Q1301VBZ33")</f>
        <v>LT0Q1301VBZ33</v>
      </c>
      <c r="F3786" s="238" t="str">
        <f>IFERROR(__xludf.DUMMYFUNCTION("""COMPUTED_VALUE"""),"-")</f>
        <v>-</v>
      </c>
      <c r="G3786" s="238" t="str">
        <f>IFERROR(__xludf.DUMMYFUNCTION("""COMPUTED_VALUE"""),"-")</f>
        <v>-</v>
      </c>
      <c r="H3786" s="238" t="str">
        <f>IFERROR(__xludf.DUMMYFUNCTION("""COMPUTED_VALUE"""),"-")</f>
        <v>-</v>
      </c>
      <c r="I3786" s="237" t="str">
        <f t="shared" si="1"/>
        <v>Dentro</v>
      </c>
      <c r="J3786" s="239" t="e">
        <v>#VALUE!</v>
      </c>
    </row>
    <row r="3787">
      <c r="A3787" s="244" t="s">
        <v>5038</v>
      </c>
      <c r="B3787" s="234" t="str">
        <f>IFERROR(__xludf.DUMMYFUNCTION("""COMPUTED_VALUE"""),"Fanout Desconhecido")</f>
        <v>Fanout Desconhecido</v>
      </c>
      <c r="C3787" s="234" t="str">
        <f>IFERROR(__xludf.DUMMYFUNCTION("""COMPUTED_VALUE"""),"-")</f>
        <v>-</v>
      </c>
      <c r="D3787" s="234">
        <f>IFERROR(__xludf.DUMMYFUNCTION("""COMPUTED_VALUE"""),48.0)</f>
        <v>48</v>
      </c>
      <c r="E3787" s="245" t="str">
        <f>IFERROR(__xludf.DUMMYFUNCTION("""COMPUTED_VALUE"""),"LT0Q1301VBZ54")</f>
        <v>LT0Q1301VBZ54</v>
      </c>
      <c r="F3787" s="238" t="str">
        <f>IFERROR(__xludf.DUMMYFUNCTION("""COMPUTED_VALUE"""),"-")</f>
        <v>-</v>
      </c>
      <c r="G3787" s="238" t="str">
        <f>IFERROR(__xludf.DUMMYFUNCTION("""COMPUTED_VALUE"""),"-")</f>
        <v>-</v>
      </c>
      <c r="H3787" s="238" t="str">
        <f>IFERROR(__xludf.DUMMYFUNCTION("""COMPUTED_VALUE"""),"-")</f>
        <v>-</v>
      </c>
      <c r="I3787" s="237" t="str">
        <f t="shared" si="1"/>
        <v>Dentro</v>
      </c>
      <c r="J3787" s="239" t="e">
        <v>#VALUE!</v>
      </c>
    </row>
    <row r="3788">
      <c r="A3788" s="244" t="s">
        <v>5039</v>
      </c>
      <c r="B3788" s="234" t="str">
        <f>IFERROR(__xludf.DUMMYFUNCTION("""COMPUTED_VALUE"""),"Fanout Desconhecido")</f>
        <v>Fanout Desconhecido</v>
      </c>
      <c r="C3788" s="234" t="str">
        <f>IFERROR(__xludf.DUMMYFUNCTION("""COMPUTED_VALUE"""),"-")</f>
        <v>-</v>
      </c>
      <c r="D3788" s="234">
        <f>IFERROR(__xludf.DUMMYFUNCTION("""COMPUTED_VALUE"""),114.0)</f>
        <v>114</v>
      </c>
      <c r="E3788" s="245" t="str">
        <f>IFERROR(__xludf.DUMMYFUNCTION("""COMPUTED_VALUE"""),"LT0Q1301VBZ75")</f>
        <v>LT0Q1301VBZ75</v>
      </c>
      <c r="F3788" s="238" t="str">
        <f>IFERROR(__xludf.DUMMYFUNCTION("""COMPUTED_VALUE"""),"-")</f>
        <v>-</v>
      </c>
      <c r="G3788" s="238" t="str">
        <f>IFERROR(__xludf.DUMMYFUNCTION("""COMPUTED_VALUE"""),"-")</f>
        <v>-</v>
      </c>
      <c r="H3788" s="238" t="str">
        <f>IFERROR(__xludf.DUMMYFUNCTION("""COMPUTED_VALUE"""),"-")</f>
        <v>-</v>
      </c>
      <c r="I3788" s="237" t="str">
        <f t="shared" si="1"/>
        <v>Dentro</v>
      </c>
      <c r="J3788" s="239" t="e">
        <v>#VALUE!</v>
      </c>
    </row>
    <row r="3789">
      <c r="A3789" s="244" t="s">
        <v>5040</v>
      </c>
      <c r="B3789" s="234" t="str">
        <f>IFERROR(__xludf.DUMMYFUNCTION("""COMPUTED_VALUE"""),"Fanout Desconhecido")</f>
        <v>Fanout Desconhecido</v>
      </c>
      <c r="C3789" s="234" t="str">
        <f>IFERROR(__xludf.DUMMYFUNCTION("""COMPUTED_VALUE"""),"-")</f>
        <v>-</v>
      </c>
      <c r="D3789" s="234">
        <f>IFERROR(__xludf.DUMMYFUNCTION("""COMPUTED_VALUE"""),13.0)</f>
        <v>13</v>
      </c>
      <c r="E3789" s="245" t="str">
        <f>IFERROR(__xludf.DUMMYFUNCTION("""COMPUTED_VALUE"""),"LT0Q1301VBJL1")</f>
        <v>LT0Q1301VBJL1</v>
      </c>
      <c r="F3789" s="238" t="str">
        <f>IFERROR(__xludf.DUMMYFUNCTION("""COMPUTED_VALUE"""),"-")</f>
        <v>-</v>
      </c>
      <c r="G3789" s="238" t="str">
        <f>IFERROR(__xludf.DUMMYFUNCTION("""COMPUTED_VALUE"""),"-")</f>
        <v>-</v>
      </c>
      <c r="H3789" s="238" t="str">
        <f>IFERROR(__xludf.DUMMYFUNCTION("""COMPUTED_VALUE"""),"-")</f>
        <v>-</v>
      </c>
      <c r="I3789" s="237" t="str">
        <f t="shared" si="1"/>
        <v>Dentro</v>
      </c>
      <c r="J3789" s="239" t="e">
        <v>#VALUE!</v>
      </c>
    </row>
    <row r="3790">
      <c r="A3790" s="244" t="s">
        <v>5041</v>
      </c>
      <c r="B3790" s="234" t="str">
        <f>IFERROR(__xludf.DUMMYFUNCTION("""COMPUTED_VALUE"""),"Fanout Desconhecido")</f>
        <v>Fanout Desconhecido</v>
      </c>
      <c r="C3790" s="234" t="str">
        <f>IFERROR(__xludf.DUMMYFUNCTION("""COMPUTED_VALUE"""),"-")</f>
        <v>-</v>
      </c>
      <c r="D3790" s="234">
        <f>IFERROR(__xludf.DUMMYFUNCTION("""COMPUTED_VALUE"""),22.0)</f>
        <v>22</v>
      </c>
      <c r="E3790" s="245" t="str">
        <f>IFERROR(__xludf.DUMMYFUNCTION("""COMPUTED_VALUE"""),"LT0Q1301V82J1")</f>
        <v>LT0Q1301V82J1</v>
      </c>
      <c r="F3790" s="238" t="str">
        <f>IFERROR(__xludf.DUMMYFUNCTION("""COMPUTED_VALUE"""),"-")</f>
        <v>-</v>
      </c>
      <c r="G3790" s="238" t="str">
        <f>IFERROR(__xludf.DUMMYFUNCTION("""COMPUTED_VALUE"""),"-")</f>
        <v>-</v>
      </c>
      <c r="H3790" s="238" t="str">
        <f>IFERROR(__xludf.DUMMYFUNCTION("""COMPUTED_VALUE"""),"-")</f>
        <v>-</v>
      </c>
      <c r="I3790" s="237" t="str">
        <f t="shared" si="1"/>
        <v>Dentro</v>
      </c>
      <c r="J3790" s="239" t="e">
        <v>#VALUE!</v>
      </c>
    </row>
    <row r="3791">
      <c r="A3791" s="244" t="s">
        <v>5042</v>
      </c>
      <c r="B3791" s="234" t="str">
        <f>IFERROR(__xludf.DUMMYFUNCTION("""COMPUTED_VALUE"""),"Fanout Desconhecido")</f>
        <v>Fanout Desconhecido</v>
      </c>
      <c r="C3791" s="234" t="str">
        <f>IFERROR(__xludf.DUMMYFUNCTION("""COMPUTED_VALUE"""),"-")</f>
        <v>-</v>
      </c>
      <c r="D3791" s="234">
        <f>IFERROR(__xludf.DUMMYFUNCTION("""COMPUTED_VALUE"""),14.0)</f>
        <v>14</v>
      </c>
      <c r="E3791" s="245" t="str">
        <f>IFERROR(__xludf.DUMMYFUNCTION("""COMPUTED_VALUE"""),"LT0Q1301V8O31")</f>
        <v>LT0Q1301V8O31</v>
      </c>
      <c r="F3791" s="238" t="str">
        <f>IFERROR(__xludf.DUMMYFUNCTION("""COMPUTED_VALUE"""),"-")</f>
        <v>-</v>
      </c>
      <c r="G3791" s="238" t="str">
        <f>IFERROR(__xludf.DUMMYFUNCTION("""COMPUTED_VALUE"""),"-")</f>
        <v>-</v>
      </c>
      <c r="H3791" s="238" t="str">
        <f>IFERROR(__xludf.DUMMYFUNCTION("""COMPUTED_VALUE"""),"-")</f>
        <v>-</v>
      </c>
      <c r="I3791" s="237" t="str">
        <f t="shared" si="1"/>
        <v>Dentro</v>
      </c>
      <c r="J3791" s="239" t="e">
        <v>#VALUE!</v>
      </c>
    </row>
    <row r="3792">
      <c r="A3792" s="244" t="s">
        <v>5043</v>
      </c>
      <c r="B3792" s="234" t="str">
        <f>IFERROR(__xludf.DUMMYFUNCTION("""COMPUTED_VALUE"""),"Fanout Desconhecido")</f>
        <v>Fanout Desconhecido</v>
      </c>
      <c r="C3792" s="234" t="str">
        <f>IFERROR(__xludf.DUMMYFUNCTION("""COMPUTED_VALUE"""),"-")</f>
        <v>-</v>
      </c>
      <c r="D3792" s="234">
        <f>IFERROR(__xludf.DUMMYFUNCTION("""COMPUTED_VALUE"""),46.0)</f>
        <v>46</v>
      </c>
      <c r="E3792" s="245" t="str">
        <f>IFERROR(__xludf.DUMMYFUNCTION("""COMPUTED_VALUE"""),"LT0Q1301V82G1")</f>
        <v>LT0Q1301V82G1</v>
      </c>
      <c r="F3792" s="238" t="str">
        <f>IFERROR(__xludf.DUMMYFUNCTION("""COMPUTED_VALUE"""),"-")</f>
        <v>-</v>
      </c>
      <c r="G3792" s="238" t="str">
        <f>IFERROR(__xludf.DUMMYFUNCTION("""COMPUTED_VALUE"""),"-")</f>
        <v>-</v>
      </c>
      <c r="H3792" s="238" t="str">
        <f>IFERROR(__xludf.DUMMYFUNCTION("""COMPUTED_VALUE"""),"-")</f>
        <v>-</v>
      </c>
      <c r="I3792" s="237" t="str">
        <f t="shared" si="1"/>
        <v>Dentro</v>
      </c>
      <c r="J3792" s="239" t="e">
        <v>#VALUE!</v>
      </c>
    </row>
    <row r="3793">
      <c r="A3793" s="244" t="s">
        <v>5044</v>
      </c>
      <c r="B3793" s="234" t="str">
        <f>IFERROR(__xludf.DUMMYFUNCTION("""COMPUTED_VALUE"""),"Fanout Desconhecido")</f>
        <v>Fanout Desconhecido</v>
      </c>
      <c r="C3793" s="234" t="str">
        <f>IFERROR(__xludf.DUMMYFUNCTION("""COMPUTED_VALUE"""),"-")</f>
        <v>-</v>
      </c>
      <c r="D3793" s="234">
        <f>IFERROR(__xludf.DUMMYFUNCTION("""COMPUTED_VALUE"""),15.0)</f>
        <v>15</v>
      </c>
      <c r="E3793" s="245" t="str">
        <f>IFERROR(__xludf.DUMMYFUNCTION("""COMPUTED_VALUE"""),"LT0Q1301V84J1")</f>
        <v>LT0Q1301V84J1</v>
      </c>
      <c r="F3793" s="238" t="str">
        <f>IFERROR(__xludf.DUMMYFUNCTION("""COMPUTED_VALUE"""),"-")</f>
        <v>-</v>
      </c>
      <c r="G3793" s="238" t="str">
        <f>IFERROR(__xludf.DUMMYFUNCTION("""COMPUTED_VALUE"""),"-")</f>
        <v>-</v>
      </c>
      <c r="H3793" s="238" t="str">
        <f>IFERROR(__xludf.DUMMYFUNCTION("""COMPUTED_VALUE"""),"-")</f>
        <v>-</v>
      </c>
      <c r="I3793" s="237" t="str">
        <f t="shared" si="1"/>
        <v>Dentro</v>
      </c>
      <c r="J3793" s="239" t="e">
        <v>#VALUE!</v>
      </c>
    </row>
    <row r="3794">
      <c r="A3794" s="244" t="s">
        <v>5045</v>
      </c>
      <c r="B3794" s="234" t="str">
        <f>IFERROR(__xludf.DUMMYFUNCTION("""COMPUTED_VALUE"""),"Fanout Desconhecido")</f>
        <v>Fanout Desconhecido</v>
      </c>
      <c r="C3794" s="234" t="str">
        <f>IFERROR(__xludf.DUMMYFUNCTION("""COMPUTED_VALUE"""),"-")</f>
        <v>-</v>
      </c>
      <c r="D3794" s="234">
        <f>IFERROR(__xludf.DUMMYFUNCTION("""COMPUTED_VALUE"""),27.0)</f>
        <v>27</v>
      </c>
      <c r="E3794" s="245" t="str">
        <f>IFERROR(__xludf.DUMMYFUNCTION("""COMPUTED_VALUE"""),"LT0Q1301V82M1")</f>
        <v>LT0Q1301V82M1</v>
      </c>
      <c r="F3794" s="238" t="str">
        <f>IFERROR(__xludf.DUMMYFUNCTION("""COMPUTED_VALUE"""),"-")</f>
        <v>-</v>
      </c>
      <c r="G3794" s="238" t="str">
        <f>IFERROR(__xludf.DUMMYFUNCTION("""COMPUTED_VALUE"""),"-")</f>
        <v>-</v>
      </c>
      <c r="H3794" s="238" t="str">
        <f>IFERROR(__xludf.DUMMYFUNCTION("""COMPUTED_VALUE"""),"-")</f>
        <v>-</v>
      </c>
      <c r="I3794" s="237" t="str">
        <f t="shared" si="1"/>
        <v>Dentro</v>
      </c>
      <c r="J3794" s="239" t="e">
        <v>#VALUE!</v>
      </c>
    </row>
    <row r="3795">
      <c r="A3795" s="244" t="s">
        <v>5046</v>
      </c>
      <c r="B3795" s="234" t="str">
        <f>IFERROR(__xludf.DUMMYFUNCTION("""COMPUTED_VALUE"""),"Fanout Desconhecido")</f>
        <v>Fanout Desconhecido</v>
      </c>
      <c r="C3795" s="234" t="str">
        <f>IFERROR(__xludf.DUMMYFUNCTION("""COMPUTED_VALUE"""),"-")</f>
        <v>-</v>
      </c>
      <c r="D3795" s="234">
        <f>IFERROR(__xludf.DUMMYFUNCTION("""COMPUTED_VALUE"""),41.0)</f>
        <v>41</v>
      </c>
      <c r="E3795" s="245" t="str">
        <f>IFERROR(__xludf.DUMMYFUNCTION("""COMPUTED_VALUE"""),"LT0Q1301VBH51")</f>
        <v>LT0Q1301VBH51</v>
      </c>
      <c r="F3795" s="238" t="str">
        <f>IFERROR(__xludf.DUMMYFUNCTION("""COMPUTED_VALUE"""),"-")</f>
        <v>-</v>
      </c>
      <c r="G3795" s="238" t="str">
        <f>IFERROR(__xludf.DUMMYFUNCTION("""COMPUTED_VALUE"""),"-")</f>
        <v>-</v>
      </c>
      <c r="H3795" s="238" t="str">
        <f>IFERROR(__xludf.DUMMYFUNCTION("""COMPUTED_VALUE"""),"-")</f>
        <v>-</v>
      </c>
      <c r="I3795" s="237" t="str">
        <f t="shared" si="1"/>
        <v>Dentro</v>
      </c>
      <c r="J3795" s="239" t="e">
        <v>#VALUE!</v>
      </c>
    </row>
    <row r="3796">
      <c r="A3796" s="244" t="s">
        <v>5047</v>
      </c>
      <c r="B3796" s="234" t="str">
        <f>IFERROR(__xludf.DUMMYFUNCTION("""COMPUTED_VALUE"""),"Fanout Desconhecido")</f>
        <v>Fanout Desconhecido</v>
      </c>
      <c r="C3796" s="234" t="str">
        <f>IFERROR(__xludf.DUMMYFUNCTION("""COMPUTED_VALUE"""),"-")</f>
        <v>-</v>
      </c>
      <c r="D3796" s="234">
        <f>IFERROR(__xludf.DUMMYFUNCTION("""COMPUTED_VALUE"""),35.0)</f>
        <v>35</v>
      </c>
      <c r="E3796" s="245" t="str">
        <f>IFERROR(__xludf.DUMMYFUNCTION("""COMPUTED_VALUE"""),"LT0Q1301V84Q1")</f>
        <v>LT0Q1301V84Q1</v>
      </c>
      <c r="F3796" s="238" t="str">
        <f>IFERROR(__xludf.DUMMYFUNCTION("""COMPUTED_VALUE"""),"-")</f>
        <v>-</v>
      </c>
      <c r="G3796" s="238" t="str">
        <f>IFERROR(__xludf.DUMMYFUNCTION("""COMPUTED_VALUE"""),"-")</f>
        <v>-</v>
      </c>
      <c r="H3796" s="238" t="str">
        <f>IFERROR(__xludf.DUMMYFUNCTION("""COMPUTED_VALUE"""),"-")</f>
        <v>-</v>
      </c>
      <c r="I3796" s="237" t="str">
        <f t="shared" si="1"/>
        <v>Dentro</v>
      </c>
      <c r="J3796" s="239" t="e">
        <v>#VALUE!</v>
      </c>
    </row>
    <row r="3797">
      <c r="A3797" s="244" t="s">
        <v>5048</v>
      </c>
      <c r="B3797" s="234" t="str">
        <f>IFERROR(__xludf.DUMMYFUNCTION("""COMPUTED_VALUE"""),"Fanout Desconhecido")</f>
        <v>Fanout Desconhecido</v>
      </c>
      <c r="C3797" s="234" t="str">
        <f>IFERROR(__xludf.DUMMYFUNCTION("""COMPUTED_VALUE"""),"-")</f>
        <v>-</v>
      </c>
      <c r="D3797" s="234"/>
      <c r="E3797" s="245" t="str">
        <f>IFERROR(__xludf.DUMMYFUNCTION("""COMPUTED_VALUE"""),"LT0Q1301V85D1")</f>
        <v>LT0Q1301V85D1</v>
      </c>
      <c r="F3797" s="238" t="str">
        <f>IFERROR(__xludf.DUMMYFUNCTION("""COMPUTED_VALUE"""),"-")</f>
        <v>-</v>
      </c>
      <c r="G3797" s="238" t="str">
        <f>IFERROR(__xludf.DUMMYFUNCTION("""COMPUTED_VALUE"""),"-")</f>
        <v>-</v>
      </c>
      <c r="H3797" s="238" t="str">
        <f>IFERROR(__xludf.DUMMYFUNCTION("""COMPUTED_VALUE"""),"-")</f>
        <v>-</v>
      </c>
      <c r="I3797" s="237" t="str">
        <f t="shared" si="1"/>
        <v>Dentro</v>
      </c>
      <c r="J3797" s="239" t="e">
        <v>#VALUE!</v>
      </c>
    </row>
    <row r="3798">
      <c r="A3798" s="244" t="s">
        <v>5049</v>
      </c>
      <c r="B3798" s="234" t="str">
        <f>IFERROR(__xludf.DUMMYFUNCTION("""COMPUTED_VALUE"""),"Fanout Desconhecido")</f>
        <v>Fanout Desconhecido</v>
      </c>
      <c r="C3798" s="234" t="str">
        <f>IFERROR(__xludf.DUMMYFUNCTION("""COMPUTED_VALUE"""),"-")</f>
        <v>-</v>
      </c>
      <c r="D3798" s="234">
        <f>IFERROR(__xludf.DUMMYFUNCTION("""COMPUTED_VALUE"""),26.0)</f>
        <v>26</v>
      </c>
      <c r="E3798" s="245" t="str">
        <f>IFERROR(__xludf.DUMMYFUNCTION("""COMPUTED_VALUE"""),"LT0Q1301V8S71")</f>
        <v>LT0Q1301V8S71</v>
      </c>
      <c r="F3798" s="238" t="str">
        <f>IFERROR(__xludf.DUMMYFUNCTION("""COMPUTED_VALUE"""),"-")</f>
        <v>-</v>
      </c>
      <c r="G3798" s="238" t="str">
        <f>IFERROR(__xludf.DUMMYFUNCTION("""COMPUTED_VALUE"""),"-")</f>
        <v>-</v>
      </c>
      <c r="H3798" s="238" t="str">
        <f>IFERROR(__xludf.DUMMYFUNCTION("""COMPUTED_VALUE"""),"-")</f>
        <v>-</v>
      </c>
      <c r="I3798" s="237" t="str">
        <f t="shared" si="1"/>
        <v>Dentro</v>
      </c>
      <c r="J3798" s="239" t="e">
        <v>#VALUE!</v>
      </c>
    </row>
    <row r="3799">
      <c r="A3799" s="244" t="s">
        <v>5050</v>
      </c>
      <c r="B3799" s="234" t="str">
        <f>IFERROR(__xludf.DUMMYFUNCTION("""COMPUTED_VALUE"""),"Fanout Desconhecido")</f>
        <v>Fanout Desconhecido</v>
      </c>
      <c r="C3799" s="234" t="str">
        <f>IFERROR(__xludf.DUMMYFUNCTION("""COMPUTED_VALUE"""),"-")</f>
        <v>-</v>
      </c>
      <c r="D3799" s="234"/>
      <c r="E3799" s="245" t="str">
        <f>IFERROR(__xludf.DUMMYFUNCTION("""COMPUTED_VALUE"""),"LT0Q1301V8361")</f>
        <v>LT0Q1301V8361</v>
      </c>
      <c r="F3799" s="238" t="str">
        <f>IFERROR(__xludf.DUMMYFUNCTION("""COMPUTED_VALUE"""),"-")</f>
        <v>-</v>
      </c>
      <c r="G3799" s="238" t="str">
        <f>IFERROR(__xludf.DUMMYFUNCTION("""COMPUTED_VALUE"""),"-")</f>
        <v>-</v>
      </c>
      <c r="H3799" s="238" t="str">
        <f>IFERROR(__xludf.DUMMYFUNCTION("""COMPUTED_VALUE"""),"-")</f>
        <v>-</v>
      </c>
      <c r="I3799" s="237" t="str">
        <f t="shared" si="1"/>
        <v>Dentro</v>
      </c>
      <c r="J3799" s="239" t="e">
        <v>#VALUE!</v>
      </c>
    </row>
    <row r="3800">
      <c r="A3800" s="234" t="s">
        <v>5051</v>
      </c>
      <c r="B3800" s="234" t="str">
        <f>IFERROR(__xludf.DUMMYFUNCTION("""COMPUTED_VALUE"""),"Fanout Desconhecido")</f>
        <v>Fanout Desconhecido</v>
      </c>
      <c r="C3800" s="234" t="str">
        <f>IFERROR(__xludf.DUMMYFUNCTION("""COMPUTED_VALUE"""),"-")</f>
        <v>-</v>
      </c>
      <c r="D3800" s="234">
        <f>IFERROR(__xludf.DUMMYFUNCTION("""COMPUTED_VALUE"""),6.0)</f>
        <v>6</v>
      </c>
      <c r="E3800" s="237" t="str">
        <f>IFERROR(__xludf.DUMMYFUNCTION("""COMPUTED_VALUE"""),"LT0Q1301V8301")</f>
        <v>LT0Q1301V8301</v>
      </c>
      <c r="F3800" s="238" t="str">
        <f>IFERROR(__xludf.DUMMYFUNCTION("""COMPUTED_VALUE"""),"-")</f>
        <v>-</v>
      </c>
      <c r="G3800" s="238" t="str">
        <f>IFERROR(__xludf.DUMMYFUNCTION("""COMPUTED_VALUE"""),"-")</f>
        <v>-</v>
      </c>
      <c r="H3800" s="238" t="str">
        <f>IFERROR(__xludf.DUMMYFUNCTION("""COMPUTED_VALUE"""),"-")</f>
        <v>-</v>
      </c>
      <c r="I3800" s="237" t="str">
        <f t="shared" si="1"/>
        <v>Dentro</v>
      </c>
      <c r="J3800" s="239" t="e">
        <v>#VALUE!</v>
      </c>
    </row>
    <row r="3801">
      <c r="A3801" s="244" t="s">
        <v>5052</v>
      </c>
      <c r="B3801" s="234" t="str">
        <f>IFERROR(__xludf.DUMMYFUNCTION("""COMPUTED_VALUE"""),"Fanout Desconhecido")</f>
        <v>Fanout Desconhecido</v>
      </c>
      <c r="C3801" s="234" t="str">
        <f>IFERROR(__xludf.DUMMYFUNCTION("""COMPUTED_VALUE"""),"-")</f>
        <v>-</v>
      </c>
      <c r="D3801" s="234">
        <f>IFERROR(__xludf.DUMMYFUNCTION("""COMPUTED_VALUE"""),13.0)</f>
        <v>13</v>
      </c>
      <c r="E3801" s="245" t="str">
        <f>IFERROR(__xludf.DUMMYFUNCTION("""COMPUTED_VALUE"""),"LT0Q1301V8401")</f>
        <v>LT0Q1301V8401</v>
      </c>
      <c r="F3801" s="238" t="str">
        <f>IFERROR(__xludf.DUMMYFUNCTION("""COMPUTED_VALUE"""),"-")</f>
        <v>-</v>
      </c>
      <c r="G3801" s="238" t="str">
        <f>IFERROR(__xludf.DUMMYFUNCTION("""COMPUTED_VALUE"""),"-")</f>
        <v>-</v>
      </c>
      <c r="H3801" s="238" t="str">
        <f>IFERROR(__xludf.DUMMYFUNCTION("""COMPUTED_VALUE"""),"-")</f>
        <v>-</v>
      </c>
      <c r="I3801" s="237" t="str">
        <f t="shared" si="1"/>
        <v>Dentro</v>
      </c>
      <c r="J3801" s="239" t="e">
        <v>#VALUE!</v>
      </c>
    </row>
    <row r="3802">
      <c r="A3802" s="244" t="s">
        <v>5053</v>
      </c>
      <c r="B3802" s="234" t="str">
        <f>IFERROR(__xludf.DUMMYFUNCTION("""COMPUTED_VALUE"""),"Fanout Desconhecido")</f>
        <v>Fanout Desconhecido</v>
      </c>
      <c r="C3802" s="234" t="str">
        <f>IFERROR(__xludf.DUMMYFUNCTION("""COMPUTED_VALUE"""),"-")</f>
        <v>-</v>
      </c>
      <c r="D3802" s="234">
        <f>IFERROR(__xludf.DUMMYFUNCTION("""COMPUTED_VALUE"""),8.0)</f>
        <v>8</v>
      </c>
      <c r="E3802" s="245" t="str">
        <f>IFERROR(__xludf.DUMMYFUNCTION("""COMPUTED_VALUE"""),"LT0Q1301V8471")</f>
        <v>LT0Q1301V8471</v>
      </c>
      <c r="F3802" s="238" t="str">
        <f>IFERROR(__xludf.DUMMYFUNCTION("""COMPUTED_VALUE"""),"-")</f>
        <v>-</v>
      </c>
      <c r="G3802" s="238" t="str">
        <f>IFERROR(__xludf.DUMMYFUNCTION("""COMPUTED_VALUE"""),"-")</f>
        <v>-</v>
      </c>
      <c r="H3802" s="238" t="str">
        <f>IFERROR(__xludf.DUMMYFUNCTION("""COMPUTED_VALUE"""),"-")</f>
        <v>-</v>
      </c>
      <c r="I3802" s="237" t="str">
        <f t="shared" si="1"/>
        <v>Dentro</v>
      </c>
      <c r="J3802" s="239" t="e">
        <v>#VALUE!</v>
      </c>
    </row>
    <row r="3803">
      <c r="A3803" s="244" t="s">
        <v>5054</v>
      </c>
      <c r="B3803" s="234" t="str">
        <f>IFERROR(__xludf.DUMMYFUNCTION("""COMPUTED_VALUE"""),"Fanout Desconhecido")</f>
        <v>Fanout Desconhecido</v>
      </c>
      <c r="C3803" s="234" t="str">
        <f>IFERROR(__xludf.DUMMYFUNCTION("""COMPUTED_VALUE"""),"-")</f>
        <v>-</v>
      </c>
      <c r="D3803" s="234">
        <f>IFERROR(__xludf.DUMMYFUNCTION("""COMPUTED_VALUE"""),45.0)</f>
        <v>45</v>
      </c>
      <c r="E3803" s="245" t="str">
        <f>IFERROR(__xludf.DUMMYFUNCTION("""COMPUTED_VALUE"""),"LT0Q1301V8G41")</f>
        <v>LT0Q1301V8G41</v>
      </c>
      <c r="F3803" s="238" t="str">
        <f>IFERROR(__xludf.DUMMYFUNCTION("""COMPUTED_VALUE"""),"-")</f>
        <v>-</v>
      </c>
      <c r="G3803" s="238" t="str">
        <f>IFERROR(__xludf.DUMMYFUNCTION("""COMPUTED_VALUE"""),"-")</f>
        <v>-</v>
      </c>
      <c r="H3803" s="238" t="str">
        <f>IFERROR(__xludf.DUMMYFUNCTION("""COMPUTED_VALUE"""),"-")</f>
        <v>-</v>
      </c>
      <c r="I3803" s="237" t="str">
        <f t="shared" si="1"/>
        <v>Dentro</v>
      </c>
      <c r="J3803" s="239" t="e">
        <v>#VALUE!</v>
      </c>
    </row>
    <row r="3804">
      <c r="A3804" s="244" t="s">
        <v>598</v>
      </c>
      <c r="B3804" s="234" t="str">
        <f>IFERROR(__xludf.DUMMYFUNCTION("""COMPUTED_VALUE"""),"Fanout Desconhecido")</f>
        <v>Fanout Desconhecido</v>
      </c>
      <c r="C3804" s="234" t="str">
        <f>IFERROR(__xludf.DUMMYFUNCTION("""COMPUTED_VALUE"""),"-")</f>
        <v>-</v>
      </c>
      <c r="D3804" s="234">
        <f>IFERROR(__xludf.DUMMYFUNCTION("""COMPUTED_VALUE"""),44.0)</f>
        <v>44</v>
      </c>
      <c r="E3804" s="245" t="str">
        <f>IFERROR(__xludf.DUMMYFUNCTION("""COMPUTED_VALUE"""),"LT0Q1301V8SY1")</f>
        <v>LT0Q1301V8SY1</v>
      </c>
      <c r="F3804" s="238" t="str">
        <f>IFERROR(__xludf.DUMMYFUNCTION("""COMPUTED_VALUE"""),"-")</f>
        <v>-</v>
      </c>
      <c r="G3804" s="238" t="str">
        <f>IFERROR(__xludf.DUMMYFUNCTION("""COMPUTED_VALUE"""),"-")</f>
        <v>-</v>
      </c>
      <c r="H3804" s="238" t="str">
        <f>IFERROR(__xludf.DUMMYFUNCTION("""COMPUTED_VALUE"""),"-")</f>
        <v>-</v>
      </c>
      <c r="I3804" s="237" t="str">
        <f t="shared" si="1"/>
        <v>Dentro</v>
      </c>
      <c r="J3804" s="239" t="e">
        <v>#VALUE!</v>
      </c>
    </row>
    <row r="3805">
      <c r="A3805" s="244" t="s">
        <v>599</v>
      </c>
      <c r="B3805" s="234" t="str">
        <f>IFERROR(__xludf.DUMMYFUNCTION("""COMPUTED_VALUE"""),"Fanout Desconhecido")</f>
        <v>Fanout Desconhecido</v>
      </c>
      <c r="C3805" s="234" t="str">
        <f>IFERROR(__xludf.DUMMYFUNCTION("""COMPUTED_VALUE"""),"-")</f>
        <v>-</v>
      </c>
      <c r="D3805" s="234">
        <f>IFERROR(__xludf.DUMMYFUNCTION("""COMPUTED_VALUE"""),19.0)</f>
        <v>19</v>
      </c>
      <c r="E3805" s="245" t="str">
        <f>IFERROR(__xludf.DUMMYFUNCTION("""COMPUTED_VALUE"""),"LT0Q1301VQ3G1")</f>
        <v>LT0Q1301VQ3G1</v>
      </c>
      <c r="F3805" s="238" t="str">
        <f>IFERROR(__xludf.DUMMYFUNCTION("""COMPUTED_VALUE"""),"-")</f>
        <v>-</v>
      </c>
      <c r="G3805" s="238" t="str">
        <f>IFERROR(__xludf.DUMMYFUNCTION("""COMPUTED_VALUE"""),"-")</f>
        <v>-</v>
      </c>
      <c r="H3805" s="238" t="str">
        <f>IFERROR(__xludf.DUMMYFUNCTION("""COMPUTED_VALUE"""),"-")</f>
        <v>-</v>
      </c>
      <c r="I3805" s="237" t="str">
        <f t="shared" si="1"/>
        <v>Dentro</v>
      </c>
      <c r="J3805" s="239" t="e">
        <v>#VALUE!</v>
      </c>
    </row>
    <row r="3806">
      <c r="A3806" s="234" t="s">
        <v>600</v>
      </c>
      <c r="B3806" s="234" t="str">
        <f>IFERROR(__xludf.DUMMYFUNCTION("""COMPUTED_VALUE"""),"Fanout Desconhecido")</f>
        <v>Fanout Desconhecido</v>
      </c>
      <c r="C3806" s="234" t="str">
        <f>IFERROR(__xludf.DUMMYFUNCTION("""COMPUTED_VALUE"""),"-")</f>
        <v>-</v>
      </c>
      <c r="D3806" s="234">
        <f>IFERROR(__xludf.DUMMYFUNCTION("""COMPUTED_VALUE"""),9.0)</f>
        <v>9</v>
      </c>
      <c r="E3806" s="237" t="str">
        <f>IFERROR(__xludf.DUMMYFUNCTION("""COMPUTED_VALUE"""),"LT0Q1301VAME1")</f>
        <v>LT0Q1301VAME1</v>
      </c>
      <c r="F3806" s="238" t="str">
        <f>IFERROR(__xludf.DUMMYFUNCTION("""COMPUTED_VALUE"""),"-")</f>
        <v>-</v>
      </c>
      <c r="G3806" s="238" t="str">
        <f>IFERROR(__xludf.DUMMYFUNCTION("""COMPUTED_VALUE"""),"-")</f>
        <v>-</v>
      </c>
      <c r="H3806" s="238" t="str">
        <f>IFERROR(__xludf.DUMMYFUNCTION("""COMPUTED_VALUE"""),"-")</f>
        <v>-</v>
      </c>
      <c r="I3806" s="237" t="str">
        <f t="shared" si="1"/>
        <v>Dentro</v>
      </c>
      <c r="J3806" s="239" t="e">
        <v>#VALUE!</v>
      </c>
    </row>
    <row r="3807">
      <c r="A3807" s="244" t="s">
        <v>5055</v>
      </c>
      <c r="B3807" s="234" t="str">
        <f>IFERROR(__xludf.DUMMYFUNCTION("""COMPUTED_VALUE"""),"Fanout Desconhecido")</f>
        <v>Fanout Desconhecido</v>
      </c>
      <c r="C3807" s="234" t="str">
        <f>IFERROR(__xludf.DUMMYFUNCTION("""COMPUTED_VALUE"""),"-")</f>
        <v>-</v>
      </c>
      <c r="D3807" s="234"/>
      <c r="E3807" s="245" t="str">
        <f>IFERROR(__xludf.DUMMYFUNCTION("""COMPUTED_VALUE"""),"LT0Q1201V7Z91")</f>
        <v>LT0Q1201V7Z91</v>
      </c>
      <c r="F3807" s="238" t="str">
        <f>IFERROR(__xludf.DUMMYFUNCTION("""COMPUTED_VALUE"""),"-")</f>
        <v>-</v>
      </c>
      <c r="G3807" s="238" t="str">
        <f>IFERROR(__xludf.DUMMYFUNCTION("""COMPUTED_VALUE"""),"-")</f>
        <v>-</v>
      </c>
      <c r="H3807" s="238" t="str">
        <f>IFERROR(__xludf.DUMMYFUNCTION("""COMPUTED_VALUE"""),"-")</f>
        <v>-</v>
      </c>
      <c r="I3807" s="237" t="str">
        <f t="shared" si="1"/>
        <v>Dentro</v>
      </c>
      <c r="J3807" s="239" t="e">
        <v>#VALUE!</v>
      </c>
    </row>
    <row r="3808">
      <c r="A3808" s="244" t="s">
        <v>601</v>
      </c>
      <c r="B3808" s="234" t="str">
        <f>IFERROR(__xludf.DUMMYFUNCTION("""COMPUTED_VALUE"""),"Fanout Desconhecido")</f>
        <v>Fanout Desconhecido</v>
      </c>
      <c r="C3808" s="234" t="str">
        <f>IFERROR(__xludf.DUMMYFUNCTION("""COMPUTED_VALUE"""),"-")</f>
        <v>-</v>
      </c>
      <c r="D3808" s="234">
        <f>IFERROR(__xludf.DUMMYFUNCTION("""COMPUTED_VALUE"""),91.0)</f>
        <v>91</v>
      </c>
      <c r="E3808" s="245" t="str">
        <f>IFERROR(__xludf.DUMMYFUNCTION("""COMPUTED_VALUE"""),"LT0Q1201V7ZB2")</f>
        <v>LT0Q1201V7ZB2</v>
      </c>
      <c r="F3808" s="238" t="str">
        <f>IFERROR(__xludf.DUMMYFUNCTION("""COMPUTED_VALUE"""),"-")</f>
        <v>-</v>
      </c>
      <c r="G3808" s="238" t="str">
        <f>IFERROR(__xludf.DUMMYFUNCTION("""COMPUTED_VALUE"""),"-")</f>
        <v>-</v>
      </c>
      <c r="H3808" s="238" t="str">
        <f>IFERROR(__xludf.DUMMYFUNCTION("""COMPUTED_VALUE"""),"-")</f>
        <v>-</v>
      </c>
      <c r="I3808" s="237" t="str">
        <f t="shared" si="1"/>
        <v>Dentro</v>
      </c>
      <c r="J3808" s="239" t="e">
        <v>#VALUE!</v>
      </c>
    </row>
    <row r="3809">
      <c r="A3809" s="244" t="s">
        <v>602</v>
      </c>
      <c r="B3809" s="234" t="str">
        <f>IFERROR(__xludf.DUMMYFUNCTION("""COMPUTED_VALUE"""),"Fanout Desconhecido")</f>
        <v>Fanout Desconhecido</v>
      </c>
      <c r="C3809" s="234" t="str">
        <f>IFERROR(__xludf.DUMMYFUNCTION("""COMPUTED_VALUE"""),"-")</f>
        <v>-</v>
      </c>
      <c r="D3809" s="234">
        <f>IFERROR(__xludf.DUMMYFUNCTION("""COMPUTED_VALUE"""),100.0)</f>
        <v>100</v>
      </c>
      <c r="E3809" s="245" t="str">
        <f>IFERROR(__xludf.DUMMYFUNCTION("""COMPUTED_VALUE"""),"LT0Q1201VB441")</f>
        <v>LT0Q1201VB441</v>
      </c>
      <c r="F3809" s="238" t="str">
        <f>IFERROR(__xludf.DUMMYFUNCTION("""COMPUTED_VALUE"""),"-")</f>
        <v>-</v>
      </c>
      <c r="G3809" s="238" t="str">
        <f>IFERROR(__xludf.DUMMYFUNCTION("""COMPUTED_VALUE"""),"-")</f>
        <v>-</v>
      </c>
      <c r="H3809" s="238" t="str">
        <f>IFERROR(__xludf.DUMMYFUNCTION("""COMPUTED_VALUE"""),"-")</f>
        <v>-</v>
      </c>
      <c r="I3809" s="237" t="str">
        <f t="shared" si="1"/>
        <v>Dentro</v>
      </c>
      <c r="J3809" s="239" t="e">
        <v>#VALUE!</v>
      </c>
    </row>
    <row r="3810">
      <c r="A3810" s="244" t="s">
        <v>5056</v>
      </c>
      <c r="B3810" s="234" t="str">
        <f>IFERROR(__xludf.DUMMYFUNCTION("""COMPUTED_VALUE"""),"Fanout Desconhecido")</f>
        <v>Fanout Desconhecido</v>
      </c>
      <c r="C3810" s="234" t="str">
        <f>IFERROR(__xludf.DUMMYFUNCTION("""COMPUTED_VALUE"""),"-")</f>
        <v>-</v>
      </c>
      <c r="D3810" s="234"/>
      <c r="E3810" s="245" t="str">
        <f>IFERROR(__xludf.DUMMYFUNCTION("""COMPUTED_VALUE"""),"LT0Q1201VBQC1")</f>
        <v>LT0Q1201VBQC1</v>
      </c>
      <c r="F3810" s="238" t="str">
        <f>IFERROR(__xludf.DUMMYFUNCTION("""COMPUTED_VALUE"""),"-")</f>
        <v>-</v>
      </c>
      <c r="G3810" s="238" t="str">
        <f>IFERROR(__xludf.DUMMYFUNCTION("""COMPUTED_VALUE"""),"-")</f>
        <v>-</v>
      </c>
      <c r="H3810" s="238" t="str">
        <f>IFERROR(__xludf.DUMMYFUNCTION("""COMPUTED_VALUE"""),"-")</f>
        <v>-</v>
      </c>
      <c r="I3810" s="237" t="str">
        <f t="shared" si="1"/>
        <v>Dentro</v>
      </c>
      <c r="J3810" s="239" t="e">
        <v>#VALUE!</v>
      </c>
    </row>
    <row r="3811">
      <c r="A3811" s="244" t="s">
        <v>603</v>
      </c>
      <c r="B3811" s="234" t="str">
        <f>IFERROR(__xludf.DUMMYFUNCTION("""COMPUTED_VALUE"""),"Fanout Desconhecido")</f>
        <v>Fanout Desconhecido</v>
      </c>
      <c r="C3811" s="234" t="str">
        <f>IFERROR(__xludf.DUMMYFUNCTION("""COMPUTED_VALUE"""),"-")</f>
        <v>-</v>
      </c>
      <c r="D3811" s="234"/>
      <c r="E3811" s="245" t="str">
        <f>IFERROR(__xludf.DUMMYFUNCTION("""COMPUTED_VALUE"""),"LT0Q1201VBQD2")</f>
        <v>LT0Q1201VBQD2</v>
      </c>
      <c r="F3811" s="238" t="str">
        <f>IFERROR(__xludf.DUMMYFUNCTION("""COMPUTED_VALUE"""),"-")</f>
        <v>-</v>
      </c>
      <c r="G3811" s="238" t="str">
        <f>IFERROR(__xludf.DUMMYFUNCTION("""COMPUTED_VALUE"""),"-")</f>
        <v>-</v>
      </c>
      <c r="H3811" s="238" t="str">
        <f>IFERROR(__xludf.DUMMYFUNCTION("""COMPUTED_VALUE"""),"-")</f>
        <v>-</v>
      </c>
      <c r="I3811" s="237" t="str">
        <f t="shared" si="1"/>
        <v>Dentro</v>
      </c>
      <c r="J3811" s="239" t="e">
        <v>#VALUE!</v>
      </c>
    </row>
    <row r="3812">
      <c r="A3812" s="244" t="s">
        <v>605</v>
      </c>
      <c r="B3812" s="234" t="str">
        <f>IFERROR(__xludf.DUMMYFUNCTION("""COMPUTED_VALUE"""),"Fanout Desconhecido")</f>
        <v>Fanout Desconhecido</v>
      </c>
      <c r="C3812" s="234" t="str">
        <f>IFERROR(__xludf.DUMMYFUNCTION("""COMPUTED_VALUE"""),"-")</f>
        <v>-</v>
      </c>
      <c r="D3812" s="234"/>
      <c r="E3812" s="245" t="str">
        <f>IFERROR(__xludf.DUMMYFUNCTION("""COMPUTED_VALUE"""),"LT0Q1201VBQF3")</f>
        <v>LT0Q1201VBQF3</v>
      </c>
      <c r="F3812" s="238" t="str">
        <f>IFERROR(__xludf.DUMMYFUNCTION("""COMPUTED_VALUE"""),"-")</f>
        <v>-</v>
      </c>
      <c r="G3812" s="238" t="str">
        <f>IFERROR(__xludf.DUMMYFUNCTION("""COMPUTED_VALUE"""),"-")</f>
        <v>-</v>
      </c>
      <c r="H3812" s="238" t="str">
        <f>IFERROR(__xludf.DUMMYFUNCTION("""COMPUTED_VALUE"""),"-")</f>
        <v>-</v>
      </c>
      <c r="I3812" s="237" t="str">
        <f t="shared" si="1"/>
        <v>Dentro</v>
      </c>
      <c r="J3812" s="239" t="e">
        <v>#VALUE!</v>
      </c>
    </row>
    <row r="3813">
      <c r="A3813" s="244" t="s">
        <v>606</v>
      </c>
      <c r="B3813" s="234" t="str">
        <f>IFERROR(__xludf.DUMMYFUNCTION("""COMPUTED_VALUE"""),"Fanout Desconhecido")</f>
        <v>Fanout Desconhecido</v>
      </c>
      <c r="C3813" s="234" t="str">
        <f>IFERROR(__xludf.DUMMYFUNCTION("""COMPUTED_VALUE"""),"-")</f>
        <v>-</v>
      </c>
      <c r="D3813" s="234"/>
      <c r="E3813" s="245" t="str">
        <f>IFERROR(__xludf.DUMMYFUNCTION("""COMPUTED_VALUE"""),"LT0Q1201VBSD1")</f>
        <v>LT0Q1201VBSD1</v>
      </c>
      <c r="F3813" s="238" t="str">
        <f>IFERROR(__xludf.DUMMYFUNCTION("""COMPUTED_VALUE"""),"-")</f>
        <v>-</v>
      </c>
      <c r="G3813" s="238" t="str">
        <f>IFERROR(__xludf.DUMMYFUNCTION("""COMPUTED_VALUE"""),"-")</f>
        <v>-</v>
      </c>
      <c r="H3813" s="238" t="str">
        <f>IFERROR(__xludf.DUMMYFUNCTION("""COMPUTED_VALUE"""),"-")</f>
        <v>-</v>
      </c>
      <c r="I3813" s="237" t="str">
        <f t="shared" si="1"/>
        <v>Dentro</v>
      </c>
      <c r="J3813" s="239" t="e">
        <v>#VALUE!</v>
      </c>
    </row>
    <row r="3814">
      <c r="A3814" s="244" t="s">
        <v>607</v>
      </c>
      <c r="B3814" s="234" t="str">
        <f>IFERROR(__xludf.DUMMYFUNCTION("""COMPUTED_VALUE"""),"Fanout Desconhecido")</f>
        <v>Fanout Desconhecido</v>
      </c>
      <c r="C3814" s="234" t="str">
        <f>IFERROR(__xludf.DUMMYFUNCTION("""COMPUTED_VALUE"""),"-")</f>
        <v>-</v>
      </c>
      <c r="D3814" s="234"/>
      <c r="E3814" s="245" t="str">
        <f>IFERROR(__xludf.DUMMYFUNCTION("""COMPUTED_VALUE"""),"LT0Q1201VBSF2")</f>
        <v>LT0Q1201VBSF2</v>
      </c>
      <c r="F3814" s="238" t="str">
        <f>IFERROR(__xludf.DUMMYFUNCTION("""COMPUTED_VALUE"""),"-")</f>
        <v>-</v>
      </c>
      <c r="G3814" s="238" t="str">
        <f>IFERROR(__xludf.DUMMYFUNCTION("""COMPUTED_VALUE"""),"-")</f>
        <v>-</v>
      </c>
      <c r="H3814" s="238" t="str">
        <f>IFERROR(__xludf.DUMMYFUNCTION("""COMPUTED_VALUE"""),"-")</f>
        <v>-</v>
      </c>
      <c r="I3814" s="237" t="str">
        <f t="shared" si="1"/>
        <v>Dentro</v>
      </c>
      <c r="J3814" s="239" t="e">
        <v>#VALUE!</v>
      </c>
    </row>
    <row r="3815">
      <c r="A3815" s="244" t="s">
        <v>609</v>
      </c>
      <c r="B3815" s="234" t="str">
        <f>IFERROR(__xludf.DUMMYFUNCTION("""COMPUTED_VALUE"""),"Fanout Desconhecido")</f>
        <v>Fanout Desconhecido</v>
      </c>
      <c r="C3815" s="234" t="str">
        <f>IFERROR(__xludf.DUMMYFUNCTION("""COMPUTED_VALUE"""),"-")</f>
        <v>-</v>
      </c>
      <c r="D3815" s="234"/>
      <c r="E3815" s="245" t="str">
        <f>IFERROR(__xludf.DUMMYFUNCTION("""COMPUTED_VALUE"""),"LT0Q1201VBSH3")</f>
        <v>LT0Q1201VBSH3</v>
      </c>
      <c r="F3815" s="238" t="str">
        <f>IFERROR(__xludf.DUMMYFUNCTION("""COMPUTED_VALUE"""),"-")</f>
        <v>-</v>
      </c>
      <c r="G3815" s="238" t="str">
        <f>IFERROR(__xludf.DUMMYFUNCTION("""COMPUTED_VALUE"""),"-")</f>
        <v>-</v>
      </c>
      <c r="H3815" s="238" t="str">
        <f>IFERROR(__xludf.DUMMYFUNCTION("""COMPUTED_VALUE"""),"-")</f>
        <v>-</v>
      </c>
      <c r="I3815" s="237" t="str">
        <f t="shared" si="1"/>
        <v>Dentro</v>
      </c>
      <c r="J3815" s="239" t="e">
        <v>#VALUE!</v>
      </c>
    </row>
    <row r="3816">
      <c r="A3816" s="244" t="s">
        <v>611</v>
      </c>
      <c r="B3816" s="234" t="str">
        <f>IFERROR(__xludf.DUMMYFUNCTION("""COMPUTED_VALUE"""),"Fanout Desconhecido")</f>
        <v>Fanout Desconhecido</v>
      </c>
      <c r="C3816" s="234" t="str">
        <f>IFERROR(__xludf.DUMMYFUNCTION("""COMPUTED_VALUE"""),"-")</f>
        <v>-</v>
      </c>
      <c r="D3816" s="234"/>
      <c r="E3816" s="245" t="str">
        <f>IFERROR(__xludf.DUMMYFUNCTION("""COMPUTED_VALUE"""),"LT0Q1201VBZG1")</f>
        <v>LT0Q1201VBZG1</v>
      </c>
      <c r="F3816" s="238" t="str">
        <f>IFERROR(__xludf.DUMMYFUNCTION("""COMPUTED_VALUE"""),"-")</f>
        <v>-</v>
      </c>
      <c r="G3816" s="238" t="str">
        <f>IFERROR(__xludf.DUMMYFUNCTION("""COMPUTED_VALUE"""),"-")</f>
        <v>-</v>
      </c>
      <c r="H3816" s="238" t="str">
        <f>IFERROR(__xludf.DUMMYFUNCTION("""COMPUTED_VALUE"""),"-")</f>
        <v>-</v>
      </c>
      <c r="I3816" s="237" t="str">
        <f t="shared" si="1"/>
        <v>Dentro</v>
      </c>
      <c r="J3816" s="239" t="e">
        <v>#VALUE!</v>
      </c>
    </row>
    <row r="3817">
      <c r="A3817" s="244" t="s">
        <v>612</v>
      </c>
      <c r="B3817" s="234" t="str">
        <f>IFERROR(__xludf.DUMMYFUNCTION("""COMPUTED_VALUE"""),"Fanout Desconhecido")</f>
        <v>Fanout Desconhecido</v>
      </c>
      <c r="C3817" s="234" t="str">
        <f>IFERROR(__xludf.DUMMYFUNCTION("""COMPUTED_VALUE"""),"-")</f>
        <v>-</v>
      </c>
      <c r="D3817" s="234"/>
      <c r="E3817" s="245" t="str">
        <f>IFERROR(__xludf.DUMMYFUNCTION("""COMPUTED_VALUE"""),"LT0Q1201VBZI2")</f>
        <v>LT0Q1201VBZI2</v>
      </c>
      <c r="F3817" s="238" t="str">
        <f>IFERROR(__xludf.DUMMYFUNCTION("""COMPUTED_VALUE"""),"-")</f>
        <v>-</v>
      </c>
      <c r="G3817" s="238" t="str">
        <f>IFERROR(__xludf.DUMMYFUNCTION("""COMPUTED_VALUE"""),"-")</f>
        <v>-</v>
      </c>
      <c r="H3817" s="238" t="str">
        <f>IFERROR(__xludf.DUMMYFUNCTION("""COMPUTED_VALUE"""),"-")</f>
        <v>-</v>
      </c>
      <c r="I3817" s="237" t="str">
        <f t="shared" si="1"/>
        <v>Dentro</v>
      </c>
      <c r="J3817" s="239" t="e">
        <v>#VALUE!</v>
      </c>
    </row>
    <row r="3818">
      <c r="A3818" s="244" t="s">
        <v>5057</v>
      </c>
      <c r="B3818" s="234" t="str">
        <f>IFERROR(__xludf.DUMMYFUNCTION("""COMPUTED_VALUE"""),"Fanout Desconhecido")</f>
        <v>Fanout Desconhecido</v>
      </c>
      <c r="C3818" s="234" t="str">
        <f>IFERROR(__xludf.DUMMYFUNCTION("""COMPUTED_VALUE"""),"-")</f>
        <v>-</v>
      </c>
      <c r="D3818" s="234">
        <f>IFERROR(__xludf.DUMMYFUNCTION("""COMPUTED_VALUE"""),102.0)</f>
        <v>102</v>
      </c>
      <c r="E3818" s="245" t="str">
        <f>IFERROR(__xludf.DUMMYFUNCTION("""COMPUTED_VALUE"""),"LT0Q1201VC0P1")</f>
        <v>LT0Q1201VC0P1</v>
      </c>
      <c r="F3818" s="238" t="str">
        <f>IFERROR(__xludf.DUMMYFUNCTION("""COMPUTED_VALUE"""),"-")</f>
        <v>-</v>
      </c>
      <c r="G3818" s="238" t="str">
        <f>IFERROR(__xludf.DUMMYFUNCTION("""COMPUTED_VALUE"""),"-")</f>
        <v>-</v>
      </c>
      <c r="H3818" s="238" t="str">
        <f>IFERROR(__xludf.DUMMYFUNCTION("""COMPUTED_VALUE"""),"-")</f>
        <v>-</v>
      </c>
      <c r="I3818" s="237" t="str">
        <f t="shared" si="1"/>
        <v>Dentro</v>
      </c>
      <c r="J3818" s="239" t="e">
        <v>#VALUE!</v>
      </c>
    </row>
    <row r="3819">
      <c r="A3819" s="244" t="s">
        <v>613</v>
      </c>
      <c r="B3819" s="234" t="str">
        <f>IFERROR(__xludf.DUMMYFUNCTION("""COMPUTED_VALUE"""),"Fanout Desconhecido")</f>
        <v>Fanout Desconhecido</v>
      </c>
      <c r="C3819" s="234" t="str">
        <f>IFERROR(__xludf.DUMMYFUNCTION("""COMPUTED_VALUE"""),"-")</f>
        <v>-</v>
      </c>
      <c r="D3819" s="234">
        <f>IFERROR(__xludf.DUMMYFUNCTION("""COMPUTED_VALUE"""),102.0)</f>
        <v>102</v>
      </c>
      <c r="E3819" s="245" t="str">
        <f>IFERROR(__xludf.DUMMYFUNCTION("""COMPUTED_VALUE"""),"LT0Q1201VC0R2")</f>
        <v>LT0Q1201VC0R2</v>
      </c>
      <c r="F3819" s="238" t="str">
        <f>IFERROR(__xludf.DUMMYFUNCTION("""COMPUTED_VALUE"""),"-")</f>
        <v>-</v>
      </c>
      <c r="G3819" s="238" t="str">
        <f>IFERROR(__xludf.DUMMYFUNCTION("""COMPUTED_VALUE"""),"-")</f>
        <v>-</v>
      </c>
      <c r="H3819" s="238" t="str">
        <f>IFERROR(__xludf.DUMMYFUNCTION("""COMPUTED_VALUE"""),"-")</f>
        <v>-</v>
      </c>
      <c r="I3819" s="237" t="str">
        <f t="shared" si="1"/>
        <v>Dentro</v>
      </c>
      <c r="J3819" s="239" t="e">
        <v>#VALUE!</v>
      </c>
    </row>
    <row r="3820">
      <c r="A3820" s="244" t="s">
        <v>614</v>
      </c>
      <c r="B3820" s="234" t="str">
        <f>IFERROR(__xludf.DUMMYFUNCTION("""COMPUTED_VALUE"""),"Fanout Desconhecido")</f>
        <v>Fanout Desconhecido</v>
      </c>
      <c r="C3820" s="234" t="str">
        <f>IFERROR(__xludf.DUMMYFUNCTION("""COMPUTED_VALUE"""),"-")</f>
        <v>-</v>
      </c>
      <c r="D3820" s="234"/>
      <c r="E3820" s="245" t="str">
        <f>IFERROR(__xludf.DUMMYFUNCTION("""COMPUTED_VALUE"""),"LT0Q1201VQKM1")</f>
        <v>LT0Q1201VQKM1</v>
      </c>
      <c r="F3820" s="238" t="str">
        <f>IFERROR(__xludf.DUMMYFUNCTION("""COMPUTED_VALUE"""),"-")</f>
        <v>-</v>
      </c>
      <c r="G3820" s="238" t="str">
        <f>IFERROR(__xludf.DUMMYFUNCTION("""COMPUTED_VALUE"""),"-")</f>
        <v>-</v>
      </c>
      <c r="H3820" s="238" t="str">
        <f>IFERROR(__xludf.DUMMYFUNCTION("""COMPUTED_VALUE"""),"-")</f>
        <v>-</v>
      </c>
      <c r="I3820" s="237" t="str">
        <f t="shared" si="1"/>
        <v>Dentro</v>
      </c>
      <c r="J3820" s="239" t="e">
        <v>#VALUE!</v>
      </c>
    </row>
    <row r="3821">
      <c r="A3821" s="244" t="s">
        <v>615</v>
      </c>
      <c r="B3821" s="234" t="str">
        <f>IFERROR(__xludf.DUMMYFUNCTION("""COMPUTED_VALUE"""),"Fanout Desconhecido")</f>
        <v>Fanout Desconhecido</v>
      </c>
      <c r="C3821" s="234" t="str">
        <f>IFERROR(__xludf.DUMMYFUNCTION("""COMPUTED_VALUE"""),"-")</f>
        <v>-</v>
      </c>
      <c r="D3821" s="234"/>
      <c r="E3821" s="245" t="str">
        <f>IFERROR(__xludf.DUMMYFUNCTION("""COMPUTED_VALUE"""),"LT0Q1201V9I21")</f>
        <v>LT0Q1201V9I21</v>
      </c>
      <c r="F3821" s="238" t="str">
        <f>IFERROR(__xludf.DUMMYFUNCTION("""COMPUTED_VALUE"""),"-")</f>
        <v>-</v>
      </c>
      <c r="G3821" s="238" t="str">
        <f>IFERROR(__xludf.DUMMYFUNCTION("""COMPUTED_VALUE"""),"-")</f>
        <v>-</v>
      </c>
      <c r="H3821" s="238" t="str">
        <f>IFERROR(__xludf.DUMMYFUNCTION("""COMPUTED_VALUE"""),"-")</f>
        <v>-</v>
      </c>
      <c r="I3821" s="237" t="str">
        <f t="shared" si="1"/>
        <v>Dentro</v>
      </c>
      <c r="J3821" s="239" t="e">
        <v>#VALUE!</v>
      </c>
    </row>
    <row r="3822">
      <c r="A3822" s="244" t="s">
        <v>616</v>
      </c>
      <c r="B3822" s="234" t="str">
        <f>IFERROR(__xludf.DUMMYFUNCTION("""COMPUTED_VALUE"""),"Fanout Desconhecido")</f>
        <v>Fanout Desconhecido</v>
      </c>
      <c r="C3822" s="234" t="str">
        <f>IFERROR(__xludf.DUMMYFUNCTION("""COMPUTED_VALUE"""),"-")</f>
        <v>-</v>
      </c>
      <c r="D3822" s="234"/>
      <c r="E3822" s="245" t="str">
        <f>IFERROR(__xludf.DUMMYFUNCTION("""COMPUTED_VALUE"""),"LT0Q1301V8I41")</f>
        <v>LT0Q1301V8I41</v>
      </c>
      <c r="F3822" s="238" t="str">
        <f>IFERROR(__xludf.DUMMYFUNCTION("""COMPUTED_VALUE"""),"-")</f>
        <v>-</v>
      </c>
      <c r="G3822" s="238" t="str">
        <f>IFERROR(__xludf.DUMMYFUNCTION("""COMPUTED_VALUE"""),"-")</f>
        <v>-</v>
      </c>
      <c r="H3822" s="238" t="str">
        <f>IFERROR(__xludf.DUMMYFUNCTION("""COMPUTED_VALUE"""),"-")</f>
        <v>-</v>
      </c>
      <c r="I3822" s="237" t="str">
        <f t="shared" si="1"/>
        <v>Dentro</v>
      </c>
      <c r="J3822" s="239" t="e">
        <v>#VALUE!</v>
      </c>
    </row>
    <row r="3823">
      <c r="A3823" s="244" t="s">
        <v>617</v>
      </c>
      <c r="B3823" s="234" t="str">
        <f>IFERROR(__xludf.DUMMYFUNCTION("""COMPUTED_VALUE"""),"Fanout Desconhecido")</f>
        <v>Fanout Desconhecido</v>
      </c>
      <c r="C3823" s="234" t="str">
        <f>IFERROR(__xludf.DUMMYFUNCTION("""COMPUTED_VALUE"""),"-")</f>
        <v>-</v>
      </c>
      <c r="D3823" s="234">
        <f>IFERROR(__xludf.DUMMYFUNCTION("""COMPUTED_VALUE"""),33.0)</f>
        <v>33</v>
      </c>
      <c r="E3823" s="245" t="str">
        <f>IFERROR(__xludf.DUMMYFUNCTION("""COMPUTED_VALUE"""),"LT0Q1301V8S01")</f>
        <v>LT0Q1301V8S01</v>
      </c>
      <c r="F3823" s="238" t="str">
        <f>IFERROR(__xludf.DUMMYFUNCTION("""COMPUTED_VALUE"""),"-")</f>
        <v>-</v>
      </c>
      <c r="G3823" s="238" t="str">
        <f>IFERROR(__xludf.DUMMYFUNCTION("""COMPUTED_VALUE"""),"-")</f>
        <v>-</v>
      </c>
      <c r="H3823" s="238" t="str">
        <f>IFERROR(__xludf.DUMMYFUNCTION("""COMPUTED_VALUE"""),"-")</f>
        <v>-</v>
      </c>
      <c r="I3823" s="237" t="str">
        <f t="shared" si="1"/>
        <v>Dentro</v>
      </c>
      <c r="J3823" s="239" t="e">
        <v>#VALUE!</v>
      </c>
    </row>
    <row r="3824">
      <c r="A3824" s="244" t="s">
        <v>618</v>
      </c>
      <c r="B3824" s="234" t="str">
        <f>IFERROR(__xludf.DUMMYFUNCTION("""COMPUTED_VALUE"""),"Fanout Desconhecido")</f>
        <v>Fanout Desconhecido</v>
      </c>
      <c r="C3824" s="234" t="str">
        <f>IFERROR(__xludf.DUMMYFUNCTION("""COMPUTED_VALUE"""),"-")</f>
        <v>-</v>
      </c>
      <c r="D3824" s="234"/>
      <c r="E3824" s="245" t="str">
        <f>IFERROR(__xludf.DUMMYFUNCTION("""COMPUTED_VALUE"""),"LT0Q1301V8S22")</f>
        <v>LT0Q1301V8S22</v>
      </c>
      <c r="F3824" s="238" t="str">
        <f>IFERROR(__xludf.DUMMYFUNCTION("""COMPUTED_VALUE"""),"-")</f>
        <v>-</v>
      </c>
      <c r="G3824" s="238" t="str">
        <f>IFERROR(__xludf.DUMMYFUNCTION("""COMPUTED_VALUE"""),"-")</f>
        <v>-</v>
      </c>
      <c r="H3824" s="238" t="str">
        <f>IFERROR(__xludf.DUMMYFUNCTION("""COMPUTED_VALUE"""),"-")</f>
        <v>-</v>
      </c>
      <c r="I3824" s="237" t="str">
        <f t="shared" si="1"/>
        <v>Dentro</v>
      </c>
      <c r="J3824" s="239" t="e">
        <v>#VALUE!</v>
      </c>
    </row>
    <row r="3825">
      <c r="A3825" s="244" t="s">
        <v>619</v>
      </c>
      <c r="B3825" s="234" t="str">
        <f>IFERROR(__xludf.DUMMYFUNCTION("""COMPUTED_VALUE"""),"Fanout Desconhecido")</f>
        <v>Fanout Desconhecido</v>
      </c>
      <c r="C3825" s="234" t="str">
        <f>IFERROR(__xludf.DUMMYFUNCTION("""COMPUTED_VALUE"""),"-")</f>
        <v>-</v>
      </c>
      <c r="D3825" s="234">
        <f>IFERROR(__xludf.DUMMYFUNCTION("""COMPUTED_VALUE"""),28.0)</f>
        <v>28</v>
      </c>
      <c r="E3825" s="245" t="str">
        <f>IFERROR(__xludf.DUMMYFUNCTION("""COMPUTED_VALUE"""),"LT0Q1301V8SV1")</f>
        <v>LT0Q1301V8SV1</v>
      </c>
      <c r="F3825" s="238" t="str">
        <f>IFERROR(__xludf.DUMMYFUNCTION("""COMPUTED_VALUE"""),"-")</f>
        <v>-</v>
      </c>
      <c r="G3825" s="238" t="str">
        <f>IFERROR(__xludf.DUMMYFUNCTION("""COMPUTED_VALUE"""),"-")</f>
        <v>-</v>
      </c>
      <c r="H3825" s="238" t="str">
        <f>IFERROR(__xludf.DUMMYFUNCTION("""COMPUTED_VALUE"""),"-")</f>
        <v>-</v>
      </c>
      <c r="I3825" s="237" t="str">
        <f t="shared" si="1"/>
        <v>Dentro</v>
      </c>
      <c r="J3825" s="239" t="e">
        <v>#VALUE!</v>
      </c>
    </row>
    <row r="3826">
      <c r="A3826" s="244" t="s">
        <v>620</v>
      </c>
      <c r="B3826" s="234" t="str">
        <f>IFERROR(__xludf.DUMMYFUNCTION("""COMPUTED_VALUE"""),"Fanout Desconhecido")</f>
        <v>Fanout Desconhecido</v>
      </c>
      <c r="C3826" s="234" t="str">
        <f>IFERROR(__xludf.DUMMYFUNCTION("""COMPUTED_VALUE"""),"-")</f>
        <v>-</v>
      </c>
      <c r="D3826" s="234">
        <f>IFERROR(__xludf.DUMMYFUNCTION("""COMPUTED_VALUE"""),34.0)</f>
        <v>34</v>
      </c>
      <c r="E3826" s="245" t="str">
        <f>IFERROR(__xludf.DUMMYFUNCTION("""COMPUTED_VALUE"""),"LT0Q1301VCHB1")</f>
        <v>LT0Q1301VCHB1</v>
      </c>
      <c r="F3826" s="238" t="str">
        <f>IFERROR(__xludf.DUMMYFUNCTION("""COMPUTED_VALUE"""),"-")</f>
        <v>-</v>
      </c>
      <c r="G3826" s="238" t="str">
        <f>IFERROR(__xludf.DUMMYFUNCTION("""COMPUTED_VALUE"""),"-")</f>
        <v>-</v>
      </c>
      <c r="H3826" s="238" t="str">
        <f>IFERROR(__xludf.DUMMYFUNCTION("""COMPUTED_VALUE"""),"-")</f>
        <v>-</v>
      </c>
      <c r="I3826" s="237" t="str">
        <f t="shared" si="1"/>
        <v>Dentro</v>
      </c>
      <c r="J3826" s="239" t="e">
        <v>#VALUE!</v>
      </c>
    </row>
    <row r="3827">
      <c r="A3827" s="244" t="s">
        <v>621</v>
      </c>
      <c r="B3827" s="234" t="str">
        <f>IFERROR(__xludf.DUMMYFUNCTION("""COMPUTED_VALUE"""),"Fanout Desconhecido")</f>
        <v>Fanout Desconhecido</v>
      </c>
      <c r="C3827" s="234" t="str">
        <f>IFERROR(__xludf.DUMMYFUNCTION("""COMPUTED_VALUE"""),"-")</f>
        <v>-</v>
      </c>
      <c r="D3827" s="234"/>
      <c r="E3827" s="245" t="str">
        <f>IFERROR(__xludf.DUMMYFUNCTION("""COMPUTED_VALUE"""),"LT0Q1301VBJU1")</f>
        <v>LT0Q1301VBJU1</v>
      </c>
      <c r="F3827" s="238" t="str">
        <f>IFERROR(__xludf.DUMMYFUNCTION("""COMPUTED_VALUE"""),"-")</f>
        <v>-</v>
      </c>
      <c r="G3827" s="238" t="str">
        <f>IFERROR(__xludf.DUMMYFUNCTION("""COMPUTED_VALUE"""),"-")</f>
        <v>-</v>
      </c>
      <c r="H3827" s="238" t="str">
        <f>IFERROR(__xludf.DUMMYFUNCTION("""COMPUTED_VALUE"""),"-")</f>
        <v>-</v>
      </c>
      <c r="I3827" s="237" t="str">
        <f t="shared" si="1"/>
        <v>Dentro</v>
      </c>
      <c r="J3827" s="239" t="e">
        <v>#VALUE!</v>
      </c>
    </row>
    <row r="3828">
      <c r="A3828" s="244" t="s">
        <v>622</v>
      </c>
      <c r="B3828" s="234" t="str">
        <f>IFERROR(__xludf.DUMMYFUNCTION("""COMPUTED_VALUE"""),"Fanout Desconhecido")</f>
        <v>Fanout Desconhecido</v>
      </c>
      <c r="C3828" s="234" t="str">
        <f>IFERROR(__xludf.DUMMYFUNCTION("""COMPUTED_VALUE"""),"-")</f>
        <v>-</v>
      </c>
      <c r="D3828" s="234"/>
      <c r="E3828" s="245" t="str">
        <f>IFERROR(__xludf.DUMMYFUNCTION("""COMPUTED_VALUE"""),"LT0Q1301VQDL1")</f>
        <v>LT0Q1301VQDL1</v>
      </c>
      <c r="F3828" s="238" t="str">
        <f>IFERROR(__xludf.DUMMYFUNCTION("""COMPUTED_VALUE"""),"-")</f>
        <v>-</v>
      </c>
      <c r="G3828" s="238" t="str">
        <f>IFERROR(__xludf.DUMMYFUNCTION("""COMPUTED_VALUE"""),"-")</f>
        <v>-</v>
      </c>
      <c r="H3828" s="238" t="str">
        <f>IFERROR(__xludf.DUMMYFUNCTION("""COMPUTED_VALUE"""),"-")</f>
        <v>-</v>
      </c>
      <c r="I3828" s="237" t="str">
        <f t="shared" si="1"/>
        <v>Dentro</v>
      </c>
      <c r="J3828" s="239" t="e">
        <v>#VALUE!</v>
      </c>
    </row>
    <row r="3829">
      <c r="A3829" s="244" t="s">
        <v>623</v>
      </c>
      <c r="B3829" s="234" t="str">
        <f>IFERROR(__xludf.DUMMYFUNCTION("""COMPUTED_VALUE"""),"Fanout Desconhecido")</f>
        <v>Fanout Desconhecido</v>
      </c>
      <c r="C3829" s="234" t="str">
        <f>IFERROR(__xludf.DUMMYFUNCTION("""COMPUTED_VALUE"""),"-")</f>
        <v>-</v>
      </c>
      <c r="D3829" s="234">
        <f>IFERROR(__xludf.DUMMYFUNCTION("""COMPUTED_VALUE"""),16.0)</f>
        <v>16</v>
      </c>
      <c r="E3829" s="245" t="str">
        <f>IFERROR(__xludf.DUMMYFUNCTION("""COMPUTED_VALUE"""),"LT0Q1301V81O1")</f>
        <v>LT0Q1301V81O1</v>
      </c>
      <c r="F3829" s="238" t="str">
        <f>IFERROR(__xludf.DUMMYFUNCTION("""COMPUTED_VALUE"""),"-")</f>
        <v>-</v>
      </c>
      <c r="G3829" s="238" t="str">
        <f>IFERROR(__xludf.DUMMYFUNCTION("""COMPUTED_VALUE"""),"-")</f>
        <v>-</v>
      </c>
      <c r="H3829" s="238" t="str">
        <f>IFERROR(__xludf.DUMMYFUNCTION("""COMPUTED_VALUE"""),"-")</f>
        <v>-</v>
      </c>
      <c r="I3829" s="237" t="str">
        <f t="shared" si="1"/>
        <v>Dentro</v>
      </c>
      <c r="J3829" s="239" t="e">
        <v>#VALUE!</v>
      </c>
    </row>
    <row r="3830">
      <c r="A3830" s="244" t="s">
        <v>624</v>
      </c>
      <c r="B3830" s="234" t="str">
        <f>IFERROR(__xludf.DUMMYFUNCTION("""COMPUTED_VALUE"""),"Fanout Desconhecido")</f>
        <v>Fanout Desconhecido</v>
      </c>
      <c r="C3830" s="234" t="str">
        <f>IFERROR(__xludf.DUMMYFUNCTION("""COMPUTED_VALUE"""),"-")</f>
        <v>-</v>
      </c>
      <c r="D3830" s="234"/>
      <c r="E3830" s="245" t="str">
        <f>IFERROR(__xludf.DUMMYFUNCTION("""COMPUTED_VALUE"""),"LT0Q1301V8SE1")</f>
        <v>LT0Q1301V8SE1</v>
      </c>
      <c r="F3830" s="238" t="str">
        <f>IFERROR(__xludf.DUMMYFUNCTION("""COMPUTED_VALUE"""),"-")</f>
        <v>-</v>
      </c>
      <c r="G3830" s="238" t="str">
        <f>IFERROR(__xludf.DUMMYFUNCTION("""COMPUTED_VALUE"""),"-")</f>
        <v>-</v>
      </c>
      <c r="H3830" s="238" t="str">
        <f>IFERROR(__xludf.DUMMYFUNCTION("""COMPUTED_VALUE"""),"-")</f>
        <v>-</v>
      </c>
      <c r="I3830" s="237" t="str">
        <f t="shared" si="1"/>
        <v>Dentro</v>
      </c>
      <c r="J3830" s="239" t="e">
        <v>#VALUE!</v>
      </c>
    </row>
    <row r="3831">
      <c r="A3831" s="244" t="s">
        <v>625</v>
      </c>
      <c r="B3831" s="234" t="str">
        <f>IFERROR(__xludf.DUMMYFUNCTION("""COMPUTED_VALUE"""),"Fanout Desconhecido")</f>
        <v>Fanout Desconhecido</v>
      </c>
      <c r="C3831" s="234" t="str">
        <f>IFERROR(__xludf.DUMMYFUNCTION("""COMPUTED_VALUE"""),"-")</f>
        <v>-</v>
      </c>
      <c r="D3831" s="234">
        <f>IFERROR(__xludf.DUMMYFUNCTION("""COMPUTED_VALUE"""),37.0)</f>
        <v>37</v>
      </c>
      <c r="E3831" s="245" t="str">
        <f>IFERROR(__xludf.DUMMYFUNCTION("""COMPUTED_VALUE"""),"LT0Q1301V8SH1")</f>
        <v>LT0Q1301V8SH1</v>
      </c>
      <c r="F3831" s="238" t="str">
        <f>IFERROR(__xludf.DUMMYFUNCTION("""COMPUTED_VALUE"""),"-")</f>
        <v>-</v>
      </c>
      <c r="G3831" s="238" t="str">
        <f>IFERROR(__xludf.DUMMYFUNCTION("""COMPUTED_VALUE"""),"-")</f>
        <v>-</v>
      </c>
      <c r="H3831" s="238" t="str">
        <f>IFERROR(__xludf.DUMMYFUNCTION("""COMPUTED_VALUE"""),"-")</f>
        <v>-</v>
      </c>
      <c r="I3831" s="237" t="str">
        <f t="shared" si="1"/>
        <v>Dentro</v>
      </c>
      <c r="J3831" s="239" t="e">
        <v>#VALUE!</v>
      </c>
    </row>
    <row r="3832">
      <c r="A3832" s="244" t="s">
        <v>626</v>
      </c>
      <c r="B3832" s="234" t="str">
        <f>IFERROR(__xludf.DUMMYFUNCTION("""COMPUTED_VALUE"""),"Fanout Desconhecido")</f>
        <v>Fanout Desconhecido</v>
      </c>
      <c r="C3832" s="234" t="str">
        <f>IFERROR(__xludf.DUMMYFUNCTION("""COMPUTED_VALUE"""),"-")</f>
        <v>-</v>
      </c>
      <c r="D3832" s="234">
        <f>IFERROR(__xludf.DUMMYFUNCTION("""COMPUTED_VALUE"""),32.0)</f>
        <v>32</v>
      </c>
      <c r="E3832" s="245" t="str">
        <f>IFERROR(__xludf.DUMMYFUNCTION("""COMPUTED_VALUE"""),"LT0Q1301V8SK1")</f>
        <v>LT0Q1301V8SK1</v>
      </c>
      <c r="F3832" s="238" t="str">
        <f>IFERROR(__xludf.DUMMYFUNCTION("""COMPUTED_VALUE"""),"-")</f>
        <v>-</v>
      </c>
      <c r="G3832" s="238" t="str">
        <f>IFERROR(__xludf.DUMMYFUNCTION("""COMPUTED_VALUE"""),"-")</f>
        <v>-</v>
      </c>
      <c r="H3832" s="238" t="str">
        <f>IFERROR(__xludf.DUMMYFUNCTION("""COMPUTED_VALUE"""),"-")</f>
        <v>-</v>
      </c>
      <c r="I3832" s="237" t="str">
        <f t="shared" si="1"/>
        <v>Dentro</v>
      </c>
      <c r="J3832" s="239" t="e">
        <v>#VALUE!</v>
      </c>
    </row>
    <row r="3833">
      <c r="A3833" s="244" t="s">
        <v>627</v>
      </c>
      <c r="B3833" s="234" t="str">
        <f>IFERROR(__xludf.DUMMYFUNCTION("""COMPUTED_VALUE"""),"Fanout Desconhecido")</f>
        <v>Fanout Desconhecido</v>
      </c>
      <c r="C3833" s="234" t="str">
        <f>IFERROR(__xludf.DUMMYFUNCTION("""COMPUTED_VALUE"""),"-")</f>
        <v>-</v>
      </c>
      <c r="D3833" s="234"/>
      <c r="E3833" s="245" t="str">
        <f>IFERROR(__xludf.DUMMYFUNCTION("""COMPUTED_VALUE"""),"LT0Q1301VCQS1")</f>
        <v>LT0Q1301VCQS1</v>
      </c>
      <c r="F3833" s="238" t="str">
        <f>IFERROR(__xludf.DUMMYFUNCTION("""COMPUTED_VALUE"""),"-")</f>
        <v>-</v>
      </c>
      <c r="G3833" s="238" t="str">
        <f>IFERROR(__xludf.DUMMYFUNCTION("""COMPUTED_VALUE"""),"-")</f>
        <v>-</v>
      </c>
      <c r="H3833" s="238" t="str">
        <f>IFERROR(__xludf.DUMMYFUNCTION("""COMPUTED_VALUE"""),"-")</f>
        <v>-</v>
      </c>
      <c r="I3833" s="237" t="str">
        <f t="shared" si="1"/>
        <v>Dentro</v>
      </c>
      <c r="J3833" s="239" t="e">
        <v>#VALUE!</v>
      </c>
    </row>
    <row r="3834">
      <c r="A3834" s="234" t="s">
        <v>628</v>
      </c>
      <c r="B3834" s="234" t="str">
        <f>IFERROR(__xludf.DUMMYFUNCTION("""COMPUTED_VALUE"""),"Fanout Desconhecido")</f>
        <v>Fanout Desconhecido</v>
      </c>
      <c r="C3834" s="234" t="str">
        <f>IFERROR(__xludf.DUMMYFUNCTION("""COMPUTED_VALUE"""),"-")</f>
        <v>-</v>
      </c>
      <c r="D3834" s="234">
        <f>IFERROR(__xludf.DUMMYFUNCTION("""COMPUTED_VALUE"""),18.0)</f>
        <v>18</v>
      </c>
      <c r="E3834" s="237" t="str">
        <f>IFERROR(__xludf.DUMMYFUNCTION("""COMPUTED_VALUE"""),"LT0Q1301V8SM1")</f>
        <v>LT0Q1301V8SM1</v>
      </c>
      <c r="F3834" s="238" t="str">
        <f>IFERROR(__xludf.DUMMYFUNCTION("""COMPUTED_VALUE"""),"-")</f>
        <v>-</v>
      </c>
      <c r="G3834" s="238" t="str">
        <f>IFERROR(__xludf.DUMMYFUNCTION("""COMPUTED_VALUE"""),"-")</f>
        <v>-</v>
      </c>
      <c r="H3834" s="238" t="str">
        <f>IFERROR(__xludf.DUMMYFUNCTION("""COMPUTED_VALUE"""),"-")</f>
        <v>-</v>
      </c>
      <c r="I3834" s="237" t="str">
        <f t="shared" si="1"/>
        <v>Dentro</v>
      </c>
      <c r="J3834" s="239" t="e">
        <v>#VALUE!</v>
      </c>
    </row>
    <row r="3835">
      <c r="A3835" s="244" t="s">
        <v>629</v>
      </c>
      <c r="B3835" s="234" t="str">
        <f>IFERROR(__xludf.DUMMYFUNCTION("""COMPUTED_VALUE"""),"Fanout Desconhecido")</f>
        <v>Fanout Desconhecido</v>
      </c>
      <c r="C3835" s="234" t="str">
        <f>IFERROR(__xludf.DUMMYFUNCTION("""COMPUTED_VALUE"""),"-")</f>
        <v>-</v>
      </c>
      <c r="D3835" s="234">
        <f>IFERROR(__xludf.DUMMYFUNCTION("""COMPUTED_VALUE"""),36.0)</f>
        <v>36</v>
      </c>
      <c r="E3835" s="245" t="str">
        <f>IFERROR(__xludf.DUMMYFUNCTION("""COMPUTED_VALUE"""),"LT0Q1301VQD22")</f>
        <v>LT0Q1301VQD22</v>
      </c>
      <c r="F3835" s="238" t="str">
        <f>IFERROR(__xludf.DUMMYFUNCTION("""COMPUTED_VALUE"""),"-")</f>
        <v>-</v>
      </c>
      <c r="G3835" s="238" t="str">
        <f>IFERROR(__xludf.DUMMYFUNCTION("""COMPUTED_VALUE"""),"-")</f>
        <v>-</v>
      </c>
      <c r="H3835" s="238" t="str">
        <f>IFERROR(__xludf.DUMMYFUNCTION("""COMPUTED_VALUE"""),"-")</f>
        <v>-</v>
      </c>
      <c r="I3835" s="237" t="str">
        <f t="shared" si="1"/>
        <v>Dentro</v>
      </c>
      <c r="J3835" s="239" t="e">
        <v>#VALUE!</v>
      </c>
    </row>
    <row r="3836">
      <c r="A3836" s="244" t="s">
        <v>630</v>
      </c>
      <c r="B3836" s="234" t="str">
        <f>IFERROR(__xludf.DUMMYFUNCTION("""COMPUTED_VALUE"""),"Fanout Desconhecido")</f>
        <v>Fanout Desconhecido</v>
      </c>
      <c r="C3836" s="234" t="str">
        <f>IFERROR(__xludf.DUMMYFUNCTION("""COMPUTED_VALUE"""),"-")</f>
        <v>-</v>
      </c>
      <c r="D3836" s="234"/>
      <c r="E3836" s="245" t="str">
        <f>IFERROR(__xludf.DUMMYFUNCTION("""COMPUTED_VALUE"""),"LT0Q1301V7ZG1")</f>
        <v>LT0Q1301V7ZG1</v>
      </c>
      <c r="F3836" s="238" t="str">
        <f>IFERROR(__xludf.DUMMYFUNCTION("""COMPUTED_VALUE"""),"-")</f>
        <v>-</v>
      </c>
      <c r="G3836" s="238" t="str">
        <f>IFERROR(__xludf.DUMMYFUNCTION("""COMPUTED_VALUE"""),"-")</f>
        <v>-</v>
      </c>
      <c r="H3836" s="238" t="str">
        <f>IFERROR(__xludf.DUMMYFUNCTION("""COMPUTED_VALUE"""),"-")</f>
        <v>-</v>
      </c>
      <c r="I3836" s="237" t="str">
        <f t="shared" si="1"/>
        <v>Dentro</v>
      </c>
      <c r="J3836" s="239" t="e">
        <v>#VALUE!</v>
      </c>
    </row>
    <row r="3837">
      <c r="A3837" s="244" t="s">
        <v>631</v>
      </c>
      <c r="B3837" s="234" t="str">
        <f>IFERROR(__xludf.DUMMYFUNCTION("""COMPUTED_VALUE"""),"Fanout Desconhecido")</f>
        <v>Fanout Desconhecido</v>
      </c>
      <c r="C3837" s="234" t="str">
        <f>IFERROR(__xludf.DUMMYFUNCTION("""COMPUTED_VALUE"""),"-")</f>
        <v>-</v>
      </c>
      <c r="D3837" s="234">
        <f>IFERROR(__xludf.DUMMYFUNCTION("""COMPUTED_VALUE"""),15.0)</f>
        <v>15</v>
      </c>
      <c r="E3837" s="245" t="str">
        <f>IFERROR(__xludf.DUMMYFUNCTION("""COMPUTED_VALUE"""),"LT0Q1301V8CT1")</f>
        <v>LT0Q1301V8CT1</v>
      </c>
      <c r="F3837" s="238" t="str">
        <f>IFERROR(__xludf.DUMMYFUNCTION("""COMPUTED_VALUE"""),"-")</f>
        <v>-</v>
      </c>
      <c r="G3837" s="238" t="str">
        <f>IFERROR(__xludf.DUMMYFUNCTION("""COMPUTED_VALUE"""),"-")</f>
        <v>-</v>
      </c>
      <c r="H3837" s="238" t="str">
        <f>IFERROR(__xludf.DUMMYFUNCTION("""COMPUTED_VALUE"""),"-")</f>
        <v>-</v>
      </c>
      <c r="I3837" s="237" t="str">
        <f t="shared" si="1"/>
        <v>Dentro</v>
      </c>
      <c r="J3837" s="239" t="e">
        <v>#VALUE!</v>
      </c>
    </row>
    <row r="3838">
      <c r="A3838" s="244" t="s">
        <v>5058</v>
      </c>
      <c r="B3838" s="234" t="str">
        <f>IFERROR(__xludf.DUMMYFUNCTION("""COMPUTED_VALUE"""),"Fanout Desconhecido")</f>
        <v>Fanout Desconhecido</v>
      </c>
      <c r="C3838" s="234" t="str">
        <f>IFERROR(__xludf.DUMMYFUNCTION("""COMPUTED_VALUE"""),"-")</f>
        <v>-</v>
      </c>
      <c r="D3838" s="234">
        <f>IFERROR(__xludf.DUMMYFUNCTION("""COMPUTED_VALUE"""),7.0)</f>
        <v>7</v>
      </c>
      <c r="E3838" s="245" t="str">
        <f>IFERROR(__xludf.DUMMYFUNCTION("""COMPUTED_VALUE"""),"LT0Q1301V80D1")</f>
        <v>LT0Q1301V80D1</v>
      </c>
      <c r="F3838" s="238" t="str">
        <f>IFERROR(__xludf.DUMMYFUNCTION("""COMPUTED_VALUE"""),"-")</f>
        <v>-</v>
      </c>
      <c r="G3838" s="238" t="str">
        <f>IFERROR(__xludf.DUMMYFUNCTION("""COMPUTED_VALUE"""),"-")</f>
        <v>-</v>
      </c>
      <c r="H3838" s="238" t="str">
        <f>IFERROR(__xludf.DUMMYFUNCTION("""COMPUTED_VALUE"""),"-")</f>
        <v>-</v>
      </c>
      <c r="I3838" s="237" t="str">
        <f t="shared" si="1"/>
        <v>Dentro</v>
      </c>
      <c r="J3838" s="239" t="e">
        <v>#VALUE!</v>
      </c>
    </row>
    <row r="3839">
      <c r="A3839" s="244" t="s">
        <v>632</v>
      </c>
      <c r="B3839" s="234" t="str">
        <f>IFERROR(__xludf.DUMMYFUNCTION("""COMPUTED_VALUE"""),"Fanout Desconhecido")</f>
        <v>Fanout Desconhecido</v>
      </c>
      <c r="C3839" s="234" t="str">
        <f>IFERROR(__xludf.DUMMYFUNCTION("""COMPUTED_VALUE"""),"-")</f>
        <v>-</v>
      </c>
      <c r="D3839" s="234">
        <f>IFERROR(__xludf.DUMMYFUNCTION("""COMPUTED_VALUE"""),43.0)</f>
        <v>43</v>
      </c>
      <c r="E3839" s="245" t="str">
        <f>IFERROR(__xludf.DUMMYFUNCTION("""COMPUTED_VALUE"""),"LT0Q1301V8SB1")</f>
        <v>LT0Q1301V8SB1</v>
      </c>
      <c r="F3839" s="238" t="str">
        <f>IFERROR(__xludf.DUMMYFUNCTION("""COMPUTED_VALUE"""),"-")</f>
        <v>-</v>
      </c>
      <c r="G3839" s="238" t="str">
        <f>IFERROR(__xludf.DUMMYFUNCTION("""COMPUTED_VALUE"""),"-")</f>
        <v>-</v>
      </c>
      <c r="H3839" s="238" t="str">
        <f>IFERROR(__xludf.DUMMYFUNCTION("""COMPUTED_VALUE"""),"-")</f>
        <v>-</v>
      </c>
      <c r="I3839" s="237" t="str">
        <f t="shared" si="1"/>
        <v>Dentro</v>
      </c>
      <c r="J3839" s="239" t="e">
        <v>#VALUE!</v>
      </c>
    </row>
    <row r="3840">
      <c r="A3840" s="244" t="s">
        <v>635</v>
      </c>
      <c r="B3840" s="234" t="str">
        <f>IFERROR(__xludf.DUMMYFUNCTION("""COMPUTED_VALUE"""),"Fanout Desconhecido")</f>
        <v>Fanout Desconhecido</v>
      </c>
      <c r="C3840" s="234" t="str">
        <f>IFERROR(__xludf.DUMMYFUNCTION("""COMPUTED_VALUE"""),"-")</f>
        <v>-</v>
      </c>
      <c r="D3840" s="234">
        <f>IFERROR(__xludf.DUMMYFUNCTION("""COMPUTED_VALUE"""),12.0)</f>
        <v>12</v>
      </c>
      <c r="E3840" s="245" t="str">
        <f>IFERROR(__xludf.DUMMYFUNCTION("""COMPUTED_VALUE"""),"LT0Q1301VAHB1")</f>
        <v>LT0Q1301VAHB1</v>
      </c>
      <c r="F3840" s="238" t="str">
        <f>IFERROR(__xludf.DUMMYFUNCTION("""COMPUTED_VALUE"""),"-")</f>
        <v>-</v>
      </c>
      <c r="G3840" s="238" t="str">
        <f>IFERROR(__xludf.DUMMYFUNCTION("""COMPUTED_VALUE"""),"-")</f>
        <v>-</v>
      </c>
      <c r="H3840" s="238" t="str">
        <f>IFERROR(__xludf.DUMMYFUNCTION("""COMPUTED_VALUE"""),"-")</f>
        <v>-</v>
      </c>
      <c r="I3840" s="237" t="str">
        <f t="shared" si="1"/>
        <v>Dentro</v>
      </c>
      <c r="J3840" s="239" t="e">
        <v>#VALUE!</v>
      </c>
    </row>
    <row r="3841">
      <c r="A3841" s="234" t="s">
        <v>636</v>
      </c>
      <c r="B3841" s="234" t="str">
        <f>IFERROR(__xludf.DUMMYFUNCTION("""COMPUTED_VALUE"""),"Fanout Desconhecido")</f>
        <v>Fanout Desconhecido</v>
      </c>
      <c r="C3841" s="234" t="str">
        <f>IFERROR(__xludf.DUMMYFUNCTION("""COMPUTED_VALUE"""),"-")</f>
        <v>-</v>
      </c>
      <c r="D3841" s="234">
        <f>IFERROR(__xludf.DUMMYFUNCTION("""COMPUTED_VALUE"""),5.0)</f>
        <v>5</v>
      </c>
      <c r="E3841" s="237" t="str">
        <f>IFERROR(__xludf.DUMMYFUNCTION("""COMPUTED_VALUE"""),"LT0Q1301V8RW1")</f>
        <v>LT0Q1301V8RW1</v>
      </c>
      <c r="F3841" s="238" t="str">
        <f>IFERROR(__xludf.DUMMYFUNCTION("""COMPUTED_VALUE"""),"-")</f>
        <v>-</v>
      </c>
      <c r="G3841" s="238" t="str">
        <f>IFERROR(__xludf.DUMMYFUNCTION("""COMPUTED_VALUE"""),"-")</f>
        <v>-</v>
      </c>
      <c r="H3841" s="238" t="str">
        <f>IFERROR(__xludf.DUMMYFUNCTION("""COMPUTED_VALUE"""),"-")</f>
        <v>-</v>
      </c>
      <c r="I3841" s="237" t="str">
        <f t="shared" si="1"/>
        <v>Dentro</v>
      </c>
      <c r="J3841" s="239" t="e">
        <v>#VALUE!</v>
      </c>
    </row>
    <row r="3842">
      <c r="A3842" s="234" t="s">
        <v>5059</v>
      </c>
      <c r="B3842" s="234" t="str">
        <f>IFERROR(__xludf.DUMMYFUNCTION("""COMPUTED_VALUE"""),"Fanout Desconhecido")</f>
        <v>Fanout Desconhecido</v>
      </c>
      <c r="C3842" s="234" t="str">
        <f>IFERROR(__xludf.DUMMYFUNCTION("""COMPUTED_VALUE"""),"-")</f>
        <v>-</v>
      </c>
      <c r="D3842" s="234">
        <f>IFERROR(__xludf.DUMMYFUNCTION("""COMPUTED_VALUE"""),98.0)</f>
        <v>98</v>
      </c>
      <c r="E3842" s="237" t="str">
        <f>IFERROR(__xludf.DUMMYFUNCTION("""COMPUTED_VALUE"""),"LT0Q1301VBQ32")</f>
        <v>LT0Q1301VBQ32</v>
      </c>
      <c r="F3842" s="238" t="str">
        <f>IFERROR(__xludf.DUMMYFUNCTION("""COMPUTED_VALUE"""),"-")</f>
        <v>-</v>
      </c>
      <c r="G3842" s="238" t="str">
        <f>IFERROR(__xludf.DUMMYFUNCTION("""COMPUTED_VALUE"""),"-")</f>
        <v>-</v>
      </c>
      <c r="H3842" s="238" t="str">
        <f>IFERROR(__xludf.DUMMYFUNCTION("""COMPUTED_VALUE"""),"-")</f>
        <v>-</v>
      </c>
      <c r="I3842" s="237" t="str">
        <f t="shared" si="1"/>
        <v>Dentro</v>
      </c>
      <c r="J3842" s="239" t="e">
        <v>#VALUE!</v>
      </c>
    </row>
    <row r="3843">
      <c r="A3843" s="234" t="s">
        <v>5060</v>
      </c>
      <c r="B3843" s="234" t="str">
        <f>IFERROR(__xludf.DUMMYFUNCTION("""COMPUTED_VALUE"""),"Fanout Desconhecido")</f>
        <v>Fanout Desconhecido</v>
      </c>
      <c r="C3843" s="234" t="str">
        <f>IFERROR(__xludf.DUMMYFUNCTION("""COMPUTED_VALUE"""),"-")</f>
        <v>-</v>
      </c>
      <c r="D3843" s="234">
        <f>IFERROR(__xludf.DUMMYFUNCTION("""COMPUTED_VALUE"""),6.0)</f>
        <v>6</v>
      </c>
      <c r="E3843" s="237" t="str">
        <f>IFERROR(__xludf.DUMMYFUNCTION("""COMPUTED_VALUE"""),"LT1Q1301VZCV1")</f>
        <v>LT1Q1301VZCV1</v>
      </c>
      <c r="F3843" s="238" t="str">
        <f>IFERROR(__xludf.DUMMYFUNCTION("""COMPUTED_VALUE"""),"-")</f>
        <v>-</v>
      </c>
      <c r="G3843" s="238" t="str">
        <f>IFERROR(__xludf.DUMMYFUNCTION("""COMPUTED_VALUE"""),"-")</f>
        <v>-</v>
      </c>
      <c r="H3843" s="238" t="str">
        <f>IFERROR(__xludf.DUMMYFUNCTION("""COMPUTED_VALUE"""),"-")</f>
        <v>-</v>
      </c>
      <c r="I3843" s="237" t="str">
        <f t="shared" si="1"/>
        <v>Dentro</v>
      </c>
      <c r="J3843" s="239" t="e">
        <v>#VALUE!</v>
      </c>
    </row>
    <row r="3844">
      <c r="A3844" s="234" t="s">
        <v>5061</v>
      </c>
      <c r="B3844" s="234" t="str">
        <f>IFERROR(__xludf.DUMMYFUNCTION("""COMPUTED_VALUE"""),"Fanout Desconhecido")</f>
        <v>Fanout Desconhecido</v>
      </c>
      <c r="C3844" s="234" t="str">
        <f>IFERROR(__xludf.DUMMYFUNCTION("""COMPUTED_VALUE"""),"-")</f>
        <v>-</v>
      </c>
      <c r="D3844" s="234"/>
      <c r="E3844" s="237" t="str">
        <f>IFERROR(__xludf.DUMMYFUNCTION("""COMPUTED_VALUE"""),"LT1Q1301VZEZ1")</f>
        <v>LT1Q1301VZEZ1</v>
      </c>
      <c r="F3844" s="238" t="str">
        <f>IFERROR(__xludf.DUMMYFUNCTION("""COMPUTED_VALUE"""),"-")</f>
        <v>-</v>
      </c>
      <c r="G3844" s="238" t="str">
        <f>IFERROR(__xludf.DUMMYFUNCTION("""COMPUTED_VALUE"""),"-")</f>
        <v>-</v>
      </c>
      <c r="H3844" s="238" t="str">
        <f>IFERROR(__xludf.DUMMYFUNCTION("""COMPUTED_VALUE"""),"-")</f>
        <v>-</v>
      </c>
      <c r="I3844" s="237" t="str">
        <f t="shared" si="1"/>
        <v>Dentro</v>
      </c>
      <c r="J3844" s="239" t="e">
        <v>#VALUE!</v>
      </c>
    </row>
    <row r="3845">
      <c r="A3845" s="234" t="s">
        <v>5062</v>
      </c>
      <c r="B3845" s="234" t="str">
        <f>IFERROR(__xludf.DUMMYFUNCTION("""COMPUTED_VALUE"""),"Fanout Desconhecido")</f>
        <v>Fanout Desconhecido</v>
      </c>
      <c r="C3845" s="234" t="str">
        <f>IFERROR(__xludf.DUMMYFUNCTION("""COMPUTED_VALUE"""),"-")</f>
        <v>-</v>
      </c>
      <c r="D3845" s="234">
        <f>IFERROR(__xludf.DUMMYFUNCTION("""COMPUTED_VALUE"""),89.0)</f>
        <v>89</v>
      </c>
      <c r="E3845" s="237" t="str">
        <f>IFERROR(__xludf.DUMMYFUNCTION("""COMPUTED_VALUE"""),"LT0Q1301VBSE2")</f>
        <v>LT0Q1301VBSE2</v>
      </c>
      <c r="F3845" s="238" t="str">
        <f>IFERROR(__xludf.DUMMYFUNCTION("""COMPUTED_VALUE"""),"-")</f>
        <v>-</v>
      </c>
      <c r="G3845" s="238" t="str">
        <f>IFERROR(__xludf.DUMMYFUNCTION("""COMPUTED_VALUE"""),"-")</f>
        <v>-</v>
      </c>
      <c r="H3845" s="238" t="str">
        <f>IFERROR(__xludf.DUMMYFUNCTION("""COMPUTED_VALUE"""),"-")</f>
        <v>-</v>
      </c>
      <c r="I3845" s="237" t="str">
        <f t="shared" si="1"/>
        <v>Dentro</v>
      </c>
      <c r="J3845" s="239" t="e">
        <v>#VALUE!</v>
      </c>
    </row>
    <row r="3846">
      <c r="A3846" s="234" t="s">
        <v>5063</v>
      </c>
      <c r="B3846" s="234" t="str">
        <f>IFERROR(__xludf.DUMMYFUNCTION("""COMPUTED_VALUE"""),"Fanout Desconhecido")</f>
        <v>Fanout Desconhecido</v>
      </c>
      <c r="C3846" s="234" t="str">
        <f>IFERROR(__xludf.DUMMYFUNCTION("""COMPUTED_VALUE"""),"-")</f>
        <v>-</v>
      </c>
      <c r="D3846" s="234">
        <f>IFERROR(__xludf.DUMMYFUNCTION("""COMPUTED_VALUE"""),94.0)</f>
        <v>94</v>
      </c>
      <c r="E3846" s="237" t="str">
        <f>IFERROR(__xludf.DUMMYFUNCTION("""COMPUTED_VALUE"""),"LT0Q1301V8041")</f>
        <v>LT0Q1301V8041</v>
      </c>
      <c r="F3846" s="238" t="str">
        <f>IFERROR(__xludf.DUMMYFUNCTION("""COMPUTED_VALUE"""),"-")</f>
        <v>-</v>
      </c>
      <c r="G3846" s="238" t="str">
        <f>IFERROR(__xludf.DUMMYFUNCTION("""COMPUTED_VALUE"""),"-")</f>
        <v>-</v>
      </c>
      <c r="H3846" s="238" t="str">
        <f>IFERROR(__xludf.DUMMYFUNCTION("""COMPUTED_VALUE"""),"-")</f>
        <v>-</v>
      </c>
      <c r="I3846" s="237" t="str">
        <f t="shared" si="1"/>
        <v>Dentro</v>
      </c>
      <c r="J3846" s="239" t="e">
        <v>#VALUE!</v>
      </c>
    </row>
    <row r="3847">
      <c r="A3847" s="234" t="s">
        <v>5064</v>
      </c>
      <c r="B3847" s="234" t="str">
        <f>IFERROR(__xludf.DUMMYFUNCTION("""COMPUTED_VALUE"""),"Fanout Desconhecido")</f>
        <v>Fanout Desconhecido</v>
      </c>
      <c r="C3847" s="234" t="str">
        <f>IFERROR(__xludf.DUMMYFUNCTION("""COMPUTED_VALUE"""),"-")</f>
        <v>-</v>
      </c>
      <c r="D3847" s="234">
        <f>IFERROR(__xludf.DUMMYFUNCTION("""COMPUTED_VALUE"""),42.0)</f>
        <v>42</v>
      </c>
      <c r="E3847" s="237" t="str">
        <f>IFERROR(__xludf.DUMMYFUNCTION("""COMPUTED_VALUE"""),"LT0Q1301VBQ92")</f>
        <v>LT0Q1301VBQ92</v>
      </c>
      <c r="F3847" s="238" t="str">
        <f>IFERROR(__xludf.DUMMYFUNCTION("""COMPUTED_VALUE"""),"-")</f>
        <v>-</v>
      </c>
      <c r="G3847" s="238" t="str">
        <f>IFERROR(__xludf.DUMMYFUNCTION("""COMPUTED_VALUE"""),"-")</f>
        <v>-</v>
      </c>
      <c r="H3847" s="238" t="str">
        <f>IFERROR(__xludf.DUMMYFUNCTION("""COMPUTED_VALUE"""),"-")</f>
        <v>-</v>
      </c>
      <c r="I3847" s="237" t="str">
        <f t="shared" si="1"/>
        <v>Dentro</v>
      </c>
      <c r="J3847" s="239" t="e">
        <v>#VALUE!</v>
      </c>
    </row>
    <row r="3848">
      <c r="A3848" s="234" t="s">
        <v>5065</v>
      </c>
      <c r="B3848" s="234" t="str">
        <f>IFERROR(__xludf.DUMMYFUNCTION("""COMPUTED_VALUE"""),"Fanout Desconhecido")</f>
        <v>Fanout Desconhecido</v>
      </c>
      <c r="C3848" s="234" t="str">
        <f>IFERROR(__xludf.DUMMYFUNCTION("""COMPUTED_VALUE"""),"-")</f>
        <v>-</v>
      </c>
      <c r="D3848" s="234" t="str">
        <f>IFERROR(__xludf.DUMMYFUNCTION("""COMPUTED_VALUE"""),"96/29")</f>
        <v>96/29</v>
      </c>
      <c r="E3848" s="237" t="str">
        <f>IFERROR(__xludf.DUMMYFUNCTION("""COMPUTED_VALUE"""),"LT0Q1301VQKJ3")</f>
        <v>LT0Q1301VQKJ3</v>
      </c>
      <c r="F3848" s="238" t="str">
        <f>IFERROR(__xludf.DUMMYFUNCTION("""COMPUTED_VALUE"""),"-")</f>
        <v>-</v>
      </c>
      <c r="G3848" s="238" t="str">
        <f>IFERROR(__xludf.DUMMYFUNCTION("""COMPUTED_VALUE"""),"-")</f>
        <v>-</v>
      </c>
      <c r="H3848" s="238" t="str">
        <f>IFERROR(__xludf.DUMMYFUNCTION("""COMPUTED_VALUE"""),"-")</f>
        <v>-</v>
      </c>
      <c r="I3848" s="237" t="str">
        <f t="shared" si="1"/>
        <v>Dentro</v>
      </c>
      <c r="J3848" s="239" t="e">
        <v>#VALUE!</v>
      </c>
    </row>
    <row r="3849">
      <c r="A3849" s="234" t="s">
        <v>5066</v>
      </c>
      <c r="B3849" s="234" t="str">
        <f>IFERROR(__xludf.DUMMYFUNCTION("""COMPUTED_VALUE"""),"Fanout Desconhecido")</f>
        <v>Fanout Desconhecido</v>
      </c>
      <c r="C3849" s="234" t="str">
        <f>IFERROR(__xludf.DUMMYFUNCTION("""COMPUTED_VALUE"""),"-")</f>
        <v>-</v>
      </c>
      <c r="D3849" s="234">
        <f>IFERROR(__xludf.DUMMYFUNCTION("""COMPUTED_VALUE"""),100.0)</f>
        <v>100</v>
      </c>
      <c r="E3849" s="237" t="str">
        <f>IFERROR(__xludf.DUMMYFUNCTION("""COMPUTED_VALUE"""),"LT1Q1301VZFM1")</f>
        <v>LT1Q1301VZFM1</v>
      </c>
      <c r="F3849" s="238" t="str">
        <f>IFERROR(__xludf.DUMMYFUNCTION("""COMPUTED_VALUE"""),"-")</f>
        <v>-</v>
      </c>
      <c r="G3849" s="238" t="str">
        <f>IFERROR(__xludf.DUMMYFUNCTION("""COMPUTED_VALUE"""),"-")</f>
        <v>-</v>
      </c>
      <c r="H3849" s="238" t="str">
        <f>IFERROR(__xludf.DUMMYFUNCTION("""COMPUTED_VALUE"""),"-")</f>
        <v>-</v>
      </c>
      <c r="I3849" s="237" t="str">
        <f t="shared" si="1"/>
        <v>Dentro</v>
      </c>
      <c r="J3849" s="239" t="e">
        <v>#VALUE!</v>
      </c>
    </row>
    <row r="3850">
      <c r="A3850" s="234" t="s">
        <v>5067</v>
      </c>
      <c r="B3850" s="234" t="str">
        <f>IFERROR(__xludf.DUMMYFUNCTION("""COMPUTED_VALUE"""),"Fanout Desconhecido")</f>
        <v>Fanout Desconhecido</v>
      </c>
      <c r="C3850" s="234" t="str">
        <f>IFERROR(__xludf.DUMMYFUNCTION("""COMPUTED_VALUE"""),"-")</f>
        <v>-</v>
      </c>
      <c r="D3850" s="234">
        <f>IFERROR(__xludf.DUMMYFUNCTION("""COMPUTED_VALUE"""),98.0)</f>
        <v>98</v>
      </c>
      <c r="E3850" s="237" t="str">
        <f>IFERROR(__xludf.DUMMYFUNCTION("""COMPUTED_VALUE"""),"LT0Q1301VBQ71")</f>
        <v>LT0Q1301VBQ71</v>
      </c>
      <c r="F3850" s="238" t="str">
        <f>IFERROR(__xludf.DUMMYFUNCTION("""COMPUTED_VALUE"""),"-")</f>
        <v>-</v>
      </c>
      <c r="G3850" s="238" t="str">
        <f>IFERROR(__xludf.DUMMYFUNCTION("""COMPUTED_VALUE"""),"-")</f>
        <v>-</v>
      </c>
      <c r="H3850" s="238" t="str">
        <f>IFERROR(__xludf.DUMMYFUNCTION("""COMPUTED_VALUE"""),"-")</f>
        <v>-</v>
      </c>
      <c r="I3850" s="237" t="str">
        <f t="shared" si="1"/>
        <v>Dentro</v>
      </c>
      <c r="J3850" s="239" t="e">
        <v>#VALUE!</v>
      </c>
    </row>
    <row r="3851">
      <c r="A3851" s="234" t="s">
        <v>5068</v>
      </c>
      <c r="B3851" s="234" t="str">
        <f>IFERROR(__xludf.DUMMYFUNCTION("""COMPUTED_VALUE"""),"Fanout Desconhecido")</f>
        <v>Fanout Desconhecido</v>
      </c>
      <c r="C3851" s="234" t="str">
        <f>IFERROR(__xludf.DUMMYFUNCTION("""COMPUTED_VALUE"""),"-")</f>
        <v>-</v>
      </c>
      <c r="D3851" s="234">
        <f>IFERROR(__xludf.DUMMYFUNCTION("""COMPUTED_VALUE"""),6.0)</f>
        <v>6</v>
      </c>
      <c r="E3851" s="237" t="str">
        <f>IFERROR(__xludf.DUMMYFUNCTION("""COMPUTED_VALUE"""),"LT0Q1301V8131")</f>
        <v>LT0Q1301V8131</v>
      </c>
      <c r="F3851" s="238" t="str">
        <f>IFERROR(__xludf.DUMMYFUNCTION("""COMPUTED_VALUE"""),"-")</f>
        <v>-</v>
      </c>
      <c r="G3851" s="238" t="str">
        <f>IFERROR(__xludf.DUMMYFUNCTION("""COMPUTED_VALUE"""),"-")</f>
        <v>-</v>
      </c>
      <c r="H3851" s="238" t="str">
        <f>IFERROR(__xludf.DUMMYFUNCTION("""COMPUTED_VALUE"""),"-")</f>
        <v>-</v>
      </c>
      <c r="I3851" s="237" t="str">
        <f t="shared" si="1"/>
        <v>Dentro</v>
      </c>
      <c r="J3851" s="239" t="e">
        <v>#VALUE!</v>
      </c>
    </row>
    <row r="3852">
      <c r="A3852" s="234" t="s">
        <v>5069</v>
      </c>
      <c r="B3852" s="234" t="str">
        <f>IFERROR(__xludf.DUMMYFUNCTION("""COMPUTED_VALUE"""),"Fanout Desconhecido")</f>
        <v>Fanout Desconhecido</v>
      </c>
      <c r="C3852" s="234" t="str">
        <f>IFERROR(__xludf.DUMMYFUNCTION("""COMPUTED_VALUE"""),"-")</f>
        <v>-</v>
      </c>
      <c r="D3852" s="234">
        <f>IFERROR(__xludf.DUMMYFUNCTION("""COMPUTED_VALUE"""),40.0)</f>
        <v>40</v>
      </c>
      <c r="E3852" s="237" t="str">
        <f>IFERROR(__xludf.DUMMYFUNCTION("""COMPUTED_VALUE"""),"LT0Q1301V8181")</f>
        <v>LT0Q1301V8181</v>
      </c>
      <c r="F3852" s="238" t="str">
        <f>IFERROR(__xludf.DUMMYFUNCTION("""COMPUTED_VALUE"""),"-")</f>
        <v>-</v>
      </c>
      <c r="G3852" s="238" t="str">
        <f>IFERROR(__xludf.DUMMYFUNCTION("""COMPUTED_VALUE"""),"-")</f>
        <v>-</v>
      </c>
      <c r="H3852" s="238" t="str">
        <f>IFERROR(__xludf.DUMMYFUNCTION("""COMPUTED_VALUE"""),"-")</f>
        <v>-</v>
      </c>
      <c r="I3852" s="237" t="str">
        <f t="shared" si="1"/>
        <v>Dentro</v>
      </c>
      <c r="J3852" s="239">
        <v>120.00000000349246</v>
      </c>
    </row>
    <row r="3853">
      <c r="A3853" s="234" t="s">
        <v>5070</v>
      </c>
      <c r="B3853" s="234" t="str">
        <f>IFERROR(__xludf.DUMMYFUNCTION("""COMPUTED_VALUE"""),"LM Hub_SP_Santos_Praia Grande")</f>
        <v>LM Hub_SP_Santos_Praia Grande</v>
      </c>
      <c r="C3853" s="234" t="str">
        <f>IFERROR(__xludf.DUMMYFUNCTION("""COMPUTED_VALUE"""),"HUB-LSP-09")</f>
        <v>HUB-LSP-09</v>
      </c>
      <c r="D3853" s="234">
        <f>IFERROR(__xludf.DUMMYFUNCTION("""COMPUTED_VALUE"""),12.0)</f>
        <v>12</v>
      </c>
      <c r="E3853" s="237" t="str">
        <f>IFERROR(__xludf.DUMMYFUNCTION("""COMPUTED_VALUE"""),"LT0Q1301V83J1")</f>
        <v>LT0Q1301V83J1</v>
      </c>
      <c r="F3853" s="234" t="str">
        <f>IFERROR(__xludf.DUMMYFUNCTION("""COMPUTED_VALUE"""),"FOM4G45")</f>
        <v>FOM4G45</v>
      </c>
      <c r="G3853" s="238">
        <f>IFERROR(__xludf.DUMMYFUNCTION("""COMPUTED_VALUE"""),46025.895833333336)</f>
        <v>46025.89583</v>
      </c>
      <c r="H3853" s="238">
        <f>IFERROR(__xludf.DUMMYFUNCTION("""COMPUTED_VALUE"""),46025.97916666667)</f>
        <v>46025.97917</v>
      </c>
      <c r="I3853" s="237" t="str">
        <f t="shared" si="1"/>
        <v>Fora</v>
      </c>
      <c r="J3853" s="239" t="e">
        <v>#VALUE!</v>
      </c>
    </row>
    <row r="3854">
      <c r="A3854" s="234" t="s">
        <v>5071</v>
      </c>
      <c r="B3854" s="234" t="str">
        <f>IFERROR(__xludf.DUMMYFUNCTION("""COMPUTED_VALUE"""),"Fanout Desconhecido")</f>
        <v>Fanout Desconhecido</v>
      </c>
      <c r="C3854" s="234" t="str">
        <f>IFERROR(__xludf.DUMMYFUNCTION("""COMPUTED_VALUE"""),"-")</f>
        <v>-</v>
      </c>
      <c r="D3854" s="234">
        <f>IFERROR(__xludf.DUMMYFUNCTION("""COMPUTED_VALUE"""),29.0)</f>
        <v>29</v>
      </c>
      <c r="E3854" s="237" t="str">
        <f>IFERROR(__xludf.DUMMYFUNCTION("""COMPUTED_VALUE"""),"LT0Q1301V82D1")</f>
        <v>LT0Q1301V82D1</v>
      </c>
      <c r="F3854" s="238" t="str">
        <f>IFERROR(__xludf.DUMMYFUNCTION("""COMPUTED_VALUE"""),"-")</f>
        <v>-</v>
      </c>
      <c r="G3854" s="238" t="str">
        <f>IFERROR(__xludf.DUMMYFUNCTION("""COMPUTED_VALUE"""),"-")</f>
        <v>-</v>
      </c>
      <c r="H3854" s="238" t="str">
        <f>IFERROR(__xludf.DUMMYFUNCTION("""COMPUTED_VALUE"""),"-")</f>
        <v>-</v>
      </c>
      <c r="I3854" s="237" t="str">
        <f t="shared" si="1"/>
        <v>Dentro</v>
      </c>
      <c r="J3854" s="239" t="e">
        <v>#VALUE!</v>
      </c>
    </row>
    <row r="3855">
      <c r="A3855" s="234" t="s">
        <v>5072</v>
      </c>
      <c r="B3855" s="234" t="str">
        <f>IFERROR(__xludf.DUMMYFUNCTION("""COMPUTED_VALUE"""),"Fanout Desconhecido")</f>
        <v>Fanout Desconhecido</v>
      </c>
      <c r="C3855" s="234" t="str">
        <f>IFERROR(__xludf.DUMMYFUNCTION("""COMPUTED_VALUE"""),"-")</f>
        <v>-</v>
      </c>
      <c r="D3855" s="234">
        <f>IFERROR(__xludf.DUMMYFUNCTION("""COMPUTED_VALUE"""),22.0)</f>
        <v>22</v>
      </c>
      <c r="E3855" s="237" t="str">
        <f>IFERROR(__xludf.DUMMYFUNCTION("""COMPUTED_VALUE"""),"LT0Q1301V84G1")</f>
        <v>LT0Q1301V84G1</v>
      </c>
      <c r="F3855" s="238" t="str">
        <f>IFERROR(__xludf.DUMMYFUNCTION("""COMPUTED_VALUE"""),"-")</f>
        <v>-</v>
      </c>
      <c r="G3855" s="238" t="str">
        <f>IFERROR(__xludf.DUMMYFUNCTION("""COMPUTED_VALUE"""),"-")</f>
        <v>-</v>
      </c>
      <c r="H3855" s="238" t="str">
        <f>IFERROR(__xludf.DUMMYFUNCTION("""COMPUTED_VALUE"""),"-")</f>
        <v>-</v>
      </c>
      <c r="I3855" s="237" t="str">
        <f t="shared" si="1"/>
        <v>Dentro</v>
      </c>
      <c r="J3855" s="239">
        <v>120.00000000349246</v>
      </c>
    </row>
    <row r="3856">
      <c r="A3856" s="234" t="s">
        <v>5073</v>
      </c>
      <c r="B3856" s="234" t="str">
        <f>IFERROR(__xludf.DUMMYFUNCTION("""COMPUTED_VALUE"""),"LM Hub_SP_Guarujá")</f>
        <v>LM Hub_SP_Guarujá</v>
      </c>
      <c r="C3856" s="234" t="str">
        <f>IFERROR(__xludf.DUMMYFUNCTION("""COMPUTED_VALUE"""),"HUB-LSP-06")</f>
        <v>HUB-LSP-06</v>
      </c>
      <c r="D3856" s="234">
        <f>IFERROR(__xludf.DUMMYFUNCTION("""COMPUTED_VALUE"""),32.0)</f>
        <v>32</v>
      </c>
      <c r="E3856" s="237" t="str">
        <f>IFERROR(__xludf.DUMMYFUNCTION("""COMPUTED_VALUE"""),"LT0Q1301V82X1")</f>
        <v>LT0Q1301V82X1</v>
      </c>
      <c r="F3856" s="234" t="str">
        <f>IFERROR(__xludf.DUMMYFUNCTION("""COMPUTED_VALUE"""),"SVL5H32")</f>
        <v>SVL5H32</v>
      </c>
      <c r="G3856" s="238">
        <f>IFERROR(__xludf.DUMMYFUNCTION("""COMPUTED_VALUE"""),46025.916666666664)</f>
        <v>46025.91667</v>
      </c>
      <c r="H3856" s="238">
        <f>IFERROR(__xludf.DUMMYFUNCTION("""COMPUTED_VALUE"""),46026.0)</f>
        <v>46026</v>
      </c>
      <c r="I3856" s="237" t="str">
        <f t="shared" si="1"/>
        <v>Fora</v>
      </c>
      <c r="J3856" s="239" t="e">
        <v>#VALUE!</v>
      </c>
    </row>
    <row r="3857">
      <c r="A3857" s="234" t="s">
        <v>5074</v>
      </c>
      <c r="B3857" s="234" t="str">
        <f>IFERROR(__xludf.DUMMYFUNCTION("""COMPUTED_VALUE"""),"Fanout Desconhecido")</f>
        <v>Fanout Desconhecido</v>
      </c>
      <c r="C3857" s="234" t="str">
        <f>IFERROR(__xludf.DUMMYFUNCTION("""COMPUTED_VALUE"""),"-")</f>
        <v>-</v>
      </c>
      <c r="D3857" s="234">
        <f>IFERROR(__xludf.DUMMYFUNCTION("""COMPUTED_VALUE"""),18.0)</f>
        <v>18</v>
      </c>
      <c r="E3857" s="237" t="str">
        <f>IFERROR(__xludf.DUMMYFUNCTION("""COMPUTED_VALUE"""),"LT0Q1301V7ZQ1")</f>
        <v>LT0Q1301V7ZQ1</v>
      </c>
      <c r="F3857" s="238" t="str">
        <f>IFERROR(__xludf.DUMMYFUNCTION("""COMPUTED_VALUE"""),"-")</f>
        <v>-</v>
      </c>
      <c r="G3857" s="238" t="str">
        <f>IFERROR(__xludf.DUMMYFUNCTION("""COMPUTED_VALUE"""),"-")</f>
        <v>-</v>
      </c>
      <c r="H3857" s="238" t="str">
        <f>IFERROR(__xludf.DUMMYFUNCTION("""COMPUTED_VALUE"""),"-")</f>
        <v>-</v>
      </c>
      <c r="I3857" s="237" t="str">
        <f t="shared" si="1"/>
        <v>Dentro</v>
      </c>
      <c r="J3857" s="239" t="e">
        <v>#VALUE!</v>
      </c>
    </row>
    <row r="3858">
      <c r="A3858" s="234" t="s">
        <v>5075</v>
      </c>
      <c r="B3858" s="234" t="str">
        <f>IFERROR(__xludf.DUMMYFUNCTION("""COMPUTED_VALUE"""),"Fanout Desconhecido")</f>
        <v>Fanout Desconhecido</v>
      </c>
      <c r="C3858" s="234" t="str">
        <f>IFERROR(__xludf.DUMMYFUNCTION("""COMPUTED_VALUE"""),"-")</f>
        <v>-</v>
      </c>
      <c r="D3858" s="234">
        <f>IFERROR(__xludf.DUMMYFUNCTION("""COMPUTED_VALUE"""),13.0)</f>
        <v>13</v>
      </c>
      <c r="E3858" s="237" t="str">
        <f>IFERROR(__xludf.DUMMYFUNCTION("""COMPUTED_VALUE"""),"LT0Q1301V81S1")</f>
        <v>LT0Q1301V81S1</v>
      </c>
      <c r="F3858" s="238" t="str">
        <f>IFERROR(__xludf.DUMMYFUNCTION("""COMPUTED_VALUE"""),"-")</f>
        <v>-</v>
      </c>
      <c r="G3858" s="238" t="str">
        <f>IFERROR(__xludf.DUMMYFUNCTION("""COMPUTED_VALUE"""),"-")</f>
        <v>-</v>
      </c>
      <c r="H3858" s="238" t="str">
        <f>IFERROR(__xludf.DUMMYFUNCTION("""COMPUTED_VALUE"""),"-")</f>
        <v>-</v>
      </c>
      <c r="I3858" s="237" t="str">
        <f t="shared" si="1"/>
        <v>Dentro</v>
      </c>
      <c r="J3858" s="239" t="e">
        <v>#VALUE!</v>
      </c>
    </row>
    <row r="3859">
      <c r="A3859" s="234" t="s">
        <v>5076</v>
      </c>
      <c r="B3859" s="234" t="str">
        <f>IFERROR(__xludf.DUMMYFUNCTION("""COMPUTED_VALUE"""),"Fanout Desconhecido")</f>
        <v>Fanout Desconhecido</v>
      </c>
      <c r="C3859" s="234" t="str">
        <f>IFERROR(__xludf.DUMMYFUNCTION("""COMPUTED_VALUE"""),"-")</f>
        <v>-</v>
      </c>
      <c r="D3859" s="234"/>
      <c r="E3859" s="237" t="str">
        <f>IFERROR(__xludf.DUMMYFUNCTION("""COMPUTED_VALUE"""),"LT0Q1301V81Y1")</f>
        <v>LT0Q1301V81Y1</v>
      </c>
      <c r="F3859" s="238" t="str">
        <f>IFERROR(__xludf.DUMMYFUNCTION("""COMPUTED_VALUE"""),"-")</f>
        <v>-</v>
      </c>
      <c r="G3859" s="238" t="str">
        <f>IFERROR(__xludf.DUMMYFUNCTION("""COMPUTED_VALUE"""),"-")</f>
        <v>-</v>
      </c>
      <c r="H3859" s="238" t="str">
        <f>IFERROR(__xludf.DUMMYFUNCTION("""COMPUTED_VALUE"""),"-")</f>
        <v>-</v>
      </c>
      <c r="I3859" s="237" t="str">
        <f t="shared" si="1"/>
        <v>Dentro</v>
      </c>
      <c r="J3859" s="239">
        <v>120.00000000349246</v>
      </c>
    </row>
    <row r="3860">
      <c r="A3860" s="234" t="s">
        <v>5077</v>
      </c>
      <c r="B3860" s="234" t="str">
        <f>IFERROR(__xludf.DUMMYFUNCTION("""COMPUTED_VALUE"""),"LM Hub_SP_Mauá")</f>
        <v>LM Hub_SP_Mauá</v>
      </c>
      <c r="C3860" s="234" t="str">
        <f>IFERROR(__xludf.DUMMYFUNCTION("""COMPUTED_VALUE"""),"HUB-LSP-64")</f>
        <v>HUB-LSP-64</v>
      </c>
      <c r="D3860" s="234">
        <f>IFERROR(__xludf.DUMMYFUNCTION("""COMPUTED_VALUE"""),17.0)</f>
        <v>17</v>
      </c>
      <c r="E3860" s="237" t="str">
        <f>IFERROR(__xludf.DUMMYFUNCTION("""COMPUTED_VALUE"""),"LT0Q1301V8221")</f>
        <v>LT0Q1301V8221</v>
      </c>
      <c r="F3860" s="234" t="str">
        <f>IFERROR(__xludf.DUMMYFUNCTION("""COMPUTED_VALUE"""),"FXR4B87,FCB2F69")</f>
        <v>FXR4B87,FCB2F69</v>
      </c>
      <c r="G3860" s="238">
        <f>IFERROR(__xludf.DUMMYFUNCTION("""COMPUTED_VALUE"""),46025.916666666664)</f>
        <v>46025.91667</v>
      </c>
      <c r="H3860" s="238">
        <f>IFERROR(__xludf.DUMMYFUNCTION("""COMPUTED_VALUE"""),46026.0)</f>
        <v>46026</v>
      </c>
      <c r="I3860" s="237" t="str">
        <f t="shared" si="1"/>
        <v>Fora</v>
      </c>
      <c r="J3860" s="239">
        <v>120.00000000349246</v>
      </c>
    </row>
    <row r="3861">
      <c r="A3861" s="234" t="s">
        <v>5078</v>
      </c>
      <c r="B3861" s="234" t="str">
        <f>IFERROR(__xludf.DUMMYFUNCTION("""COMPUTED_VALUE"""),"LM Hub_SP_Barueri_01")</f>
        <v>LM Hub_SP_Barueri_01</v>
      </c>
      <c r="C3861" s="234" t="str">
        <f>IFERROR(__xludf.DUMMYFUNCTION("""COMPUTED_VALUE"""),"HUB-LSP-81")</f>
        <v>HUB-LSP-81</v>
      </c>
      <c r="D3861" s="234">
        <f>IFERROR(__xludf.DUMMYFUNCTION("""COMPUTED_VALUE"""),9.0)</f>
        <v>9</v>
      </c>
      <c r="E3861" s="237" t="str">
        <f>IFERROR(__xludf.DUMMYFUNCTION("""COMPUTED_VALUE"""),"LT0Q1301VBJW1")</f>
        <v>LT0Q1301VBJW1</v>
      </c>
      <c r="F3861" s="234" t="str">
        <f>IFERROR(__xludf.DUMMYFUNCTION("""COMPUTED_VALUE"""),"DVA3A62,DBC7D61")</f>
        <v>DVA3A62,DBC7D61</v>
      </c>
      <c r="G3861" s="238">
        <f>IFERROR(__xludf.DUMMYFUNCTION("""COMPUTED_VALUE"""),46025.916666666664)</f>
        <v>46025.91667</v>
      </c>
      <c r="H3861" s="238">
        <f>IFERROR(__xludf.DUMMYFUNCTION("""COMPUTED_VALUE"""),46026.0)</f>
        <v>46026</v>
      </c>
      <c r="I3861" s="237" t="str">
        <f t="shared" si="1"/>
        <v>Fora</v>
      </c>
      <c r="J3861" s="239" t="e">
        <v>#VALUE!</v>
      </c>
    </row>
    <row r="3862">
      <c r="A3862" s="234" t="s">
        <v>5079</v>
      </c>
      <c r="B3862" s="234" t="str">
        <f>IFERROR(__xludf.DUMMYFUNCTION("""COMPUTED_VALUE"""),"Fanout Desconhecido")</f>
        <v>Fanout Desconhecido</v>
      </c>
      <c r="C3862" s="234" t="str">
        <f>IFERROR(__xludf.DUMMYFUNCTION("""COMPUTED_VALUE"""),"-")</f>
        <v>-</v>
      </c>
      <c r="D3862" s="234">
        <f>IFERROR(__xludf.DUMMYFUNCTION("""COMPUTED_VALUE"""),96.0)</f>
        <v>96</v>
      </c>
      <c r="E3862" s="237" t="str">
        <f>IFERROR(__xludf.DUMMYFUNCTION("""COMPUTED_VALUE"""),"LT1Q1301VZB31")</f>
        <v>LT1Q1301VZB31</v>
      </c>
      <c r="F3862" s="238" t="str">
        <f>IFERROR(__xludf.DUMMYFUNCTION("""COMPUTED_VALUE"""),"-")</f>
        <v>-</v>
      </c>
      <c r="G3862" s="238" t="str">
        <f>IFERROR(__xludf.DUMMYFUNCTION("""COMPUTED_VALUE"""),"-")</f>
        <v>-</v>
      </c>
      <c r="H3862" s="238" t="str">
        <f>IFERROR(__xludf.DUMMYFUNCTION("""COMPUTED_VALUE"""),"-")</f>
        <v>-</v>
      </c>
      <c r="I3862" s="237" t="str">
        <f t="shared" si="1"/>
        <v>Dentro</v>
      </c>
      <c r="J3862" s="239" t="e">
        <v>#VALUE!</v>
      </c>
    </row>
    <row r="3863">
      <c r="A3863" s="234" t="s">
        <v>5080</v>
      </c>
      <c r="B3863" s="234" t="str">
        <f>IFERROR(__xludf.DUMMYFUNCTION("""COMPUTED_VALUE"""),"Fanout Desconhecido")</f>
        <v>Fanout Desconhecido</v>
      </c>
      <c r="C3863" s="234" t="str">
        <f>IFERROR(__xludf.DUMMYFUNCTION("""COMPUTED_VALUE"""),"-")</f>
        <v>-</v>
      </c>
      <c r="D3863" s="234">
        <f>IFERROR(__xludf.DUMMYFUNCTION("""COMPUTED_VALUE"""),45.0)</f>
        <v>45</v>
      </c>
      <c r="E3863" s="237" t="str">
        <f>IFERROR(__xludf.DUMMYFUNCTION("""COMPUTED_VALUE"""),"LT0Q1301V80Q1")</f>
        <v>LT0Q1301V80Q1</v>
      </c>
      <c r="F3863" s="238" t="str">
        <f>IFERROR(__xludf.DUMMYFUNCTION("""COMPUTED_VALUE"""),"-")</f>
        <v>-</v>
      </c>
      <c r="G3863" s="238" t="str">
        <f>IFERROR(__xludf.DUMMYFUNCTION("""COMPUTED_VALUE"""),"-")</f>
        <v>-</v>
      </c>
      <c r="H3863" s="238" t="str">
        <f>IFERROR(__xludf.DUMMYFUNCTION("""COMPUTED_VALUE"""),"-")</f>
        <v>-</v>
      </c>
      <c r="I3863" s="237" t="str">
        <f t="shared" si="1"/>
        <v>Dentro</v>
      </c>
      <c r="J3863" s="239" t="e">
        <v>#VALUE!</v>
      </c>
    </row>
    <row r="3864">
      <c r="A3864" s="234" t="s">
        <v>5081</v>
      </c>
      <c r="B3864" s="234" t="str">
        <f>IFERROR(__xludf.DUMMYFUNCTION("""COMPUTED_VALUE"""),"Fanout Desconhecido")</f>
        <v>Fanout Desconhecido</v>
      </c>
      <c r="C3864" s="234" t="str">
        <f>IFERROR(__xludf.DUMMYFUNCTION("""COMPUTED_VALUE"""),"-")</f>
        <v>-</v>
      </c>
      <c r="D3864" s="234">
        <f>IFERROR(__xludf.DUMMYFUNCTION("""COMPUTED_VALUE"""),47.0)</f>
        <v>47</v>
      </c>
      <c r="E3864" s="237" t="str">
        <f>IFERROR(__xludf.DUMMYFUNCTION("""COMPUTED_VALUE"""),"LT0Q1301V8HY1")</f>
        <v>LT0Q1301V8HY1</v>
      </c>
      <c r="F3864" s="238" t="str">
        <f>IFERROR(__xludf.DUMMYFUNCTION("""COMPUTED_VALUE"""),"-")</f>
        <v>-</v>
      </c>
      <c r="G3864" s="238" t="str">
        <f>IFERROR(__xludf.DUMMYFUNCTION("""COMPUTED_VALUE"""),"-")</f>
        <v>-</v>
      </c>
      <c r="H3864" s="238" t="str">
        <f>IFERROR(__xludf.DUMMYFUNCTION("""COMPUTED_VALUE"""),"-")</f>
        <v>-</v>
      </c>
      <c r="I3864" s="237" t="str">
        <f t="shared" si="1"/>
        <v>Dentro</v>
      </c>
      <c r="J3864" s="239" t="e">
        <v>#VALUE!</v>
      </c>
    </row>
    <row r="3865">
      <c r="A3865" s="234" t="s">
        <v>5082</v>
      </c>
      <c r="B3865" s="234" t="str">
        <f>IFERROR(__xludf.DUMMYFUNCTION("""COMPUTED_VALUE"""),"Fanout Desconhecido")</f>
        <v>Fanout Desconhecido</v>
      </c>
      <c r="C3865" s="234" t="str">
        <f>IFERROR(__xludf.DUMMYFUNCTION("""COMPUTED_VALUE"""),"-")</f>
        <v>-</v>
      </c>
      <c r="D3865" s="234"/>
      <c r="E3865" s="237" t="str">
        <f>IFERROR(__xludf.DUMMYFUNCTION("""COMPUTED_VALUE"""),"LT0Q1301V9SY1")</f>
        <v>LT0Q1301V9SY1</v>
      </c>
      <c r="F3865" s="238" t="str">
        <f>IFERROR(__xludf.DUMMYFUNCTION("""COMPUTED_VALUE"""),"-")</f>
        <v>-</v>
      </c>
      <c r="G3865" s="238" t="str">
        <f>IFERROR(__xludf.DUMMYFUNCTION("""COMPUTED_VALUE"""),"-")</f>
        <v>-</v>
      </c>
      <c r="H3865" s="238" t="str">
        <f>IFERROR(__xludf.DUMMYFUNCTION("""COMPUTED_VALUE"""),"-")</f>
        <v>-</v>
      </c>
      <c r="I3865" s="237" t="str">
        <f t="shared" si="1"/>
        <v>Dentro</v>
      </c>
      <c r="J3865" s="239" t="e">
        <v>#VALUE!</v>
      </c>
    </row>
    <row r="3866">
      <c r="A3866" s="234" t="s">
        <v>5083</v>
      </c>
      <c r="B3866" s="234" t="str">
        <f>IFERROR(__xludf.DUMMYFUNCTION("""COMPUTED_VALUE"""),"Fanout Desconhecido")</f>
        <v>Fanout Desconhecido</v>
      </c>
      <c r="C3866" s="234" t="str">
        <f>IFERROR(__xludf.DUMMYFUNCTION("""COMPUTED_VALUE"""),"-")</f>
        <v>-</v>
      </c>
      <c r="D3866" s="234">
        <f>IFERROR(__xludf.DUMMYFUNCTION("""COMPUTED_VALUE"""),5.0)</f>
        <v>5</v>
      </c>
      <c r="E3866" s="237" t="str">
        <f>IFERROR(__xludf.DUMMYFUNCTION("""COMPUTED_VALUE"""),"LT0Q1301V80W1")</f>
        <v>LT0Q1301V80W1</v>
      </c>
      <c r="F3866" s="238" t="str">
        <f>IFERROR(__xludf.DUMMYFUNCTION("""COMPUTED_VALUE"""),"-")</f>
        <v>-</v>
      </c>
      <c r="G3866" s="238" t="str">
        <f>IFERROR(__xludf.DUMMYFUNCTION("""COMPUTED_VALUE"""),"-")</f>
        <v>-</v>
      </c>
      <c r="H3866" s="238" t="str">
        <f>IFERROR(__xludf.DUMMYFUNCTION("""COMPUTED_VALUE"""),"-")</f>
        <v>-</v>
      </c>
      <c r="I3866" s="237" t="str">
        <f t="shared" si="1"/>
        <v>Dentro</v>
      </c>
      <c r="J3866" s="239">
        <v>119.99999999301508</v>
      </c>
    </row>
    <row r="3867">
      <c r="A3867" s="234" t="s">
        <v>5084</v>
      </c>
      <c r="B3867" s="234" t="str">
        <f>IFERROR(__xludf.DUMMYFUNCTION("""COMPUTED_VALUE"""),"LM Hub_SP_Piracicaba")</f>
        <v>LM Hub_SP_Piracicaba</v>
      </c>
      <c r="C3867" s="234" t="str">
        <f>IFERROR(__xludf.DUMMYFUNCTION("""COMPUTED_VALUE"""),"HUB-LSP-62")</f>
        <v>HUB-LSP-62</v>
      </c>
      <c r="D3867" s="234">
        <f>IFERROR(__xludf.DUMMYFUNCTION("""COMPUTED_VALUE"""),41.0)</f>
        <v>41</v>
      </c>
      <c r="E3867" s="237" t="str">
        <f>IFERROR(__xludf.DUMMYFUNCTION("""COMPUTED_VALUE"""),"LT0Q1301V8I91")</f>
        <v>LT0Q1301V8I91</v>
      </c>
      <c r="F3867" s="234" t="str">
        <f>IFERROR(__xludf.DUMMYFUNCTION("""COMPUTED_VALUE"""),"EOF4D32,EOF4D30")</f>
        <v>EOF4D32,EOF4D30</v>
      </c>
      <c r="G3867" s="238">
        <f>IFERROR(__xludf.DUMMYFUNCTION("""COMPUTED_VALUE"""),46025.9375)</f>
        <v>46025.9375</v>
      </c>
      <c r="H3867" s="238">
        <f>IFERROR(__xludf.DUMMYFUNCTION("""COMPUTED_VALUE"""),46026.02083333333)</f>
        <v>46026.02083</v>
      </c>
      <c r="I3867" s="237" t="str">
        <f t="shared" si="1"/>
        <v>Fora</v>
      </c>
      <c r="J3867" s="239">
        <v>119.99999999301508</v>
      </c>
    </row>
    <row r="3868">
      <c r="A3868" s="234" t="s">
        <v>5085</v>
      </c>
      <c r="B3868" s="234" t="str">
        <f>IFERROR(__xludf.DUMMYFUNCTION("""COMPUTED_VALUE"""),"M Hub_SP_VilaGuilherme")</f>
        <v>M Hub_SP_VilaGuilherme</v>
      </c>
      <c r="C3868" s="234" t="str">
        <f>IFERROR(__xludf.DUMMYFUNCTION("""COMPUTED_VALUE"""),"-")</f>
        <v>-</v>
      </c>
      <c r="D3868" s="234">
        <f>IFERROR(__xludf.DUMMYFUNCTION("""COMPUTED_VALUE"""),43.0)</f>
        <v>43</v>
      </c>
      <c r="E3868" s="237" t="str">
        <f>IFERROR(__xludf.DUMMYFUNCTION("""COMPUTED_VALUE"""),"LT0Q1301V8281")</f>
        <v>LT0Q1301V8281</v>
      </c>
      <c r="F3868" s="234" t="str">
        <f>IFERROR(__xludf.DUMMYFUNCTION("""COMPUTED_VALUE"""),"FUF6H46,NVV7D82")</f>
        <v>FUF6H46,NVV7D82</v>
      </c>
      <c r="G3868" s="238">
        <f>IFERROR(__xludf.DUMMYFUNCTION("""COMPUTED_VALUE"""),46025.9375)</f>
        <v>46025.9375</v>
      </c>
      <c r="H3868" s="238">
        <f>IFERROR(__xludf.DUMMYFUNCTION("""COMPUTED_VALUE"""),46026.02083333333)</f>
        <v>46026.02083</v>
      </c>
      <c r="I3868" s="237" t="str">
        <f t="shared" si="1"/>
        <v>Fora</v>
      </c>
      <c r="J3868" s="239" t="e">
        <v>#VALUE!</v>
      </c>
    </row>
    <row r="3869">
      <c r="A3869" s="234" t="s">
        <v>5086</v>
      </c>
      <c r="B3869" s="234" t="str">
        <f>IFERROR(__xludf.DUMMYFUNCTION("""COMPUTED_VALUE"""),"Fanout Desconhecido")</f>
        <v>Fanout Desconhecido</v>
      </c>
      <c r="C3869" s="234" t="str">
        <f>IFERROR(__xludf.DUMMYFUNCTION("""COMPUTED_VALUE"""),"-")</f>
        <v>-</v>
      </c>
      <c r="D3869" s="234">
        <f>IFERROR(__xludf.DUMMYFUNCTION("""COMPUTED_VALUE"""),49.0)</f>
        <v>49</v>
      </c>
      <c r="E3869" s="237" t="str">
        <f>IFERROR(__xludf.DUMMYFUNCTION("""COMPUTED_VALUE"""),"LT0Q1301V81F1")</f>
        <v>LT0Q1301V81F1</v>
      </c>
      <c r="F3869" s="238" t="str">
        <f>IFERROR(__xludf.DUMMYFUNCTION("""COMPUTED_VALUE"""),"-")</f>
        <v>-</v>
      </c>
      <c r="G3869" s="238" t="str">
        <f>IFERROR(__xludf.DUMMYFUNCTION("""COMPUTED_VALUE"""),"-")</f>
        <v>-</v>
      </c>
      <c r="H3869" s="238" t="str">
        <f>IFERROR(__xludf.DUMMYFUNCTION("""COMPUTED_VALUE"""),"-")</f>
        <v>-</v>
      </c>
      <c r="I3869" s="237" t="str">
        <f t="shared" si="1"/>
        <v>Dentro</v>
      </c>
      <c r="J3869" s="239" t="e">
        <v>#VALUE!</v>
      </c>
    </row>
    <row r="3870">
      <c r="A3870" s="234" t="s">
        <v>5087</v>
      </c>
      <c r="B3870" s="234" t="str">
        <f>IFERROR(__xludf.DUMMYFUNCTION("""COMPUTED_VALUE"""),"Fanout Desconhecido")</f>
        <v>Fanout Desconhecido</v>
      </c>
      <c r="C3870" s="234" t="str">
        <f>IFERROR(__xludf.DUMMYFUNCTION("""COMPUTED_VALUE"""),"-")</f>
        <v>-</v>
      </c>
      <c r="D3870" s="234">
        <f>IFERROR(__xludf.DUMMYFUNCTION("""COMPUTED_VALUE"""),48.0)</f>
        <v>48</v>
      </c>
      <c r="E3870" s="237" t="str">
        <f>IFERROR(__xludf.DUMMYFUNCTION("""COMPUTED_VALUE"""),"LT1Q1301W0S41")</f>
        <v>LT1Q1301W0S41</v>
      </c>
      <c r="F3870" s="238" t="str">
        <f>IFERROR(__xludf.DUMMYFUNCTION("""COMPUTED_VALUE"""),"-")</f>
        <v>-</v>
      </c>
      <c r="G3870" s="238" t="str">
        <f>IFERROR(__xludf.DUMMYFUNCTION("""COMPUTED_VALUE"""),"-")</f>
        <v>-</v>
      </c>
      <c r="H3870" s="238" t="str">
        <f>IFERROR(__xludf.DUMMYFUNCTION("""COMPUTED_VALUE"""),"-")</f>
        <v>-</v>
      </c>
      <c r="I3870" s="237" t="str">
        <f t="shared" si="1"/>
        <v>Dentro</v>
      </c>
      <c r="J3870" s="239">
        <v>119.99999999301508</v>
      </c>
    </row>
    <row r="3871">
      <c r="A3871" s="234" t="s">
        <v>5088</v>
      </c>
      <c r="B3871" s="234" t="str">
        <f>IFERROR(__xludf.DUMMYFUNCTION("""COMPUTED_VALUE"""),"LM Hub_SP_São Paulo_Carandiru")</f>
        <v>LM Hub_SP_São Paulo_Carandiru</v>
      </c>
      <c r="C3871" s="234" t="str">
        <f>IFERROR(__xludf.DUMMYFUNCTION("""COMPUTED_VALUE"""),"HUB-LSP-18")</f>
        <v>HUB-LSP-18</v>
      </c>
      <c r="D3871" s="234">
        <f>IFERROR(__xludf.DUMMYFUNCTION("""COMPUTED_VALUE"""),44.0)</f>
        <v>44</v>
      </c>
      <c r="E3871" s="237" t="str">
        <f>IFERROR(__xludf.DUMMYFUNCTION("""COMPUTED_VALUE"""),"LT1Q1301W0S52")</f>
        <v>LT1Q1301W0S52</v>
      </c>
      <c r="F3871" s="234" t="str">
        <f>IFERROR(__xludf.DUMMYFUNCTION("""COMPUTED_VALUE"""),"FWB7E94")</f>
        <v>FWB7E94</v>
      </c>
      <c r="G3871" s="238">
        <f>IFERROR(__xludf.DUMMYFUNCTION("""COMPUTED_VALUE"""),46025.93819444445)</f>
        <v>46025.93819</v>
      </c>
      <c r="H3871" s="238">
        <f>IFERROR(__xludf.DUMMYFUNCTION("""COMPUTED_VALUE"""),46026.021527777775)</f>
        <v>46026.02153</v>
      </c>
      <c r="I3871" s="237" t="str">
        <f t="shared" si="1"/>
        <v>Fora</v>
      </c>
      <c r="J3871" s="239" t="e">
        <v>#VALUE!</v>
      </c>
    </row>
    <row r="3872">
      <c r="A3872" s="234" t="s">
        <v>5089</v>
      </c>
      <c r="B3872" s="234" t="str">
        <f>IFERROR(__xludf.DUMMYFUNCTION("""COMPUTED_VALUE"""),"Fanout Desconhecido")</f>
        <v>Fanout Desconhecido</v>
      </c>
      <c r="C3872" s="234" t="str">
        <f>IFERROR(__xludf.DUMMYFUNCTION("""COMPUTED_VALUE"""),"-")</f>
        <v>-</v>
      </c>
      <c r="D3872" s="234">
        <f>IFERROR(__xludf.DUMMYFUNCTION("""COMPUTED_VALUE"""),113.0)</f>
        <v>113</v>
      </c>
      <c r="E3872" s="237" t="str">
        <f>IFERROR(__xludf.DUMMYFUNCTION("""COMPUTED_VALUE"""),"LT1Q1401W0YH1")</f>
        <v>LT1Q1401W0YH1</v>
      </c>
      <c r="F3872" s="238" t="str">
        <f>IFERROR(__xludf.DUMMYFUNCTION("""COMPUTED_VALUE"""),"-")</f>
        <v>-</v>
      </c>
      <c r="G3872" s="238" t="str">
        <f>IFERROR(__xludf.DUMMYFUNCTION("""COMPUTED_VALUE"""),"-")</f>
        <v>-</v>
      </c>
      <c r="H3872" s="238" t="str">
        <f>IFERROR(__xludf.DUMMYFUNCTION("""COMPUTED_VALUE"""),"-")</f>
        <v>-</v>
      </c>
      <c r="I3872" s="237" t="str">
        <f t="shared" si="1"/>
        <v>Dentro</v>
      </c>
      <c r="J3872" s="239">
        <v>210.00000000349246</v>
      </c>
    </row>
    <row r="3873">
      <c r="A3873" s="234" t="s">
        <v>5090</v>
      </c>
      <c r="B3873" s="234" t="str">
        <f>IFERROR(__xludf.DUMMYFUNCTION("""COMPUTED_VALUE"""),"SoC_MG_Betim")</f>
        <v>SoC_MG_Betim</v>
      </c>
      <c r="C3873" s="234" t="str">
        <f>IFERROR(__xludf.DUMMYFUNCTION("""COMPUTED_VALUE"""),"SOC-MG2")</f>
        <v>SOC-MG2</v>
      </c>
      <c r="D3873" s="234">
        <f>IFERROR(__xludf.DUMMYFUNCTION("""COMPUTED_VALUE"""),114.0)</f>
        <v>114</v>
      </c>
      <c r="E3873" s="237" t="str">
        <f>IFERROR(__xludf.DUMMYFUNCTION("""COMPUTED_VALUE"""),"LT1Q1401W14L1")</f>
        <v>LT1Q1401W14L1</v>
      </c>
      <c r="F3873" s="238" t="str">
        <f>IFERROR(__xludf.DUMMYFUNCTION("""COMPUTED_VALUE"""),"JVL9I34,FWZ8B69")</f>
        <v>JVL9I34,FWZ8B69</v>
      </c>
      <c r="G3873" s="238">
        <f>IFERROR(__xludf.DUMMYFUNCTION("""COMPUTED_VALUE"""),46026.104166666664)</f>
        <v>46026.10417</v>
      </c>
      <c r="H3873" s="238">
        <f>IFERROR(__xludf.DUMMYFUNCTION("""COMPUTED_VALUE"""),46026.25)</f>
        <v>46026.25</v>
      </c>
      <c r="I3873" s="237" t="str">
        <f t="shared" si="1"/>
        <v>Fora</v>
      </c>
      <c r="J3873" s="239" t="e">
        <v>#VALUE!</v>
      </c>
    </row>
    <row r="3874">
      <c r="A3874" s="234" t="s">
        <v>5091</v>
      </c>
      <c r="B3874" s="234" t="str">
        <f>IFERROR(__xludf.DUMMYFUNCTION("""COMPUTED_VALUE"""),"Fanout Desconhecido")</f>
        <v>Fanout Desconhecido</v>
      </c>
      <c r="C3874" s="234" t="str">
        <f>IFERROR(__xludf.DUMMYFUNCTION("""COMPUTED_VALUE"""),"-")</f>
        <v>-</v>
      </c>
      <c r="D3874" s="234" t="str">
        <f>IFERROR(__xludf.DUMMYFUNCTION("""COMPUTED_VALUE"""),"102/25")</f>
        <v>102/25</v>
      </c>
      <c r="E3874" s="237" t="str">
        <f>IFERROR(__xludf.DUMMYFUNCTION("""COMPUTED_VALUE"""),"LT1Q1301VZFK1")</f>
        <v>LT1Q1301VZFK1</v>
      </c>
      <c r="F3874" s="238" t="str">
        <f>IFERROR(__xludf.DUMMYFUNCTION("""COMPUTED_VALUE"""),"-")</f>
        <v>-</v>
      </c>
      <c r="G3874" s="238" t="str">
        <f>IFERROR(__xludf.DUMMYFUNCTION("""COMPUTED_VALUE"""),"-")</f>
        <v>-</v>
      </c>
      <c r="H3874" s="238" t="str">
        <f>IFERROR(__xludf.DUMMYFUNCTION("""COMPUTED_VALUE"""),"-")</f>
        <v>-</v>
      </c>
      <c r="I3874" s="237" t="str">
        <f t="shared" si="1"/>
        <v>Dentro</v>
      </c>
      <c r="J3874" s="239" t="e">
        <v>#VALUE!</v>
      </c>
    </row>
    <row r="3875">
      <c r="A3875" s="234" t="s">
        <v>5092</v>
      </c>
      <c r="B3875" s="234" t="str">
        <f>IFERROR(__xludf.DUMMYFUNCTION("""COMPUTED_VALUE"""),"Fanout Desconhecido")</f>
        <v>Fanout Desconhecido</v>
      </c>
      <c r="C3875" s="234" t="str">
        <f>IFERROR(__xludf.DUMMYFUNCTION("""COMPUTED_VALUE"""),"-")</f>
        <v>-</v>
      </c>
      <c r="D3875" s="234">
        <f>IFERROR(__xludf.DUMMYFUNCTION("""COMPUTED_VALUE"""),12.0)</f>
        <v>12</v>
      </c>
      <c r="E3875" s="237" t="str">
        <f>IFERROR(__xludf.DUMMYFUNCTION("""COMPUTED_VALUE"""),"LT1Q1301VZFL1")</f>
        <v>LT1Q1301VZFL1</v>
      </c>
      <c r="F3875" s="238" t="str">
        <f>IFERROR(__xludf.DUMMYFUNCTION("""COMPUTED_VALUE"""),"-")</f>
        <v>-</v>
      </c>
      <c r="G3875" s="238" t="str">
        <f>IFERROR(__xludf.DUMMYFUNCTION("""COMPUTED_VALUE"""),"-")</f>
        <v>-</v>
      </c>
      <c r="H3875" s="238" t="str">
        <f>IFERROR(__xludf.DUMMYFUNCTION("""COMPUTED_VALUE"""),"-")</f>
        <v>-</v>
      </c>
      <c r="I3875" s="237" t="str">
        <f t="shared" si="1"/>
        <v>Dentro</v>
      </c>
      <c r="J3875" s="239" t="e">
        <v>#VALUE!</v>
      </c>
    </row>
    <row r="3876">
      <c r="A3876" s="234" t="s">
        <v>5093</v>
      </c>
      <c r="B3876" s="234" t="str">
        <f>IFERROR(__xludf.DUMMYFUNCTION("""COMPUTED_VALUE"""),"Fanout Desconhecido")</f>
        <v>Fanout Desconhecido</v>
      </c>
      <c r="C3876" s="234" t="str">
        <f>IFERROR(__xludf.DUMMYFUNCTION("""COMPUTED_VALUE"""),"-")</f>
        <v>-</v>
      </c>
      <c r="D3876" s="234"/>
      <c r="E3876" s="237" t="str">
        <f>IFERROR(__xludf.DUMMYFUNCTION("""COMPUTED_VALUE"""),"LT0Q1301VBQE1")</f>
        <v>LT0Q1301VBQE1</v>
      </c>
      <c r="F3876" s="238" t="str">
        <f>IFERROR(__xludf.DUMMYFUNCTION("""COMPUTED_VALUE"""),"-")</f>
        <v>-</v>
      </c>
      <c r="G3876" s="238" t="str">
        <f>IFERROR(__xludf.DUMMYFUNCTION("""COMPUTED_VALUE"""),"-")</f>
        <v>-</v>
      </c>
      <c r="H3876" s="238" t="str">
        <f>IFERROR(__xludf.DUMMYFUNCTION("""COMPUTED_VALUE"""),"-")</f>
        <v>-</v>
      </c>
      <c r="I3876" s="237" t="str">
        <f t="shared" si="1"/>
        <v>Dentro</v>
      </c>
      <c r="J3876" s="239" t="e">
        <v>#VALUE!</v>
      </c>
    </row>
    <row r="3877">
      <c r="A3877" s="234" t="s">
        <v>5094</v>
      </c>
      <c r="B3877" s="234" t="str">
        <f>IFERROR(__xludf.DUMMYFUNCTION("""COMPUTED_VALUE"""),"Fanout Desconhecido")</f>
        <v>Fanout Desconhecido</v>
      </c>
      <c r="C3877" s="234" t="str">
        <f>IFERROR(__xludf.DUMMYFUNCTION("""COMPUTED_VALUE"""),"-")</f>
        <v>-</v>
      </c>
      <c r="D3877" s="234"/>
      <c r="E3877" s="237" t="str">
        <f>IFERROR(__xludf.DUMMYFUNCTION("""COMPUTED_VALUE"""),"LT0Q1301VBQG2")</f>
        <v>LT0Q1301VBQG2</v>
      </c>
      <c r="F3877" s="238" t="str">
        <f>IFERROR(__xludf.DUMMYFUNCTION("""COMPUTED_VALUE"""),"-")</f>
        <v>-</v>
      </c>
      <c r="G3877" s="238" t="str">
        <f>IFERROR(__xludf.DUMMYFUNCTION("""COMPUTED_VALUE"""),"-")</f>
        <v>-</v>
      </c>
      <c r="H3877" s="238" t="str">
        <f>IFERROR(__xludf.DUMMYFUNCTION("""COMPUTED_VALUE"""),"-")</f>
        <v>-</v>
      </c>
      <c r="I3877" s="237" t="str">
        <f t="shared" si="1"/>
        <v>Dentro</v>
      </c>
      <c r="J3877" s="239" t="e">
        <v>#VALUE!</v>
      </c>
    </row>
    <row r="3878">
      <c r="A3878" s="234" t="s">
        <v>5095</v>
      </c>
      <c r="B3878" s="234" t="str">
        <f>IFERROR(__xludf.DUMMYFUNCTION("""COMPUTED_VALUE"""),"Fanout Desconhecido")</f>
        <v>Fanout Desconhecido</v>
      </c>
      <c r="C3878" s="234" t="str">
        <f>IFERROR(__xludf.DUMMYFUNCTION("""COMPUTED_VALUE"""),"-")</f>
        <v>-</v>
      </c>
      <c r="D3878" s="234"/>
      <c r="E3878" s="237" t="str">
        <f>IFERROR(__xludf.DUMMYFUNCTION("""COMPUTED_VALUE"""),"LT0Q1301VBSG1")</f>
        <v>LT0Q1301VBSG1</v>
      </c>
      <c r="F3878" s="238" t="str">
        <f>IFERROR(__xludf.DUMMYFUNCTION("""COMPUTED_VALUE"""),"-")</f>
        <v>-</v>
      </c>
      <c r="G3878" s="238" t="str">
        <f>IFERROR(__xludf.DUMMYFUNCTION("""COMPUTED_VALUE"""),"-")</f>
        <v>-</v>
      </c>
      <c r="H3878" s="238" t="str">
        <f>IFERROR(__xludf.DUMMYFUNCTION("""COMPUTED_VALUE"""),"-")</f>
        <v>-</v>
      </c>
      <c r="I3878" s="237" t="str">
        <f t="shared" si="1"/>
        <v>Dentro</v>
      </c>
      <c r="J3878" s="239" t="e">
        <v>#VALUE!</v>
      </c>
    </row>
    <row r="3879">
      <c r="A3879" s="234" t="s">
        <v>5096</v>
      </c>
      <c r="B3879" s="234" t="str">
        <f>IFERROR(__xludf.DUMMYFUNCTION("""COMPUTED_VALUE"""),"Fanout Desconhecido")</f>
        <v>Fanout Desconhecido</v>
      </c>
      <c r="C3879" s="234" t="str">
        <f>IFERROR(__xludf.DUMMYFUNCTION("""COMPUTED_VALUE"""),"-")</f>
        <v>-</v>
      </c>
      <c r="D3879" s="234" t="str">
        <f>IFERROR(__xludf.DUMMYFUNCTION("""COMPUTED_VALUE"""),"89/111")</f>
        <v>89/111</v>
      </c>
      <c r="E3879" s="237" t="str">
        <f>IFERROR(__xludf.DUMMYFUNCTION("""COMPUTED_VALUE"""),"LT0Q1301VBSI2")</f>
        <v>LT0Q1301VBSI2</v>
      </c>
      <c r="F3879" s="238" t="str">
        <f>IFERROR(__xludf.DUMMYFUNCTION("""COMPUTED_VALUE"""),"-")</f>
        <v>-</v>
      </c>
      <c r="G3879" s="238" t="str">
        <f>IFERROR(__xludf.DUMMYFUNCTION("""COMPUTED_VALUE"""),"-")</f>
        <v>-</v>
      </c>
      <c r="H3879" s="238" t="str">
        <f>IFERROR(__xludf.DUMMYFUNCTION("""COMPUTED_VALUE"""),"-")</f>
        <v>-</v>
      </c>
      <c r="I3879" s="237" t="str">
        <f t="shared" si="1"/>
        <v>Dentro</v>
      </c>
      <c r="J3879" s="239" t="e">
        <v>#VALUE!</v>
      </c>
    </row>
    <row r="3880">
      <c r="A3880" s="234" t="s">
        <v>5097</v>
      </c>
      <c r="B3880" s="234" t="str">
        <f>IFERROR(__xludf.DUMMYFUNCTION("""COMPUTED_VALUE"""),"Fanout Desconhecido")</f>
        <v>Fanout Desconhecido</v>
      </c>
      <c r="C3880" s="234" t="str">
        <f>IFERROR(__xludf.DUMMYFUNCTION("""COMPUTED_VALUE"""),"-")</f>
        <v>-</v>
      </c>
      <c r="D3880" s="234">
        <f>IFERROR(__xludf.DUMMYFUNCTION("""COMPUTED_VALUE"""),114.0)</f>
        <v>114</v>
      </c>
      <c r="E3880" s="237" t="str">
        <f>IFERROR(__xludf.DUMMYFUNCTION("""COMPUTED_VALUE"""),"LT0Q1301VC0S1")</f>
        <v>LT0Q1301VC0S1</v>
      </c>
      <c r="F3880" s="238" t="str">
        <f>IFERROR(__xludf.DUMMYFUNCTION("""COMPUTED_VALUE"""),"-")</f>
        <v>-</v>
      </c>
      <c r="G3880" s="238" t="str">
        <f>IFERROR(__xludf.DUMMYFUNCTION("""COMPUTED_VALUE"""),"-")</f>
        <v>-</v>
      </c>
      <c r="H3880" s="238" t="str">
        <f>IFERROR(__xludf.DUMMYFUNCTION("""COMPUTED_VALUE"""),"-")</f>
        <v>-</v>
      </c>
      <c r="I3880" s="237" t="str">
        <f t="shared" si="1"/>
        <v>Dentro</v>
      </c>
      <c r="J3880" s="239" t="e">
        <v>#VALUE!</v>
      </c>
    </row>
    <row r="3881">
      <c r="A3881" s="234" t="s">
        <v>5098</v>
      </c>
      <c r="B3881" s="234" t="str">
        <f>IFERROR(__xludf.DUMMYFUNCTION("""COMPUTED_VALUE"""),"Fanout Desconhecido")</f>
        <v>Fanout Desconhecido</v>
      </c>
      <c r="C3881" s="234" t="str">
        <f>IFERROR(__xludf.DUMMYFUNCTION("""COMPUTED_VALUE"""),"-")</f>
        <v>-</v>
      </c>
      <c r="D3881" s="234">
        <f>IFERROR(__xludf.DUMMYFUNCTION("""COMPUTED_VALUE"""),91.0)</f>
        <v>91</v>
      </c>
      <c r="E3881" s="237" t="str">
        <f>IFERROR(__xludf.DUMMYFUNCTION("""COMPUTED_VALUE"""),"LT0Q1301VQ2T1")</f>
        <v>LT0Q1301VQ2T1</v>
      </c>
      <c r="F3881" s="238" t="str">
        <f>IFERROR(__xludf.DUMMYFUNCTION("""COMPUTED_VALUE"""),"-")</f>
        <v>-</v>
      </c>
      <c r="G3881" s="238" t="str">
        <f>IFERROR(__xludf.DUMMYFUNCTION("""COMPUTED_VALUE"""),"-")</f>
        <v>-</v>
      </c>
      <c r="H3881" s="238" t="str">
        <f>IFERROR(__xludf.DUMMYFUNCTION("""COMPUTED_VALUE"""),"-")</f>
        <v>-</v>
      </c>
      <c r="I3881" s="237" t="str">
        <f t="shared" si="1"/>
        <v>Dentro</v>
      </c>
      <c r="J3881" s="239" t="e">
        <v>#VALUE!</v>
      </c>
    </row>
    <row r="3882">
      <c r="A3882" s="234" t="s">
        <v>5099</v>
      </c>
      <c r="B3882" s="234" t="str">
        <f>IFERROR(__xludf.DUMMYFUNCTION("""COMPUTED_VALUE"""),"Fanout Desconhecido")</f>
        <v>Fanout Desconhecido</v>
      </c>
      <c r="C3882" s="234" t="str">
        <f>IFERROR(__xludf.DUMMYFUNCTION("""COMPUTED_VALUE"""),"-")</f>
        <v>-</v>
      </c>
      <c r="D3882" s="234">
        <f>IFERROR(__xludf.DUMMYFUNCTION("""COMPUTED_VALUE"""),90.0)</f>
        <v>90</v>
      </c>
      <c r="E3882" s="237" t="str">
        <f>IFERROR(__xludf.DUMMYFUNCTION("""COMPUTED_VALUE"""),"LT0Q1301VQ2Y2")</f>
        <v>LT0Q1301VQ2Y2</v>
      </c>
      <c r="F3882" s="238" t="str">
        <f>IFERROR(__xludf.DUMMYFUNCTION("""COMPUTED_VALUE"""),"-")</f>
        <v>-</v>
      </c>
      <c r="G3882" s="238" t="str">
        <f>IFERROR(__xludf.DUMMYFUNCTION("""COMPUTED_VALUE"""),"-")</f>
        <v>-</v>
      </c>
      <c r="H3882" s="238" t="str">
        <f>IFERROR(__xludf.DUMMYFUNCTION("""COMPUTED_VALUE"""),"-")</f>
        <v>-</v>
      </c>
      <c r="I3882" s="237" t="str">
        <f t="shared" si="1"/>
        <v>Dentro</v>
      </c>
      <c r="J3882" s="239" t="e">
        <v>#VALUE!</v>
      </c>
    </row>
    <row r="3883">
      <c r="A3883" s="234" t="s">
        <v>5100</v>
      </c>
      <c r="B3883" s="234" t="str">
        <f>IFERROR(__xludf.DUMMYFUNCTION("""COMPUTED_VALUE"""),"Fanout Desconhecido")</f>
        <v>Fanout Desconhecido</v>
      </c>
      <c r="C3883" s="234" t="str">
        <f>IFERROR(__xludf.DUMMYFUNCTION("""COMPUTED_VALUE"""),"-")</f>
        <v>-</v>
      </c>
      <c r="D3883" s="234">
        <f>IFERROR(__xludf.DUMMYFUNCTION("""COMPUTED_VALUE"""),113.0)</f>
        <v>113</v>
      </c>
      <c r="E3883" s="237" t="str">
        <f>IFERROR(__xludf.DUMMYFUNCTION("""COMPUTED_VALUE"""),"LT0Q1301VQKO1")</f>
        <v>LT0Q1301VQKO1</v>
      </c>
      <c r="F3883" s="238" t="str">
        <f>IFERROR(__xludf.DUMMYFUNCTION("""COMPUTED_VALUE"""),"-")</f>
        <v>-</v>
      </c>
      <c r="G3883" s="238" t="str">
        <f>IFERROR(__xludf.DUMMYFUNCTION("""COMPUTED_VALUE"""),"-")</f>
        <v>-</v>
      </c>
      <c r="H3883" s="238" t="str">
        <f>IFERROR(__xludf.DUMMYFUNCTION("""COMPUTED_VALUE"""),"-")</f>
        <v>-</v>
      </c>
      <c r="I3883" s="237" t="str">
        <f t="shared" si="1"/>
        <v>Dentro</v>
      </c>
      <c r="J3883" s="239" t="e">
        <v>#VALUE!</v>
      </c>
    </row>
    <row r="3884">
      <c r="A3884" s="234" t="s">
        <v>5101</v>
      </c>
      <c r="B3884" s="234" t="str">
        <f>IFERROR(__xludf.DUMMYFUNCTION("""COMPUTED_VALUE"""),"Fanout Desconhecido")</f>
        <v>Fanout Desconhecido</v>
      </c>
      <c r="C3884" s="234" t="str">
        <f>IFERROR(__xludf.DUMMYFUNCTION("""COMPUTED_VALUE"""),"-")</f>
        <v>-</v>
      </c>
      <c r="D3884" s="234" t="str">
        <f>IFERROR(__xludf.DUMMYFUNCTION("""COMPUTED_VALUE"""),"96/114")</f>
        <v>96/114</v>
      </c>
      <c r="E3884" s="237" t="str">
        <f>IFERROR(__xludf.DUMMYFUNCTION("""COMPUTED_VALUE"""),"LT0Q1301VQKR2")</f>
        <v>LT0Q1301VQKR2</v>
      </c>
      <c r="F3884" s="238" t="str">
        <f>IFERROR(__xludf.DUMMYFUNCTION("""COMPUTED_VALUE"""),"-")</f>
        <v>-</v>
      </c>
      <c r="G3884" s="238" t="str">
        <f>IFERROR(__xludf.DUMMYFUNCTION("""COMPUTED_VALUE"""),"-")</f>
        <v>-</v>
      </c>
      <c r="H3884" s="238" t="str">
        <f>IFERROR(__xludf.DUMMYFUNCTION("""COMPUTED_VALUE"""),"-")</f>
        <v>-</v>
      </c>
      <c r="I3884" s="237" t="str">
        <f t="shared" si="1"/>
        <v>Dentro</v>
      </c>
      <c r="J3884" s="239" t="e">
        <v>#VALUE!</v>
      </c>
    </row>
    <row r="3885">
      <c r="A3885" s="234" t="s">
        <v>5102</v>
      </c>
      <c r="B3885" s="234" t="str">
        <f>IFERROR(__xludf.DUMMYFUNCTION("""COMPUTED_VALUE"""),"Fanout Desconhecido")</f>
        <v>Fanout Desconhecido</v>
      </c>
      <c r="C3885" s="234" t="str">
        <f>IFERROR(__xludf.DUMMYFUNCTION("""COMPUTED_VALUE"""),"-")</f>
        <v>-</v>
      </c>
      <c r="D3885" s="234">
        <f>IFERROR(__xludf.DUMMYFUNCTION("""COMPUTED_VALUE"""),112.0)</f>
        <v>112</v>
      </c>
      <c r="E3885" s="237" t="str">
        <f>IFERROR(__xludf.DUMMYFUNCTION("""COMPUTED_VALUE"""),"LT1Q1401W1641")</f>
        <v>LT1Q1401W1641</v>
      </c>
      <c r="F3885" s="238" t="str">
        <f>IFERROR(__xludf.DUMMYFUNCTION("""COMPUTED_VALUE"""),"-")</f>
        <v>-</v>
      </c>
      <c r="G3885" s="238" t="str">
        <f>IFERROR(__xludf.DUMMYFUNCTION("""COMPUTED_VALUE"""),"-")</f>
        <v>-</v>
      </c>
      <c r="H3885" s="238" t="str">
        <f>IFERROR(__xludf.DUMMYFUNCTION("""COMPUTED_VALUE"""),"-")</f>
        <v>-</v>
      </c>
      <c r="I3885" s="237" t="str">
        <f t="shared" si="1"/>
        <v>Dentro</v>
      </c>
      <c r="J3885" s="239">
        <v>540.0</v>
      </c>
    </row>
    <row r="3886">
      <c r="A3886" s="234" t="s">
        <v>5103</v>
      </c>
      <c r="B3886" s="234" t="str">
        <f>IFERROR(__xludf.DUMMYFUNCTION("""COMPUTED_VALUE"""),"SoC_BA_Simoes Filho")</f>
        <v>SoC_BA_Simoes Filho</v>
      </c>
      <c r="C3886" s="234" t="str">
        <f>IFERROR(__xludf.DUMMYFUNCTION("""COMPUTED_VALUE"""),"SOC-BA2")</f>
        <v>SOC-BA2</v>
      </c>
      <c r="D3886" s="234" t="str">
        <f>IFERROR(__xludf.DUMMYFUNCTION("""COMPUTED_VALUE"""),"88/89")</f>
        <v>88/89</v>
      </c>
      <c r="E3886" s="237" t="str">
        <f>IFERROR(__xludf.DUMMYFUNCTION("""COMPUTED_VALUE"""),"LT0Q1501VLA01")</f>
        <v>LT0Q1501VLA01</v>
      </c>
      <c r="F3886" s="238" t="str">
        <f>IFERROR(__xludf.DUMMYFUNCTION("""COMPUTED_VALUE"""),"OUO1A12,EFU7H38")</f>
        <v>OUO1A12,EFU7H38</v>
      </c>
      <c r="G3886" s="238">
        <f>IFERROR(__xludf.DUMMYFUNCTION("""COMPUTED_VALUE"""),46027.58333333333)</f>
        <v>46027.58333</v>
      </c>
      <c r="H3886" s="238">
        <f>IFERROR(__xludf.DUMMYFUNCTION("""COMPUTED_VALUE"""),46027.95833333333)</f>
        <v>46027.95833</v>
      </c>
      <c r="I3886" s="237" t="str">
        <f t="shared" si="1"/>
        <v>Fora</v>
      </c>
      <c r="J3886" s="239">
        <v>59.99999998603016</v>
      </c>
    </row>
    <row r="3887">
      <c r="A3887" s="234" t="s">
        <v>5104</v>
      </c>
      <c r="B3887" s="234" t="str">
        <f>IFERROR(__xludf.DUMMYFUNCTION("""COMPUTED_VALUE"""),"LM Hub_SP_Artur Alvim")</f>
        <v>LM Hub_SP_Artur Alvim</v>
      </c>
      <c r="C3887" s="234" t="str">
        <f>IFERROR(__xludf.DUMMYFUNCTION("""COMPUTED_VALUE"""),"HUB-LSP-07")</f>
        <v>HUB-LSP-07</v>
      </c>
      <c r="D3887" s="234">
        <f>IFERROR(__xludf.DUMMYFUNCTION("""COMPUTED_VALUE"""),42.0)</f>
        <v>42</v>
      </c>
      <c r="E3887" s="237" t="str">
        <f>IFERROR(__xludf.DUMMYFUNCTION("""COMPUTED_VALUE"""),"LT1Q1501W2MP1")</f>
        <v>LT1Q1501W2MP1</v>
      </c>
      <c r="F3887" s="238" t="str">
        <f>IFERROR(__xludf.DUMMYFUNCTION("""COMPUTED_VALUE"""),"EFA8G30")</f>
        <v>EFA8G30</v>
      </c>
      <c r="G3887" s="238">
        <f>IFERROR(__xludf.DUMMYFUNCTION("""COMPUTED_VALUE"""),46027.91666666667)</f>
        <v>46027.91667</v>
      </c>
      <c r="H3887" s="238">
        <f>IFERROR(__xludf.DUMMYFUNCTION("""COMPUTED_VALUE"""),46027.95833333333)</f>
        <v>46027.95833</v>
      </c>
      <c r="I3887" s="237" t="str">
        <f t="shared" si="1"/>
        <v>Fora</v>
      </c>
      <c r="J3887" s="239">
        <v>59.99999998603016</v>
      </c>
    </row>
    <row r="3888">
      <c r="A3888" s="234" t="s">
        <v>5105</v>
      </c>
      <c r="B3888" s="234" t="str">
        <f>IFERROR(__xludf.DUMMYFUNCTION("""COMPUTED_VALUE"""),"LM Hub_SP_Guarulhos")</f>
        <v>LM Hub_SP_Guarulhos</v>
      </c>
      <c r="C3888" s="234" t="str">
        <f>IFERROR(__xludf.DUMMYFUNCTION("""COMPUTED_VALUE"""),"HUB-LSP-77")</f>
        <v>HUB-LSP-77</v>
      </c>
      <c r="D3888" s="234">
        <f>IFERROR(__xludf.DUMMYFUNCTION("""COMPUTED_VALUE"""),45.0)</f>
        <v>45</v>
      </c>
      <c r="E3888" s="237" t="str">
        <f>IFERROR(__xludf.DUMMYFUNCTION("""COMPUTED_VALUE"""),"LT1Q1501W2ZW1")</f>
        <v>LT1Q1501W2ZW1</v>
      </c>
      <c r="F3888" s="238" t="str">
        <f>IFERROR(__xludf.DUMMYFUNCTION("""COMPUTED_VALUE"""),"EGJ9A73")</f>
        <v>EGJ9A73</v>
      </c>
      <c r="G3888" s="238">
        <f>IFERROR(__xludf.DUMMYFUNCTION("""COMPUTED_VALUE"""),46027.91666666667)</f>
        <v>46027.91667</v>
      </c>
      <c r="H3888" s="238">
        <f>IFERROR(__xludf.DUMMYFUNCTION("""COMPUTED_VALUE"""),46027.95833333333)</f>
        <v>46027.95833</v>
      </c>
      <c r="I3888" s="237" t="str">
        <f t="shared" si="1"/>
        <v>Fora</v>
      </c>
      <c r="J3888" s="239">
        <v>59.99999998603016</v>
      </c>
    </row>
    <row r="3889">
      <c r="A3889" s="234" t="s">
        <v>5106</v>
      </c>
      <c r="B3889" s="234" t="str">
        <f>IFERROR(__xludf.DUMMYFUNCTION("""COMPUTED_VALUE"""),"LM Hub_SP_Parque Novo Mundo")</f>
        <v>LM Hub_SP_Parque Novo Mundo</v>
      </c>
      <c r="C3889" s="234" t="str">
        <f>IFERROR(__xludf.DUMMYFUNCTION("""COMPUTED_VALUE"""),"HUB-LSP-89")</f>
        <v>HUB-LSP-89</v>
      </c>
      <c r="D3889" s="234"/>
      <c r="E3889" s="237" t="str">
        <f>IFERROR(__xludf.DUMMYFUNCTION("""COMPUTED_VALUE"""),"LT1Q1501W2LT1")</f>
        <v>LT1Q1501W2LT1</v>
      </c>
      <c r="F3889" s="238" t="str">
        <f>IFERROR(__xludf.DUMMYFUNCTION("""COMPUTED_VALUE"""),"ONN9D62")</f>
        <v>ONN9D62</v>
      </c>
      <c r="G3889" s="238">
        <f>IFERROR(__xludf.DUMMYFUNCTION("""COMPUTED_VALUE"""),46027.91666666667)</f>
        <v>46027.91667</v>
      </c>
      <c r="H3889" s="238">
        <f>IFERROR(__xludf.DUMMYFUNCTION("""COMPUTED_VALUE"""),46027.95833333333)</f>
        <v>46027.95833</v>
      </c>
      <c r="I3889" s="237" t="str">
        <f t="shared" si="1"/>
        <v>Fora</v>
      </c>
      <c r="J3889" s="239">
        <v>120.00000001396984</v>
      </c>
    </row>
    <row r="3890">
      <c r="A3890" s="234" t="s">
        <v>5107</v>
      </c>
      <c r="B3890" s="234" t="str">
        <f>IFERROR(__xludf.DUMMYFUNCTION("""COMPUTED_VALUE"""),"LM Hub_RJ_Jacarepaguá")</f>
        <v>LM Hub_RJ_Jacarepaguá</v>
      </c>
      <c r="C3890" s="234" t="str">
        <f>IFERROR(__xludf.DUMMYFUNCTION("""COMPUTED_VALUE"""),"HUB-LRJ-29")</f>
        <v>HUB-LRJ-29</v>
      </c>
      <c r="D3890" s="234">
        <f>IFERROR(__xludf.DUMMYFUNCTION("""COMPUTED_VALUE"""),16.0)</f>
        <v>16</v>
      </c>
      <c r="E3890" s="237" t="str">
        <f>IFERROR(__xludf.DUMMYFUNCTION("""COMPUTED_VALUE"""),"LT0Q1501VLGK1")</f>
        <v>LT0Q1501VLGK1</v>
      </c>
      <c r="F3890" s="238" t="str">
        <f>IFERROR(__xludf.DUMMYFUNCTION("""COMPUTED_VALUE"""),"UGN4B10")</f>
        <v>UGN4B10</v>
      </c>
      <c r="G3890" s="238">
        <f>IFERROR(__xludf.DUMMYFUNCTION("""COMPUTED_VALUE"""),46027.89583333333)</f>
        <v>46027.89583</v>
      </c>
      <c r="H3890" s="238">
        <f>IFERROR(__xludf.DUMMYFUNCTION("""COMPUTED_VALUE"""),46027.97916666667)</f>
        <v>46027.97917</v>
      </c>
      <c r="I3890" s="237" t="str">
        <f t="shared" si="1"/>
        <v>Fora</v>
      </c>
      <c r="J3890" s="239">
        <v>120.00000001396984</v>
      </c>
    </row>
    <row r="3891">
      <c r="A3891" s="234" t="s">
        <v>5108</v>
      </c>
      <c r="B3891" s="234" t="str">
        <f>IFERROR(__xludf.DUMMYFUNCTION("""COMPUTED_VALUE"""),"LM Hub_SP_Itaqua_Zimba")</f>
        <v>LM Hub_SP_Itaqua_Zimba</v>
      </c>
      <c r="C3891" s="234" t="str">
        <f>IFERROR(__xludf.DUMMYFUNCTION("""COMPUTED_VALUE"""),"HUB-LSP-74")</f>
        <v>HUB-LSP-74</v>
      </c>
      <c r="D3891" s="234">
        <f>IFERROR(__xludf.DUMMYFUNCTION("""COMPUTED_VALUE"""),35.0)</f>
        <v>35</v>
      </c>
      <c r="E3891" s="237" t="str">
        <f>IFERROR(__xludf.DUMMYFUNCTION("""COMPUTED_VALUE"""),"LT0Q1501VFJ61")</f>
        <v>LT0Q1501VFJ61</v>
      </c>
      <c r="F3891" s="238" t="str">
        <f>IFERROR(__xludf.DUMMYFUNCTION("""COMPUTED_VALUE"""),"SUQ5C99,TLD5B82")</f>
        <v>SUQ5C99,TLD5B82</v>
      </c>
      <c r="G3891" s="238">
        <f>IFERROR(__xludf.DUMMYFUNCTION("""COMPUTED_VALUE"""),46027.89583333333)</f>
        <v>46027.89583</v>
      </c>
      <c r="H3891" s="238">
        <f>IFERROR(__xludf.DUMMYFUNCTION("""COMPUTED_VALUE"""),46027.97916666667)</f>
        <v>46027.97917</v>
      </c>
      <c r="I3891" s="237" t="str">
        <f t="shared" si="1"/>
        <v>Fora</v>
      </c>
      <c r="J3891" s="239">
        <v>120.00000001396984</v>
      </c>
    </row>
    <row r="3892">
      <c r="A3892" s="234" t="s">
        <v>5109</v>
      </c>
      <c r="B3892" s="234" t="str">
        <f>IFERROR(__xludf.DUMMYFUNCTION("""COMPUTED_VALUE"""),"LM Hub_SP_Santos_Praia Grande")</f>
        <v>LM Hub_SP_Santos_Praia Grande</v>
      </c>
      <c r="C3892" s="234" t="str">
        <f>IFERROR(__xludf.DUMMYFUNCTION("""COMPUTED_VALUE"""),"HUB-LSP-09")</f>
        <v>HUB-LSP-09</v>
      </c>
      <c r="D3892" s="234">
        <f>IFERROR(__xludf.DUMMYFUNCTION("""COMPUTED_VALUE"""),17.0)</f>
        <v>17</v>
      </c>
      <c r="E3892" s="237" t="str">
        <f>IFERROR(__xludf.DUMMYFUNCTION("""COMPUTED_VALUE"""),"LT0Q1501VFL61")</f>
        <v>LT0Q1501VFL61</v>
      </c>
      <c r="F3892" s="238" t="str">
        <f>IFERROR(__xludf.DUMMYFUNCTION("""COMPUTED_VALUE"""),"GGI1E97,ELI3E86")</f>
        <v>GGI1E97,ELI3E86</v>
      </c>
      <c r="G3892" s="238">
        <f>IFERROR(__xludf.DUMMYFUNCTION("""COMPUTED_VALUE"""),46027.89583333333)</f>
        <v>46027.89583</v>
      </c>
      <c r="H3892" s="238">
        <f>IFERROR(__xludf.DUMMYFUNCTION("""COMPUTED_VALUE"""),46027.97916666667)</f>
        <v>46027.97917</v>
      </c>
      <c r="I3892" s="237" t="str">
        <f t="shared" si="1"/>
        <v>Fora</v>
      </c>
      <c r="J3892" s="239">
        <v>120.00000001396984</v>
      </c>
    </row>
    <row r="3893">
      <c r="A3893" s="234" t="s">
        <v>5110</v>
      </c>
      <c r="B3893" s="234" t="str">
        <f>IFERROR(__xludf.DUMMYFUNCTION("""COMPUTED_VALUE"""),"LM Hub_SP_São José dos Campos")</f>
        <v>LM Hub_SP_São José dos Campos</v>
      </c>
      <c r="C3893" s="234" t="str">
        <f>IFERROR(__xludf.DUMMYFUNCTION("""COMPUTED_VALUE"""),"HUB-LSP-04")</f>
        <v>HUB-LSP-04</v>
      </c>
      <c r="D3893" s="234"/>
      <c r="E3893" s="237" t="str">
        <f>IFERROR(__xludf.DUMMYFUNCTION("""COMPUTED_VALUE"""),"LT0Q1501VFME1")</f>
        <v>LT0Q1501VFME1</v>
      </c>
      <c r="F3893" s="238" t="str">
        <f>IFERROR(__xludf.DUMMYFUNCTION("""COMPUTED_VALUE"""),"TBX6C27")</f>
        <v>TBX6C27</v>
      </c>
      <c r="G3893" s="238">
        <f>IFERROR(__xludf.DUMMYFUNCTION("""COMPUTED_VALUE"""),46027.89583333333)</f>
        <v>46027.89583</v>
      </c>
      <c r="H3893" s="238">
        <f>IFERROR(__xludf.DUMMYFUNCTION("""COMPUTED_VALUE"""),46027.97916666667)</f>
        <v>46027.97917</v>
      </c>
      <c r="I3893" s="237" t="str">
        <f t="shared" si="1"/>
        <v>Fora</v>
      </c>
      <c r="J3893" s="239">
        <v>120.00000001396984</v>
      </c>
    </row>
    <row r="3894">
      <c r="A3894" s="234" t="s">
        <v>5111</v>
      </c>
      <c r="B3894" s="234" t="str">
        <f>IFERROR(__xludf.DUMMYFUNCTION("""COMPUTED_VALUE"""),"LM Hub_SP_São Paulo_Lapa")</f>
        <v>LM Hub_SP_São Paulo_Lapa</v>
      </c>
      <c r="C3894" s="234" t="str">
        <f>IFERROR(__xludf.DUMMYFUNCTION("""COMPUTED_VALUE"""),"HUB-LSP-15")</f>
        <v>HUB-LSP-15</v>
      </c>
      <c r="D3894" s="234"/>
      <c r="E3894" s="237" t="str">
        <f>IFERROR(__xludf.DUMMYFUNCTION("""COMPUTED_VALUE"""),"LT0Q1501VFHM1")</f>
        <v>LT0Q1501VFHM1</v>
      </c>
      <c r="F3894" s="234"/>
      <c r="G3894" s="238">
        <f>IFERROR(__xludf.DUMMYFUNCTION("""COMPUTED_VALUE"""),46027.89583333333)</f>
        <v>46027.89583</v>
      </c>
      <c r="H3894" s="238">
        <f>IFERROR(__xludf.DUMMYFUNCTION("""COMPUTED_VALUE"""),46027.97916666667)</f>
        <v>46027.97917</v>
      </c>
      <c r="I3894" s="237" t="str">
        <f t="shared" si="1"/>
        <v>Fora</v>
      </c>
      <c r="J3894" s="239">
        <v>119.00000001071021</v>
      </c>
    </row>
    <row r="3895">
      <c r="A3895" s="234" t="s">
        <v>5112</v>
      </c>
      <c r="B3895" s="234" t="str">
        <f>IFERROR(__xludf.DUMMYFUNCTION("""COMPUTED_VALUE"""),"LM Hub_SP_Jurubatuba")</f>
        <v>LM Hub_SP_Jurubatuba</v>
      </c>
      <c r="C3895" s="234" t="str">
        <f>IFERROR(__xludf.DUMMYFUNCTION("""COMPUTED_VALUE"""),"HUB-LSP-16")</f>
        <v>HUB-LSP-16</v>
      </c>
      <c r="D3895" s="234"/>
      <c r="E3895" s="237" t="str">
        <f>IFERROR(__xludf.DUMMYFUNCTION("""COMPUTED_VALUE"""),"LT0Q1501VFHT1")</f>
        <v>LT0Q1501VFHT1</v>
      </c>
      <c r="F3895" s="238" t="str">
        <f>IFERROR(__xludf.DUMMYFUNCTION("""COMPUTED_VALUE"""),"FYU4F06")</f>
        <v>FYU4F06</v>
      </c>
      <c r="G3895" s="238">
        <f>IFERROR(__xludf.DUMMYFUNCTION("""COMPUTED_VALUE"""),46027.896527777775)</f>
        <v>46027.89653</v>
      </c>
      <c r="H3895" s="238">
        <f>IFERROR(__xludf.DUMMYFUNCTION("""COMPUTED_VALUE"""),46027.97916666667)</f>
        <v>46027.97917</v>
      </c>
      <c r="I3895" s="237" t="str">
        <f t="shared" si="1"/>
        <v>Fora</v>
      </c>
      <c r="J3895" s="239">
        <v>118.99999998975545</v>
      </c>
    </row>
    <row r="3896">
      <c r="A3896" s="234" t="s">
        <v>5113</v>
      </c>
      <c r="B3896" s="234" t="str">
        <f>IFERROR(__xludf.DUMMYFUNCTION("""COMPUTED_VALUE"""),"LM Hub_SP_Guarujá")</f>
        <v>LM Hub_SP_Guarujá</v>
      </c>
      <c r="C3896" s="234" t="str">
        <f>IFERROR(__xludf.DUMMYFUNCTION("""COMPUTED_VALUE"""),"HUB-LSP-06")</f>
        <v>HUB-LSP-06</v>
      </c>
      <c r="D3896" s="234">
        <f>IFERROR(__xludf.DUMMYFUNCTION("""COMPUTED_VALUE"""),34.0)</f>
        <v>34</v>
      </c>
      <c r="E3896" s="237" t="str">
        <f>IFERROR(__xludf.DUMMYFUNCTION("""COMPUTED_VALUE"""),"LT0Q1501VFK31")</f>
        <v>LT0Q1501VFK31</v>
      </c>
      <c r="F3896" s="238" t="str">
        <f>IFERROR(__xludf.DUMMYFUNCTION("""COMPUTED_VALUE"""),"SVL5H32")</f>
        <v>SVL5H32</v>
      </c>
      <c r="G3896" s="238">
        <f>IFERROR(__xludf.DUMMYFUNCTION("""COMPUTED_VALUE"""),46027.91666666667)</f>
        <v>46027.91667</v>
      </c>
      <c r="H3896" s="238">
        <f>IFERROR(__xludf.DUMMYFUNCTION("""COMPUTED_VALUE"""),46027.99930555555)</f>
        <v>46027.99931</v>
      </c>
      <c r="I3896" s="237" t="str">
        <f t="shared" si="1"/>
        <v>Fora</v>
      </c>
      <c r="J3896" s="239">
        <v>119.99999999301508</v>
      </c>
    </row>
    <row r="3897">
      <c r="A3897" s="234" t="s">
        <v>5114</v>
      </c>
      <c r="B3897" s="234" t="str">
        <f>IFERROR(__xludf.DUMMYFUNCTION("""COMPUTED_VALUE"""),"LM Hub_SP_Barueri_01")</f>
        <v>LM Hub_SP_Barueri_01</v>
      </c>
      <c r="C3897" s="234" t="str">
        <f>IFERROR(__xludf.DUMMYFUNCTION("""COMPUTED_VALUE"""),"HUB-LSP-81")</f>
        <v>HUB-LSP-81</v>
      </c>
      <c r="D3897" s="234">
        <f>IFERROR(__xludf.DUMMYFUNCTION("""COMPUTED_VALUE"""),5.0)</f>
        <v>5</v>
      </c>
      <c r="E3897" s="237" t="str">
        <f>IFERROR(__xludf.DUMMYFUNCTION("""COMPUTED_VALUE"""),"LT0Q1501VKXE1")</f>
        <v>LT0Q1501VKXE1</v>
      </c>
      <c r="F3897" s="238" t="str">
        <f>IFERROR(__xludf.DUMMYFUNCTION("""COMPUTED_VALUE"""),"FNY8F71,TMH5F48")</f>
        <v>FNY8F71,TMH5F48</v>
      </c>
      <c r="G3897" s="238">
        <f>IFERROR(__xludf.DUMMYFUNCTION("""COMPUTED_VALUE"""),46027.91666666667)</f>
        <v>46027.91667</v>
      </c>
      <c r="H3897" s="238">
        <f>IFERROR(__xludf.DUMMYFUNCTION("""COMPUTED_VALUE"""),46028.0)</f>
        <v>46028</v>
      </c>
      <c r="I3897" s="237" t="str">
        <f t="shared" si="1"/>
        <v>Fora</v>
      </c>
      <c r="J3897" s="239">
        <v>119.99999999301508</v>
      </c>
    </row>
    <row r="3898">
      <c r="A3898" s="234" t="s">
        <v>5115</v>
      </c>
      <c r="B3898" s="234" t="str">
        <f>IFERROR(__xludf.DUMMYFUNCTION("""COMPUTED_VALUE"""),"LM Hub_RS_Porto Alegre_Floresta")</f>
        <v>LM Hub_RS_Porto Alegre_Floresta</v>
      </c>
      <c r="C3898" s="234" t="str">
        <f>IFERROR(__xludf.DUMMYFUNCTION("""COMPUTED_VALUE"""),"HUB-LRS-03")</f>
        <v>HUB-LRS-03</v>
      </c>
      <c r="D3898" s="234"/>
      <c r="E3898" s="237" t="str">
        <f>IFERROR(__xludf.DUMMYFUNCTION("""COMPUTED_VALUE"""),"LT0Q1501VM2V1")</f>
        <v>LT0Q1501VM2V1</v>
      </c>
      <c r="F3898" s="238" t="str">
        <f>IFERROR(__xludf.DUMMYFUNCTION("""COMPUTED_VALUE"""),"QJO3D10")</f>
        <v>QJO3D10</v>
      </c>
      <c r="G3898" s="238">
        <f>IFERROR(__xludf.DUMMYFUNCTION("""COMPUTED_VALUE"""),46027.91666666667)</f>
        <v>46027.91667</v>
      </c>
      <c r="H3898" s="238">
        <f>IFERROR(__xludf.DUMMYFUNCTION("""COMPUTED_VALUE"""),46028.0)</f>
        <v>46028</v>
      </c>
      <c r="I3898" s="237" t="str">
        <f t="shared" si="1"/>
        <v>Fora</v>
      </c>
      <c r="J3898" s="239">
        <v>119.99999999301508</v>
      </c>
    </row>
    <row r="3899">
      <c r="A3899" s="234" t="s">
        <v>5116</v>
      </c>
      <c r="B3899" s="234" t="str">
        <f>IFERROR(__xludf.DUMMYFUNCTION("""COMPUTED_VALUE"""),"LM Hub_SP_Artur Alvim")</f>
        <v>LM Hub_SP_Artur Alvim</v>
      </c>
      <c r="C3899" s="234" t="str">
        <f>IFERROR(__xludf.DUMMYFUNCTION("""COMPUTED_VALUE"""),"HUB-LSP-07")</f>
        <v>HUB-LSP-07</v>
      </c>
      <c r="D3899" s="234">
        <f>IFERROR(__xludf.DUMMYFUNCTION("""COMPUTED_VALUE"""),41.0)</f>
        <v>41</v>
      </c>
      <c r="E3899" s="237" t="str">
        <f>IFERROR(__xludf.DUMMYFUNCTION("""COMPUTED_VALUE"""),"LT0Q1501VFH71")</f>
        <v>LT0Q1501VFH71</v>
      </c>
      <c r="F3899" s="238" t="str">
        <f>IFERROR(__xludf.DUMMYFUNCTION("""COMPUTED_VALUE"""),"NKW3F61,STD9E75")</f>
        <v>NKW3F61,STD9E75</v>
      </c>
      <c r="G3899" s="238">
        <f>IFERROR(__xludf.DUMMYFUNCTION("""COMPUTED_VALUE"""),46027.91666666667)</f>
        <v>46027.91667</v>
      </c>
      <c r="H3899" s="238">
        <f>IFERROR(__xludf.DUMMYFUNCTION("""COMPUTED_VALUE"""),46028.0)</f>
        <v>46028</v>
      </c>
      <c r="I3899" s="237" t="str">
        <f t="shared" si="1"/>
        <v>Fora</v>
      </c>
      <c r="J3899" s="239">
        <v>119.99999999301508</v>
      </c>
    </row>
    <row r="3900">
      <c r="A3900" s="234" t="s">
        <v>5117</v>
      </c>
      <c r="B3900" s="234" t="str">
        <f>IFERROR(__xludf.DUMMYFUNCTION("""COMPUTED_VALUE"""),"LM Hub_SP_Guarulhos")</f>
        <v>LM Hub_SP_Guarulhos</v>
      </c>
      <c r="C3900" s="234" t="str">
        <f>IFERROR(__xludf.DUMMYFUNCTION("""COMPUTED_VALUE"""),"HUB-LSP-77")</f>
        <v>HUB-LSP-77</v>
      </c>
      <c r="D3900" s="234">
        <f>IFERROR(__xludf.DUMMYFUNCTION("""COMPUTED_VALUE"""),43.0)</f>
        <v>43</v>
      </c>
      <c r="E3900" s="237" t="str">
        <f>IFERROR(__xludf.DUMMYFUNCTION("""COMPUTED_VALUE"""),"LT0Q1501VG7E1")</f>
        <v>LT0Q1501VG7E1</v>
      </c>
      <c r="F3900" s="238" t="str">
        <f>IFERROR(__xludf.DUMMYFUNCTION("""COMPUTED_VALUE"""),"FEB5I21,FRT9A70")</f>
        <v>FEB5I21,FRT9A70</v>
      </c>
      <c r="G3900" s="238">
        <f>IFERROR(__xludf.DUMMYFUNCTION("""COMPUTED_VALUE"""),46027.91666666667)</f>
        <v>46027.91667</v>
      </c>
      <c r="H3900" s="238">
        <f>IFERROR(__xludf.DUMMYFUNCTION("""COMPUTED_VALUE"""),46028.0)</f>
        <v>46028</v>
      </c>
      <c r="I3900" s="237" t="str">
        <f t="shared" si="1"/>
        <v>Fora</v>
      </c>
      <c r="J3900" s="239">
        <v>119.99999999301508</v>
      </c>
    </row>
    <row r="3901">
      <c r="A3901" s="234" t="s">
        <v>5118</v>
      </c>
      <c r="B3901" s="234" t="str">
        <f>IFERROR(__xludf.DUMMYFUNCTION("""COMPUTED_VALUE"""),"LM Hub_SP_Itapevi")</f>
        <v>LM Hub_SP_Itapevi</v>
      </c>
      <c r="C3901" s="234" t="str">
        <f>IFERROR(__xludf.DUMMYFUNCTION("""COMPUTED_VALUE"""),"HUB-LSP-41")</f>
        <v>HUB-LSP-41</v>
      </c>
      <c r="D3901" s="234">
        <f>IFERROR(__xludf.DUMMYFUNCTION("""COMPUTED_VALUE"""),7.0)</f>
        <v>7</v>
      </c>
      <c r="E3901" s="237" t="str">
        <f>IFERROR(__xludf.DUMMYFUNCTION("""COMPUTED_VALUE"""),"LT0Q1501VFII1")</f>
        <v>LT0Q1501VFII1</v>
      </c>
      <c r="F3901" s="238" t="str">
        <f>IFERROR(__xludf.DUMMYFUNCTION("""COMPUTED_VALUE"""),"BCS4J31,DJB0J76")</f>
        <v>BCS4J31,DJB0J76</v>
      </c>
      <c r="G3901" s="238">
        <f>IFERROR(__xludf.DUMMYFUNCTION("""COMPUTED_VALUE"""),46027.91666666667)</f>
        <v>46027.91667</v>
      </c>
      <c r="H3901" s="238">
        <f>IFERROR(__xludf.DUMMYFUNCTION("""COMPUTED_VALUE"""),46028.0)</f>
        <v>46028</v>
      </c>
      <c r="I3901" s="237" t="str">
        <f t="shared" si="1"/>
        <v>Fora</v>
      </c>
      <c r="J3901" s="239">
        <v>119.99999999301508</v>
      </c>
    </row>
    <row r="3902">
      <c r="A3902" s="234" t="s">
        <v>5119</v>
      </c>
      <c r="B3902" s="234" t="str">
        <f>IFERROR(__xludf.DUMMYFUNCTION("""COMPUTED_VALUE"""),"LM Hub_SP_Limeira_Campo Belo")</f>
        <v>LM Hub_SP_Limeira_Campo Belo</v>
      </c>
      <c r="C3902" s="234" t="str">
        <f>IFERROR(__xludf.DUMMYFUNCTION("""COMPUTED_VALUE"""),"HUB-LSP-24")</f>
        <v>HUB-LSP-24</v>
      </c>
      <c r="D3902" s="234">
        <f>IFERROR(__xludf.DUMMYFUNCTION("""COMPUTED_VALUE"""),6.0)</f>
        <v>6</v>
      </c>
      <c r="E3902" s="237" t="str">
        <f>IFERROR(__xludf.DUMMYFUNCTION("""COMPUTED_VALUE"""),"LT0Q1501VFLX1")</f>
        <v>LT0Q1501VFLX1</v>
      </c>
      <c r="F3902" s="238" t="str">
        <f>IFERROR(__xludf.DUMMYFUNCTION("""COMPUTED_VALUE"""),"FNY2B06,FCR2E04")</f>
        <v>FNY2B06,FCR2E04</v>
      </c>
      <c r="G3902" s="238">
        <f>IFERROR(__xludf.DUMMYFUNCTION("""COMPUTED_VALUE"""),46027.91666666667)</f>
        <v>46027.91667</v>
      </c>
      <c r="H3902" s="238">
        <f>IFERROR(__xludf.DUMMYFUNCTION("""COMPUTED_VALUE"""),46028.0)</f>
        <v>46028</v>
      </c>
      <c r="I3902" s="237" t="str">
        <f t="shared" si="1"/>
        <v>Fora</v>
      </c>
      <c r="J3902" s="239">
        <v>119.99999999301508</v>
      </c>
    </row>
    <row r="3903">
      <c r="A3903" s="234" t="s">
        <v>5120</v>
      </c>
      <c r="B3903" s="234" t="str">
        <f>IFERROR(__xludf.DUMMYFUNCTION("""COMPUTED_VALUE"""),"LM Hub_SP_Mauá")</f>
        <v>LM Hub_SP_Mauá</v>
      </c>
      <c r="C3903" s="234" t="str">
        <f>IFERROR(__xludf.DUMMYFUNCTION("""COMPUTED_VALUE"""),"HUB-LSP-64")</f>
        <v>HUB-LSP-64</v>
      </c>
      <c r="D3903" s="234">
        <f>IFERROR(__xludf.DUMMYFUNCTION("""COMPUTED_VALUE"""),22.0)</f>
        <v>22</v>
      </c>
      <c r="E3903" s="237" t="str">
        <f>IFERROR(__xludf.DUMMYFUNCTION("""COMPUTED_VALUE"""),"LT0Q1501VFIU1")</f>
        <v>LT0Q1501VFIU1</v>
      </c>
      <c r="F3903" s="238" t="str">
        <f>IFERROR(__xludf.DUMMYFUNCTION("""COMPUTED_VALUE"""),"FQF6B98,DTA7802")</f>
        <v>FQF6B98,DTA7802</v>
      </c>
      <c r="G3903" s="238">
        <f>IFERROR(__xludf.DUMMYFUNCTION("""COMPUTED_VALUE"""),46027.91666666667)</f>
        <v>46027.91667</v>
      </c>
      <c r="H3903" s="238">
        <f>IFERROR(__xludf.DUMMYFUNCTION("""COMPUTED_VALUE"""),46028.0)</f>
        <v>46028</v>
      </c>
      <c r="I3903" s="237" t="str">
        <f t="shared" si="1"/>
        <v>Fora</v>
      </c>
      <c r="J3903" s="239">
        <v>119.99999999301508</v>
      </c>
    </row>
    <row r="3904">
      <c r="A3904" s="234" t="s">
        <v>5121</v>
      </c>
      <c r="B3904" s="234" t="str">
        <f>IFERROR(__xludf.DUMMYFUNCTION("""COMPUTED_VALUE"""),"LM Hub_SP_Osasco_02")</f>
        <v>LM Hub_SP_Osasco_02</v>
      </c>
      <c r="C3904" s="234" t="str">
        <f>IFERROR(__xludf.DUMMYFUNCTION("""COMPUTED_VALUE"""),"HUB-LSP-60")</f>
        <v>HUB-LSP-60</v>
      </c>
      <c r="D3904" s="234">
        <f>IFERROR(__xludf.DUMMYFUNCTION("""COMPUTED_VALUE"""),32.0)</f>
        <v>32</v>
      </c>
      <c r="E3904" s="237" t="str">
        <f>IFERROR(__xludf.DUMMYFUNCTION("""COMPUTED_VALUE"""),"LT0Q1501VFIN1")</f>
        <v>LT0Q1501VFIN1</v>
      </c>
      <c r="F3904" s="238" t="str">
        <f>IFERROR(__xludf.DUMMYFUNCTION("""COMPUTED_VALUE"""),"FUZ6B23,FUA8006")</f>
        <v>FUZ6B23,FUA8006</v>
      </c>
      <c r="G3904" s="238">
        <f>IFERROR(__xludf.DUMMYFUNCTION("""COMPUTED_VALUE"""),46027.91666666667)</f>
        <v>46027.91667</v>
      </c>
      <c r="H3904" s="238">
        <f>IFERROR(__xludf.DUMMYFUNCTION("""COMPUTED_VALUE"""),46028.0)</f>
        <v>46028</v>
      </c>
      <c r="I3904" s="237" t="str">
        <f t="shared" si="1"/>
        <v>Fora</v>
      </c>
      <c r="J3904" s="239">
        <v>119.99999999301508</v>
      </c>
    </row>
    <row r="3905">
      <c r="A3905" s="234" t="s">
        <v>5122</v>
      </c>
      <c r="B3905" s="234" t="str">
        <f>IFERROR(__xludf.DUMMYFUNCTION("""COMPUTED_VALUE"""),"LM Hub_SP_Parque Novo Mundo")</f>
        <v>LM Hub_SP_Parque Novo Mundo</v>
      </c>
      <c r="C3905" s="234" t="str">
        <f>IFERROR(__xludf.DUMMYFUNCTION("""COMPUTED_VALUE"""),"HUB-LSP-89")</f>
        <v>HUB-LSP-89</v>
      </c>
      <c r="D3905" s="234"/>
      <c r="E3905" s="237" t="str">
        <f>IFERROR(__xludf.DUMMYFUNCTION("""COMPUTED_VALUE"""),"LT1Q1501W2LS1")</f>
        <v>LT1Q1501W2LS1</v>
      </c>
      <c r="F3905" s="234"/>
      <c r="G3905" s="238">
        <f>IFERROR(__xludf.DUMMYFUNCTION("""COMPUTED_VALUE"""),46027.91666666667)</f>
        <v>46027.91667</v>
      </c>
      <c r="H3905" s="238">
        <f>IFERROR(__xludf.DUMMYFUNCTION("""COMPUTED_VALUE"""),46028.0)</f>
        <v>46028</v>
      </c>
      <c r="I3905" s="237" t="str">
        <f t="shared" si="1"/>
        <v>Fora</v>
      </c>
      <c r="J3905" s="239">
        <v>119.99999999301508</v>
      </c>
    </row>
    <row r="3906">
      <c r="A3906" s="234" t="s">
        <v>5123</v>
      </c>
      <c r="B3906" s="234" t="str">
        <f>IFERROR(__xludf.DUMMYFUNCTION("""COMPUTED_VALUE"""),"LM Hub_SP_Santo André")</f>
        <v>LM Hub_SP_Santo André</v>
      </c>
      <c r="C3906" s="234" t="str">
        <f>IFERROR(__xludf.DUMMYFUNCTION("""COMPUTED_VALUE"""),"HUB-LSP-93")</f>
        <v>HUB-LSP-93</v>
      </c>
      <c r="D3906" s="234"/>
      <c r="E3906" s="237" t="str">
        <f>IFERROR(__xludf.DUMMYFUNCTION("""COMPUTED_VALUE"""),"LT0Q1501VI9M1")</f>
        <v>LT0Q1501VI9M1</v>
      </c>
      <c r="F3906" s="234"/>
      <c r="G3906" s="238">
        <f>IFERROR(__xludf.DUMMYFUNCTION("""COMPUTED_VALUE"""),46027.91666666667)</f>
        <v>46027.91667</v>
      </c>
      <c r="H3906" s="238">
        <f>IFERROR(__xludf.DUMMYFUNCTION("""COMPUTED_VALUE"""),46028.0)</f>
        <v>46028</v>
      </c>
      <c r="I3906" s="237" t="str">
        <f t="shared" si="1"/>
        <v>Fora</v>
      </c>
      <c r="J3906" s="239">
        <v>119.99999999301508</v>
      </c>
    </row>
    <row r="3907">
      <c r="A3907" s="234" t="s">
        <v>5124</v>
      </c>
      <c r="B3907" s="234" t="str">
        <f>IFERROR(__xludf.DUMMYFUNCTION("""COMPUTED_VALUE"""),"LM Hub_SP_São José do Rio P")</f>
        <v>LM Hub_SP_São José do Rio P</v>
      </c>
      <c r="C3907" s="234" t="str">
        <f>IFERROR(__xludf.DUMMYFUNCTION("""COMPUTED_VALUE"""),"HUB-LSP-27")</f>
        <v>HUB-LSP-27</v>
      </c>
      <c r="D3907" s="234">
        <f>IFERROR(__xludf.DUMMYFUNCTION("""COMPUTED_VALUE"""),28.0)</f>
        <v>28</v>
      </c>
      <c r="E3907" s="237" t="str">
        <f>IFERROR(__xludf.DUMMYFUNCTION("""COMPUTED_VALUE"""),"LT0Q1501VJP01")</f>
        <v>LT0Q1501VJP01</v>
      </c>
      <c r="F3907" s="238" t="str">
        <f>IFERROR(__xludf.DUMMYFUNCTION("""COMPUTED_VALUE"""),"GAS3B82,GAS3H73")</f>
        <v>GAS3B82,GAS3H73</v>
      </c>
      <c r="G3907" s="238">
        <f>IFERROR(__xludf.DUMMYFUNCTION("""COMPUTED_VALUE"""),46027.91666666667)</f>
        <v>46027.91667</v>
      </c>
      <c r="H3907" s="238">
        <f>IFERROR(__xludf.DUMMYFUNCTION("""COMPUTED_VALUE"""),46028.0)</f>
        <v>46028</v>
      </c>
      <c r="I3907" s="237" t="str">
        <f t="shared" si="1"/>
        <v>Fora</v>
      </c>
      <c r="J3907" s="239">
        <v>60.00000000698492</v>
      </c>
    </row>
    <row r="3908">
      <c r="A3908" s="234" t="s">
        <v>5125</v>
      </c>
      <c r="B3908" s="234" t="str">
        <f>IFERROR(__xludf.DUMMYFUNCTION("""COMPUTED_VALUE"""),"LM Hub_SP_Araraquara")</f>
        <v>LM Hub_SP_Araraquara</v>
      </c>
      <c r="C3908" s="234" t="str">
        <f>IFERROR(__xludf.DUMMYFUNCTION("""COMPUTED_VALUE"""),"HUB-LSP-29")</f>
        <v>HUB-LSP-29</v>
      </c>
      <c r="D3908" s="234">
        <f>IFERROR(__xludf.DUMMYFUNCTION("""COMPUTED_VALUE"""),23.0)</f>
        <v>23</v>
      </c>
      <c r="E3908" s="237" t="str">
        <f>IFERROR(__xludf.DUMMYFUNCTION("""COMPUTED_VALUE"""),"LT1Q1501W3031")</f>
        <v>LT1Q1501W3031</v>
      </c>
      <c r="F3908" s="238" t="str">
        <f>IFERROR(__xludf.DUMMYFUNCTION("""COMPUTED_VALUE"""),"EWJ2H21")</f>
        <v>EWJ2H21</v>
      </c>
      <c r="G3908" s="238">
        <f>IFERROR(__xludf.DUMMYFUNCTION("""COMPUTED_VALUE"""),46027.95833333333)</f>
        <v>46027.95833</v>
      </c>
      <c r="H3908" s="238">
        <f>IFERROR(__xludf.DUMMYFUNCTION("""COMPUTED_VALUE"""),46028.0)</f>
        <v>46028</v>
      </c>
      <c r="I3908" s="237" t="str">
        <f t="shared" si="1"/>
        <v>Fora</v>
      </c>
      <c r="J3908" s="239">
        <v>119.99999999301508</v>
      </c>
    </row>
    <row r="3909">
      <c r="A3909" s="234" t="s">
        <v>5126</v>
      </c>
      <c r="B3909" s="234" t="str">
        <f>IFERROR(__xludf.DUMMYFUNCTION("""COMPUTED_VALUE"""),"LM Hub_SP_Jardim Adriana")</f>
        <v>LM Hub_SP_Jardim Adriana</v>
      </c>
      <c r="C3909" s="234" t="str">
        <f>IFERROR(__xludf.DUMMYFUNCTION("""COMPUTED_VALUE"""),"HUB-LSP-12")</f>
        <v>HUB-LSP-12</v>
      </c>
      <c r="D3909" s="234">
        <f>IFERROR(__xludf.DUMMYFUNCTION("""COMPUTED_VALUE"""),46.0)</f>
        <v>46</v>
      </c>
      <c r="E3909" s="237" t="str">
        <f>IFERROR(__xludf.DUMMYFUNCTION("""COMPUTED_VALUE"""),"LT0Q1501VFHE1")</f>
        <v>LT0Q1501VFHE1</v>
      </c>
      <c r="F3909" s="238" t="str">
        <f>IFERROR(__xludf.DUMMYFUNCTION("""COMPUTED_VALUE"""),"FYZ2D15")</f>
        <v>FYZ2D15</v>
      </c>
      <c r="G3909" s="238">
        <f>IFERROR(__xludf.DUMMYFUNCTION("""COMPUTED_VALUE"""),46027.9375)</f>
        <v>46027.9375</v>
      </c>
      <c r="H3909" s="238">
        <f>IFERROR(__xludf.DUMMYFUNCTION("""COMPUTED_VALUE"""),46028.02083333333)</f>
        <v>46028.02083</v>
      </c>
      <c r="I3909" s="237" t="str">
        <f t="shared" si="1"/>
        <v>Fora</v>
      </c>
      <c r="J3909" s="239">
        <v>119.99999999301508</v>
      </c>
    </row>
    <row r="3910">
      <c r="A3910" s="234" t="s">
        <v>5127</v>
      </c>
      <c r="B3910" s="234" t="str">
        <f>IFERROR(__xludf.DUMMYFUNCTION("""COMPUTED_VALUE"""),"LM Hub_SP_Parque Novo Mundo")</f>
        <v>LM Hub_SP_Parque Novo Mundo</v>
      </c>
      <c r="C3910" s="234" t="str">
        <f>IFERROR(__xludf.DUMMYFUNCTION("""COMPUTED_VALUE"""),"HUB-LSP-89")</f>
        <v>HUB-LSP-89</v>
      </c>
      <c r="D3910" s="234"/>
      <c r="E3910" s="237" t="str">
        <f>IFERROR(__xludf.DUMMYFUNCTION("""COMPUTED_VALUE"""),"LT0Q1501VGEM1")</f>
        <v>LT0Q1501VGEM1</v>
      </c>
      <c r="F3910" s="238" t="str">
        <f>IFERROR(__xludf.DUMMYFUNCTION("""COMPUTED_VALUE"""),"GIQ1C13,AKZ0B43")</f>
        <v>GIQ1C13,AKZ0B43</v>
      </c>
      <c r="G3910" s="238">
        <f>IFERROR(__xludf.DUMMYFUNCTION("""COMPUTED_VALUE"""),46027.9375)</f>
        <v>46027.9375</v>
      </c>
      <c r="H3910" s="238">
        <f>IFERROR(__xludf.DUMMYFUNCTION("""COMPUTED_VALUE"""),46028.02083333333)</f>
        <v>46028.02083</v>
      </c>
      <c r="I3910" s="237" t="str">
        <f t="shared" si="1"/>
        <v>Fora</v>
      </c>
      <c r="J3910" s="239">
        <v>119.99999999301508</v>
      </c>
    </row>
    <row r="3911">
      <c r="A3911" s="234" t="s">
        <v>5128</v>
      </c>
      <c r="B3911" s="234" t="str">
        <f>IFERROR(__xludf.DUMMYFUNCTION("""COMPUTED_VALUE"""),"LM Hub_SP_Piracicaba")</f>
        <v>LM Hub_SP_Piracicaba</v>
      </c>
      <c r="C3911" s="234" t="str">
        <f>IFERROR(__xludf.DUMMYFUNCTION("""COMPUTED_VALUE"""),"HUB-LSP-62")</f>
        <v>HUB-LSP-62</v>
      </c>
      <c r="D3911" s="234">
        <f>IFERROR(__xludf.DUMMYFUNCTION("""COMPUTED_VALUE"""),40.0)</f>
        <v>40</v>
      </c>
      <c r="E3911" s="237" t="str">
        <f>IFERROR(__xludf.DUMMYFUNCTION("""COMPUTED_VALUE"""),"LT0Q1501VG7T1")</f>
        <v>LT0Q1501VG7T1</v>
      </c>
      <c r="F3911" s="238" t="str">
        <f>IFERROR(__xludf.DUMMYFUNCTION("""COMPUTED_VALUE"""),"EOF4D32,EOF4D30")</f>
        <v>EOF4D32,EOF4D30</v>
      </c>
      <c r="G3911" s="238">
        <f>IFERROR(__xludf.DUMMYFUNCTION("""COMPUTED_VALUE"""),46027.9375)</f>
        <v>46027.9375</v>
      </c>
      <c r="H3911" s="238">
        <f>IFERROR(__xludf.DUMMYFUNCTION("""COMPUTED_VALUE"""),46028.02083333333)</f>
        <v>46028.02083</v>
      </c>
      <c r="I3911" s="237" t="str">
        <f t="shared" si="1"/>
        <v>Fora</v>
      </c>
      <c r="J3911" s="239">
        <v>119.99999999301508</v>
      </c>
    </row>
    <row r="3912">
      <c r="A3912" s="234" t="s">
        <v>5129</v>
      </c>
      <c r="B3912" s="234" t="str">
        <f>IFERROR(__xludf.DUMMYFUNCTION("""COMPUTED_VALUE"""),"LM Hub_SP_São Paulo_Carandiru")</f>
        <v>LM Hub_SP_São Paulo_Carandiru</v>
      </c>
      <c r="C3912" s="234" t="str">
        <f>IFERROR(__xludf.DUMMYFUNCTION("""COMPUTED_VALUE"""),"HUB-LSP-18")</f>
        <v>HUB-LSP-18</v>
      </c>
      <c r="D3912" s="234">
        <f>IFERROR(__xludf.DUMMYFUNCTION("""COMPUTED_VALUE"""),33.0)</f>
        <v>33</v>
      </c>
      <c r="E3912" s="237" t="str">
        <f>IFERROR(__xludf.DUMMYFUNCTION("""COMPUTED_VALUE"""),"LT0Q1501VFI01")</f>
        <v>LT0Q1501VFI01</v>
      </c>
      <c r="F3912" s="238" t="str">
        <f>IFERROR(__xludf.DUMMYFUNCTION("""COMPUTED_VALUE"""),"GDB4E59")</f>
        <v>GDB4E59</v>
      </c>
      <c r="G3912" s="238">
        <f>IFERROR(__xludf.DUMMYFUNCTION("""COMPUTED_VALUE"""),46027.9375)</f>
        <v>46027.9375</v>
      </c>
      <c r="H3912" s="238">
        <f>IFERROR(__xludf.DUMMYFUNCTION("""COMPUTED_VALUE"""),46028.02083333333)</f>
        <v>46028.02083</v>
      </c>
      <c r="I3912" s="237" t="str">
        <f t="shared" si="1"/>
        <v>Fora</v>
      </c>
      <c r="J3912" s="239">
        <v>119.99999999301508</v>
      </c>
    </row>
    <row r="3913">
      <c r="A3913" s="234" t="s">
        <v>5130</v>
      </c>
      <c r="B3913" s="234" t="str">
        <f>IFERROR(__xludf.DUMMYFUNCTION("""COMPUTED_VALUE"""),"LM Hub_SP_Suzano_Baruel")</f>
        <v>LM Hub_SP_Suzano_Baruel</v>
      </c>
      <c r="C3913" s="234" t="str">
        <f>IFERROR(__xludf.DUMMYFUNCTION("""COMPUTED_VALUE"""),"HUB-LSP-97")</f>
        <v>HUB-LSP-97</v>
      </c>
      <c r="D3913" s="234">
        <f>IFERROR(__xludf.DUMMYFUNCTION("""COMPUTED_VALUE"""),14.0)</f>
        <v>14</v>
      </c>
      <c r="E3913" s="237" t="str">
        <f>IFERROR(__xludf.DUMMYFUNCTION("""COMPUTED_VALUE"""),"LT0Q1501VMSN1")</f>
        <v>LT0Q1501VMSN1</v>
      </c>
      <c r="F3913" s="238" t="str">
        <f>IFERROR(__xludf.DUMMYFUNCTION("""COMPUTED_VALUE"""),"FZO3D72,DKH9I98")</f>
        <v>FZO3D72,DKH9I98</v>
      </c>
      <c r="G3913" s="238">
        <f>IFERROR(__xludf.DUMMYFUNCTION("""COMPUTED_VALUE"""),46027.9375)</f>
        <v>46027.9375</v>
      </c>
      <c r="H3913" s="238">
        <f>IFERROR(__xludf.DUMMYFUNCTION("""COMPUTED_VALUE"""),46028.02083333333)</f>
        <v>46028.02083</v>
      </c>
      <c r="I3913" s="237" t="str">
        <f t="shared" si="1"/>
        <v>Fora</v>
      </c>
      <c r="J3913" s="239">
        <v>119.99999999301508</v>
      </c>
    </row>
    <row r="3914">
      <c r="A3914" s="234" t="s">
        <v>5131</v>
      </c>
      <c r="B3914" s="234" t="str">
        <f>IFERROR(__xludf.DUMMYFUNCTION("""COMPUTED_VALUE"""),"LM Hub_SP_VilaGuilherme")</f>
        <v>LM Hub_SP_VilaGuilherme</v>
      </c>
      <c r="C3914" s="234" t="str">
        <f>IFERROR(__xludf.DUMMYFUNCTION("""COMPUTED_VALUE"""),"HUB-LSP-68")</f>
        <v>HUB-LSP-68</v>
      </c>
      <c r="D3914" s="234">
        <f>IFERROR(__xludf.DUMMYFUNCTION("""COMPUTED_VALUE"""),44.0)</f>
        <v>44</v>
      </c>
      <c r="E3914" s="237" t="str">
        <f>IFERROR(__xludf.DUMMYFUNCTION("""COMPUTED_VALUE"""),"LT0Q1501VFJ01")</f>
        <v>LT0Q1501VFJ01</v>
      </c>
      <c r="F3914" s="238" t="str">
        <f>IFERROR(__xludf.DUMMYFUNCTION("""COMPUTED_VALUE"""),"DAJ3E28")</f>
        <v>DAJ3E28</v>
      </c>
      <c r="G3914" s="238">
        <f>IFERROR(__xludf.DUMMYFUNCTION("""COMPUTED_VALUE"""),46027.9375)</f>
        <v>46027.9375</v>
      </c>
      <c r="H3914" s="238">
        <f>IFERROR(__xludf.DUMMYFUNCTION("""COMPUTED_VALUE"""),46028.02083333333)</f>
        <v>46028.02083</v>
      </c>
      <c r="I3914" s="237" t="str">
        <f t="shared" si="1"/>
        <v>Fora</v>
      </c>
      <c r="J3914" s="239">
        <v>120.00000001396984</v>
      </c>
    </row>
    <row r="3915">
      <c r="A3915" s="234" t="s">
        <v>5132</v>
      </c>
      <c r="B3915" s="234" t="str">
        <f>IFERROR(__xludf.DUMMYFUNCTION("""COMPUTED_VALUE"""),"LM Hub_RJ_Nova Iguaçu")</f>
        <v>LM Hub_RJ_Nova Iguaçu</v>
      </c>
      <c r="C3915" s="234" t="str">
        <f>IFERROR(__xludf.DUMMYFUNCTION("""COMPUTED_VALUE"""),"HUB-LRJ-27")</f>
        <v>HUB-LRJ-27</v>
      </c>
      <c r="D3915" s="234">
        <f>IFERROR(__xludf.DUMMYFUNCTION("""COMPUTED_VALUE"""),9.0)</f>
        <v>9</v>
      </c>
      <c r="E3915" s="237" t="str">
        <f>IFERROR(__xludf.DUMMYFUNCTION("""COMPUTED_VALUE"""),"LT0Q1501VLGV1")</f>
        <v>LT0Q1501VLGV1</v>
      </c>
      <c r="F3915" s="238" t="str">
        <f>IFERROR(__xludf.DUMMYFUNCTION("""COMPUTED_VALUE"""),"UBA1H99")</f>
        <v>UBA1H99</v>
      </c>
      <c r="G3915" s="238">
        <f>IFERROR(__xludf.DUMMYFUNCTION("""COMPUTED_VALUE"""),46027.95833333333)</f>
        <v>46027.95833</v>
      </c>
      <c r="H3915" s="238">
        <f>IFERROR(__xludf.DUMMYFUNCTION("""COMPUTED_VALUE"""),46028.04166666667)</f>
        <v>46028.04167</v>
      </c>
      <c r="I3915" s="237" t="str">
        <f t="shared" si="1"/>
        <v>Fora</v>
      </c>
      <c r="J3915" s="239">
        <v>120.00000001396984</v>
      </c>
    </row>
    <row r="3916">
      <c r="A3916" s="234" t="s">
        <v>5133</v>
      </c>
      <c r="B3916" s="234" t="str">
        <f>IFERROR(__xludf.DUMMYFUNCTION("""COMPUTED_VALUE"""),"LM Hub_RJ_Rio de Janeiro_Campo G")</f>
        <v>LM Hub_RJ_Rio de Janeiro_Campo G</v>
      </c>
      <c r="C3916" s="234" t="str">
        <f>IFERROR(__xludf.DUMMYFUNCTION("""COMPUTED_VALUE"""),"HUB-LRJ-04")</f>
        <v>HUB-LRJ-04</v>
      </c>
      <c r="D3916" s="234">
        <f>IFERROR(__xludf.DUMMYFUNCTION("""COMPUTED_VALUE"""),15.0)</f>
        <v>15</v>
      </c>
      <c r="E3916" s="237" t="str">
        <f>IFERROR(__xludf.DUMMYFUNCTION("""COMPUTED_VALUE"""),"LT0Q1501VFNU1")</f>
        <v>LT0Q1501VFNU1</v>
      </c>
      <c r="F3916" s="238" t="str">
        <f>IFERROR(__xludf.DUMMYFUNCTION("""COMPUTED_VALUE"""),"TAX7E42")</f>
        <v>TAX7E42</v>
      </c>
      <c r="G3916" s="238">
        <f>IFERROR(__xludf.DUMMYFUNCTION("""COMPUTED_VALUE"""),46027.95833333333)</f>
        <v>46027.95833</v>
      </c>
      <c r="H3916" s="238">
        <f>IFERROR(__xludf.DUMMYFUNCTION("""COMPUTED_VALUE"""),46028.04166666667)</f>
        <v>46028.04167</v>
      </c>
      <c r="I3916" s="237" t="str">
        <f t="shared" si="1"/>
        <v>Fora</v>
      </c>
      <c r="J3916" s="239">
        <v>120.00000001396984</v>
      </c>
    </row>
    <row r="3917">
      <c r="A3917" s="234" t="s">
        <v>5134</v>
      </c>
      <c r="B3917" s="234" t="str">
        <f>IFERROR(__xludf.DUMMYFUNCTION("""COMPUTED_VALUE"""),"LM Hub_RJ_São João do Meriti")</f>
        <v>LM Hub_RJ_São João do Meriti</v>
      </c>
      <c r="C3917" s="234" t="str">
        <f>IFERROR(__xludf.DUMMYFUNCTION("""COMPUTED_VALUE"""),"HUB-LRJ-01")</f>
        <v>HUB-LRJ-01</v>
      </c>
      <c r="D3917" s="234">
        <f>IFERROR(__xludf.DUMMYFUNCTION("""COMPUTED_VALUE"""),17.0)</f>
        <v>17</v>
      </c>
      <c r="E3917" s="237" t="str">
        <f>IFERROR(__xludf.DUMMYFUNCTION("""COMPUTED_VALUE"""),"LT0Q1501VLHS1")</f>
        <v>LT0Q1501VLHS1</v>
      </c>
      <c r="F3917" s="238" t="str">
        <f>IFERROR(__xludf.DUMMYFUNCTION("""COMPUTED_VALUE"""),"CSK6J01")</f>
        <v>CSK6J01</v>
      </c>
      <c r="G3917" s="238">
        <f>IFERROR(__xludf.DUMMYFUNCTION("""COMPUTED_VALUE"""),46027.95833333333)</f>
        <v>46027.95833</v>
      </c>
      <c r="H3917" s="238">
        <f>IFERROR(__xludf.DUMMYFUNCTION("""COMPUTED_VALUE"""),46028.04166666667)</f>
        <v>46028.04167</v>
      </c>
      <c r="I3917" s="237" t="str">
        <f t="shared" si="1"/>
        <v>Fora</v>
      </c>
      <c r="J3917" s="239">
        <v>120.00000001396984</v>
      </c>
    </row>
    <row r="3918">
      <c r="A3918" s="234" t="s">
        <v>5135</v>
      </c>
      <c r="B3918" s="234" t="str">
        <f>IFERROR(__xludf.DUMMYFUNCTION("""COMPUTED_VALUE"""),"LM Hub_SP_Jundiaí")</f>
        <v>LM Hub_SP_Jundiaí</v>
      </c>
      <c r="C3918" s="234" t="str">
        <f>IFERROR(__xludf.DUMMYFUNCTION("""COMPUTED_VALUE"""),"HUB-LSP-100")</f>
        <v>HUB-LSP-100</v>
      </c>
      <c r="D3918" s="234">
        <f>IFERROR(__xludf.DUMMYFUNCTION("""COMPUTED_VALUE"""),36.0)</f>
        <v>36</v>
      </c>
      <c r="E3918" s="237" t="str">
        <f>IFERROR(__xludf.DUMMYFUNCTION("""COMPUTED_VALUE"""),"LT0Q1501VMDB1")</f>
        <v>LT0Q1501VMDB1</v>
      </c>
      <c r="F3918" s="238" t="str">
        <f>IFERROR(__xludf.DUMMYFUNCTION("""COMPUTED_VALUE"""),"PRI3H29")</f>
        <v>PRI3H29</v>
      </c>
      <c r="G3918" s="238">
        <f>IFERROR(__xludf.DUMMYFUNCTION("""COMPUTED_VALUE"""),46027.95833333333)</f>
        <v>46027.95833</v>
      </c>
      <c r="H3918" s="238">
        <f>IFERROR(__xludf.DUMMYFUNCTION("""COMPUTED_VALUE"""),46028.04166666667)</f>
        <v>46028.04167</v>
      </c>
      <c r="I3918" s="237" t="str">
        <f t="shared" si="1"/>
        <v>Fora</v>
      </c>
      <c r="J3918" s="239">
        <v>120.00000001396984</v>
      </c>
    </row>
    <row r="3919">
      <c r="A3919" s="234" t="s">
        <v>5136</v>
      </c>
      <c r="B3919" s="234" t="str">
        <f>IFERROR(__xludf.DUMMYFUNCTION("""COMPUTED_VALUE"""),"LM Hub_SP_Mogi Mirim")</f>
        <v>LM Hub_SP_Mogi Mirim</v>
      </c>
      <c r="C3919" s="234" t="str">
        <f>IFERROR(__xludf.DUMMYFUNCTION("""COMPUTED_VALUE"""),"HUB-LSP-37")</f>
        <v>HUB-LSP-37</v>
      </c>
      <c r="D3919" s="234">
        <f>IFERROR(__xludf.DUMMYFUNCTION("""COMPUTED_VALUE"""),39.0)</f>
        <v>39</v>
      </c>
      <c r="E3919" s="237" t="str">
        <f>IFERROR(__xludf.DUMMYFUNCTION("""COMPUTED_VALUE"""),"LT0Q1501VFMZ1")</f>
        <v>LT0Q1501VFMZ1</v>
      </c>
      <c r="F3919" s="238" t="str">
        <f>IFERROR(__xludf.DUMMYFUNCTION("""COMPUTED_VALUE"""),"STJ6A96,RBD1F58")</f>
        <v>STJ6A96,RBD1F58</v>
      </c>
      <c r="G3919" s="238">
        <f>IFERROR(__xludf.DUMMYFUNCTION("""COMPUTED_VALUE"""),46027.95833333333)</f>
        <v>46027.95833</v>
      </c>
      <c r="H3919" s="238">
        <f>IFERROR(__xludf.DUMMYFUNCTION("""COMPUTED_VALUE"""),46028.04166666667)</f>
        <v>46028.04167</v>
      </c>
      <c r="I3919" s="237" t="str">
        <f t="shared" si="1"/>
        <v>Fora</v>
      </c>
      <c r="J3919" s="239">
        <v>120.00000001396984</v>
      </c>
    </row>
    <row r="3920">
      <c r="A3920" s="234" t="s">
        <v>5137</v>
      </c>
      <c r="B3920" s="234" t="str">
        <f>IFERROR(__xludf.DUMMYFUNCTION("""COMPUTED_VALUE"""),"SoC_MG_Betim")</f>
        <v>SoC_MG_Betim</v>
      </c>
      <c r="C3920" s="234" t="str">
        <f>IFERROR(__xludf.DUMMYFUNCTION("""COMPUTED_VALUE"""),"SOC-MG2")</f>
        <v>SOC-MG2</v>
      </c>
      <c r="D3920" s="234">
        <f>IFERROR(__xludf.DUMMYFUNCTION("""COMPUTED_VALUE"""),8.0)</f>
        <v>8</v>
      </c>
      <c r="E3920" s="237" t="str">
        <f>IFERROR(__xludf.DUMMYFUNCTION("""COMPUTED_VALUE"""),"LT1Q1501W2II1")</f>
        <v>LT1Q1501W2II1</v>
      </c>
      <c r="F3920" s="238" t="str">
        <f>IFERROR(__xludf.DUMMYFUNCTION("""COMPUTED_VALUE"""),"DPC3G19,TLD1J93")</f>
        <v>DPC3G19,TLD1J93</v>
      </c>
      <c r="G3920" s="238">
        <f>IFERROR(__xludf.DUMMYFUNCTION("""COMPUTED_VALUE"""),46027.95833333333)</f>
        <v>46027.95833</v>
      </c>
      <c r="H3920" s="238">
        <f>IFERROR(__xludf.DUMMYFUNCTION("""COMPUTED_VALUE"""),46028.04166666667)</f>
        <v>46028.04167</v>
      </c>
      <c r="I3920" s="237" t="str">
        <f t="shared" si="1"/>
        <v>Fora</v>
      </c>
      <c r="J3920" s="239">
        <v>119.99999999301508</v>
      </c>
    </row>
    <row r="3921">
      <c r="A3921" s="234" t="s">
        <v>5138</v>
      </c>
      <c r="B3921" s="234" t="str">
        <f>IFERROR(__xludf.DUMMYFUNCTION("""COMPUTED_VALUE"""),"LM Hub_SP_Araraquara")</f>
        <v>LM Hub_SP_Araraquara</v>
      </c>
      <c r="C3921" s="234" t="str">
        <f>IFERROR(__xludf.DUMMYFUNCTION("""COMPUTED_VALUE"""),"HUB-LSP-29")</f>
        <v>HUB-LSP-29</v>
      </c>
      <c r="D3921" s="234">
        <f>IFERROR(__xludf.DUMMYFUNCTION("""COMPUTED_VALUE"""),37.0)</f>
        <v>37</v>
      </c>
      <c r="E3921" s="237" t="str">
        <f>IFERROR(__xludf.DUMMYFUNCTION("""COMPUTED_VALUE"""),"LT0Q1501VFN41")</f>
        <v>LT0Q1501VFN41</v>
      </c>
      <c r="F3921" s="238" t="str">
        <f>IFERROR(__xludf.DUMMYFUNCTION("""COMPUTED_VALUE"""),"EPU0B23")</f>
        <v>EPU0B23</v>
      </c>
      <c r="G3921" s="238">
        <f>IFERROR(__xludf.DUMMYFUNCTION("""COMPUTED_VALUE"""),46027.97916666667)</f>
        <v>46027.97917</v>
      </c>
      <c r="H3921" s="238">
        <f>IFERROR(__xludf.DUMMYFUNCTION("""COMPUTED_VALUE"""),46028.0625)</f>
        <v>46028.0625</v>
      </c>
      <c r="I3921" s="237" t="str">
        <f t="shared" si="1"/>
        <v>Fora</v>
      </c>
      <c r="J3921" s="239">
        <v>119.99999999301508</v>
      </c>
    </row>
    <row r="3922">
      <c r="A3922" s="234" t="s">
        <v>5139</v>
      </c>
      <c r="B3922" s="234" t="str">
        <f>IFERROR(__xludf.DUMMYFUNCTION("""COMPUTED_VALUE"""),"LM Hub_SP_Atibaia_Ponte_Alta")</f>
        <v>LM Hub_SP_Atibaia_Ponte_Alta</v>
      </c>
      <c r="C3922" s="234" t="str">
        <f>IFERROR(__xludf.DUMMYFUNCTION("""COMPUTED_VALUE"""),"HUB-LSP-87")</f>
        <v>HUB-LSP-87</v>
      </c>
      <c r="D3922" s="234">
        <f>IFERROR(__xludf.DUMMYFUNCTION("""COMPUTED_VALUE"""),12.0)</f>
        <v>12</v>
      </c>
      <c r="E3922" s="237" t="str">
        <f>IFERROR(__xludf.DUMMYFUNCTION("""COMPUTED_VALUE"""),"LT0Q1501VJKF1")</f>
        <v>LT0Q1501VJKF1</v>
      </c>
      <c r="F3922" s="238" t="str">
        <f>IFERROR(__xludf.DUMMYFUNCTION("""COMPUTED_VALUE"""),"JBO1I53")</f>
        <v>JBO1I53</v>
      </c>
      <c r="G3922" s="238">
        <f>IFERROR(__xludf.DUMMYFUNCTION("""COMPUTED_VALUE"""),46027.97916666667)</f>
        <v>46027.97917</v>
      </c>
      <c r="H3922" s="238">
        <f>IFERROR(__xludf.DUMMYFUNCTION("""COMPUTED_VALUE"""),46028.0625)</f>
        <v>46028.0625</v>
      </c>
      <c r="I3922" s="237" t="str">
        <f t="shared" si="1"/>
        <v>Fora</v>
      </c>
      <c r="J3922" s="239">
        <v>119.99999999301508</v>
      </c>
    </row>
    <row r="3923">
      <c r="A3923" s="234" t="s">
        <v>5140</v>
      </c>
      <c r="B3923" s="234" t="str">
        <f>IFERROR(__xludf.DUMMYFUNCTION("""COMPUTED_VALUE"""),"LM Hub_SP_Várzea Paulista")</f>
        <v>LM Hub_SP_Várzea Paulista</v>
      </c>
      <c r="C3923" s="234" t="str">
        <f>IFERROR(__xludf.DUMMYFUNCTION("""COMPUTED_VALUE"""),"HUB-LSP-61")</f>
        <v>HUB-LSP-61</v>
      </c>
      <c r="D3923" s="234">
        <f>IFERROR(__xludf.DUMMYFUNCTION("""COMPUTED_VALUE"""),16.0)</f>
        <v>16</v>
      </c>
      <c r="E3923" s="237" t="str">
        <f>IFERROR(__xludf.DUMMYFUNCTION("""COMPUTED_VALUE"""),"LT0Q1501VFM71")</f>
        <v>LT0Q1501VFM71</v>
      </c>
      <c r="F3923" s="238" t="str">
        <f>IFERROR(__xludf.DUMMYFUNCTION("""COMPUTED_VALUE"""),"RJG8E37,FCG5D30")</f>
        <v>RJG8E37,FCG5D30</v>
      </c>
      <c r="G3923" s="238">
        <f>IFERROR(__xludf.DUMMYFUNCTION("""COMPUTED_VALUE"""),46027.97916666667)</f>
        <v>46027.97917</v>
      </c>
      <c r="H3923" s="238">
        <f>IFERROR(__xludf.DUMMYFUNCTION("""COMPUTED_VALUE"""),46028.0625)</f>
        <v>46028.0625</v>
      </c>
      <c r="I3923" s="237" t="str">
        <f t="shared" si="1"/>
        <v>Fora</v>
      </c>
      <c r="J3923" s="239">
        <v>119.99999999301508</v>
      </c>
    </row>
    <row r="3924">
      <c r="A3924" s="234" t="s">
        <v>5141</v>
      </c>
      <c r="B3924" s="234" t="str">
        <f>IFERROR(__xludf.DUMMYFUNCTION("""COMPUTED_VALUE"""),"LM Hub_RJ_Ilha do Governador")</f>
        <v>LM Hub_RJ_Ilha do Governador</v>
      </c>
      <c r="C3924" s="234" t="str">
        <f>IFERROR(__xludf.DUMMYFUNCTION("""COMPUTED_VALUE"""),"HUB-LRJ-32")</f>
        <v>HUB-LRJ-32</v>
      </c>
      <c r="D3924" s="234">
        <f>IFERROR(__xludf.DUMMYFUNCTION("""COMPUTED_VALUE"""),13.0)</f>
        <v>13</v>
      </c>
      <c r="E3924" s="237" t="str">
        <f>IFERROR(__xludf.DUMMYFUNCTION("""COMPUTED_VALUE"""),"LT0Q1601VLH91")</f>
        <v>LT0Q1601VLH91</v>
      </c>
      <c r="F3924" s="238" t="str">
        <f>IFERROR(__xludf.DUMMYFUNCTION("""COMPUTED_VALUE"""),"EXU6A75")</f>
        <v>EXU6A75</v>
      </c>
      <c r="G3924" s="238">
        <f>IFERROR(__xludf.DUMMYFUNCTION("""COMPUTED_VALUE"""),46028.0)</f>
        <v>46028</v>
      </c>
      <c r="H3924" s="238">
        <f>IFERROR(__xludf.DUMMYFUNCTION("""COMPUTED_VALUE"""),46028.08333333333)</f>
        <v>46028.08333</v>
      </c>
      <c r="I3924" s="237" t="str">
        <f t="shared" si="1"/>
        <v>Fora</v>
      </c>
      <c r="J3924" s="239">
        <v>119.99999999301508</v>
      </c>
    </row>
    <row r="3925">
      <c r="A3925" s="234" t="s">
        <v>5142</v>
      </c>
      <c r="B3925" s="234" t="str">
        <f>IFERROR(__xludf.DUMMYFUNCTION("""COMPUTED_VALUE"""),"LM Hub_SP Artur Alvim")</f>
        <v>LM Hub_SP Artur Alvim</v>
      </c>
      <c r="C3925" s="234" t="str">
        <f>IFERROR(__xludf.DUMMYFUNCTION("""COMPUTED_VALUE"""),"-")</f>
        <v>-</v>
      </c>
      <c r="D3925" s="234"/>
      <c r="E3925" s="237" t="str">
        <f>IFERROR(__xludf.DUMMYFUNCTION("""COMPUTED_VALUE"""),"LT1Q1501W2LJ1")</f>
        <v>LT1Q1501W2LJ1</v>
      </c>
      <c r="F3925" s="238" t="str">
        <f>IFERROR(__xludf.DUMMYFUNCTION("""COMPUTED_VALUE"""),"EMN6E91")</f>
        <v>EMN6E91</v>
      </c>
      <c r="G3925" s="238">
        <f>IFERROR(__xludf.DUMMYFUNCTION("""COMPUTED_VALUE"""),46028.0)</f>
        <v>46028</v>
      </c>
      <c r="H3925" s="238">
        <f>IFERROR(__xludf.DUMMYFUNCTION("""COMPUTED_VALUE"""),46028.08333333333)</f>
        <v>46028.08333</v>
      </c>
      <c r="I3925" s="237" t="str">
        <f t="shared" si="1"/>
        <v>Fora</v>
      </c>
      <c r="J3925" s="239">
        <v>119.99999999301508</v>
      </c>
    </row>
    <row r="3926">
      <c r="A3926" s="234" t="s">
        <v>5143</v>
      </c>
      <c r="B3926" s="234" t="str">
        <f>IFERROR(__xludf.DUMMYFUNCTION("""COMPUTED_VALUE"""),"SoC_PR_Curitiba")</f>
        <v>SoC_PR_Curitiba</v>
      </c>
      <c r="C3926" s="234" t="str">
        <f>IFERROR(__xludf.DUMMYFUNCTION("""COMPUTED_VALUE"""),"SOC-PR1")</f>
        <v>SOC-PR1</v>
      </c>
      <c r="D3926" s="234">
        <f>IFERROR(__xludf.DUMMYFUNCTION("""COMPUTED_VALUE"""),18.0)</f>
        <v>18</v>
      </c>
      <c r="E3926" s="237" t="str">
        <f>IFERROR(__xludf.DUMMYFUNCTION("""COMPUTED_VALUE"""),"LT0Q1601VFFD1")</f>
        <v>LT0Q1601VFFD1</v>
      </c>
      <c r="F3926" s="238" t="str">
        <f>IFERROR(__xludf.DUMMYFUNCTION("""COMPUTED_VALUE"""),"TAW1D02,BEX8B12")</f>
        <v>TAW1D02,BEX8B12</v>
      </c>
      <c r="G3926" s="238">
        <f>IFERROR(__xludf.DUMMYFUNCTION("""COMPUTED_VALUE"""),46028.0)</f>
        <v>46028</v>
      </c>
      <c r="H3926" s="238">
        <f>IFERROR(__xludf.DUMMYFUNCTION("""COMPUTED_VALUE"""),46028.08333333333)</f>
        <v>46028.08333</v>
      </c>
      <c r="I3926" s="237" t="str">
        <f t="shared" si="1"/>
        <v>Fora</v>
      </c>
      <c r="J3926" s="239">
        <v>119.99999999301508</v>
      </c>
    </row>
    <row r="3927">
      <c r="A3927" s="234" t="s">
        <v>5144</v>
      </c>
      <c r="B3927" s="234" t="str">
        <f>IFERROR(__xludf.DUMMYFUNCTION("""COMPUTED_VALUE"""),"SoC_SP_Louveira")</f>
        <v>SoC_SP_Louveira</v>
      </c>
      <c r="C3927" s="234" t="str">
        <f>IFERROR(__xludf.DUMMYFUNCTION("""COMPUTED_VALUE"""),"SOC-SP7")</f>
        <v>SOC-SP7</v>
      </c>
      <c r="D3927" s="234">
        <f>IFERROR(__xludf.DUMMYFUNCTION("""COMPUTED_VALUE"""),26.0)</f>
        <v>26</v>
      </c>
      <c r="E3927" s="237" t="str">
        <f>IFERROR(__xludf.DUMMYFUNCTION("""COMPUTED_VALUE"""),"LT1Q1601W2SD1")</f>
        <v>LT1Q1601W2SD1</v>
      </c>
      <c r="F3927" s="238" t="str">
        <f>IFERROR(__xludf.DUMMYFUNCTION("""COMPUTED_VALUE"""),"OKQ9013,OKL2083")</f>
        <v>OKQ9013,OKL2083</v>
      </c>
      <c r="G3927" s="238">
        <f>IFERROR(__xludf.DUMMYFUNCTION("""COMPUTED_VALUE"""),46028.0)</f>
        <v>46028</v>
      </c>
      <c r="H3927" s="238">
        <f>IFERROR(__xludf.DUMMYFUNCTION("""COMPUTED_VALUE"""),46028.08333333333)</f>
        <v>46028.08333</v>
      </c>
      <c r="I3927" s="237" t="str">
        <f t="shared" si="1"/>
        <v>Fora</v>
      </c>
      <c r="J3927" s="239">
        <v>120.00000001396984</v>
      </c>
    </row>
    <row r="3928">
      <c r="A3928" s="234" t="s">
        <v>5145</v>
      </c>
      <c r="B3928" s="234" t="str">
        <f>IFERROR(__xludf.DUMMYFUNCTION("""COMPUTED_VALUE"""),"LM Hub_MG_Varginha_Fausto")</f>
        <v>LM Hub_MG_Varginha_Fausto</v>
      </c>
      <c r="C3928" s="234" t="str">
        <f>IFERROR(__xludf.DUMMYFUNCTION("""COMPUTED_VALUE"""),"HUB-LMG-45")</f>
        <v>HUB-LMG-45</v>
      </c>
      <c r="D3928" s="234">
        <f>IFERROR(__xludf.DUMMYFUNCTION("""COMPUTED_VALUE"""),7.0)</f>
        <v>7</v>
      </c>
      <c r="E3928" s="237" t="str">
        <f>IFERROR(__xludf.DUMMYFUNCTION("""COMPUTED_VALUE"""),"LT0Q1601VKWW1")</f>
        <v>LT0Q1601VKWW1</v>
      </c>
      <c r="F3928" s="238" t="str">
        <f>IFERROR(__xludf.DUMMYFUNCTION("""COMPUTED_VALUE"""),"GGK6J35")</f>
        <v>GGK6J35</v>
      </c>
      <c r="G3928" s="238">
        <f>IFERROR(__xludf.DUMMYFUNCTION("""COMPUTED_VALUE"""),46028.02083333333)</f>
        <v>46028.02083</v>
      </c>
      <c r="H3928" s="238">
        <f>IFERROR(__xludf.DUMMYFUNCTION("""COMPUTED_VALUE"""),46028.10416666667)</f>
        <v>46028.10417</v>
      </c>
      <c r="I3928" s="237" t="str">
        <f t="shared" si="1"/>
        <v>Fora</v>
      </c>
      <c r="J3928" s="239">
        <v>119.99999999301508</v>
      </c>
    </row>
    <row r="3929">
      <c r="A3929" s="234" t="s">
        <v>5146</v>
      </c>
      <c r="B3929" s="234" t="str">
        <f>IFERROR(__xludf.DUMMYFUNCTION("""COMPUTED_VALUE"""),"SoC_BA_Simoes Filho")</f>
        <v>SoC_BA_Simoes Filho</v>
      </c>
      <c r="C3929" s="234" t="str">
        <f>IFERROR(__xludf.DUMMYFUNCTION("""COMPUTED_VALUE"""),"SOC-BA2")</f>
        <v>SOC-BA2</v>
      </c>
      <c r="D3929" s="234"/>
      <c r="E3929" s="237" t="str">
        <f>IFERROR(__xludf.DUMMYFUNCTION("""COMPUTED_VALUE"""),"LT1Q1601W2YV1")</f>
        <v>LT1Q1601W2YV1</v>
      </c>
      <c r="F3929" s="238" t="str">
        <f>IFERROR(__xludf.DUMMYFUNCTION("""COMPUTED_VALUE"""),"TFJ4A46,TXK8G69")</f>
        <v>TFJ4A46,TXK8G69</v>
      </c>
      <c r="G3929" s="238">
        <f>IFERROR(__xludf.DUMMYFUNCTION("""COMPUTED_VALUE"""),46028.04166666667)</f>
        <v>46028.04167</v>
      </c>
      <c r="H3929" s="238">
        <f>IFERROR(__xludf.DUMMYFUNCTION("""COMPUTED_VALUE"""),46028.125)</f>
        <v>46028.125</v>
      </c>
      <c r="I3929" s="237" t="str">
        <f t="shared" si="1"/>
        <v>Fora</v>
      </c>
      <c r="J3929" s="239">
        <v>119.99999999301508</v>
      </c>
    </row>
    <row r="3930">
      <c r="A3930" s="234" t="s">
        <v>5147</v>
      </c>
      <c r="B3930" s="234" t="str">
        <f>IFERROR(__xludf.DUMMYFUNCTION("""COMPUTED_VALUE"""),"SoC_MG_Betim")</f>
        <v>SoC_MG_Betim</v>
      </c>
      <c r="C3930" s="234" t="str">
        <f>IFERROR(__xludf.DUMMYFUNCTION("""COMPUTED_VALUE"""),"SOC-MG2")</f>
        <v>SOC-MG2</v>
      </c>
      <c r="D3930" s="234" t="str">
        <f>IFERROR(__xludf.DUMMYFUNCTION("""COMPUTED_VALUE"""),"91/113")</f>
        <v>91/113</v>
      </c>
      <c r="E3930" s="237" t="str">
        <f>IFERROR(__xludf.DUMMYFUNCTION("""COMPUTED_VALUE"""),"LT1Q1601W2IJ1")</f>
        <v>LT1Q1601W2IJ1</v>
      </c>
      <c r="F3930" s="238" t="str">
        <f>IFERROR(__xludf.DUMMYFUNCTION("""COMPUTED_VALUE"""),"JBC2B39,JXA5569")</f>
        <v>JBC2B39,JXA5569</v>
      </c>
      <c r="G3930" s="238">
        <f>IFERROR(__xludf.DUMMYFUNCTION("""COMPUTED_VALUE"""),46028.04166666667)</f>
        <v>46028.04167</v>
      </c>
      <c r="H3930" s="238">
        <f>IFERROR(__xludf.DUMMYFUNCTION("""COMPUTED_VALUE"""),46028.125)</f>
        <v>46028.125</v>
      </c>
      <c r="I3930" s="237" t="str">
        <f t="shared" si="1"/>
        <v>Fora</v>
      </c>
      <c r="J3930" s="239">
        <v>119.99999999301508</v>
      </c>
    </row>
    <row r="3931">
      <c r="A3931" s="234" t="s">
        <v>5148</v>
      </c>
      <c r="B3931" s="234" t="str">
        <f>IFERROR(__xludf.DUMMYFUNCTION("""COMPUTED_VALUE"""),"SoC_SP_Guarulhos")</f>
        <v>SoC_SP_Guarulhos</v>
      </c>
      <c r="C3931" s="234" t="str">
        <f>IFERROR(__xludf.DUMMYFUNCTION("""COMPUTED_VALUE"""),"SOC-SP6")</f>
        <v>SOC-SP6</v>
      </c>
      <c r="D3931" s="234">
        <f>IFERROR(__xludf.DUMMYFUNCTION("""COMPUTED_VALUE"""),19.0)</f>
        <v>19</v>
      </c>
      <c r="E3931" s="237" t="str">
        <f>IFERROR(__xludf.DUMMYFUNCTION("""COMPUTED_VALUE"""),"LT0Q1601VGGG1")</f>
        <v>LT0Q1601VGGG1</v>
      </c>
      <c r="F3931" s="238" t="str">
        <f>IFERROR(__xludf.DUMMYFUNCTION("""COMPUTED_VALUE"""),"EMU7J50,MDL1B13")</f>
        <v>EMU7J50,MDL1B13</v>
      </c>
      <c r="G3931" s="238">
        <f>IFERROR(__xludf.DUMMYFUNCTION("""COMPUTED_VALUE"""),46028.04166666667)</f>
        <v>46028.04167</v>
      </c>
      <c r="H3931" s="238">
        <f>IFERROR(__xludf.DUMMYFUNCTION("""COMPUTED_VALUE"""),46028.125)</f>
        <v>46028.125</v>
      </c>
      <c r="I3931" s="237" t="str">
        <f t="shared" si="1"/>
        <v>Fora</v>
      </c>
      <c r="J3931" s="239">
        <v>480.00000001396984</v>
      </c>
    </row>
    <row r="3932">
      <c r="A3932" s="234" t="s">
        <v>641</v>
      </c>
      <c r="B3932" s="234" t="str">
        <f>IFERROR(__xludf.DUMMYFUNCTION("""COMPUTED_VALUE"""),"SoC_SP_Cravinhos")</f>
        <v>SoC_SP_Cravinhos</v>
      </c>
      <c r="C3932" s="234" t="str">
        <f>IFERROR(__xludf.DUMMYFUNCTION("""COMPUTED_VALUE"""),"SOC-SP5")</f>
        <v>SOC-SP5</v>
      </c>
      <c r="D3932" s="234">
        <f>IFERROR(__xludf.DUMMYFUNCTION("""COMPUTED_VALUE"""),94.0)</f>
        <v>94</v>
      </c>
      <c r="E3932" s="237" t="str">
        <f>IFERROR(__xludf.DUMMYFUNCTION("""COMPUTED_VALUE"""),"LT1Q1501W2LH1")</f>
        <v>LT1Q1501W2LH1</v>
      </c>
      <c r="F3932" s="238" t="str">
        <f>IFERROR(__xludf.DUMMYFUNCTION("""COMPUTED_VALUE"""),"EQN2H35,ERS9J88")</f>
        <v>EQN2H35,ERS9J88</v>
      </c>
      <c r="G3932" s="238">
        <f>IFERROR(__xludf.DUMMYFUNCTION("""COMPUTED_VALUE"""),46027.83333333333)</f>
        <v>46027.83333</v>
      </c>
      <c r="H3932" s="238">
        <f>IFERROR(__xludf.DUMMYFUNCTION("""COMPUTED_VALUE"""),46028.16666666667)</f>
        <v>46028.16667</v>
      </c>
      <c r="I3932" s="237" t="str">
        <f t="shared" si="1"/>
        <v>Fora</v>
      </c>
      <c r="J3932" s="239">
        <v>120.00000001396984</v>
      </c>
    </row>
    <row r="3933">
      <c r="A3933" s="234" t="s">
        <v>5149</v>
      </c>
      <c r="B3933" s="234" t="str">
        <f>IFERROR(__xludf.DUMMYFUNCTION("""COMPUTED_VALUE"""),"SoC_GO_Goiânia_02")</f>
        <v>SoC_GO_Goiânia_02</v>
      </c>
      <c r="C3933" s="234" t="str">
        <f>IFERROR(__xludf.DUMMYFUNCTION("""COMPUTED_VALUE"""),"SOC-GO2")</f>
        <v>SOC-GO2</v>
      </c>
      <c r="D3933" s="234" t="str">
        <f>IFERROR(__xludf.DUMMYFUNCTION("""COMPUTED_VALUE"""),"87/16")</f>
        <v>87/16</v>
      </c>
      <c r="E3933" s="237" t="str">
        <f>IFERROR(__xludf.DUMMYFUNCTION("""COMPUTED_VALUE"""),"LT1Q1601W2YY1")</f>
        <v>LT1Q1601W2YY1</v>
      </c>
      <c r="F3933" s="238" t="str">
        <f>IFERROR(__xludf.DUMMYFUNCTION("""COMPUTED_VALUE"""),"DVT9G73,GRA7B90")</f>
        <v>DVT9G73,GRA7B90</v>
      </c>
      <c r="G3933" s="238">
        <f>IFERROR(__xludf.DUMMYFUNCTION("""COMPUTED_VALUE"""),46028.08333333333)</f>
        <v>46028.08333</v>
      </c>
      <c r="H3933" s="238">
        <f>IFERROR(__xludf.DUMMYFUNCTION("""COMPUTED_VALUE"""),46028.16666666667)</f>
        <v>46028.16667</v>
      </c>
      <c r="I3933" s="237" t="str">
        <f t="shared" si="1"/>
        <v>Fora</v>
      </c>
      <c r="J3933" s="239">
        <v>120.00000001396984</v>
      </c>
    </row>
    <row r="3934">
      <c r="A3934" s="234" t="s">
        <v>5150</v>
      </c>
      <c r="B3934" s="234" t="str">
        <f>IFERROR(__xludf.DUMMYFUNCTION("""COMPUTED_VALUE"""),"SoC_PE_Jaboatão dos Guararapes")</f>
        <v>SoC_PE_Jaboatão dos Guararapes</v>
      </c>
      <c r="C3934" s="234" t="str">
        <f>IFERROR(__xludf.DUMMYFUNCTION("""COMPUTED_VALUE"""),"SOC-PE2")</f>
        <v>SOC-PE2</v>
      </c>
      <c r="D3934" s="234"/>
      <c r="E3934" s="237" t="str">
        <f>IFERROR(__xludf.DUMMYFUNCTION("""COMPUTED_VALUE"""),"LT1Q1601W2YT1")</f>
        <v>LT1Q1601W2YT1</v>
      </c>
      <c r="F3934" s="238" t="str">
        <f>IFERROR(__xludf.DUMMYFUNCTION("""COMPUTED_VALUE"""),"OYH4G07,TEW2C40")</f>
        <v>OYH4G07,TEW2C40</v>
      </c>
      <c r="G3934" s="238">
        <f>IFERROR(__xludf.DUMMYFUNCTION("""COMPUTED_VALUE"""),46028.08333333333)</f>
        <v>46028.08333</v>
      </c>
      <c r="H3934" s="238">
        <f>IFERROR(__xludf.DUMMYFUNCTION("""COMPUTED_VALUE"""),46028.16666666667)</f>
        <v>46028.16667</v>
      </c>
      <c r="I3934" s="237" t="str">
        <f t="shared" si="1"/>
        <v>Fora</v>
      </c>
      <c r="J3934" s="239">
        <v>120.00000001396984</v>
      </c>
    </row>
    <row r="3935">
      <c r="A3935" s="234" t="s">
        <v>5151</v>
      </c>
      <c r="B3935" s="234" t="str">
        <f>IFERROR(__xludf.DUMMYFUNCTION("""COMPUTED_VALUE"""),"SoC_RS_Gravataí_02")</f>
        <v>SoC_RS_Gravataí_02</v>
      </c>
      <c r="C3935" s="234" t="str">
        <f>IFERROR(__xludf.DUMMYFUNCTION("""COMPUTED_VALUE"""),"SOC-RS2")</f>
        <v>SOC-RS2</v>
      </c>
      <c r="D3935" s="234"/>
      <c r="E3935" s="237" t="str">
        <f>IFERROR(__xludf.DUMMYFUNCTION("""COMPUTED_VALUE"""),"LT1Q1601W2YX1")</f>
        <v>LT1Q1601W2YX1</v>
      </c>
      <c r="F3935" s="238" t="str">
        <f>IFERROR(__xludf.DUMMYFUNCTION("""COMPUTED_VALUE"""),"EML5A22,UDS2G90")</f>
        <v>EML5A22,UDS2G90</v>
      </c>
      <c r="G3935" s="238">
        <f>IFERROR(__xludf.DUMMYFUNCTION("""COMPUTED_VALUE"""),46028.08333333333)</f>
        <v>46028.08333</v>
      </c>
      <c r="H3935" s="238">
        <f>IFERROR(__xludf.DUMMYFUNCTION("""COMPUTED_VALUE"""),46028.16666666667)</f>
        <v>46028.16667</v>
      </c>
      <c r="I3935" s="237" t="str">
        <f t="shared" si="1"/>
        <v>Fora</v>
      </c>
      <c r="J3935" s="239">
        <v>119.00000001071021</v>
      </c>
    </row>
    <row r="3936">
      <c r="A3936" s="234" t="s">
        <v>5152</v>
      </c>
      <c r="B3936" s="234" t="str">
        <f>IFERROR(__xludf.DUMMYFUNCTION("""COMPUTED_VALUE"""),"LM Hub_SP_Tatuí")</f>
        <v>LM Hub_SP_Tatuí</v>
      </c>
      <c r="C3936" s="234" t="str">
        <f>IFERROR(__xludf.DUMMYFUNCTION("""COMPUTED_VALUE"""),"HUB-LSP-51")</f>
        <v>HUB-LSP-51</v>
      </c>
      <c r="D3936" s="234">
        <f>IFERROR(__xludf.DUMMYFUNCTION("""COMPUTED_VALUE"""),27.0)</f>
        <v>27</v>
      </c>
      <c r="E3936" s="237" t="str">
        <f>IFERROR(__xludf.DUMMYFUNCTION("""COMPUTED_VALUE"""),"LT0Q1601VFJK1")</f>
        <v>LT0Q1601VFJK1</v>
      </c>
      <c r="F3936" s="238" t="str">
        <f>IFERROR(__xludf.DUMMYFUNCTION("""COMPUTED_VALUE"""),"SWH0E90,TAX1L63")</f>
        <v>SWH0E90,TAX1L63</v>
      </c>
      <c r="G3936" s="238">
        <f>IFERROR(__xludf.DUMMYFUNCTION("""COMPUTED_VALUE"""),46028.084027777775)</f>
        <v>46028.08403</v>
      </c>
      <c r="H3936" s="238">
        <f>IFERROR(__xludf.DUMMYFUNCTION("""COMPUTED_VALUE"""),46028.16666666667)</f>
        <v>46028.16667</v>
      </c>
      <c r="I3936" s="237" t="str">
        <f t="shared" si="1"/>
        <v>Fora</v>
      </c>
      <c r="J3936" s="239">
        <v>119.99999999301508</v>
      </c>
    </row>
    <row r="3937">
      <c r="A3937" s="234" t="s">
        <v>5153</v>
      </c>
      <c r="B3937" s="234" t="str">
        <f>IFERROR(__xludf.DUMMYFUNCTION("""COMPUTED_VALUE"""),"LM Hub_SP_Itapetininga")</f>
        <v>LM Hub_SP_Itapetininga</v>
      </c>
      <c r="C3937" s="234" t="str">
        <f>IFERROR(__xludf.DUMMYFUNCTION("""COMPUTED_VALUE"""),"HUB-LSP-53")</f>
        <v>HUB-LSP-53</v>
      </c>
      <c r="D3937" s="234">
        <f>IFERROR(__xludf.DUMMYFUNCTION("""COMPUTED_VALUE"""),36.0)</f>
        <v>36</v>
      </c>
      <c r="E3937" s="237" t="str">
        <f>IFERROR(__xludf.DUMMYFUNCTION("""COMPUTED_VALUE"""),"LT0Q1601VFJD1")</f>
        <v>LT0Q1601VFJD1</v>
      </c>
      <c r="F3937" s="238" t="str">
        <f>IFERROR(__xludf.DUMMYFUNCTION("""COMPUTED_VALUE"""),"FLQ1E34")</f>
        <v>FLQ1E34</v>
      </c>
      <c r="G3937" s="238">
        <f>IFERROR(__xludf.DUMMYFUNCTION("""COMPUTED_VALUE"""),46028.10416666667)</f>
        <v>46028.10417</v>
      </c>
      <c r="H3937" s="238">
        <f>IFERROR(__xludf.DUMMYFUNCTION("""COMPUTED_VALUE"""),46028.1875)</f>
        <v>46028.1875</v>
      </c>
      <c r="I3937" s="237" t="str">
        <f t="shared" si="1"/>
        <v>Fora</v>
      </c>
      <c r="J3937" s="239">
        <v>119.99999999301508</v>
      </c>
    </row>
    <row r="3938">
      <c r="A3938" s="234" t="s">
        <v>5154</v>
      </c>
      <c r="B3938" s="234" t="str">
        <f>IFERROR(__xludf.DUMMYFUNCTION("""COMPUTED_VALUE"""),"LM Hub_SP_São Carlos")</f>
        <v>LM Hub_SP_São Carlos</v>
      </c>
      <c r="C3938" s="234" t="str">
        <f>IFERROR(__xludf.DUMMYFUNCTION("""COMPUTED_VALUE"""),"HUB-LSP-31")</f>
        <v>HUB-LSP-31</v>
      </c>
      <c r="D3938" s="234">
        <f>IFERROR(__xludf.DUMMYFUNCTION("""COMPUTED_VALUE"""),12.0)</f>
        <v>12</v>
      </c>
      <c r="E3938" s="237" t="str">
        <f>IFERROR(__xludf.DUMMYFUNCTION("""COMPUTED_VALUE"""),"LT0Q1601VFMJ1")</f>
        <v>LT0Q1601VFMJ1</v>
      </c>
      <c r="F3938" s="238" t="str">
        <f>IFERROR(__xludf.DUMMYFUNCTION("""COMPUTED_VALUE"""),"EMU0401")</f>
        <v>EMU0401</v>
      </c>
      <c r="G3938" s="238">
        <f>IFERROR(__xludf.DUMMYFUNCTION("""COMPUTED_VALUE"""),46028.10416666667)</f>
        <v>46028.10417</v>
      </c>
      <c r="H3938" s="238">
        <f>IFERROR(__xludf.DUMMYFUNCTION("""COMPUTED_VALUE"""),46028.1875)</f>
        <v>46028.1875</v>
      </c>
      <c r="I3938" s="237" t="str">
        <f t="shared" si="1"/>
        <v>Fora</v>
      </c>
      <c r="J3938" s="239">
        <v>479.9999999930151</v>
      </c>
    </row>
    <row r="3939">
      <c r="A3939" s="234" t="s">
        <v>5155</v>
      </c>
      <c r="B3939" s="234" t="str">
        <f>IFERROR(__xludf.DUMMYFUNCTION("""COMPUTED_VALUE"""),"SoC_RJ_Duque de Caxias")</f>
        <v>SoC_RJ_Duque de Caxias</v>
      </c>
      <c r="C3939" s="234" t="str">
        <f>IFERROR(__xludf.DUMMYFUNCTION("""COMPUTED_VALUE"""),"SOC-RJ2")</f>
        <v>SOC-RJ2</v>
      </c>
      <c r="D3939" s="234">
        <f>IFERROR(__xludf.DUMMYFUNCTION("""COMPUTED_VALUE"""),97.0)</f>
        <v>97</v>
      </c>
      <c r="E3939" s="237" t="str">
        <f>IFERROR(__xludf.DUMMYFUNCTION("""COMPUTED_VALUE"""),"LT1Q1501W2IE1")</f>
        <v>LT1Q1501W2IE1</v>
      </c>
      <c r="F3939" s="238" t="str">
        <f>IFERROR(__xludf.DUMMYFUNCTION("""COMPUTED_VALUE"""),"OVB9B40,EFW2H14")</f>
        <v>OVB9B40,EFW2H14</v>
      </c>
      <c r="G3939" s="238">
        <f>IFERROR(__xludf.DUMMYFUNCTION("""COMPUTED_VALUE"""),46027.875)</f>
        <v>46027.875</v>
      </c>
      <c r="H3939" s="238">
        <f>IFERROR(__xludf.DUMMYFUNCTION("""COMPUTED_VALUE"""),46028.20833333333)</f>
        <v>46028.20833</v>
      </c>
      <c r="I3939" s="237" t="str">
        <f t="shared" si="1"/>
        <v>Fora</v>
      </c>
      <c r="J3939" s="239">
        <v>119.99999999301508</v>
      </c>
    </row>
    <row r="3940">
      <c r="A3940" s="234" t="s">
        <v>5156</v>
      </c>
      <c r="B3940" s="234" t="str">
        <f>IFERROR(__xludf.DUMMYFUNCTION("""COMPUTED_VALUE"""),"LM Hub_SP_Itapeva")</f>
        <v>LM Hub_SP_Itapeva</v>
      </c>
      <c r="C3940" s="234" t="str">
        <f>IFERROR(__xludf.DUMMYFUNCTION("""COMPUTED_VALUE"""),"HUB-LSP-39")</f>
        <v>HUB-LSP-39</v>
      </c>
      <c r="D3940" s="234">
        <f>IFERROR(__xludf.DUMMYFUNCTION("""COMPUTED_VALUE"""),29.0)</f>
        <v>29</v>
      </c>
      <c r="E3940" s="237" t="str">
        <f>IFERROR(__xludf.DUMMYFUNCTION("""COMPUTED_VALUE"""),"LT0Q1601VFJO1")</f>
        <v>LT0Q1601VFJO1</v>
      </c>
      <c r="F3940" s="238" t="str">
        <f>IFERROR(__xludf.DUMMYFUNCTION("""COMPUTED_VALUE"""),"FCT0F31")</f>
        <v>FCT0F31</v>
      </c>
      <c r="G3940" s="238">
        <f>IFERROR(__xludf.DUMMYFUNCTION("""COMPUTED_VALUE"""),46028.125)</f>
        <v>46028.125</v>
      </c>
      <c r="H3940" s="238">
        <f>IFERROR(__xludf.DUMMYFUNCTION("""COMPUTED_VALUE"""),46028.20833333333)</f>
        <v>46028.20833</v>
      </c>
      <c r="I3940" s="237" t="str">
        <f t="shared" si="1"/>
        <v>Fora</v>
      </c>
      <c r="J3940" s="239">
        <v>119.99999999301508</v>
      </c>
    </row>
    <row r="3941">
      <c r="A3941" s="234" t="s">
        <v>5157</v>
      </c>
      <c r="B3941" s="234" t="str">
        <f>IFERROR(__xludf.DUMMYFUNCTION("""COMPUTED_VALUE"""),"LM Hub_SP_Sumaré_Nova Veneza_1")</f>
        <v>LM Hub_SP_Sumaré_Nova Veneza_1</v>
      </c>
      <c r="C3941" s="234" t="str">
        <f>IFERROR(__xludf.DUMMYFUNCTION("""COMPUTED_VALUE"""),"HUB-LSP-88")</f>
        <v>HUB-LSP-88</v>
      </c>
      <c r="D3941" s="234">
        <f>IFERROR(__xludf.DUMMYFUNCTION("""COMPUTED_VALUE"""),47.0)</f>
        <v>47</v>
      </c>
      <c r="E3941" s="237" t="str">
        <f>IFERROR(__xludf.DUMMYFUNCTION("""COMPUTED_VALUE"""),"LT0Q1601VKT31")</f>
        <v>LT0Q1601VKT31</v>
      </c>
      <c r="F3941" s="238" t="str">
        <f>IFERROR(__xludf.DUMMYFUNCTION("""COMPUTED_VALUE"""),"CSN7991")</f>
        <v>CSN7991</v>
      </c>
      <c r="G3941" s="238">
        <f>IFERROR(__xludf.DUMMYFUNCTION("""COMPUTED_VALUE"""),46028.125)</f>
        <v>46028.125</v>
      </c>
      <c r="H3941" s="238">
        <f>IFERROR(__xludf.DUMMYFUNCTION("""COMPUTED_VALUE"""),46028.20833333333)</f>
        <v>46028.20833</v>
      </c>
      <c r="I3941" s="237" t="str">
        <f t="shared" si="1"/>
        <v>Fora</v>
      </c>
      <c r="J3941" s="239">
        <v>119.99999999301508</v>
      </c>
    </row>
    <row r="3942">
      <c r="A3942" s="234" t="s">
        <v>5158</v>
      </c>
      <c r="B3942" s="234" t="str">
        <f>IFERROR(__xludf.DUMMYFUNCTION("""COMPUTED_VALUE"""),"SoC_BA_Simoes Filho")</f>
        <v>SoC_BA_Simoes Filho</v>
      </c>
      <c r="C3942" s="234" t="str">
        <f>IFERROR(__xludf.DUMMYFUNCTION("""COMPUTED_VALUE"""),"SOC-BA2")</f>
        <v>SOC-BA2</v>
      </c>
      <c r="D3942" s="234"/>
      <c r="E3942" s="237" t="str">
        <f>IFERROR(__xludf.DUMMYFUNCTION("""COMPUTED_VALUE"""),"LT1Q1601W2YW1")</f>
        <v>LT1Q1601W2YW1</v>
      </c>
      <c r="F3942" s="238" t="str">
        <f>IFERROR(__xludf.DUMMYFUNCTION("""COMPUTED_VALUE"""),"PKV7754,ELW7823")</f>
        <v>PKV7754,ELW7823</v>
      </c>
      <c r="G3942" s="238">
        <f>IFERROR(__xludf.DUMMYFUNCTION("""COMPUTED_VALUE"""),46028.125)</f>
        <v>46028.125</v>
      </c>
      <c r="H3942" s="238">
        <f>IFERROR(__xludf.DUMMYFUNCTION("""COMPUTED_VALUE"""),46028.20833333333)</f>
        <v>46028.20833</v>
      </c>
      <c r="I3942" s="237" t="str">
        <f t="shared" si="1"/>
        <v>Fora</v>
      </c>
      <c r="J3942" s="239">
        <v>119.99999999301508</v>
      </c>
    </row>
    <row r="3943">
      <c r="A3943" s="234" t="s">
        <v>642</v>
      </c>
      <c r="B3943" s="234" t="str">
        <f>IFERROR(__xludf.DUMMYFUNCTION("""COMPUTED_VALUE"""),"SoC_PE_Jaboatão dos Guararapes")</f>
        <v>SoC_PE_Jaboatão dos Guararapes</v>
      </c>
      <c r="C3943" s="234" t="str">
        <f>IFERROR(__xludf.DUMMYFUNCTION("""COMPUTED_VALUE"""),"SOC-PE2")</f>
        <v>SOC-PE2</v>
      </c>
      <c r="D3943" s="234">
        <f>IFERROR(__xludf.DUMMYFUNCTION("""COMPUTED_VALUE"""),21.0)</f>
        <v>21</v>
      </c>
      <c r="E3943" s="237" t="str">
        <f>IFERROR(__xludf.DUMMYFUNCTION("""COMPUTED_VALUE"""),"LT1Q1601W2IK1")</f>
        <v>LT1Q1601W2IK1</v>
      </c>
      <c r="F3943" s="238" t="str">
        <f>IFERROR(__xludf.DUMMYFUNCTION("""COMPUTED_VALUE"""),"EPU6J16,UDJ2D80")</f>
        <v>EPU6J16,UDJ2D80</v>
      </c>
      <c r="G3943" s="238">
        <f>IFERROR(__xludf.DUMMYFUNCTION("""COMPUTED_VALUE"""),46028.125)</f>
        <v>46028.125</v>
      </c>
      <c r="H3943" s="238">
        <f>IFERROR(__xludf.DUMMYFUNCTION("""COMPUTED_VALUE"""),46028.20833333333)</f>
        <v>46028.20833</v>
      </c>
      <c r="I3943" s="237" t="str">
        <f t="shared" si="1"/>
        <v>Fora</v>
      </c>
      <c r="J3943" s="239">
        <v>119.99999999301508</v>
      </c>
    </row>
    <row r="3944">
      <c r="A3944" s="234" t="s">
        <v>5159</v>
      </c>
      <c r="B3944" s="234" t="str">
        <f>IFERROR(__xludf.DUMMYFUNCTION("""COMPUTED_VALUE"""),"SoC_SP_Louveira")</f>
        <v>SoC_SP_Louveira</v>
      </c>
      <c r="C3944" s="234" t="str">
        <f>IFERROR(__xludf.DUMMYFUNCTION("""COMPUTED_VALUE"""),"SOC-SP7")</f>
        <v>SOC-SP7</v>
      </c>
      <c r="D3944" s="234">
        <f>IFERROR(__xludf.DUMMYFUNCTION("""COMPUTED_VALUE"""),40.0)</f>
        <v>40</v>
      </c>
      <c r="E3944" s="237" t="str">
        <f>IFERROR(__xludf.DUMMYFUNCTION("""COMPUTED_VALUE"""),"LT0Q1601VFGP1")</f>
        <v>LT0Q1601VFGP1</v>
      </c>
      <c r="F3944" s="238" t="str">
        <f>IFERROR(__xludf.DUMMYFUNCTION("""COMPUTED_VALUE"""),"FLT6C13,SVT2E31")</f>
        <v>FLT6C13,SVT2E31</v>
      </c>
      <c r="G3944" s="238">
        <f>IFERROR(__xludf.DUMMYFUNCTION("""COMPUTED_VALUE"""),46028.125)</f>
        <v>46028.125</v>
      </c>
      <c r="H3944" s="238">
        <f>IFERROR(__xludf.DUMMYFUNCTION("""COMPUTED_VALUE"""),46028.20833333333)</f>
        <v>46028.20833</v>
      </c>
      <c r="I3944" s="237" t="str">
        <f t="shared" si="1"/>
        <v>Fora</v>
      </c>
      <c r="J3944" s="239">
        <v>120.00000001396984</v>
      </c>
    </row>
    <row r="3945">
      <c r="A3945" s="234" t="s">
        <v>5160</v>
      </c>
      <c r="B3945" s="234" t="str">
        <f>IFERROR(__xludf.DUMMYFUNCTION("""COMPUTED_VALUE"""),"LM Hub_SP_Campinas_São Martinho")</f>
        <v>LM Hub_SP_Campinas_São Martinho</v>
      </c>
      <c r="C3945" s="234" t="str">
        <f>IFERROR(__xludf.DUMMYFUNCTION("""COMPUTED_VALUE"""),"HUB-LSP-19")</f>
        <v>HUB-LSP-19</v>
      </c>
      <c r="D3945" s="234">
        <f>IFERROR(__xludf.DUMMYFUNCTION("""COMPUTED_VALUE"""),21.0)</f>
        <v>21</v>
      </c>
      <c r="E3945" s="237" t="str">
        <f>IFERROR(__xludf.DUMMYFUNCTION("""COMPUTED_VALUE"""),"LT0Q1601VFNZ1")</f>
        <v>LT0Q1601VFNZ1</v>
      </c>
      <c r="F3945" s="238" t="str">
        <f>IFERROR(__xludf.DUMMYFUNCTION("""COMPUTED_VALUE"""),"DTC8058")</f>
        <v>DTC8058</v>
      </c>
      <c r="G3945" s="238">
        <f>IFERROR(__xludf.DUMMYFUNCTION("""COMPUTED_VALUE"""),46028.14583333333)</f>
        <v>46028.14583</v>
      </c>
      <c r="H3945" s="238">
        <f>IFERROR(__xludf.DUMMYFUNCTION("""COMPUTED_VALUE"""),46028.22916666667)</f>
        <v>46028.22917</v>
      </c>
      <c r="I3945" s="237" t="str">
        <f t="shared" si="1"/>
        <v>Fora</v>
      </c>
      <c r="J3945" s="239">
        <v>120.00000001396984</v>
      </c>
    </row>
    <row r="3946">
      <c r="A3946" s="234" t="s">
        <v>5161</v>
      </c>
      <c r="B3946" s="234" t="str">
        <f>IFERROR(__xludf.DUMMYFUNCTION("""COMPUTED_VALUE"""),"LM Hub_SP_Mogi Mirim")</f>
        <v>LM Hub_SP_Mogi Mirim</v>
      </c>
      <c r="C3946" s="234" t="str">
        <f>IFERROR(__xludf.DUMMYFUNCTION("""COMPUTED_VALUE"""),"HUB-LSP-37")</f>
        <v>HUB-LSP-37</v>
      </c>
      <c r="D3946" s="234">
        <f>IFERROR(__xludf.DUMMYFUNCTION("""COMPUTED_VALUE"""),33.0)</f>
        <v>33</v>
      </c>
      <c r="E3946" s="237" t="str">
        <f>IFERROR(__xludf.DUMMYFUNCTION("""COMPUTED_VALUE"""),"LT0Q1601VFMU1")</f>
        <v>LT0Q1601VFMU1</v>
      </c>
      <c r="F3946" s="238" t="str">
        <f>IFERROR(__xludf.DUMMYFUNCTION("""COMPUTED_VALUE"""),"TAJ5D55")</f>
        <v>TAJ5D55</v>
      </c>
      <c r="G3946" s="238">
        <f>IFERROR(__xludf.DUMMYFUNCTION("""COMPUTED_VALUE"""),46028.14583333333)</f>
        <v>46028.14583</v>
      </c>
      <c r="H3946" s="238">
        <f>IFERROR(__xludf.DUMMYFUNCTION("""COMPUTED_VALUE"""),46028.22916666667)</f>
        <v>46028.22917</v>
      </c>
      <c r="I3946" s="237" t="str">
        <f t="shared" si="1"/>
        <v>Fora</v>
      </c>
      <c r="J3946" s="239">
        <v>120.00000001396984</v>
      </c>
    </row>
    <row r="3947">
      <c r="A3947" s="234" t="s">
        <v>5162</v>
      </c>
      <c r="B3947" s="234" t="str">
        <f>IFERROR(__xludf.DUMMYFUNCTION("""COMPUTED_VALUE"""),"LM Hub_SP_Osasco_02")</f>
        <v>LM Hub_SP_Osasco_02</v>
      </c>
      <c r="C3947" s="234" t="str">
        <f>IFERROR(__xludf.DUMMYFUNCTION("""COMPUTED_VALUE"""),"HUB-LSP-60")</f>
        <v>HUB-LSP-60</v>
      </c>
      <c r="D3947" s="234">
        <f>IFERROR(__xludf.DUMMYFUNCTION("""COMPUTED_VALUE"""),28.0)</f>
        <v>28</v>
      </c>
      <c r="E3947" s="237" t="str">
        <f>IFERROR(__xludf.DUMMYFUNCTION("""COMPUTED_VALUE"""),"LT0Q1601VGN31")</f>
        <v>LT0Q1601VGN31</v>
      </c>
      <c r="F3947" s="238" t="str">
        <f>IFERROR(__xludf.DUMMYFUNCTION("""COMPUTED_VALUE"""),"FEU6H63")</f>
        <v>FEU6H63</v>
      </c>
      <c r="G3947" s="238">
        <f>IFERROR(__xludf.DUMMYFUNCTION("""COMPUTED_VALUE"""),46028.14583333333)</f>
        <v>46028.14583</v>
      </c>
      <c r="H3947" s="238">
        <f>IFERROR(__xludf.DUMMYFUNCTION("""COMPUTED_VALUE"""),46028.22916666667)</f>
        <v>46028.22917</v>
      </c>
      <c r="I3947" s="237" t="str">
        <f t="shared" si="1"/>
        <v>Fora</v>
      </c>
      <c r="J3947" s="239">
        <v>119.00000001071021</v>
      </c>
    </row>
    <row r="3948">
      <c r="A3948" s="234" t="s">
        <v>643</v>
      </c>
      <c r="B3948" s="234" t="str">
        <f>IFERROR(__xludf.DUMMYFUNCTION("""COMPUTED_VALUE"""),"LM Hub_SP_Sorocaba_Região Norte")</f>
        <v>LM Hub_SP_Sorocaba_Região Norte</v>
      </c>
      <c r="C3948" s="234" t="str">
        <f>IFERROR(__xludf.DUMMYFUNCTION("""COMPUTED_VALUE"""),"HUB-LSP-10")</f>
        <v>HUB-LSP-10</v>
      </c>
      <c r="D3948" s="234">
        <f>IFERROR(__xludf.DUMMYFUNCTION("""COMPUTED_VALUE"""),4.0)</f>
        <v>4</v>
      </c>
      <c r="E3948" s="237" t="str">
        <f>IFERROR(__xludf.DUMMYFUNCTION("""COMPUTED_VALUE"""),"LT0Q1601VFLD1")</f>
        <v>LT0Q1601VFLD1</v>
      </c>
      <c r="F3948" s="238" t="str">
        <f>IFERROR(__xludf.DUMMYFUNCTION("""COMPUTED_VALUE"""),"GHJ3E37,OUU8J45")</f>
        <v>GHJ3E37,OUU8J45</v>
      </c>
      <c r="G3948" s="238">
        <f>IFERROR(__xludf.DUMMYFUNCTION("""COMPUTED_VALUE"""),46028.146527777775)</f>
        <v>46028.14653</v>
      </c>
      <c r="H3948" s="238">
        <f>IFERROR(__xludf.DUMMYFUNCTION("""COMPUTED_VALUE"""),46028.22916666667)</f>
        <v>46028.22917</v>
      </c>
      <c r="I3948" s="237" t="str">
        <f t="shared" si="1"/>
        <v>Fora</v>
      </c>
      <c r="J3948" s="239">
        <v>118.00000000745058</v>
      </c>
    </row>
    <row r="3949">
      <c r="A3949" s="234" t="s">
        <v>5163</v>
      </c>
      <c r="B3949" s="234" t="str">
        <f>IFERROR(__xludf.DUMMYFUNCTION("""COMPUTED_VALUE"""),"LM Hub_SP_Sorocaba_Região Norte")</f>
        <v>LM Hub_SP_Sorocaba_Região Norte</v>
      </c>
      <c r="C3949" s="234" t="str">
        <f>IFERROR(__xludf.DUMMYFUNCTION("""COMPUTED_VALUE"""),"HUB-LSP-10")</f>
        <v>HUB-LSP-10</v>
      </c>
      <c r="D3949" s="234">
        <f>IFERROR(__xludf.DUMMYFUNCTION("""COMPUTED_VALUE"""),13.0)</f>
        <v>13</v>
      </c>
      <c r="E3949" s="237" t="str">
        <f>IFERROR(__xludf.DUMMYFUNCTION("""COMPUTED_VALUE"""),"LT0Q1601VFLH1")</f>
        <v>LT0Q1601VFLH1</v>
      </c>
      <c r="F3949" s="238" t="str">
        <f>IFERROR(__xludf.DUMMYFUNCTION("""COMPUTED_VALUE"""),"GJG5D03")</f>
        <v>GJG5D03</v>
      </c>
      <c r="G3949" s="238">
        <f>IFERROR(__xludf.DUMMYFUNCTION("""COMPUTED_VALUE"""),46028.14722222222)</f>
        <v>46028.14722</v>
      </c>
      <c r="H3949" s="238">
        <f>IFERROR(__xludf.DUMMYFUNCTION("""COMPUTED_VALUE"""),46028.22916666667)</f>
        <v>46028.22917</v>
      </c>
      <c r="I3949" s="237" t="str">
        <f t="shared" si="1"/>
        <v>Fora</v>
      </c>
      <c r="J3949" s="239">
        <v>119.99999999301508</v>
      </c>
    </row>
    <row r="3950">
      <c r="A3950" s="234" t="s">
        <v>646</v>
      </c>
      <c r="B3950" s="234" t="str">
        <f>IFERROR(__xludf.DUMMYFUNCTION("""COMPUTED_VALUE"""),"LM Hub_SP_Guaratinguetá")</f>
        <v>LM Hub_SP_Guaratinguetá</v>
      </c>
      <c r="C3950" s="234" t="str">
        <f>IFERROR(__xludf.DUMMYFUNCTION("""COMPUTED_VALUE"""),"HUB-LSP-33")</f>
        <v>HUB-LSP-33</v>
      </c>
      <c r="D3950" s="234">
        <f>IFERROR(__xludf.DUMMYFUNCTION("""COMPUTED_VALUE"""),20.0)</f>
        <v>20</v>
      </c>
      <c r="E3950" s="237" t="str">
        <f>IFERROR(__xludf.DUMMYFUNCTION("""COMPUTED_VALUE"""),"LT0Q1601VFKK1")</f>
        <v>LT0Q1601VFKK1</v>
      </c>
      <c r="F3950" s="238" t="str">
        <f>IFERROR(__xludf.DUMMYFUNCTION("""COMPUTED_VALUE"""),"EKH3880,EKH3800")</f>
        <v>EKH3880,EKH3800</v>
      </c>
      <c r="G3950" s="238">
        <f>IFERROR(__xludf.DUMMYFUNCTION("""COMPUTED_VALUE"""),46028.16666666667)</f>
        <v>46028.16667</v>
      </c>
      <c r="H3950" s="238">
        <f>IFERROR(__xludf.DUMMYFUNCTION("""COMPUTED_VALUE"""),46028.25)</f>
        <v>46028.25</v>
      </c>
      <c r="I3950" s="237" t="str">
        <f t="shared" si="1"/>
        <v>Fora</v>
      </c>
      <c r="J3950" s="239">
        <v>119.99999999301508</v>
      </c>
    </row>
    <row r="3951">
      <c r="A3951" s="234" t="s">
        <v>5164</v>
      </c>
      <c r="B3951" s="234" t="str">
        <f>IFERROR(__xludf.DUMMYFUNCTION("""COMPUTED_VALUE"""),"LM Hub_SP_Limeira_Campo Belo")</f>
        <v>LM Hub_SP_Limeira_Campo Belo</v>
      </c>
      <c r="C3951" s="234" t="str">
        <f>IFERROR(__xludf.DUMMYFUNCTION("""COMPUTED_VALUE"""),"HUB-LSP-24")</f>
        <v>HUB-LSP-24</v>
      </c>
      <c r="D3951" s="234">
        <f>IFERROR(__xludf.DUMMYFUNCTION("""COMPUTED_VALUE"""),23.0)</f>
        <v>23</v>
      </c>
      <c r="E3951" s="237" t="str">
        <f>IFERROR(__xludf.DUMMYFUNCTION("""COMPUTED_VALUE"""),"LT0Q1601VFLS1")</f>
        <v>LT0Q1601VFLS1</v>
      </c>
      <c r="F3951" s="238" t="str">
        <f>IFERROR(__xludf.DUMMYFUNCTION("""COMPUTED_VALUE"""),"TAJ5D56")</f>
        <v>TAJ5D56</v>
      </c>
      <c r="G3951" s="238">
        <f>IFERROR(__xludf.DUMMYFUNCTION("""COMPUTED_VALUE"""),46028.16666666667)</f>
        <v>46028.16667</v>
      </c>
      <c r="H3951" s="238">
        <f>IFERROR(__xludf.DUMMYFUNCTION("""COMPUTED_VALUE"""),46028.25)</f>
        <v>46028.25</v>
      </c>
      <c r="I3951" s="237" t="str">
        <f t="shared" si="1"/>
        <v>Fora</v>
      </c>
      <c r="J3951" s="239">
        <v>119.99999999301508</v>
      </c>
    </row>
    <row r="3952">
      <c r="A3952" s="234" t="s">
        <v>5165</v>
      </c>
      <c r="B3952" s="234" t="str">
        <f>IFERROR(__xludf.DUMMYFUNCTION("""COMPUTED_VALUE"""),"LM Hub_SP_Registro")</f>
        <v>LM Hub_SP_Registro</v>
      </c>
      <c r="C3952" s="234" t="str">
        <f>IFERROR(__xludf.DUMMYFUNCTION("""COMPUTED_VALUE"""),"HUB-LSP-40")</f>
        <v>HUB-LSP-40</v>
      </c>
      <c r="D3952" s="234"/>
      <c r="E3952" s="237" t="str">
        <f>IFERROR(__xludf.DUMMYFUNCTION("""COMPUTED_VALUE"""),"LT0Q1601VFK91")</f>
        <v>LT0Q1601VFK91</v>
      </c>
      <c r="F3952" s="238" t="str">
        <f>IFERROR(__xludf.DUMMYFUNCTION("""COMPUTED_VALUE"""),"DSS2A37")</f>
        <v>DSS2A37</v>
      </c>
      <c r="G3952" s="238">
        <f>IFERROR(__xludf.DUMMYFUNCTION("""COMPUTED_VALUE"""),46028.16666666667)</f>
        <v>46028.16667</v>
      </c>
      <c r="H3952" s="238">
        <f>IFERROR(__xludf.DUMMYFUNCTION("""COMPUTED_VALUE"""),46028.25)</f>
        <v>46028.25</v>
      </c>
      <c r="I3952" s="237" t="str">
        <f t="shared" si="1"/>
        <v>Fora</v>
      </c>
      <c r="J3952" s="239">
        <v>119.99999999301508</v>
      </c>
    </row>
    <row r="3953">
      <c r="A3953" s="234" t="s">
        <v>5166</v>
      </c>
      <c r="B3953" s="234" t="str">
        <f>IFERROR(__xludf.DUMMYFUNCTION("""COMPUTED_VALUE"""),"LM Hub_SP_São Bernardo do Campo")</f>
        <v>LM Hub_SP_São Bernardo do Campo</v>
      </c>
      <c r="C3953" s="234" t="str">
        <f>IFERROR(__xludf.DUMMYFUNCTION("""COMPUTED_VALUE"""),"HUB-LSP-79")</f>
        <v>HUB-LSP-79</v>
      </c>
      <c r="D3953" s="234"/>
      <c r="E3953" s="237" t="str">
        <f>IFERROR(__xludf.DUMMYFUNCTION("""COMPUTED_VALUE"""),"LT0Q1601VR6Y1")</f>
        <v>LT0Q1601VR6Y1</v>
      </c>
      <c r="F3953" s="234"/>
      <c r="G3953" s="238">
        <f>IFERROR(__xludf.DUMMYFUNCTION("""COMPUTED_VALUE"""),46028.16666666667)</f>
        <v>46028.16667</v>
      </c>
      <c r="H3953" s="238">
        <f>IFERROR(__xludf.DUMMYFUNCTION("""COMPUTED_VALUE"""),46028.25)</f>
        <v>46028.25</v>
      </c>
      <c r="I3953" s="237" t="str">
        <f t="shared" si="1"/>
        <v>Fora</v>
      </c>
      <c r="J3953" s="239">
        <v>119.99999999301508</v>
      </c>
    </row>
    <row r="3954">
      <c r="A3954" s="234" t="s">
        <v>645</v>
      </c>
      <c r="B3954" s="234" t="str">
        <f>IFERROR(__xludf.DUMMYFUNCTION("""COMPUTED_VALUE"""),"LM Hub_SP_Várzea Paulista")</f>
        <v>LM Hub_SP_Várzea Paulista</v>
      </c>
      <c r="C3954" s="234" t="str">
        <f>IFERROR(__xludf.DUMMYFUNCTION("""COMPUTED_VALUE"""),"HUB-LSP-61")</f>
        <v>HUB-LSP-61</v>
      </c>
      <c r="D3954" s="234">
        <f>IFERROR(__xludf.DUMMYFUNCTION("""COMPUTED_VALUE"""),7.0)</f>
        <v>7</v>
      </c>
      <c r="E3954" s="237" t="str">
        <f>IFERROR(__xludf.DUMMYFUNCTION("""COMPUTED_VALUE"""),"LT0Q1601VFM21")</f>
        <v>LT0Q1601VFM21</v>
      </c>
      <c r="F3954" s="238" t="str">
        <f>IFERROR(__xludf.DUMMYFUNCTION("""COMPUTED_VALUE"""),"LRU5J40")</f>
        <v>LRU5J40</v>
      </c>
      <c r="G3954" s="238">
        <f>IFERROR(__xludf.DUMMYFUNCTION("""COMPUTED_VALUE"""),46028.16666666667)</f>
        <v>46028.16667</v>
      </c>
      <c r="H3954" s="238">
        <f>IFERROR(__xludf.DUMMYFUNCTION("""COMPUTED_VALUE"""),46028.25)</f>
        <v>46028.25</v>
      </c>
      <c r="I3954" s="237" t="str">
        <f t="shared" si="1"/>
        <v>Fora</v>
      </c>
      <c r="J3954" s="239">
        <v>119.99999999301508</v>
      </c>
    </row>
    <row r="3955">
      <c r="A3955" s="234" t="s">
        <v>5167</v>
      </c>
      <c r="B3955" s="234" t="str">
        <f>IFERROR(__xludf.DUMMYFUNCTION("""COMPUTED_VALUE"""),"SoC_PE_Jaboatão dos Guararapes")</f>
        <v>SoC_PE_Jaboatão dos Guararapes</v>
      </c>
      <c r="C3955" s="234" t="str">
        <f>IFERROR(__xludf.DUMMYFUNCTION("""COMPUTED_VALUE"""),"SOC-PE2")</f>
        <v>SOC-PE2</v>
      </c>
      <c r="D3955" s="234"/>
      <c r="E3955" s="237" t="str">
        <f>IFERROR(__xludf.DUMMYFUNCTION("""COMPUTED_VALUE"""),"LT1Q1601W2YU1")</f>
        <v>LT1Q1601W2YU1</v>
      </c>
      <c r="F3955" s="238" t="str">
        <f>IFERROR(__xludf.DUMMYFUNCTION("""COMPUTED_VALUE"""),"DEU3J50,TLF0A07")</f>
        <v>DEU3J50,TLF0A07</v>
      </c>
      <c r="G3955" s="238">
        <f>IFERROR(__xludf.DUMMYFUNCTION("""COMPUTED_VALUE"""),46028.16666666667)</f>
        <v>46028.16667</v>
      </c>
      <c r="H3955" s="238">
        <f>IFERROR(__xludf.DUMMYFUNCTION("""COMPUTED_VALUE"""),46028.25)</f>
        <v>46028.25</v>
      </c>
      <c r="I3955" s="237" t="str">
        <f t="shared" si="1"/>
        <v>Fora</v>
      </c>
      <c r="J3955" s="239">
        <v>119.99999999301508</v>
      </c>
    </row>
    <row r="3956">
      <c r="A3956" s="234" t="s">
        <v>644</v>
      </c>
      <c r="B3956" s="234" t="str">
        <f>IFERROR(__xludf.DUMMYFUNCTION("""COMPUTED_VALUE"""),"SoC_SP_São Bernardo do Campo")</f>
        <v>SoC_SP_São Bernardo do Campo</v>
      </c>
      <c r="C3956" s="234" t="str">
        <f>IFERROR(__xludf.DUMMYFUNCTION("""COMPUTED_VALUE"""),"SOC-SP8")</f>
        <v>SOC-SP8</v>
      </c>
      <c r="D3956" s="234">
        <f>IFERROR(__xludf.DUMMYFUNCTION("""COMPUTED_VALUE"""),114.0)</f>
        <v>114</v>
      </c>
      <c r="E3956" s="237" t="str">
        <f>IFERROR(__xludf.DUMMYFUNCTION("""COMPUTED_VALUE"""),"LT0Q1601VFFI1")</f>
        <v>LT0Q1601VFFI1</v>
      </c>
      <c r="F3956" s="238" t="str">
        <f>IFERROR(__xludf.DUMMYFUNCTION("""COMPUTED_VALUE"""),"TJD1F44,BEY5C12")</f>
        <v>TJD1F44,BEY5C12</v>
      </c>
      <c r="G3956" s="238">
        <f>IFERROR(__xludf.DUMMYFUNCTION("""COMPUTED_VALUE"""),46028.16666666667)</f>
        <v>46028.16667</v>
      </c>
      <c r="H3956" s="238">
        <f>IFERROR(__xludf.DUMMYFUNCTION("""COMPUTED_VALUE"""),46028.25)</f>
        <v>46028.25</v>
      </c>
      <c r="I3956" s="237" t="str">
        <f t="shared" si="1"/>
        <v>Fora</v>
      </c>
      <c r="J3956" s="239">
        <v>119.99999999301508</v>
      </c>
    </row>
    <row r="3957">
      <c r="A3957" s="234" t="s">
        <v>5168</v>
      </c>
      <c r="B3957" s="234" t="str">
        <f>IFERROR(__xludf.DUMMYFUNCTION("""COMPUTED_VALUE"""),"LM Hub_SP_Atibaia_Ponte_Alta")</f>
        <v>LM Hub_SP_Atibaia_Ponte_Alta</v>
      </c>
      <c r="C3957" s="234" t="str">
        <f>IFERROR(__xludf.DUMMYFUNCTION("""COMPUTED_VALUE"""),"HUB-LSP-87")</f>
        <v>HUB-LSP-87</v>
      </c>
      <c r="D3957" s="234">
        <f>IFERROR(__xludf.DUMMYFUNCTION("""COMPUTED_VALUE"""),13.0)</f>
        <v>13</v>
      </c>
      <c r="E3957" s="237" t="str">
        <f>IFERROR(__xludf.DUMMYFUNCTION("""COMPUTED_VALUE"""),"LT0Q1601VJKA1")</f>
        <v>LT0Q1601VJKA1</v>
      </c>
      <c r="F3957" s="238" t="str">
        <f>IFERROR(__xludf.DUMMYFUNCTION("""COMPUTED_VALUE"""),"TBX6D09")</f>
        <v>TBX6D09</v>
      </c>
      <c r="G3957" s="238">
        <f>IFERROR(__xludf.DUMMYFUNCTION("""COMPUTED_VALUE"""),46028.1875)</f>
        <v>46028.1875</v>
      </c>
      <c r="H3957" s="238">
        <f>IFERROR(__xludf.DUMMYFUNCTION("""COMPUTED_VALUE"""),46028.27083333333)</f>
        <v>46028.27083</v>
      </c>
      <c r="I3957" s="237" t="str">
        <f t="shared" si="1"/>
        <v>Fora</v>
      </c>
      <c r="J3957" s="239">
        <v>119.99999999301508</v>
      </c>
    </row>
    <row r="3958">
      <c r="A3958" s="234" t="s">
        <v>647</v>
      </c>
      <c r="B3958" s="234" t="str">
        <f>IFERROR(__xludf.DUMMYFUNCTION("""COMPUTED_VALUE"""),"LM Hub_SP_Embu das Artes")</f>
        <v>LM Hub_SP_Embu das Artes</v>
      </c>
      <c r="C3958" s="234" t="str">
        <f>IFERROR(__xludf.DUMMYFUNCTION("""COMPUTED_VALUE"""),"HUB-LSP-36")</f>
        <v>HUB-LSP-36</v>
      </c>
      <c r="D3958" s="234">
        <f>IFERROR(__xludf.DUMMYFUNCTION("""COMPUTED_VALUE"""),14.0)</f>
        <v>14</v>
      </c>
      <c r="E3958" s="237" t="str">
        <f>IFERROR(__xludf.DUMMYFUNCTION("""COMPUTED_VALUE"""),"LT0Q1601VGO41")</f>
        <v>LT0Q1601VGO41</v>
      </c>
      <c r="F3958" s="238" t="str">
        <f>IFERROR(__xludf.DUMMYFUNCTION("""COMPUTED_VALUE"""),"GDQ4B07,GIJ1E98")</f>
        <v>GDQ4B07,GIJ1E98</v>
      </c>
      <c r="G3958" s="238">
        <f>IFERROR(__xludf.DUMMYFUNCTION("""COMPUTED_VALUE"""),46028.1875)</f>
        <v>46028.1875</v>
      </c>
      <c r="H3958" s="238">
        <f>IFERROR(__xludf.DUMMYFUNCTION("""COMPUTED_VALUE"""),46028.27083333333)</f>
        <v>46028.27083</v>
      </c>
      <c r="I3958" s="237" t="str">
        <f t="shared" si="1"/>
        <v>Fora</v>
      </c>
      <c r="J3958" s="239">
        <v>119.99999999301508</v>
      </c>
    </row>
    <row r="3959">
      <c r="A3959" s="234" t="s">
        <v>648</v>
      </c>
      <c r="B3959" s="234" t="str">
        <f>IFERROR(__xludf.DUMMYFUNCTION("""COMPUTED_VALUE"""),"LM Hub_SP_Taubaté")</f>
        <v>LM Hub_SP_Taubaté</v>
      </c>
      <c r="C3959" s="234" t="str">
        <f>IFERROR(__xludf.DUMMYFUNCTION("""COMPUTED_VALUE"""),"HUB-LSP-08")</f>
        <v>HUB-LSP-08</v>
      </c>
      <c r="D3959" s="234">
        <f>IFERROR(__xludf.DUMMYFUNCTION("""COMPUTED_VALUE"""),15.0)</f>
        <v>15</v>
      </c>
      <c r="E3959" s="237" t="str">
        <f>IFERROR(__xludf.DUMMYFUNCTION("""COMPUTED_VALUE"""),"LT0Q1601VFKV1")</f>
        <v>LT0Q1601VFKV1</v>
      </c>
      <c r="F3959" s="238" t="str">
        <f>IFERROR(__xludf.DUMMYFUNCTION("""COMPUTED_VALUE"""),"FBQ6A90")</f>
        <v>FBQ6A90</v>
      </c>
      <c r="G3959" s="238">
        <f>IFERROR(__xludf.DUMMYFUNCTION("""COMPUTED_VALUE"""),46028.1875)</f>
        <v>46028.1875</v>
      </c>
      <c r="H3959" s="238">
        <f>IFERROR(__xludf.DUMMYFUNCTION("""COMPUTED_VALUE"""),46028.27083333333)</f>
        <v>46028.27083</v>
      </c>
      <c r="I3959" s="237" t="str">
        <f t="shared" si="1"/>
        <v>Fora</v>
      </c>
      <c r="J3959" s="239">
        <v>540.0</v>
      </c>
    </row>
    <row r="3960">
      <c r="A3960" s="234" t="s">
        <v>655</v>
      </c>
      <c r="B3960" s="234" t="str">
        <f>IFERROR(__xludf.DUMMYFUNCTION("""COMPUTED_VALUE"""),"SoC_BA_Simoes Filho")</f>
        <v>SoC_BA_Simoes Filho</v>
      </c>
      <c r="C3960" s="234" t="str">
        <f>IFERROR(__xludf.DUMMYFUNCTION("""COMPUTED_VALUE"""),"SOC-BA2")</f>
        <v>SOC-BA2</v>
      </c>
      <c r="D3960" s="234">
        <f>IFERROR(__xludf.DUMMYFUNCTION("""COMPUTED_VALUE"""),88.0)</f>
        <v>88</v>
      </c>
      <c r="E3960" s="237" t="str">
        <f>IFERROR(__xludf.DUMMYFUNCTION("""COMPUTED_VALUE"""),"LT0Q1501VLAB1")</f>
        <v>LT0Q1501VLAB1</v>
      </c>
      <c r="F3960" s="238" t="str">
        <f>IFERROR(__xludf.DUMMYFUNCTION("""COMPUTED_VALUE"""),"FVA9J63,OPF1D20")</f>
        <v>FVA9J63,OPF1D20</v>
      </c>
      <c r="G3960" s="238">
        <f>IFERROR(__xludf.DUMMYFUNCTION("""COMPUTED_VALUE"""),46027.91666666667)</f>
        <v>46027.91667</v>
      </c>
      <c r="H3960" s="238">
        <f>IFERROR(__xludf.DUMMYFUNCTION("""COMPUTED_VALUE"""),46028.29166666667)</f>
        <v>46028.29167</v>
      </c>
      <c r="I3960" s="237" t="str">
        <f t="shared" si="1"/>
        <v>Fora</v>
      </c>
      <c r="J3960" s="239">
        <v>540.0</v>
      </c>
    </row>
    <row r="3961">
      <c r="A3961" s="234" t="s">
        <v>5169</v>
      </c>
      <c r="B3961" s="234" t="str">
        <f>IFERROR(__xludf.DUMMYFUNCTION("""COMPUTED_VALUE"""),"SoC_GO_Goiânia_02")</f>
        <v>SoC_GO_Goiânia_02</v>
      </c>
      <c r="C3961" s="234" t="str">
        <f>IFERROR(__xludf.DUMMYFUNCTION("""COMPUTED_VALUE"""),"SOC-GO2")</f>
        <v>SOC-GO2</v>
      </c>
      <c r="D3961" s="234">
        <f>IFERROR(__xludf.DUMMYFUNCTION("""COMPUTED_VALUE"""),87.0)</f>
        <v>87</v>
      </c>
      <c r="E3961" s="237" t="str">
        <f>IFERROR(__xludf.DUMMYFUNCTION("""COMPUTED_VALUE"""),"LT0Q1501VLKC1")</f>
        <v>LT0Q1501VLKC1</v>
      </c>
      <c r="F3961" s="238" t="str">
        <f>IFERROR(__xludf.DUMMYFUNCTION("""COMPUTED_VALUE"""),"QJN3J58,TJM9G80")</f>
        <v>QJN3J58,TJM9G80</v>
      </c>
      <c r="G3961" s="238">
        <f>IFERROR(__xludf.DUMMYFUNCTION("""COMPUTED_VALUE"""),46027.91666666667)</f>
        <v>46027.91667</v>
      </c>
      <c r="H3961" s="238">
        <f>IFERROR(__xludf.DUMMYFUNCTION("""COMPUTED_VALUE"""),46028.29166666667)</f>
        <v>46028.29167</v>
      </c>
      <c r="I3961" s="237" t="str">
        <f t="shared" si="1"/>
        <v>Fora</v>
      </c>
      <c r="J3961" s="239">
        <v>540.0</v>
      </c>
    </row>
    <row r="3962">
      <c r="A3962" s="234" t="s">
        <v>658</v>
      </c>
      <c r="B3962" s="234" t="str">
        <f>IFERROR(__xludf.DUMMYFUNCTION("""COMPUTED_VALUE"""),"SoC_PE_Jaboatão dos Guararapes")</f>
        <v>SoC_PE_Jaboatão dos Guararapes</v>
      </c>
      <c r="C3962" s="234" t="str">
        <f>IFERROR(__xludf.DUMMYFUNCTION("""COMPUTED_VALUE"""),"SOC-PE2")</f>
        <v>SOC-PE2</v>
      </c>
      <c r="D3962" s="234">
        <f>IFERROR(__xludf.DUMMYFUNCTION("""COMPUTED_VALUE"""),98.0)</f>
        <v>98</v>
      </c>
      <c r="E3962" s="237" t="str">
        <f>IFERROR(__xludf.DUMMYFUNCTION("""COMPUTED_VALUE"""),"LT0Q1501VL6T1")</f>
        <v>LT0Q1501VL6T1</v>
      </c>
      <c r="F3962" s="238" t="str">
        <f>IFERROR(__xludf.DUMMYFUNCTION("""COMPUTED_VALUE"""),"MIA8E56,RAJ1D66")</f>
        <v>MIA8E56,RAJ1D66</v>
      </c>
      <c r="G3962" s="238">
        <f>IFERROR(__xludf.DUMMYFUNCTION("""COMPUTED_VALUE"""),46027.91666666667)</f>
        <v>46027.91667</v>
      </c>
      <c r="H3962" s="238">
        <f>IFERROR(__xludf.DUMMYFUNCTION("""COMPUTED_VALUE"""),46028.29166666667)</f>
        <v>46028.29167</v>
      </c>
      <c r="I3962" s="237" t="str">
        <f t="shared" si="1"/>
        <v>Fora</v>
      </c>
      <c r="J3962" s="239">
        <v>540.0</v>
      </c>
    </row>
    <row r="3963">
      <c r="A3963" s="234" t="s">
        <v>657</v>
      </c>
      <c r="B3963" s="234" t="str">
        <f>IFERROR(__xludf.DUMMYFUNCTION("""COMPUTED_VALUE"""),"SoC_RJ_Duque de Caxias")</f>
        <v>SoC_RJ_Duque de Caxias</v>
      </c>
      <c r="C3963" s="234" t="str">
        <f>IFERROR(__xludf.DUMMYFUNCTION("""COMPUTED_VALUE"""),"SOC-RJ2")</f>
        <v>SOC-RJ2</v>
      </c>
      <c r="D3963" s="234">
        <f>IFERROR(__xludf.DUMMYFUNCTION("""COMPUTED_VALUE"""),96.0)</f>
        <v>96</v>
      </c>
      <c r="E3963" s="237" t="str">
        <f>IFERROR(__xludf.DUMMYFUNCTION("""COMPUTED_VALUE"""),"LT0Q1501VHRQ1")</f>
        <v>LT0Q1501VHRQ1</v>
      </c>
      <c r="F3963" s="238" t="str">
        <f>IFERROR(__xludf.DUMMYFUNCTION("""COMPUTED_VALUE"""),"EPU5C78,TIV0I78")</f>
        <v>EPU5C78,TIV0I78</v>
      </c>
      <c r="G3963" s="238">
        <f>IFERROR(__xludf.DUMMYFUNCTION("""COMPUTED_VALUE"""),46027.91666666667)</f>
        <v>46027.91667</v>
      </c>
      <c r="H3963" s="238">
        <f>IFERROR(__xludf.DUMMYFUNCTION("""COMPUTED_VALUE"""),46028.29166666667)</f>
        <v>46028.29167</v>
      </c>
      <c r="I3963" s="237" t="str">
        <f t="shared" si="1"/>
        <v>Fora</v>
      </c>
      <c r="J3963" s="239">
        <v>540.0</v>
      </c>
    </row>
    <row r="3964">
      <c r="A3964" s="234" t="s">
        <v>659</v>
      </c>
      <c r="B3964" s="234" t="str">
        <f>IFERROR(__xludf.DUMMYFUNCTION("""COMPUTED_VALUE"""),"SoC_RS_Gravataí_02")</f>
        <v>SoC_RS_Gravataí_02</v>
      </c>
      <c r="C3964" s="234" t="str">
        <f>IFERROR(__xludf.DUMMYFUNCTION("""COMPUTED_VALUE"""),"SOC-RS2")</f>
        <v>SOC-RS2</v>
      </c>
      <c r="D3964" s="234">
        <f>IFERROR(__xludf.DUMMYFUNCTION("""COMPUTED_VALUE"""),102.0)</f>
        <v>102</v>
      </c>
      <c r="E3964" s="237" t="str">
        <f>IFERROR(__xludf.DUMMYFUNCTION("""COMPUTED_VALUE"""),"LT0Q1501VLMD1")</f>
        <v>LT0Q1501VLMD1</v>
      </c>
      <c r="F3964" s="238" t="str">
        <f>IFERROR(__xludf.DUMMYFUNCTION("""COMPUTED_VALUE"""),"QJO9I79,RYB6B92")</f>
        <v>QJO9I79,RYB6B92</v>
      </c>
      <c r="G3964" s="238">
        <f>IFERROR(__xludf.DUMMYFUNCTION("""COMPUTED_VALUE"""),46027.91666666667)</f>
        <v>46027.91667</v>
      </c>
      <c r="H3964" s="238">
        <f>IFERROR(__xludf.DUMMYFUNCTION("""COMPUTED_VALUE"""),46028.29166666667)</f>
        <v>46028.29167</v>
      </c>
      <c r="I3964" s="237" t="str">
        <f t="shared" si="1"/>
        <v>Fora</v>
      </c>
      <c r="J3964" s="239">
        <v>540.0</v>
      </c>
    </row>
    <row r="3965">
      <c r="A3965" s="234" t="s">
        <v>654</v>
      </c>
      <c r="B3965" s="234" t="str">
        <f>IFERROR(__xludf.DUMMYFUNCTION("""COMPUTED_VALUE"""),"SoC_SC_Itajaí")</f>
        <v>SoC_SC_Itajaí</v>
      </c>
      <c r="C3965" s="234" t="str">
        <f>IFERROR(__xludf.DUMMYFUNCTION("""COMPUTED_VALUE"""),"SOC-SC1")</f>
        <v>SOC-SC1</v>
      </c>
      <c r="D3965" s="234">
        <f>IFERROR(__xludf.DUMMYFUNCTION("""COMPUTED_VALUE"""),100.0)</f>
        <v>100</v>
      </c>
      <c r="E3965" s="237" t="str">
        <f>IFERROR(__xludf.DUMMYFUNCTION("""COMPUTED_VALUE"""),"LT0Q1501VK9I1")</f>
        <v>LT0Q1501VK9I1</v>
      </c>
      <c r="F3965" s="238" t="str">
        <f>IFERROR(__xludf.DUMMYFUNCTION("""COMPUTED_VALUE"""),"TPT9D58,SXS7C85")</f>
        <v>TPT9D58,SXS7C85</v>
      </c>
      <c r="G3965" s="238">
        <f>IFERROR(__xludf.DUMMYFUNCTION("""COMPUTED_VALUE"""),46027.91666666667)</f>
        <v>46027.91667</v>
      </c>
      <c r="H3965" s="238">
        <f>IFERROR(__xludf.DUMMYFUNCTION("""COMPUTED_VALUE"""),46028.29166666667)</f>
        <v>46028.29167</v>
      </c>
      <c r="I3965" s="237" t="str">
        <f t="shared" si="1"/>
        <v>Fora</v>
      </c>
      <c r="J3965" s="239">
        <v>120.00000001396984</v>
      </c>
    </row>
    <row r="3966">
      <c r="A3966" s="234" t="s">
        <v>5170</v>
      </c>
      <c r="B3966" s="234" t="str">
        <f>IFERROR(__xludf.DUMMYFUNCTION("""COMPUTED_VALUE"""),"LM Hub_SP_Barueri_01")</f>
        <v>LM Hub_SP_Barueri_01</v>
      </c>
      <c r="C3966" s="234" t="str">
        <f>IFERROR(__xludf.DUMMYFUNCTION("""COMPUTED_VALUE"""),"HUB-LSP-81")</f>
        <v>HUB-LSP-81</v>
      </c>
      <c r="D3966" s="234"/>
      <c r="E3966" s="237" t="str">
        <f>IFERROR(__xludf.DUMMYFUNCTION("""COMPUTED_VALUE"""),"LT0Q1601VKX71")</f>
        <v>LT0Q1601VKX71</v>
      </c>
      <c r="F3966" s="238" t="str">
        <f>IFERROR(__xludf.DUMMYFUNCTION("""COMPUTED_VALUE"""),"FLJ6920")</f>
        <v>FLJ6920</v>
      </c>
      <c r="G3966" s="238">
        <f>IFERROR(__xludf.DUMMYFUNCTION("""COMPUTED_VALUE"""),46028.20833333333)</f>
        <v>46028.20833</v>
      </c>
      <c r="H3966" s="238">
        <f>IFERROR(__xludf.DUMMYFUNCTION("""COMPUTED_VALUE"""),46028.29166666667)</f>
        <v>46028.29167</v>
      </c>
      <c r="I3966" s="237" t="str">
        <f t="shared" si="1"/>
        <v>Fora</v>
      </c>
      <c r="J3966" s="239">
        <v>120.00000001396984</v>
      </c>
    </row>
    <row r="3967">
      <c r="A3967" s="234" t="s">
        <v>652</v>
      </c>
      <c r="B3967" s="234" t="str">
        <f>IFERROR(__xludf.DUMMYFUNCTION("""COMPUTED_VALUE"""),"LM Hub_SP_Jundiaí")</f>
        <v>LM Hub_SP_Jundiaí</v>
      </c>
      <c r="C3967" s="234" t="str">
        <f>IFERROR(__xludf.DUMMYFUNCTION("""COMPUTED_VALUE"""),"HUB-LSP-100")</f>
        <v>HUB-LSP-100</v>
      </c>
      <c r="D3967" s="234">
        <f>IFERROR(__xludf.DUMMYFUNCTION("""COMPUTED_VALUE"""),35.0)</f>
        <v>35</v>
      </c>
      <c r="E3967" s="237" t="str">
        <f>IFERROR(__xludf.DUMMYFUNCTION("""COMPUTED_VALUE"""),"LT0Q1601VMD51")</f>
        <v>LT0Q1601VMD51</v>
      </c>
      <c r="F3967" s="238" t="str">
        <f>IFERROR(__xludf.DUMMYFUNCTION("""COMPUTED_VALUE"""),"FDS0C93")</f>
        <v>FDS0C93</v>
      </c>
      <c r="G3967" s="238">
        <f>IFERROR(__xludf.DUMMYFUNCTION("""COMPUTED_VALUE"""),46028.20833333333)</f>
        <v>46028.20833</v>
      </c>
      <c r="H3967" s="238">
        <f>IFERROR(__xludf.DUMMYFUNCTION("""COMPUTED_VALUE"""),46028.29166666667)</f>
        <v>46028.29167</v>
      </c>
      <c r="I3967" s="237" t="str">
        <f t="shared" si="1"/>
        <v>Fora</v>
      </c>
      <c r="J3967" s="239">
        <v>120.00000001396984</v>
      </c>
    </row>
    <row r="3968">
      <c r="A3968" s="234" t="s">
        <v>673</v>
      </c>
      <c r="B3968" s="234" t="str">
        <f>IFERROR(__xludf.DUMMYFUNCTION("""COMPUTED_VALUE"""),"LM Hub_SP_Piracicaba")</f>
        <v>LM Hub_SP_Piracicaba</v>
      </c>
      <c r="C3968" s="234" t="str">
        <f>IFERROR(__xludf.DUMMYFUNCTION("""COMPUTED_VALUE"""),"HUB-LSP-62")</f>
        <v>HUB-LSP-62</v>
      </c>
      <c r="D3968" s="234"/>
      <c r="E3968" s="237" t="str">
        <f>IFERROR(__xludf.DUMMYFUNCTION("""COMPUTED_VALUE"""),"LT0Q1601VG7M1")</f>
        <v>LT0Q1601VG7M1</v>
      </c>
      <c r="F3968" s="238" t="str">
        <f>IFERROR(__xludf.DUMMYFUNCTION("""COMPUTED_VALUE"""),"OMY3I62")</f>
        <v>OMY3I62</v>
      </c>
      <c r="G3968" s="238">
        <f>IFERROR(__xludf.DUMMYFUNCTION("""COMPUTED_VALUE"""),46028.20833333333)</f>
        <v>46028.20833</v>
      </c>
      <c r="H3968" s="238">
        <f>IFERROR(__xludf.DUMMYFUNCTION("""COMPUTED_VALUE"""),46028.29166666667)</f>
        <v>46028.29167</v>
      </c>
      <c r="I3968" s="237" t="str">
        <f t="shared" si="1"/>
        <v>Fora</v>
      </c>
      <c r="J3968" s="239">
        <v>119.00000001071021</v>
      </c>
    </row>
    <row r="3969">
      <c r="A3969" s="234" t="s">
        <v>5171</v>
      </c>
      <c r="B3969" s="234" t="str">
        <f>IFERROR(__xludf.DUMMYFUNCTION("""COMPUTED_VALUE"""),"LM Hub_SP_Jurubatuba")</f>
        <v>LM Hub_SP_Jurubatuba</v>
      </c>
      <c r="C3969" s="234" t="str">
        <f>IFERROR(__xludf.DUMMYFUNCTION("""COMPUTED_VALUE"""),"HUB-LSP-16")</f>
        <v>HUB-LSP-16</v>
      </c>
      <c r="D3969" s="234">
        <f>IFERROR(__xludf.DUMMYFUNCTION("""COMPUTED_VALUE"""),6.0)</f>
        <v>6</v>
      </c>
      <c r="E3969" s="237" t="str">
        <f>IFERROR(__xludf.DUMMYFUNCTION("""COMPUTED_VALUE"""),"LT0Q1601VGMV1")</f>
        <v>LT0Q1601VGMV1</v>
      </c>
      <c r="F3969" s="238" t="str">
        <f>IFERROR(__xludf.DUMMYFUNCTION("""COMPUTED_VALUE"""),"FFZ6B79")</f>
        <v>FFZ6B79</v>
      </c>
      <c r="G3969" s="238">
        <f>IFERROR(__xludf.DUMMYFUNCTION("""COMPUTED_VALUE"""),46028.209027777775)</f>
        <v>46028.20903</v>
      </c>
      <c r="H3969" s="238">
        <f>IFERROR(__xludf.DUMMYFUNCTION("""COMPUTED_VALUE"""),46028.29166666667)</f>
        <v>46028.29167</v>
      </c>
      <c r="I3969" s="237" t="str">
        <f t="shared" si="1"/>
        <v>Fora</v>
      </c>
      <c r="J3969" s="239">
        <v>119.00000001071021</v>
      </c>
    </row>
    <row r="3970">
      <c r="A3970" s="234" t="s">
        <v>5172</v>
      </c>
      <c r="B3970" s="234" t="str">
        <f>IFERROR(__xludf.DUMMYFUNCTION("""COMPUTED_VALUE"""),"LM Hub_SP_Santos_PraiaGrande_02")</f>
        <v>LM Hub_SP_Santos_PraiaGrande_02</v>
      </c>
      <c r="C3970" s="234" t="str">
        <f>IFERROR(__xludf.DUMMYFUNCTION("""COMPUTED_VALUE"""),"HUB-LSP-63")</f>
        <v>HUB-LSP-63</v>
      </c>
      <c r="D3970" s="234">
        <f>IFERROR(__xludf.DUMMYFUNCTION("""COMPUTED_VALUE"""),40.0)</f>
        <v>40</v>
      </c>
      <c r="E3970" s="237" t="str">
        <f>IFERROR(__xludf.DUMMYFUNCTION("""COMPUTED_VALUE"""),"LT0Q1601VGNZ1")</f>
        <v>LT0Q1601VGNZ1</v>
      </c>
      <c r="F3970" s="238" t="str">
        <f>IFERROR(__xludf.DUMMYFUNCTION("""COMPUTED_VALUE"""),"GEJ6E62,TLV2A95")</f>
        <v>GEJ6E62,TLV2A95</v>
      </c>
      <c r="G3970" s="238">
        <f>IFERROR(__xludf.DUMMYFUNCTION("""COMPUTED_VALUE"""),46028.209027777775)</f>
        <v>46028.20903</v>
      </c>
      <c r="H3970" s="238">
        <f>IFERROR(__xludf.DUMMYFUNCTION("""COMPUTED_VALUE"""),46028.29166666667)</f>
        <v>46028.29167</v>
      </c>
      <c r="I3970" s="237" t="str">
        <f t="shared" si="1"/>
        <v>Fora</v>
      </c>
      <c r="J3970" s="239">
        <v>119.00000001071021</v>
      </c>
    </row>
    <row r="3971">
      <c r="A3971" s="234" t="s">
        <v>649</v>
      </c>
      <c r="B3971" s="234" t="str">
        <f>IFERROR(__xludf.DUMMYFUNCTION("""COMPUTED_VALUE"""),"SoC_SP_Santana")</f>
        <v>SoC_SP_Santana</v>
      </c>
      <c r="C3971" s="234" t="str">
        <f>IFERROR(__xludf.DUMMYFUNCTION("""COMPUTED_VALUE"""),"SOC-SP2")</f>
        <v>SOC-SP2</v>
      </c>
      <c r="D3971" s="234">
        <f>IFERROR(__xludf.DUMMYFUNCTION("""COMPUTED_VALUE"""),8.0)</f>
        <v>8</v>
      </c>
      <c r="E3971" s="237" t="str">
        <f>IFERROR(__xludf.DUMMYFUNCTION("""COMPUTED_VALUE"""),"LT0Q1601VFZT1")</f>
        <v>LT0Q1601VFZT1</v>
      </c>
      <c r="F3971" s="238" t="str">
        <f>IFERROR(__xludf.DUMMYFUNCTION("""COMPUTED_VALUE"""),"DVS8I45,JXB4390")</f>
        <v>DVS8I45,JXB4390</v>
      </c>
      <c r="G3971" s="238">
        <f>IFERROR(__xludf.DUMMYFUNCTION("""COMPUTED_VALUE"""),46028.209027777775)</f>
        <v>46028.20903</v>
      </c>
      <c r="H3971" s="238">
        <f>IFERROR(__xludf.DUMMYFUNCTION("""COMPUTED_VALUE"""),46028.29166666667)</f>
        <v>46028.29167</v>
      </c>
      <c r="I3971" s="237" t="str">
        <f t="shared" si="1"/>
        <v>Fora</v>
      </c>
      <c r="J3971" s="239">
        <v>118.00000000745058</v>
      </c>
    </row>
    <row r="3972">
      <c r="A3972" s="234" t="s">
        <v>5173</v>
      </c>
      <c r="B3972" s="234" t="str">
        <f>IFERROR(__xludf.DUMMYFUNCTION("""COMPUTED_VALUE"""),"LM Hub_SP_Jurubatuba")</f>
        <v>LM Hub_SP_Jurubatuba</v>
      </c>
      <c r="C3972" s="234" t="str">
        <f>IFERROR(__xludf.DUMMYFUNCTION("""COMPUTED_VALUE"""),"HUB-LSP-16")</f>
        <v>HUB-LSP-16</v>
      </c>
      <c r="D3972" s="234">
        <f>IFERROR(__xludf.DUMMYFUNCTION("""COMPUTED_VALUE"""),34.0)</f>
        <v>34</v>
      </c>
      <c r="E3972" s="237" t="str">
        <f>IFERROR(__xludf.DUMMYFUNCTION("""COMPUTED_VALUE"""),"LT0Q1601VGMQ1")</f>
        <v>LT0Q1601VGMQ1</v>
      </c>
      <c r="F3972" s="238" t="str">
        <f>IFERROR(__xludf.DUMMYFUNCTION("""COMPUTED_VALUE"""),"MQV9D62,BVT6J01")</f>
        <v>MQV9D62,BVT6J01</v>
      </c>
      <c r="G3972" s="238">
        <f>IFERROR(__xludf.DUMMYFUNCTION("""COMPUTED_VALUE"""),46028.20972222222)</f>
        <v>46028.20972</v>
      </c>
      <c r="H3972" s="238">
        <f>IFERROR(__xludf.DUMMYFUNCTION("""COMPUTED_VALUE"""),46028.29166666667)</f>
        <v>46028.29167</v>
      </c>
      <c r="I3972" s="237" t="str">
        <f t="shared" si="1"/>
        <v>Fora</v>
      </c>
      <c r="J3972" s="239">
        <v>60.00000000698492</v>
      </c>
    </row>
    <row r="3973">
      <c r="A3973" s="234" t="s">
        <v>650</v>
      </c>
      <c r="B3973" s="234" t="str">
        <f>IFERROR(__xludf.DUMMYFUNCTION("""COMPUTED_VALUE"""),"LM Hub_SP_Mauá")</f>
        <v>LM Hub_SP_Mauá</v>
      </c>
      <c r="C3973" s="234" t="str">
        <f>IFERROR(__xludf.DUMMYFUNCTION("""COMPUTED_VALUE"""),"HUB-LSP-64")</f>
        <v>HUB-LSP-64</v>
      </c>
      <c r="D3973" s="234">
        <f>IFERROR(__xludf.DUMMYFUNCTION("""COMPUTED_VALUE"""),18.0)</f>
        <v>18</v>
      </c>
      <c r="E3973" s="237" t="str">
        <f>IFERROR(__xludf.DUMMYFUNCTION("""COMPUTED_VALUE"""),"LT0Q1601VRF81")</f>
        <v>LT0Q1601VRF81</v>
      </c>
      <c r="F3973" s="238" t="str">
        <f>IFERROR(__xludf.DUMMYFUNCTION("""COMPUTED_VALUE"""),"PQV0E87")</f>
        <v>PQV0E87</v>
      </c>
      <c r="G3973" s="238">
        <f>IFERROR(__xludf.DUMMYFUNCTION("""COMPUTED_VALUE"""),46028.25)</f>
        <v>46028.25</v>
      </c>
      <c r="H3973" s="238">
        <f>IFERROR(__xludf.DUMMYFUNCTION("""COMPUTED_VALUE"""),46028.29166666667)</f>
        <v>46028.29167</v>
      </c>
      <c r="I3973" s="237" t="str">
        <f t="shared" si="1"/>
        <v>Fora</v>
      </c>
      <c r="J3973" s="239">
        <v>119.99999999301508</v>
      </c>
    </row>
    <row r="3974">
      <c r="A3974" s="234" t="s">
        <v>5174</v>
      </c>
      <c r="B3974" s="234" t="str">
        <f>IFERROR(__xludf.DUMMYFUNCTION("""COMPUTED_VALUE"""),"LM Hub_SP_Guarujá")</f>
        <v>LM Hub_SP_Guarujá</v>
      </c>
      <c r="C3974" s="234" t="str">
        <f>IFERROR(__xludf.DUMMYFUNCTION("""COMPUTED_VALUE"""),"HUB-LSP-06")</f>
        <v>HUB-LSP-06</v>
      </c>
      <c r="D3974" s="234">
        <f>IFERROR(__xludf.DUMMYFUNCTION("""COMPUTED_VALUE"""),36.0)</f>
        <v>36</v>
      </c>
      <c r="E3974" s="237" t="str">
        <f>IFERROR(__xludf.DUMMYFUNCTION("""COMPUTED_VALUE"""),"LT0Q1601VGND1")</f>
        <v>LT0Q1601VGND1</v>
      </c>
      <c r="F3974" s="238" t="str">
        <f>IFERROR(__xludf.DUMMYFUNCTION("""COMPUTED_VALUE"""),"TJN5H17")</f>
        <v>TJN5H17</v>
      </c>
      <c r="G3974" s="238">
        <f>IFERROR(__xludf.DUMMYFUNCTION("""COMPUTED_VALUE"""),46028.22916666667)</f>
        <v>46028.22917</v>
      </c>
      <c r="H3974" s="238">
        <f>IFERROR(__xludf.DUMMYFUNCTION("""COMPUTED_VALUE"""),46028.3125)</f>
        <v>46028.3125</v>
      </c>
      <c r="I3974" s="237" t="str">
        <f t="shared" si="1"/>
        <v>Fora</v>
      </c>
      <c r="J3974" s="239">
        <v>119.99999999301508</v>
      </c>
    </row>
    <row r="3975">
      <c r="A3975" s="234" t="s">
        <v>675</v>
      </c>
      <c r="B3975" s="234" t="str">
        <f>IFERROR(__xludf.DUMMYFUNCTION("""COMPUTED_VALUE"""),"LM Hub_SP_Itaqua_Zimba")</f>
        <v>LM Hub_SP_Itaqua_Zimba</v>
      </c>
      <c r="C3975" s="234" t="str">
        <f>IFERROR(__xludf.DUMMYFUNCTION("""COMPUTED_VALUE"""),"HUB-LSP-74")</f>
        <v>HUB-LSP-74</v>
      </c>
      <c r="D3975" s="234"/>
      <c r="E3975" s="237" t="str">
        <f>IFERROR(__xludf.DUMMYFUNCTION("""COMPUTED_VALUE"""),"LT0Q1601VGN81")</f>
        <v>LT0Q1601VGN81</v>
      </c>
      <c r="F3975" s="238" t="str">
        <f>IFERROR(__xludf.DUMMYFUNCTION("""COMPUTED_VALUE"""),"FPF7A74,AXI8J64")</f>
        <v>FPF7A74,AXI8J64</v>
      </c>
      <c r="G3975" s="238">
        <f>IFERROR(__xludf.DUMMYFUNCTION("""COMPUTED_VALUE"""),46028.22916666667)</f>
        <v>46028.22917</v>
      </c>
      <c r="H3975" s="238">
        <f>IFERROR(__xludf.DUMMYFUNCTION("""COMPUTED_VALUE"""),46028.3125)</f>
        <v>46028.3125</v>
      </c>
      <c r="I3975" s="237" t="str">
        <f t="shared" si="1"/>
        <v>Fora</v>
      </c>
      <c r="J3975" s="239">
        <v>119.99999999301508</v>
      </c>
    </row>
    <row r="3976">
      <c r="A3976" s="234" t="s">
        <v>660</v>
      </c>
      <c r="B3976" s="234" t="str">
        <f>IFERROR(__xludf.DUMMYFUNCTION("""COMPUTED_VALUE"""),"LM Hub_SP_Santos_Praia Grande")</f>
        <v>LM Hub_SP_Santos_Praia Grande</v>
      </c>
      <c r="C3976" s="234" t="str">
        <f>IFERROR(__xludf.DUMMYFUNCTION("""COMPUTED_VALUE"""),"HUB-LSP-09")</f>
        <v>HUB-LSP-09</v>
      </c>
      <c r="D3976" s="234">
        <f>IFERROR(__xludf.DUMMYFUNCTION("""COMPUTED_VALUE"""),9.0)</f>
        <v>9</v>
      </c>
      <c r="E3976" s="237" t="str">
        <f>IFERROR(__xludf.DUMMYFUNCTION("""COMPUTED_VALUE"""),"LT0Q1601VGNI1")</f>
        <v>LT0Q1601VGNI1</v>
      </c>
      <c r="F3976" s="238" t="str">
        <f>IFERROR(__xludf.DUMMYFUNCTION("""COMPUTED_VALUE"""),"GEZ8J01")</f>
        <v>GEZ8J01</v>
      </c>
      <c r="G3976" s="238">
        <f>IFERROR(__xludf.DUMMYFUNCTION("""COMPUTED_VALUE"""),46028.22916666667)</f>
        <v>46028.22917</v>
      </c>
      <c r="H3976" s="238">
        <f>IFERROR(__xludf.DUMMYFUNCTION("""COMPUTED_VALUE"""),46028.3125)</f>
        <v>46028.3125</v>
      </c>
      <c r="I3976" s="237" t="str">
        <f t="shared" si="1"/>
        <v>Fora</v>
      </c>
      <c r="J3976" s="239">
        <v>119.99999999301508</v>
      </c>
    </row>
    <row r="3977">
      <c r="A3977" s="234" t="s">
        <v>5175</v>
      </c>
      <c r="B3977" s="234" t="str">
        <f>IFERROR(__xludf.DUMMYFUNCTION("""COMPUTED_VALUE"""),"LM Hub_SP_São José dos Campos")</f>
        <v>LM Hub_SP_São José dos Campos</v>
      </c>
      <c r="C3977" s="234" t="str">
        <f>IFERROR(__xludf.DUMMYFUNCTION("""COMPUTED_VALUE"""),"HUB-LSP-04")</f>
        <v>HUB-LSP-04</v>
      </c>
      <c r="D3977" s="234"/>
      <c r="E3977" s="237" t="str">
        <f>IFERROR(__xludf.DUMMYFUNCTION("""COMPUTED_VALUE"""),"LT0Q1601VGNN1")</f>
        <v>LT0Q1601VGNN1</v>
      </c>
      <c r="F3977" s="234"/>
      <c r="G3977" s="238">
        <f>IFERROR(__xludf.DUMMYFUNCTION("""COMPUTED_VALUE"""),46028.22916666667)</f>
        <v>46028.22917</v>
      </c>
      <c r="H3977" s="238">
        <f>IFERROR(__xludf.DUMMYFUNCTION("""COMPUTED_VALUE"""),46028.3125)</f>
        <v>46028.3125</v>
      </c>
      <c r="I3977" s="237" t="str">
        <f t="shared" si="1"/>
        <v>Fora</v>
      </c>
      <c r="J3977" s="239">
        <v>119.99999999301508</v>
      </c>
    </row>
    <row r="3978">
      <c r="A3978" s="234" t="s">
        <v>5176</v>
      </c>
      <c r="B3978" s="234" t="str">
        <f>IFERROR(__xludf.DUMMYFUNCTION("""COMPUTED_VALUE"""),"LM Hub_SP_Suzano_Baruel")</f>
        <v>LM Hub_SP_Suzano_Baruel</v>
      </c>
      <c r="C3978" s="234" t="str">
        <f>IFERROR(__xludf.DUMMYFUNCTION("""COMPUTED_VALUE"""),"HUB-LSP-97")</f>
        <v>HUB-LSP-97</v>
      </c>
      <c r="D3978" s="234">
        <f>IFERROR(__xludf.DUMMYFUNCTION("""COMPUTED_VALUE"""),26.0)</f>
        <v>26</v>
      </c>
      <c r="E3978" s="237" t="str">
        <f>IFERROR(__xludf.DUMMYFUNCTION("""COMPUTED_VALUE"""),"LT0Q1601VMSH1")</f>
        <v>LT0Q1601VMSH1</v>
      </c>
      <c r="F3978" s="238" t="str">
        <f>IFERROR(__xludf.DUMMYFUNCTION("""COMPUTED_VALUE"""),"DOT3E21")</f>
        <v>DOT3E21</v>
      </c>
      <c r="G3978" s="238">
        <f>IFERROR(__xludf.DUMMYFUNCTION("""COMPUTED_VALUE"""),46028.22916666667)</f>
        <v>46028.22917</v>
      </c>
      <c r="H3978" s="238">
        <f>IFERROR(__xludf.DUMMYFUNCTION("""COMPUTED_VALUE"""),46028.3125)</f>
        <v>46028.3125</v>
      </c>
      <c r="I3978" s="237" t="str">
        <f t="shared" si="1"/>
        <v>Fora</v>
      </c>
      <c r="J3978" s="239">
        <v>119.00000000023283</v>
      </c>
    </row>
    <row r="3979">
      <c r="A3979" s="234" t="s">
        <v>5177</v>
      </c>
      <c r="B3979" s="234" t="str">
        <f>IFERROR(__xludf.DUMMYFUNCTION("""COMPUTED_VALUE"""),"LM Hub_SP_Itapevi")</f>
        <v>LM Hub_SP_Itapevi</v>
      </c>
      <c r="C3979" s="234" t="str">
        <f>IFERROR(__xludf.DUMMYFUNCTION("""COMPUTED_VALUE"""),"HUB-LSP-41")</f>
        <v>HUB-LSP-41</v>
      </c>
      <c r="D3979" s="234">
        <f>IFERROR(__xludf.DUMMYFUNCTION("""COMPUTED_VALUE"""),12.0)</f>
        <v>12</v>
      </c>
      <c r="E3979" s="237" t="str">
        <f>IFERROR(__xludf.DUMMYFUNCTION("""COMPUTED_VALUE"""),"LT0Q1601VFIF1")</f>
        <v>LT0Q1601VFIF1</v>
      </c>
      <c r="F3979" s="238" t="str">
        <f>IFERROR(__xludf.DUMMYFUNCTION("""COMPUTED_VALUE"""),"CUC6J82")</f>
        <v>CUC6J82</v>
      </c>
      <c r="G3979" s="238">
        <f>IFERROR(__xludf.DUMMYFUNCTION("""COMPUTED_VALUE"""),46028.22986111111)</f>
        <v>46028.22986</v>
      </c>
      <c r="H3979" s="238">
        <f>IFERROR(__xludf.DUMMYFUNCTION("""COMPUTED_VALUE"""),46028.3125)</f>
        <v>46028.3125</v>
      </c>
      <c r="I3979" s="237" t="str">
        <f t="shared" si="1"/>
        <v>Fora</v>
      </c>
      <c r="J3979" s="239">
        <v>119.99999999301508</v>
      </c>
    </row>
    <row r="3980">
      <c r="A3980" s="234" t="s">
        <v>5178</v>
      </c>
      <c r="B3980" s="234" t="str">
        <f>IFERROR(__xludf.DUMMYFUNCTION("""COMPUTED_VALUE"""),"LM Hub_SP_Jardim Adriana")</f>
        <v>LM Hub_SP_Jardim Adriana</v>
      </c>
      <c r="C3980" s="234" t="str">
        <f>IFERROR(__xludf.DUMMYFUNCTION("""COMPUTED_VALUE"""),"HUB-LSP-12")</f>
        <v>HUB-LSP-12</v>
      </c>
      <c r="D3980" s="234">
        <f>IFERROR(__xludf.DUMMYFUNCTION("""COMPUTED_VALUE"""),6.0)</f>
        <v>6</v>
      </c>
      <c r="E3980" s="237" t="str">
        <f>IFERROR(__xludf.DUMMYFUNCTION("""COMPUTED_VALUE"""),"LT0Q1601VGME1")</f>
        <v>LT0Q1601VGME1</v>
      </c>
      <c r="F3980" s="238" t="str">
        <f>IFERROR(__xludf.DUMMYFUNCTION("""COMPUTED_VALUE"""),"BEV6E38")</f>
        <v>BEV6E38</v>
      </c>
      <c r="G3980" s="238">
        <f>IFERROR(__xludf.DUMMYFUNCTION("""COMPUTED_VALUE"""),46028.25)</f>
        <v>46028.25</v>
      </c>
      <c r="H3980" s="238">
        <f>IFERROR(__xludf.DUMMYFUNCTION("""COMPUTED_VALUE"""),46028.33333333333)</f>
        <v>46028.33333</v>
      </c>
      <c r="I3980" s="237" t="str">
        <f t="shared" si="1"/>
        <v>Fora</v>
      </c>
      <c r="J3980" s="239">
        <v>119.99999999301508</v>
      </c>
    </row>
    <row r="3981">
      <c r="A3981" s="234" t="s">
        <v>5179</v>
      </c>
      <c r="B3981" s="234" t="str">
        <f>IFERROR(__xludf.DUMMYFUNCTION("""COMPUTED_VALUE"""),"LM Hub_SP_São Paulo_Lapa")</f>
        <v>LM Hub_SP_São Paulo_Lapa</v>
      </c>
      <c r="C3981" s="234" t="str">
        <f>IFERROR(__xludf.DUMMYFUNCTION("""COMPUTED_VALUE"""),"HUB-LSP-15")</f>
        <v>HUB-LSP-15</v>
      </c>
      <c r="D3981" s="234">
        <f>IFERROR(__xludf.DUMMYFUNCTION("""COMPUTED_VALUE"""),25.0)</f>
        <v>25</v>
      </c>
      <c r="E3981" s="237" t="str">
        <f>IFERROR(__xludf.DUMMYFUNCTION("""COMPUTED_VALUE"""),"LT0Q1601VGMJ1")</f>
        <v>LT0Q1601VGMJ1</v>
      </c>
      <c r="F3981" s="238" t="str">
        <f>IFERROR(__xludf.DUMMYFUNCTION("""COMPUTED_VALUE"""),"DVT5D28,DTC7I46")</f>
        <v>DVT5D28,DTC7I46</v>
      </c>
      <c r="G3981" s="238">
        <f>IFERROR(__xludf.DUMMYFUNCTION("""COMPUTED_VALUE"""),46028.25)</f>
        <v>46028.25</v>
      </c>
      <c r="H3981" s="238">
        <f>IFERROR(__xludf.DUMMYFUNCTION("""COMPUTED_VALUE"""),46028.33333333333)</f>
        <v>46028.33333</v>
      </c>
      <c r="I3981" s="237" t="str">
        <f t="shared" si="1"/>
        <v>Fora</v>
      </c>
      <c r="J3981" s="239">
        <v>540.0</v>
      </c>
    </row>
    <row r="3982">
      <c r="A3982" s="234" t="s">
        <v>5180</v>
      </c>
      <c r="B3982" s="234" t="str">
        <f>IFERROR(__xludf.DUMMYFUNCTION("""COMPUTED_VALUE"""),"SoC_SP_Cravinhos")</f>
        <v>SoC_SP_Cravinhos</v>
      </c>
      <c r="C3982" s="234" t="str">
        <f>IFERROR(__xludf.DUMMYFUNCTION("""COMPUTED_VALUE"""),"SOC-SP5")</f>
        <v>SOC-SP5</v>
      </c>
      <c r="D3982" s="234">
        <f>IFERROR(__xludf.DUMMYFUNCTION("""COMPUTED_VALUE"""),95.0)</f>
        <v>95</v>
      </c>
      <c r="E3982" s="237" t="str">
        <f>IFERROR(__xludf.DUMMYFUNCTION("""COMPUTED_VALUE"""),"LT0Q1501VFGE1")</f>
        <v>LT0Q1501VFGE1</v>
      </c>
      <c r="F3982" s="238" t="str">
        <f>IFERROR(__xludf.DUMMYFUNCTION("""COMPUTED_VALUE"""),"TLW4H03,UDA5E04")</f>
        <v>TLW4H03,UDA5E04</v>
      </c>
      <c r="G3982" s="238">
        <f>IFERROR(__xludf.DUMMYFUNCTION("""COMPUTED_VALUE"""),46027.97916666667)</f>
        <v>46027.97917</v>
      </c>
      <c r="H3982" s="238">
        <f>IFERROR(__xludf.DUMMYFUNCTION("""COMPUTED_VALUE"""),46028.35416666667)</f>
        <v>46028.35417</v>
      </c>
      <c r="I3982" s="237" t="str">
        <f t="shared" si="1"/>
        <v>Fora</v>
      </c>
      <c r="J3982" s="239">
        <v>120.00000001396984</v>
      </c>
    </row>
    <row r="3983">
      <c r="A3983" s="234" t="s">
        <v>5181</v>
      </c>
      <c r="B3983" s="234" t="str">
        <f>IFERROR(__xludf.DUMMYFUNCTION("""COMPUTED_VALUE"""),"LM Hub_MG_Contagem 02")</f>
        <v>LM Hub_MG_Contagem 02</v>
      </c>
      <c r="C3983" s="234" t="str">
        <f>IFERROR(__xludf.DUMMYFUNCTION("""COMPUTED_VALUE"""),"HUB-LMG-62")</f>
        <v>HUB-LMG-62</v>
      </c>
      <c r="D3983" s="234">
        <f>IFERROR(__xludf.DUMMYFUNCTION("""COMPUTED_VALUE"""),24.0)</f>
        <v>24</v>
      </c>
      <c r="E3983" s="237" t="str">
        <f>IFERROR(__xludf.DUMMYFUNCTION("""COMPUTED_VALUE"""),"LT0Q1601VKXM2")</f>
        <v>LT0Q1601VKXM2</v>
      </c>
      <c r="F3983" s="238" t="str">
        <f>IFERROR(__xludf.DUMMYFUNCTION("""COMPUTED_VALUE"""),"DAO2E74,GXS5I56")</f>
        <v>DAO2E74,GXS5I56</v>
      </c>
      <c r="G3983" s="238">
        <f>IFERROR(__xludf.DUMMYFUNCTION("""COMPUTED_VALUE"""),46028.27083333333)</f>
        <v>46028.27083</v>
      </c>
      <c r="H3983" s="238">
        <f>IFERROR(__xludf.DUMMYFUNCTION("""COMPUTED_VALUE"""),46028.35416666667)</f>
        <v>46028.35417</v>
      </c>
      <c r="I3983" s="237" t="str">
        <f t="shared" si="1"/>
        <v>Fora</v>
      </c>
      <c r="J3983" s="239" t="e">
        <v>#VALUE!</v>
      </c>
    </row>
    <row r="3984">
      <c r="A3984" s="234" t="s">
        <v>666</v>
      </c>
      <c r="B3984" s="234" t="str">
        <f>IFERROR(__xludf.DUMMYFUNCTION("""COMPUTED_VALUE"""),"Fanout Desconhecido")</f>
        <v>Fanout Desconhecido</v>
      </c>
      <c r="C3984" s="234" t="str">
        <f>IFERROR(__xludf.DUMMYFUNCTION("""COMPUTED_VALUE"""),"-")</f>
        <v>-</v>
      </c>
      <c r="D3984" s="234">
        <f>IFERROR(__xludf.DUMMYFUNCTION("""COMPUTED_VALUE"""),91.0)</f>
        <v>91</v>
      </c>
      <c r="E3984" s="237" t="str">
        <f>IFERROR(__xludf.DUMMYFUNCTION("""COMPUTED_VALUE"""),"LT0Q1501VQYI1")</f>
        <v>LT0Q1501VQYI1</v>
      </c>
      <c r="F3984" s="238" t="str">
        <f>IFERROR(__xludf.DUMMYFUNCTION("""COMPUTED_VALUE"""),"-")</f>
        <v>-</v>
      </c>
      <c r="G3984" s="238" t="str">
        <f>IFERROR(__xludf.DUMMYFUNCTION("""COMPUTED_VALUE"""),"-")</f>
        <v>-</v>
      </c>
      <c r="H3984" s="238" t="str">
        <f>IFERROR(__xludf.DUMMYFUNCTION("""COMPUTED_VALUE"""),"-")</f>
        <v>-</v>
      </c>
      <c r="I3984" s="237" t="str">
        <f t="shared" si="1"/>
        <v>Dentro</v>
      </c>
      <c r="J3984" s="239">
        <v>360.0</v>
      </c>
    </row>
    <row r="3985">
      <c r="A3985" s="234" t="s">
        <v>664</v>
      </c>
      <c r="B3985" s="234" t="str">
        <f>IFERROR(__xludf.DUMMYFUNCTION("""COMPUTED_VALUE"""),"SoC_RS_Gravataí_02")</f>
        <v>SoC_RS_Gravataí_02</v>
      </c>
      <c r="C3985" s="234" t="str">
        <f>IFERROR(__xludf.DUMMYFUNCTION("""COMPUTED_VALUE"""),"SOC-RS2")</f>
        <v>SOC-RS2</v>
      </c>
      <c r="D3985" s="234">
        <f>IFERROR(__xludf.DUMMYFUNCTION("""COMPUTED_VALUE"""),112.0)</f>
        <v>112</v>
      </c>
      <c r="E3985" s="237" t="str">
        <f>IFERROR(__xludf.DUMMYFUNCTION("""COMPUTED_VALUE"""),"LT1Q1601W2IQ1")</f>
        <v>LT1Q1601W2IQ1</v>
      </c>
      <c r="F3985" s="238" t="str">
        <f>IFERROR(__xludf.DUMMYFUNCTION("""COMPUTED_VALUE"""),"FFD7D29,JQT3I39")</f>
        <v>FFD7D29,JQT3I39</v>
      </c>
      <c r="G3985" s="238">
        <f>IFERROR(__xludf.DUMMYFUNCTION("""COMPUTED_VALUE"""),46028.125)</f>
        <v>46028.125</v>
      </c>
      <c r="H3985" s="238">
        <f>IFERROR(__xludf.DUMMYFUNCTION("""COMPUTED_VALUE"""),46028.375)</f>
        <v>46028.375</v>
      </c>
      <c r="I3985" s="237" t="str">
        <f t="shared" si="1"/>
        <v>Fora</v>
      </c>
      <c r="J3985" s="239">
        <v>299.9999999930151</v>
      </c>
    </row>
    <row r="3986">
      <c r="A3986" s="234" t="s">
        <v>665</v>
      </c>
      <c r="B3986" s="234" t="str">
        <f>IFERROR(__xludf.DUMMYFUNCTION("""COMPUTED_VALUE"""),"SoC_SP_Guarulhos")</f>
        <v>SoC_SP_Guarulhos</v>
      </c>
      <c r="C3986" s="234" t="str">
        <f>IFERROR(__xludf.DUMMYFUNCTION("""COMPUTED_VALUE"""),"SOC-SP6")</f>
        <v>SOC-SP6</v>
      </c>
      <c r="D3986" s="234">
        <f>IFERROR(__xludf.DUMMYFUNCTION("""COMPUTED_VALUE"""),17.0)</f>
        <v>17</v>
      </c>
      <c r="E3986" s="237" t="str">
        <f>IFERROR(__xludf.DUMMYFUNCTION("""COMPUTED_VALUE"""),"LT0Q1601VGGM1")</f>
        <v>LT0Q1601VGGM1</v>
      </c>
      <c r="F3986" s="238" t="str">
        <f>IFERROR(__xludf.DUMMYFUNCTION("""COMPUTED_VALUE"""),"DBM1F51,MDA3C82")</f>
        <v>DBM1F51,MDA3C82</v>
      </c>
      <c r="G3986" s="238">
        <f>IFERROR(__xludf.DUMMYFUNCTION("""COMPUTED_VALUE"""),46028.16666666667)</f>
        <v>46028.16667</v>
      </c>
      <c r="H3986" s="238">
        <f>IFERROR(__xludf.DUMMYFUNCTION("""COMPUTED_VALUE"""),46028.375)</f>
        <v>46028.375</v>
      </c>
      <c r="I3986" s="237" t="str">
        <f t="shared" si="1"/>
        <v>Fora</v>
      </c>
      <c r="J3986" s="239">
        <v>119.00000000023283</v>
      </c>
    </row>
    <row r="3987">
      <c r="A3987" s="234" t="s">
        <v>661</v>
      </c>
      <c r="B3987" s="234" t="str">
        <f>IFERROR(__xludf.DUMMYFUNCTION("""COMPUTED_VALUE"""),"LM Hub_SP_Santo André")</f>
        <v>LM Hub_SP_Santo André</v>
      </c>
      <c r="C3987" s="234" t="str">
        <f>IFERROR(__xludf.DUMMYFUNCTION("""COMPUTED_VALUE"""),"HUB-LSP-93")</f>
        <v>HUB-LSP-93</v>
      </c>
      <c r="D3987" s="234">
        <f>IFERROR(__xludf.DUMMYFUNCTION("""COMPUTED_VALUE"""),19.0)</f>
        <v>19</v>
      </c>
      <c r="E3987" s="237" t="str">
        <f>IFERROR(__xludf.DUMMYFUNCTION("""COMPUTED_VALUE"""),"LT0Q1601VI9H1")</f>
        <v>LT0Q1601VI9H1</v>
      </c>
      <c r="F3987" s="238" t="str">
        <f>IFERROR(__xludf.DUMMYFUNCTION("""COMPUTED_VALUE"""),"HKE4A32,GLA1D74")</f>
        <v>HKE4A32,GLA1D74</v>
      </c>
      <c r="G3987" s="238">
        <f>IFERROR(__xludf.DUMMYFUNCTION("""COMPUTED_VALUE"""),46028.29236111111)</f>
        <v>46028.29236</v>
      </c>
      <c r="H3987" s="238">
        <f>IFERROR(__xludf.DUMMYFUNCTION("""COMPUTED_VALUE"""),46028.375)</f>
        <v>46028.375</v>
      </c>
      <c r="I3987" s="237" t="str">
        <f t="shared" si="1"/>
        <v>Fora</v>
      </c>
      <c r="J3987" s="239">
        <v>358.99999999674037</v>
      </c>
    </row>
    <row r="3988">
      <c r="A3988" s="234" t="s">
        <v>667</v>
      </c>
      <c r="B3988" s="234" t="str">
        <f>IFERROR(__xludf.DUMMYFUNCTION("""COMPUTED_VALUE"""),"SoC_SP_Cravinhos")</f>
        <v>SoC_SP_Cravinhos</v>
      </c>
      <c r="C3988" s="234" t="str">
        <f>IFERROR(__xludf.DUMMYFUNCTION("""COMPUTED_VALUE"""),"SOC-SP5")</f>
        <v>SOC-SP5</v>
      </c>
      <c r="D3988" s="234">
        <f>IFERROR(__xludf.DUMMYFUNCTION("""COMPUTED_VALUE"""),94.0)</f>
        <v>94</v>
      </c>
      <c r="E3988" s="237" t="str">
        <f>IFERROR(__xludf.DUMMYFUNCTION("""COMPUTED_VALUE"""),"LT0Q1601VFG21")</f>
        <v>LT0Q1601VFG21</v>
      </c>
      <c r="F3988" s="238" t="str">
        <f>IFERROR(__xludf.DUMMYFUNCTION("""COMPUTED_VALUE"""),"DTD5J99,DTA2J13")</f>
        <v>DTD5J99,DTA2J13</v>
      </c>
      <c r="G3988" s="238">
        <f>IFERROR(__xludf.DUMMYFUNCTION("""COMPUTED_VALUE"""),46028.25069444445)</f>
        <v>46028.25069</v>
      </c>
      <c r="H3988" s="238">
        <f>IFERROR(__xludf.DUMMYFUNCTION("""COMPUTED_VALUE"""),46028.5)</f>
        <v>46028.5</v>
      </c>
      <c r="I3988" s="237" t="str">
        <f t="shared" si="1"/>
        <v>Fora</v>
      </c>
      <c r="J3988" s="239">
        <v>600.0000000069849</v>
      </c>
    </row>
    <row r="3989">
      <c r="A3989" s="234" t="s">
        <v>668</v>
      </c>
      <c r="B3989" s="234" t="str">
        <f>IFERROR(__xludf.DUMMYFUNCTION("""COMPUTED_VALUE"""),"SoC_SC_Itajaí")</f>
        <v>SoC_SC_Itajaí</v>
      </c>
      <c r="C3989" s="234" t="str">
        <f>IFERROR(__xludf.DUMMYFUNCTION("""COMPUTED_VALUE"""),"SOC-SC1")</f>
        <v>SOC-SC1</v>
      </c>
      <c r="D3989" s="234"/>
      <c r="E3989" s="237" t="str">
        <f>IFERROR(__xludf.DUMMYFUNCTION("""COMPUTED_VALUE"""),"LT0Q1601VK941")</f>
        <v>LT0Q1601VK941</v>
      </c>
      <c r="F3989" s="238" t="str">
        <f>IFERROR(__xludf.DUMMYFUNCTION("""COMPUTED_VALUE"""),"TPZ0F66,SXB7D50")</f>
        <v>TPZ0F66,SXB7D50</v>
      </c>
      <c r="G3989" s="238">
        <f>IFERROR(__xludf.DUMMYFUNCTION("""COMPUTED_VALUE"""),46028.25)</f>
        <v>46028.25</v>
      </c>
      <c r="H3989" s="238">
        <f>IFERROR(__xludf.DUMMYFUNCTION("""COMPUTED_VALUE"""),46028.66666666667)</f>
        <v>46028.66667</v>
      </c>
      <c r="I3989" s="237" t="str">
        <f t="shared" si="1"/>
        <v>Fora</v>
      </c>
      <c r="J3989" s="239">
        <v>599.0000000037253</v>
      </c>
    </row>
    <row r="3990">
      <c r="A3990" s="234" t="s">
        <v>669</v>
      </c>
      <c r="B3990" s="234" t="str">
        <f>IFERROR(__xludf.DUMMYFUNCTION("""COMPUTED_VALUE"""),"SoC_BA_Simoes Filho")</f>
        <v>SoC_BA_Simoes Filho</v>
      </c>
      <c r="C3990" s="234" t="str">
        <f>IFERROR(__xludf.DUMMYFUNCTION("""COMPUTED_VALUE"""),"SOC-BA2")</f>
        <v>SOC-BA2</v>
      </c>
      <c r="D3990" s="234"/>
      <c r="E3990" s="237" t="str">
        <f>IFERROR(__xludf.DUMMYFUNCTION("""COMPUTED_VALUE"""),"LT0Q1601VL9R1")</f>
        <v>LT0Q1601VL9R1</v>
      </c>
      <c r="F3990" s="238" t="str">
        <f>IFERROR(__xludf.DUMMYFUNCTION("""COMPUTED_VALUE"""),"TXF7J42,TDR3G25")</f>
        <v>TXF7J42,TDR3G25</v>
      </c>
      <c r="G3990" s="238">
        <f>IFERROR(__xludf.DUMMYFUNCTION("""COMPUTED_VALUE"""),46028.25069444445)</f>
        <v>46028.25069</v>
      </c>
      <c r="H3990" s="238">
        <f>IFERROR(__xludf.DUMMYFUNCTION("""COMPUTED_VALUE"""),46028.66666666667)</f>
        <v>46028.66667</v>
      </c>
      <c r="I3990" s="237" t="str">
        <f t="shared" si="1"/>
        <v>Fora</v>
      </c>
      <c r="J3990" s="239">
        <v>599.0000000037253</v>
      </c>
    </row>
    <row r="3991">
      <c r="A3991" s="234" t="s">
        <v>671</v>
      </c>
      <c r="B3991" s="234" t="str">
        <f>IFERROR(__xludf.DUMMYFUNCTION("""COMPUTED_VALUE"""),"SoC_GO_Goiânia_02")</f>
        <v>SoC_GO_Goiânia_02</v>
      </c>
      <c r="C3991" s="234" t="str">
        <f>IFERROR(__xludf.DUMMYFUNCTION("""COMPUTED_VALUE"""),"SOC-GO2")</f>
        <v>SOC-GO2</v>
      </c>
      <c r="D3991" s="234">
        <f>IFERROR(__xludf.DUMMYFUNCTION("""COMPUTED_VALUE"""),87.0)</f>
        <v>87</v>
      </c>
      <c r="E3991" s="237" t="str">
        <f>IFERROR(__xludf.DUMMYFUNCTION("""COMPUTED_VALUE"""),"LT0Q1601VLJS1")</f>
        <v>LT0Q1601VLJS1</v>
      </c>
      <c r="F3991" s="238" t="str">
        <f>IFERROR(__xludf.DUMMYFUNCTION("""COMPUTED_VALUE"""),"MJR4B06,IMM3C01")</f>
        <v>MJR4B06,IMM3C01</v>
      </c>
      <c r="G3991" s="238">
        <f>IFERROR(__xludf.DUMMYFUNCTION("""COMPUTED_VALUE"""),46028.25069444445)</f>
        <v>46028.25069</v>
      </c>
      <c r="H3991" s="238">
        <f>IFERROR(__xludf.DUMMYFUNCTION("""COMPUTED_VALUE"""),46028.66666666667)</f>
        <v>46028.66667</v>
      </c>
      <c r="I3991" s="237" t="str">
        <f t="shared" si="1"/>
        <v>Fora</v>
      </c>
      <c r="J3991" s="239">
        <v>598.0000000004657</v>
      </c>
    </row>
    <row r="3992">
      <c r="A3992" s="234" t="s">
        <v>670</v>
      </c>
      <c r="B3992" s="234" t="str">
        <f>IFERROR(__xludf.DUMMYFUNCTION("""COMPUTED_VALUE"""),"SoC_RJ_Duque de Caxias")</f>
        <v>SoC_RJ_Duque de Caxias</v>
      </c>
      <c r="C3992" s="234" t="str">
        <f>IFERROR(__xludf.DUMMYFUNCTION("""COMPUTED_VALUE"""),"SOC-RJ2")</f>
        <v>SOC-RJ2</v>
      </c>
      <c r="D3992" s="234">
        <f>IFERROR(__xludf.DUMMYFUNCTION("""COMPUTED_VALUE"""),113.0)</f>
        <v>113</v>
      </c>
      <c r="E3992" s="237" t="str">
        <f>IFERROR(__xludf.DUMMYFUNCTION("""COMPUTED_VALUE"""),"LT0Q1601VRQN1")</f>
        <v>LT0Q1601VRQN1</v>
      </c>
      <c r="F3992" s="238" t="str">
        <f>IFERROR(__xludf.DUMMYFUNCTION("""COMPUTED_VALUE"""),"LLW8A10,GDL8J45")</f>
        <v>LLW8A10,GDL8J45</v>
      </c>
      <c r="G3992" s="238">
        <f>IFERROR(__xludf.DUMMYFUNCTION("""COMPUTED_VALUE"""),46028.25138888889)</f>
        <v>46028.25139</v>
      </c>
      <c r="H3992" s="238">
        <f>IFERROR(__xludf.DUMMYFUNCTION("""COMPUTED_VALUE"""),46028.66666666667)</f>
        <v>46028.66667</v>
      </c>
      <c r="I3992" s="237" t="str">
        <f t="shared" si="1"/>
        <v>Fora</v>
      </c>
      <c r="J3992" s="239">
        <v>119.99999999301508</v>
      </c>
    </row>
    <row r="3993">
      <c r="A3993" s="234" t="s">
        <v>5182</v>
      </c>
      <c r="B3993" s="234" t="str">
        <f>IFERROR(__xludf.DUMMYFUNCTION("""COMPUTED_VALUE"""),"SoC_RJ_Duque de Caxias")</f>
        <v>SoC_RJ_Duque de Caxias</v>
      </c>
      <c r="C3993" s="234" t="str">
        <f>IFERROR(__xludf.DUMMYFUNCTION("""COMPUTED_VALUE"""),"SOC-RJ2")</f>
        <v>SOC-RJ2</v>
      </c>
      <c r="D3993" s="234">
        <f>IFERROR(__xludf.DUMMYFUNCTION("""COMPUTED_VALUE"""),112.0)</f>
        <v>112</v>
      </c>
      <c r="E3993" s="237" t="str">
        <f>IFERROR(__xludf.DUMMYFUNCTION("""COMPUTED_VALUE"""),"LT1Q1601W2TF1")</f>
        <v>LT1Q1601W2TF1</v>
      </c>
      <c r="F3993" s="238" t="str">
        <f>IFERROR(__xludf.DUMMYFUNCTION("""COMPUTED_VALUE"""),"BSX0I27,FBV8J63")</f>
        <v>BSX0I27,FBV8J63</v>
      </c>
      <c r="G3993" s="238">
        <f>IFERROR(__xludf.DUMMYFUNCTION("""COMPUTED_VALUE"""),46028.625)</f>
        <v>46028.625</v>
      </c>
      <c r="H3993" s="238">
        <f>IFERROR(__xludf.DUMMYFUNCTION("""COMPUTED_VALUE"""),46028.70833333333)</f>
        <v>46028.70833</v>
      </c>
      <c r="I3993" s="237" t="str">
        <f t="shared" si="1"/>
        <v>Fora</v>
      </c>
      <c r="J3993" s="239">
        <v>119.99999999301508</v>
      </c>
    </row>
    <row r="3994">
      <c r="A3994" s="234" t="s">
        <v>5183</v>
      </c>
      <c r="B3994" s="234" t="str">
        <f>IFERROR(__xludf.DUMMYFUNCTION("""COMPUTED_VALUE"""),"SoC_RJ_Duque de Caxias")</f>
        <v>SoC_RJ_Duque de Caxias</v>
      </c>
      <c r="C3994" s="234" t="str">
        <f>IFERROR(__xludf.DUMMYFUNCTION("""COMPUTED_VALUE"""),"SOC-RJ2")</f>
        <v>SOC-RJ2</v>
      </c>
      <c r="D3994" s="234">
        <f>IFERROR(__xludf.DUMMYFUNCTION("""COMPUTED_VALUE"""),114.0)</f>
        <v>114</v>
      </c>
      <c r="E3994" s="237" t="str">
        <f>IFERROR(__xludf.DUMMYFUNCTION("""COMPUTED_VALUE"""),"LT1Q1601W2TG1")</f>
        <v>LT1Q1601W2TG1</v>
      </c>
      <c r="F3994" s="238" t="str">
        <f>IFERROR(__xludf.DUMMYFUNCTION("""COMPUTED_VALUE"""),"TMG5B23,TLU7A63")</f>
        <v>TMG5B23,TLU7A63</v>
      </c>
      <c r="G3994" s="238">
        <f>IFERROR(__xludf.DUMMYFUNCTION("""COMPUTED_VALUE"""),46028.75)</f>
        <v>46028.75</v>
      </c>
      <c r="H3994" s="238">
        <f>IFERROR(__xludf.DUMMYFUNCTION("""COMPUTED_VALUE"""),46028.83333333333)</f>
        <v>46028.83333</v>
      </c>
      <c r="I3994" s="237" t="str">
        <f t="shared" si="1"/>
        <v>Fora</v>
      </c>
      <c r="J3994" s="239">
        <v>119.99999999301508</v>
      </c>
    </row>
    <row r="3995">
      <c r="A3995" s="234" t="s">
        <v>5184</v>
      </c>
      <c r="B3995" s="234" t="str">
        <f>IFERROR(__xludf.DUMMYFUNCTION("""COMPUTED_VALUE"""),"SoC_SP_Cravinhos")</f>
        <v>SoC_SP_Cravinhos</v>
      </c>
      <c r="C3995" s="234" t="str">
        <f>IFERROR(__xludf.DUMMYFUNCTION("""COMPUTED_VALUE"""),"SOC-SP5")</f>
        <v>SOC-SP5</v>
      </c>
      <c r="D3995" s="234" t="str">
        <f>IFERROR(__xludf.DUMMYFUNCTION("""COMPUTED_VALUE"""),"95/49")</f>
        <v>95/49</v>
      </c>
      <c r="E3995" s="237" t="str">
        <f>IFERROR(__xludf.DUMMYFUNCTION("""COMPUTED_VALUE"""),"LT1Q1601W2T51")</f>
        <v>LT1Q1601W2T51</v>
      </c>
      <c r="F3995" s="238" t="str">
        <f>IFERROR(__xludf.DUMMYFUNCTION("""COMPUTED_VALUE"""),"RFZ6D54,FCB5202")</f>
        <v>RFZ6D54,FCB5202</v>
      </c>
      <c r="G3995" s="238">
        <f>IFERROR(__xludf.DUMMYFUNCTION("""COMPUTED_VALUE"""),46028.75)</f>
        <v>46028.75</v>
      </c>
      <c r="H3995" s="238">
        <f>IFERROR(__xludf.DUMMYFUNCTION("""COMPUTED_VALUE"""),46028.83333333333)</f>
        <v>46028.83333</v>
      </c>
      <c r="I3995" s="237" t="str">
        <f t="shared" si="1"/>
        <v>Fora</v>
      </c>
      <c r="J3995" s="239">
        <v>119.99999999301508</v>
      </c>
    </row>
    <row r="3996">
      <c r="A3996" s="234" t="s">
        <v>5185</v>
      </c>
      <c r="B3996" s="234" t="str">
        <f>IFERROR(__xludf.DUMMYFUNCTION("""COMPUTED_VALUE"""),"SoC_MG_Betim")</f>
        <v>SoC_MG_Betim</v>
      </c>
      <c r="C3996" s="234" t="str">
        <f>IFERROR(__xludf.DUMMYFUNCTION("""COMPUTED_VALUE"""),"SOC-MG2")</f>
        <v>SOC-MG2</v>
      </c>
      <c r="D3996" s="234">
        <f>IFERROR(__xludf.DUMMYFUNCTION("""COMPUTED_VALUE"""),45.0)</f>
        <v>45</v>
      </c>
      <c r="E3996" s="237" t="str">
        <f>IFERROR(__xludf.DUMMYFUNCTION("""COMPUTED_VALUE"""),"LT1Q1601W3BZ1")</f>
        <v>LT1Q1601W3BZ1</v>
      </c>
      <c r="F3996" s="238" t="str">
        <f>IFERROR(__xludf.DUMMYFUNCTION("""COMPUTED_VALUE"""),"NXX6G60,MQZ9I26")</f>
        <v>NXX6G60,MQZ9I26</v>
      </c>
      <c r="G3996" s="238">
        <f>IFERROR(__xludf.DUMMYFUNCTION("""COMPUTED_VALUE"""),46028.875)</f>
        <v>46028.875</v>
      </c>
      <c r="H3996" s="238">
        <f>IFERROR(__xludf.DUMMYFUNCTION("""COMPUTED_VALUE"""),46028.95833333333)</f>
        <v>46028.95833</v>
      </c>
      <c r="I3996" s="237" t="str">
        <f t="shared" si="1"/>
        <v>Fora</v>
      </c>
      <c r="J3996" s="239">
        <v>119.99999999301508</v>
      </c>
    </row>
    <row r="3997">
      <c r="A3997" s="234" t="s">
        <v>5185</v>
      </c>
      <c r="B3997" s="234" t="str">
        <f>IFERROR(__xludf.DUMMYFUNCTION("""COMPUTED_VALUE"""),"SoC_MG_Betim")</f>
        <v>SoC_MG_Betim</v>
      </c>
      <c r="C3997" s="234" t="str">
        <f>IFERROR(__xludf.DUMMYFUNCTION("""COMPUTED_VALUE"""),"SOC-MG2")</f>
        <v>SOC-MG2</v>
      </c>
      <c r="D3997" s="234">
        <f>IFERROR(__xludf.DUMMYFUNCTION("""COMPUTED_VALUE"""),39.0)</f>
        <v>39</v>
      </c>
      <c r="E3997" s="237" t="str">
        <f>IFERROR(__xludf.DUMMYFUNCTION("""COMPUTED_VALUE"""),"LT1Q1601W3BZ1")</f>
        <v>LT1Q1601W3BZ1</v>
      </c>
      <c r="F3997" s="238" t="str">
        <f>IFERROR(__xludf.DUMMYFUNCTION("""COMPUTED_VALUE"""),"NXX6G60,MQZ9I26")</f>
        <v>NXX6G60,MQZ9I26</v>
      </c>
      <c r="G3997" s="238">
        <f>IFERROR(__xludf.DUMMYFUNCTION("""COMPUTED_VALUE"""),46028.875)</f>
        <v>46028.875</v>
      </c>
      <c r="H3997" s="238">
        <f>IFERROR(__xludf.DUMMYFUNCTION("""COMPUTED_VALUE"""),46028.95833333333)</f>
        <v>46028.95833</v>
      </c>
      <c r="I3997" s="237" t="str">
        <f t="shared" si="1"/>
        <v>Fora</v>
      </c>
      <c r="J3997" s="239">
        <v>119.99999999301508</v>
      </c>
    </row>
    <row r="3998">
      <c r="A3998" s="234" t="s">
        <v>5186</v>
      </c>
      <c r="B3998" s="234" t="str">
        <f>IFERROR(__xludf.DUMMYFUNCTION("""COMPUTED_VALUE"""),"LM Hub_SP_São José dos Campos")</f>
        <v>LM Hub_SP_São José dos Campos</v>
      </c>
      <c r="C3998" s="234" t="str">
        <f>IFERROR(__xludf.DUMMYFUNCTION("""COMPUTED_VALUE"""),"HUB-LSP-04")</f>
        <v>HUB-LSP-04</v>
      </c>
      <c r="D3998" s="234"/>
      <c r="E3998" s="237" t="str">
        <f>IFERROR(__xludf.DUMMYFUNCTION("""COMPUTED_VALUE"""),"LT0Q1601VFMF1")</f>
        <v>LT0Q1601VFMF1</v>
      </c>
      <c r="F3998" s="238" t="str">
        <f>IFERROR(__xludf.DUMMYFUNCTION("""COMPUTED_VALUE"""),"-")</f>
        <v>-</v>
      </c>
      <c r="G3998" s="238">
        <f>IFERROR(__xludf.DUMMYFUNCTION("""COMPUTED_VALUE"""),46028.895833333336)</f>
        <v>46028.89583</v>
      </c>
      <c r="H3998" s="238">
        <f>IFERROR(__xludf.DUMMYFUNCTION("""COMPUTED_VALUE"""),46028.979166666664)</f>
        <v>46028.97917</v>
      </c>
      <c r="I3998" s="237" t="str">
        <f t="shared" si="1"/>
        <v>Fora</v>
      </c>
      <c r="J3998" s="239">
        <v>120.00000001396984</v>
      </c>
    </row>
    <row r="3999">
      <c r="A3999" s="234" t="s">
        <v>5187</v>
      </c>
      <c r="B3999" s="234" t="str">
        <f>IFERROR(__xludf.DUMMYFUNCTION("""COMPUTED_VALUE"""),"LM Hub_RJ_Jacarepaguá")</f>
        <v>LM Hub_RJ_Jacarepaguá</v>
      </c>
      <c r="C3999" s="234" t="str">
        <f>IFERROR(__xludf.DUMMYFUNCTION("""COMPUTED_VALUE"""),"HUB-LRJ-29")</f>
        <v>HUB-LRJ-29</v>
      </c>
      <c r="D3999" s="234">
        <f>IFERROR(__xludf.DUMMYFUNCTION("""COMPUTED_VALUE"""),34.0)</f>
        <v>34</v>
      </c>
      <c r="E3999" s="237" t="str">
        <f>IFERROR(__xludf.DUMMYFUNCTION("""COMPUTED_VALUE"""),"LT0Q1601VLGJ1")</f>
        <v>LT0Q1601VLGJ1</v>
      </c>
      <c r="F3999" s="238" t="str">
        <f>IFERROR(__xludf.DUMMYFUNCTION("""COMPUTED_VALUE"""),"TBX6B96")</f>
        <v>TBX6B96</v>
      </c>
      <c r="G3999" s="238">
        <f>IFERROR(__xludf.DUMMYFUNCTION("""COMPUTED_VALUE"""),46028.89583333333)</f>
        <v>46028.89583</v>
      </c>
      <c r="H3999" s="238">
        <f>IFERROR(__xludf.DUMMYFUNCTION("""COMPUTED_VALUE"""),46028.97916666667)</f>
        <v>46028.97917</v>
      </c>
      <c r="I3999" s="237" t="str">
        <f t="shared" si="1"/>
        <v>Fora</v>
      </c>
      <c r="J3999" s="239">
        <v>120.00000001396984</v>
      </c>
    </row>
    <row r="4000">
      <c r="A4000" s="234" t="s">
        <v>5188</v>
      </c>
      <c r="B4000" s="234" t="str">
        <f>IFERROR(__xludf.DUMMYFUNCTION("""COMPUTED_VALUE"""),"LM Hub_SP_Santos_Praia Grande")</f>
        <v>LM Hub_SP_Santos_Praia Grande</v>
      </c>
      <c r="C4000" s="234" t="str">
        <f>IFERROR(__xludf.DUMMYFUNCTION("""COMPUTED_VALUE"""),"HUB-LSP-09")</f>
        <v>HUB-LSP-09</v>
      </c>
      <c r="D4000" s="234">
        <f>IFERROR(__xludf.DUMMYFUNCTION("""COMPUTED_VALUE"""),35.0)</f>
        <v>35</v>
      </c>
      <c r="E4000" s="237" t="str">
        <f>IFERROR(__xludf.DUMMYFUNCTION("""COMPUTED_VALUE"""),"LT0Q1601VFL71")</f>
        <v>LT0Q1601VFL71</v>
      </c>
      <c r="F4000" s="238" t="str">
        <f>IFERROR(__xludf.DUMMYFUNCTION("""COMPUTED_VALUE"""),"GBZ5C42,TJP3B43")</f>
        <v>GBZ5C42,TJP3B43</v>
      </c>
      <c r="G4000" s="238">
        <f>IFERROR(__xludf.DUMMYFUNCTION("""COMPUTED_VALUE"""),46028.89583333333)</f>
        <v>46028.89583</v>
      </c>
      <c r="H4000" s="238">
        <f>IFERROR(__xludf.DUMMYFUNCTION("""COMPUTED_VALUE"""),46028.97916666667)</f>
        <v>46028.97917</v>
      </c>
      <c r="I4000" s="237" t="str">
        <f t="shared" si="1"/>
        <v>Fora</v>
      </c>
      <c r="J4000" s="239">
        <v>120.00000001396984</v>
      </c>
    </row>
    <row r="4001">
      <c r="A4001" s="234" t="s">
        <v>5189</v>
      </c>
      <c r="B4001" s="234" t="str">
        <f>IFERROR(__xludf.DUMMYFUNCTION("""COMPUTED_VALUE"""),"LM Hub_SP_São Paulo_Lapa")</f>
        <v>LM Hub_SP_São Paulo_Lapa</v>
      </c>
      <c r="C4001" s="234" t="str">
        <f>IFERROR(__xludf.DUMMYFUNCTION("""COMPUTED_VALUE"""),"HUB-LSP-15")</f>
        <v>HUB-LSP-15</v>
      </c>
      <c r="D4001" s="234"/>
      <c r="E4001" s="237" t="str">
        <f>IFERROR(__xludf.DUMMYFUNCTION("""COMPUTED_VALUE"""),"LT0Q1601VFHN1")</f>
        <v>LT0Q1601VFHN1</v>
      </c>
      <c r="F4001" s="234"/>
      <c r="G4001" s="238">
        <f>IFERROR(__xludf.DUMMYFUNCTION("""COMPUTED_VALUE"""),46028.89583333333)</f>
        <v>46028.89583</v>
      </c>
      <c r="H4001" s="238">
        <f>IFERROR(__xludf.DUMMYFUNCTION("""COMPUTED_VALUE"""),46028.97916666667)</f>
        <v>46028.97917</v>
      </c>
      <c r="I4001" s="237" t="str">
        <f t="shared" si="1"/>
        <v>Fora</v>
      </c>
      <c r="J4001" s="239">
        <v>119.00000001071021</v>
      </c>
    </row>
    <row r="4002">
      <c r="A4002" s="234" t="s">
        <v>5190</v>
      </c>
      <c r="B4002" s="234" t="str">
        <f>IFERROR(__xludf.DUMMYFUNCTION("""COMPUTED_VALUE"""),"LM Hub_SP_Itaqua_Zimba")</f>
        <v>LM Hub_SP_Itaqua_Zimba</v>
      </c>
      <c r="C4002" s="234" t="str">
        <f>IFERROR(__xludf.DUMMYFUNCTION("""COMPUTED_VALUE"""),"HUB-LSP-74")</f>
        <v>HUB-LSP-74</v>
      </c>
      <c r="D4002" s="234"/>
      <c r="E4002" s="237" t="str">
        <f>IFERROR(__xludf.DUMMYFUNCTION("""COMPUTED_VALUE"""),"LT0Q1601VFJC1")</f>
        <v>LT0Q1601VFJC1</v>
      </c>
      <c r="F4002" s="238" t="str">
        <f>IFERROR(__xludf.DUMMYFUNCTION("""COMPUTED_VALUE"""),"CUN2I58")</f>
        <v>CUN2I58</v>
      </c>
      <c r="G4002" s="238">
        <f>IFERROR(__xludf.DUMMYFUNCTION("""COMPUTED_VALUE"""),46028.896527777775)</f>
        <v>46028.89653</v>
      </c>
      <c r="H4002" s="238">
        <f>IFERROR(__xludf.DUMMYFUNCTION("""COMPUTED_VALUE"""),46028.97916666667)</f>
        <v>46028.97917</v>
      </c>
      <c r="I4002" s="237" t="str">
        <f t="shared" si="1"/>
        <v>Fora</v>
      </c>
      <c r="J4002" s="239">
        <v>119.00000001071021</v>
      </c>
    </row>
    <row r="4003">
      <c r="A4003" s="234" t="s">
        <v>5191</v>
      </c>
      <c r="B4003" s="234" t="str">
        <f>IFERROR(__xludf.DUMMYFUNCTION("""COMPUTED_VALUE"""),"LM Hub_SP_Jurubatuba")</f>
        <v>LM Hub_SP_Jurubatuba</v>
      </c>
      <c r="C4003" s="234" t="str">
        <f>IFERROR(__xludf.DUMMYFUNCTION("""COMPUTED_VALUE"""),"HUB-LSP-16")</f>
        <v>HUB-LSP-16</v>
      </c>
      <c r="D4003" s="234"/>
      <c r="E4003" s="237" t="str">
        <f>IFERROR(__xludf.DUMMYFUNCTION("""COMPUTED_VALUE"""),"LT0Q1601VFHU1")</f>
        <v>LT0Q1601VFHU1</v>
      </c>
      <c r="F4003" s="238" t="str">
        <f>IFERROR(__xludf.DUMMYFUNCTION("""COMPUTED_VALUE"""),"FYU4F06")</f>
        <v>FYU4F06</v>
      </c>
      <c r="G4003" s="238">
        <f>IFERROR(__xludf.DUMMYFUNCTION("""COMPUTED_VALUE"""),46028.896527777775)</f>
        <v>46028.89653</v>
      </c>
      <c r="H4003" s="238">
        <f>IFERROR(__xludf.DUMMYFUNCTION("""COMPUTED_VALUE"""),46028.97916666667)</f>
        <v>46028.97917</v>
      </c>
      <c r="I4003" s="237" t="str">
        <f t="shared" si="1"/>
        <v>Fora</v>
      </c>
      <c r="J4003" s="239">
        <v>117.00000000419095</v>
      </c>
    </row>
    <row r="4004">
      <c r="A4004" s="234" t="s">
        <v>5192</v>
      </c>
      <c r="B4004" s="234" t="str">
        <f>IFERROR(__xludf.DUMMYFUNCTION("""COMPUTED_VALUE"""),"LM Hub_SP_Jurubatuba")</f>
        <v>LM Hub_SP_Jurubatuba</v>
      </c>
      <c r="C4004" s="234" t="str">
        <f>IFERROR(__xludf.DUMMYFUNCTION("""COMPUTED_VALUE"""),"HUB-LSP-16")</f>
        <v>HUB-LSP-16</v>
      </c>
      <c r="D4004" s="234">
        <f>IFERROR(__xludf.DUMMYFUNCTION("""COMPUTED_VALUE"""),6.0)</f>
        <v>6</v>
      </c>
      <c r="E4004" s="237" t="str">
        <f>IFERROR(__xludf.DUMMYFUNCTION("""COMPUTED_VALUE"""),"LT0Q1601VFHW1")</f>
        <v>LT0Q1601VFHW1</v>
      </c>
      <c r="F4004" s="238" t="str">
        <f>IFERROR(__xludf.DUMMYFUNCTION("""COMPUTED_VALUE"""),"MQM6I27,FXB7G01")</f>
        <v>MQM6I27,FXB7G01</v>
      </c>
      <c r="G4004" s="238">
        <f>IFERROR(__xludf.DUMMYFUNCTION("""COMPUTED_VALUE"""),46028.89791666667)</f>
        <v>46028.89792</v>
      </c>
      <c r="H4004" s="238">
        <f>IFERROR(__xludf.DUMMYFUNCTION("""COMPUTED_VALUE"""),46028.97916666667)</f>
        <v>46028.97917</v>
      </c>
      <c r="I4004" s="237" t="str">
        <f t="shared" si="1"/>
        <v>Fora</v>
      </c>
      <c r="J4004" s="239">
        <v>60.00000000698492</v>
      </c>
    </row>
    <row r="4005">
      <c r="A4005" s="234" t="s">
        <v>5193</v>
      </c>
      <c r="B4005" s="234" t="str">
        <f>IFERROR(__xludf.DUMMYFUNCTION("""COMPUTED_VALUE"""),"LM Hub_SP_Embu das Artes_02")</f>
        <v>LM Hub_SP_Embu das Artes_02</v>
      </c>
      <c r="C4005" s="234" t="str">
        <f>IFERROR(__xludf.DUMMYFUNCTION("""COMPUTED_VALUE"""),"HUB-LSP-96")</f>
        <v>HUB-LSP-96</v>
      </c>
      <c r="D4005" s="234"/>
      <c r="E4005" s="237" t="str">
        <f>IFERROR(__xludf.DUMMYFUNCTION("""COMPUTED_VALUE"""),"LT0Q1601VJD31")</f>
        <v>LT0Q1601VJD31</v>
      </c>
      <c r="F4005" s="238" t="str">
        <f>IFERROR(__xludf.DUMMYFUNCTION("""COMPUTED_VALUE"""),"ONN9D62")</f>
        <v>ONN9D62</v>
      </c>
      <c r="G4005" s="238">
        <f>IFERROR(__xludf.DUMMYFUNCTION("""COMPUTED_VALUE"""),46028.9375)</f>
        <v>46028.9375</v>
      </c>
      <c r="H4005" s="238">
        <f>IFERROR(__xludf.DUMMYFUNCTION("""COMPUTED_VALUE"""),46028.97916666667)</f>
        <v>46028.97917</v>
      </c>
      <c r="I4005" s="237" t="str">
        <f t="shared" si="1"/>
        <v>Fora</v>
      </c>
      <c r="J4005" s="239">
        <v>118.99999998975545</v>
      </c>
    </row>
    <row r="4006">
      <c r="A4006" s="234" t="s">
        <v>5194</v>
      </c>
      <c r="B4006" s="234" t="str">
        <f>IFERROR(__xludf.DUMMYFUNCTION("""COMPUTED_VALUE"""),"LM Hub_SP_Guarujá")</f>
        <v>LM Hub_SP_Guarujá</v>
      </c>
      <c r="C4006" s="234" t="str">
        <f>IFERROR(__xludf.DUMMYFUNCTION("""COMPUTED_VALUE"""),"HUB-LSP-06")</f>
        <v>HUB-LSP-06</v>
      </c>
      <c r="D4006" s="234">
        <f>IFERROR(__xludf.DUMMYFUNCTION("""COMPUTED_VALUE"""),32.0)</f>
        <v>32</v>
      </c>
      <c r="E4006" s="237" t="str">
        <f>IFERROR(__xludf.DUMMYFUNCTION("""COMPUTED_VALUE"""),"LT0Q1601VFK41")</f>
        <v>LT0Q1601VFK41</v>
      </c>
      <c r="F4006" s="238" t="str">
        <f>IFERROR(__xludf.DUMMYFUNCTION("""COMPUTED_VALUE"""),"SVL5H32")</f>
        <v>SVL5H32</v>
      </c>
      <c r="G4006" s="238">
        <f>IFERROR(__xludf.DUMMYFUNCTION("""COMPUTED_VALUE"""),46028.91666666667)</f>
        <v>46028.91667</v>
      </c>
      <c r="H4006" s="238">
        <f>IFERROR(__xludf.DUMMYFUNCTION("""COMPUTED_VALUE"""),46028.99930555555)</f>
        <v>46028.99931</v>
      </c>
      <c r="I4006" s="237" t="str">
        <f t="shared" si="1"/>
        <v>Fora</v>
      </c>
      <c r="J4006" s="239">
        <v>119.99999999301508</v>
      </c>
    </row>
    <row r="4007">
      <c r="A4007" s="234" t="s">
        <v>5195</v>
      </c>
      <c r="B4007" s="234" t="str">
        <f>IFERROR(__xludf.DUMMYFUNCTION("""COMPUTED_VALUE"""),"LM Hub_RS_Porto Alegre_Floresta")</f>
        <v>LM Hub_RS_Porto Alegre_Floresta</v>
      </c>
      <c r="C4007" s="234" t="str">
        <f>IFERROR(__xludf.DUMMYFUNCTION("""COMPUTED_VALUE"""),"HUB-LRS-03")</f>
        <v>HUB-LRS-03</v>
      </c>
      <c r="D4007" s="234"/>
      <c r="E4007" s="237" t="str">
        <f>IFERROR(__xludf.DUMMYFUNCTION("""COMPUTED_VALUE"""),"LT0Q1601VM2W1")</f>
        <v>LT0Q1601VM2W1</v>
      </c>
      <c r="F4007" s="238" t="str">
        <f>IFERROR(__xludf.DUMMYFUNCTION("""COMPUTED_VALUE"""),"IRX7E88")</f>
        <v>IRX7E88</v>
      </c>
      <c r="G4007" s="238">
        <f>IFERROR(__xludf.DUMMYFUNCTION("""COMPUTED_VALUE"""),46028.91666666667)</f>
        <v>46028.91667</v>
      </c>
      <c r="H4007" s="238">
        <f>IFERROR(__xludf.DUMMYFUNCTION("""COMPUTED_VALUE"""),46029.0)</f>
        <v>46029</v>
      </c>
      <c r="I4007" s="237" t="str">
        <f t="shared" si="1"/>
        <v>Fora</v>
      </c>
      <c r="J4007" s="239">
        <v>119.99999999301508</v>
      </c>
    </row>
    <row r="4008">
      <c r="A4008" s="234" t="s">
        <v>5196</v>
      </c>
      <c r="B4008" s="234" t="str">
        <f>IFERROR(__xludf.DUMMYFUNCTION("""COMPUTED_VALUE"""),"LM Hub_SP_Guarulhos")</f>
        <v>LM Hub_SP_Guarulhos</v>
      </c>
      <c r="C4008" s="234" t="str">
        <f>IFERROR(__xludf.DUMMYFUNCTION("""COMPUTED_VALUE"""),"HUB-LSP-77")</f>
        <v>HUB-LSP-77</v>
      </c>
      <c r="D4008" s="234">
        <f>IFERROR(__xludf.DUMMYFUNCTION("""COMPUTED_VALUE"""),38.0)</f>
        <v>38</v>
      </c>
      <c r="E4008" s="237" t="str">
        <f>IFERROR(__xludf.DUMMYFUNCTION("""COMPUTED_VALUE"""),"LT0Q1601VG7F1")</f>
        <v>LT0Q1601VG7F1</v>
      </c>
      <c r="F4008" s="238" t="str">
        <f>IFERROR(__xludf.DUMMYFUNCTION("""COMPUTED_VALUE"""),"FEB5I21,FRT9A70")</f>
        <v>FEB5I21,FRT9A70</v>
      </c>
      <c r="G4008" s="238">
        <f>IFERROR(__xludf.DUMMYFUNCTION("""COMPUTED_VALUE"""),46028.91666666667)</f>
        <v>46028.91667</v>
      </c>
      <c r="H4008" s="238">
        <f>IFERROR(__xludf.DUMMYFUNCTION("""COMPUTED_VALUE"""),46029.0)</f>
        <v>46029</v>
      </c>
      <c r="I4008" s="237" t="str">
        <f t="shared" si="1"/>
        <v>Fora</v>
      </c>
      <c r="J4008" s="239">
        <v>119.99999999301508</v>
      </c>
    </row>
    <row r="4009">
      <c r="A4009" s="234" t="s">
        <v>5197</v>
      </c>
      <c r="B4009" s="234" t="str">
        <f>IFERROR(__xludf.DUMMYFUNCTION("""COMPUTED_VALUE"""),"LM Hub_SP_Limeira_Campo Belo")</f>
        <v>LM Hub_SP_Limeira_Campo Belo</v>
      </c>
      <c r="C4009" s="234" t="str">
        <f>IFERROR(__xludf.DUMMYFUNCTION("""COMPUTED_VALUE"""),"HUB-LSP-24")</f>
        <v>HUB-LSP-24</v>
      </c>
      <c r="D4009" s="234">
        <f>IFERROR(__xludf.DUMMYFUNCTION("""COMPUTED_VALUE"""),9.0)</f>
        <v>9</v>
      </c>
      <c r="E4009" s="237" t="str">
        <f>IFERROR(__xludf.DUMMYFUNCTION("""COMPUTED_VALUE"""),"LT0Q1601VFLY1")</f>
        <v>LT0Q1601VFLY1</v>
      </c>
      <c r="F4009" s="238" t="str">
        <f>IFERROR(__xludf.DUMMYFUNCTION("""COMPUTED_VALUE"""),"SWH0E90,TAX1L63")</f>
        <v>SWH0E90,TAX1L63</v>
      </c>
      <c r="G4009" s="238">
        <f>IFERROR(__xludf.DUMMYFUNCTION("""COMPUTED_VALUE"""),46028.91666666667)</f>
        <v>46028.91667</v>
      </c>
      <c r="H4009" s="238">
        <f>IFERROR(__xludf.DUMMYFUNCTION("""COMPUTED_VALUE"""),46029.0)</f>
        <v>46029</v>
      </c>
      <c r="I4009" s="237" t="str">
        <f t="shared" si="1"/>
        <v>Fora</v>
      </c>
      <c r="J4009" s="239">
        <v>119.99999999301508</v>
      </c>
    </row>
    <row r="4010">
      <c r="A4010" s="234" t="s">
        <v>5198</v>
      </c>
      <c r="B4010" s="234" t="str">
        <f>IFERROR(__xludf.DUMMYFUNCTION("""COMPUTED_VALUE"""),"LM Hub_SP_Osasco_02")</f>
        <v>LM Hub_SP_Osasco_02</v>
      </c>
      <c r="C4010" s="234" t="str">
        <f>IFERROR(__xludf.DUMMYFUNCTION("""COMPUTED_VALUE"""),"HUB-LSP-60")</f>
        <v>HUB-LSP-60</v>
      </c>
      <c r="D4010" s="234">
        <f>IFERROR(__xludf.DUMMYFUNCTION("""COMPUTED_VALUE"""),33.0)</f>
        <v>33</v>
      </c>
      <c r="E4010" s="237" t="str">
        <f>IFERROR(__xludf.DUMMYFUNCTION("""COMPUTED_VALUE"""),"LT0Q1601VFIO1")</f>
        <v>LT0Q1601VFIO1</v>
      </c>
      <c r="F4010" s="238" t="str">
        <f>IFERROR(__xludf.DUMMYFUNCTION("""COMPUTED_VALUE"""),"FUZ6B23,FUA8006")</f>
        <v>FUZ6B23,FUA8006</v>
      </c>
      <c r="G4010" s="238">
        <f>IFERROR(__xludf.DUMMYFUNCTION("""COMPUTED_VALUE"""),46028.91666666667)</f>
        <v>46028.91667</v>
      </c>
      <c r="H4010" s="238">
        <f>IFERROR(__xludf.DUMMYFUNCTION("""COMPUTED_VALUE"""),46029.0)</f>
        <v>46029</v>
      </c>
      <c r="I4010" s="237" t="str">
        <f t="shared" si="1"/>
        <v>Fora</v>
      </c>
      <c r="J4010" s="239">
        <v>119.99999999301508</v>
      </c>
    </row>
    <row r="4011">
      <c r="A4011" s="234" t="s">
        <v>5199</v>
      </c>
      <c r="B4011" s="234" t="str">
        <f>IFERROR(__xludf.DUMMYFUNCTION("""COMPUTED_VALUE"""),"LM Hub_SP_São José do Rio P")</f>
        <v>LM Hub_SP_São José do Rio P</v>
      </c>
      <c r="C4011" s="234" t="str">
        <f>IFERROR(__xludf.DUMMYFUNCTION("""COMPUTED_VALUE"""),"HUB-LSP-27")</f>
        <v>HUB-LSP-27</v>
      </c>
      <c r="D4011" s="234"/>
      <c r="E4011" s="237" t="str">
        <f>IFERROR(__xludf.DUMMYFUNCTION("""COMPUTED_VALUE"""),"LT0Q1601VJOY1")</f>
        <v>LT0Q1601VJOY1</v>
      </c>
      <c r="F4011" s="238" t="str">
        <f>IFERROR(__xludf.DUMMYFUNCTION("""COMPUTED_VALUE"""),"ELW1207,GAA6H32")</f>
        <v>ELW1207,GAA6H32</v>
      </c>
      <c r="G4011" s="238">
        <f>IFERROR(__xludf.DUMMYFUNCTION("""COMPUTED_VALUE"""),46028.91666666667)</f>
        <v>46028.91667</v>
      </c>
      <c r="H4011" s="238">
        <f>IFERROR(__xludf.DUMMYFUNCTION("""COMPUTED_VALUE"""),46029.0)</f>
        <v>46029</v>
      </c>
      <c r="I4011" s="237" t="str">
        <f t="shared" si="1"/>
        <v>Fora</v>
      </c>
      <c r="J4011" s="239">
        <v>119.99999999301508</v>
      </c>
    </row>
    <row r="4012">
      <c r="A4012" s="234" t="s">
        <v>5200</v>
      </c>
      <c r="B4012" s="234" t="str">
        <f>IFERROR(__xludf.DUMMYFUNCTION("""COMPUTED_VALUE"""),"SoC_MG_Betim")</f>
        <v>SoC_MG_Betim</v>
      </c>
      <c r="C4012" s="234" t="str">
        <f>IFERROR(__xludf.DUMMYFUNCTION("""COMPUTED_VALUE"""),"SOC-MG2")</f>
        <v>SOC-MG2</v>
      </c>
      <c r="D4012" s="234">
        <f>IFERROR(__xludf.DUMMYFUNCTION("""COMPUTED_VALUE"""),12.0)</f>
        <v>12</v>
      </c>
      <c r="E4012" s="237" t="str">
        <f>IFERROR(__xludf.DUMMYFUNCTION("""COMPUTED_VALUE"""),"LT1Q1601W2TL1")</f>
        <v>LT1Q1601W2TL1</v>
      </c>
      <c r="F4012" s="238" t="str">
        <f>IFERROR(__xludf.DUMMYFUNCTION("""COMPUTED_VALUE"""),"FKD0D91,EGJ8G43")</f>
        <v>FKD0D91,EGJ8G43</v>
      </c>
      <c r="G4012" s="238">
        <f>IFERROR(__xludf.DUMMYFUNCTION("""COMPUTED_VALUE"""),46028.91666666667)</f>
        <v>46028.91667</v>
      </c>
      <c r="H4012" s="238">
        <f>IFERROR(__xludf.DUMMYFUNCTION("""COMPUTED_VALUE"""),46029.0)</f>
        <v>46029</v>
      </c>
      <c r="I4012" s="237" t="str">
        <f t="shared" si="1"/>
        <v>Fora</v>
      </c>
      <c r="J4012" s="239">
        <v>119.99999999301508</v>
      </c>
    </row>
    <row r="4013">
      <c r="A4013" s="234" t="s">
        <v>5201</v>
      </c>
      <c r="B4013" s="234" t="str">
        <f>IFERROR(__xludf.DUMMYFUNCTION("""COMPUTED_VALUE"""),"SoC_PR_Curitiba")</f>
        <v>SoC_PR_Curitiba</v>
      </c>
      <c r="C4013" s="234" t="str">
        <f>IFERROR(__xludf.DUMMYFUNCTION("""COMPUTED_VALUE"""),"SOC-PR1")</f>
        <v>SOC-PR1</v>
      </c>
      <c r="D4013" s="234">
        <f>IFERROR(__xludf.DUMMYFUNCTION("""COMPUTED_VALUE"""),23.0)</f>
        <v>23</v>
      </c>
      <c r="E4013" s="237" t="str">
        <f>IFERROR(__xludf.DUMMYFUNCTION("""COMPUTED_VALUE"""),"LT1Q1601W2TP1")</f>
        <v>LT1Q1601W2TP1</v>
      </c>
      <c r="F4013" s="238" t="str">
        <f>IFERROR(__xludf.DUMMYFUNCTION("""COMPUTED_VALUE"""),"TAU0C15,AXR3425")</f>
        <v>TAU0C15,AXR3425</v>
      </c>
      <c r="G4013" s="238">
        <f>IFERROR(__xludf.DUMMYFUNCTION("""COMPUTED_VALUE"""),46028.91666666667)</f>
        <v>46028.91667</v>
      </c>
      <c r="H4013" s="238">
        <f>IFERROR(__xludf.DUMMYFUNCTION("""COMPUTED_VALUE"""),46029.0)</f>
        <v>46029</v>
      </c>
      <c r="I4013" s="237" t="str">
        <f t="shared" si="1"/>
        <v>Fora</v>
      </c>
      <c r="J4013" s="239">
        <v>119.99999999301508</v>
      </c>
    </row>
    <row r="4014">
      <c r="A4014" s="234" t="s">
        <v>5202</v>
      </c>
      <c r="B4014" s="234" t="str">
        <f>IFERROR(__xludf.DUMMYFUNCTION("""COMPUTED_VALUE"""),"SoC_RJ_Duque de Caxias")</f>
        <v>SoC_RJ_Duque de Caxias</v>
      </c>
      <c r="C4014" s="234" t="str">
        <f>IFERROR(__xludf.DUMMYFUNCTION("""COMPUTED_VALUE"""),"SOC-RJ2")</f>
        <v>SOC-RJ2</v>
      </c>
      <c r="D4014" s="234">
        <f>IFERROR(__xludf.DUMMYFUNCTION("""COMPUTED_VALUE"""),114.0)</f>
        <v>114</v>
      </c>
      <c r="E4014" s="237" t="str">
        <f>IFERROR(__xludf.DUMMYFUNCTION("""COMPUTED_VALUE"""),"LT1Q1601W2TH1")</f>
        <v>LT1Q1601W2TH1</v>
      </c>
      <c r="F4014" s="238" t="str">
        <f>IFERROR(__xludf.DUMMYFUNCTION("""COMPUTED_VALUE"""),"GBR4G52,EOS2J31")</f>
        <v>GBR4G52,EOS2J31</v>
      </c>
      <c r="G4014" s="238">
        <f>IFERROR(__xludf.DUMMYFUNCTION("""COMPUTED_VALUE"""),46028.91666666667)</f>
        <v>46028.91667</v>
      </c>
      <c r="H4014" s="238">
        <f>IFERROR(__xludf.DUMMYFUNCTION("""COMPUTED_VALUE"""),46029.0)</f>
        <v>46029</v>
      </c>
      <c r="I4014" s="237" t="str">
        <f t="shared" si="1"/>
        <v>Fora</v>
      </c>
      <c r="J4014" s="239">
        <v>119.99999999301508</v>
      </c>
    </row>
    <row r="4015">
      <c r="A4015" s="234" t="s">
        <v>5203</v>
      </c>
      <c r="B4015" s="234" t="str">
        <f>IFERROR(__xludf.DUMMYFUNCTION("""COMPUTED_VALUE"""),"SoC_RS_Gravataí_02")</f>
        <v>SoC_RS_Gravataí_02</v>
      </c>
      <c r="C4015" s="234" t="str">
        <f>IFERROR(__xludf.DUMMYFUNCTION("""COMPUTED_VALUE"""),"SOC-RS2")</f>
        <v>SOC-RS2</v>
      </c>
      <c r="D4015" s="234">
        <f>IFERROR(__xludf.DUMMYFUNCTION("""COMPUTED_VALUE"""),102.0)</f>
        <v>102</v>
      </c>
      <c r="E4015" s="237" t="str">
        <f>IFERROR(__xludf.DUMMYFUNCTION("""COMPUTED_VALUE"""),"LT1Q1601W2TT1")</f>
        <v>LT1Q1601W2TT1</v>
      </c>
      <c r="F4015" s="238" t="str">
        <f>IFERROR(__xludf.DUMMYFUNCTION("""COMPUTED_VALUE"""),"FWS1E66,ETM2J83")</f>
        <v>FWS1E66,ETM2J83</v>
      </c>
      <c r="G4015" s="238">
        <f>IFERROR(__xludf.DUMMYFUNCTION("""COMPUTED_VALUE"""),46028.91666666667)</f>
        <v>46028.91667</v>
      </c>
      <c r="H4015" s="238">
        <f>IFERROR(__xludf.DUMMYFUNCTION("""COMPUTED_VALUE"""),46029.0)</f>
        <v>46029</v>
      </c>
      <c r="I4015" s="237" t="str">
        <f t="shared" si="1"/>
        <v>Fora</v>
      </c>
      <c r="J4015" s="239">
        <v>119.99999999301508</v>
      </c>
    </row>
    <row r="4016">
      <c r="A4016" s="234" t="s">
        <v>5204</v>
      </c>
      <c r="B4016" s="234" t="str">
        <f>IFERROR(__xludf.DUMMYFUNCTION("""COMPUTED_VALUE"""),"SoC_SP_Cravinhos")</f>
        <v>SoC_SP_Cravinhos</v>
      </c>
      <c r="C4016" s="234" t="str">
        <f>IFERROR(__xludf.DUMMYFUNCTION("""COMPUTED_VALUE"""),"SOC-SP5")</f>
        <v>SOC-SP5</v>
      </c>
      <c r="D4016" s="234"/>
      <c r="E4016" s="237" t="str">
        <f>IFERROR(__xludf.DUMMYFUNCTION("""COMPUTED_VALUE"""),"LT1Q1601W2T71")</f>
        <v>LT1Q1601W2T71</v>
      </c>
      <c r="F4016" s="234"/>
      <c r="G4016" s="238">
        <f>IFERROR(__xludf.DUMMYFUNCTION("""COMPUTED_VALUE"""),46028.91666666667)</f>
        <v>46028.91667</v>
      </c>
      <c r="H4016" s="238">
        <f>IFERROR(__xludf.DUMMYFUNCTION("""COMPUTED_VALUE"""),46029.0)</f>
        <v>46029</v>
      </c>
      <c r="I4016" s="237" t="str">
        <f t="shared" si="1"/>
        <v>Fora</v>
      </c>
      <c r="J4016" s="239">
        <v>119.99999999301508</v>
      </c>
    </row>
    <row r="4017">
      <c r="A4017" s="234" t="s">
        <v>5205</v>
      </c>
      <c r="B4017" s="234" t="str">
        <f>IFERROR(__xludf.DUMMYFUNCTION("""COMPUTED_VALUE"""),"SoC_SP_Guarulhos")</f>
        <v>SoC_SP_Guarulhos</v>
      </c>
      <c r="C4017" s="234" t="str">
        <f>IFERROR(__xludf.DUMMYFUNCTION("""COMPUTED_VALUE"""),"SOC-SP6")</f>
        <v>SOC-SP6</v>
      </c>
      <c r="D4017" s="234">
        <f>IFERROR(__xludf.DUMMYFUNCTION("""COMPUTED_VALUE"""),38.0)</f>
        <v>38</v>
      </c>
      <c r="E4017" s="237" t="str">
        <f>IFERROR(__xludf.DUMMYFUNCTION("""COMPUTED_VALUE"""),"LT0Q1601VGGU1")</f>
        <v>LT0Q1601VGGU1</v>
      </c>
      <c r="F4017" s="238" t="str">
        <f>IFERROR(__xludf.DUMMYFUNCTION("""COMPUTED_VALUE"""),"EMU7J50,MDL1B13")</f>
        <v>EMU7J50,MDL1B13</v>
      </c>
      <c r="G4017" s="238">
        <f>IFERROR(__xludf.DUMMYFUNCTION("""COMPUTED_VALUE"""),46028.91666666667)</f>
        <v>46028.91667</v>
      </c>
      <c r="H4017" s="238">
        <f>IFERROR(__xludf.DUMMYFUNCTION("""COMPUTED_VALUE"""),46029.0)</f>
        <v>46029</v>
      </c>
      <c r="I4017" s="237" t="str">
        <f t="shared" si="1"/>
        <v>Fora</v>
      </c>
      <c r="J4017" s="239">
        <v>119.99999999301508</v>
      </c>
    </row>
    <row r="4018">
      <c r="A4018" s="234" t="s">
        <v>5206</v>
      </c>
      <c r="B4018" s="234" t="str">
        <f>IFERROR(__xludf.DUMMYFUNCTION("""COMPUTED_VALUE"""),"SoC_SP_Louveira")</f>
        <v>SoC_SP_Louveira</v>
      </c>
      <c r="C4018" s="234" t="str">
        <f>IFERROR(__xludf.DUMMYFUNCTION("""COMPUTED_VALUE"""),"SOC-SP7")</f>
        <v>SOC-SP7</v>
      </c>
      <c r="D4018" s="234"/>
      <c r="E4018" s="237" t="str">
        <f>IFERROR(__xludf.DUMMYFUNCTION("""COMPUTED_VALUE"""),"LT1Q1601W2T31")</f>
        <v>LT1Q1601W2T31</v>
      </c>
      <c r="F4018" s="234"/>
      <c r="G4018" s="238">
        <f>IFERROR(__xludf.DUMMYFUNCTION("""COMPUTED_VALUE"""),46028.91666666667)</f>
        <v>46028.91667</v>
      </c>
      <c r="H4018" s="238">
        <f>IFERROR(__xludf.DUMMYFUNCTION("""COMPUTED_VALUE"""),46029.0)</f>
        <v>46029</v>
      </c>
      <c r="I4018" s="237" t="str">
        <f t="shared" si="1"/>
        <v>Fora</v>
      </c>
      <c r="J4018" s="239">
        <v>119.00000000023283</v>
      </c>
    </row>
    <row r="4019">
      <c r="A4019" s="234" t="s">
        <v>5207</v>
      </c>
      <c r="B4019" s="234" t="str">
        <f>IFERROR(__xludf.DUMMYFUNCTION("""COMPUTED_VALUE"""),"LM Hub_SP_Artur Alvim")</f>
        <v>LM Hub_SP_Artur Alvim</v>
      </c>
      <c r="C4019" s="234" t="str">
        <f>IFERROR(__xludf.DUMMYFUNCTION("""COMPUTED_VALUE"""),"HUB-LSP-07")</f>
        <v>HUB-LSP-07</v>
      </c>
      <c r="D4019" s="234">
        <f>IFERROR(__xludf.DUMMYFUNCTION("""COMPUTED_VALUE"""),37.0)</f>
        <v>37</v>
      </c>
      <c r="E4019" s="237" t="str">
        <f>IFERROR(__xludf.DUMMYFUNCTION("""COMPUTED_VALUE"""),"LT0Q1601VFHC1")</f>
        <v>LT0Q1601VFHC1</v>
      </c>
      <c r="F4019" s="238" t="str">
        <f>IFERROR(__xludf.DUMMYFUNCTION("""COMPUTED_VALUE"""),"FQS1E78")</f>
        <v>FQS1E78</v>
      </c>
      <c r="G4019" s="238">
        <f>IFERROR(__xludf.DUMMYFUNCTION("""COMPUTED_VALUE"""),46028.91736111111)</f>
        <v>46028.91736</v>
      </c>
      <c r="H4019" s="238">
        <f>IFERROR(__xludf.DUMMYFUNCTION("""COMPUTED_VALUE"""),46029.0)</f>
        <v>46029</v>
      </c>
      <c r="I4019" s="237" t="str">
        <f t="shared" si="1"/>
        <v>Fora</v>
      </c>
      <c r="J4019" s="239">
        <v>119.00000000023283</v>
      </c>
    </row>
    <row r="4020">
      <c r="A4020" s="234" t="s">
        <v>5208</v>
      </c>
      <c r="B4020" s="234" t="str">
        <f>IFERROR(__xludf.DUMMYFUNCTION("""COMPUTED_VALUE"""),"LM Hub_SP_Barueri_01")</f>
        <v>LM Hub_SP_Barueri_01</v>
      </c>
      <c r="C4020" s="234" t="str">
        <f>IFERROR(__xludf.DUMMYFUNCTION("""COMPUTED_VALUE"""),"HUB-LSP-81")</f>
        <v>HUB-LSP-81</v>
      </c>
      <c r="D4020" s="234">
        <f>IFERROR(__xludf.DUMMYFUNCTION("""COMPUTED_VALUE"""),19.0)</f>
        <v>19</v>
      </c>
      <c r="E4020" s="237" t="str">
        <f>IFERROR(__xludf.DUMMYFUNCTION("""COMPUTED_VALUE"""),"LT0Q1601VKXI1")</f>
        <v>LT0Q1601VKXI1</v>
      </c>
      <c r="F4020" s="238" t="str">
        <f>IFERROR(__xludf.DUMMYFUNCTION("""COMPUTED_VALUE"""),"BVT4B34")</f>
        <v>BVT4B34</v>
      </c>
      <c r="G4020" s="238">
        <f>IFERROR(__xludf.DUMMYFUNCTION("""COMPUTED_VALUE"""),46028.91736111111)</f>
        <v>46028.91736</v>
      </c>
      <c r="H4020" s="238">
        <f>IFERROR(__xludf.DUMMYFUNCTION("""COMPUTED_VALUE"""),46029.0)</f>
        <v>46029</v>
      </c>
      <c r="I4020" s="237" t="str">
        <f t="shared" si="1"/>
        <v>Fora</v>
      </c>
      <c r="J4020" s="239">
        <v>119.00000000023283</v>
      </c>
    </row>
    <row r="4021">
      <c r="A4021" s="234" t="s">
        <v>5209</v>
      </c>
      <c r="B4021" s="234" t="str">
        <f>IFERROR(__xludf.DUMMYFUNCTION("""COMPUTED_VALUE"""),"LM Hub_SP_Guarulhos")</f>
        <v>LM Hub_SP_Guarulhos</v>
      </c>
      <c r="C4021" s="234" t="str">
        <f>IFERROR(__xludf.DUMMYFUNCTION("""COMPUTED_VALUE"""),"HUB-LSP-77")</f>
        <v>HUB-LSP-77</v>
      </c>
      <c r="D4021" s="234"/>
      <c r="E4021" s="237" t="str">
        <f>IFERROR(__xludf.DUMMYFUNCTION("""COMPUTED_VALUE"""),"LT0Q1601VG7K1")</f>
        <v>LT0Q1601VG7K1</v>
      </c>
      <c r="F4021" s="238" t="str">
        <f>IFERROR(__xludf.DUMMYFUNCTION("""COMPUTED_VALUE"""),"FYZ2D15")</f>
        <v>FYZ2D15</v>
      </c>
      <c r="G4021" s="238">
        <f>IFERROR(__xludf.DUMMYFUNCTION("""COMPUTED_VALUE"""),46028.91736111111)</f>
        <v>46028.91736</v>
      </c>
      <c r="H4021" s="238">
        <f>IFERROR(__xludf.DUMMYFUNCTION("""COMPUTED_VALUE"""),46029.0)</f>
        <v>46029</v>
      </c>
      <c r="I4021" s="237" t="str">
        <f t="shared" si="1"/>
        <v>Fora</v>
      </c>
      <c r="J4021" s="239">
        <v>119.00000000023283</v>
      </c>
    </row>
    <row r="4022">
      <c r="A4022" s="234" t="s">
        <v>5210</v>
      </c>
      <c r="B4022" s="234" t="str">
        <f>IFERROR(__xludf.DUMMYFUNCTION("""COMPUTED_VALUE"""),"LM Hub_SP_Itapevi")</f>
        <v>LM Hub_SP_Itapevi</v>
      </c>
      <c r="C4022" s="234" t="str">
        <f>IFERROR(__xludf.DUMMYFUNCTION("""COMPUTED_VALUE"""),"HUB-LSP-41")</f>
        <v>HUB-LSP-41</v>
      </c>
      <c r="D4022" s="234"/>
      <c r="E4022" s="237" t="str">
        <f>IFERROR(__xludf.DUMMYFUNCTION("""COMPUTED_VALUE"""),"LT0Q1601VQZW1")</f>
        <v>LT0Q1601VQZW1</v>
      </c>
      <c r="F4022" s="238" t="str">
        <f>IFERROR(__xludf.DUMMYFUNCTION("""COMPUTED_VALUE"""),"FYQ5533")</f>
        <v>FYQ5533</v>
      </c>
      <c r="G4022" s="238">
        <f>IFERROR(__xludf.DUMMYFUNCTION("""COMPUTED_VALUE"""),46028.91736111111)</f>
        <v>46028.91736</v>
      </c>
      <c r="H4022" s="238">
        <f>IFERROR(__xludf.DUMMYFUNCTION("""COMPUTED_VALUE"""),46029.0)</f>
        <v>46029</v>
      </c>
      <c r="I4022" s="237" t="str">
        <f t="shared" si="1"/>
        <v>Fora</v>
      </c>
      <c r="J4022" s="239">
        <v>119.00000000023283</v>
      </c>
    </row>
    <row r="4023">
      <c r="A4023" s="234" t="s">
        <v>5211</v>
      </c>
      <c r="B4023" s="234" t="str">
        <f>IFERROR(__xludf.DUMMYFUNCTION("""COMPUTED_VALUE"""),"LM Hub_SP_Mauá")</f>
        <v>LM Hub_SP_Mauá</v>
      </c>
      <c r="C4023" s="234" t="str">
        <f>IFERROR(__xludf.DUMMYFUNCTION("""COMPUTED_VALUE"""),"HUB-LSP-64")</f>
        <v>HUB-LSP-64</v>
      </c>
      <c r="D4023" s="234">
        <f>IFERROR(__xludf.DUMMYFUNCTION("""COMPUTED_VALUE"""),22.0)</f>
        <v>22</v>
      </c>
      <c r="E4023" s="237" t="str">
        <f>IFERROR(__xludf.DUMMYFUNCTION("""COMPUTED_VALUE"""),"LT0Q1601VFIZ1")</f>
        <v>LT0Q1601VFIZ1</v>
      </c>
      <c r="F4023" s="238" t="str">
        <f>IFERROR(__xludf.DUMMYFUNCTION("""COMPUTED_VALUE"""),"LLM1I97")</f>
        <v>LLM1I97</v>
      </c>
      <c r="G4023" s="238">
        <f>IFERROR(__xludf.DUMMYFUNCTION("""COMPUTED_VALUE"""),46028.91736111111)</f>
        <v>46028.91736</v>
      </c>
      <c r="H4023" s="238">
        <f>IFERROR(__xludf.DUMMYFUNCTION("""COMPUTED_VALUE"""),46029.0)</f>
        <v>46029</v>
      </c>
      <c r="I4023" s="237" t="str">
        <f t="shared" si="1"/>
        <v>Fora</v>
      </c>
      <c r="J4023" s="239">
        <v>119.00000000023283</v>
      </c>
    </row>
    <row r="4024">
      <c r="A4024" s="234" t="s">
        <v>5212</v>
      </c>
      <c r="B4024" s="234" t="str">
        <f>IFERROR(__xludf.DUMMYFUNCTION("""COMPUTED_VALUE"""),"LM Hub_SP_Santo André")</f>
        <v>LM Hub_SP_Santo André</v>
      </c>
      <c r="C4024" s="234" t="str">
        <f>IFERROR(__xludf.DUMMYFUNCTION("""COMPUTED_VALUE"""),"HUB-LSP-93")</f>
        <v>HUB-LSP-93</v>
      </c>
      <c r="D4024" s="234"/>
      <c r="E4024" s="237" t="str">
        <f>IFERROR(__xludf.DUMMYFUNCTION("""COMPUTED_VALUE"""),"LT0Q1601VI9N1")</f>
        <v>LT0Q1601VI9N1</v>
      </c>
      <c r="F4024" s="238" t="str">
        <f>IFERROR(__xludf.DUMMYFUNCTION("""COMPUTED_VALUE"""),"LLM1I97,AOF6828")</f>
        <v>LLM1I97,AOF6828</v>
      </c>
      <c r="G4024" s="238">
        <f>IFERROR(__xludf.DUMMYFUNCTION("""COMPUTED_VALUE"""),46028.91736111111)</f>
        <v>46028.91736</v>
      </c>
      <c r="H4024" s="238">
        <f>IFERROR(__xludf.DUMMYFUNCTION("""COMPUTED_VALUE"""),46029.0)</f>
        <v>46029</v>
      </c>
      <c r="I4024" s="237" t="str">
        <f t="shared" si="1"/>
        <v>Fora</v>
      </c>
      <c r="J4024" s="239">
        <v>119.99999999301508</v>
      </c>
    </row>
    <row r="4025">
      <c r="A4025" s="234" t="s">
        <v>5213</v>
      </c>
      <c r="B4025" s="234" t="str">
        <f>IFERROR(__xludf.DUMMYFUNCTION("""COMPUTED_VALUE"""),"LM Hub_SP_Piracicaba")</f>
        <v>LM Hub_SP_Piracicaba</v>
      </c>
      <c r="C4025" s="234" t="str">
        <f>IFERROR(__xludf.DUMMYFUNCTION("""COMPUTED_VALUE"""),"HUB-LSP-62")</f>
        <v>HUB-LSP-62</v>
      </c>
      <c r="D4025" s="234">
        <f>IFERROR(__xludf.DUMMYFUNCTION("""COMPUTED_VALUE"""),36.0)</f>
        <v>36</v>
      </c>
      <c r="E4025" s="237" t="str">
        <f>IFERROR(__xludf.DUMMYFUNCTION("""COMPUTED_VALUE"""),"LT0Q1601VG7S1")</f>
        <v>LT0Q1601VG7S1</v>
      </c>
      <c r="F4025" s="238" t="str">
        <f>IFERROR(__xludf.DUMMYFUNCTION("""COMPUTED_VALUE"""),"EOF4D32,EOF4D30")</f>
        <v>EOF4D32,EOF4D30</v>
      </c>
      <c r="G4025" s="238">
        <f>IFERROR(__xludf.DUMMYFUNCTION("""COMPUTED_VALUE"""),46028.9375)</f>
        <v>46028.9375</v>
      </c>
      <c r="H4025" s="238">
        <f>IFERROR(__xludf.DUMMYFUNCTION("""COMPUTED_VALUE"""),46029.02083333333)</f>
        <v>46029.02083</v>
      </c>
      <c r="I4025" s="237" t="str">
        <f t="shared" si="1"/>
        <v>Fora</v>
      </c>
      <c r="J4025" s="239">
        <v>119.99999999301508</v>
      </c>
    </row>
    <row r="4026">
      <c r="A4026" s="234" t="s">
        <v>5214</v>
      </c>
      <c r="B4026" s="234" t="str">
        <f>IFERROR(__xludf.DUMMYFUNCTION("""COMPUTED_VALUE"""),"LM Hub_SP_São Paulo_Carandiru")</f>
        <v>LM Hub_SP_São Paulo_Carandiru</v>
      </c>
      <c r="C4026" s="234" t="str">
        <f>IFERROR(__xludf.DUMMYFUNCTION("""COMPUTED_VALUE"""),"HUB-LSP-18")</f>
        <v>HUB-LSP-18</v>
      </c>
      <c r="D4026" s="234">
        <f>IFERROR(__xludf.DUMMYFUNCTION("""COMPUTED_VALUE"""),29.0)</f>
        <v>29</v>
      </c>
      <c r="E4026" s="237" t="str">
        <f>IFERROR(__xludf.DUMMYFUNCTION("""COMPUTED_VALUE"""),"LT0Q1601VFI11")</f>
        <v>LT0Q1601VFI11</v>
      </c>
      <c r="F4026" s="238" t="str">
        <f>IFERROR(__xludf.DUMMYFUNCTION("""COMPUTED_VALUE"""),"OPY9J66")</f>
        <v>OPY9J66</v>
      </c>
      <c r="G4026" s="238">
        <f>IFERROR(__xludf.DUMMYFUNCTION("""COMPUTED_VALUE"""),46028.9375)</f>
        <v>46028.9375</v>
      </c>
      <c r="H4026" s="238">
        <f>IFERROR(__xludf.DUMMYFUNCTION("""COMPUTED_VALUE"""),46029.02083333333)</f>
        <v>46029.02083</v>
      </c>
      <c r="I4026" s="237" t="str">
        <f t="shared" si="1"/>
        <v>Fora</v>
      </c>
      <c r="J4026" s="239">
        <v>119.99999999301508</v>
      </c>
    </row>
    <row r="4027">
      <c r="A4027" s="234" t="s">
        <v>5215</v>
      </c>
      <c r="B4027" s="234" t="str">
        <f>IFERROR(__xludf.DUMMYFUNCTION("""COMPUTED_VALUE"""),"LM Hub_SP_Sorocaba_Região Norte")</f>
        <v>LM Hub_SP_Sorocaba_Região Norte</v>
      </c>
      <c r="C4027" s="234" t="str">
        <f>IFERROR(__xludf.DUMMYFUNCTION("""COMPUTED_VALUE"""),"HUB-LSP-10")</f>
        <v>HUB-LSP-10</v>
      </c>
      <c r="D4027" s="234">
        <f>IFERROR(__xludf.DUMMYFUNCTION("""COMPUTED_VALUE"""),14.0)</f>
        <v>14</v>
      </c>
      <c r="E4027" s="237" t="str">
        <f>IFERROR(__xludf.DUMMYFUNCTION("""COMPUTED_VALUE"""),"LT0Q1601VFLN1")</f>
        <v>LT0Q1601VFLN1</v>
      </c>
      <c r="F4027" s="238" t="str">
        <f>IFERROR(__xludf.DUMMYFUNCTION("""COMPUTED_VALUE"""),"EFO6B06,MJH0C66")</f>
        <v>EFO6B06,MJH0C66</v>
      </c>
      <c r="G4027" s="238">
        <f>IFERROR(__xludf.DUMMYFUNCTION("""COMPUTED_VALUE"""),46028.9375)</f>
        <v>46028.9375</v>
      </c>
      <c r="H4027" s="238">
        <f>IFERROR(__xludf.DUMMYFUNCTION("""COMPUTED_VALUE"""),46029.02083333333)</f>
        <v>46029.02083</v>
      </c>
      <c r="I4027" s="237" t="str">
        <f t="shared" si="1"/>
        <v>Fora</v>
      </c>
      <c r="J4027" s="239">
        <v>119.99999999301508</v>
      </c>
    </row>
    <row r="4028">
      <c r="A4028" s="234" t="s">
        <v>5216</v>
      </c>
      <c r="B4028" s="234" t="str">
        <f>IFERROR(__xludf.DUMMYFUNCTION("""COMPUTED_VALUE"""),"LM Hub_SP_VilaGuilherme")</f>
        <v>LM Hub_SP_VilaGuilherme</v>
      </c>
      <c r="C4028" s="234" t="str">
        <f>IFERROR(__xludf.DUMMYFUNCTION("""COMPUTED_VALUE"""),"HUB-LSP-68")</f>
        <v>HUB-LSP-68</v>
      </c>
      <c r="D4028" s="234">
        <f>IFERROR(__xludf.DUMMYFUNCTION("""COMPUTED_VALUE"""),13.0)</f>
        <v>13</v>
      </c>
      <c r="E4028" s="237" t="str">
        <f>IFERROR(__xludf.DUMMYFUNCTION("""COMPUTED_VALUE"""),"LT0Q1601VFJ11")</f>
        <v>LT0Q1601VFJ11</v>
      </c>
      <c r="F4028" s="238" t="str">
        <f>IFERROR(__xludf.DUMMYFUNCTION("""COMPUTED_VALUE"""),"DAJ3E28")</f>
        <v>DAJ3E28</v>
      </c>
      <c r="G4028" s="238">
        <f>IFERROR(__xludf.DUMMYFUNCTION("""COMPUTED_VALUE"""),46028.9375)</f>
        <v>46028.9375</v>
      </c>
      <c r="H4028" s="238">
        <f>IFERROR(__xludf.DUMMYFUNCTION("""COMPUTED_VALUE"""),46029.02083333333)</f>
        <v>46029.02083</v>
      </c>
      <c r="I4028" s="237" t="str">
        <f t="shared" si="1"/>
        <v>Fora</v>
      </c>
      <c r="J4028" s="239">
        <v>118.99999998975545</v>
      </c>
    </row>
    <row r="4029">
      <c r="A4029" s="234" t="s">
        <v>5217</v>
      </c>
      <c r="B4029" s="234" t="str">
        <f>IFERROR(__xludf.DUMMYFUNCTION("""COMPUTED_VALUE"""),"LM Hub_SP_Jardim Adriana")</f>
        <v>LM Hub_SP_Jardim Adriana</v>
      </c>
      <c r="C4029" s="234" t="str">
        <f>IFERROR(__xludf.DUMMYFUNCTION("""COMPUTED_VALUE"""),"HUB-LSP-12")</f>
        <v>HUB-LSP-12</v>
      </c>
      <c r="D4029" s="234">
        <f>IFERROR(__xludf.DUMMYFUNCTION("""COMPUTED_VALUE"""),8.0)</f>
        <v>8</v>
      </c>
      <c r="E4029" s="237" t="str">
        <f>IFERROR(__xludf.DUMMYFUNCTION("""COMPUTED_VALUE"""),"LT0Q1601VFHJ1")</f>
        <v>LT0Q1601VFHJ1</v>
      </c>
      <c r="F4029" s="238" t="str">
        <f>IFERROR(__xludf.DUMMYFUNCTION("""COMPUTED_VALUE"""),"DJB5B15")</f>
        <v>DJB5B15</v>
      </c>
      <c r="G4029" s="238">
        <f>IFERROR(__xludf.DUMMYFUNCTION("""COMPUTED_VALUE"""),46028.93819444445)</f>
        <v>46028.93819</v>
      </c>
      <c r="H4029" s="238">
        <f>IFERROR(__xludf.DUMMYFUNCTION("""COMPUTED_VALUE"""),46029.02083333333)</f>
        <v>46029.02083</v>
      </c>
      <c r="I4029" s="237" t="str">
        <f t="shared" si="1"/>
        <v>Fora</v>
      </c>
      <c r="J4029" s="239">
        <v>118.99999998975545</v>
      </c>
    </row>
    <row r="4030">
      <c r="A4030" s="234" t="s">
        <v>5218</v>
      </c>
      <c r="B4030" s="234" t="str">
        <f>IFERROR(__xludf.DUMMYFUNCTION("""COMPUTED_VALUE"""),"LM Hub_SP_Parque Novo Mundo")</f>
        <v>LM Hub_SP_Parque Novo Mundo</v>
      </c>
      <c r="C4030" s="234" t="str">
        <f>IFERROR(__xludf.DUMMYFUNCTION("""COMPUTED_VALUE"""),"HUB-LSP-89")</f>
        <v>HUB-LSP-89</v>
      </c>
      <c r="D4030" s="234"/>
      <c r="E4030" s="237" t="str">
        <f>IFERROR(__xludf.DUMMYFUNCTION("""COMPUTED_VALUE"""),"LT0Q1601VGEQ1")</f>
        <v>LT0Q1601VGEQ1</v>
      </c>
      <c r="F4030" s="238" t="str">
        <f>IFERROR(__xludf.DUMMYFUNCTION("""COMPUTED_VALUE"""),"GIQ1C13")</f>
        <v>GIQ1C13</v>
      </c>
      <c r="G4030" s="238">
        <f>IFERROR(__xludf.DUMMYFUNCTION("""COMPUTED_VALUE"""),46028.93819444445)</f>
        <v>46028.93819</v>
      </c>
      <c r="H4030" s="238">
        <f>IFERROR(__xludf.DUMMYFUNCTION("""COMPUTED_VALUE"""),46029.02083333333)</f>
        <v>46029.02083</v>
      </c>
      <c r="I4030" s="237" t="str">
        <f t="shared" si="1"/>
        <v>Fora</v>
      </c>
      <c r="J4030" s="239">
        <v>118.99999998975545</v>
      </c>
    </row>
    <row r="4031">
      <c r="A4031" s="234" t="s">
        <v>5219</v>
      </c>
      <c r="B4031" s="234" t="str">
        <f>IFERROR(__xludf.DUMMYFUNCTION("""COMPUTED_VALUE"""),"LM Hub_SP_Suzano_Baruel")</f>
        <v>LM Hub_SP_Suzano_Baruel</v>
      </c>
      <c r="C4031" s="234" t="str">
        <f>IFERROR(__xludf.DUMMYFUNCTION("""COMPUTED_VALUE"""),"HUB-LSP-97")</f>
        <v>HUB-LSP-97</v>
      </c>
      <c r="D4031" s="234"/>
      <c r="E4031" s="237" t="str">
        <f>IFERROR(__xludf.DUMMYFUNCTION("""COMPUTED_VALUE"""),"LT0Q1601VMSS1")</f>
        <v>LT0Q1601VMSS1</v>
      </c>
      <c r="F4031" s="238" t="str">
        <f>IFERROR(__xludf.DUMMYFUNCTION("""COMPUTED_VALUE"""),"FLU5574")</f>
        <v>FLU5574</v>
      </c>
      <c r="G4031" s="238">
        <f>IFERROR(__xludf.DUMMYFUNCTION("""COMPUTED_VALUE"""),46028.93819444445)</f>
        <v>46028.93819</v>
      </c>
      <c r="H4031" s="238">
        <f>IFERROR(__xludf.DUMMYFUNCTION("""COMPUTED_VALUE"""),46029.02083333333)</f>
        <v>46029.02083</v>
      </c>
      <c r="I4031" s="237" t="str">
        <f t="shared" si="1"/>
        <v>Fora</v>
      </c>
      <c r="J4031" s="239">
        <v>119.99999999301508</v>
      </c>
    </row>
    <row r="4032">
      <c r="A4032" s="234" t="s">
        <v>5220</v>
      </c>
      <c r="B4032" s="234" t="str">
        <f>IFERROR(__xludf.DUMMYFUNCTION("""COMPUTED_VALUE"""),"Hub_SP_Mogi Mirim")</f>
        <v>Hub_SP_Mogi Mirim</v>
      </c>
      <c r="C4032" s="234" t="str">
        <f>IFERROR(__xludf.DUMMYFUNCTION("""COMPUTED_VALUE"""),"-")</f>
        <v>-</v>
      </c>
      <c r="D4032" s="234"/>
      <c r="E4032" s="237" t="str">
        <f>IFERROR(__xludf.DUMMYFUNCTION("""COMPUTED_VALUE"""),"LT0Q1601VFN01")</f>
        <v>LT0Q1601VFN01</v>
      </c>
      <c r="F4032" s="238" t="str">
        <f>IFERROR(__xludf.DUMMYFUNCTION("""COMPUTED_VALUE"""),"FKB6C94,DVS4C82")</f>
        <v>FKB6C94,DVS4C82</v>
      </c>
      <c r="G4032" s="238">
        <f>IFERROR(__xludf.DUMMYFUNCTION("""COMPUTED_VALUE"""),46028.958333333336)</f>
        <v>46028.95833</v>
      </c>
      <c r="H4032" s="238">
        <f>IFERROR(__xludf.DUMMYFUNCTION("""COMPUTED_VALUE"""),46029.041666666664)</f>
        <v>46029.04167</v>
      </c>
      <c r="I4032" s="237" t="str">
        <f t="shared" si="1"/>
        <v>Fora</v>
      </c>
      <c r="J4032" s="239">
        <v>120.00000001396984</v>
      </c>
    </row>
    <row r="4033">
      <c r="A4033" s="234" t="s">
        <v>5221</v>
      </c>
      <c r="B4033" s="234" t="str">
        <f>IFERROR(__xludf.DUMMYFUNCTION("""COMPUTED_VALUE"""),"LM Hub_RJ_Nova Iguaçu")</f>
        <v>LM Hub_RJ_Nova Iguaçu</v>
      </c>
      <c r="C4033" s="234" t="str">
        <f>IFERROR(__xludf.DUMMYFUNCTION("""COMPUTED_VALUE"""),"HUB-LRJ-27")</f>
        <v>HUB-LRJ-27</v>
      </c>
      <c r="D4033" s="234">
        <f>IFERROR(__xludf.DUMMYFUNCTION("""COMPUTED_VALUE"""),16.0)</f>
        <v>16</v>
      </c>
      <c r="E4033" s="237" t="str">
        <f>IFERROR(__xludf.DUMMYFUNCTION("""COMPUTED_VALUE"""),"LT0Q1601VLGW1")</f>
        <v>LT0Q1601VLGW1</v>
      </c>
      <c r="F4033" s="238" t="str">
        <f>IFERROR(__xludf.DUMMYFUNCTION("""COMPUTED_VALUE"""),"TBB5J93")</f>
        <v>TBB5J93</v>
      </c>
      <c r="G4033" s="238">
        <f>IFERROR(__xludf.DUMMYFUNCTION("""COMPUTED_VALUE"""),46028.95833333333)</f>
        <v>46028.95833</v>
      </c>
      <c r="H4033" s="238">
        <f>IFERROR(__xludf.DUMMYFUNCTION("""COMPUTED_VALUE"""),46029.04166666667)</f>
        <v>46029.04167</v>
      </c>
      <c r="I4033" s="237" t="str">
        <f t="shared" si="1"/>
        <v>Fora</v>
      </c>
      <c r="J4033" s="239">
        <v>120.00000001396984</v>
      </c>
    </row>
    <row r="4034">
      <c r="A4034" s="234" t="s">
        <v>5222</v>
      </c>
      <c r="B4034" s="234" t="str">
        <f>IFERROR(__xludf.DUMMYFUNCTION("""COMPUTED_VALUE"""),"LM Hub_RJ_Rio de Janeiro_Campo G")</f>
        <v>LM Hub_RJ_Rio de Janeiro_Campo G</v>
      </c>
      <c r="C4034" s="234" t="str">
        <f>IFERROR(__xludf.DUMMYFUNCTION("""COMPUTED_VALUE"""),"HUB-LRJ-04")</f>
        <v>HUB-LRJ-04</v>
      </c>
      <c r="D4034" s="234">
        <f>IFERROR(__xludf.DUMMYFUNCTION("""COMPUTED_VALUE"""),15.0)</f>
        <v>15</v>
      </c>
      <c r="E4034" s="237" t="str">
        <f>IFERROR(__xludf.DUMMYFUNCTION("""COMPUTED_VALUE"""),"LT0Q1601VFNV1")</f>
        <v>LT0Q1601VFNV1</v>
      </c>
      <c r="F4034" s="238" t="str">
        <f>IFERROR(__xludf.DUMMYFUNCTION("""COMPUTED_VALUE"""),"UBA1H99")</f>
        <v>UBA1H99</v>
      </c>
      <c r="G4034" s="238">
        <f>IFERROR(__xludf.DUMMYFUNCTION("""COMPUTED_VALUE"""),46028.95833333333)</f>
        <v>46028.95833</v>
      </c>
      <c r="H4034" s="238">
        <f>IFERROR(__xludf.DUMMYFUNCTION("""COMPUTED_VALUE"""),46029.04166666667)</f>
        <v>46029.04167</v>
      </c>
      <c r="I4034" s="237" t="str">
        <f t="shared" si="1"/>
        <v>Fora</v>
      </c>
      <c r="J4034" s="239">
        <v>120.00000001396984</v>
      </c>
    </row>
    <row r="4035">
      <c r="A4035" s="234" t="s">
        <v>5223</v>
      </c>
      <c r="B4035" s="234" t="str">
        <f>IFERROR(__xludf.DUMMYFUNCTION("""COMPUTED_VALUE"""),"LM Hub_RJ_São João do Meriti")</f>
        <v>LM Hub_RJ_São João do Meriti</v>
      </c>
      <c r="C4035" s="234" t="str">
        <f>IFERROR(__xludf.DUMMYFUNCTION("""COMPUTED_VALUE"""),"HUB-LRJ-01")</f>
        <v>HUB-LRJ-01</v>
      </c>
      <c r="D4035" s="234">
        <f>IFERROR(__xludf.DUMMYFUNCTION("""COMPUTED_VALUE"""),13.0)</f>
        <v>13</v>
      </c>
      <c r="E4035" s="237" t="str">
        <f>IFERROR(__xludf.DUMMYFUNCTION("""COMPUTED_VALUE"""),"LT0Q1601VLHT1")</f>
        <v>LT0Q1601VLHT1</v>
      </c>
      <c r="F4035" s="238" t="str">
        <f>IFERROR(__xludf.DUMMYFUNCTION("""COMPUTED_VALUE"""),"EWU9F04")</f>
        <v>EWU9F04</v>
      </c>
      <c r="G4035" s="238">
        <f>IFERROR(__xludf.DUMMYFUNCTION("""COMPUTED_VALUE"""),46028.95833333333)</f>
        <v>46028.95833</v>
      </c>
      <c r="H4035" s="238">
        <f>IFERROR(__xludf.DUMMYFUNCTION("""COMPUTED_VALUE"""),46029.04166666667)</f>
        <v>46029.04167</v>
      </c>
      <c r="I4035" s="237" t="str">
        <f t="shared" si="1"/>
        <v>Fora</v>
      </c>
      <c r="J4035" s="239">
        <v>120.00000001396984</v>
      </c>
    </row>
    <row r="4036">
      <c r="A4036" s="234" t="s">
        <v>5224</v>
      </c>
      <c r="B4036" s="234" t="str">
        <f>IFERROR(__xludf.DUMMYFUNCTION("""COMPUTED_VALUE"""),"LM Hub_SP_Jundiaí")</f>
        <v>LM Hub_SP_Jundiaí</v>
      </c>
      <c r="C4036" s="234" t="str">
        <f>IFERROR(__xludf.DUMMYFUNCTION("""COMPUTED_VALUE"""),"HUB-LSP-100")</f>
        <v>HUB-LSP-100</v>
      </c>
      <c r="D4036" s="234">
        <f>IFERROR(__xludf.DUMMYFUNCTION("""COMPUTED_VALUE"""),28.0)</f>
        <v>28</v>
      </c>
      <c r="E4036" s="237" t="str">
        <f>IFERROR(__xludf.DUMMYFUNCTION("""COMPUTED_VALUE"""),"LT0Q1601VMDA1")</f>
        <v>LT0Q1601VMDA1</v>
      </c>
      <c r="F4036" s="238" t="str">
        <f>IFERROR(__xludf.DUMMYFUNCTION("""COMPUTED_VALUE"""),"DBM1893")</f>
        <v>DBM1893</v>
      </c>
      <c r="G4036" s="238">
        <f>IFERROR(__xludf.DUMMYFUNCTION("""COMPUTED_VALUE"""),46028.95833333333)</f>
        <v>46028.95833</v>
      </c>
      <c r="H4036" s="238">
        <f>IFERROR(__xludf.DUMMYFUNCTION("""COMPUTED_VALUE"""),46029.04166666667)</f>
        <v>46029.04167</v>
      </c>
      <c r="I4036" s="237" t="str">
        <f t="shared" si="1"/>
        <v>Fora</v>
      </c>
      <c r="J4036" s="239">
        <v>120.00000001396984</v>
      </c>
    </row>
    <row r="4037">
      <c r="A4037" s="234" t="s">
        <v>5225</v>
      </c>
      <c r="B4037" s="234" t="str">
        <f>IFERROR(__xludf.DUMMYFUNCTION("""COMPUTED_VALUE"""),"SoC_MG_Betim")</f>
        <v>SoC_MG_Betim</v>
      </c>
      <c r="C4037" s="234" t="str">
        <f>IFERROR(__xludf.DUMMYFUNCTION("""COMPUTED_VALUE"""),"SOC-MG2")</f>
        <v>SOC-MG2</v>
      </c>
      <c r="D4037" s="234">
        <f>IFERROR(__xludf.DUMMYFUNCTION("""COMPUTED_VALUE"""),112.0)</f>
        <v>112</v>
      </c>
      <c r="E4037" s="237" t="str">
        <f>IFERROR(__xludf.DUMMYFUNCTION("""COMPUTED_VALUE"""),"LT1Q1601W2TM1")</f>
        <v>LT1Q1601W2TM1</v>
      </c>
      <c r="F4037" s="238" t="str">
        <f>IFERROR(__xludf.DUMMYFUNCTION("""COMPUTED_VALUE"""),"FJV3I08,TKI1J52")</f>
        <v>FJV3I08,TKI1J52</v>
      </c>
      <c r="G4037" s="238">
        <f>IFERROR(__xludf.DUMMYFUNCTION("""COMPUTED_VALUE"""),46028.95833333333)</f>
        <v>46028.95833</v>
      </c>
      <c r="H4037" s="238">
        <f>IFERROR(__xludf.DUMMYFUNCTION("""COMPUTED_VALUE"""),46029.04166666667)</f>
        <v>46029.04167</v>
      </c>
      <c r="I4037" s="237" t="str">
        <f t="shared" si="1"/>
        <v>Fora</v>
      </c>
      <c r="J4037" s="239">
        <v>120.00000001396984</v>
      </c>
    </row>
    <row r="4038">
      <c r="A4038" s="234" t="s">
        <v>5226</v>
      </c>
      <c r="B4038" s="234" t="str">
        <f>IFERROR(__xludf.DUMMYFUNCTION("""COMPUTED_VALUE"""),"SoC_PE_Jaboatão dos Guararapes")</f>
        <v>SoC_PE_Jaboatão dos Guararapes</v>
      </c>
      <c r="C4038" s="234" t="str">
        <f>IFERROR(__xludf.DUMMYFUNCTION("""COMPUTED_VALUE"""),"SOC-PE2")</f>
        <v>SOC-PE2</v>
      </c>
      <c r="D4038" s="234"/>
      <c r="E4038" s="237" t="str">
        <f>IFERROR(__xludf.DUMMYFUNCTION("""COMPUTED_VALUE"""),"LT1Q1601W3EF1")</f>
        <v>LT1Q1601W3EF1</v>
      </c>
      <c r="F4038" s="238" t="str">
        <f>IFERROR(__xludf.DUMMYFUNCTION("""COMPUTED_VALUE"""),"HJF7B21,CST8002")</f>
        <v>HJF7B21,CST8002</v>
      </c>
      <c r="G4038" s="238">
        <f>IFERROR(__xludf.DUMMYFUNCTION("""COMPUTED_VALUE"""),46028.95833333333)</f>
        <v>46028.95833</v>
      </c>
      <c r="H4038" s="238">
        <f>IFERROR(__xludf.DUMMYFUNCTION("""COMPUTED_VALUE"""),46029.04166666667)</f>
        <v>46029.04167</v>
      </c>
      <c r="I4038" s="237" t="str">
        <f t="shared" si="1"/>
        <v>Fora</v>
      </c>
      <c r="J4038" s="239">
        <v>120.00000001396984</v>
      </c>
    </row>
    <row r="4039">
      <c r="A4039" s="234" t="s">
        <v>5227</v>
      </c>
      <c r="B4039" s="234" t="str">
        <f>IFERROR(__xludf.DUMMYFUNCTION("""COMPUTED_VALUE"""),"SoC_PR_Curitiba")</f>
        <v>SoC_PR_Curitiba</v>
      </c>
      <c r="C4039" s="234" t="str">
        <f>IFERROR(__xludf.DUMMYFUNCTION("""COMPUTED_VALUE"""),"SOC-PR1")</f>
        <v>SOC-PR1</v>
      </c>
      <c r="D4039" s="234">
        <f>IFERROR(__xludf.DUMMYFUNCTION("""COMPUTED_VALUE"""),19.0)</f>
        <v>19</v>
      </c>
      <c r="E4039" s="237" t="str">
        <f>IFERROR(__xludf.DUMMYFUNCTION("""COMPUTED_VALUE"""),"LT1Q1601W2TQ1")</f>
        <v>LT1Q1601W2TQ1</v>
      </c>
      <c r="F4039" s="238" t="str">
        <f>IFERROR(__xludf.DUMMYFUNCTION("""COMPUTED_VALUE"""),"RXR9B23,UDL7A38")</f>
        <v>RXR9B23,UDL7A38</v>
      </c>
      <c r="G4039" s="238">
        <f>IFERROR(__xludf.DUMMYFUNCTION("""COMPUTED_VALUE"""),46028.95833333333)</f>
        <v>46028.95833</v>
      </c>
      <c r="H4039" s="238">
        <f>IFERROR(__xludf.DUMMYFUNCTION("""COMPUTED_VALUE"""),46029.04166666667)</f>
        <v>46029.04167</v>
      </c>
      <c r="I4039" s="237" t="str">
        <f t="shared" si="1"/>
        <v>Fora</v>
      </c>
      <c r="J4039" s="239">
        <v>120.00000001396984</v>
      </c>
    </row>
    <row r="4040">
      <c r="A4040" s="234" t="s">
        <v>5228</v>
      </c>
      <c r="B4040" s="234" t="str">
        <f>IFERROR(__xludf.DUMMYFUNCTION("""COMPUTED_VALUE"""),"SoC_RJ_Duque de Caxias")</f>
        <v>SoC_RJ_Duque de Caxias</v>
      </c>
      <c r="C4040" s="234" t="str">
        <f>IFERROR(__xludf.DUMMYFUNCTION("""COMPUTED_VALUE"""),"SOC-RJ2")</f>
        <v>SOC-RJ2</v>
      </c>
      <c r="D4040" s="234">
        <f>IFERROR(__xludf.DUMMYFUNCTION("""COMPUTED_VALUE"""),113.0)</f>
        <v>113</v>
      </c>
      <c r="E4040" s="237" t="str">
        <f>IFERROR(__xludf.DUMMYFUNCTION("""COMPUTED_VALUE"""),"LT1Q1601W2TI1")</f>
        <v>LT1Q1601W2TI1</v>
      </c>
      <c r="F4040" s="238" t="str">
        <f>IFERROR(__xludf.DUMMYFUNCTION("""COMPUTED_VALUE"""),"FPN1B90,ETM2B31")</f>
        <v>FPN1B90,ETM2B31</v>
      </c>
      <c r="G4040" s="238">
        <f>IFERROR(__xludf.DUMMYFUNCTION("""COMPUTED_VALUE"""),46028.95833333333)</f>
        <v>46028.95833</v>
      </c>
      <c r="H4040" s="238">
        <f>IFERROR(__xludf.DUMMYFUNCTION("""COMPUTED_VALUE"""),46029.04166666667)</f>
        <v>46029.04167</v>
      </c>
      <c r="I4040" s="237" t="str">
        <f t="shared" si="1"/>
        <v>Fora</v>
      </c>
      <c r="J4040" s="239">
        <v>120.00000001396984</v>
      </c>
    </row>
    <row r="4041">
      <c r="A4041" s="234" t="s">
        <v>5229</v>
      </c>
      <c r="B4041" s="234" t="str">
        <f>IFERROR(__xludf.DUMMYFUNCTION("""COMPUTED_VALUE"""),"SoC_SC_Itajaí")</f>
        <v>SoC_SC_Itajaí</v>
      </c>
      <c r="C4041" s="234" t="str">
        <f>IFERROR(__xludf.DUMMYFUNCTION("""COMPUTED_VALUE"""),"SOC-SC1")</f>
        <v>SOC-SC1</v>
      </c>
      <c r="D4041" s="234">
        <f>IFERROR(__xludf.DUMMYFUNCTION("""COMPUTED_VALUE"""),6.0)</f>
        <v>6</v>
      </c>
      <c r="E4041" s="237" t="str">
        <f>IFERROR(__xludf.DUMMYFUNCTION("""COMPUTED_VALUE"""),"LT1Q1601W3EH1")</f>
        <v>LT1Q1601W3EH1</v>
      </c>
      <c r="F4041" s="238" t="str">
        <f>IFERROR(__xludf.DUMMYFUNCTION("""COMPUTED_VALUE"""),"RXQ2F83,GIC9A86")</f>
        <v>RXQ2F83,GIC9A86</v>
      </c>
      <c r="G4041" s="238">
        <f>IFERROR(__xludf.DUMMYFUNCTION("""COMPUTED_VALUE"""),46028.95833333333)</f>
        <v>46028.95833</v>
      </c>
      <c r="H4041" s="238">
        <f>IFERROR(__xludf.DUMMYFUNCTION("""COMPUTED_VALUE"""),46029.04166666667)</f>
        <v>46029.04167</v>
      </c>
      <c r="I4041" s="237" t="str">
        <f t="shared" si="1"/>
        <v>Fora</v>
      </c>
      <c r="J4041" s="239">
        <v>120.00000001396984</v>
      </c>
    </row>
    <row r="4042">
      <c r="A4042" s="234" t="s">
        <v>5230</v>
      </c>
      <c r="B4042" s="234" t="str">
        <f>IFERROR(__xludf.DUMMYFUNCTION("""COMPUTED_VALUE"""),"SoC_SP_Louveira")</f>
        <v>SoC_SP_Louveira</v>
      </c>
      <c r="C4042" s="234" t="str">
        <f>IFERROR(__xludf.DUMMYFUNCTION("""COMPUTED_VALUE"""),"SOC-SP7")</f>
        <v>SOC-SP7</v>
      </c>
      <c r="D4042" s="234"/>
      <c r="E4042" s="237" t="str">
        <f>IFERROR(__xludf.DUMMYFUNCTION("""COMPUTED_VALUE"""),"LT1Q1601W2T41")</f>
        <v>LT1Q1601W2T41</v>
      </c>
      <c r="F4042" s="234"/>
      <c r="G4042" s="238">
        <f>IFERROR(__xludf.DUMMYFUNCTION("""COMPUTED_VALUE"""),46028.95833333333)</f>
        <v>46028.95833</v>
      </c>
      <c r="H4042" s="238">
        <f>IFERROR(__xludf.DUMMYFUNCTION("""COMPUTED_VALUE"""),46029.04166666667)</f>
        <v>46029.04167</v>
      </c>
      <c r="I4042" s="237" t="str">
        <f t="shared" si="1"/>
        <v>Fora</v>
      </c>
      <c r="J4042" s="239">
        <v>119.99999999301508</v>
      </c>
    </row>
    <row r="4043">
      <c r="A4043" s="234" t="s">
        <v>5231</v>
      </c>
      <c r="B4043" s="234" t="str">
        <f>IFERROR(__xludf.DUMMYFUNCTION("""COMPUTED_VALUE"""),"LM Hub_SP_Atibaia_Ponte_Alta")</f>
        <v>LM Hub_SP_Atibaia_Ponte_Alta</v>
      </c>
      <c r="C4043" s="234" t="str">
        <f>IFERROR(__xludf.DUMMYFUNCTION("""COMPUTED_VALUE"""),"HUB-LSP-87")</f>
        <v>HUB-LSP-87</v>
      </c>
      <c r="D4043" s="234">
        <f>IFERROR(__xludf.DUMMYFUNCTION("""COMPUTED_VALUE"""),17.0)</f>
        <v>17</v>
      </c>
      <c r="E4043" s="237" t="str">
        <f>IFERROR(__xludf.DUMMYFUNCTION("""COMPUTED_VALUE"""),"LT0Q1601VJKG1")</f>
        <v>LT0Q1601VJKG1</v>
      </c>
      <c r="F4043" s="238" t="str">
        <f>IFERROR(__xludf.DUMMYFUNCTION("""COMPUTED_VALUE"""),"TBX6C27")</f>
        <v>TBX6C27</v>
      </c>
      <c r="G4043" s="238">
        <f>IFERROR(__xludf.DUMMYFUNCTION("""COMPUTED_VALUE"""),46028.97916666667)</f>
        <v>46028.97917</v>
      </c>
      <c r="H4043" s="238">
        <f>IFERROR(__xludf.DUMMYFUNCTION("""COMPUTED_VALUE"""),46029.0625)</f>
        <v>46029.0625</v>
      </c>
      <c r="I4043" s="237" t="str">
        <f t="shared" si="1"/>
        <v>Fora</v>
      </c>
      <c r="J4043" s="239">
        <v>119.99999999301508</v>
      </c>
    </row>
    <row r="4044">
      <c r="A4044" s="234" t="s">
        <v>5232</v>
      </c>
      <c r="B4044" s="234" t="str">
        <f>IFERROR(__xludf.DUMMYFUNCTION("""COMPUTED_VALUE"""),"LM Hub_SP_Várzea Paulista")</f>
        <v>LM Hub_SP_Várzea Paulista</v>
      </c>
      <c r="C4044" s="234" t="str">
        <f>IFERROR(__xludf.DUMMYFUNCTION("""COMPUTED_VALUE"""),"HUB-LSP-61")</f>
        <v>HUB-LSP-61</v>
      </c>
      <c r="D4044" s="234">
        <f>IFERROR(__xludf.DUMMYFUNCTION("""COMPUTED_VALUE"""),7.0)</f>
        <v>7</v>
      </c>
      <c r="E4044" s="237" t="str">
        <f>IFERROR(__xludf.DUMMYFUNCTION("""COMPUTED_VALUE"""),"LT0Q1601VFM81")</f>
        <v>LT0Q1601VFM81</v>
      </c>
      <c r="F4044" s="238" t="str">
        <f>IFERROR(__xludf.DUMMYFUNCTION("""COMPUTED_VALUE"""),"RJG8E37,FCG5D30")</f>
        <v>RJG8E37,FCG5D30</v>
      </c>
      <c r="G4044" s="238">
        <f>IFERROR(__xludf.DUMMYFUNCTION("""COMPUTED_VALUE"""),46028.97916666667)</f>
        <v>46028.97917</v>
      </c>
      <c r="H4044" s="238">
        <f>IFERROR(__xludf.DUMMYFUNCTION("""COMPUTED_VALUE"""),46029.0625)</f>
        <v>46029.0625</v>
      </c>
      <c r="I4044" s="237" t="str">
        <f t="shared" si="1"/>
        <v>Fora</v>
      </c>
      <c r="J4044" s="239">
        <v>119.99999999301508</v>
      </c>
    </row>
    <row r="4045">
      <c r="A4045" s="234" t="s">
        <v>5233</v>
      </c>
      <c r="B4045" s="234" t="str">
        <f>IFERROR(__xludf.DUMMYFUNCTION("""COMPUTED_VALUE"""),"LM Hub_RJ_Ilha do Governador")</f>
        <v>LM Hub_RJ_Ilha do Governador</v>
      </c>
      <c r="C4045" s="234" t="str">
        <f>IFERROR(__xludf.DUMMYFUNCTION("""COMPUTED_VALUE"""),"HUB-LRJ-32")</f>
        <v>HUB-LRJ-32</v>
      </c>
      <c r="D4045" s="234">
        <f>IFERROR(__xludf.DUMMYFUNCTION("""COMPUTED_VALUE"""),24.0)</f>
        <v>24</v>
      </c>
      <c r="E4045" s="237" t="str">
        <f>IFERROR(__xludf.DUMMYFUNCTION("""COMPUTED_VALUE"""),"LT0Q1701VLHA1")</f>
        <v>LT0Q1701VLHA1</v>
      </c>
      <c r="F4045" s="238" t="str">
        <f>IFERROR(__xludf.DUMMYFUNCTION("""COMPUTED_VALUE"""),"BYX8E60")</f>
        <v>BYX8E60</v>
      </c>
      <c r="G4045" s="238">
        <f>IFERROR(__xludf.DUMMYFUNCTION("""COMPUTED_VALUE"""),46029.0)</f>
        <v>46029</v>
      </c>
      <c r="H4045" s="238">
        <f>IFERROR(__xludf.DUMMYFUNCTION("""COMPUTED_VALUE"""),46029.08333333333)</f>
        <v>46029.08333</v>
      </c>
      <c r="I4045" s="237" t="str">
        <f t="shared" si="1"/>
        <v>Fora</v>
      </c>
      <c r="J4045" s="239">
        <v>120.00000001396984</v>
      </c>
    </row>
    <row r="4046">
      <c r="A4046" s="234" t="s">
        <v>5234</v>
      </c>
      <c r="B4046" s="234" t="str">
        <f>IFERROR(__xludf.DUMMYFUNCTION("""COMPUTED_VALUE"""),"LM Hub_MG_Varginha_Fausto")</f>
        <v>LM Hub_MG_Varginha_Fausto</v>
      </c>
      <c r="C4046" s="234" t="str">
        <f>IFERROR(__xludf.DUMMYFUNCTION("""COMPUTED_VALUE"""),"HUB-LMG-45")</f>
        <v>HUB-LMG-45</v>
      </c>
      <c r="D4046" s="234">
        <f>IFERROR(__xludf.DUMMYFUNCTION("""COMPUTED_VALUE"""),18.0)</f>
        <v>18</v>
      </c>
      <c r="E4046" s="237" t="str">
        <f>IFERROR(__xludf.DUMMYFUNCTION("""COMPUTED_VALUE"""),"LT0Q1701VKWX1")</f>
        <v>LT0Q1701VKWX1</v>
      </c>
      <c r="F4046" s="238" t="str">
        <f>IFERROR(__xludf.DUMMYFUNCTION("""COMPUTED_VALUE"""),"GGT7B46")</f>
        <v>GGT7B46</v>
      </c>
      <c r="G4046" s="238">
        <f>IFERROR(__xludf.DUMMYFUNCTION("""COMPUTED_VALUE"""),46029.02083333333)</f>
        <v>46029.02083</v>
      </c>
      <c r="H4046" s="238">
        <f>IFERROR(__xludf.DUMMYFUNCTION("""COMPUTED_VALUE"""),46029.10416666667)</f>
        <v>46029.10417</v>
      </c>
      <c r="I4046" s="237" t="str">
        <f t="shared" si="1"/>
        <v>Fora</v>
      </c>
      <c r="J4046" s="239">
        <v>240.00000000698492</v>
      </c>
    </row>
    <row r="4047">
      <c r="A4047" s="234" t="s">
        <v>5235</v>
      </c>
      <c r="B4047" s="234" t="str">
        <f>IFERROR(__xludf.DUMMYFUNCTION("""COMPUTED_VALUE"""),"SoC_PE_Jaboatão dos Guararapes")</f>
        <v>SoC_PE_Jaboatão dos Guararapes</v>
      </c>
      <c r="C4047" s="234" t="str">
        <f>IFERROR(__xludf.DUMMYFUNCTION("""COMPUTED_VALUE"""),"SOC-PE2")</f>
        <v>SOC-PE2</v>
      </c>
      <c r="D4047" s="234">
        <f>IFERROR(__xludf.DUMMYFUNCTION("""COMPUTED_VALUE"""),33.0)</f>
        <v>33</v>
      </c>
      <c r="E4047" s="237" t="str">
        <f>IFERROR(__xludf.DUMMYFUNCTION("""COMPUTED_VALUE"""),"LT1Q1601W3C01")</f>
        <v>LT1Q1601W3C01</v>
      </c>
      <c r="F4047" s="238" t="str">
        <f>IFERROR(__xludf.DUMMYFUNCTION("""COMPUTED_VALUE"""),"QJV1F44,MKG4D10")</f>
        <v>QJV1F44,MKG4D10</v>
      </c>
      <c r="G4047" s="238">
        <f>IFERROR(__xludf.DUMMYFUNCTION("""COMPUTED_VALUE"""),46028.95833333333)</f>
        <v>46028.95833</v>
      </c>
      <c r="H4047" s="238">
        <f>IFERROR(__xludf.DUMMYFUNCTION("""COMPUTED_VALUE"""),46029.125)</f>
        <v>46029.125</v>
      </c>
      <c r="I4047" s="237" t="str">
        <f t="shared" si="1"/>
        <v>Fora</v>
      </c>
      <c r="J4047" s="239">
        <v>119.99999999301508</v>
      </c>
    </row>
    <row r="4048">
      <c r="A4048" s="234" t="s">
        <v>5236</v>
      </c>
      <c r="B4048" s="234" t="str">
        <f>IFERROR(__xludf.DUMMYFUNCTION("""COMPUTED_VALUE"""),"SoC_PR_Curitiba")</f>
        <v>SoC_PR_Curitiba</v>
      </c>
      <c r="C4048" s="234" t="str">
        <f>IFERROR(__xludf.DUMMYFUNCTION("""COMPUTED_VALUE"""),"SOC-PR1")</f>
        <v>SOC-PR1</v>
      </c>
      <c r="D4048" s="234">
        <f>IFERROR(__xludf.DUMMYFUNCTION("""COMPUTED_VALUE"""),12.0)</f>
        <v>12</v>
      </c>
      <c r="E4048" s="237" t="str">
        <f>IFERROR(__xludf.DUMMYFUNCTION("""COMPUTED_VALUE"""),"LT0Q1701VFFE1")</f>
        <v>LT0Q1701VFFE1</v>
      </c>
      <c r="F4048" s="238" t="str">
        <f>IFERROR(__xludf.DUMMYFUNCTION("""COMPUTED_VALUE"""),"TAO3B06,RYS7E20")</f>
        <v>TAO3B06,RYS7E20</v>
      </c>
      <c r="G4048" s="238">
        <f>IFERROR(__xludf.DUMMYFUNCTION("""COMPUTED_VALUE"""),46029.04166666667)</f>
        <v>46029.04167</v>
      </c>
      <c r="H4048" s="238">
        <f>IFERROR(__xludf.DUMMYFUNCTION("""COMPUTED_VALUE"""),46029.125)</f>
        <v>46029.125</v>
      </c>
      <c r="I4048" s="237" t="str">
        <f t="shared" si="1"/>
        <v>Fora</v>
      </c>
      <c r="J4048" s="239">
        <v>119.99999999301508</v>
      </c>
    </row>
    <row r="4049">
      <c r="A4049" s="234" t="s">
        <v>5237</v>
      </c>
      <c r="B4049" s="234" t="str">
        <f>IFERROR(__xludf.DUMMYFUNCTION("""COMPUTED_VALUE"""),"SoC_RS_Gravataí_02")</f>
        <v>SoC_RS_Gravataí_02</v>
      </c>
      <c r="C4049" s="234" t="str">
        <f>IFERROR(__xludf.DUMMYFUNCTION("""COMPUTED_VALUE"""),"SOC-RS2")</f>
        <v>SOC-RS2</v>
      </c>
      <c r="D4049" s="234">
        <f>IFERROR(__xludf.DUMMYFUNCTION("""COMPUTED_VALUE"""),25.0)</f>
        <v>25</v>
      </c>
      <c r="E4049" s="237" t="str">
        <f>IFERROR(__xludf.DUMMYFUNCTION("""COMPUTED_VALUE"""),"LT1Q1701W3EG1")</f>
        <v>LT1Q1701W3EG1</v>
      </c>
      <c r="F4049" s="238" t="str">
        <f>IFERROR(__xludf.DUMMYFUNCTION("""COMPUTED_VALUE"""),"FOE1B13,EML4E02")</f>
        <v>FOE1B13,EML4E02</v>
      </c>
      <c r="G4049" s="238">
        <f>IFERROR(__xludf.DUMMYFUNCTION("""COMPUTED_VALUE"""),46029.04166666667)</f>
        <v>46029.04167</v>
      </c>
      <c r="H4049" s="238">
        <f>IFERROR(__xludf.DUMMYFUNCTION("""COMPUTED_VALUE"""),46029.125)</f>
        <v>46029.125</v>
      </c>
      <c r="I4049" s="237" t="str">
        <f t="shared" si="1"/>
        <v>Fora</v>
      </c>
      <c r="J4049" s="239">
        <v>119.99999999301508</v>
      </c>
    </row>
    <row r="4050">
      <c r="A4050" s="234" t="s">
        <v>5238</v>
      </c>
      <c r="B4050" s="234" t="str">
        <f>IFERROR(__xludf.DUMMYFUNCTION("""COMPUTED_VALUE"""),"SoC_SC_Itajaí")</f>
        <v>SoC_SC_Itajaí</v>
      </c>
      <c r="C4050" s="234" t="str">
        <f>IFERROR(__xludf.DUMMYFUNCTION("""COMPUTED_VALUE"""),"SOC-SC1")</f>
        <v>SOC-SC1</v>
      </c>
      <c r="D4050" s="234" t="str">
        <f>IFERROR(__xludf.DUMMYFUNCTION("""COMPUTED_VALUE"""),"112/22")</f>
        <v>112/22</v>
      </c>
      <c r="E4050" s="237" t="str">
        <f>IFERROR(__xludf.DUMMYFUNCTION("""COMPUTED_VALUE"""),"LT1Q1701W3C61")</f>
        <v>LT1Q1701W3C61</v>
      </c>
      <c r="F4050" s="238" t="str">
        <f>IFERROR(__xludf.DUMMYFUNCTION("""COMPUTED_VALUE"""),"RYP4A73,RKZ1B27")</f>
        <v>RYP4A73,RKZ1B27</v>
      </c>
      <c r="G4050" s="238">
        <f>IFERROR(__xludf.DUMMYFUNCTION("""COMPUTED_VALUE"""),46029.04166666667)</f>
        <v>46029.04167</v>
      </c>
      <c r="H4050" s="238">
        <f>IFERROR(__xludf.DUMMYFUNCTION("""COMPUTED_VALUE"""),46029.125)</f>
        <v>46029.125</v>
      </c>
      <c r="I4050" s="237" t="str">
        <f t="shared" si="1"/>
        <v>Fora</v>
      </c>
      <c r="J4050" s="239">
        <v>540.0</v>
      </c>
    </row>
    <row r="4051">
      <c r="A4051" s="234" t="s">
        <v>5239</v>
      </c>
      <c r="B4051" s="234" t="str">
        <f>IFERROR(__xludf.DUMMYFUNCTION("""COMPUTED_VALUE"""),"SoC_SC_Itajaí")</f>
        <v>SoC_SC_Itajaí</v>
      </c>
      <c r="C4051" s="234" t="str">
        <f>IFERROR(__xludf.DUMMYFUNCTION("""COMPUTED_VALUE"""),"SOC-SC1")</f>
        <v>SOC-SC1</v>
      </c>
      <c r="D4051" s="234">
        <f>IFERROR(__xludf.DUMMYFUNCTION("""COMPUTED_VALUE"""),100.0)</f>
        <v>100</v>
      </c>
      <c r="E4051" s="237" t="str">
        <f>IFERROR(__xludf.DUMMYFUNCTION("""COMPUTED_VALUE"""),"LT0Q1601VK9C2")</f>
        <v>LT0Q1601VK9C2</v>
      </c>
      <c r="F4051" s="238" t="str">
        <f>IFERROR(__xludf.DUMMYFUNCTION("""COMPUTED_VALUE"""),"OPN3H95,IPN8J87")</f>
        <v>OPN3H95,IPN8J87</v>
      </c>
      <c r="G4051" s="238">
        <f>IFERROR(__xludf.DUMMYFUNCTION("""COMPUTED_VALUE"""),46028.79166666667)</f>
        <v>46028.79167</v>
      </c>
      <c r="H4051" s="238">
        <f>IFERROR(__xludf.DUMMYFUNCTION("""COMPUTED_VALUE"""),46029.16666666667)</f>
        <v>46029.16667</v>
      </c>
      <c r="I4051" s="237" t="str">
        <f t="shared" si="1"/>
        <v>Fora</v>
      </c>
      <c r="J4051" s="239">
        <v>120.00000001396984</v>
      </c>
    </row>
    <row r="4052">
      <c r="A4052" s="234" t="s">
        <v>5240</v>
      </c>
      <c r="B4052" s="234" t="str">
        <f>IFERROR(__xludf.DUMMYFUNCTION("""COMPUTED_VALUE"""),"LM Hub_RJ_São Gonçalo_02")</f>
        <v>LM Hub_RJ_São Gonçalo_02</v>
      </c>
      <c r="C4052" s="234" t="str">
        <f>IFERROR(__xludf.DUMMYFUNCTION("""COMPUTED_VALUE"""),"HUB-LRJ-23")</f>
        <v>HUB-LRJ-23</v>
      </c>
      <c r="D4052" s="234">
        <f>IFERROR(__xludf.DUMMYFUNCTION("""COMPUTED_VALUE"""),8.0)</f>
        <v>8</v>
      </c>
      <c r="E4052" s="237" t="str">
        <f>IFERROR(__xludf.DUMMYFUNCTION("""COMPUTED_VALUE"""),"LT0Q1701VLHX1")</f>
        <v>LT0Q1701VLHX1</v>
      </c>
      <c r="F4052" s="238" t="str">
        <f>IFERROR(__xludf.DUMMYFUNCTION("""COMPUTED_VALUE"""),"IYN6A04")</f>
        <v>IYN6A04</v>
      </c>
      <c r="G4052" s="238">
        <f>IFERROR(__xludf.DUMMYFUNCTION("""COMPUTED_VALUE"""),46029.08333333333)</f>
        <v>46029.08333</v>
      </c>
      <c r="H4052" s="238">
        <f>IFERROR(__xludf.DUMMYFUNCTION("""COMPUTED_VALUE"""),46029.16666666667)</f>
        <v>46029.16667</v>
      </c>
      <c r="I4052" s="237" t="str">
        <f t="shared" si="1"/>
        <v>Fora</v>
      </c>
      <c r="J4052" s="239">
        <v>119.00000001071021</v>
      </c>
    </row>
    <row r="4053">
      <c r="A4053" s="234" t="s">
        <v>5241</v>
      </c>
      <c r="B4053" s="234" t="str">
        <f>IFERROR(__xludf.DUMMYFUNCTION("""COMPUTED_VALUE"""),"LM Hub_SP_Tatuí")</f>
        <v>LM Hub_SP_Tatuí</v>
      </c>
      <c r="C4053" s="234" t="str">
        <f>IFERROR(__xludf.DUMMYFUNCTION("""COMPUTED_VALUE"""),"HUB-LSP-51")</f>
        <v>HUB-LSP-51</v>
      </c>
      <c r="D4053" s="234">
        <f>IFERROR(__xludf.DUMMYFUNCTION("""COMPUTED_VALUE"""),21.0)</f>
        <v>21</v>
      </c>
      <c r="E4053" s="237" t="str">
        <f>IFERROR(__xludf.DUMMYFUNCTION("""COMPUTED_VALUE"""),"LT0Q1701VFJL1")</f>
        <v>LT0Q1701VFJL1</v>
      </c>
      <c r="F4053" s="238" t="str">
        <f>IFERROR(__xludf.DUMMYFUNCTION("""COMPUTED_VALUE"""),"SVM9H44,GDU4H95")</f>
        <v>SVM9H44,GDU4H95</v>
      </c>
      <c r="G4053" s="238">
        <f>IFERROR(__xludf.DUMMYFUNCTION("""COMPUTED_VALUE"""),46029.084027777775)</f>
        <v>46029.08403</v>
      </c>
      <c r="H4053" s="238">
        <f>IFERROR(__xludf.DUMMYFUNCTION("""COMPUTED_VALUE"""),46029.16666666667)</f>
        <v>46029.16667</v>
      </c>
      <c r="I4053" s="237" t="str">
        <f t="shared" si="1"/>
        <v>Fora</v>
      </c>
      <c r="J4053" s="239">
        <v>119.99999999301508</v>
      </c>
    </row>
    <row r="4054">
      <c r="A4054" s="234" t="s">
        <v>5242</v>
      </c>
      <c r="B4054" s="234" t="str">
        <f>IFERROR(__xludf.DUMMYFUNCTION("""COMPUTED_VALUE"""),"LM Hub_SP_Itapetininga")</f>
        <v>LM Hub_SP_Itapetininga</v>
      </c>
      <c r="C4054" s="234" t="str">
        <f>IFERROR(__xludf.DUMMYFUNCTION("""COMPUTED_VALUE"""),"HUB-LSP-53")</f>
        <v>HUB-LSP-53</v>
      </c>
      <c r="D4054" s="234">
        <f>IFERROR(__xludf.DUMMYFUNCTION("""COMPUTED_VALUE"""),36.0)</f>
        <v>36</v>
      </c>
      <c r="E4054" s="237" t="str">
        <f>IFERROR(__xludf.DUMMYFUNCTION("""COMPUTED_VALUE"""),"LT0Q1701VFJE1")</f>
        <v>LT0Q1701VFJE1</v>
      </c>
      <c r="F4054" s="238" t="str">
        <f>IFERROR(__xludf.DUMMYFUNCTION("""COMPUTED_VALUE"""),"FZY3F48")</f>
        <v>FZY3F48</v>
      </c>
      <c r="G4054" s="238">
        <f>IFERROR(__xludf.DUMMYFUNCTION("""COMPUTED_VALUE"""),46029.10416666667)</f>
        <v>46029.10417</v>
      </c>
      <c r="H4054" s="238">
        <f>IFERROR(__xludf.DUMMYFUNCTION("""COMPUTED_VALUE"""),46029.1875)</f>
        <v>46029.1875</v>
      </c>
      <c r="I4054" s="237" t="str">
        <f t="shared" si="1"/>
        <v>Fora</v>
      </c>
      <c r="J4054" s="239">
        <v>119.99999999301508</v>
      </c>
    </row>
    <row r="4055">
      <c r="A4055" s="234" t="s">
        <v>5243</v>
      </c>
      <c r="B4055" s="234" t="str">
        <f>IFERROR(__xludf.DUMMYFUNCTION("""COMPUTED_VALUE"""),"LM Hub_SP_São Carlos")</f>
        <v>LM Hub_SP_São Carlos</v>
      </c>
      <c r="C4055" s="234" t="str">
        <f>IFERROR(__xludf.DUMMYFUNCTION("""COMPUTED_VALUE"""),"HUB-LSP-31")</f>
        <v>HUB-LSP-31</v>
      </c>
      <c r="D4055" s="234">
        <f>IFERROR(__xludf.DUMMYFUNCTION("""COMPUTED_VALUE"""),5.0)</f>
        <v>5</v>
      </c>
      <c r="E4055" s="237" t="str">
        <f>IFERROR(__xludf.DUMMYFUNCTION("""COMPUTED_VALUE"""),"LT0Q1701VFMK1")</f>
        <v>LT0Q1701VFMK1</v>
      </c>
      <c r="F4055" s="238" t="str">
        <f>IFERROR(__xludf.DUMMYFUNCTION("""COMPUTED_VALUE"""),"QJT4B02")</f>
        <v>QJT4B02</v>
      </c>
      <c r="G4055" s="238">
        <f>IFERROR(__xludf.DUMMYFUNCTION("""COMPUTED_VALUE"""),46029.10416666667)</f>
        <v>46029.10417</v>
      </c>
      <c r="H4055" s="238">
        <f>IFERROR(__xludf.DUMMYFUNCTION("""COMPUTED_VALUE"""),46029.1875)</f>
        <v>46029.1875</v>
      </c>
      <c r="I4055" s="237" t="str">
        <f t="shared" si="1"/>
        <v>Fora</v>
      </c>
      <c r="J4055" s="239">
        <v>540.0</v>
      </c>
    </row>
    <row r="4056">
      <c r="A4056" s="234" t="s">
        <v>5244</v>
      </c>
      <c r="B4056" s="234" t="str">
        <f>IFERROR(__xludf.DUMMYFUNCTION("""COMPUTED_VALUE"""),"SoC_GO_Goiânia_02")</f>
        <v>SoC_GO_Goiânia_02</v>
      </c>
      <c r="C4056" s="234" t="str">
        <f>IFERROR(__xludf.DUMMYFUNCTION("""COMPUTED_VALUE"""),"SOC-GO2")</f>
        <v>SOC-GO2</v>
      </c>
      <c r="D4056" s="234" t="str">
        <f>IFERROR(__xludf.DUMMYFUNCTION("""COMPUTED_VALUE"""),"86/112")</f>
        <v>86/112</v>
      </c>
      <c r="E4056" s="237" t="str">
        <f>IFERROR(__xludf.DUMMYFUNCTION("""COMPUTED_VALUE"""),"LT0Q1601VLK73")</f>
        <v>LT0Q1601VLK73</v>
      </c>
      <c r="F4056" s="238" t="str">
        <f>IFERROR(__xludf.DUMMYFUNCTION("""COMPUTED_VALUE"""),"JCG4I58,ENZ0J80")</f>
        <v>JCG4I58,ENZ0J80</v>
      </c>
      <c r="G4056" s="238">
        <f>IFERROR(__xludf.DUMMYFUNCTION("""COMPUTED_VALUE"""),46028.83333333333)</f>
        <v>46028.83333</v>
      </c>
      <c r="H4056" s="238">
        <f>IFERROR(__xludf.DUMMYFUNCTION("""COMPUTED_VALUE"""),46029.20833333333)</f>
        <v>46029.20833</v>
      </c>
      <c r="I4056" s="237" t="str">
        <f t="shared" si="1"/>
        <v>Fora</v>
      </c>
      <c r="J4056" s="239">
        <v>540.0</v>
      </c>
    </row>
    <row r="4057">
      <c r="A4057" s="234" t="s">
        <v>5245</v>
      </c>
      <c r="B4057" s="234" t="str">
        <f>IFERROR(__xludf.DUMMYFUNCTION("""COMPUTED_VALUE"""),"SoC_MG_Betim")</f>
        <v>SoC_MG_Betim</v>
      </c>
      <c r="C4057" s="234" t="str">
        <f>IFERROR(__xludf.DUMMYFUNCTION("""COMPUTED_VALUE"""),"SOC-MG2")</f>
        <v>SOC-MG2</v>
      </c>
      <c r="D4057" s="234">
        <f>IFERROR(__xludf.DUMMYFUNCTION("""COMPUTED_VALUE"""),90.0)</f>
        <v>90</v>
      </c>
      <c r="E4057" s="237" t="str">
        <f>IFERROR(__xludf.DUMMYFUNCTION("""COMPUTED_VALUE"""),"LT0Q1601VFF03")</f>
        <v>LT0Q1601VFF03</v>
      </c>
      <c r="F4057" s="238" t="str">
        <f>IFERROR(__xludf.DUMMYFUNCTION("""COMPUTED_VALUE"""),"FNY2B06,FCR2E04")</f>
        <v>FNY2B06,FCR2E04</v>
      </c>
      <c r="G4057" s="238">
        <f>IFERROR(__xludf.DUMMYFUNCTION("""COMPUTED_VALUE"""),46028.83333333333)</f>
        <v>46028.83333</v>
      </c>
      <c r="H4057" s="238">
        <f>IFERROR(__xludf.DUMMYFUNCTION("""COMPUTED_VALUE"""),46029.20833333333)</f>
        <v>46029.20833</v>
      </c>
      <c r="I4057" s="237" t="str">
        <f t="shared" si="1"/>
        <v>Fora</v>
      </c>
      <c r="J4057" s="239">
        <v>540.0</v>
      </c>
    </row>
    <row r="4058">
      <c r="A4058" s="234" t="s">
        <v>5246</v>
      </c>
      <c r="B4058" s="234" t="str">
        <f>IFERROR(__xludf.DUMMYFUNCTION("""COMPUTED_VALUE"""),"SoC_PE_Jaboatão dos Guararapes")</f>
        <v>SoC_PE_Jaboatão dos Guararapes</v>
      </c>
      <c r="C4058" s="234" t="str">
        <f>IFERROR(__xludf.DUMMYFUNCTION("""COMPUTED_VALUE"""),"SOC-PE2")</f>
        <v>SOC-PE2</v>
      </c>
      <c r="D4058" s="234">
        <f>IFERROR(__xludf.DUMMYFUNCTION("""COMPUTED_VALUE"""),98.0)</f>
        <v>98</v>
      </c>
      <c r="E4058" s="237" t="str">
        <f>IFERROR(__xludf.DUMMYFUNCTION("""COMPUTED_VALUE"""),"LT0Q1601VL6L2")</f>
        <v>LT0Q1601VL6L2</v>
      </c>
      <c r="F4058" s="238" t="str">
        <f>IFERROR(__xludf.DUMMYFUNCTION("""COMPUTED_VALUE"""),"BUP5F08,FXL9F43")</f>
        <v>BUP5F08,FXL9F43</v>
      </c>
      <c r="G4058" s="238">
        <f>IFERROR(__xludf.DUMMYFUNCTION("""COMPUTED_VALUE"""),46028.83333333333)</f>
        <v>46028.83333</v>
      </c>
      <c r="H4058" s="238">
        <f>IFERROR(__xludf.DUMMYFUNCTION("""COMPUTED_VALUE"""),46029.20833333333)</f>
        <v>46029.20833</v>
      </c>
      <c r="I4058" s="237" t="str">
        <f t="shared" si="1"/>
        <v>Fora</v>
      </c>
      <c r="J4058" s="239">
        <v>538.9999999967404</v>
      </c>
    </row>
    <row r="4059">
      <c r="A4059" s="234" t="s">
        <v>5247</v>
      </c>
      <c r="B4059" s="234" t="str">
        <f>IFERROR(__xludf.DUMMYFUNCTION("""COMPUTED_VALUE"""),"SoC_MG_Betim")</f>
        <v>SoC_MG_Betim</v>
      </c>
      <c r="C4059" s="234" t="str">
        <f>IFERROR(__xludf.DUMMYFUNCTION("""COMPUTED_VALUE"""),"SOC-MG2")</f>
        <v>SOC-MG2</v>
      </c>
      <c r="D4059" s="234">
        <f>IFERROR(__xludf.DUMMYFUNCTION("""COMPUTED_VALUE"""),91.0)</f>
        <v>91</v>
      </c>
      <c r="E4059" s="237" t="str">
        <f>IFERROR(__xludf.DUMMYFUNCTION("""COMPUTED_VALUE"""),"LT0Q1601VFF61")</f>
        <v>LT0Q1601VFF61</v>
      </c>
      <c r="F4059" s="238" t="str">
        <f>IFERROR(__xludf.DUMMYFUNCTION("""COMPUTED_VALUE"""),"SUQ0C67,RXM3H49")</f>
        <v>SUQ0C67,RXM3H49</v>
      </c>
      <c r="G4059" s="238">
        <f>IFERROR(__xludf.DUMMYFUNCTION("""COMPUTED_VALUE"""),46028.834027777775)</f>
        <v>46028.83403</v>
      </c>
      <c r="H4059" s="238">
        <f>IFERROR(__xludf.DUMMYFUNCTION("""COMPUTED_VALUE"""),46029.20833333333)</f>
        <v>46029.20833</v>
      </c>
      <c r="I4059" s="237" t="str">
        <f t="shared" si="1"/>
        <v>Fora</v>
      </c>
      <c r="J4059" s="239">
        <v>538.9999999967404</v>
      </c>
    </row>
    <row r="4060">
      <c r="A4060" s="234" t="s">
        <v>5248</v>
      </c>
      <c r="B4060" s="234" t="str">
        <f>IFERROR(__xludf.DUMMYFUNCTION("""COMPUTED_VALUE"""),"SoC_SP_Cravinhos")</f>
        <v>SoC_SP_Cravinhos</v>
      </c>
      <c r="C4060" s="234" t="str">
        <f>IFERROR(__xludf.DUMMYFUNCTION("""COMPUTED_VALUE"""),"SOC-SP5")</f>
        <v>SOC-SP5</v>
      </c>
      <c r="D4060" s="234">
        <f>IFERROR(__xludf.DUMMYFUNCTION("""COMPUTED_VALUE"""),94.0)</f>
        <v>94</v>
      </c>
      <c r="E4060" s="237" t="str">
        <f>IFERROR(__xludf.DUMMYFUNCTION("""COMPUTED_VALUE"""),"LT0Q1601VFGI2")</f>
        <v>LT0Q1601VFGI2</v>
      </c>
      <c r="F4060" s="238" t="str">
        <f>IFERROR(__xludf.DUMMYFUNCTION("""COMPUTED_VALUE"""),"EGK8J94,DPC3G51")</f>
        <v>EGK8J94,DPC3G51</v>
      </c>
      <c r="G4060" s="238">
        <f>IFERROR(__xludf.DUMMYFUNCTION("""COMPUTED_VALUE"""),46028.834027777775)</f>
        <v>46028.83403</v>
      </c>
      <c r="H4060" s="238">
        <f>IFERROR(__xludf.DUMMYFUNCTION("""COMPUTED_VALUE"""),46029.20833333333)</f>
        <v>46029.20833</v>
      </c>
      <c r="I4060" s="237" t="str">
        <f t="shared" si="1"/>
        <v>Fora</v>
      </c>
      <c r="J4060" s="239">
        <v>538.9999999967404</v>
      </c>
    </row>
    <row r="4061">
      <c r="A4061" s="234" t="s">
        <v>5249</v>
      </c>
      <c r="B4061" s="234" t="str">
        <f>IFERROR(__xludf.DUMMYFUNCTION("""COMPUTED_VALUE"""),"SoC_PE_Jaboatão dos Guararapes")</f>
        <v>SoC_PE_Jaboatão dos Guararapes</v>
      </c>
      <c r="C4061" s="234" t="str">
        <f>IFERROR(__xludf.DUMMYFUNCTION("""COMPUTED_VALUE"""),"SOC-PE2")</f>
        <v>SOC-PE2</v>
      </c>
      <c r="D4061" s="234">
        <f>IFERROR(__xludf.DUMMYFUNCTION("""COMPUTED_VALUE"""),41.0)</f>
        <v>41</v>
      </c>
      <c r="E4061" s="237" t="str">
        <f>IFERROR(__xludf.DUMMYFUNCTION("""COMPUTED_VALUE"""),"LT0Q1601VL6W1")</f>
        <v>LT0Q1601VL6W1</v>
      </c>
      <c r="F4061" s="238" t="str">
        <f>IFERROR(__xludf.DUMMYFUNCTION("""COMPUTED_VALUE"""),"ERA1210,ERA2G04")</f>
        <v>ERA1210,ERA2G04</v>
      </c>
      <c r="G4061" s="238">
        <f>IFERROR(__xludf.DUMMYFUNCTION("""COMPUTED_VALUE"""),46028.834027777775)</f>
        <v>46028.83403</v>
      </c>
      <c r="H4061" s="238">
        <f>IFERROR(__xludf.DUMMYFUNCTION("""COMPUTED_VALUE"""),46029.20833333333)</f>
        <v>46029.20833</v>
      </c>
      <c r="I4061" s="237" t="str">
        <f t="shared" si="1"/>
        <v>Fora</v>
      </c>
      <c r="J4061" s="239">
        <v>119.99999999301508</v>
      </c>
    </row>
    <row r="4062">
      <c r="A4062" s="234" t="s">
        <v>5250</v>
      </c>
      <c r="B4062" s="234" t="str">
        <f>IFERROR(__xludf.DUMMYFUNCTION("""COMPUTED_VALUE"""),"LM Hub_RJ_São Gonçalo")</f>
        <v>LM Hub_RJ_São Gonçalo</v>
      </c>
      <c r="C4062" s="234" t="str">
        <f>IFERROR(__xludf.DUMMYFUNCTION("""COMPUTED_VALUE"""),"HUB-LRJ-08")</f>
        <v>HUB-LRJ-08</v>
      </c>
      <c r="D4062" s="234">
        <f>IFERROR(__xludf.DUMMYFUNCTION("""COMPUTED_VALUE"""),19.0)</f>
        <v>19</v>
      </c>
      <c r="E4062" s="237" t="str">
        <f>IFERROR(__xludf.DUMMYFUNCTION("""COMPUTED_VALUE"""),"LT0Q1701VLI91")</f>
        <v>LT0Q1701VLI91</v>
      </c>
      <c r="F4062" s="238" t="str">
        <f>IFERROR(__xludf.DUMMYFUNCTION("""COMPUTED_VALUE"""),"CUB1B38")</f>
        <v>CUB1B38</v>
      </c>
      <c r="G4062" s="238">
        <f>IFERROR(__xludf.DUMMYFUNCTION("""COMPUTED_VALUE"""),46029.125)</f>
        <v>46029.125</v>
      </c>
      <c r="H4062" s="238">
        <f>IFERROR(__xludf.DUMMYFUNCTION("""COMPUTED_VALUE"""),46029.20833333333)</f>
        <v>46029.20833</v>
      </c>
      <c r="I4062" s="237" t="str">
        <f t="shared" si="1"/>
        <v>Fora</v>
      </c>
      <c r="J4062" s="239">
        <v>119.99999999301508</v>
      </c>
    </row>
    <row r="4063">
      <c r="A4063" s="234" t="s">
        <v>5251</v>
      </c>
      <c r="B4063" s="234" t="str">
        <f>IFERROR(__xludf.DUMMYFUNCTION("""COMPUTED_VALUE"""),"LM Hub_SP_Itapeva")</f>
        <v>LM Hub_SP_Itapeva</v>
      </c>
      <c r="C4063" s="234" t="str">
        <f>IFERROR(__xludf.DUMMYFUNCTION("""COMPUTED_VALUE"""),"HUB-LSP-39")</f>
        <v>HUB-LSP-39</v>
      </c>
      <c r="D4063" s="234">
        <f>IFERROR(__xludf.DUMMYFUNCTION("""COMPUTED_VALUE"""),29.0)</f>
        <v>29</v>
      </c>
      <c r="E4063" s="237" t="str">
        <f>IFERROR(__xludf.DUMMYFUNCTION("""COMPUTED_VALUE"""),"LT0Q1701VFJP1")</f>
        <v>LT0Q1701VFJP1</v>
      </c>
      <c r="F4063" s="238" t="str">
        <f>IFERROR(__xludf.DUMMYFUNCTION("""COMPUTED_VALUE"""),"FCT0F31")</f>
        <v>FCT0F31</v>
      </c>
      <c r="G4063" s="238">
        <f>IFERROR(__xludf.DUMMYFUNCTION("""COMPUTED_VALUE"""),46029.125)</f>
        <v>46029.125</v>
      </c>
      <c r="H4063" s="238">
        <f>IFERROR(__xludf.DUMMYFUNCTION("""COMPUTED_VALUE"""),46029.20833333333)</f>
        <v>46029.20833</v>
      </c>
      <c r="I4063" s="237" t="str">
        <f t="shared" si="1"/>
        <v>Fora</v>
      </c>
      <c r="J4063" s="239">
        <v>119.99999999301508</v>
      </c>
    </row>
    <row r="4064">
      <c r="A4064" s="234" t="s">
        <v>5252</v>
      </c>
      <c r="B4064" s="234" t="str">
        <f>IFERROR(__xludf.DUMMYFUNCTION("""COMPUTED_VALUE"""),"LM Hub_SP_Sumaré_Nova Veneza_1")</f>
        <v>LM Hub_SP_Sumaré_Nova Veneza_1</v>
      </c>
      <c r="C4064" s="234" t="str">
        <f>IFERROR(__xludf.DUMMYFUNCTION("""COMPUTED_VALUE"""),"HUB-LSP-88")</f>
        <v>HUB-LSP-88</v>
      </c>
      <c r="D4064" s="234">
        <f>IFERROR(__xludf.DUMMYFUNCTION("""COMPUTED_VALUE"""),40.0)</f>
        <v>40</v>
      </c>
      <c r="E4064" s="237" t="str">
        <f>IFERROR(__xludf.DUMMYFUNCTION("""COMPUTED_VALUE"""),"LT0Q1701VKT41")</f>
        <v>LT0Q1701VKT41</v>
      </c>
      <c r="F4064" s="238" t="str">
        <f>IFERROR(__xludf.DUMMYFUNCTION("""COMPUTED_VALUE"""),"EGJ9547")</f>
        <v>EGJ9547</v>
      </c>
      <c r="G4064" s="238">
        <f>IFERROR(__xludf.DUMMYFUNCTION("""COMPUTED_VALUE"""),46029.125)</f>
        <v>46029.125</v>
      </c>
      <c r="H4064" s="238">
        <f>IFERROR(__xludf.DUMMYFUNCTION("""COMPUTED_VALUE"""),46029.20833333333)</f>
        <v>46029.20833</v>
      </c>
      <c r="I4064" s="237" t="str">
        <f t="shared" si="1"/>
        <v>Fora</v>
      </c>
      <c r="J4064" s="239">
        <v>119.99999999301508</v>
      </c>
    </row>
    <row r="4065">
      <c r="A4065" s="234" t="s">
        <v>707</v>
      </c>
      <c r="B4065" s="234" t="str">
        <f>IFERROR(__xludf.DUMMYFUNCTION("""COMPUTED_VALUE"""),"SoC_PE_Jaboatão dos Guararapes")</f>
        <v>SoC_PE_Jaboatão dos Guararapes</v>
      </c>
      <c r="C4065" s="234" t="str">
        <f>IFERROR(__xludf.DUMMYFUNCTION("""COMPUTED_VALUE"""),"SOC-PE2")</f>
        <v>SOC-PE2</v>
      </c>
      <c r="D4065" s="234"/>
      <c r="E4065" s="237" t="str">
        <f>IFERROR(__xludf.DUMMYFUNCTION("""COMPUTED_VALUE"""),"LT1Q1701W3C11")</f>
        <v>LT1Q1701W3C11</v>
      </c>
      <c r="F4065" s="238" t="str">
        <f>IFERROR(__xludf.DUMMYFUNCTION("""COMPUTED_VALUE"""),"AYH3H43,MBD6E91")</f>
        <v>AYH3H43,MBD6E91</v>
      </c>
      <c r="G4065" s="238">
        <f>IFERROR(__xludf.DUMMYFUNCTION("""COMPUTED_VALUE"""),46029.125)</f>
        <v>46029.125</v>
      </c>
      <c r="H4065" s="238">
        <f>IFERROR(__xludf.DUMMYFUNCTION("""COMPUTED_VALUE"""),46029.20833333333)</f>
        <v>46029.20833</v>
      </c>
      <c r="I4065" s="237" t="str">
        <f t="shared" si="1"/>
        <v>Fora</v>
      </c>
      <c r="J4065" s="239">
        <v>119.99999999301508</v>
      </c>
    </row>
    <row r="4066">
      <c r="A4066" s="234" t="s">
        <v>5253</v>
      </c>
      <c r="B4066" s="234" t="str">
        <f>IFERROR(__xludf.DUMMYFUNCTION("""COMPUTED_VALUE"""),"SoC_PR_Curitiba")</f>
        <v>SoC_PR_Curitiba</v>
      </c>
      <c r="C4066" s="234" t="str">
        <f>IFERROR(__xludf.DUMMYFUNCTION("""COMPUTED_VALUE"""),"SOC-PR1")</f>
        <v>SOC-PR1</v>
      </c>
      <c r="D4066" s="234">
        <f>IFERROR(__xludf.DUMMYFUNCTION("""COMPUTED_VALUE"""),23.0)</f>
        <v>23</v>
      </c>
      <c r="E4066" s="237" t="str">
        <f>IFERROR(__xludf.DUMMYFUNCTION("""COMPUTED_VALUE"""),"LT1Q1601W2YS1")</f>
        <v>LT1Q1601W2YS1</v>
      </c>
      <c r="F4066" s="238" t="str">
        <f>IFERROR(__xludf.DUMMYFUNCTION("""COMPUTED_VALUE"""),"TAI9I28,RYZ0H89")</f>
        <v>TAI9I28,RYZ0H89</v>
      </c>
      <c r="G4066" s="238">
        <f>IFERROR(__xludf.DUMMYFUNCTION("""COMPUTED_VALUE"""),46029.125)</f>
        <v>46029.125</v>
      </c>
      <c r="H4066" s="238">
        <f>IFERROR(__xludf.DUMMYFUNCTION("""COMPUTED_VALUE"""),46029.20833333333)</f>
        <v>46029.20833</v>
      </c>
      <c r="I4066" s="237" t="str">
        <f t="shared" si="1"/>
        <v>Fora</v>
      </c>
      <c r="J4066" s="239">
        <v>119.99999999301508</v>
      </c>
    </row>
    <row r="4067">
      <c r="A4067" s="234" t="s">
        <v>5254</v>
      </c>
      <c r="B4067" s="234" t="str">
        <f>IFERROR(__xludf.DUMMYFUNCTION("""COMPUTED_VALUE"""),"SoC_RS_Gravataí_02")</f>
        <v>SoC_RS_Gravataí_02</v>
      </c>
      <c r="C4067" s="234" t="str">
        <f>IFERROR(__xludf.DUMMYFUNCTION("""COMPUTED_VALUE"""),"SOC-RS2")</f>
        <v>SOC-RS2</v>
      </c>
      <c r="D4067" s="234">
        <f>IFERROR(__xludf.DUMMYFUNCTION("""COMPUTED_VALUE"""),102.0)</f>
        <v>102</v>
      </c>
      <c r="E4067" s="237" t="str">
        <f>IFERROR(__xludf.DUMMYFUNCTION("""COMPUTED_VALUE"""),"LT1Q1701W3C51")</f>
        <v>LT1Q1701W3C51</v>
      </c>
      <c r="F4067" s="238" t="str">
        <f>IFERROR(__xludf.DUMMYFUNCTION("""COMPUTED_VALUE"""),"EML3A91,UEB6H73")</f>
        <v>EML3A91,UEB6H73</v>
      </c>
      <c r="G4067" s="238">
        <f>IFERROR(__xludf.DUMMYFUNCTION("""COMPUTED_VALUE"""),46029.125)</f>
        <v>46029.125</v>
      </c>
      <c r="H4067" s="238">
        <f>IFERROR(__xludf.DUMMYFUNCTION("""COMPUTED_VALUE"""),46029.20833333333)</f>
        <v>46029.20833</v>
      </c>
      <c r="I4067" s="237" t="str">
        <f t="shared" si="1"/>
        <v>Fora</v>
      </c>
      <c r="J4067" s="239">
        <v>119.99999999301508</v>
      </c>
    </row>
    <row r="4068">
      <c r="A4068" s="234" t="s">
        <v>5255</v>
      </c>
      <c r="B4068" s="234" t="str">
        <f>IFERROR(__xludf.DUMMYFUNCTION("""COMPUTED_VALUE"""),"SoC_SP_Louveira")</f>
        <v>SoC_SP_Louveira</v>
      </c>
      <c r="C4068" s="234" t="str">
        <f>IFERROR(__xludf.DUMMYFUNCTION("""COMPUTED_VALUE"""),"SOC-SP7")</f>
        <v>SOC-SP7</v>
      </c>
      <c r="D4068" s="234">
        <f>IFERROR(__xludf.DUMMYFUNCTION("""COMPUTED_VALUE"""),26.0)</f>
        <v>26</v>
      </c>
      <c r="E4068" s="237" t="str">
        <f>IFERROR(__xludf.DUMMYFUNCTION("""COMPUTED_VALUE"""),"LT0Q1701VFGR1")</f>
        <v>LT0Q1701VFGR1</v>
      </c>
      <c r="F4068" s="238" t="str">
        <f>IFERROR(__xludf.DUMMYFUNCTION("""COMPUTED_VALUE"""),"FLT6C13,SVT2E31")</f>
        <v>FLT6C13,SVT2E31</v>
      </c>
      <c r="G4068" s="238">
        <f>IFERROR(__xludf.DUMMYFUNCTION("""COMPUTED_VALUE"""),46029.125)</f>
        <v>46029.125</v>
      </c>
      <c r="H4068" s="238">
        <f>IFERROR(__xludf.DUMMYFUNCTION("""COMPUTED_VALUE"""),46029.20833333333)</f>
        <v>46029.20833</v>
      </c>
      <c r="I4068" s="237" t="str">
        <f t="shared" si="1"/>
        <v>Fora</v>
      </c>
      <c r="J4068" s="239">
        <v>120.00000001396984</v>
      </c>
    </row>
    <row r="4069">
      <c r="A4069" s="234" t="s">
        <v>5256</v>
      </c>
      <c r="B4069" s="234" t="str">
        <f>IFERROR(__xludf.DUMMYFUNCTION("""COMPUTED_VALUE"""),"LM Hub_SP_Campinas_São Martinho")</f>
        <v>LM Hub_SP_Campinas_São Martinho</v>
      </c>
      <c r="C4069" s="234" t="str">
        <f>IFERROR(__xludf.DUMMYFUNCTION("""COMPUTED_VALUE"""),"HUB-LSP-19")</f>
        <v>HUB-LSP-19</v>
      </c>
      <c r="D4069" s="234">
        <f>IFERROR(__xludf.DUMMYFUNCTION("""COMPUTED_VALUE"""),26.0)</f>
        <v>26</v>
      </c>
      <c r="E4069" s="237" t="str">
        <f>IFERROR(__xludf.DUMMYFUNCTION("""COMPUTED_VALUE"""),"LT0Q1701VFO01")</f>
        <v>LT0Q1701VFO01</v>
      </c>
      <c r="F4069" s="238" t="str">
        <f>IFERROR(__xludf.DUMMYFUNCTION("""COMPUTED_VALUE"""),"GCJ6G71")</f>
        <v>GCJ6G71</v>
      </c>
      <c r="G4069" s="238">
        <f>IFERROR(__xludf.DUMMYFUNCTION("""COMPUTED_VALUE"""),46029.14583333333)</f>
        <v>46029.14583</v>
      </c>
      <c r="H4069" s="238">
        <f>IFERROR(__xludf.DUMMYFUNCTION("""COMPUTED_VALUE"""),46029.22916666667)</f>
        <v>46029.22917</v>
      </c>
      <c r="I4069" s="237" t="str">
        <f t="shared" si="1"/>
        <v>Fora</v>
      </c>
      <c r="J4069" s="239">
        <v>120.00000001396984</v>
      </c>
    </row>
    <row r="4070">
      <c r="A4070" s="234" t="s">
        <v>5257</v>
      </c>
      <c r="B4070" s="234" t="str">
        <f>IFERROR(__xludf.DUMMYFUNCTION("""COMPUTED_VALUE"""),"LM Hub_SP_Mogi Mirim")</f>
        <v>LM Hub_SP_Mogi Mirim</v>
      </c>
      <c r="C4070" s="234" t="str">
        <f>IFERROR(__xludf.DUMMYFUNCTION("""COMPUTED_VALUE"""),"HUB-LSP-37")</f>
        <v>HUB-LSP-37</v>
      </c>
      <c r="D4070" s="234">
        <f>IFERROR(__xludf.DUMMYFUNCTION("""COMPUTED_VALUE"""),38.0)</f>
        <v>38</v>
      </c>
      <c r="E4070" s="237" t="str">
        <f>IFERROR(__xludf.DUMMYFUNCTION("""COMPUTED_VALUE"""),"LT0Q1701VFMV1")</f>
        <v>LT0Q1701VFMV1</v>
      </c>
      <c r="F4070" s="238" t="str">
        <f>IFERROR(__xludf.DUMMYFUNCTION("""COMPUTED_VALUE"""),"TAJ5D55")</f>
        <v>TAJ5D55</v>
      </c>
      <c r="G4070" s="238">
        <f>IFERROR(__xludf.DUMMYFUNCTION("""COMPUTED_VALUE"""),46029.14583333333)</f>
        <v>46029.14583</v>
      </c>
      <c r="H4070" s="238">
        <f>IFERROR(__xludf.DUMMYFUNCTION("""COMPUTED_VALUE"""),46029.22916666667)</f>
        <v>46029.22917</v>
      </c>
      <c r="I4070" s="237" t="str">
        <f t="shared" si="1"/>
        <v>Fora</v>
      </c>
      <c r="J4070" s="239">
        <v>120.00000001396984</v>
      </c>
    </row>
    <row r="4071">
      <c r="A4071" s="234" t="s">
        <v>5258</v>
      </c>
      <c r="B4071" s="234" t="str">
        <f>IFERROR(__xludf.DUMMYFUNCTION("""COMPUTED_VALUE"""),"LM Hub_SP_Osasco_02")</f>
        <v>LM Hub_SP_Osasco_02</v>
      </c>
      <c r="C4071" s="234" t="str">
        <f>IFERROR(__xludf.DUMMYFUNCTION("""COMPUTED_VALUE"""),"HUB-LSP-60")</f>
        <v>HUB-LSP-60</v>
      </c>
      <c r="D4071" s="234">
        <f>IFERROR(__xludf.DUMMYFUNCTION("""COMPUTED_VALUE"""),18.0)</f>
        <v>18</v>
      </c>
      <c r="E4071" s="237" t="str">
        <f>IFERROR(__xludf.DUMMYFUNCTION("""COMPUTED_VALUE"""),"LT0Q1701VGN41")</f>
        <v>LT0Q1701VGN41</v>
      </c>
      <c r="F4071" s="238" t="str">
        <f>IFERROR(__xludf.DUMMYFUNCTION("""COMPUTED_VALUE"""),"FEU6H63")</f>
        <v>FEU6H63</v>
      </c>
      <c r="G4071" s="238">
        <f>IFERROR(__xludf.DUMMYFUNCTION("""COMPUTED_VALUE"""),46029.14583333333)</f>
        <v>46029.14583</v>
      </c>
      <c r="H4071" s="238">
        <f>IFERROR(__xludf.DUMMYFUNCTION("""COMPUTED_VALUE"""),46029.22916666667)</f>
        <v>46029.22917</v>
      </c>
      <c r="I4071" s="237" t="str">
        <f t="shared" si="1"/>
        <v>Fora</v>
      </c>
      <c r="J4071" s="239">
        <v>117.00000000419095</v>
      </c>
    </row>
    <row r="4072">
      <c r="A4072" s="234" t="s">
        <v>5259</v>
      </c>
      <c r="B4072" s="234" t="str">
        <f>IFERROR(__xludf.DUMMYFUNCTION("""COMPUTED_VALUE"""),"LM Hub_SP_Sorocaba_Região Norte")</f>
        <v>LM Hub_SP_Sorocaba_Região Norte</v>
      </c>
      <c r="C4072" s="234" t="str">
        <f>IFERROR(__xludf.DUMMYFUNCTION("""COMPUTED_VALUE"""),"HUB-LSP-10")</f>
        <v>HUB-LSP-10</v>
      </c>
      <c r="D4072" s="234"/>
      <c r="E4072" s="237" t="str">
        <f>IFERROR(__xludf.DUMMYFUNCTION("""COMPUTED_VALUE"""),"LT0Q1701VR031")</f>
        <v>LT0Q1701VR031</v>
      </c>
      <c r="F4072" s="238" t="str">
        <f>IFERROR(__xludf.DUMMYFUNCTION("""COMPUTED_VALUE"""),"FDZ3A56,KVS1392")</f>
        <v>FDZ3A56,KVS1392</v>
      </c>
      <c r="G4072" s="238">
        <f>IFERROR(__xludf.DUMMYFUNCTION("""COMPUTED_VALUE"""),46029.14791666667)</f>
        <v>46029.14792</v>
      </c>
      <c r="H4072" s="238">
        <f>IFERROR(__xludf.DUMMYFUNCTION("""COMPUTED_VALUE"""),46029.22916666667)</f>
        <v>46029.22917</v>
      </c>
      <c r="I4072" s="237" t="str">
        <f t="shared" si="1"/>
        <v>Fora</v>
      </c>
      <c r="J4072" s="239">
        <v>540.0</v>
      </c>
    </row>
    <row r="4073">
      <c r="A4073" s="234" t="s">
        <v>676</v>
      </c>
      <c r="B4073" s="234" t="str">
        <f>IFERROR(__xludf.DUMMYFUNCTION("""COMPUTED_VALUE"""),"SoC_RJ_Duque de Caxias")</f>
        <v>SoC_RJ_Duque de Caxias</v>
      </c>
      <c r="C4073" s="234" t="str">
        <f>IFERROR(__xludf.DUMMYFUNCTION("""COMPUTED_VALUE"""),"SOC-RJ2")</f>
        <v>SOC-RJ2</v>
      </c>
      <c r="D4073" s="234">
        <f>IFERROR(__xludf.DUMMYFUNCTION("""COMPUTED_VALUE"""),97.0)</f>
        <v>97</v>
      </c>
      <c r="E4073" s="237" t="str">
        <f>IFERROR(__xludf.DUMMYFUNCTION("""COMPUTED_VALUE"""),"LT1Q1601W3BX1")</f>
        <v>LT1Q1601W3BX1</v>
      </c>
      <c r="F4073" s="238" t="str">
        <f>IFERROR(__xludf.DUMMYFUNCTION("""COMPUTED_VALUE"""),"UFN3F88,UGE6J17")</f>
        <v>UFN3F88,UGE6J17</v>
      </c>
      <c r="G4073" s="238">
        <f>IFERROR(__xludf.DUMMYFUNCTION("""COMPUTED_VALUE"""),46028.875)</f>
        <v>46028.875</v>
      </c>
      <c r="H4073" s="238">
        <f>IFERROR(__xludf.DUMMYFUNCTION("""COMPUTED_VALUE"""),46029.25)</f>
        <v>46029.25</v>
      </c>
      <c r="I4073" s="237" t="str">
        <f t="shared" si="1"/>
        <v>Fora</v>
      </c>
      <c r="J4073" s="239">
        <v>119.99999999301508</v>
      </c>
    </row>
    <row r="4074">
      <c r="A4074" s="234" t="s">
        <v>5260</v>
      </c>
      <c r="B4074" s="234" t="str">
        <f>IFERROR(__xludf.DUMMYFUNCTION("""COMPUTED_VALUE"""),"LM Hub_SP_Guaratinguetá")</f>
        <v>LM Hub_SP_Guaratinguetá</v>
      </c>
      <c r="C4074" s="234" t="str">
        <f>IFERROR(__xludf.DUMMYFUNCTION("""COMPUTED_VALUE"""),"HUB-LSP-33")</f>
        <v>HUB-LSP-33</v>
      </c>
      <c r="D4074" s="234">
        <f>IFERROR(__xludf.DUMMYFUNCTION("""COMPUTED_VALUE"""),6.0)</f>
        <v>6</v>
      </c>
      <c r="E4074" s="237" t="str">
        <f>IFERROR(__xludf.DUMMYFUNCTION("""COMPUTED_VALUE"""),"LT0Q1701VFKM1")</f>
        <v>LT0Q1701VFKM1</v>
      </c>
      <c r="F4074" s="238" t="str">
        <f>IFERROR(__xludf.DUMMYFUNCTION("""COMPUTED_VALUE"""),"EKH3880")</f>
        <v>EKH3880</v>
      </c>
      <c r="G4074" s="238">
        <f>IFERROR(__xludf.DUMMYFUNCTION("""COMPUTED_VALUE"""),46029.16666666667)</f>
        <v>46029.16667</v>
      </c>
      <c r="H4074" s="238">
        <f>IFERROR(__xludf.DUMMYFUNCTION("""COMPUTED_VALUE"""),46029.25)</f>
        <v>46029.25</v>
      </c>
      <c r="I4074" s="237" t="str">
        <f t="shared" si="1"/>
        <v>Fora</v>
      </c>
      <c r="J4074" s="239">
        <v>119.99999999301508</v>
      </c>
    </row>
    <row r="4075">
      <c r="A4075" s="234" t="s">
        <v>677</v>
      </c>
      <c r="B4075" s="234" t="str">
        <f>IFERROR(__xludf.DUMMYFUNCTION("""COMPUTED_VALUE"""),"LM Hub_SP_Limeira_Campo Belo")</f>
        <v>LM Hub_SP_Limeira_Campo Belo</v>
      </c>
      <c r="C4075" s="234" t="str">
        <f>IFERROR(__xludf.DUMMYFUNCTION("""COMPUTED_VALUE"""),"HUB-LSP-24")</f>
        <v>HUB-LSP-24</v>
      </c>
      <c r="D4075" s="234">
        <f>IFERROR(__xludf.DUMMYFUNCTION("""COMPUTED_VALUE"""),9.0)</f>
        <v>9</v>
      </c>
      <c r="E4075" s="237" t="str">
        <f>IFERROR(__xludf.DUMMYFUNCTION("""COMPUTED_VALUE"""),"LT0Q1701VFLT1")</f>
        <v>LT0Q1701VFLT1</v>
      </c>
      <c r="F4075" s="238" t="str">
        <f>IFERROR(__xludf.DUMMYFUNCTION("""COMPUTED_VALUE"""),"TAJ5D56")</f>
        <v>TAJ5D56</v>
      </c>
      <c r="G4075" s="238">
        <f>IFERROR(__xludf.DUMMYFUNCTION("""COMPUTED_VALUE"""),46029.16666666667)</f>
        <v>46029.16667</v>
      </c>
      <c r="H4075" s="238">
        <f>IFERROR(__xludf.DUMMYFUNCTION("""COMPUTED_VALUE"""),46029.25)</f>
        <v>46029.25</v>
      </c>
      <c r="I4075" s="237" t="str">
        <f t="shared" si="1"/>
        <v>Fora</v>
      </c>
      <c r="J4075" s="239">
        <v>119.99999999301508</v>
      </c>
    </row>
    <row r="4076">
      <c r="A4076" s="234" t="s">
        <v>678</v>
      </c>
      <c r="B4076" s="234" t="str">
        <f>IFERROR(__xludf.DUMMYFUNCTION("""COMPUTED_VALUE"""),"LM Hub_SP_Registro")</f>
        <v>LM Hub_SP_Registro</v>
      </c>
      <c r="C4076" s="234" t="str">
        <f>IFERROR(__xludf.DUMMYFUNCTION("""COMPUTED_VALUE"""),"HUB-LSP-40")</f>
        <v>HUB-LSP-40</v>
      </c>
      <c r="D4076" s="234">
        <f>IFERROR(__xludf.DUMMYFUNCTION("""COMPUTED_VALUE"""),7.0)</f>
        <v>7</v>
      </c>
      <c r="E4076" s="237" t="str">
        <f>IFERROR(__xludf.DUMMYFUNCTION("""COMPUTED_VALUE"""),"LT0Q1701VFKA1")</f>
        <v>LT0Q1701VFKA1</v>
      </c>
      <c r="F4076" s="238" t="str">
        <f>IFERROR(__xludf.DUMMYFUNCTION("""COMPUTED_VALUE"""),"DSS2A37")</f>
        <v>DSS2A37</v>
      </c>
      <c r="G4076" s="238">
        <f>IFERROR(__xludf.DUMMYFUNCTION("""COMPUTED_VALUE"""),46029.16666666667)</f>
        <v>46029.16667</v>
      </c>
      <c r="H4076" s="238">
        <f>IFERROR(__xludf.DUMMYFUNCTION("""COMPUTED_VALUE"""),46029.25)</f>
        <v>46029.25</v>
      </c>
      <c r="I4076" s="237" t="str">
        <f t="shared" si="1"/>
        <v>Fora</v>
      </c>
      <c r="J4076" s="239">
        <v>119.99999999301508</v>
      </c>
    </row>
    <row r="4077">
      <c r="A4077" s="234" t="s">
        <v>5261</v>
      </c>
      <c r="B4077" s="234" t="str">
        <f>IFERROR(__xludf.DUMMYFUNCTION("""COMPUTED_VALUE"""),"LM Hub_SP_São Bernardo do Campo")</f>
        <v>LM Hub_SP_São Bernardo do Campo</v>
      </c>
      <c r="C4077" s="234" t="str">
        <f>IFERROR(__xludf.DUMMYFUNCTION("""COMPUTED_VALUE"""),"HUB-LSP-79")</f>
        <v>HUB-LSP-79</v>
      </c>
      <c r="D4077" s="234">
        <f>IFERROR(__xludf.DUMMYFUNCTION("""COMPUTED_VALUE"""),39.0)</f>
        <v>39</v>
      </c>
      <c r="E4077" s="237" t="str">
        <f>IFERROR(__xludf.DUMMYFUNCTION("""COMPUTED_VALUE"""),"LT1Q1701W3XO1")</f>
        <v>LT1Q1701W3XO1</v>
      </c>
      <c r="F4077" s="238" t="str">
        <f>IFERROR(__xludf.DUMMYFUNCTION("""COMPUTED_VALUE"""),"MQM6I27,FXB7G01")</f>
        <v>MQM6I27,FXB7G01</v>
      </c>
      <c r="G4077" s="238">
        <f>IFERROR(__xludf.DUMMYFUNCTION("""COMPUTED_VALUE"""),46029.16666666667)</f>
        <v>46029.16667</v>
      </c>
      <c r="H4077" s="238">
        <f>IFERROR(__xludf.DUMMYFUNCTION("""COMPUTED_VALUE"""),46029.25)</f>
        <v>46029.25</v>
      </c>
      <c r="I4077" s="237" t="str">
        <f t="shared" si="1"/>
        <v>Fora</v>
      </c>
      <c r="J4077" s="239">
        <v>119.99999999301508</v>
      </c>
    </row>
    <row r="4078">
      <c r="A4078" s="234" t="s">
        <v>679</v>
      </c>
      <c r="B4078" s="234" t="str">
        <f>IFERROR(__xludf.DUMMYFUNCTION("""COMPUTED_VALUE"""),"LM Hub_SP_Várzea Paulista")</f>
        <v>LM Hub_SP_Várzea Paulista</v>
      </c>
      <c r="C4078" s="234" t="str">
        <f>IFERROR(__xludf.DUMMYFUNCTION("""COMPUTED_VALUE"""),"HUB-LSP-61")</f>
        <v>HUB-LSP-61</v>
      </c>
      <c r="D4078" s="234">
        <f>IFERROR(__xludf.DUMMYFUNCTION("""COMPUTED_VALUE"""),21.0)</f>
        <v>21</v>
      </c>
      <c r="E4078" s="237" t="str">
        <f>IFERROR(__xludf.DUMMYFUNCTION("""COMPUTED_VALUE"""),"LT0Q1701VFM31")</f>
        <v>LT0Q1701VFM31</v>
      </c>
      <c r="F4078" s="238" t="str">
        <f>IFERROR(__xludf.DUMMYFUNCTION("""COMPUTED_VALUE"""),"HNQ8267")</f>
        <v>HNQ8267</v>
      </c>
      <c r="G4078" s="238">
        <f>IFERROR(__xludf.DUMMYFUNCTION("""COMPUTED_VALUE"""),46029.16666666667)</f>
        <v>46029.16667</v>
      </c>
      <c r="H4078" s="238">
        <f>IFERROR(__xludf.DUMMYFUNCTION("""COMPUTED_VALUE"""),46029.25)</f>
        <v>46029.25</v>
      </c>
      <c r="I4078" s="237" t="str">
        <f t="shared" si="1"/>
        <v>Fora</v>
      </c>
      <c r="J4078" s="239">
        <v>119.99999999301508</v>
      </c>
    </row>
    <row r="4079">
      <c r="A4079" s="234" t="s">
        <v>680</v>
      </c>
      <c r="B4079" s="234" t="str">
        <f>IFERROR(__xludf.DUMMYFUNCTION("""COMPUTED_VALUE"""),"SoC_PR_Curitiba")</f>
        <v>SoC_PR_Curitiba</v>
      </c>
      <c r="C4079" s="234" t="str">
        <f>IFERROR(__xludf.DUMMYFUNCTION("""COMPUTED_VALUE"""),"SOC-PR1")</f>
        <v>SOC-PR1</v>
      </c>
      <c r="D4079" s="234">
        <f>IFERROR(__xludf.DUMMYFUNCTION("""COMPUTED_VALUE"""),8.0)</f>
        <v>8</v>
      </c>
      <c r="E4079" s="237" t="str">
        <f>IFERROR(__xludf.DUMMYFUNCTION("""COMPUTED_VALUE"""),"LT0Q1701VFFJ1")</f>
        <v>LT0Q1701VFFJ1</v>
      </c>
      <c r="F4079" s="238" t="str">
        <f>IFERROR(__xludf.DUMMYFUNCTION("""COMPUTED_VALUE"""),"FSN5E96,SWY6F75")</f>
        <v>FSN5E96,SWY6F75</v>
      </c>
      <c r="G4079" s="238">
        <f>IFERROR(__xludf.DUMMYFUNCTION("""COMPUTED_VALUE"""),46029.16666666667)</f>
        <v>46029.16667</v>
      </c>
      <c r="H4079" s="238">
        <f>IFERROR(__xludf.DUMMYFUNCTION("""COMPUTED_VALUE"""),46029.25)</f>
        <v>46029.25</v>
      </c>
      <c r="I4079" s="237" t="str">
        <f t="shared" si="1"/>
        <v>Fora</v>
      </c>
      <c r="J4079" s="239">
        <v>119.00000000023283</v>
      </c>
    </row>
    <row r="4080">
      <c r="A4080" s="234" t="s">
        <v>5262</v>
      </c>
      <c r="B4080" s="234" t="str">
        <f>IFERROR(__xludf.DUMMYFUNCTION("""COMPUTED_VALUE"""),"LM Hub_SP_São Bernardo do Campo")</f>
        <v>LM Hub_SP_São Bernardo do Campo</v>
      </c>
      <c r="C4080" s="234" t="str">
        <f>IFERROR(__xludf.DUMMYFUNCTION("""COMPUTED_VALUE"""),"HUB-LSP-79")</f>
        <v>HUB-LSP-79</v>
      </c>
      <c r="D4080" s="234">
        <f>IFERROR(__xludf.DUMMYFUNCTION("""COMPUTED_VALUE"""),16.0)</f>
        <v>16</v>
      </c>
      <c r="E4080" s="237" t="str">
        <f>IFERROR(__xludf.DUMMYFUNCTION("""COMPUTED_VALUE"""),"LT0Q1701VG4P1")</f>
        <v>LT0Q1701VG4P1</v>
      </c>
      <c r="F4080" s="238" t="str">
        <f>IFERROR(__xludf.DUMMYFUNCTION("""COMPUTED_VALUE"""),"DVT5D28,DTC7I46")</f>
        <v>DVT5D28,DTC7I46</v>
      </c>
      <c r="G4080" s="238">
        <f>IFERROR(__xludf.DUMMYFUNCTION("""COMPUTED_VALUE"""),46029.16736111111)</f>
        <v>46029.16736</v>
      </c>
      <c r="H4080" s="238">
        <f>IFERROR(__xludf.DUMMYFUNCTION("""COMPUTED_VALUE"""),46029.25)</f>
        <v>46029.25</v>
      </c>
      <c r="I4080" s="237" t="str">
        <f t="shared" si="1"/>
        <v>Fora</v>
      </c>
      <c r="J4080" s="239">
        <v>119.99999999301508</v>
      </c>
    </row>
    <row r="4081">
      <c r="A4081" s="234" t="s">
        <v>681</v>
      </c>
      <c r="B4081" s="234" t="str">
        <f>IFERROR(__xludf.DUMMYFUNCTION("""COMPUTED_VALUE"""),"LM Hub_SP_Atibaia_Ponte_Alta")</f>
        <v>LM Hub_SP_Atibaia_Ponte_Alta</v>
      </c>
      <c r="C4081" s="234" t="str">
        <f>IFERROR(__xludf.DUMMYFUNCTION("""COMPUTED_VALUE"""),"HUB-LSP-87")</f>
        <v>HUB-LSP-87</v>
      </c>
      <c r="D4081" s="234">
        <f>IFERROR(__xludf.DUMMYFUNCTION("""COMPUTED_VALUE"""),14.0)</f>
        <v>14</v>
      </c>
      <c r="E4081" s="237" t="str">
        <f>IFERROR(__xludf.DUMMYFUNCTION("""COMPUTED_VALUE"""),"LT0Q1701VJKB1")</f>
        <v>LT0Q1701VJKB1</v>
      </c>
      <c r="F4081" s="238" t="str">
        <f>IFERROR(__xludf.DUMMYFUNCTION("""COMPUTED_VALUE"""),"ENU3E65")</f>
        <v>ENU3E65</v>
      </c>
      <c r="G4081" s="238">
        <f>IFERROR(__xludf.DUMMYFUNCTION("""COMPUTED_VALUE"""),46029.1875)</f>
        <v>46029.1875</v>
      </c>
      <c r="H4081" s="238">
        <f>IFERROR(__xludf.DUMMYFUNCTION("""COMPUTED_VALUE"""),46029.27083333333)</f>
        <v>46029.27083</v>
      </c>
      <c r="I4081" s="237" t="str">
        <f t="shared" si="1"/>
        <v>Fora</v>
      </c>
      <c r="J4081" s="239">
        <v>119.99999999301508</v>
      </c>
    </row>
    <row r="4082">
      <c r="A4082" s="234" t="s">
        <v>682</v>
      </c>
      <c r="B4082" s="234" t="str">
        <f>IFERROR(__xludf.DUMMYFUNCTION("""COMPUTED_VALUE"""),"LM Hub_SP_Embu das Artes")</f>
        <v>LM Hub_SP_Embu das Artes</v>
      </c>
      <c r="C4082" s="234" t="str">
        <f>IFERROR(__xludf.DUMMYFUNCTION("""COMPUTED_VALUE"""),"HUB-LSP-36")</f>
        <v>HUB-LSP-36</v>
      </c>
      <c r="D4082" s="234">
        <f>IFERROR(__xludf.DUMMYFUNCTION("""COMPUTED_VALUE"""),34.0)</f>
        <v>34</v>
      </c>
      <c r="E4082" s="237" t="str">
        <f>IFERROR(__xludf.DUMMYFUNCTION("""COMPUTED_VALUE"""),"LT0Q1701VGO51")</f>
        <v>LT0Q1701VGO51</v>
      </c>
      <c r="F4082" s="238" t="str">
        <f>IFERROR(__xludf.DUMMYFUNCTION("""COMPUTED_VALUE"""),"TIZ8A99,TLG4I97")</f>
        <v>TIZ8A99,TLG4I97</v>
      </c>
      <c r="G4082" s="238">
        <f>IFERROR(__xludf.DUMMYFUNCTION("""COMPUTED_VALUE"""),46029.1875)</f>
        <v>46029.1875</v>
      </c>
      <c r="H4082" s="238">
        <f>IFERROR(__xludf.DUMMYFUNCTION("""COMPUTED_VALUE"""),46029.27083333333)</f>
        <v>46029.27083</v>
      </c>
      <c r="I4082" s="237" t="str">
        <f t="shared" si="1"/>
        <v>Fora</v>
      </c>
      <c r="J4082" s="239">
        <v>119.99999999301508</v>
      </c>
    </row>
    <row r="4083">
      <c r="A4083" s="234" t="s">
        <v>683</v>
      </c>
      <c r="B4083" s="234" t="str">
        <f>IFERROR(__xludf.DUMMYFUNCTION("""COMPUTED_VALUE"""),"LM Hub_SP_Taubaté")</f>
        <v>LM Hub_SP_Taubaté</v>
      </c>
      <c r="C4083" s="234" t="str">
        <f>IFERROR(__xludf.DUMMYFUNCTION("""COMPUTED_VALUE"""),"HUB-LSP-08")</f>
        <v>HUB-LSP-08</v>
      </c>
      <c r="D4083" s="234">
        <f>IFERROR(__xludf.DUMMYFUNCTION("""COMPUTED_VALUE"""),20.0)</f>
        <v>20</v>
      </c>
      <c r="E4083" s="237" t="str">
        <f>IFERROR(__xludf.DUMMYFUNCTION("""COMPUTED_VALUE"""),"LT0Q1701VFKW1")</f>
        <v>LT0Q1701VFKW1</v>
      </c>
      <c r="F4083" s="238" t="str">
        <f>IFERROR(__xludf.DUMMYFUNCTION("""COMPUTED_VALUE"""),"FBQ6A90")</f>
        <v>FBQ6A90</v>
      </c>
      <c r="G4083" s="238">
        <f>IFERROR(__xludf.DUMMYFUNCTION("""COMPUTED_VALUE"""),46029.1875)</f>
        <v>46029.1875</v>
      </c>
      <c r="H4083" s="238">
        <f>IFERROR(__xludf.DUMMYFUNCTION("""COMPUTED_VALUE"""),46029.27083333333)</f>
        <v>46029.27083</v>
      </c>
      <c r="I4083" s="237" t="str">
        <f t="shared" si="1"/>
        <v>Fora</v>
      </c>
      <c r="J4083" s="239">
        <v>540.0</v>
      </c>
    </row>
    <row r="4084">
      <c r="A4084" s="234" t="s">
        <v>684</v>
      </c>
      <c r="B4084" s="234" t="str">
        <f>IFERROR(__xludf.DUMMYFUNCTION("""COMPUTED_VALUE"""),"SoC_BA_Simoes Filho")</f>
        <v>SoC_BA_Simoes Filho</v>
      </c>
      <c r="C4084" s="234" t="str">
        <f>IFERROR(__xludf.DUMMYFUNCTION("""COMPUTED_VALUE"""),"SOC-BA2")</f>
        <v>SOC-BA2</v>
      </c>
      <c r="D4084" s="234">
        <f>IFERROR(__xludf.DUMMYFUNCTION("""COMPUTED_VALUE"""),89.0)</f>
        <v>89</v>
      </c>
      <c r="E4084" s="237" t="str">
        <f>IFERROR(__xludf.DUMMYFUNCTION("""COMPUTED_VALUE"""),"LT1Q1601W3C41")</f>
        <v>LT1Q1601W3C41</v>
      </c>
      <c r="F4084" s="238" t="str">
        <f>IFERROR(__xludf.DUMMYFUNCTION("""COMPUTED_VALUE"""),"HLX8D61,NDJ7508")</f>
        <v>HLX8D61,NDJ7508</v>
      </c>
      <c r="G4084" s="238">
        <f>IFERROR(__xludf.DUMMYFUNCTION("""COMPUTED_VALUE"""),46028.91666666667)</f>
        <v>46028.91667</v>
      </c>
      <c r="H4084" s="238">
        <f>IFERROR(__xludf.DUMMYFUNCTION("""COMPUTED_VALUE"""),46029.29166666667)</f>
        <v>46029.29167</v>
      </c>
      <c r="I4084" s="237" t="str">
        <f t="shared" si="1"/>
        <v>Fora</v>
      </c>
      <c r="J4084" s="239">
        <v>540.0</v>
      </c>
    </row>
    <row r="4085">
      <c r="A4085" s="234" t="s">
        <v>5263</v>
      </c>
      <c r="B4085" s="234" t="str">
        <f>IFERROR(__xludf.DUMMYFUNCTION("""COMPUTED_VALUE"""),"SoC_MG_Betim")</f>
        <v>SoC_MG_Betim</v>
      </c>
      <c r="C4085" s="234" t="str">
        <f>IFERROR(__xludf.DUMMYFUNCTION("""COMPUTED_VALUE"""),"SOC-MG2")</f>
        <v>SOC-MG2</v>
      </c>
      <c r="D4085" s="234">
        <f>IFERROR(__xludf.DUMMYFUNCTION("""COMPUTED_VALUE"""),113.0)</f>
        <v>113</v>
      </c>
      <c r="E4085" s="237" t="str">
        <f>IFERROR(__xludf.DUMMYFUNCTION("""COMPUTED_VALUE"""),"LT0Q1601VQYM1")</f>
        <v>LT0Q1601VQYM1</v>
      </c>
      <c r="F4085" s="238" t="str">
        <f>IFERROR(__xludf.DUMMYFUNCTION("""COMPUTED_VALUE"""),"NYR1H44,DTB8J72")</f>
        <v>NYR1H44,DTB8J72</v>
      </c>
      <c r="G4085" s="238">
        <f>IFERROR(__xludf.DUMMYFUNCTION("""COMPUTED_VALUE"""),46028.91666666667)</f>
        <v>46028.91667</v>
      </c>
      <c r="H4085" s="238">
        <f>IFERROR(__xludf.DUMMYFUNCTION("""COMPUTED_VALUE"""),46029.29166666667)</f>
        <v>46029.29167</v>
      </c>
      <c r="I4085" s="237" t="str">
        <f t="shared" si="1"/>
        <v>Fora</v>
      </c>
      <c r="J4085" s="239">
        <v>540.0</v>
      </c>
    </row>
    <row r="4086">
      <c r="A4086" s="234" t="s">
        <v>686</v>
      </c>
      <c r="B4086" s="234" t="str">
        <f>IFERROR(__xludf.DUMMYFUNCTION("""COMPUTED_VALUE"""),"SoC_MG_Betim")</f>
        <v>SoC_MG_Betim</v>
      </c>
      <c r="C4086" s="234" t="str">
        <f>IFERROR(__xludf.DUMMYFUNCTION("""COMPUTED_VALUE"""),"SOC-MG2")</f>
        <v>SOC-MG2</v>
      </c>
      <c r="D4086" s="234">
        <f>IFERROR(__xludf.DUMMYFUNCTION("""COMPUTED_VALUE"""),91.0)</f>
        <v>91</v>
      </c>
      <c r="E4086" s="237" t="str">
        <f>IFERROR(__xludf.DUMMYFUNCTION("""COMPUTED_VALUE"""),"LT1Q1601W3ED1")</f>
        <v>LT1Q1601W3ED1</v>
      </c>
      <c r="F4086" s="238" t="str">
        <f>IFERROR(__xludf.DUMMYFUNCTION("""COMPUTED_VALUE"""),"RYR4J83,GFJ3G06")</f>
        <v>RYR4J83,GFJ3G06</v>
      </c>
      <c r="G4086" s="238">
        <f>IFERROR(__xludf.DUMMYFUNCTION("""COMPUTED_VALUE"""),46028.91666666667)</f>
        <v>46028.91667</v>
      </c>
      <c r="H4086" s="238">
        <f>IFERROR(__xludf.DUMMYFUNCTION("""COMPUTED_VALUE"""),46029.29166666667)</f>
        <v>46029.29167</v>
      </c>
      <c r="I4086" s="237" t="str">
        <f t="shared" si="1"/>
        <v>Fora</v>
      </c>
      <c r="J4086" s="239">
        <v>540.0</v>
      </c>
    </row>
    <row r="4087">
      <c r="A4087" s="234" t="s">
        <v>687</v>
      </c>
      <c r="B4087" s="234" t="str">
        <f>IFERROR(__xludf.DUMMYFUNCTION("""COMPUTED_VALUE"""),"SoC_MG_Betim")</f>
        <v>SoC_MG_Betim</v>
      </c>
      <c r="C4087" s="234" t="str">
        <f>IFERROR(__xludf.DUMMYFUNCTION("""COMPUTED_VALUE"""),"SOC-MG2")</f>
        <v>SOC-MG2</v>
      </c>
      <c r="D4087" s="234"/>
      <c r="E4087" s="237" t="str">
        <f>IFERROR(__xludf.DUMMYFUNCTION("""COMPUTED_VALUE"""),"LT1Q1601W3EE1")</f>
        <v>LT1Q1601W3EE1</v>
      </c>
      <c r="F4087" s="238" t="str">
        <f>IFERROR(__xludf.DUMMYFUNCTION("""COMPUTED_VALUE"""),"IZS6D63,UGG8H40")</f>
        <v>IZS6D63,UGG8H40</v>
      </c>
      <c r="G4087" s="238">
        <f>IFERROR(__xludf.DUMMYFUNCTION("""COMPUTED_VALUE"""),46028.91666666667)</f>
        <v>46028.91667</v>
      </c>
      <c r="H4087" s="238">
        <f>IFERROR(__xludf.DUMMYFUNCTION("""COMPUTED_VALUE"""),46029.29166666667)</f>
        <v>46029.29167</v>
      </c>
      <c r="I4087" s="237" t="str">
        <f t="shared" si="1"/>
        <v>Fora</v>
      </c>
      <c r="J4087" s="239">
        <v>540.0</v>
      </c>
    </row>
    <row r="4088">
      <c r="A4088" s="234" t="s">
        <v>688</v>
      </c>
      <c r="B4088" s="234" t="str">
        <f>IFERROR(__xludf.DUMMYFUNCTION("""COMPUTED_VALUE"""),"SoC_RJ_Duque de Caxias")</f>
        <v>SoC_RJ_Duque de Caxias</v>
      </c>
      <c r="C4088" s="234" t="str">
        <f>IFERROR(__xludf.DUMMYFUNCTION("""COMPUTED_VALUE"""),"SOC-RJ2")</f>
        <v>SOC-RJ2</v>
      </c>
      <c r="D4088" s="234">
        <f>IFERROR(__xludf.DUMMYFUNCTION("""COMPUTED_VALUE"""),96.0)</f>
        <v>96</v>
      </c>
      <c r="E4088" s="237" t="str">
        <f>IFERROR(__xludf.DUMMYFUNCTION("""COMPUTED_VALUE"""),"LT1Q1601W3EB1")</f>
        <v>LT1Q1601W3EB1</v>
      </c>
      <c r="F4088" s="238" t="str">
        <f>IFERROR(__xludf.DUMMYFUNCTION("""COMPUTED_VALUE"""),"HBF0565,EOE8420")</f>
        <v>HBF0565,EOE8420</v>
      </c>
      <c r="G4088" s="238">
        <f>IFERROR(__xludf.DUMMYFUNCTION("""COMPUTED_VALUE"""),46028.91666666667)</f>
        <v>46028.91667</v>
      </c>
      <c r="H4088" s="238">
        <f>IFERROR(__xludf.DUMMYFUNCTION("""COMPUTED_VALUE"""),46029.29166666667)</f>
        <v>46029.29167</v>
      </c>
      <c r="I4088" s="237" t="str">
        <f t="shared" si="1"/>
        <v>Fora</v>
      </c>
      <c r="J4088" s="239">
        <v>540.0</v>
      </c>
    </row>
    <row r="4089">
      <c r="A4089" s="234" t="s">
        <v>689</v>
      </c>
      <c r="B4089" s="234" t="str">
        <f>IFERROR(__xludf.DUMMYFUNCTION("""COMPUTED_VALUE"""),"SoC_SC_Itajaí")</f>
        <v>SoC_SC_Itajaí</v>
      </c>
      <c r="C4089" s="234" t="str">
        <f>IFERROR(__xludf.DUMMYFUNCTION("""COMPUTED_VALUE"""),"SOC-SC1")</f>
        <v>SOC-SC1</v>
      </c>
      <c r="D4089" s="234">
        <f>IFERROR(__xludf.DUMMYFUNCTION("""COMPUTED_VALUE"""),100.0)</f>
        <v>100</v>
      </c>
      <c r="E4089" s="237" t="str">
        <f>IFERROR(__xludf.DUMMYFUNCTION("""COMPUTED_VALUE"""),"LT0Q1601VK9J1")</f>
        <v>LT0Q1601VK9J1</v>
      </c>
      <c r="F4089" s="238" t="str">
        <f>IFERROR(__xludf.DUMMYFUNCTION("""COMPUTED_VALUE"""),"RDY5F04,RAA6F31")</f>
        <v>RDY5F04,RAA6F31</v>
      </c>
      <c r="G4089" s="238">
        <f>IFERROR(__xludf.DUMMYFUNCTION("""COMPUTED_VALUE"""),46028.91666666667)</f>
        <v>46028.91667</v>
      </c>
      <c r="H4089" s="238">
        <f>IFERROR(__xludf.DUMMYFUNCTION("""COMPUTED_VALUE"""),46029.29166666667)</f>
        <v>46029.29167</v>
      </c>
      <c r="I4089" s="237" t="str">
        <f t="shared" si="1"/>
        <v>Fora</v>
      </c>
      <c r="J4089" s="239">
        <v>539.0000000072177</v>
      </c>
    </row>
    <row r="4090">
      <c r="A4090" s="234" t="s">
        <v>690</v>
      </c>
      <c r="B4090" s="234" t="str">
        <f>IFERROR(__xludf.DUMMYFUNCTION("""COMPUTED_VALUE"""),"SoC_BA_Simoes Filho")</f>
        <v>SoC_BA_Simoes Filho</v>
      </c>
      <c r="C4090" s="234" t="str">
        <f>IFERROR(__xludf.DUMMYFUNCTION("""COMPUTED_VALUE"""),"SOC-BA2")</f>
        <v>SOC-BA2</v>
      </c>
      <c r="D4090" s="234">
        <f>IFERROR(__xludf.DUMMYFUNCTION("""COMPUTED_VALUE"""),88.0)</f>
        <v>88</v>
      </c>
      <c r="E4090" s="237" t="str">
        <f>IFERROR(__xludf.DUMMYFUNCTION("""COMPUTED_VALUE"""),"LT0Q1601VLAD1")</f>
        <v>LT0Q1601VLAD1</v>
      </c>
      <c r="F4090" s="238" t="str">
        <f>IFERROR(__xludf.DUMMYFUNCTION("""COMPUTED_VALUE"""),"PLS5H85,SJM4B71")</f>
        <v>PLS5H85,SJM4B71</v>
      </c>
      <c r="G4090" s="238">
        <f>IFERROR(__xludf.DUMMYFUNCTION("""COMPUTED_VALUE"""),46028.91736111111)</f>
        <v>46028.91736</v>
      </c>
      <c r="H4090" s="238">
        <f>IFERROR(__xludf.DUMMYFUNCTION("""COMPUTED_VALUE"""),46029.29166666667)</f>
        <v>46029.29167</v>
      </c>
      <c r="I4090" s="237" t="str">
        <f t="shared" si="1"/>
        <v>Fora</v>
      </c>
      <c r="J4090" s="239">
        <v>539.0000000072177</v>
      </c>
    </row>
    <row r="4091">
      <c r="A4091" s="234" t="s">
        <v>691</v>
      </c>
      <c r="B4091" s="234" t="str">
        <f>IFERROR(__xludf.DUMMYFUNCTION("""COMPUTED_VALUE"""),"SoC_GO_Goiânia_02")</f>
        <v>SoC_GO_Goiânia_02</v>
      </c>
      <c r="C4091" s="234" t="str">
        <f>IFERROR(__xludf.DUMMYFUNCTION("""COMPUTED_VALUE"""),"SOC-GO2")</f>
        <v>SOC-GO2</v>
      </c>
      <c r="D4091" s="234">
        <f>IFERROR(__xludf.DUMMYFUNCTION("""COMPUTED_VALUE"""),87.0)</f>
        <v>87</v>
      </c>
      <c r="E4091" s="237" t="str">
        <f>IFERROR(__xludf.DUMMYFUNCTION("""COMPUTED_VALUE"""),"LT0Q1601VLKE1")</f>
        <v>LT0Q1601VLKE1</v>
      </c>
      <c r="F4091" s="238" t="str">
        <f>IFERROR(__xludf.DUMMYFUNCTION("""COMPUTED_VALUE"""),"FTZ1D15,EZL7J23")</f>
        <v>FTZ1D15,EZL7J23</v>
      </c>
      <c r="G4091" s="238">
        <f>IFERROR(__xludf.DUMMYFUNCTION("""COMPUTED_VALUE"""),46028.91736111111)</f>
        <v>46028.91736</v>
      </c>
      <c r="H4091" s="238">
        <f>IFERROR(__xludf.DUMMYFUNCTION("""COMPUTED_VALUE"""),46029.29166666667)</f>
        <v>46029.29167</v>
      </c>
      <c r="I4091" s="237" t="str">
        <f t="shared" si="1"/>
        <v>Fora</v>
      </c>
      <c r="J4091" s="239">
        <v>539.0000000072177</v>
      </c>
    </row>
    <row r="4092">
      <c r="A4092" s="234" t="s">
        <v>5264</v>
      </c>
      <c r="B4092" s="234" t="str">
        <f>IFERROR(__xludf.DUMMYFUNCTION("""COMPUTED_VALUE"""),"SoC_GO_Goiânia_02")</f>
        <v>SoC_GO_Goiânia_02</v>
      </c>
      <c r="C4092" s="234" t="str">
        <f>IFERROR(__xludf.DUMMYFUNCTION("""COMPUTED_VALUE"""),"SOC-GO2")</f>
        <v>SOC-GO2</v>
      </c>
      <c r="D4092" s="234">
        <f>IFERROR(__xludf.DUMMYFUNCTION("""COMPUTED_VALUE"""),87.0)</f>
        <v>87</v>
      </c>
      <c r="E4092" s="237" t="str">
        <f>IFERROR(__xludf.DUMMYFUNCTION("""COMPUTED_VALUE"""),"LT0Q1601VLKG2")</f>
        <v>LT0Q1601VLKG2</v>
      </c>
      <c r="F4092" s="238" t="str">
        <f>IFERROR(__xludf.DUMMYFUNCTION("""COMPUTED_VALUE"""),"QCQ2H50,ELW5B99")</f>
        <v>QCQ2H50,ELW5B99</v>
      </c>
      <c r="G4092" s="238">
        <f>IFERROR(__xludf.DUMMYFUNCTION("""COMPUTED_VALUE"""),46028.91736111111)</f>
        <v>46028.91736</v>
      </c>
      <c r="H4092" s="238">
        <f>IFERROR(__xludf.DUMMYFUNCTION("""COMPUTED_VALUE"""),46029.29166666667)</f>
        <v>46029.29167</v>
      </c>
      <c r="I4092" s="237" t="str">
        <f t="shared" si="1"/>
        <v>Fora</v>
      </c>
      <c r="J4092" s="239">
        <v>539.0000000072177</v>
      </c>
    </row>
    <row r="4093">
      <c r="A4093" s="234" t="s">
        <v>692</v>
      </c>
      <c r="B4093" s="234" t="str">
        <f>IFERROR(__xludf.DUMMYFUNCTION("""COMPUTED_VALUE"""),"SoC_PE_Jaboatão dos Guararapes")</f>
        <v>SoC_PE_Jaboatão dos Guararapes</v>
      </c>
      <c r="C4093" s="234" t="str">
        <f>IFERROR(__xludf.DUMMYFUNCTION("""COMPUTED_VALUE"""),"SOC-PE2")</f>
        <v>SOC-PE2</v>
      </c>
      <c r="D4093" s="234"/>
      <c r="E4093" s="237" t="str">
        <f>IFERROR(__xludf.DUMMYFUNCTION("""COMPUTED_VALUE"""),"LT0Q1601VL6Y2")</f>
        <v>LT0Q1601VL6Y2</v>
      </c>
      <c r="F4093" s="238" t="str">
        <f>IFERROR(__xludf.DUMMYFUNCTION("""COMPUTED_VALUE"""),"OJZ9C11,TCS8G10")</f>
        <v>OJZ9C11,TCS8G10</v>
      </c>
      <c r="G4093" s="238">
        <f>IFERROR(__xludf.DUMMYFUNCTION("""COMPUTED_VALUE"""),46028.91736111111)</f>
        <v>46028.91736</v>
      </c>
      <c r="H4093" s="238">
        <f>IFERROR(__xludf.DUMMYFUNCTION("""COMPUTED_VALUE"""),46029.29166666667)</f>
        <v>46029.29167</v>
      </c>
      <c r="I4093" s="237" t="str">
        <f t="shared" si="1"/>
        <v>Fora</v>
      </c>
      <c r="J4093" s="239">
        <v>539.0000000072177</v>
      </c>
    </row>
    <row r="4094">
      <c r="A4094" s="234" t="s">
        <v>693</v>
      </c>
      <c r="B4094" s="234" t="str">
        <f>IFERROR(__xludf.DUMMYFUNCTION("""COMPUTED_VALUE"""),"SoC_SP_Cravinhos")</f>
        <v>SoC_SP_Cravinhos</v>
      </c>
      <c r="C4094" s="234" t="str">
        <f>IFERROR(__xludf.DUMMYFUNCTION("""COMPUTED_VALUE"""),"SOC-SP5")</f>
        <v>SOC-SP5</v>
      </c>
      <c r="D4094" s="234">
        <f>IFERROR(__xludf.DUMMYFUNCTION("""COMPUTED_VALUE"""),95.0)</f>
        <v>95</v>
      </c>
      <c r="E4094" s="237" t="str">
        <f>IFERROR(__xludf.DUMMYFUNCTION("""COMPUTED_VALUE"""),"LT0Q1601VFGG1")</f>
        <v>LT0Q1601VFGG1</v>
      </c>
      <c r="F4094" s="238" t="str">
        <f>IFERROR(__xludf.DUMMYFUNCTION("""COMPUTED_VALUE"""),"TTS1B09,SWC1I56")</f>
        <v>TTS1B09,SWC1I56</v>
      </c>
      <c r="G4094" s="238">
        <f>IFERROR(__xludf.DUMMYFUNCTION("""COMPUTED_VALUE"""),46028.91736111111)</f>
        <v>46028.91736</v>
      </c>
      <c r="H4094" s="238">
        <f>IFERROR(__xludf.DUMMYFUNCTION("""COMPUTED_VALUE"""),46029.29166666667)</f>
        <v>46029.29167</v>
      </c>
      <c r="I4094" s="237" t="str">
        <f t="shared" si="1"/>
        <v>Fora</v>
      </c>
      <c r="J4094" s="239">
        <v>537.0000000111759</v>
      </c>
    </row>
    <row r="4095">
      <c r="A4095" s="234" t="s">
        <v>5265</v>
      </c>
      <c r="B4095" s="234" t="str">
        <f>IFERROR(__xludf.DUMMYFUNCTION("""COMPUTED_VALUE"""),"SoC_RJ_Duque de Caxias")</f>
        <v>SoC_RJ_Duque de Caxias</v>
      </c>
      <c r="C4095" s="234" t="str">
        <f>IFERROR(__xludf.DUMMYFUNCTION("""COMPUTED_VALUE"""),"SOC-RJ2")</f>
        <v>SOC-RJ2</v>
      </c>
      <c r="D4095" s="234">
        <f>IFERROR(__xludf.DUMMYFUNCTION("""COMPUTED_VALUE"""),96.0)</f>
        <v>96</v>
      </c>
      <c r="E4095" s="237" t="str">
        <f>IFERROR(__xludf.DUMMYFUNCTION("""COMPUTED_VALUE"""),"LT0Q1601VRR41")</f>
        <v>LT0Q1601VRR41</v>
      </c>
      <c r="F4095" s="238" t="str">
        <f>IFERROR(__xludf.DUMMYFUNCTION("""COMPUTED_VALUE"""),"JGZ2838,KET3G80")</f>
        <v>JGZ2838,KET3G80</v>
      </c>
      <c r="G4095" s="238">
        <f>IFERROR(__xludf.DUMMYFUNCTION("""COMPUTED_VALUE"""),46028.91875)</f>
        <v>46028.91875</v>
      </c>
      <c r="H4095" s="238">
        <f>IFERROR(__xludf.DUMMYFUNCTION("""COMPUTED_VALUE"""),46029.29166666667)</f>
        <v>46029.29167</v>
      </c>
      <c r="I4095" s="237" t="str">
        <f t="shared" si="1"/>
        <v>Fora</v>
      </c>
      <c r="J4095" s="239">
        <v>537.0000000111759</v>
      </c>
    </row>
    <row r="4096">
      <c r="A4096" s="234" t="s">
        <v>5266</v>
      </c>
      <c r="B4096" s="234" t="str">
        <f>IFERROR(__xludf.DUMMYFUNCTION("""COMPUTED_VALUE"""),"SoC_RJ_Duque de Caxias")</f>
        <v>SoC_RJ_Duque de Caxias</v>
      </c>
      <c r="C4096" s="234" t="str">
        <f>IFERROR(__xludf.DUMMYFUNCTION("""COMPUTED_VALUE"""),"SOC-RJ2")</f>
        <v>SOC-RJ2</v>
      </c>
      <c r="D4096" s="234">
        <f>IFERROR(__xludf.DUMMYFUNCTION("""COMPUTED_VALUE"""),97.0)</f>
        <v>97</v>
      </c>
      <c r="E4096" s="237" t="str">
        <f>IFERROR(__xludf.DUMMYFUNCTION("""COMPUTED_VALUE"""),"LT0Q1601VRR62")</f>
        <v>LT0Q1601VRR62</v>
      </c>
      <c r="F4096" s="238" t="str">
        <f>IFERROR(__xludf.DUMMYFUNCTION("""COMPUTED_VALUE"""),"ARE7A90,FAE3G59")</f>
        <v>ARE7A90,FAE3G59</v>
      </c>
      <c r="G4096" s="238">
        <f>IFERROR(__xludf.DUMMYFUNCTION("""COMPUTED_VALUE"""),46028.91875)</f>
        <v>46028.91875</v>
      </c>
      <c r="H4096" s="238">
        <f>IFERROR(__xludf.DUMMYFUNCTION("""COMPUTED_VALUE"""),46029.29166666667)</f>
        <v>46029.29167</v>
      </c>
      <c r="I4096" s="237" t="str">
        <f t="shared" si="1"/>
        <v>Fora</v>
      </c>
      <c r="J4096" s="239">
        <v>179.00000000721775</v>
      </c>
    </row>
    <row r="4097">
      <c r="A4097" s="234" t="s">
        <v>5267</v>
      </c>
      <c r="B4097" s="234" t="str">
        <f>IFERROR(__xludf.DUMMYFUNCTION("""COMPUTED_VALUE"""),"SoC_SP_Santana")</f>
        <v>SoC_SP_Santana</v>
      </c>
      <c r="C4097" s="234" t="str">
        <f>IFERROR(__xludf.DUMMYFUNCTION("""COMPUTED_VALUE"""),"SOC-SP2")</f>
        <v>SOC-SP2</v>
      </c>
      <c r="D4097" s="234"/>
      <c r="E4097" s="237" t="str">
        <f>IFERROR(__xludf.DUMMYFUNCTION("""COMPUTED_VALUE"""),"LT0Q1701VFZU1")</f>
        <v>LT0Q1701VFZU1</v>
      </c>
      <c r="F4097" s="238" t="str">
        <f>IFERROR(__xludf.DUMMYFUNCTION("""COMPUTED_VALUE"""),"DAO5I86,HSJ4930")</f>
        <v>DAO5I86,HSJ4930</v>
      </c>
      <c r="G4097" s="238">
        <f>IFERROR(__xludf.DUMMYFUNCTION("""COMPUTED_VALUE"""),46029.16736111111)</f>
        <v>46029.16736</v>
      </c>
      <c r="H4097" s="238">
        <f>IFERROR(__xludf.DUMMYFUNCTION("""COMPUTED_VALUE"""),46029.29166666667)</f>
        <v>46029.29167</v>
      </c>
      <c r="I4097" s="237" t="str">
        <f t="shared" si="1"/>
        <v>Fora</v>
      </c>
      <c r="J4097" s="239">
        <v>120.00000001396984</v>
      </c>
    </row>
    <row r="4098">
      <c r="A4098" s="234" t="s">
        <v>694</v>
      </c>
      <c r="B4098" s="234" t="str">
        <f>IFERROR(__xludf.DUMMYFUNCTION("""COMPUTED_VALUE"""),"LM Hub_SP_Barueri_01")</f>
        <v>LM Hub_SP_Barueri_01</v>
      </c>
      <c r="C4098" s="234" t="str">
        <f>IFERROR(__xludf.DUMMYFUNCTION("""COMPUTED_VALUE"""),"HUB-LSP-81")</f>
        <v>HUB-LSP-81</v>
      </c>
      <c r="D4098" s="234"/>
      <c r="E4098" s="237" t="str">
        <f>IFERROR(__xludf.DUMMYFUNCTION("""COMPUTED_VALUE"""),"LT0Q1701VKX81")</f>
        <v>LT0Q1701VKX81</v>
      </c>
      <c r="F4098" s="238" t="str">
        <f>IFERROR(__xludf.DUMMYFUNCTION("""COMPUTED_VALUE"""),"GDB4E59")</f>
        <v>GDB4E59</v>
      </c>
      <c r="G4098" s="238">
        <f>IFERROR(__xludf.DUMMYFUNCTION("""COMPUTED_VALUE"""),46029.20833333333)</f>
        <v>46029.20833</v>
      </c>
      <c r="H4098" s="238">
        <f>IFERROR(__xludf.DUMMYFUNCTION("""COMPUTED_VALUE"""),46029.29166666667)</f>
        <v>46029.29167</v>
      </c>
      <c r="I4098" s="237" t="str">
        <f t="shared" si="1"/>
        <v>Fora</v>
      </c>
      <c r="J4098" s="239">
        <v>120.00000001396984</v>
      </c>
    </row>
    <row r="4099">
      <c r="A4099" s="234" t="s">
        <v>695</v>
      </c>
      <c r="B4099" s="234" t="str">
        <f>IFERROR(__xludf.DUMMYFUNCTION("""COMPUTED_VALUE"""),"LM Hub_SP_Jundiaí")</f>
        <v>LM Hub_SP_Jundiaí</v>
      </c>
      <c r="C4099" s="234" t="str">
        <f>IFERROR(__xludf.DUMMYFUNCTION("""COMPUTED_VALUE"""),"HUB-LSP-100")</f>
        <v>HUB-LSP-100</v>
      </c>
      <c r="D4099" s="234">
        <f>IFERROR(__xludf.DUMMYFUNCTION("""COMPUTED_VALUE"""),37.0)</f>
        <v>37</v>
      </c>
      <c r="E4099" s="237" t="str">
        <f>IFERROR(__xludf.DUMMYFUNCTION("""COMPUTED_VALUE"""),"LT0Q1701VMD61")</f>
        <v>LT0Q1701VMD61</v>
      </c>
      <c r="F4099" s="238" t="str">
        <f>IFERROR(__xludf.DUMMYFUNCTION("""COMPUTED_VALUE"""),"TBX6D09")</f>
        <v>TBX6D09</v>
      </c>
      <c r="G4099" s="238">
        <f>IFERROR(__xludf.DUMMYFUNCTION("""COMPUTED_VALUE"""),46029.20833333333)</f>
        <v>46029.20833</v>
      </c>
      <c r="H4099" s="238">
        <f>IFERROR(__xludf.DUMMYFUNCTION("""COMPUTED_VALUE"""),46029.29166666667)</f>
        <v>46029.29167</v>
      </c>
      <c r="I4099" s="237" t="str">
        <f t="shared" si="1"/>
        <v>Fora</v>
      </c>
      <c r="J4099" s="239">
        <v>120.00000001396984</v>
      </c>
    </row>
    <row r="4100">
      <c r="A4100" s="234" t="s">
        <v>696</v>
      </c>
      <c r="B4100" s="234" t="str">
        <f>IFERROR(__xludf.DUMMYFUNCTION("""COMPUTED_VALUE"""),"LM Hub_SP_Piracicaba")</f>
        <v>LM Hub_SP_Piracicaba</v>
      </c>
      <c r="C4100" s="234" t="str">
        <f>IFERROR(__xludf.DUMMYFUNCTION("""COMPUTED_VALUE"""),"HUB-LSP-62")</f>
        <v>HUB-LSP-62</v>
      </c>
      <c r="D4100" s="234"/>
      <c r="E4100" s="237" t="str">
        <f>IFERROR(__xludf.DUMMYFUNCTION("""COMPUTED_VALUE"""),"LT0Q1701VG7N1")</f>
        <v>LT0Q1701VG7N1</v>
      </c>
      <c r="F4100" s="238" t="str">
        <f>IFERROR(__xludf.DUMMYFUNCTION("""COMPUTED_VALUE"""),"OMY3I62")</f>
        <v>OMY3I62</v>
      </c>
      <c r="G4100" s="238">
        <f>IFERROR(__xludf.DUMMYFUNCTION("""COMPUTED_VALUE"""),46029.20833333333)</f>
        <v>46029.20833</v>
      </c>
      <c r="H4100" s="238">
        <f>IFERROR(__xludf.DUMMYFUNCTION("""COMPUTED_VALUE"""),46029.29166666667)</f>
        <v>46029.29167</v>
      </c>
      <c r="I4100" s="237" t="str">
        <f t="shared" si="1"/>
        <v>Fora</v>
      </c>
      <c r="J4100" s="239">
        <v>119.00000001071021</v>
      </c>
    </row>
    <row r="4101">
      <c r="A4101" s="234" t="s">
        <v>698</v>
      </c>
      <c r="B4101" s="234" t="str">
        <f>IFERROR(__xludf.DUMMYFUNCTION("""COMPUTED_VALUE"""),"LM Hub_SP_Jurubatuba")</f>
        <v>LM Hub_SP_Jurubatuba</v>
      </c>
      <c r="C4101" s="234" t="str">
        <f>IFERROR(__xludf.DUMMYFUNCTION("""COMPUTED_VALUE"""),"HUB-LSP-16")</f>
        <v>HUB-LSP-16</v>
      </c>
      <c r="D4101" s="234"/>
      <c r="E4101" s="237" t="str">
        <f>IFERROR(__xludf.DUMMYFUNCTION("""COMPUTED_VALUE"""),"LT0Q1701VGMW1")</f>
        <v>LT0Q1701VGMW1</v>
      </c>
      <c r="F4101" s="238" t="str">
        <f>IFERROR(__xludf.DUMMYFUNCTION("""COMPUTED_VALUE"""),"PDK9B90")</f>
        <v>PDK9B90</v>
      </c>
      <c r="G4101" s="238">
        <f>IFERROR(__xludf.DUMMYFUNCTION("""COMPUTED_VALUE"""),46029.209027777775)</f>
        <v>46029.20903</v>
      </c>
      <c r="H4101" s="238">
        <f>IFERROR(__xludf.DUMMYFUNCTION("""COMPUTED_VALUE"""),46029.29166666667)</f>
        <v>46029.29167</v>
      </c>
      <c r="I4101" s="237" t="str">
        <f t="shared" si="1"/>
        <v>Fora</v>
      </c>
      <c r="J4101" s="239">
        <v>119.00000001071021</v>
      </c>
    </row>
    <row r="4102">
      <c r="A4102" s="234" t="s">
        <v>699</v>
      </c>
      <c r="B4102" s="234" t="str">
        <f>IFERROR(__xludf.DUMMYFUNCTION("""COMPUTED_VALUE"""),"LM Hub_SP_Santos_PraiaGrande_02")</f>
        <v>LM Hub_SP_Santos_PraiaGrande_02</v>
      </c>
      <c r="C4102" s="234" t="str">
        <f>IFERROR(__xludf.DUMMYFUNCTION("""COMPUTED_VALUE"""),"HUB-LSP-63")</f>
        <v>HUB-LSP-63</v>
      </c>
      <c r="D4102" s="234">
        <f>IFERROR(__xludf.DUMMYFUNCTION("""COMPUTED_VALUE"""),17.0)</f>
        <v>17</v>
      </c>
      <c r="E4102" s="237" t="str">
        <f>IFERROR(__xludf.DUMMYFUNCTION("""COMPUTED_VALUE"""),"LT0Q1701VGO11")</f>
        <v>LT0Q1701VGO11</v>
      </c>
      <c r="F4102" s="238" t="str">
        <f>IFERROR(__xludf.DUMMYFUNCTION("""COMPUTED_VALUE"""),"DVS7290,FQV6F73")</f>
        <v>DVS7290,FQV6F73</v>
      </c>
      <c r="G4102" s="238">
        <f>IFERROR(__xludf.DUMMYFUNCTION("""COMPUTED_VALUE"""),46029.209027777775)</f>
        <v>46029.20903</v>
      </c>
      <c r="H4102" s="238">
        <f>IFERROR(__xludf.DUMMYFUNCTION("""COMPUTED_VALUE"""),46029.29166666667)</f>
        <v>46029.29167</v>
      </c>
      <c r="I4102" s="237" t="str">
        <f t="shared" si="1"/>
        <v>Fora</v>
      </c>
      <c r="J4102" s="239">
        <v>118.00000000745058</v>
      </c>
    </row>
    <row r="4103">
      <c r="A4103" s="234" t="s">
        <v>700</v>
      </c>
      <c r="B4103" s="234" t="str">
        <f>IFERROR(__xludf.DUMMYFUNCTION("""COMPUTED_VALUE"""),"LM Hub_SP_Jurubatuba")</f>
        <v>LM Hub_SP_Jurubatuba</v>
      </c>
      <c r="C4103" s="234" t="str">
        <f>IFERROR(__xludf.DUMMYFUNCTION("""COMPUTED_VALUE"""),"HUB-LSP-16")</f>
        <v>HUB-LSP-16</v>
      </c>
      <c r="D4103" s="234">
        <f>IFERROR(__xludf.DUMMYFUNCTION("""COMPUTED_VALUE"""),32.0)</f>
        <v>32</v>
      </c>
      <c r="E4103" s="237" t="str">
        <f>IFERROR(__xludf.DUMMYFUNCTION("""COMPUTED_VALUE"""),"LT0Q1701VGMR1")</f>
        <v>LT0Q1701VGMR1</v>
      </c>
      <c r="F4103" s="238" t="str">
        <f>IFERROR(__xludf.DUMMYFUNCTION("""COMPUTED_VALUE"""),"MQV9D62,BVT6J01")</f>
        <v>MQV9D62,BVT6J01</v>
      </c>
      <c r="G4103" s="238">
        <f>IFERROR(__xludf.DUMMYFUNCTION("""COMPUTED_VALUE"""),46029.20972222222)</f>
        <v>46029.20972</v>
      </c>
      <c r="H4103" s="238">
        <f>IFERROR(__xludf.DUMMYFUNCTION("""COMPUTED_VALUE"""),46029.29166666667)</f>
        <v>46029.29167</v>
      </c>
      <c r="I4103" s="237" t="str">
        <f t="shared" si="1"/>
        <v>Fora</v>
      </c>
      <c r="J4103" s="239">
        <v>119.99999999301508</v>
      </c>
    </row>
    <row r="4104">
      <c r="A4104" s="234" t="s">
        <v>701</v>
      </c>
      <c r="B4104" s="234" t="str">
        <f>IFERROR(__xludf.DUMMYFUNCTION("""COMPUTED_VALUE"""),"LM Hub_SP_Guarujá")</f>
        <v>LM Hub_SP_Guarujá</v>
      </c>
      <c r="C4104" s="234" t="str">
        <f>IFERROR(__xludf.DUMMYFUNCTION("""COMPUTED_VALUE"""),"HUB-LSP-06")</f>
        <v>HUB-LSP-06</v>
      </c>
      <c r="D4104" s="234"/>
      <c r="E4104" s="237" t="str">
        <f>IFERROR(__xludf.DUMMYFUNCTION("""COMPUTED_VALUE"""),"LT0Q1701VGNE1")</f>
        <v>LT0Q1701VGNE1</v>
      </c>
      <c r="F4104" s="238" t="str">
        <f>IFERROR(__xludf.DUMMYFUNCTION("""COMPUTED_VALUE"""),"TJN5H17")</f>
        <v>TJN5H17</v>
      </c>
      <c r="G4104" s="238">
        <f>IFERROR(__xludf.DUMMYFUNCTION("""COMPUTED_VALUE"""),46029.22916666667)</f>
        <v>46029.22917</v>
      </c>
      <c r="H4104" s="238">
        <f>IFERROR(__xludf.DUMMYFUNCTION("""COMPUTED_VALUE"""),46029.3125)</f>
        <v>46029.3125</v>
      </c>
      <c r="I4104" s="237" t="str">
        <f t="shared" si="1"/>
        <v>Fora</v>
      </c>
      <c r="J4104" s="239">
        <v>119.99999999301508</v>
      </c>
    </row>
    <row r="4105">
      <c r="A4105" s="234" t="s">
        <v>702</v>
      </c>
      <c r="B4105" s="234" t="str">
        <f>IFERROR(__xludf.DUMMYFUNCTION("""COMPUTED_VALUE"""),"LM Hub_SP_Itaqua_Zimba")</f>
        <v>LM Hub_SP_Itaqua_Zimba</v>
      </c>
      <c r="C4105" s="234" t="str">
        <f>IFERROR(__xludf.DUMMYFUNCTION("""COMPUTED_VALUE"""),"HUB-LSP-74")</f>
        <v>HUB-LSP-74</v>
      </c>
      <c r="D4105" s="234">
        <f>IFERROR(__xludf.DUMMYFUNCTION("""COMPUTED_VALUE"""),28.0)</f>
        <v>28</v>
      </c>
      <c r="E4105" s="237" t="str">
        <f>IFERROR(__xludf.DUMMYFUNCTION("""COMPUTED_VALUE"""),"LT0Q1701VGN91")</f>
        <v>LT0Q1701VGN91</v>
      </c>
      <c r="F4105" s="238" t="str">
        <f>IFERROR(__xludf.DUMMYFUNCTION("""COMPUTED_VALUE"""),"STB8A75,TLI6B97")</f>
        <v>STB8A75,TLI6B97</v>
      </c>
      <c r="G4105" s="238">
        <f>IFERROR(__xludf.DUMMYFUNCTION("""COMPUTED_VALUE"""),46029.22916666667)</f>
        <v>46029.22917</v>
      </c>
      <c r="H4105" s="238">
        <f>IFERROR(__xludf.DUMMYFUNCTION("""COMPUTED_VALUE"""),46029.3125)</f>
        <v>46029.3125</v>
      </c>
      <c r="I4105" s="237" t="str">
        <f t="shared" si="1"/>
        <v>Fora</v>
      </c>
      <c r="J4105" s="239">
        <v>119.99999999301508</v>
      </c>
    </row>
    <row r="4106">
      <c r="A4106" s="234" t="s">
        <v>703</v>
      </c>
      <c r="B4106" s="234" t="str">
        <f>IFERROR(__xludf.DUMMYFUNCTION("""COMPUTED_VALUE"""),"LM Hub_SP_Santos_Praia Grande")</f>
        <v>LM Hub_SP_Santos_Praia Grande</v>
      </c>
      <c r="C4106" s="234" t="str">
        <f>IFERROR(__xludf.DUMMYFUNCTION("""COMPUTED_VALUE"""),"HUB-LSP-09")</f>
        <v>HUB-LSP-09</v>
      </c>
      <c r="D4106" s="234">
        <f>IFERROR(__xludf.DUMMYFUNCTION("""COMPUTED_VALUE"""),36.0)</f>
        <v>36</v>
      </c>
      <c r="E4106" s="237" t="str">
        <f>IFERROR(__xludf.DUMMYFUNCTION("""COMPUTED_VALUE"""),"LT0Q1701VGNJ1")</f>
        <v>LT0Q1701VGNJ1</v>
      </c>
      <c r="F4106" s="238" t="str">
        <f>IFERROR(__xludf.DUMMYFUNCTION("""COMPUTED_VALUE"""),"DGY7531")</f>
        <v>DGY7531</v>
      </c>
      <c r="G4106" s="238">
        <f>IFERROR(__xludf.DUMMYFUNCTION("""COMPUTED_VALUE"""),46029.22916666667)</f>
        <v>46029.22917</v>
      </c>
      <c r="H4106" s="238">
        <f>IFERROR(__xludf.DUMMYFUNCTION("""COMPUTED_VALUE"""),46029.3125)</f>
        <v>46029.3125</v>
      </c>
      <c r="I4106" s="237" t="str">
        <f t="shared" si="1"/>
        <v>Fora</v>
      </c>
      <c r="J4106" s="239">
        <v>119.99999999301508</v>
      </c>
    </row>
    <row r="4107">
      <c r="A4107" s="234" t="s">
        <v>704</v>
      </c>
      <c r="B4107" s="234" t="str">
        <f>IFERROR(__xludf.DUMMYFUNCTION("""COMPUTED_VALUE"""),"LM Hub_SP_São José dos Campos")</f>
        <v>LM Hub_SP_São José dos Campos</v>
      </c>
      <c r="C4107" s="234" t="str">
        <f>IFERROR(__xludf.DUMMYFUNCTION("""COMPUTED_VALUE"""),"HUB-LSP-04")</f>
        <v>HUB-LSP-04</v>
      </c>
      <c r="D4107" s="234">
        <f>IFERROR(__xludf.DUMMYFUNCTION("""COMPUTED_VALUE"""),15.0)</f>
        <v>15</v>
      </c>
      <c r="E4107" s="237" t="str">
        <f>IFERROR(__xludf.DUMMYFUNCTION("""COMPUTED_VALUE"""),"LT0Q1701VGNO1")</f>
        <v>LT0Q1701VGNO1</v>
      </c>
      <c r="F4107" s="238" t="str">
        <f>IFERROR(__xludf.DUMMYFUNCTION("""COMPUTED_VALUE"""),"UGN5F59")</f>
        <v>UGN5F59</v>
      </c>
      <c r="G4107" s="238">
        <f>IFERROR(__xludf.DUMMYFUNCTION("""COMPUTED_VALUE"""),46029.22916666667)</f>
        <v>46029.22917</v>
      </c>
      <c r="H4107" s="238">
        <f>IFERROR(__xludf.DUMMYFUNCTION("""COMPUTED_VALUE"""),46029.3125)</f>
        <v>46029.3125</v>
      </c>
      <c r="I4107" s="237" t="str">
        <f t="shared" si="1"/>
        <v>Fora</v>
      </c>
      <c r="J4107" s="239">
        <v>119.99999999301508</v>
      </c>
    </row>
    <row r="4108">
      <c r="A4108" s="234" t="s">
        <v>705</v>
      </c>
      <c r="B4108" s="234" t="str">
        <f>IFERROR(__xludf.DUMMYFUNCTION("""COMPUTED_VALUE"""),"LM Hub_SP_Suzano_Baruel")</f>
        <v>LM Hub_SP_Suzano_Baruel</v>
      </c>
      <c r="C4108" s="234" t="str">
        <f>IFERROR(__xludf.DUMMYFUNCTION("""COMPUTED_VALUE"""),"HUB-LSP-97")</f>
        <v>HUB-LSP-97</v>
      </c>
      <c r="D4108" s="234"/>
      <c r="E4108" s="237" t="str">
        <f>IFERROR(__xludf.DUMMYFUNCTION("""COMPUTED_VALUE"""),"LT0Q1701VMSI1")</f>
        <v>LT0Q1701VMSI1</v>
      </c>
      <c r="F4108" s="238" t="str">
        <f>IFERROR(__xludf.DUMMYFUNCTION("""COMPUTED_VALUE"""),"SXK8F50")</f>
        <v>SXK8F50</v>
      </c>
      <c r="G4108" s="238">
        <f>IFERROR(__xludf.DUMMYFUNCTION("""COMPUTED_VALUE"""),46029.22916666667)</f>
        <v>46029.22917</v>
      </c>
      <c r="H4108" s="238">
        <f>IFERROR(__xludf.DUMMYFUNCTION("""COMPUTED_VALUE"""),46029.3125)</f>
        <v>46029.3125</v>
      </c>
      <c r="I4108" s="237" t="str">
        <f t="shared" si="1"/>
        <v>Fora</v>
      </c>
      <c r="J4108" s="239">
        <v>119.99999999301508</v>
      </c>
    </row>
    <row r="4109">
      <c r="A4109" s="234" t="s">
        <v>706</v>
      </c>
      <c r="B4109" s="234" t="str">
        <f>IFERROR(__xludf.DUMMYFUNCTION("""COMPUTED_VALUE"""),"SoC_SP_Guarulhos")</f>
        <v>SoC_SP_Guarulhos</v>
      </c>
      <c r="C4109" s="234" t="str">
        <f>IFERROR(__xludf.DUMMYFUNCTION("""COMPUTED_VALUE"""),"SOC-SP6")</f>
        <v>SOC-SP6</v>
      </c>
      <c r="D4109" s="234">
        <f>IFERROR(__xludf.DUMMYFUNCTION("""COMPUTED_VALUE"""),13.0)</f>
        <v>13</v>
      </c>
      <c r="E4109" s="237" t="str">
        <f>IFERROR(__xludf.DUMMYFUNCTION("""COMPUTED_VALUE"""),"LT0Q1701VGGJ1")</f>
        <v>LT0Q1701VGGJ1</v>
      </c>
      <c r="F4109" s="238" t="str">
        <f>IFERROR(__xludf.DUMMYFUNCTION("""COMPUTED_VALUE"""),"DPR5J10,TJX9B42")</f>
        <v>DPR5J10,TJX9B42</v>
      </c>
      <c r="G4109" s="238">
        <f>IFERROR(__xludf.DUMMYFUNCTION("""COMPUTED_VALUE"""),46029.22916666667)</f>
        <v>46029.22917</v>
      </c>
      <c r="H4109" s="238">
        <f>IFERROR(__xludf.DUMMYFUNCTION("""COMPUTED_VALUE"""),46029.3125)</f>
        <v>46029.3125</v>
      </c>
      <c r="I4109" s="237" t="str">
        <f t="shared" si="1"/>
        <v>Fora</v>
      </c>
      <c r="J4109" s="239">
        <v>119.00000000023283</v>
      </c>
    </row>
    <row r="4110">
      <c r="A4110" s="234" t="s">
        <v>5268</v>
      </c>
      <c r="B4110" s="234" t="str">
        <f>IFERROR(__xludf.DUMMYFUNCTION("""COMPUTED_VALUE"""),"LM Hub_SP_São Paulo_Mooca")</f>
        <v>LM Hub_SP_São Paulo_Mooca</v>
      </c>
      <c r="C4110" s="234" t="str">
        <f>IFERROR(__xludf.DUMMYFUNCTION("""COMPUTED_VALUE"""),"HUB-LSP-13")</f>
        <v>HUB-LSP-13</v>
      </c>
      <c r="D4110" s="234">
        <f>IFERROR(__xludf.DUMMYFUNCTION("""COMPUTED_VALUE"""),13.0)</f>
        <v>13</v>
      </c>
      <c r="E4110" s="237" t="str">
        <f>IFERROR(__xludf.DUMMYFUNCTION("""COMPUTED_VALUE"""),"LT0Q1701VRF41")</f>
        <v>LT0Q1701VRF41</v>
      </c>
      <c r="F4110" s="238" t="str">
        <f>IFERROR(__xludf.DUMMYFUNCTION("""COMPUTED_VALUE"""),"PEP9J38")</f>
        <v>PEP9J38</v>
      </c>
      <c r="G4110" s="238">
        <f>IFERROR(__xludf.DUMMYFUNCTION("""COMPUTED_VALUE"""),46029.22986111111)</f>
        <v>46029.22986</v>
      </c>
      <c r="H4110" s="238">
        <f>IFERROR(__xludf.DUMMYFUNCTION("""COMPUTED_VALUE"""),46029.3125)</f>
        <v>46029.3125</v>
      </c>
      <c r="I4110" s="237" t="str">
        <f t="shared" si="1"/>
        <v>Fora</v>
      </c>
      <c r="J4110" s="239">
        <v>117.99999998649582</v>
      </c>
    </row>
    <row r="4111">
      <c r="A4111" s="234" t="s">
        <v>5269</v>
      </c>
      <c r="B4111" s="234" t="str">
        <f>IFERROR(__xludf.DUMMYFUNCTION("""COMPUTED_VALUE"""),"LM Hub_SP_São Bernardo do Campo")</f>
        <v>LM Hub_SP_São Bernardo do Campo</v>
      </c>
      <c r="C4111" s="234" t="str">
        <f>IFERROR(__xludf.DUMMYFUNCTION("""COMPUTED_VALUE"""),"HUB-LSP-79")</f>
        <v>HUB-LSP-79</v>
      </c>
      <c r="D4111" s="234">
        <f>IFERROR(__xludf.DUMMYFUNCTION("""COMPUTED_VALUE"""),44.0)</f>
        <v>44</v>
      </c>
      <c r="E4111" s="237" t="str">
        <f>IFERROR(__xludf.DUMMYFUNCTION("""COMPUTED_VALUE"""),"LT0Q1701VG4V1")</f>
        <v>LT0Q1701VG4V1</v>
      </c>
      <c r="F4111" s="238" t="str">
        <f>IFERROR(__xludf.DUMMYFUNCTION("""COMPUTED_VALUE"""),"DVT5D28")</f>
        <v>DVT5D28</v>
      </c>
      <c r="G4111" s="238">
        <f>IFERROR(__xludf.DUMMYFUNCTION("""COMPUTED_VALUE"""),46029.87638888889)</f>
        <v>46029.87639</v>
      </c>
      <c r="H4111" s="238">
        <f>IFERROR(__xludf.DUMMYFUNCTION("""COMPUTED_VALUE"""),46029.95833333333)</f>
        <v>46029.95833</v>
      </c>
      <c r="I4111" s="237" t="str">
        <f t="shared" si="1"/>
        <v>Fora</v>
      </c>
      <c r="J4111" s="239">
        <v>120.00000001396984</v>
      </c>
    </row>
    <row r="4112">
      <c r="A4112" s="234" t="s">
        <v>5270</v>
      </c>
      <c r="B4112" s="234" t="str">
        <f>IFERROR(__xludf.DUMMYFUNCTION("""COMPUTED_VALUE"""),"LM Hub_RJ_Jacarepaguá")</f>
        <v>LM Hub_RJ_Jacarepaguá</v>
      </c>
      <c r="C4112" s="234" t="str">
        <f>IFERROR(__xludf.DUMMYFUNCTION("""COMPUTED_VALUE"""),"HUB-LRJ-29")</f>
        <v>HUB-LRJ-29</v>
      </c>
      <c r="D4112" s="234">
        <f>IFERROR(__xludf.DUMMYFUNCTION("""COMPUTED_VALUE"""),29.0)</f>
        <v>29</v>
      </c>
      <c r="E4112" s="237" t="str">
        <f>IFERROR(__xludf.DUMMYFUNCTION("""COMPUTED_VALUE"""),"LT0Q1701VLGL1")</f>
        <v>LT0Q1701VLGL1</v>
      </c>
      <c r="F4112" s="238" t="str">
        <f>IFERROR(__xludf.DUMMYFUNCTION("""COMPUTED_VALUE"""),"TBX6C27")</f>
        <v>TBX6C27</v>
      </c>
      <c r="G4112" s="238">
        <f>IFERROR(__xludf.DUMMYFUNCTION("""COMPUTED_VALUE"""),46029.89583333333)</f>
        <v>46029.89583</v>
      </c>
      <c r="H4112" s="238">
        <f>IFERROR(__xludf.DUMMYFUNCTION("""COMPUTED_VALUE"""),46029.97916666667)</f>
        <v>46029.97917</v>
      </c>
      <c r="I4112" s="237" t="str">
        <f t="shared" si="1"/>
        <v>Fora</v>
      </c>
      <c r="J4112" s="239">
        <v>118.99999998975545</v>
      </c>
    </row>
    <row r="4113">
      <c r="A4113" s="234" t="s">
        <v>5271</v>
      </c>
      <c r="B4113" s="234" t="str">
        <f>IFERROR(__xludf.DUMMYFUNCTION("""COMPUTED_VALUE"""),"LM Hub_SP_Guarujá")</f>
        <v>LM Hub_SP_Guarujá</v>
      </c>
      <c r="C4113" s="234" t="str">
        <f>IFERROR(__xludf.DUMMYFUNCTION("""COMPUTED_VALUE"""),"HUB-LSP-06")</f>
        <v>HUB-LSP-06</v>
      </c>
      <c r="D4113" s="234">
        <f>IFERROR(__xludf.DUMMYFUNCTION("""COMPUTED_VALUE"""),34.0)</f>
        <v>34</v>
      </c>
      <c r="E4113" s="237" t="str">
        <f>IFERROR(__xludf.DUMMYFUNCTION("""COMPUTED_VALUE"""),"LT0Q1701VFK51")</f>
        <v>LT0Q1701VFK51</v>
      </c>
      <c r="F4113" s="238" t="str">
        <f>IFERROR(__xludf.DUMMYFUNCTION("""COMPUTED_VALUE"""),"TJN5H17")</f>
        <v>TJN5H17</v>
      </c>
      <c r="G4113" s="238">
        <f>IFERROR(__xludf.DUMMYFUNCTION("""COMPUTED_VALUE"""),46029.91666666667)</f>
        <v>46029.91667</v>
      </c>
      <c r="H4113" s="238">
        <f>IFERROR(__xludf.DUMMYFUNCTION("""COMPUTED_VALUE"""),46029.99930555555)</f>
        <v>46029.99931</v>
      </c>
      <c r="I4113" s="237" t="str">
        <f t="shared" si="1"/>
        <v>Fora</v>
      </c>
      <c r="J4113" s="239">
        <v>119.99999999301508</v>
      </c>
    </row>
    <row r="4114">
      <c r="A4114" s="234" t="s">
        <v>5272</v>
      </c>
      <c r="B4114" s="234" t="str">
        <f>IFERROR(__xludf.DUMMYFUNCTION("""COMPUTED_VALUE"""),"LM Hub_MG_Contagem_01")</f>
        <v>LM Hub_MG_Contagem_01</v>
      </c>
      <c r="C4114" s="234" t="str">
        <f>IFERROR(__xludf.DUMMYFUNCTION("""COMPUTED_VALUE"""),"HUB-LMG-05")</f>
        <v>HUB-LMG-05</v>
      </c>
      <c r="D4114" s="234">
        <f>IFERROR(__xludf.DUMMYFUNCTION("""COMPUTED_VALUE"""),45.0)</f>
        <v>45</v>
      </c>
      <c r="E4114" s="237" t="str">
        <f>IFERROR(__xludf.DUMMYFUNCTION("""COMPUTED_VALUE"""),"LT1Q1701W4KO1")</f>
        <v>LT1Q1701W4KO1</v>
      </c>
      <c r="F4114" s="238" t="str">
        <f>IFERROR(__xludf.DUMMYFUNCTION("""COMPUTED_VALUE"""),"EFO6B06,MJH0C66")</f>
        <v>EFO6B06,MJH0C66</v>
      </c>
      <c r="G4114" s="238">
        <f>IFERROR(__xludf.DUMMYFUNCTION("""COMPUTED_VALUE"""),46029.91666666667)</f>
        <v>46029.91667</v>
      </c>
      <c r="H4114" s="238">
        <f>IFERROR(__xludf.DUMMYFUNCTION("""COMPUTED_VALUE"""),46030.0)</f>
        <v>46030</v>
      </c>
      <c r="I4114" s="237" t="str">
        <f t="shared" si="1"/>
        <v>Fora</v>
      </c>
      <c r="J4114" s="239">
        <v>119.99999999301508</v>
      </c>
    </row>
    <row r="4115">
      <c r="A4115" s="234" t="s">
        <v>5273</v>
      </c>
      <c r="B4115" s="234" t="str">
        <f>IFERROR(__xludf.DUMMYFUNCTION("""COMPUTED_VALUE"""),"LM Hub_RS_Porto Alegre_Floresta")</f>
        <v>LM Hub_RS_Porto Alegre_Floresta</v>
      </c>
      <c r="C4115" s="234" t="str">
        <f>IFERROR(__xludf.DUMMYFUNCTION("""COMPUTED_VALUE"""),"HUB-LRS-03")</f>
        <v>HUB-LRS-03</v>
      </c>
      <c r="D4115" s="234"/>
      <c r="E4115" s="237" t="str">
        <f>IFERROR(__xludf.DUMMYFUNCTION("""COMPUTED_VALUE"""),"LT0Q1701VM2X1")</f>
        <v>LT0Q1701VM2X1</v>
      </c>
      <c r="F4115" s="238" t="str">
        <f>IFERROR(__xludf.DUMMYFUNCTION("""COMPUTED_VALUE"""),"SUU4F68")</f>
        <v>SUU4F68</v>
      </c>
      <c r="G4115" s="238">
        <f>IFERROR(__xludf.DUMMYFUNCTION("""COMPUTED_VALUE"""),46029.91666666667)</f>
        <v>46029.91667</v>
      </c>
      <c r="H4115" s="238">
        <f>IFERROR(__xludf.DUMMYFUNCTION("""COMPUTED_VALUE"""),46030.0)</f>
        <v>46030</v>
      </c>
      <c r="I4115" s="237" t="str">
        <f t="shared" si="1"/>
        <v>Fora</v>
      </c>
      <c r="J4115" s="239">
        <v>119.99999999301508</v>
      </c>
    </row>
    <row r="4116">
      <c r="A4116" s="234" t="s">
        <v>5274</v>
      </c>
      <c r="B4116" s="234" t="str">
        <f>IFERROR(__xludf.DUMMYFUNCTION("""COMPUTED_VALUE"""),"LM Hub_SP_Artur Alvim")</f>
        <v>LM Hub_SP_Artur Alvim</v>
      </c>
      <c r="C4116" s="234" t="str">
        <f>IFERROR(__xludf.DUMMYFUNCTION("""COMPUTED_VALUE"""),"HUB-LSP-07")</f>
        <v>HUB-LSP-07</v>
      </c>
      <c r="D4116" s="234">
        <f>IFERROR(__xludf.DUMMYFUNCTION("""COMPUTED_VALUE"""),42.0)</f>
        <v>42</v>
      </c>
      <c r="E4116" s="237" t="str">
        <f>IFERROR(__xludf.DUMMYFUNCTION("""COMPUTED_VALUE"""),"LT0Q1701VFH81")</f>
        <v>LT0Q1701VFH81</v>
      </c>
      <c r="F4116" s="238" t="str">
        <f>IFERROR(__xludf.DUMMYFUNCTION("""COMPUTED_VALUE"""),"GIQ1C13,AKZ0B43")</f>
        <v>GIQ1C13,AKZ0B43</v>
      </c>
      <c r="G4116" s="238">
        <f>IFERROR(__xludf.DUMMYFUNCTION("""COMPUTED_VALUE"""),46029.91666666667)</f>
        <v>46029.91667</v>
      </c>
      <c r="H4116" s="238">
        <f>IFERROR(__xludf.DUMMYFUNCTION("""COMPUTED_VALUE"""),46030.0)</f>
        <v>46030</v>
      </c>
      <c r="I4116" s="237" t="str">
        <f t="shared" si="1"/>
        <v>Fora</v>
      </c>
      <c r="J4116" s="239">
        <v>119.99999999301508</v>
      </c>
    </row>
    <row r="4117">
      <c r="A4117" s="234" t="s">
        <v>5275</v>
      </c>
      <c r="B4117" s="234" t="str">
        <f>IFERROR(__xludf.DUMMYFUNCTION("""COMPUTED_VALUE"""),"LM Hub_SP_Barueri_01")</f>
        <v>LM Hub_SP_Barueri_01</v>
      </c>
      <c r="C4117" s="234" t="str">
        <f>IFERROR(__xludf.DUMMYFUNCTION("""COMPUTED_VALUE"""),"HUB-LSP-81")</f>
        <v>HUB-LSP-81</v>
      </c>
      <c r="D4117" s="234">
        <f>IFERROR(__xludf.DUMMYFUNCTION("""COMPUTED_VALUE"""),13.0)</f>
        <v>13</v>
      </c>
      <c r="E4117" s="237" t="str">
        <f>IFERROR(__xludf.DUMMYFUNCTION("""COMPUTED_VALUE"""),"LT0Q1701VKXF1")</f>
        <v>LT0Q1701VKXF1</v>
      </c>
      <c r="F4117" s="238" t="str">
        <f>IFERROR(__xludf.DUMMYFUNCTION("""COMPUTED_VALUE"""),"DVA3A62,DBC7D61")</f>
        <v>DVA3A62,DBC7D61</v>
      </c>
      <c r="G4117" s="238">
        <f>IFERROR(__xludf.DUMMYFUNCTION("""COMPUTED_VALUE"""),46029.91666666667)</f>
        <v>46029.91667</v>
      </c>
      <c r="H4117" s="238">
        <f>IFERROR(__xludf.DUMMYFUNCTION("""COMPUTED_VALUE"""),46030.0)</f>
        <v>46030</v>
      </c>
      <c r="I4117" s="237" t="str">
        <f t="shared" si="1"/>
        <v>Fora</v>
      </c>
      <c r="J4117" s="239">
        <v>119.99999999301508</v>
      </c>
    </row>
    <row r="4118">
      <c r="A4118" s="234" t="s">
        <v>5276</v>
      </c>
      <c r="B4118" s="234" t="str">
        <f>IFERROR(__xludf.DUMMYFUNCTION("""COMPUTED_VALUE"""),"LM Hub_SP_Guarulhos")</f>
        <v>LM Hub_SP_Guarulhos</v>
      </c>
      <c r="C4118" s="234" t="str">
        <f>IFERROR(__xludf.DUMMYFUNCTION("""COMPUTED_VALUE"""),"HUB-LSP-77")</f>
        <v>HUB-LSP-77</v>
      </c>
      <c r="D4118" s="234">
        <f>IFERROR(__xludf.DUMMYFUNCTION("""COMPUTED_VALUE"""),39.0)</f>
        <v>39</v>
      </c>
      <c r="E4118" s="237" t="str">
        <f>IFERROR(__xludf.DUMMYFUNCTION("""COMPUTED_VALUE"""),"LT0Q1701VG7G1")</f>
        <v>LT0Q1701VG7G1</v>
      </c>
      <c r="F4118" s="238" t="str">
        <f>IFERROR(__xludf.DUMMYFUNCTION("""COMPUTED_VALUE"""),"FEB5I21,FRT9A70")</f>
        <v>FEB5I21,FRT9A70</v>
      </c>
      <c r="G4118" s="238">
        <f>IFERROR(__xludf.DUMMYFUNCTION("""COMPUTED_VALUE"""),46029.91666666667)</f>
        <v>46029.91667</v>
      </c>
      <c r="H4118" s="238">
        <f>IFERROR(__xludf.DUMMYFUNCTION("""COMPUTED_VALUE"""),46030.0)</f>
        <v>46030</v>
      </c>
      <c r="I4118" s="237" t="str">
        <f t="shared" si="1"/>
        <v>Fora</v>
      </c>
      <c r="J4118" s="239">
        <v>119.99999999301508</v>
      </c>
    </row>
    <row r="4119">
      <c r="A4119" s="234" t="s">
        <v>5277</v>
      </c>
      <c r="B4119" s="234" t="str">
        <f>IFERROR(__xludf.DUMMYFUNCTION("""COMPUTED_VALUE"""),"LM Hub_SP_Itapevi")</f>
        <v>LM Hub_SP_Itapevi</v>
      </c>
      <c r="C4119" s="234" t="str">
        <f>IFERROR(__xludf.DUMMYFUNCTION("""COMPUTED_VALUE"""),"HUB-LSP-41")</f>
        <v>HUB-LSP-41</v>
      </c>
      <c r="D4119" s="234">
        <f>IFERROR(__xludf.DUMMYFUNCTION("""COMPUTED_VALUE"""),15.0)</f>
        <v>15</v>
      </c>
      <c r="E4119" s="237" t="str">
        <f>IFERROR(__xludf.DUMMYFUNCTION("""COMPUTED_VALUE"""),"LT0Q1701VFIJ1")</f>
        <v>LT0Q1701VFIJ1</v>
      </c>
      <c r="F4119" s="238" t="str">
        <f>IFERROR(__xludf.DUMMYFUNCTION("""COMPUTED_VALUE"""),"EMU5F62,FGK3A38")</f>
        <v>EMU5F62,FGK3A38</v>
      </c>
      <c r="G4119" s="238">
        <f>IFERROR(__xludf.DUMMYFUNCTION("""COMPUTED_VALUE"""),46029.91666666667)</f>
        <v>46029.91667</v>
      </c>
      <c r="H4119" s="238">
        <f>IFERROR(__xludf.DUMMYFUNCTION("""COMPUTED_VALUE"""),46030.0)</f>
        <v>46030</v>
      </c>
      <c r="I4119" s="237" t="str">
        <f t="shared" si="1"/>
        <v>Fora</v>
      </c>
      <c r="J4119" s="239">
        <v>119.99999999301508</v>
      </c>
    </row>
    <row r="4120">
      <c r="A4120" s="234" t="s">
        <v>5278</v>
      </c>
      <c r="B4120" s="234" t="str">
        <f>IFERROR(__xludf.DUMMYFUNCTION("""COMPUTED_VALUE"""),"LM Hub_SP_Limeira_Campo Belo")</f>
        <v>LM Hub_SP_Limeira_Campo Belo</v>
      </c>
      <c r="C4120" s="234" t="str">
        <f>IFERROR(__xludf.DUMMYFUNCTION("""COMPUTED_VALUE"""),"HUB-LSP-24")</f>
        <v>HUB-LSP-24</v>
      </c>
      <c r="D4120" s="234">
        <f>IFERROR(__xludf.DUMMYFUNCTION("""COMPUTED_VALUE"""),16.0)</f>
        <v>16</v>
      </c>
      <c r="E4120" s="237" t="str">
        <f>IFERROR(__xludf.DUMMYFUNCTION("""COMPUTED_VALUE"""),"LT0Q1701VFLZ1")</f>
        <v>LT0Q1701VFLZ1</v>
      </c>
      <c r="F4120" s="238" t="str">
        <f>IFERROR(__xludf.DUMMYFUNCTION("""COMPUTED_VALUE"""),"SWH0E90,TAX1L63")</f>
        <v>SWH0E90,TAX1L63</v>
      </c>
      <c r="G4120" s="238">
        <f>IFERROR(__xludf.DUMMYFUNCTION("""COMPUTED_VALUE"""),46029.91666666667)</f>
        <v>46029.91667</v>
      </c>
      <c r="H4120" s="238">
        <f>IFERROR(__xludf.DUMMYFUNCTION("""COMPUTED_VALUE"""),46030.0)</f>
        <v>46030</v>
      </c>
      <c r="I4120" s="237" t="str">
        <f t="shared" si="1"/>
        <v>Fora</v>
      </c>
      <c r="J4120" s="239">
        <v>119.99999999301508</v>
      </c>
    </row>
    <row r="4121">
      <c r="A4121" s="234" t="s">
        <v>5279</v>
      </c>
      <c r="B4121" s="234" t="str">
        <f>IFERROR(__xludf.DUMMYFUNCTION("""COMPUTED_VALUE"""),"LM Hub_SP_Mauá")</f>
        <v>LM Hub_SP_Mauá</v>
      </c>
      <c r="C4121" s="234" t="str">
        <f>IFERROR(__xludf.DUMMYFUNCTION("""COMPUTED_VALUE"""),"HUB-LSP-64")</f>
        <v>HUB-LSP-64</v>
      </c>
      <c r="D4121" s="234">
        <f>IFERROR(__xludf.DUMMYFUNCTION("""COMPUTED_VALUE"""),24.0)</f>
        <v>24</v>
      </c>
      <c r="E4121" s="237" t="str">
        <f>IFERROR(__xludf.DUMMYFUNCTION("""COMPUTED_VALUE"""),"LT0Q1701VFIV1")</f>
        <v>LT0Q1701VFIV1</v>
      </c>
      <c r="F4121" s="238" t="str">
        <f>IFERROR(__xludf.DUMMYFUNCTION("""COMPUTED_VALUE"""),"FQF6B98,DTA7802")</f>
        <v>FQF6B98,DTA7802</v>
      </c>
      <c r="G4121" s="238">
        <f>IFERROR(__xludf.DUMMYFUNCTION("""COMPUTED_VALUE"""),46029.91666666667)</f>
        <v>46029.91667</v>
      </c>
      <c r="H4121" s="238">
        <f>IFERROR(__xludf.DUMMYFUNCTION("""COMPUTED_VALUE"""),46030.0)</f>
        <v>46030</v>
      </c>
      <c r="I4121" s="237" t="str">
        <f t="shared" si="1"/>
        <v>Fora</v>
      </c>
      <c r="J4121" s="239">
        <v>119.99999999301508</v>
      </c>
    </row>
    <row r="4122">
      <c r="A4122" s="234" t="s">
        <v>5280</v>
      </c>
      <c r="B4122" s="234" t="str">
        <f>IFERROR(__xludf.DUMMYFUNCTION("""COMPUTED_VALUE"""),"LM Hub_SP_São José do Rio P")</f>
        <v>LM Hub_SP_São José do Rio P</v>
      </c>
      <c r="C4122" s="234" t="str">
        <f>IFERROR(__xludf.DUMMYFUNCTION("""COMPUTED_VALUE"""),"HUB-LSP-27")</f>
        <v>HUB-LSP-27</v>
      </c>
      <c r="D4122" s="234"/>
      <c r="E4122" s="237" t="str">
        <f>IFERROR(__xludf.DUMMYFUNCTION("""COMPUTED_VALUE"""),"LT0Q1701VJOZ1")</f>
        <v>LT0Q1701VJOZ1</v>
      </c>
      <c r="F4122" s="238" t="str">
        <f>IFERROR(__xludf.DUMMYFUNCTION("""COMPUTED_VALUE"""),"FXN0I42")</f>
        <v>FXN0I42</v>
      </c>
      <c r="G4122" s="238">
        <f>IFERROR(__xludf.DUMMYFUNCTION("""COMPUTED_VALUE"""),46029.91666666667)</f>
        <v>46029.91667</v>
      </c>
      <c r="H4122" s="238">
        <f>IFERROR(__xludf.DUMMYFUNCTION("""COMPUTED_VALUE"""),46030.0)</f>
        <v>46030</v>
      </c>
      <c r="I4122" s="237" t="str">
        <f t="shared" si="1"/>
        <v>Fora</v>
      </c>
      <c r="J4122" s="239">
        <v>119.99999999301508</v>
      </c>
    </row>
    <row r="4123">
      <c r="A4123" s="234" t="s">
        <v>5281</v>
      </c>
      <c r="B4123" s="234" t="str">
        <f>IFERROR(__xludf.DUMMYFUNCTION("""COMPUTED_VALUE"""),"LM Hub_SP_VilaGuilherme")</f>
        <v>LM Hub_SP_VilaGuilherme</v>
      </c>
      <c r="C4123" s="234" t="str">
        <f>IFERROR(__xludf.DUMMYFUNCTION("""COMPUTED_VALUE"""),"HUB-LSP-68")</f>
        <v>HUB-LSP-68</v>
      </c>
      <c r="D4123" s="234">
        <f>IFERROR(__xludf.DUMMYFUNCTION("""COMPUTED_VALUE"""),40.0)</f>
        <v>40</v>
      </c>
      <c r="E4123" s="237" t="str">
        <f>IFERROR(__xludf.DUMMYFUNCTION("""COMPUTED_VALUE"""),"LT1Q1701W4BK1")</f>
        <v>LT1Q1701W4BK1</v>
      </c>
      <c r="F4123" s="238" t="str">
        <f>IFERROR(__xludf.DUMMYFUNCTION("""COMPUTED_VALUE"""),"BCS4J31,DJB0J76")</f>
        <v>BCS4J31,DJB0J76</v>
      </c>
      <c r="G4123" s="238">
        <f>IFERROR(__xludf.DUMMYFUNCTION("""COMPUTED_VALUE"""),46029.91666666667)</f>
        <v>46029.91667</v>
      </c>
      <c r="H4123" s="238">
        <f>IFERROR(__xludf.DUMMYFUNCTION("""COMPUTED_VALUE"""),46030.0)</f>
        <v>46030</v>
      </c>
      <c r="I4123" s="237" t="str">
        <f t="shared" si="1"/>
        <v>Fora</v>
      </c>
      <c r="J4123" s="239">
        <v>119.99999999301508</v>
      </c>
    </row>
    <row r="4124">
      <c r="A4124" s="234" t="s">
        <v>5282</v>
      </c>
      <c r="B4124" s="234" t="str">
        <f>IFERROR(__xludf.DUMMYFUNCTION("""COMPUTED_VALUE"""),"SoC_RJ_Duque de Caxias")</f>
        <v>SoC_RJ_Duque de Caxias</v>
      </c>
      <c r="C4124" s="234" t="str">
        <f>IFERROR(__xludf.DUMMYFUNCTION("""COMPUTED_VALUE"""),"SOC-RJ2")</f>
        <v>SOC-RJ2</v>
      </c>
      <c r="D4124" s="234">
        <f>IFERROR(__xludf.DUMMYFUNCTION("""COMPUTED_VALUE"""),112.0)</f>
        <v>112</v>
      </c>
      <c r="E4124" s="237" t="str">
        <f>IFERROR(__xludf.DUMMYFUNCTION("""COMPUTED_VALUE"""),"LT1Q1701W3P51")</f>
        <v>LT1Q1701W3P51</v>
      </c>
      <c r="F4124" s="238" t="str">
        <f>IFERROR(__xludf.DUMMYFUNCTION("""COMPUTED_VALUE"""),"FCY4E35,GBJ3J41")</f>
        <v>FCY4E35,GBJ3J41</v>
      </c>
      <c r="G4124" s="238">
        <f>IFERROR(__xludf.DUMMYFUNCTION("""COMPUTED_VALUE"""),46029.91666666667)</f>
        <v>46029.91667</v>
      </c>
      <c r="H4124" s="238">
        <f>IFERROR(__xludf.DUMMYFUNCTION("""COMPUTED_VALUE"""),46030.0)</f>
        <v>46030</v>
      </c>
      <c r="I4124" s="237" t="str">
        <f t="shared" si="1"/>
        <v>Fora</v>
      </c>
      <c r="J4124" s="239">
        <v>119.99999999301508</v>
      </c>
    </row>
    <row r="4125">
      <c r="A4125" s="234" t="s">
        <v>5283</v>
      </c>
      <c r="B4125" s="234" t="str">
        <f>IFERROR(__xludf.DUMMYFUNCTION("""COMPUTED_VALUE"""),"SoC_SC_Itajaí")</f>
        <v>SoC_SC_Itajaí</v>
      </c>
      <c r="C4125" s="234" t="str">
        <f>IFERROR(__xludf.DUMMYFUNCTION("""COMPUTED_VALUE"""),"SOC-SC1")</f>
        <v>SOC-SC1</v>
      </c>
      <c r="D4125" s="234">
        <f>IFERROR(__xludf.DUMMYFUNCTION("""COMPUTED_VALUE"""),9.0)</f>
        <v>9</v>
      </c>
      <c r="E4125" s="237" t="str">
        <f>IFERROR(__xludf.DUMMYFUNCTION("""COMPUTED_VALUE"""),"LT1Q1701W44S1")</f>
        <v>LT1Q1701W44S1</v>
      </c>
      <c r="F4125" s="238" t="str">
        <f>IFERROR(__xludf.DUMMYFUNCTION("""COMPUTED_VALUE"""),"NEE7J67,FOJ7J76")</f>
        <v>NEE7J67,FOJ7J76</v>
      </c>
      <c r="G4125" s="238">
        <f>IFERROR(__xludf.DUMMYFUNCTION("""COMPUTED_VALUE"""),46029.91666666667)</f>
        <v>46029.91667</v>
      </c>
      <c r="H4125" s="238">
        <f>IFERROR(__xludf.DUMMYFUNCTION("""COMPUTED_VALUE"""),46030.0)</f>
        <v>46030</v>
      </c>
      <c r="I4125" s="237" t="str">
        <f t="shared" si="1"/>
        <v>Fora</v>
      </c>
      <c r="J4125" s="239">
        <v>119.00000000023283</v>
      </c>
    </row>
    <row r="4126">
      <c r="A4126" s="234" t="s">
        <v>5284</v>
      </c>
      <c r="B4126" s="234" t="str">
        <f>IFERROR(__xludf.DUMMYFUNCTION("""COMPUTED_VALUE"""),"LM Hub_SP_Guarulhos")</f>
        <v>LM Hub_SP_Guarulhos</v>
      </c>
      <c r="C4126" s="234" t="str">
        <f>IFERROR(__xludf.DUMMYFUNCTION("""COMPUTED_VALUE"""),"HUB-LSP-77")</f>
        <v>HUB-LSP-77</v>
      </c>
      <c r="D4126" s="234"/>
      <c r="E4126" s="237" t="str">
        <f>IFERROR(__xludf.DUMMYFUNCTION("""COMPUTED_VALUE"""),"LT0Q1701VG7L1")</f>
        <v>LT0Q1701VG7L1</v>
      </c>
      <c r="F4126" s="238" t="str">
        <f>IFERROR(__xludf.DUMMYFUNCTION("""COMPUTED_VALUE"""),"OHQ3D06")</f>
        <v>OHQ3D06</v>
      </c>
      <c r="G4126" s="238">
        <f>IFERROR(__xludf.DUMMYFUNCTION("""COMPUTED_VALUE"""),46029.91736111111)</f>
        <v>46029.91736</v>
      </c>
      <c r="H4126" s="238">
        <f>IFERROR(__xludf.DUMMYFUNCTION("""COMPUTED_VALUE"""),46030.0)</f>
        <v>46030</v>
      </c>
      <c r="I4126" s="237" t="str">
        <f t="shared" si="1"/>
        <v>Fora</v>
      </c>
      <c r="J4126" s="239">
        <v>119.99999999301508</v>
      </c>
    </row>
    <row r="4127">
      <c r="A4127" s="234" t="s">
        <v>5285</v>
      </c>
      <c r="B4127" s="234" t="str">
        <f>IFERROR(__xludf.DUMMYFUNCTION("""COMPUTED_VALUE"""),"LM Hub_SP_Piracicaba")</f>
        <v>LM Hub_SP_Piracicaba</v>
      </c>
      <c r="C4127" s="234" t="str">
        <f>IFERROR(__xludf.DUMMYFUNCTION("""COMPUTED_VALUE"""),"HUB-LSP-62")</f>
        <v>HUB-LSP-62</v>
      </c>
      <c r="D4127" s="234">
        <f>IFERROR(__xludf.DUMMYFUNCTION("""COMPUTED_VALUE"""),36.0)</f>
        <v>36</v>
      </c>
      <c r="E4127" s="237" t="str">
        <f>IFERROR(__xludf.DUMMYFUNCTION("""COMPUTED_VALUE"""),"LT0Q1701VG7U1")</f>
        <v>LT0Q1701VG7U1</v>
      </c>
      <c r="F4127" s="238" t="str">
        <f>IFERROR(__xludf.DUMMYFUNCTION("""COMPUTED_VALUE"""),"EOF4D32")</f>
        <v>EOF4D32</v>
      </c>
      <c r="G4127" s="238">
        <f>IFERROR(__xludf.DUMMYFUNCTION("""COMPUTED_VALUE"""),46029.9375)</f>
        <v>46029.9375</v>
      </c>
      <c r="H4127" s="238">
        <f>IFERROR(__xludf.DUMMYFUNCTION("""COMPUTED_VALUE"""),46030.02083333333)</f>
        <v>46030.02083</v>
      </c>
      <c r="I4127" s="237" t="str">
        <f t="shared" si="1"/>
        <v>Fora</v>
      </c>
      <c r="J4127" s="239">
        <v>119.99999999301508</v>
      </c>
    </row>
    <row r="4128">
      <c r="A4128" s="234" t="s">
        <v>5286</v>
      </c>
      <c r="B4128" s="234" t="str">
        <f>IFERROR(__xludf.DUMMYFUNCTION("""COMPUTED_VALUE"""),"LM Hub_SP_São Paulo_Carandiru")</f>
        <v>LM Hub_SP_São Paulo_Carandiru</v>
      </c>
      <c r="C4128" s="234" t="str">
        <f>IFERROR(__xludf.DUMMYFUNCTION("""COMPUTED_VALUE"""),"HUB-LSP-18")</f>
        <v>HUB-LSP-18</v>
      </c>
      <c r="D4128" s="234">
        <f>IFERROR(__xludf.DUMMYFUNCTION("""COMPUTED_VALUE"""),28.0)</f>
        <v>28</v>
      </c>
      <c r="E4128" s="237" t="str">
        <f>IFERROR(__xludf.DUMMYFUNCTION("""COMPUTED_VALUE"""),"LT0Q1701VFI21")</f>
        <v>LT0Q1701VFI21</v>
      </c>
      <c r="F4128" s="238" t="str">
        <f>IFERROR(__xludf.DUMMYFUNCTION("""COMPUTED_VALUE"""),"OPY9J66")</f>
        <v>OPY9J66</v>
      </c>
      <c r="G4128" s="238">
        <f>IFERROR(__xludf.DUMMYFUNCTION("""COMPUTED_VALUE"""),46029.9375)</f>
        <v>46029.9375</v>
      </c>
      <c r="H4128" s="238">
        <f>IFERROR(__xludf.DUMMYFUNCTION("""COMPUTED_VALUE"""),46030.02083333333)</f>
        <v>46030.02083</v>
      </c>
      <c r="I4128" s="237" t="str">
        <f t="shared" si="1"/>
        <v>Fora</v>
      </c>
      <c r="J4128" s="239">
        <v>119.99999999301508</v>
      </c>
    </row>
    <row r="4129">
      <c r="A4129" s="234" t="s">
        <v>5287</v>
      </c>
      <c r="B4129" s="234" t="str">
        <f>IFERROR(__xludf.DUMMYFUNCTION("""COMPUTED_VALUE"""),"LM Hub_SP_Suzano_Baruel")</f>
        <v>LM Hub_SP_Suzano_Baruel</v>
      </c>
      <c r="C4129" s="234" t="str">
        <f>IFERROR(__xludf.DUMMYFUNCTION("""COMPUTED_VALUE"""),"HUB-LSP-97")</f>
        <v>HUB-LSP-97</v>
      </c>
      <c r="D4129" s="234">
        <f>IFERROR(__xludf.DUMMYFUNCTION("""COMPUTED_VALUE"""),5.0)</f>
        <v>5</v>
      </c>
      <c r="E4129" s="237" t="str">
        <f>IFERROR(__xludf.DUMMYFUNCTION("""COMPUTED_VALUE"""),"LT1Q1701W4CG1")</f>
        <v>LT1Q1701W4CG1</v>
      </c>
      <c r="F4129" s="238" t="str">
        <f>IFERROR(__xludf.DUMMYFUNCTION("""COMPUTED_VALUE"""),"CSN7991,EGJ9544")</f>
        <v>CSN7991,EGJ9544</v>
      </c>
      <c r="G4129" s="238">
        <f>IFERROR(__xludf.DUMMYFUNCTION("""COMPUTED_VALUE"""),46029.9375)</f>
        <v>46029.9375</v>
      </c>
      <c r="H4129" s="238">
        <f>IFERROR(__xludf.DUMMYFUNCTION("""COMPUTED_VALUE"""),46030.02083333333)</f>
        <v>46030.02083</v>
      </c>
      <c r="I4129" s="237" t="str">
        <f t="shared" si="1"/>
        <v>Fora</v>
      </c>
      <c r="J4129" s="239">
        <v>120.00000001396984</v>
      </c>
    </row>
    <row r="4130">
      <c r="A4130" s="234" t="s">
        <v>5288</v>
      </c>
      <c r="B4130" s="234" t="str">
        <f>IFERROR(__xludf.DUMMYFUNCTION("""COMPUTED_VALUE"""),"LM Hub_RJ_Nova Iguaçu")</f>
        <v>LM Hub_RJ_Nova Iguaçu</v>
      </c>
      <c r="C4130" s="234" t="str">
        <f>IFERROR(__xludf.DUMMYFUNCTION("""COMPUTED_VALUE"""),"HUB-LRJ-27")</f>
        <v>HUB-LRJ-27</v>
      </c>
      <c r="D4130" s="234">
        <f>IFERROR(__xludf.DUMMYFUNCTION("""COMPUTED_VALUE"""),19.0)</f>
        <v>19</v>
      </c>
      <c r="E4130" s="237" t="str">
        <f>IFERROR(__xludf.DUMMYFUNCTION("""COMPUTED_VALUE"""),"LT0Q1701VLGX1")</f>
        <v>LT0Q1701VLGX1</v>
      </c>
      <c r="F4130" s="238" t="str">
        <f>IFERROR(__xludf.DUMMYFUNCTION("""COMPUTED_VALUE"""),"UBA1H99")</f>
        <v>UBA1H99</v>
      </c>
      <c r="G4130" s="238">
        <f>IFERROR(__xludf.DUMMYFUNCTION("""COMPUTED_VALUE"""),46029.95833333333)</f>
        <v>46029.95833</v>
      </c>
      <c r="H4130" s="238">
        <f>IFERROR(__xludf.DUMMYFUNCTION("""COMPUTED_VALUE"""),46030.04166666667)</f>
        <v>46030.04167</v>
      </c>
      <c r="I4130" s="237" t="str">
        <f t="shared" si="1"/>
        <v>Fora</v>
      </c>
      <c r="J4130" s="239">
        <v>120.00000001396984</v>
      </c>
    </row>
    <row r="4131">
      <c r="A4131" s="234" t="s">
        <v>5289</v>
      </c>
      <c r="B4131" s="234" t="str">
        <f>IFERROR(__xludf.DUMMYFUNCTION("""COMPUTED_VALUE"""),"LM Hub_RJ_Rio de Janeiro_Campo G")</f>
        <v>LM Hub_RJ_Rio de Janeiro_Campo G</v>
      </c>
      <c r="C4131" s="234" t="str">
        <f>IFERROR(__xludf.DUMMYFUNCTION("""COMPUTED_VALUE"""),"HUB-LRJ-04")</f>
        <v>HUB-LRJ-04</v>
      </c>
      <c r="D4131" s="234">
        <f>IFERROR(__xludf.DUMMYFUNCTION("""COMPUTED_VALUE"""),33.0)</f>
        <v>33</v>
      </c>
      <c r="E4131" s="237" t="str">
        <f>IFERROR(__xludf.DUMMYFUNCTION("""COMPUTED_VALUE"""),"LT0Q1701VFNW1")</f>
        <v>LT0Q1701VFNW1</v>
      </c>
      <c r="F4131" s="238" t="str">
        <f>IFERROR(__xludf.DUMMYFUNCTION("""COMPUTED_VALUE"""),"TBZ3E78")</f>
        <v>TBZ3E78</v>
      </c>
      <c r="G4131" s="238">
        <f>IFERROR(__xludf.DUMMYFUNCTION("""COMPUTED_VALUE"""),46029.95833333333)</f>
        <v>46029.95833</v>
      </c>
      <c r="H4131" s="238">
        <f>IFERROR(__xludf.DUMMYFUNCTION("""COMPUTED_VALUE"""),46030.04166666667)</f>
        <v>46030.04167</v>
      </c>
      <c r="I4131" s="237" t="str">
        <f t="shared" si="1"/>
        <v>Fora</v>
      </c>
      <c r="J4131" s="239">
        <v>120.00000001396984</v>
      </c>
    </row>
    <row r="4132">
      <c r="A4132" s="234" t="s">
        <v>5290</v>
      </c>
      <c r="B4132" s="234" t="str">
        <f>IFERROR(__xludf.DUMMYFUNCTION("""COMPUTED_VALUE"""),"LM Hub_RJ_São João do Meriti")</f>
        <v>LM Hub_RJ_São João do Meriti</v>
      </c>
      <c r="C4132" s="234" t="str">
        <f>IFERROR(__xludf.DUMMYFUNCTION("""COMPUTED_VALUE"""),"HUB-LRJ-01")</f>
        <v>HUB-LRJ-01</v>
      </c>
      <c r="D4132" s="234">
        <f>IFERROR(__xludf.DUMMYFUNCTION("""COMPUTED_VALUE"""),7.0)</f>
        <v>7</v>
      </c>
      <c r="E4132" s="237" t="str">
        <f>IFERROR(__xludf.DUMMYFUNCTION("""COMPUTED_VALUE"""),"LT0Q1701VLHU1")</f>
        <v>LT0Q1701VLHU1</v>
      </c>
      <c r="F4132" s="238" t="str">
        <f>IFERROR(__xludf.DUMMYFUNCTION("""COMPUTED_VALUE"""),"CSK6J01")</f>
        <v>CSK6J01</v>
      </c>
      <c r="G4132" s="238">
        <f>IFERROR(__xludf.DUMMYFUNCTION("""COMPUTED_VALUE"""),46029.95833333333)</f>
        <v>46029.95833</v>
      </c>
      <c r="H4132" s="238">
        <f>IFERROR(__xludf.DUMMYFUNCTION("""COMPUTED_VALUE"""),46030.04166666667)</f>
        <v>46030.04167</v>
      </c>
      <c r="I4132" s="237" t="str">
        <f t="shared" si="1"/>
        <v>Fora</v>
      </c>
      <c r="J4132" s="239">
        <v>120.00000001396984</v>
      </c>
    </row>
    <row r="4133">
      <c r="A4133" s="234" t="s">
        <v>5291</v>
      </c>
      <c r="B4133" s="234" t="str">
        <f>IFERROR(__xludf.DUMMYFUNCTION("""COMPUTED_VALUE"""),"LM Hub_SP_Jundiaí")</f>
        <v>LM Hub_SP_Jundiaí</v>
      </c>
      <c r="C4133" s="234" t="str">
        <f>IFERROR(__xludf.DUMMYFUNCTION("""COMPUTED_VALUE"""),"HUB-LSP-100")</f>
        <v>HUB-LSP-100</v>
      </c>
      <c r="D4133" s="234">
        <f>IFERROR(__xludf.DUMMYFUNCTION("""COMPUTED_VALUE"""),35.0)</f>
        <v>35</v>
      </c>
      <c r="E4133" s="237" t="str">
        <f>IFERROR(__xludf.DUMMYFUNCTION("""COMPUTED_VALUE"""),"LT0Q1701VMDC1")</f>
        <v>LT0Q1701VMDC1</v>
      </c>
      <c r="F4133" s="238" t="str">
        <f>IFERROR(__xludf.DUMMYFUNCTION("""COMPUTED_VALUE"""),"BZV6J05")</f>
        <v>BZV6J05</v>
      </c>
      <c r="G4133" s="238">
        <f>IFERROR(__xludf.DUMMYFUNCTION("""COMPUTED_VALUE"""),46029.95833333333)</f>
        <v>46029.95833</v>
      </c>
      <c r="H4133" s="238">
        <f>IFERROR(__xludf.DUMMYFUNCTION("""COMPUTED_VALUE"""),46030.04166666667)</f>
        <v>46030.04167</v>
      </c>
      <c r="I4133" s="237" t="str">
        <f t="shared" si="1"/>
        <v>Fora</v>
      </c>
      <c r="J4133" s="239">
        <v>120.00000001396984</v>
      </c>
    </row>
    <row r="4134">
      <c r="A4134" s="234" t="s">
        <v>5292</v>
      </c>
      <c r="B4134" s="234" t="str">
        <f>IFERROR(__xludf.DUMMYFUNCTION("""COMPUTED_VALUE"""),"LM Hub_SP_Mogi Mirim")</f>
        <v>LM Hub_SP_Mogi Mirim</v>
      </c>
      <c r="C4134" s="234" t="str">
        <f>IFERROR(__xludf.DUMMYFUNCTION("""COMPUTED_VALUE"""),"HUB-LSP-37")</f>
        <v>HUB-LSP-37</v>
      </c>
      <c r="D4134" s="234">
        <f>IFERROR(__xludf.DUMMYFUNCTION("""COMPUTED_VALUE"""),14.0)</f>
        <v>14</v>
      </c>
      <c r="E4134" s="237" t="str">
        <f>IFERROR(__xludf.DUMMYFUNCTION("""COMPUTED_VALUE"""),"LT0Q1701VFN11")</f>
        <v>LT0Q1701VFN11</v>
      </c>
      <c r="F4134" s="238" t="str">
        <f>IFERROR(__xludf.DUMMYFUNCTION("""COMPUTED_VALUE"""),"SWU6I91,DTC7026")</f>
        <v>SWU6I91,DTC7026</v>
      </c>
      <c r="G4134" s="238">
        <f>IFERROR(__xludf.DUMMYFUNCTION("""COMPUTED_VALUE"""),46029.95833333333)</f>
        <v>46029.95833</v>
      </c>
      <c r="H4134" s="238">
        <f>IFERROR(__xludf.DUMMYFUNCTION("""COMPUTED_VALUE"""),46030.04166666667)</f>
        <v>46030.04167</v>
      </c>
      <c r="I4134" s="237" t="str">
        <f t="shared" si="1"/>
        <v>Fora</v>
      </c>
      <c r="J4134" s="239">
        <v>120.00000001396984</v>
      </c>
    </row>
    <row r="4135">
      <c r="A4135" s="234" t="s">
        <v>5293</v>
      </c>
      <c r="B4135" s="234" t="str">
        <f>IFERROR(__xludf.DUMMYFUNCTION("""COMPUTED_VALUE"""),"SoC_PR_Curitiba")</f>
        <v>SoC_PR_Curitiba</v>
      </c>
      <c r="C4135" s="234" t="str">
        <f>IFERROR(__xludf.DUMMYFUNCTION("""COMPUTED_VALUE"""),"SOC-PR1")</f>
        <v>SOC-PR1</v>
      </c>
      <c r="D4135" s="234"/>
      <c r="E4135" s="237" t="str">
        <f>IFERROR(__xludf.DUMMYFUNCTION("""COMPUTED_VALUE"""),"LT1Q1701W44H1")</f>
        <v>LT1Q1701W44H1</v>
      </c>
      <c r="F4135" s="238" t="str">
        <f>IFERROR(__xludf.DUMMYFUNCTION("""COMPUTED_VALUE"""),"SFO1F31,TLR8J05")</f>
        <v>SFO1F31,TLR8J05</v>
      </c>
      <c r="G4135" s="238">
        <f>IFERROR(__xludf.DUMMYFUNCTION("""COMPUTED_VALUE"""),46029.95833333333)</f>
        <v>46029.95833</v>
      </c>
      <c r="H4135" s="238">
        <f>IFERROR(__xludf.DUMMYFUNCTION("""COMPUTED_VALUE"""),46030.04166666667)</f>
        <v>46030.04167</v>
      </c>
      <c r="I4135" s="237" t="str">
        <f t="shared" si="1"/>
        <v>Fora</v>
      </c>
      <c r="J4135" s="239">
        <v>120.00000001396984</v>
      </c>
    </row>
    <row r="4136">
      <c r="A4136" s="234" t="s">
        <v>5294</v>
      </c>
      <c r="B4136" s="234" t="str">
        <f>IFERROR(__xludf.DUMMYFUNCTION("""COMPUTED_VALUE"""),"SoC_SP_Louveira")</f>
        <v>SoC_SP_Louveira</v>
      </c>
      <c r="C4136" s="234" t="str">
        <f>IFERROR(__xludf.DUMMYFUNCTION("""COMPUTED_VALUE"""),"SOC-SP7")</f>
        <v>SOC-SP7</v>
      </c>
      <c r="D4136" s="234">
        <f>IFERROR(__xludf.DUMMYFUNCTION("""COMPUTED_VALUE"""),18.0)</f>
        <v>18</v>
      </c>
      <c r="E4136" s="237" t="str">
        <f>IFERROR(__xludf.DUMMYFUNCTION("""COMPUTED_VALUE"""),"LT0Q1701VFH11")</f>
        <v>LT0Q1701VFH11</v>
      </c>
      <c r="F4136" s="238" t="str">
        <f>IFERROR(__xludf.DUMMYFUNCTION("""COMPUTED_VALUE"""),"FVJ4C52,FKH0E62")</f>
        <v>FVJ4C52,FKH0E62</v>
      </c>
      <c r="G4136" s="238">
        <f>IFERROR(__xludf.DUMMYFUNCTION("""COMPUTED_VALUE"""),46029.95833333333)</f>
        <v>46029.95833</v>
      </c>
      <c r="H4136" s="238">
        <f>IFERROR(__xludf.DUMMYFUNCTION("""COMPUTED_VALUE"""),46030.04166666667)</f>
        <v>46030.04167</v>
      </c>
      <c r="I4136" s="237" t="str">
        <f t="shared" si="1"/>
        <v>Fora</v>
      </c>
      <c r="J4136" s="239">
        <v>119.99999999301508</v>
      </c>
    </row>
    <row r="4137">
      <c r="A4137" s="234" t="s">
        <v>5295</v>
      </c>
      <c r="B4137" s="234" t="str">
        <f>IFERROR(__xludf.DUMMYFUNCTION("""COMPUTED_VALUE"""),"LM Hub_SP_Araraquara")</f>
        <v>LM Hub_SP_Araraquara</v>
      </c>
      <c r="C4137" s="234" t="str">
        <f>IFERROR(__xludf.DUMMYFUNCTION("""COMPUTED_VALUE"""),"HUB-LSP-29")</f>
        <v>HUB-LSP-29</v>
      </c>
      <c r="D4137" s="234"/>
      <c r="E4137" s="237" t="str">
        <f>IFERROR(__xludf.DUMMYFUNCTION("""COMPUTED_VALUE"""),"LT0Q1701VFN71")</f>
        <v>LT0Q1701VFN71</v>
      </c>
      <c r="F4137" s="234"/>
      <c r="G4137" s="238">
        <f>IFERROR(__xludf.DUMMYFUNCTION("""COMPUTED_VALUE"""),46029.97916666667)</f>
        <v>46029.97917</v>
      </c>
      <c r="H4137" s="238">
        <f>IFERROR(__xludf.DUMMYFUNCTION("""COMPUTED_VALUE"""),46030.0625)</f>
        <v>46030.0625</v>
      </c>
      <c r="I4137" s="237" t="str">
        <f t="shared" si="1"/>
        <v>Fora</v>
      </c>
      <c r="J4137" s="239">
        <v>119.99999999301508</v>
      </c>
    </row>
    <row r="4138">
      <c r="A4138" s="234" t="s">
        <v>5296</v>
      </c>
      <c r="B4138" s="234" t="str">
        <f>IFERROR(__xludf.DUMMYFUNCTION("""COMPUTED_VALUE"""),"LM Hub_SP_Atibaia_Ponte_Alta")</f>
        <v>LM Hub_SP_Atibaia_Ponte_Alta</v>
      </c>
      <c r="C4138" s="234" t="str">
        <f>IFERROR(__xludf.DUMMYFUNCTION("""COMPUTED_VALUE"""),"HUB-LSP-87")</f>
        <v>HUB-LSP-87</v>
      </c>
      <c r="D4138" s="234">
        <f>IFERROR(__xludf.DUMMYFUNCTION("""COMPUTED_VALUE"""),12.0)</f>
        <v>12</v>
      </c>
      <c r="E4138" s="237" t="str">
        <f>IFERROR(__xludf.DUMMYFUNCTION("""COMPUTED_VALUE"""),"LT0Q1701VJKH1")</f>
        <v>LT0Q1701VJKH1</v>
      </c>
      <c r="F4138" s="238" t="str">
        <f>IFERROR(__xludf.DUMMYFUNCTION("""COMPUTED_VALUE"""),"EOK0A95")</f>
        <v>EOK0A95</v>
      </c>
      <c r="G4138" s="238">
        <f>IFERROR(__xludf.DUMMYFUNCTION("""COMPUTED_VALUE"""),46029.97916666667)</f>
        <v>46029.97917</v>
      </c>
      <c r="H4138" s="238">
        <f>IFERROR(__xludf.DUMMYFUNCTION("""COMPUTED_VALUE"""),46030.0625)</f>
        <v>46030.0625</v>
      </c>
      <c r="I4138" s="237" t="str">
        <f t="shared" si="1"/>
        <v>Fora</v>
      </c>
      <c r="J4138" s="239">
        <v>119.99999999301508</v>
      </c>
    </row>
    <row r="4139">
      <c r="A4139" s="234" t="s">
        <v>5297</v>
      </c>
      <c r="B4139" s="234" t="str">
        <f>IFERROR(__xludf.DUMMYFUNCTION("""COMPUTED_VALUE"""),"LM Hub_SP_Várzea Paulista")</f>
        <v>LM Hub_SP_Várzea Paulista</v>
      </c>
      <c r="C4139" s="234" t="str">
        <f>IFERROR(__xludf.DUMMYFUNCTION("""COMPUTED_VALUE"""),"HUB-LSP-61")</f>
        <v>HUB-LSP-61</v>
      </c>
      <c r="D4139" s="234">
        <f>IFERROR(__xludf.DUMMYFUNCTION("""COMPUTED_VALUE"""),8.0)</f>
        <v>8</v>
      </c>
      <c r="E4139" s="237" t="str">
        <f>IFERROR(__xludf.DUMMYFUNCTION("""COMPUTED_VALUE"""),"LT0Q1701VFM91")</f>
        <v>LT0Q1701VFM91</v>
      </c>
      <c r="F4139" s="238" t="str">
        <f>IFERROR(__xludf.DUMMYFUNCTION("""COMPUTED_VALUE"""),"RJG8E37,FCG5D30")</f>
        <v>RJG8E37,FCG5D30</v>
      </c>
      <c r="G4139" s="238">
        <f>IFERROR(__xludf.DUMMYFUNCTION("""COMPUTED_VALUE"""),46029.97916666667)</f>
        <v>46029.97917</v>
      </c>
      <c r="H4139" s="238">
        <f>IFERROR(__xludf.DUMMYFUNCTION("""COMPUTED_VALUE"""),46030.0625)</f>
        <v>46030.0625</v>
      </c>
      <c r="I4139" s="237" t="str">
        <f t="shared" si="1"/>
        <v>Fora</v>
      </c>
      <c r="J4139" s="239">
        <v>119.99999999301508</v>
      </c>
    </row>
    <row r="4140">
      <c r="A4140" s="234" t="s">
        <v>5298</v>
      </c>
      <c r="B4140" s="234" t="str">
        <f>IFERROR(__xludf.DUMMYFUNCTION("""COMPUTED_VALUE"""),"LM Hub_RJ_Ilha do Governador")</f>
        <v>LM Hub_RJ_Ilha do Governador</v>
      </c>
      <c r="C4140" s="234" t="str">
        <f>IFERROR(__xludf.DUMMYFUNCTION("""COMPUTED_VALUE"""),"HUB-LRJ-32")</f>
        <v>HUB-LRJ-32</v>
      </c>
      <c r="D4140" s="234">
        <f>IFERROR(__xludf.DUMMYFUNCTION("""COMPUTED_VALUE"""),17.0)</f>
        <v>17</v>
      </c>
      <c r="E4140" s="237" t="str">
        <f>IFERROR(__xludf.DUMMYFUNCTION("""COMPUTED_VALUE"""),"LT0Q1801VLHB1")</f>
        <v>LT0Q1801VLHB1</v>
      </c>
      <c r="F4140" s="238" t="str">
        <f>IFERROR(__xludf.DUMMYFUNCTION("""COMPUTED_VALUE"""),"CUT9C59")</f>
        <v>CUT9C59</v>
      </c>
      <c r="G4140" s="238">
        <f>IFERROR(__xludf.DUMMYFUNCTION("""COMPUTED_VALUE"""),46030.0)</f>
        <v>46030</v>
      </c>
      <c r="H4140" s="238">
        <f>IFERROR(__xludf.DUMMYFUNCTION("""COMPUTED_VALUE"""),46030.08333333333)</f>
        <v>46030.08333</v>
      </c>
      <c r="I4140" s="237" t="str">
        <f t="shared" si="1"/>
        <v>Fora</v>
      </c>
      <c r="J4140" s="239">
        <v>120.00000001396984</v>
      </c>
    </row>
    <row r="4141">
      <c r="A4141" s="234" t="s">
        <v>5299</v>
      </c>
      <c r="B4141" s="234" t="str">
        <f>IFERROR(__xludf.DUMMYFUNCTION("""COMPUTED_VALUE"""),"LM Hub_MG_Varginha_Fausto")</f>
        <v>LM Hub_MG_Varginha_Fausto</v>
      </c>
      <c r="C4141" s="234" t="str">
        <f>IFERROR(__xludf.DUMMYFUNCTION("""COMPUTED_VALUE"""),"HUB-LMG-45")</f>
        <v>HUB-LMG-45</v>
      </c>
      <c r="D4141" s="234">
        <f>IFERROR(__xludf.DUMMYFUNCTION("""COMPUTED_VALUE"""),6.0)</f>
        <v>6</v>
      </c>
      <c r="E4141" s="237" t="str">
        <f>IFERROR(__xludf.DUMMYFUNCTION("""COMPUTED_VALUE"""),"LT0Q1801VKWY1")</f>
        <v>LT0Q1801VKWY1</v>
      </c>
      <c r="F4141" s="238" t="str">
        <f>IFERROR(__xludf.DUMMYFUNCTION("""COMPUTED_VALUE"""),"GGK6J35")</f>
        <v>GGK6J35</v>
      </c>
      <c r="G4141" s="238">
        <f>IFERROR(__xludf.DUMMYFUNCTION("""COMPUTED_VALUE"""),46030.02083333333)</f>
        <v>46030.02083</v>
      </c>
      <c r="H4141" s="238">
        <f>IFERROR(__xludf.DUMMYFUNCTION("""COMPUTED_VALUE"""),46030.10416666667)</f>
        <v>46030.10417</v>
      </c>
      <c r="I4141" s="237" t="str">
        <f t="shared" si="1"/>
        <v>Fora</v>
      </c>
      <c r="J4141" s="239">
        <v>479.9999999930151</v>
      </c>
    </row>
    <row r="4142">
      <c r="A4142" s="234" t="s">
        <v>5300</v>
      </c>
      <c r="B4142" s="234" t="str">
        <f>IFERROR(__xludf.DUMMYFUNCTION("""COMPUTED_VALUE"""),"SoC_BA_Simoes Filho")</f>
        <v>SoC_BA_Simoes Filho</v>
      </c>
      <c r="C4142" s="234" t="str">
        <f>IFERROR(__xludf.DUMMYFUNCTION("""COMPUTED_VALUE"""),"SOC-BA2")</f>
        <v>SOC-BA2</v>
      </c>
      <c r="D4142" s="234">
        <f>IFERROR(__xludf.DUMMYFUNCTION("""COMPUTED_VALUE"""),89.0)</f>
        <v>89</v>
      </c>
      <c r="E4142" s="237" t="str">
        <f>IFERROR(__xludf.DUMMYFUNCTION("""COMPUTED_VALUE"""),"LT1Q1701W44K1")</f>
        <v>LT1Q1701W44K1</v>
      </c>
      <c r="F4142" s="238" t="str">
        <f>IFERROR(__xludf.DUMMYFUNCTION("""COMPUTED_VALUE"""),"RGK4I69,TJF7D92")</f>
        <v>RGK4I69,TJF7D92</v>
      </c>
      <c r="G4142" s="238">
        <f>IFERROR(__xludf.DUMMYFUNCTION("""COMPUTED_VALUE"""),46029.79166666667)</f>
        <v>46029.79167</v>
      </c>
      <c r="H4142" s="238">
        <f>IFERROR(__xludf.DUMMYFUNCTION("""COMPUTED_VALUE"""),46030.125)</f>
        <v>46030.125</v>
      </c>
      <c r="I4142" s="237" t="str">
        <f t="shared" si="1"/>
        <v>Fora</v>
      </c>
      <c r="J4142" s="239">
        <v>119.99999999301508</v>
      </c>
    </row>
    <row r="4143">
      <c r="A4143" s="234" t="s">
        <v>5301</v>
      </c>
      <c r="B4143" s="234" t="str">
        <f>IFERROR(__xludf.DUMMYFUNCTION("""COMPUTED_VALUE"""),"SoC_PR_Curitiba")</f>
        <v>SoC_PR_Curitiba</v>
      </c>
      <c r="C4143" s="234" t="str">
        <f>IFERROR(__xludf.DUMMYFUNCTION("""COMPUTED_VALUE"""),"SOC-PR1")</f>
        <v>SOC-PR1</v>
      </c>
      <c r="D4143" s="234"/>
      <c r="E4143" s="237" t="str">
        <f>IFERROR(__xludf.DUMMYFUNCTION("""COMPUTED_VALUE"""),"LT0Q1801VFFF1")</f>
        <v>LT0Q1801VFFF1</v>
      </c>
      <c r="F4143" s="238" t="str">
        <f>IFERROR(__xludf.DUMMYFUNCTION("""COMPUTED_VALUE"""),"RAG7228,RYZ0F99")</f>
        <v>RAG7228,RYZ0F99</v>
      </c>
      <c r="G4143" s="238">
        <f>IFERROR(__xludf.DUMMYFUNCTION("""COMPUTED_VALUE"""),46030.04166666667)</f>
        <v>46030.04167</v>
      </c>
      <c r="H4143" s="238">
        <f>IFERROR(__xludf.DUMMYFUNCTION("""COMPUTED_VALUE"""),46030.125)</f>
        <v>46030.125</v>
      </c>
      <c r="I4143" s="237" t="str">
        <f t="shared" si="1"/>
        <v>Fora</v>
      </c>
      <c r="J4143" s="239">
        <v>480.00000001396984</v>
      </c>
    </row>
    <row r="4144">
      <c r="A4144" s="234" t="s">
        <v>5302</v>
      </c>
      <c r="B4144" s="234" t="str">
        <f>IFERROR(__xludf.DUMMYFUNCTION("""COMPUTED_VALUE"""),"SoC_BA_Simoes Filho")</f>
        <v>SoC_BA_Simoes Filho</v>
      </c>
      <c r="C4144" s="234" t="str">
        <f>IFERROR(__xludf.DUMMYFUNCTION("""COMPUTED_VALUE"""),"SOC-BA2")</f>
        <v>SOC-BA2</v>
      </c>
      <c r="D4144" s="234" t="str">
        <f>IFERROR(__xludf.DUMMYFUNCTION("""COMPUTED_VALUE"""),"88/113")</f>
        <v>88/113</v>
      </c>
      <c r="E4144" s="237" t="str">
        <f>IFERROR(__xludf.DUMMYFUNCTION("""COMPUTED_VALUE"""),"LT1Q1701W44L1")</f>
        <v>LT1Q1701W44L1</v>
      </c>
      <c r="F4144" s="238" t="str">
        <f>IFERROR(__xludf.DUMMYFUNCTION("""COMPUTED_VALUE"""),"FVW1E10,FFN4I73")</f>
        <v>FVW1E10,FFN4I73</v>
      </c>
      <c r="G4144" s="238">
        <f>IFERROR(__xludf.DUMMYFUNCTION("""COMPUTED_VALUE"""),46029.83333333333)</f>
        <v>46029.83333</v>
      </c>
      <c r="H4144" s="238">
        <f>IFERROR(__xludf.DUMMYFUNCTION("""COMPUTED_VALUE"""),46030.16666666667)</f>
        <v>46030.16667</v>
      </c>
      <c r="I4144" s="237" t="str">
        <f t="shared" si="1"/>
        <v>Fora</v>
      </c>
      <c r="J4144" s="239">
        <v>480.00000001396984</v>
      </c>
    </row>
    <row r="4145">
      <c r="A4145" s="234" t="s">
        <v>5303</v>
      </c>
      <c r="B4145" s="234" t="str">
        <f>IFERROR(__xludf.DUMMYFUNCTION("""COMPUTED_VALUE"""),"SoC_MG_Betim")</f>
        <v>SoC_MG_Betim</v>
      </c>
      <c r="C4145" s="234" t="str">
        <f>IFERROR(__xludf.DUMMYFUNCTION("""COMPUTED_VALUE"""),"SOC-MG2")</f>
        <v>SOC-MG2</v>
      </c>
      <c r="D4145" s="234">
        <f>IFERROR(__xludf.DUMMYFUNCTION("""COMPUTED_VALUE"""),91.0)</f>
        <v>91</v>
      </c>
      <c r="E4145" s="237" t="str">
        <f>IFERROR(__xludf.DUMMYFUNCTION("""COMPUTED_VALUE"""),"LT1Q1701W44C1")</f>
        <v>LT1Q1701W44C1</v>
      </c>
      <c r="F4145" s="238" t="str">
        <f>IFERROR(__xludf.DUMMYFUNCTION("""COMPUTED_VALUE"""),"SDG3A20,TIY1H79")</f>
        <v>SDG3A20,TIY1H79</v>
      </c>
      <c r="G4145" s="238">
        <f>IFERROR(__xludf.DUMMYFUNCTION("""COMPUTED_VALUE"""),46029.83333333333)</f>
        <v>46029.83333</v>
      </c>
      <c r="H4145" s="238">
        <f>IFERROR(__xludf.DUMMYFUNCTION("""COMPUTED_VALUE"""),46030.16666666667)</f>
        <v>46030.16667</v>
      </c>
      <c r="I4145" s="237" t="str">
        <f t="shared" si="1"/>
        <v>Fora</v>
      </c>
      <c r="J4145" s="239">
        <v>480.00000001396984</v>
      </c>
    </row>
    <row r="4146">
      <c r="A4146" s="234" t="s">
        <v>5304</v>
      </c>
      <c r="B4146" s="234" t="str">
        <f>IFERROR(__xludf.DUMMYFUNCTION("""COMPUTED_VALUE"""),"SoC_RS_Gravataí_02")</f>
        <v>SoC_RS_Gravataí_02</v>
      </c>
      <c r="C4146" s="234" t="str">
        <f>IFERROR(__xludf.DUMMYFUNCTION("""COMPUTED_VALUE"""),"SOC-RS2")</f>
        <v>SOC-RS2</v>
      </c>
      <c r="D4146" s="234">
        <f>IFERROR(__xludf.DUMMYFUNCTION("""COMPUTED_VALUE"""),102.0)</f>
        <v>102</v>
      </c>
      <c r="E4146" s="237" t="str">
        <f>IFERROR(__xludf.DUMMYFUNCTION("""COMPUTED_VALUE"""),"LT1Q1701W44P1")</f>
        <v>LT1Q1701W44P1</v>
      </c>
      <c r="F4146" s="238" t="str">
        <f>IFERROR(__xludf.DUMMYFUNCTION("""COMPUTED_VALUE"""),"UFN3F88,UGE6J17")</f>
        <v>UFN3F88,UGE6J17</v>
      </c>
      <c r="G4146" s="238">
        <f>IFERROR(__xludf.DUMMYFUNCTION("""COMPUTED_VALUE"""),46029.83333333333)</f>
        <v>46029.83333</v>
      </c>
      <c r="H4146" s="238">
        <f>IFERROR(__xludf.DUMMYFUNCTION("""COMPUTED_VALUE"""),46030.16666666667)</f>
        <v>46030.16667</v>
      </c>
      <c r="I4146" s="237" t="str">
        <f t="shared" si="1"/>
        <v>Fora</v>
      </c>
      <c r="J4146" s="239">
        <v>179.00000000721775</v>
      </c>
    </row>
    <row r="4147">
      <c r="A4147" s="234" t="s">
        <v>5305</v>
      </c>
      <c r="B4147" s="234" t="str">
        <f>IFERROR(__xludf.DUMMYFUNCTION("""COMPUTED_VALUE"""),"SoC_SP_Santana")</f>
        <v>SoC_SP_Santana</v>
      </c>
      <c r="C4147" s="234" t="str">
        <f>IFERROR(__xludf.DUMMYFUNCTION("""COMPUTED_VALUE"""),"SOC-SP2")</f>
        <v>SOC-SP2</v>
      </c>
      <c r="D4147" s="234"/>
      <c r="E4147" s="237" t="str">
        <f>IFERROR(__xludf.DUMMYFUNCTION("""COMPUTED_VALUE"""),"LT0Q1801VFZV1")</f>
        <v>LT0Q1801VFZV1</v>
      </c>
      <c r="F4147" s="238" t="str">
        <f>IFERROR(__xludf.DUMMYFUNCTION("""COMPUTED_VALUE"""),"EVU2A79,JWK7337")</f>
        <v>EVU2A79,JWK7337</v>
      </c>
      <c r="G4147" s="238">
        <f>IFERROR(__xludf.DUMMYFUNCTION("""COMPUTED_VALUE"""),46030.04236111111)</f>
        <v>46030.04236</v>
      </c>
      <c r="H4147" s="238">
        <f>IFERROR(__xludf.DUMMYFUNCTION("""COMPUTED_VALUE"""),46030.16666666667)</f>
        <v>46030.16667</v>
      </c>
      <c r="I4147" s="237" t="str">
        <f t="shared" si="1"/>
        <v>Fora</v>
      </c>
      <c r="J4147" s="239">
        <v>120.00000001396984</v>
      </c>
    </row>
    <row r="4148">
      <c r="A4148" s="234" t="s">
        <v>5306</v>
      </c>
      <c r="B4148" s="234" t="str">
        <f>IFERROR(__xludf.DUMMYFUNCTION("""COMPUTED_VALUE"""),"LM Hub_SP_Tatuí")</f>
        <v>LM Hub_SP_Tatuí</v>
      </c>
      <c r="C4148" s="234" t="str">
        <f>IFERROR(__xludf.DUMMYFUNCTION("""COMPUTED_VALUE"""),"HUB-LSP-51")</f>
        <v>HUB-LSP-51</v>
      </c>
      <c r="D4148" s="234"/>
      <c r="E4148" s="237" t="str">
        <f>IFERROR(__xludf.DUMMYFUNCTION("""COMPUTED_VALUE"""),"LT0Q1801VFJI1")</f>
        <v>LT0Q1801VFJI1</v>
      </c>
      <c r="F4148" s="238" t="str">
        <f>IFERROR(__xludf.DUMMYFUNCTION("""COMPUTED_VALUE"""),"STO4D24,SWV4F52")</f>
        <v>STO4D24,SWV4F52</v>
      </c>
      <c r="G4148" s="238">
        <f>IFERROR(__xludf.DUMMYFUNCTION("""COMPUTED_VALUE"""),46030.08333333333)</f>
        <v>46030.08333</v>
      </c>
      <c r="H4148" s="238">
        <f>IFERROR(__xludf.DUMMYFUNCTION("""COMPUTED_VALUE"""),46030.16666666667)</f>
        <v>46030.16667</v>
      </c>
      <c r="I4148" s="237" t="str">
        <f t="shared" si="1"/>
        <v>Fora</v>
      </c>
      <c r="J4148" s="239">
        <v>120.00000001396984</v>
      </c>
    </row>
    <row r="4149">
      <c r="A4149" s="234" t="s">
        <v>5307</v>
      </c>
      <c r="B4149" s="234" t="str">
        <f>IFERROR(__xludf.DUMMYFUNCTION("""COMPUTED_VALUE"""),"LM Hub_SP_Tatuí")</f>
        <v>LM Hub_SP_Tatuí</v>
      </c>
      <c r="C4149" s="234" t="str">
        <f>IFERROR(__xludf.DUMMYFUNCTION("""COMPUTED_VALUE"""),"HUB-LSP-51")</f>
        <v>HUB-LSP-51</v>
      </c>
      <c r="D4149" s="234">
        <f>IFERROR(__xludf.DUMMYFUNCTION("""COMPUTED_VALUE"""),23.0)</f>
        <v>23</v>
      </c>
      <c r="E4149" s="237" t="str">
        <f>IFERROR(__xludf.DUMMYFUNCTION("""COMPUTED_VALUE"""),"LT0Q1801VFJJ2")</f>
        <v>LT0Q1801VFJJ2</v>
      </c>
      <c r="F4149" s="238" t="str">
        <f>IFERROR(__xludf.DUMMYFUNCTION("""COMPUTED_VALUE"""),"SVD8C95,SWW6E22")</f>
        <v>SVD8C95,SWW6E22</v>
      </c>
      <c r="G4149" s="238">
        <f>IFERROR(__xludf.DUMMYFUNCTION("""COMPUTED_VALUE"""),46030.08333333333)</f>
        <v>46030.08333</v>
      </c>
      <c r="H4149" s="238">
        <f>IFERROR(__xludf.DUMMYFUNCTION("""COMPUTED_VALUE"""),46030.16666666667)</f>
        <v>46030.16667</v>
      </c>
      <c r="I4149" s="237" t="str">
        <f t="shared" si="1"/>
        <v>Fora</v>
      </c>
      <c r="J4149" s="239">
        <v>119.99999999301508</v>
      </c>
    </row>
    <row r="4150">
      <c r="A4150" s="234" t="s">
        <v>5308</v>
      </c>
      <c r="B4150" s="234" t="str">
        <f>IFERROR(__xludf.DUMMYFUNCTION("""COMPUTED_VALUE"""),"LM Hub_SP_Itapetininga")</f>
        <v>LM Hub_SP_Itapetininga</v>
      </c>
      <c r="C4150" s="234" t="str">
        <f>IFERROR(__xludf.DUMMYFUNCTION("""COMPUTED_VALUE"""),"HUB-LSP-53")</f>
        <v>HUB-LSP-53</v>
      </c>
      <c r="D4150" s="234">
        <f>IFERROR(__xludf.DUMMYFUNCTION("""COMPUTED_VALUE"""),37.0)</f>
        <v>37</v>
      </c>
      <c r="E4150" s="237" t="str">
        <f>IFERROR(__xludf.DUMMYFUNCTION("""COMPUTED_VALUE"""),"LT0Q1801VFJF1")</f>
        <v>LT0Q1801VFJF1</v>
      </c>
      <c r="F4150" s="238" t="str">
        <f>IFERROR(__xludf.DUMMYFUNCTION("""COMPUTED_VALUE"""),"FZY3F48")</f>
        <v>FZY3F48</v>
      </c>
      <c r="G4150" s="238">
        <f>IFERROR(__xludf.DUMMYFUNCTION("""COMPUTED_VALUE"""),46030.10416666667)</f>
        <v>46030.10417</v>
      </c>
      <c r="H4150" s="238">
        <f>IFERROR(__xludf.DUMMYFUNCTION("""COMPUTED_VALUE"""),46030.1875)</f>
        <v>46030.1875</v>
      </c>
      <c r="I4150" s="237" t="str">
        <f t="shared" si="1"/>
        <v>Fora</v>
      </c>
      <c r="J4150" s="239">
        <v>119.99999999301508</v>
      </c>
    </row>
    <row r="4151">
      <c r="A4151" s="234" t="s">
        <v>5309</v>
      </c>
      <c r="B4151" s="234" t="str">
        <f>IFERROR(__xludf.DUMMYFUNCTION("""COMPUTED_VALUE"""),"LM Hub_SP_São Carlos")</f>
        <v>LM Hub_SP_São Carlos</v>
      </c>
      <c r="C4151" s="234" t="str">
        <f>IFERROR(__xludf.DUMMYFUNCTION("""COMPUTED_VALUE"""),"HUB-LSP-31")</f>
        <v>HUB-LSP-31</v>
      </c>
      <c r="D4151" s="234">
        <f>IFERROR(__xludf.DUMMYFUNCTION("""COMPUTED_VALUE"""),16.0)</f>
        <v>16</v>
      </c>
      <c r="E4151" s="237" t="str">
        <f>IFERROR(__xludf.DUMMYFUNCTION("""COMPUTED_VALUE"""),"LT0Q1801VFML1")</f>
        <v>LT0Q1801VFML1</v>
      </c>
      <c r="F4151" s="238" t="str">
        <f>IFERROR(__xludf.DUMMYFUNCTION("""COMPUTED_VALUE"""),"QJT4B02")</f>
        <v>QJT4B02</v>
      </c>
      <c r="G4151" s="238">
        <f>IFERROR(__xludf.DUMMYFUNCTION("""COMPUTED_VALUE"""),46030.10416666667)</f>
        <v>46030.10417</v>
      </c>
      <c r="H4151" s="238">
        <f>IFERROR(__xludf.DUMMYFUNCTION("""COMPUTED_VALUE"""),46030.1875)</f>
        <v>46030.1875</v>
      </c>
      <c r="I4151" s="237" t="str">
        <f t="shared" si="1"/>
        <v>Fora</v>
      </c>
      <c r="J4151" s="239">
        <v>540.0</v>
      </c>
    </row>
    <row r="4152">
      <c r="A4152" s="234" t="s">
        <v>5310</v>
      </c>
      <c r="B4152" s="234" t="str">
        <f>IFERROR(__xludf.DUMMYFUNCTION("""COMPUTED_VALUE"""),"SoC_SC_Itajaí")</f>
        <v>SoC_SC_Itajaí</v>
      </c>
      <c r="C4152" s="234" t="str">
        <f>IFERROR(__xludf.DUMMYFUNCTION("""COMPUTED_VALUE"""),"SOC-SC1")</f>
        <v>SOC-SC1</v>
      </c>
      <c r="D4152" s="234">
        <f>IFERROR(__xludf.DUMMYFUNCTION("""COMPUTED_VALUE"""),100.0)</f>
        <v>100</v>
      </c>
      <c r="E4152" s="237" t="str">
        <f>IFERROR(__xludf.DUMMYFUNCTION("""COMPUTED_VALUE"""),"LT0Q1701VK9D2")</f>
        <v>LT0Q1701VK9D2</v>
      </c>
      <c r="F4152" s="238" t="str">
        <f>IFERROR(__xludf.DUMMYFUNCTION("""COMPUTED_VALUE"""),"SXQ1F29,RYM0F98")</f>
        <v>SXQ1F29,RYM0F98</v>
      </c>
      <c r="G4152" s="238">
        <f>IFERROR(__xludf.DUMMYFUNCTION("""COMPUTED_VALUE"""),46029.83333333333)</f>
        <v>46029.83333</v>
      </c>
      <c r="H4152" s="238">
        <f>IFERROR(__xludf.DUMMYFUNCTION("""COMPUTED_VALUE"""),46030.20833333333)</f>
        <v>46030.20833</v>
      </c>
      <c r="I4152" s="237" t="str">
        <f t="shared" si="1"/>
        <v>Fora</v>
      </c>
      <c r="J4152" s="239">
        <v>479.9999999930151</v>
      </c>
    </row>
    <row r="4153">
      <c r="A4153" s="234" t="s">
        <v>5311</v>
      </c>
      <c r="B4153" s="234" t="str">
        <f>IFERROR(__xludf.DUMMYFUNCTION("""COMPUTED_VALUE"""),"SoC_MG_Betim")</f>
        <v>SoC_MG_Betim</v>
      </c>
      <c r="C4153" s="234" t="str">
        <f>IFERROR(__xludf.DUMMYFUNCTION("""COMPUTED_VALUE"""),"SOC-MG2")</f>
        <v>SOC-MG2</v>
      </c>
      <c r="D4153" s="234">
        <f>IFERROR(__xludf.DUMMYFUNCTION("""COMPUTED_VALUE"""),34.0)</f>
        <v>34</v>
      </c>
      <c r="E4153" s="237" t="str">
        <f>IFERROR(__xludf.DUMMYFUNCTION("""COMPUTED_VALUE"""),"LT1Q1701W44G1")</f>
        <v>LT1Q1701W44G1</v>
      </c>
      <c r="F4153" s="238" t="str">
        <f>IFERROR(__xludf.DUMMYFUNCTION("""COMPUTED_VALUE"""),"DPB7C61,FKP5E34")</f>
        <v>DPB7C61,FKP5E34</v>
      </c>
      <c r="G4153" s="238">
        <f>IFERROR(__xludf.DUMMYFUNCTION("""COMPUTED_VALUE"""),46029.875)</f>
        <v>46029.875</v>
      </c>
      <c r="H4153" s="238">
        <f>IFERROR(__xludf.DUMMYFUNCTION("""COMPUTED_VALUE"""),46030.20833333333)</f>
        <v>46030.20833</v>
      </c>
      <c r="I4153" s="237" t="str">
        <f t="shared" si="1"/>
        <v>Fora</v>
      </c>
      <c r="J4153" s="239">
        <v>479.9999999930151</v>
      </c>
    </row>
    <row r="4154">
      <c r="A4154" s="234" t="s">
        <v>5312</v>
      </c>
      <c r="B4154" s="234" t="str">
        <f>IFERROR(__xludf.DUMMYFUNCTION("""COMPUTED_VALUE"""),"SoC_PE_Jaboatão dos Guararapes")</f>
        <v>SoC_PE_Jaboatão dos Guararapes</v>
      </c>
      <c r="C4154" s="234" t="str">
        <f>IFERROR(__xludf.DUMMYFUNCTION("""COMPUTED_VALUE"""),"SOC-PE2")</f>
        <v>SOC-PE2</v>
      </c>
      <c r="D4154" s="234" t="str">
        <f>IFERROR(__xludf.DUMMYFUNCTION("""COMPUTED_VALUE"""),"98/43")</f>
        <v>98/43</v>
      </c>
      <c r="E4154" s="237" t="str">
        <f>IFERROR(__xludf.DUMMYFUNCTION("""COMPUTED_VALUE"""),"LT1Q1701W3PC1")</f>
        <v>LT1Q1701W3PC1</v>
      </c>
      <c r="F4154" s="238" t="str">
        <f>IFERROR(__xludf.DUMMYFUNCTION("""COMPUTED_VALUE"""),"IYV4J79,ARV9A43")</f>
        <v>IYV4J79,ARV9A43</v>
      </c>
      <c r="G4154" s="238">
        <f>IFERROR(__xludf.DUMMYFUNCTION("""COMPUTED_VALUE"""),46029.875)</f>
        <v>46029.875</v>
      </c>
      <c r="H4154" s="238">
        <f>IFERROR(__xludf.DUMMYFUNCTION("""COMPUTED_VALUE"""),46030.20833333333)</f>
        <v>46030.20833</v>
      </c>
      <c r="I4154" s="237" t="str">
        <f t="shared" si="1"/>
        <v>Fora</v>
      </c>
      <c r="J4154" s="239">
        <v>119.99999999301508</v>
      </c>
    </row>
    <row r="4155">
      <c r="A4155" s="234" t="s">
        <v>5313</v>
      </c>
      <c r="B4155" s="234" t="str">
        <f>IFERROR(__xludf.DUMMYFUNCTION("""COMPUTED_VALUE"""),"LM Hub_SP_Itapeva")</f>
        <v>LM Hub_SP_Itapeva</v>
      </c>
      <c r="C4155" s="234" t="str">
        <f>IFERROR(__xludf.DUMMYFUNCTION("""COMPUTED_VALUE"""),"HUB-LSP-39")</f>
        <v>HUB-LSP-39</v>
      </c>
      <c r="D4155" s="234">
        <f>IFERROR(__xludf.DUMMYFUNCTION("""COMPUTED_VALUE"""),28.0)</f>
        <v>28</v>
      </c>
      <c r="E4155" s="237" t="str">
        <f>IFERROR(__xludf.DUMMYFUNCTION("""COMPUTED_VALUE"""),"LT0Q1801VFJQ1")</f>
        <v>LT0Q1801VFJQ1</v>
      </c>
      <c r="F4155" s="238" t="str">
        <f>IFERROR(__xludf.DUMMYFUNCTION("""COMPUTED_VALUE"""),"FCT0F31")</f>
        <v>FCT0F31</v>
      </c>
      <c r="G4155" s="238">
        <f>IFERROR(__xludf.DUMMYFUNCTION("""COMPUTED_VALUE"""),46030.125)</f>
        <v>46030.125</v>
      </c>
      <c r="H4155" s="238">
        <f>IFERROR(__xludf.DUMMYFUNCTION("""COMPUTED_VALUE"""),46030.20833333333)</f>
        <v>46030.20833</v>
      </c>
      <c r="I4155" s="237" t="str">
        <f t="shared" si="1"/>
        <v>Fora</v>
      </c>
      <c r="J4155" s="239">
        <v>119.99999999301508</v>
      </c>
    </row>
    <row r="4156">
      <c r="A4156" s="234" t="s">
        <v>5314</v>
      </c>
      <c r="B4156" s="234" t="str">
        <f>IFERROR(__xludf.DUMMYFUNCTION("""COMPUTED_VALUE"""),"LM Hub_SP_Sumaré_Nova Veneza_1")</f>
        <v>LM Hub_SP_Sumaré_Nova Veneza_1</v>
      </c>
      <c r="C4156" s="234" t="str">
        <f>IFERROR(__xludf.DUMMYFUNCTION("""COMPUTED_VALUE"""),"HUB-LSP-88")</f>
        <v>HUB-LSP-88</v>
      </c>
      <c r="D4156" s="234">
        <f>IFERROR(__xludf.DUMMYFUNCTION("""COMPUTED_VALUE"""),24.0)</f>
        <v>24</v>
      </c>
      <c r="E4156" s="237" t="str">
        <f>IFERROR(__xludf.DUMMYFUNCTION("""COMPUTED_VALUE"""),"LT0Q1801VKT51")</f>
        <v>LT0Q1801VKT51</v>
      </c>
      <c r="F4156" s="238" t="str">
        <f>IFERROR(__xludf.DUMMYFUNCTION("""COMPUTED_VALUE"""),"EGJ9547")</f>
        <v>EGJ9547</v>
      </c>
      <c r="G4156" s="238">
        <f>IFERROR(__xludf.DUMMYFUNCTION("""COMPUTED_VALUE"""),46030.125)</f>
        <v>46030.125</v>
      </c>
      <c r="H4156" s="238">
        <f>IFERROR(__xludf.DUMMYFUNCTION("""COMPUTED_VALUE"""),46030.20833333333)</f>
        <v>46030.20833</v>
      </c>
      <c r="I4156" s="237" t="str">
        <f t="shared" si="1"/>
        <v>Fora</v>
      </c>
      <c r="J4156" s="239">
        <v>119.99999999301508</v>
      </c>
    </row>
    <row r="4157">
      <c r="A4157" s="234" t="s">
        <v>5315</v>
      </c>
      <c r="B4157" s="234" t="str">
        <f>IFERROR(__xludf.DUMMYFUNCTION("""COMPUTED_VALUE"""),"SoC_PE_Jaboatão dos Guararapes")</f>
        <v>SoC_PE_Jaboatão dos Guararapes</v>
      </c>
      <c r="C4157" s="234" t="str">
        <f>IFERROR(__xludf.DUMMYFUNCTION("""COMPUTED_VALUE"""),"SOC-PE2")</f>
        <v>SOC-PE2</v>
      </c>
      <c r="D4157" s="234">
        <f>IFERROR(__xludf.DUMMYFUNCTION("""COMPUTED_VALUE"""),113.0)</f>
        <v>113</v>
      </c>
      <c r="E4157" s="237" t="str">
        <f>IFERROR(__xludf.DUMMYFUNCTION("""COMPUTED_VALUE"""),"LT1Q1801W4LR1")</f>
        <v>LT1Q1801W4LR1</v>
      </c>
      <c r="F4157" s="238" t="str">
        <f>IFERROR(__xludf.DUMMYFUNCTION("""COMPUTED_VALUE"""),"QUV9226,THE8F47")</f>
        <v>QUV9226,THE8F47</v>
      </c>
      <c r="G4157" s="238">
        <f>IFERROR(__xludf.DUMMYFUNCTION("""COMPUTED_VALUE"""),46030.125)</f>
        <v>46030.125</v>
      </c>
      <c r="H4157" s="238">
        <f>IFERROR(__xludf.DUMMYFUNCTION("""COMPUTED_VALUE"""),46030.20833333333)</f>
        <v>46030.20833</v>
      </c>
      <c r="I4157" s="237" t="str">
        <f t="shared" si="1"/>
        <v>Fora</v>
      </c>
      <c r="J4157" s="239">
        <v>119.99999999301508</v>
      </c>
    </row>
    <row r="4158">
      <c r="A4158" s="234" t="s">
        <v>5316</v>
      </c>
      <c r="B4158" s="234" t="str">
        <f>IFERROR(__xludf.DUMMYFUNCTION("""COMPUTED_VALUE"""),"SoC_PR_Curitiba")</f>
        <v>SoC_PR_Curitiba</v>
      </c>
      <c r="C4158" s="234" t="str">
        <f>IFERROR(__xludf.DUMMYFUNCTION("""COMPUTED_VALUE"""),"SOC-PR1")</f>
        <v>SOC-PR1</v>
      </c>
      <c r="D4158" s="234"/>
      <c r="E4158" s="237" t="str">
        <f>IFERROR(__xludf.DUMMYFUNCTION("""COMPUTED_VALUE"""),"LT1Q1801W44I1")</f>
        <v>LT1Q1801W44I1</v>
      </c>
      <c r="F4158" s="238" t="str">
        <f>IFERROR(__xludf.DUMMYFUNCTION("""COMPUTED_VALUE"""),"TAO3B10,UED4G88")</f>
        <v>TAO3B10,UED4G88</v>
      </c>
      <c r="G4158" s="238">
        <f>IFERROR(__xludf.DUMMYFUNCTION("""COMPUTED_VALUE"""),46030.125)</f>
        <v>46030.125</v>
      </c>
      <c r="H4158" s="238">
        <f>IFERROR(__xludf.DUMMYFUNCTION("""COMPUTED_VALUE"""),46030.20833333333)</f>
        <v>46030.20833</v>
      </c>
      <c r="I4158" s="237" t="str">
        <f t="shared" si="1"/>
        <v>Fora</v>
      </c>
      <c r="J4158" s="239">
        <v>119.99999999301508</v>
      </c>
    </row>
    <row r="4159">
      <c r="A4159" s="234" t="s">
        <v>5317</v>
      </c>
      <c r="B4159" s="234" t="str">
        <f>IFERROR(__xludf.DUMMYFUNCTION("""COMPUTED_VALUE"""),"SoC_PR_Curitiba")</f>
        <v>SoC_PR_Curitiba</v>
      </c>
      <c r="C4159" s="234" t="str">
        <f>IFERROR(__xludf.DUMMYFUNCTION("""COMPUTED_VALUE"""),"SOC-PR1")</f>
        <v>SOC-PR1</v>
      </c>
      <c r="D4159" s="234">
        <f>IFERROR(__xludf.DUMMYFUNCTION("""COMPUTED_VALUE"""),19.0)</f>
        <v>19</v>
      </c>
      <c r="E4159" s="237" t="str">
        <f>IFERROR(__xludf.DUMMYFUNCTION("""COMPUTED_VALUE"""),"LT1Q1801W44J1")</f>
        <v>LT1Q1801W44J1</v>
      </c>
      <c r="F4159" s="238" t="str">
        <f>IFERROR(__xludf.DUMMYFUNCTION("""COMPUTED_VALUE"""),"IZY6B87,ISK0H44")</f>
        <v>IZY6B87,ISK0H44</v>
      </c>
      <c r="G4159" s="238">
        <f>IFERROR(__xludf.DUMMYFUNCTION("""COMPUTED_VALUE"""),46030.125)</f>
        <v>46030.125</v>
      </c>
      <c r="H4159" s="238">
        <f>IFERROR(__xludf.DUMMYFUNCTION("""COMPUTED_VALUE"""),46030.20833333333)</f>
        <v>46030.20833</v>
      </c>
      <c r="I4159" s="237" t="str">
        <f t="shared" si="1"/>
        <v>Fora</v>
      </c>
      <c r="J4159" s="239">
        <v>119.99999999301508</v>
      </c>
    </row>
    <row r="4160">
      <c r="A4160" s="234" t="s">
        <v>741</v>
      </c>
      <c r="B4160" s="234" t="str">
        <f>IFERROR(__xludf.DUMMYFUNCTION("""COMPUTED_VALUE"""),"SoC_SP_Guarulhos")</f>
        <v>SoC_SP_Guarulhos</v>
      </c>
      <c r="C4160" s="234" t="str">
        <f>IFERROR(__xludf.DUMMYFUNCTION("""COMPUTED_VALUE"""),"SOC-SP6")</f>
        <v>SOC-SP6</v>
      </c>
      <c r="D4160" s="234">
        <f>IFERROR(__xludf.DUMMYFUNCTION("""COMPUTED_VALUE"""),16.0)</f>
        <v>16</v>
      </c>
      <c r="E4160" s="237" t="str">
        <f>IFERROR(__xludf.DUMMYFUNCTION("""COMPUTED_VALUE"""),"LT0Q1801VGGI1")</f>
        <v>LT0Q1801VGGI1</v>
      </c>
      <c r="F4160" s="238" t="str">
        <f>IFERROR(__xludf.DUMMYFUNCTION("""COMPUTED_VALUE"""),"CUC6J82,CUB1E64")</f>
        <v>CUC6J82,CUB1E64</v>
      </c>
      <c r="G4160" s="238">
        <f>IFERROR(__xludf.DUMMYFUNCTION("""COMPUTED_VALUE"""),46030.125)</f>
        <v>46030.125</v>
      </c>
      <c r="H4160" s="238">
        <f>IFERROR(__xludf.DUMMYFUNCTION("""COMPUTED_VALUE"""),46030.20833333333)</f>
        <v>46030.20833</v>
      </c>
      <c r="I4160" s="237" t="str">
        <f t="shared" si="1"/>
        <v>Fora</v>
      </c>
      <c r="J4160" s="239">
        <v>120.00000001396984</v>
      </c>
    </row>
    <row r="4161">
      <c r="A4161" s="234" t="s">
        <v>5318</v>
      </c>
      <c r="B4161" s="234" t="str">
        <f>IFERROR(__xludf.DUMMYFUNCTION("""COMPUTED_VALUE"""),"LM Hub_SP_Campinas_São Martinho")</f>
        <v>LM Hub_SP_Campinas_São Martinho</v>
      </c>
      <c r="C4161" s="234" t="str">
        <f>IFERROR(__xludf.DUMMYFUNCTION("""COMPUTED_VALUE"""),"HUB-LSP-19")</f>
        <v>HUB-LSP-19</v>
      </c>
      <c r="D4161" s="234">
        <f>IFERROR(__xludf.DUMMYFUNCTION("""COMPUTED_VALUE"""),26.0)</f>
        <v>26</v>
      </c>
      <c r="E4161" s="237" t="str">
        <f>IFERROR(__xludf.DUMMYFUNCTION("""COMPUTED_VALUE"""),"LT0Q1801VFO11")</f>
        <v>LT0Q1801VFO11</v>
      </c>
      <c r="F4161" s="238" t="str">
        <f>IFERROR(__xludf.DUMMYFUNCTION("""COMPUTED_VALUE"""),"DTC8058")</f>
        <v>DTC8058</v>
      </c>
      <c r="G4161" s="238">
        <f>IFERROR(__xludf.DUMMYFUNCTION("""COMPUTED_VALUE"""),46030.14583333333)</f>
        <v>46030.14583</v>
      </c>
      <c r="H4161" s="238">
        <f>IFERROR(__xludf.DUMMYFUNCTION("""COMPUTED_VALUE"""),46030.22916666667)</f>
        <v>46030.22917</v>
      </c>
      <c r="I4161" s="237" t="str">
        <f t="shared" si="1"/>
        <v>Fora</v>
      </c>
      <c r="J4161" s="239">
        <v>120.00000001396984</v>
      </c>
    </row>
    <row r="4162">
      <c r="A4162" s="234" t="s">
        <v>5319</v>
      </c>
      <c r="B4162" s="234" t="str">
        <f>IFERROR(__xludf.DUMMYFUNCTION("""COMPUTED_VALUE"""),"LM Hub_SP_Mogi Mirim")</f>
        <v>LM Hub_SP_Mogi Mirim</v>
      </c>
      <c r="C4162" s="234" t="str">
        <f>IFERROR(__xludf.DUMMYFUNCTION("""COMPUTED_VALUE"""),"HUB-LSP-37")</f>
        <v>HUB-LSP-37</v>
      </c>
      <c r="D4162" s="234">
        <f>IFERROR(__xludf.DUMMYFUNCTION("""COMPUTED_VALUE"""),40.0)</f>
        <v>40</v>
      </c>
      <c r="E4162" s="237" t="str">
        <f>IFERROR(__xludf.DUMMYFUNCTION("""COMPUTED_VALUE"""),"LT0Q1801VFMW1")</f>
        <v>LT0Q1801VFMW1</v>
      </c>
      <c r="F4162" s="238" t="str">
        <f>IFERROR(__xludf.DUMMYFUNCTION("""COMPUTED_VALUE"""),"FKB6C94")</f>
        <v>FKB6C94</v>
      </c>
      <c r="G4162" s="238">
        <f>IFERROR(__xludf.DUMMYFUNCTION("""COMPUTED_VALUE"""),46030.14583333333)</f>
        <v>46030.14583</v>
      </c>
      <c r="H4162" s="238">
        <f>IFERROR(__xludf.DUMMYFUNCTION("""COMPUTED_VALUE"""),46030.22916666667)</f>
        <v>46030.22917</v>
      </c>
      <c r="I4162" s="237" t="str">
        <f t="shared" si="1"/>
        <v>Fora</v>
      </c>
      <c r="J4162" s="239">
        <v>479.9999999930151</v>
      </c>
    </row>
    <row r="4163">
      <c r="A4163" s="234" t="s">
        <v>708</v>
      </c>
      <c r="B4163" s="234" t="str">
        <f>IFERROR(__xludf.DUMMYFUNCTION("""COMPUTED_VALUE"""),"SoC_BA_Simoes Filho")</f>
        <v>SoC_BA_Simoes Filho</v>
      </c>
      <c r="C4163" s="234" t="str">
        <f>IFERROR(__xludf.DUMMYFUNCTION("""COMPUTED_VALUE"""),"SOC-BA2")</f>
        <v>SOC-BA2</v>
      </c>
      <c r="D4163" s="234">
        <f>IFERROR(__xludf.DUMMYFUNCTION("""COMPUTED_VALUE"""),89.0)</f>
        <v>89</v>
      </c>
      <c r="E4163" s="237" t="str">
        <f>IFERROR(__xludf.DUMMYFUNCTION("""COMPUTED_VALUE"""),"LT1Q1701W44O1")</f>
        <v>LT1Q1701W44O1</v>
      </c>
      <c r="F4163" s="238" t="str">
        <f>IFERROR(__xludf.DUMMYFUNCTION("""COMPUTED_VALUE"""),"FYN5H29,GAH2J06")</f>
        <v>FYN5H29,GAH2J06</v>
      </c>
      <c r="G4163" s="238">
        <f>IFERROR(__xludf.DUMMYFUNCTION("""COMPUTED_VALUE"""),46029.91666666667)</f>
        <v>46029.91667</v>
      </c>
      <c r="H4163" s="238">
        <f>IFERROR(__xludf.DUMMYFUNCTION("""COMPUTED_VALUE"""),46030.25)</f>
        <v>46030.25</v>
      </c>
      <c r="I4163" s="237" t="str">
        <f t="shared" si="1"/>
        <v>Fora</v>
      </c>
      <c r="J4163" s="239">
        <v>479.9999999930151</v>
      </c>
    </row>
    <row r="4164">
      <c r="A4164" s="234" t="s">
        <v>5320</v>
      </c>
      <c r="B4164" s="234" t="str">
        <f>IFERROR(__xludf.DUMMYFUNCTION("""COMPUTED_VALUE"""),"SoC_GO_Goiânia_02")</f>
        <v>SoC_GO_Goiânia_02</v>
      </c>
      <c r="C4164" s="234" t="str">
        <f>IFERROR(__xludf.DUMMYFUNCTION("""COMPUTED_VALUE"""),"SOC-GO2")</f>
        <v>SOC-GO2</v>
      </c>
      <c r="D4164" s="234">
        <f>IFERROR(__xludf.DUMMYFUNCTION("""COMPUTED_VALUE"""),113.0)</f>
        <v>113</v>
      </c>
      <c r="E4164" s="237" t="str">
        <f>IFERROR(__xludf.DUMMYFUNCTION("""COMPUTED_VALUE"""),"LT1Q1701W44U1")</f>
        <v>LT1Q1701W44U1</v>
      </c>
      <c r="F4164" s="238" t="str">
        <f>IFERROR(__xludf.DUMMYFUNCTION("""COMPUTED_VALUE"""),"QCQ2H50,ELW5B99")</f>
        <v>QCQ2H50,ELW5B99</v>
      </c>
      <c r="G4164" s="238">
        <f>IFERROR(__xludf.DUMMYFUNCTION("""COMPUTED_VALUE"""),46029.91666666667)</f>
        <v>46029.91667</v>
      </c>
      <c r="H4164" s="238">
        <f>IFERROR(__xludf.DUMMYFUNCTION("""COMPUTED_VALUE"""),46030.25)</f>
        <v>46030.25</v>
      </c>
      <c r="I4164" s="237" t="str">
        <f t="shared" si="1"/>
        <v>Fora</v>
      </c>
      <c r="J4164" s="239">
        <v>479.9999999930151</v>
      </c>
    </row>
    <row r="4165">
      <c r="A4165" s="234" t="s">
        <v>5321</v>
      </c>
      <c r="B4165" s="234" t="str">
        <f>IFERROR(__xludf.DUMMYFUNCTION("""COMPUTED_VALUE"""),"SoC_RJ_Duque de Caxias")</f>
        <v>SoC_RJ_Duque de Caxias</v>
      </c>
      <c r="C4165" s="234" t="str">
        <f>IFERROR(__xludf.DUMMYFUNCTION("""COMPUTED_VALUE"""),"SOC-RJ2")</f>
        <v>SOC-RJ2</v>
      </c>
      <c r="D4165" s="234">
        <f>IFERROR(__xludf.DUMMYFUNCTION("""COMPUTED_VALUE"""),96.0)</f>
        <v>96</v>
      </c>
      <c r="E4165" s="237" t="str">
        <f>IFERROR(__xludf.DUMMYFUNCTION("""COMPUTED_VALUE"""),"LT1Q1701W4481")</f>
        <v>LT1Q1701W4481</v>
      </c>
      <c r="F4165" s="238" t="str">
        <f>IFERROR(__xludf.DUMMYFUNCTION("""COMPUTED_VALUE"""),"EPU5C78,TIV0I78")</f>
        <v>EPU5C78,TIV0I78</v>
      </c>
      <c r="G4165" s="238">
        <f>IFERROR(__xludf.DUMMYFUNCTION("""COMPUTED_VALUE"""),46029.91666666667)</f>
        <v>46029.91667</v>
      </c>
      <c r="H4165" s="238">
        <f>IFERROR(__xludf.DUMMYFUNCTION("""COMPUTED_VALUE"""),46030.25)</f>
        <v>46030.25</v>
      </c>
      <c r="I4165" s="237" t="str">
        <f t="shared" si="1"/>
        <v>Fora</v>
      </c>
      <c r="J4165" s="239">
        <v>479.9999999930151</v>
      </c>
    </row>
    <row r="4166">
      <c r="A4166" s="234" t="s">
        <v>5322</v>
      </c>
      <c r="B4166" s="234" t="str">
        <f>IFERROR(__xludf.DUMMYFUNCTION("""COMPUTED_VALUE"""),"SoC_RS_Gravataí_02")</f>
        <v>SoC_RS_Gravataí_02</v>
      </c>
      <c r="C4166" s="234" t="str">
        <f>IFERROR(__xludf.DUMMYFUNCTION("""COMPUTED_VALUE"""),"SOC-RS2")</f>
        <v>SOC-RS2</v>
      </c>
      <c r="D4166" s="234">
        <f>IFERROR(__xludf.DUMMYFUNCTION("""COMPUTED_VALUE"""),104.0)</f>
        <v>104</v>
      </c>
      <c r="E4166" s="237" t="str">
        <f>IFERROR(__xludf.DUMMYFUNCTION("""COMPUTED_VALUE"""),"LT1Q1701W44Q1")</f>
        <v>LT1Q1701W44Q1</v>
      </c>
      <c r="F4166" s="238" t="str">
        <f>IFERROR(__xludf.DUMMYFUNCTION("""COMPUTED_VALUE"""),"ITH4D64,IOV2469")</f>
        <v>ITH4D64,IOV2469</v>
      </c>
      <c r="G4166" s="238">
        <f>IFERROR(__xludf.DUMMYFUNCTION("""COMPUTED_VALUE"""),46029.91666666667)</f>
        <v>46029.91667</v>
      </c>
      <c r="H4166" s="238">
        <f>IFERROR(__xludf.DUMMYFUNCTION("""COMPUTED_VALUE"""),46030.25)</f>
        <v>46030.25</v>
      </c>
      <c r="I4166" s="237" t="str">
        <f t="shared" si="1"/>
        <v>Fora</v>
      </c>
      <c r="J4166" s="239">
        <v>119.99999999301508</v>
      </c>
    </row>
    <row r="4167">
      <c r="A4167" s="234" t="s">
        <v>709</v>
      </c>
      <c r="B4167" s="234" t="str">
        <f>IFERROR(__xludf.DUMMYFUNCTION("""COMPUTED_VALUE"""),"LM Hub_SP_Guaratinguetá")</f>
        <v>LM Hub_SP_Guaratinguetá</v>
      </c>
      <c r="C4167" s="234" t="str">
        <f>IFERROR(__xludf.DUMMYFUNCTION("""COMPUTED_VALUE"""),"HUB-LSP-33")</f>
        <v>HUB-LSP-33</v>
      </c>
      <c r="D4167" s="234">
        <f>IFERROR(__xludf.DUMMYFUNCTION("""COMPUTED_VALUE"""),9.0)</f>
        <v>9</v>
      </c>
      <c r="E4167" s="237" t="str">
        <f>IFERROR(__xludf.DUMMYFUNCTION("""COMPUTED_VALUE"""),"LT0Q1801VFKL1")</f>
        <v>LT0Q1801VFKL1</v>
      </c>
      <c r="F4167" s="238" t="str">
        <f>IFERROR(__xludf.DUMMYFUNCTION("""COMPUTED_VALUE"""),"FLN0H65,FTJ9A92")</f>
        <v>FLN0H65,FTJ9A92</v>
      </c>
      <c r="G4167" s="238">
        <f>IFERROR(__xludf.DUMMYFUNCTION("""COMPUTED_VALUE"""),46030.16666666667)</f>
        <v>46030.16667</v>
      </c>
      <c r="H4167" s="238">
        <f>IFERROR(__xludf.DUMMYFUNCTION("""COMPUTED_VALUE"""),46030.25)</f>
        <v>46030.25</v>
      </c>
      <c r="I4167" s="237" t="str">
        <f t="shared" si="1"/>
        <v>Fora</v>
      </c>
      <c r="J4167" s="239">
        <v>119.99999999301508</v>
      </c>
    </row>
    <row r="4168">
      <c r="A4168" s="234" t="s">
        <v>710</v>
      </c>
      <c r="B4168" s="234" t="str">
        <f>IFERROR(__xludf.DUMMYFUNCTION("""COMPUTED_VALUE"""),"LM Hub_SP_Limeira_Campo Belo")</f>
        <v>LM Hub_SP_Limeira_Campo Belo</v>
      </c>
      <c r="C4168" s="234" t="str">
        <f>IFERROR(__xludf.DUMMYFUNCTION("""COMPUTED_VALUE"""),"HUB-LSP-24")</f>
        <v>HUB-LSP-24</v>
      </c>
      <c r="D4168" s="234">
        <f>IFERROR(__xludf.DUMMYFUNCTION("""COMPUTED_VALUE"""),8.0)</f>
        <v>8</v>
      </c>
      <c r="E4168" s="237" t="str">
        <f>IFERROR(__xludf.DUMMYFUNCTION("""COMPUTED_VALUE"""),"LT0Q1801VFLU1")</f>
        <v>LT0Q1801VFLU1</v>
      </c>
      <c r="F4168" s="238" t="str">
        <f>IFERROR(__xludf.DUMMYFUNCTION("""COMPUTED_VALUE"""),"UGF1A20")</f>
        <v>UGF1A20</v>
      </c>
      <c r="G4168" s="238">
        <f>IFERROR(__xludf.DUMMYFUNCTION("""COMPUTED_VALUE"""),46030.16666666667)</f>
        <v>46030.16667</v>
      </c>
      <c r="H4168" s="238">
        <f>IFERROR(__xludf.DUMMYFUNCTION("""COMPUTED_VALUE"""),46030.25)</f>
        <v>46030.25</v>
      </c>
      <c r="I4168" s="237" t="str">
        <f t="shared" si="1"/>
        <v>Fora</v>
      </c>
      <c r="J4168" s="239">
        <v>119.99999999301508</v>
      </c>
    </row>
    <row r="4169">
      <c r="A4169" s="234" t="s">
        <v>711</v>
      </c>
      <c r="B4169" s="234" t="str">
        <f>IFERROR(__xludf.DUMMYFUNCTION("""COMPUTED_VALUE"""),"LM Hub_SP_Registro")</f>
        <v>LM Hub_SP_Registro</v>
      </c>
      <c r="C4169" s="234" t="str">
        <f>IFERROR(__xludf.DUMMYFUNCTION("""COMPUTED_VALUE"""),"HUB-LSP-40")</f>
        <v>HUB-LSP-40</v>
      </c>
      <c r="D4169" s="234">
        <f>IFERROR(__xludf.DUMMYFUNCTION("""COMPUTED_VALUE"""),5.0)</f>
        <v>5</v>
      </c>
      <c r="E4169" s="237" t="str">
        <f>IFERROR(__xludf.DUMMYFUNCTION("""COMPUTED_VALUE"""),"LT0Q1801VFKB1")</f>
        <v>LT0Q1801VFKB1</v>
      </c>
      <c r="F4169" s="238" t="str">
        <f>IFERROR(__xludf.DUMMYFUNCTION("""COMPUTED_VALUE"""),"DSS2A37")</f>
        <v>DSS2A37</v>
      </c>
      <c r="G4169" s="238">
        <f>IFERROR(__xludf.DUMMYFUNCTION("""COMPUTED_VALUE"""),46030.16666666667)</f>
        <v>46030.16667</v>
      </c>
      <c r="H4169" s="238">
        <f>IFERROR(__xludf.DUMMYFUNCTION("""COMPUTED_VALUE"""),46030.25)</f>
        <v>46030.25</v>
      </c>
      <c r="I4169" s="237" t="str">
        <f t="shared" si="1"/>
        <v>Fora</v>
      </c>
      <c r="J4169" s="239">
        <v>119.99999999301508</v>
      </c>
    </row>
    <row r="4170">
      <c r="A4170" s="234" t="s">
        <v>712</v>
      </c>
      <c r="B4170" s="234" t="str">
        <f>IFERROR(__xludf.DUMMYFUNCTION("""COMPUTED_VALUE"""),"LM Hub_SP_São Bernardo do Campo")</f>
        <v>LM Hub_SP_São Bernardo do Campo</v>
      </c>
      <c r="C4170" s="234" t="str">
        <f>IFERROR(__xludf.DUMMYFUNCTION("""COMPUTED_VALUE"""),"HUB-LSP-79")</f>
        <v>HUB-LSP-79</v>
      </c>
      <c r="D4170" s="234">
        <f>IFERROR(__xludf.DUMMYFUNCTION("""COMPUTED_VALUE"""),44.0)</f>
        <v>44</v>
      </c>
      <c r="E4170" s="237" t="str">
        <f>IFERROR(__xludf.DUMMYFUNCTION("""COMPUTED_VALUE"""),"LT0Q1801VR701")</f>
        <v>LT0Q1801VR701</v>
      </c>
      <c r="F4170" s="238" t="str">
        <f>IFERROR(__xludf.DUMMYFUNCTION("""COMPUTED_VALUE"""),"FDZ3A56,KVS1392")</f>
        <v>FDZ3A56,KVS1392</v>
      </c>
      <c r="G4170" s="238">
        <f>IFERROR(__xludf.DUMMYFUNCTION("""COMPUTED_VALUE"""),46030.16666666667)</f>
        <v>46030.16667</v>
      </c>
      <c r="H4170" s="238">
        <f>IFERROR(__xludf.DUMMYFUNCTION("""COMPUTED_VALUE"""),46030.25)</f>
        <v>46030.25</v>
      </c>
      <c r="I4170" s="237" t="str">
        <f t="shared" si="1"/>
        <v>Fora</v>
      </c>
      <c r="J4170" s="239">
        <v>119.99999999301508</v>
      </c>
    </row>
    <row r="4171">
      <c r="A4171" s="234" t="s">
        <v>713</v>
      </c>
      <c r="B4171" s="234" t="str">
        <f>IFERROR(__xludf.DUMMYFUNCTION("""COMPUTED_VALUE"""),"LM Hub_SP_Várzea Paulista")</f>
        <v>LM Hub_SP_Várzea Paulista</v>
      </c>
      <c r="C4171" s="234" t="str">
        <f>IFERROR(__xludf.DUMMYFUNCTION("""COMPUTED_VALUE"""),"HUB-LSP-61")</f>
        <v>HUB-LSP-61</v>
      </c>
      <c r="D4171" s="234">
        <f>IFERROR(__xludf.DUMMYFUNCTION("""COMPUTED_VALUE"""),6.0)</f>
        <v>6</v>
      </c>
      <c r="E4171" s="237" t="str">
        <f>IFERROR(__xludf.DUMMYFUNCTION("""COMPUTED_VALUE"""),"LT0Q1801VFM41")</f>
        <v>LT0Q1801VFM41</v>
      </c>
      <c r="F4171" s="238" t="str">
        <f>IFERROR(__xludf.DUMMYFUNCTION("""COMPUTED_VALUE"""),"LRU5J40")</f>
        <v>LRU5J40</v>
      </c>
      <c r="G4171" s="238">
        <f>IFERROR(__xludf.DUMMYFUNCTION("""COMPUTED_VALUE"""),46030.16666666667)</f>
        <v>46030.16667</v>
      </c>
      <c r="H4171" s="238">
        <f>IFERROR(__xludf.DUMMYFUNCTION("""COMPUTED_VALUE"""),46030.25)</f>
        <v>46030.25</v>
      </c>
      <c r="I4171" s="237" t="str">
        <f t="shared" si="1"/>
        <v>Fora</v>
      </c>
      <c r="J4171" s="239">
        <v>119.99999999301508</v>
      </c>
    </row>
    <row r="4172">
      <c r="A4172" s="234" t="s">
        <v>714</v>
      </c>
      <c r="B4172" s="234" t="str">
        <f>IFERROR(__xludf.DUMMYFUNCTION("""COMPUTED_VALUE"""),"SoC_PR_Curitiba")</f>
        <v>SoC_PR_Curitiba</v>
      </c>
      <c r="C4172" s="234" t="str">
        <f>IFERROR(__xludf.DUMMYFUNCTION("""COMPUTED_VALUE"""),"SOC-PR1")</f>
        <v>SOC-PR1</v>
      </c>
      <c r="D4172" s="234">
        <f>IFERROR(__xludf.DUMMYFUNCTION("""COMPUTED_VALUE"""),18.0)</f>
        <v>18</v>
      </c>
      <c r="E4172" s="237" t="str">
        <f>IFERROR(__xludf.DUMMYFUNCTION("""COMPUTED_VALUE"""),"LT0Q1801VFFK1")</f>
        <v>LT0Q1801VFFK1</v>
      </c>
      <c r="F4172" s="238" t="str">
        <f>IFERROR(__xludf.DUMMYFUNCTION("""COMPUTED_VALUE"""),"RAG7228,RYZ0F99")</f>
        <v>RAG7228,RYZ0F99</v>
      </c>
      <c r="G4172" s="238">
        <f>IFERROR(__xludf.DUMMYFUNCTION("""COMPUTED_VALUE"""),46030.16666666667)</f>
        <v>46030.16667</v>
      </c>
      <c r="H4172" s="238">
        <f>IFERROR(__xludf.DUMMYFUNCTION("""COMPUTED_VALUE"""),46030.25)</f>
        <v>46030.25</v>
      </c>
      <c r="I4172" s="237" t="str">
        <f t="shared" si="1"/>
        <v>Fora</v>
      </c>
      <c r="J4172" s="239">
        <v>119.99999999301508</v>
      </c>
    </row>
    <row r="4173">
      <c r="A4173" s="234" t="s">
        <v>715</v>
      </c>
      <c r="B4173" s="234" t="str">
        <f>IFERROR(__xludf.DUMMYFUNCTION("""COMPUTED_VALUE"""),"LM Hub_SP_Atibaia_Ponte_Alta")</f>
        <v>LM Hub_SP_Atibaia_Ponte_Alta</v>
      </c>
      <c r="C4173" s="234" t="str">
        <f>IFERROR(__xludf.DUMMYFUNCTION("""COMPUTED_VALUE"""),"HUB-LSP-87")</f>
        <v>HUB-LSP-87</v>
      </c>
      <c r="D4173" s="234">
        <f>IFERROR(__xludf.DUMMYFUNCTION("""COMPUTED_VALUE"""),13.0)</f>
        <v>13</v>
      </c>
      <c r="E4173" s="237" t="str">
        <f>IFERROR(__xludf.DUMMYFUNCTION("""COMPUTED_VALUE"""),"LT0Q1801VJKC1")</f>
        <v>LT0Q1801VJKC1</v>
      </c>
      <c r="F4173" s="238" t="str">
        <f>IFERROR(__xludf.DUMMYFUNCTION("""COMPUTED_VALUE"""),"TBX6C27")</f>
        <v>TBX6C27</v>
      </c>
      <c r="G4173" s="238">
        <f>IFERROR(__xludf.DUMMYFUNCTION("""COMPUTED_VALUE"""),46030.1875)</f>
        <v>46030.1875</v>
      </c>
      <c r="H4173" s="238">
        <f>IFERROR(__xludf.DUMMYFUNCTION("""COMPUTED_VALUE"""),46030.27083333333)</f>
        <v>46030.27083</v>
      </c>
      <c r="I4173" s="237" t="str">
        <f t="shared" si="1"/>
        <v>Fora</v>
      </c>
      <c r="J4173" s="239">
        <v>119.99999999301508</v>
      </c>
    </row>
    <row r="4174">
      <c r="A4174" s="234" t="s">
        <v>716</v>
      </c>
      <c r="B4174" s="234" t="str">
        <f>IFERROR(__xludf.DUMMYFUNCTION("""COMPUTED_VALUE"""),"LM Hub_SP_Embu das Artes")</f>
        <v>LM Hub_SP_Embu das Artes</v>
      </c>
      <c r="C4174" s="234" t="str">
        <f>IFERROR(__xludf.DUMMYFUNCTION("""COMPUTED_VALUE"""),"HUB-LSP-36")</f>
        <v>HUB-LSP-36</v>
      </c>
      <c r="D4174" s="234">
        <f>IFERROR(__xludf.DUMMYFUNCTION("""COMPUTED_VALUE"""),15.0)</f>
        <v>15</v>
      </c>
      <c r="E4174" s="237" t="str">
        <f>IFERROR(__xludf.DUMMYFUNCTION("""COMPUTED_VALUE"""),"LT0Q1801VGO61")</f>
        <v>LT0Q1801VGO61</v>
      </c>
      <c r="F4174" s="238" t="str">
        <f>IFERROR(__xludf.DUMMYFUNCTION("""COMPUTED_VALUE"""),"GHZ9G37,FAM6D41")</f>
        <v>GHZ9G37,FAM6D41</v>
      </c>
      <c r="G4174" s="238">
        <f>IFERROR(__xludf.DUMMYFUNCTION("""COMPUTED_VALUE"""),46030.1875)</f>
        <v>46030.1875</v>
      </c>
      <c r="H4174" s="238">
        <f>IFERROR(__xludf.DUMMYFUNCTION("""COMPUTED_VALUE"""),46030.27083333333)</f>
        <v>46030.27083</v>
      </c>
      <c r="I4174" s="237" t="str">
        <f t="shared" si="1"/>
        <v>Fora</v>
      </c>
      <c r="J4174" s="239">
        <v>119.99999999301508</v>
      </c>
    </row>
    <row r="4175">
      <c r="A4175" s="234" t="s">
        <v>718</v>
      </c>
      <c r="B4175" s="234" t="str">
        <f>IFERROR(__xludf.DUMMYFUNCTION("""COMPUTED_VALUE"""),"LM Hub_SP_Taubaté")</f>
        <v>LM Hub_SP_Taubaté</v>
      </c>
      <c r="C4175" s="234" t="str">
        <f>IFERROR(__xludf.DUMMYFUNCTION("""COMPUTED_VALUE"""),"HUB-LSP-08")</f>
        <v>HUB-LSP-08</v>
      </c>
      <c r="D4175" s="234">
        <f>IFERROR(__xludf.DUMMYFUNCTION("""COMPUTED_VALUE"""),7.0)</f>
        <v>7</v>
      </c>
      <c r="E4175" s="237" t="str">
        <f>IFERROR(__xludf.DUMMYFUNCTION("""COMPUTED_VALUE"""),"LT0Q1801VFKX1")</f>
        <v>LT0Q1801VFKX1</v>
      </c>
      <c r="F4175" s="238" t="str">
        <f>IFERROR(__xludf.DUMMYFUNCTION("""COMPUTED_VALUE"""),"FBQ6A90")</f>
        <v>FBQ6A90</v>
      </c>
      <c r="G4175" s="238">
        <f>IFERROR(__xludf.DUMMYFUNCTION("""COMPUTED_VALUE"""),46030.1875)</f>
        <v>46030.1875</v>
      </c>
      <c r="H4175" s="238">
        <f>IFERROR(__xludf.DUMMYFUNCTION("""COMPUTED_VALUE"""),46030.27083333333)</f>
        <v>46030.27083</v>
      </c>
      <c r="I4175" s="237" t="str">
        <f t="shared" si="1"/>
        <v>Fora</v>
      </c>
      <c r="J4175" s="239">
        <v>540.0</v>
      </c>
    </row>
    <row r="4176">
      <c r="A4176" s="234" t="s">
        <v>719</v>
      </c>
      <c r="B4176" s="234" t="str">
        <f>IFERROR(__xludf.DUMMYFUNCTION("""COMPUTED_VALUE"""),"SoC_SC_Itajaí")</f>
        <v>SoC_SC_Itajaí</v>
      </c>
      <c r="C4176" s="234" t="str">
        <f>IFERROR(__xludf.DUMMYFUNCTION("""COMPUTED_VALUE"""),"SOC-SC1")</f>
        <v>SOC-SC1</v>
      </c>
      <c r="D4176" s="234">
        <f>IFERROR(__xludf.DUMMYFUNCTION("""COMPUTED_VALUE"""),101.0)</f>
        <v>101</v>
      </c>
      <c r="E4176" s="237" t="str">
        <f>IFERROR(__xludf.DUMMYFUNCTION("""COMPUTED_VALUE"""),"LT0Q1701VK9K1")</f>
        <v>LT0Q1701VK9K1</v>
      </c>
      <c r="F4176" s="238" t="str">
        <f>IFERROR(__xludf.DUMMYFUNCTION("""COMPUTED_VALUE"""),"TPM6I53,TPP5I27")</f>
        <v>TPM6I53,TPP5I27</v>
      </c>
      <c r="G4176" s="238">
        <f>IFERROR(__xludf.DUMMYFUNCTION("""COMPUTED_VALUE"""),46029.91666666667)</f>
        <v>46029.91667</v>
      </c>
      <c r="H4176" s="238">
        <f>IFERROR(__xludf.DUMMYFUNCTION("""COMPUTED_VALUE"""),46030.29166666667)</f>
        <v>46030.29167</v>
      </c>
      <c r="I4176" s="237" t="str">
        <f t="shared" si="1"/>
        <v>Fora</v>
      </c>
      <c r="J4176" s="239">
        <v>539.0000000072177</v>
      </c>
    </row>
    <row r="4177">
      <c r="A4177" s="234" t="s">
        <v>720</v>
      </c>
      <c r="B4177" s="234" t="str">
        <f>IFERROR(__xludf.DUMMYFUNCTION("""COMPUTED_VALUE"""),"SoC_GO_Goiânia_02")</f>
        <v>SoC_GO_Goiânia_02</v>
      </c>
      <c r="C4177" s="234" t="str">
        <f>IFERROR(__xludf.DUMMYFUNCTION("""COMPUTED_VALUE"""),"SOC-GO2")</f>
        <v>SOC-GO2</v>
      </c>
      <c r="D4177" s="234">
        <f>IFERROR(__xludf.DUMMYFUNCTION("""COMPUTED_VALUE"""),86.0)</f>
        <v>86</v>
      </c>
      <c r="E4177" s="237" t="str">
        <f>IFERROR(__xludf.DUMMYFUNCTION("""COMPUTED_VALUE"""),"LT0Q1701VLKH2")</f>
        <v>LT0Q1701VLKH2</v>
      </c>
      <c r="F4177" s="238" t="str">
        <f>IFERROR(__xludf.DUMMYFUNCTION("""COMPUTED_VALUE"""),"PRH0C02,FKD4D17")</f>
        <v>PRH0C02,FKD4D17</v>
      </c>
      <c r="G4177" s="238">
        <f>IFERROR(__xludf.DUMMYFUNCTION("""COMPUTED_VALUE"""),46029.91736111111)</f>
        <v>46029.91736</v>
      </c>
      <c r="H4177" s="238">
        <f>IFERROR(__xludf.DUMMYFUNCTION("""COMPUTED_VALUE"""),46030.29166666667)</f>
        <v>46030.29167</v>
      </c>
      <c r="I4177" s="237" t="str">
        <f t="shared" si="1"/>
        <v>Fora</v>
      </c>
      <c r="J4177" s="239">
        <v>539.0000000072177</v>
      </c>
    </row>
    <row r="4178">
      <c r="A4178" s="234" t="s">
        <v>721</v>
      </c>
      <c r="B4178" s="234" t="str">
        <f>IFERROR(__xludf.DUMMYFUNCTION("""COMPUTED_VALUE"""),"SoC_PE_Jaboatão dos Guararapes")</f>
        <v>SoC_PE_Jaboatão dos Guararapes</v>
      </c>
      <c r="C4178" s="234" t="str">
        <f>IFERROR(__xludf.DUMMYFUNCTION("""COMPUTED_VALUE"""),"SOC-PE2")</f>
        <v>SOC-PE2</v>
      </c>
      <c r="D4178" s="234">
        <f>IFERROR(__xludf.DUMMYFUNCTION("""COMPUTED_VALUE"""),49.0)</f>
        <v>49</v>
      </c>
      <c r="E4178" s="237" t="str">
        <f>IFERROR(__xludf.DUMMYFUNCTION("""COMPUTED_VALUE"""),"LT0Q1701VL6X1")</f>
        <v>LT0Q1701VL6X1</v>
      </c>
      <c r="F4178" s="238" t="str">
        <f>IFERROR(__xludf.DUMMYFUNCTION("""COMPUTED_VALUE"""),"DTE8B66,GFJ1E01")</f>
        <v>DTE8B66,GFJ1E01</v>
      </c>
      <c r="G4178" s="238">
        <f>IFERROR(__xludf.DUMMYFUNCTION("""COMPUTED_VALUE"""),46029.91736111111)</f>
        <v>46029.91736</v>
      </c>
      <c r="H4178" s="238">
        <f>IFERROR(__xludf.DUMMYFUNCTION("""COMPUTED_VALUE"""),46030.29166666667)</f>
        <v>46030.29167</v>
      </c>
      <c r="I4178" s="237" t="str">
        <f t="shared" si="1"/>
        <v>Fora</v>
      </c>
      <c r="J4178" s="239">
        <v>539.0000000072177</v>
      </c>
    </row>
    <row r="4179">
      <c r="A4179" s="234" t="s">
        <v>722</v>
      </c>
      <c r="B4179" s="234" t="str">
        <f>IFERROR(__xludf.DUMMYFUNCTION("""COMPUTED_VALUE"""),"SoC_PE_Jaboatão dos Guararapes")</f>
        <v>SoC_PE_Jaboatão dos Guararapes</v>
      </c>
      <c r="C4179" s="234" t="str">
        <f>IFERROR(__xludf.DUMMYFUNCTION("""COMPUTED_VALUE"""),"SOC-PE2")</f>
        <v>SOC-PE2</v>
      </c>
      <c r="D4179" s="234">
        <f>IFERROR(__xludf.DUMMYFUNCTION("""COMPUTED_VALUE"""),99.0)</f>
        <v>99</v>
      </c>
      <c r="E4179" s="237" t="str">
        <f>IFERROR(__xludf.DUMMYFUNCTION("""COMPUTED_VALUE"""),"LT0Q1701VL6Z2")</f>
        <v>LT0Q1701VL6Z2</v>
      </c>
      <c r="F4179" s="238" t="str">
        <f>IFERROR(__xludf.DUMMYFUNCTION("""COMPUTED_VALUE"""),"OWK4H62,TLF8J44")</f>
        <v>OWK4H62,TLF8J44</v>
      </c>
      <c r="G4179" s="238">
        <f>IFERROR(__xludf.DUMMYFUNCTION("""COMPUTED_VALUE"""),46029.91736111111)</f>
        <v>46029.91736</v>
      </c>
      <c r="H4179" s="238">
        <f>IFERROR(__xludf.DUMMYFUNCTION("""COMPUTED_VALUE"""),46030.29166666667)</f>
        <v>46030.29167</v>
      </c>
      <c r="I4179" s="237" t="str">
        <f t="shared" si="1"/>
        <v>Fora</v>
      </c>
      <c r="J4179" s="239">
        <v>539.0000000072177</v>
      </c>
    </row>
    <row r="4180">
      <c r="A4180" s="234" t="s">
        <v>5323</v>
      </c>
      <c r="B4180" s="234" t="str">
        <f>IFERROR(__xludf.DUMMYFUNCTION("""COMPUTED_VALUE"""),"SoC_RS_Gravataí_02")</f>
        <v>SoC_RS_Gravataí_02</v>
      </c>
      <c r="C4180" s="234" t="str">
        <f>IFERROR(__xludf.DUMMYFUNCTION("""COMPUTED_VALUE"""),"SOC-RS2")</f>
        <v>SOC-RS2</v>
      </c>
      <c r="D4180" s="234">
        <f>IFERROR(__xludf.DUMMYFUNCTION("""COMPUTED_VALUE"""),21.0)</f>
        <v>21</v>
      </c>
      <c r="E4180" s="237" t="str">
        <f>IFERROR(__xludf.DUMMYFUNCTION("""COMPUTED_VALUE"""),"LT0Q1701VLMF1")</f>
        <v>LT0Q1701VLMF1</v>
      </c>
      <c r="F4180" s="238" t="str">
        <f>IFERROR(__xludf.DUMMYFUNCTION("""COMPUTED_VALUE"""),"TBH7I48,SWI0H98")</f>
        <v>TBH7I48,SWI0H98</v>
      </c>
      <c r="G4180" s="238">
        <f>IFERROR(__xludf.DUMMYFUNCTION("""COMPUTED_VALUE"""),46029.91736111111)</f>
        <v>46029.91736</v>
      </c>
      <c r="H4180" s="238">
        <f>IFERROR(__xludf.DUMMYFUNCTION("""COMPUTED_VALUE"""),46030.29166666667)</f>
        <v>46030.29167</v>
      </c>
      <c r="I4180" s="237" t="str">
        <f t="shared" si="1"/>
        <v>Fora</v>
      </c>
      <c r="J4180" s="239">
        <v>539.0000000072177</v>
      </c>
    </row>
    <row r="4181">
      <c r="A4181" s="234" t="s">
        <v>5324</v>
      </c>
      <c r="B4181" s="234" t="str">
        <f>IFERROR(__xludf.DUMMYFUNCTION("""COMPUTED_VALUE"""),"SoC_SP_Cravinhos")</f>
        <v>SoC_SP_Cravinhos</v>
      </c>
      <c r="C4181" s="234" t="str">
        <f>IFERROR(__xludf.DUMMYFUNCTION("""COMPUTED_VALUE"""),"SOC-SP5")</f>
        <v>SOC-SP5</v>
      </c>
      <c r="D4181" s="234">
        <f>IFERROR(__xludf.DUMMYFUNCTION("""COMPUTED_VALUE"""),95.0)</f>
        <v>95</v>
      </c>
      <c r="E4181" s="237" t="str">
        <f>IFERROR(__xludf.DUMMYFUNCTION("""COMPUTED_VALUE"""),"LT0Q1701VFGH1")</f>
        <v>LT0Q1701VFGH1</v>
      </c>
      <c r="F4181" s="238" t="str">
        <f>IFERROR(__xludf.DUMMYFUNCTION("""COMPUTED_VALUE"""),"GIT4F78,FPN2E98")</f>
        <v>GIT4F78,FPN2E98</v>
      </c>
      <c r="G4181" s="238">
        <f>IFERROR(__xludf.DUMMYFUNCTION("""COMPUTED_VALUE"""),46029.91736111111)</f>
        <v>46029.91736</v>
      </c>
      <c r="H4181" s="238">
        <f>IFERROR(__xludf.DUMMYFUNCTION("""COMPUTED_VALUE"""),46030.29166666667)</f>
        <v>46030.29167</v>
      </c>
      <c r="I4181" s="237" t="str">
        <f t="shared" si="1"/>
        <v>Fora</v>
      </c>
      <c r="J4181" s="239">
        <v>538.0000000144355</v>
      </c>
    </row>
    <row r="4182">
      <c r="A4182" s="234" t="s">
        <v>723</v>
      </c>
      <c r="B4182" s="234" t="str">
        <f>IFERROR(__xludf.DUMMYFUNCTION("""COMPUTED_VALUE"""),"SoC_MG_Betim")</f>
        <v>SoC_MG_Betim</v>
      </c>
      <c r="C4182" s="234" t="str">
        <f>IFERROR(__xludf.DUMMYFUNCTION("""COMPUTED_VALUE"""),"SOC-MG2")</f>
        <v>SOC-MG2</v>
      </c>
      <c r="D4182" s="234">
        <f>IFERROR(__xludf.DUMMYFUNCTION("""COMPUTED_VALUE"""),91.0)</f>
        <v>91</v>
      </c>
      <c r="E4182" s="237" t="str">
        <f>IFERROR(__xludf.DUMMYFUNCTION("""COMPUTED_VALUE"""),"LT0Q1701VFF91")</f>
        <v>LT0Q1701VFF91</v>
      </c>
      <c r="F4182" s="238" t="str">
        <f>IFERROR(__xludf.DUMMYFUNCTION("""COMPUTED_VALUE"""),"FWE9D62,RXL8B09")</f>
        <v>FWE9D62,RXL8B09</v>
      </c>
      <c r="G4182" s="238">
        <f>IFERROR(__xludf.DUMMYFUNCTION("""COMPUTED_VALUE"""),46029.91805555555)</f>
        <v>46029.91806</v>
      </c>
      <c r="H4182" s="238">
        <f>IFERROR(__xludf.DUMMYFUNCTION("""COMPUTED_VALUE"""),46030.29166666667)</f>
        <v>46030.29167</v>
      </c>
      <c r="I4182" s="237" t="str">
        <f t="shared" si="1"/>
        <v>Fora</v>
      </c>
      <c r="J4182" s="239">
        <v>538.0000000144355</v>
      </c>
    </row>
    <row r="4183">
      <c r="A4183" s="234" t="s">
        <v>5325</v>
      </c>
      <c r="B4183" s="234" t="str">
        <f>IFERROR(__xludf.DUMMYFUNCTION("""COMPUTED_VALUE"""),"SoC_MG_Betim")</f>
        <v>SoC_MG_Betim</v>
      </c>
      <c r="C4183" s="234" t="str">
        <f>IFERROR(__xludf.DUMMYFUNCTION("""COMPUTED_VALUE"""),"SOC-MG2")</f>
        <v>SOC-MG2</v>
      </c>
      <c r="D4183" s="234">
        <f>IFERROR(__xludf.DUMMYFUNCTION("""COMPUTED_VALUE"""),91.0)</f>
        <v>91</v>
      </c>
      <c r="E4183" s="237" t="str">
        <f>IFERROR(__xludf.DUMMYFUNCTION("""COMPUTED_VALUE"""),"LT0Q1701VFFB2")</f>
        <v>LT0Q1701VFFB2</v>
      </c>
      <c r="F4183" s="238" t="str">
        <f>IFERROR(__xludf.DUMMYFUNCTION("""COMPUTED_VALUE"""),"NSL7D95,FTB4H47")</f>
        <v>NSL7D95,FTB4H47</v>
      </c>
      <c r="G4183" s="238">
        <f>IFERROR(__xludf.DUMMYFUNCTION("""COMPUTED_VALUE"""),46029.91805555555)</f>
        <v>46029.91806</v>
      </c>
      <c r="H4183" s="238">
        <f>IFERROR(__xludf.DUMMYFUNCTION("""COMPUTED_VALUE"""),46030.29166666667)</f>
        <v>46030.29167</v>
      </c>
      <c r="I4183" s="237" t="str">
        <f t="shared" si="1"/>
        <v>Fora</v>
      </c>
      <c r="J4183" s="239">
        <v>537.0000000111759</v>
      </c>
    </row>
    <row r="4184">
      <c r="A4184" s="234" t="s">
        <v>5326</v>
      </c>
      <c r="B4184" s="234" t="str">
        <f>IFERROR(__xludf.DUMMYFUNCTION("""COMPUTED_VALUE"""),"SoC_RJ_Duque de Caxias")</f>
        <v>SoC_RJ_Duque de Caxias</v>
      </c>
      <c r="C4184" s="234" t="str">
        <f>IFERROR(__xludf.DUMMYFUNCTION("""COMPUTED_VALUE"""),"SOC-RJ2")</f>
        <v>SOC-RJ2</v>
      </c>
      <c r="D4184" s="234">
        <f>IFERROR(__xludf.DUMMYFUNCTION("""COMPUTED_VALUE"""),113.0)</f>
        <v>113</v>
      </c>
      <c r="E4184" s="237" t="str">
        <f>IFERROR(__xludf.DUMMYFUNCTION("""COMPUTED_VALUE"""),"LT0Q1701VRR51")</f>
        <v>LT0Q1701VRR51</v>
      </c>
      <c r="F4184" s="238" t="str">
        <f>IFERROR(__xludf.DUMMYFUNCTION("""COMPUTED_VALUE"""),"GBJ9E79,LNN3608")</f>
        <v>GBJ9E79,LNN3608</v>
      </c>
      <c r="G4184" s="238">
        <f>IFERROR(__xludf.DUMMYFUNCTION("""COMPUTED_VALUE"""),46029.91875)</f>
        <v>46029.91875</v>
      </c>
      <c r="H4184" s="238">
        <f>IFERROR(__xludf.DUMMYFUNCTION("""COMPUTED_VALUE"""),46030.29166666667)</f>
        <v>46030.29167</v>
      </c>
      <c r="I4184" s="237" t="str">
        <f t="shared" si="1"/>
        <v>Fora</v>
      </c>
      <c r="J4184" s="239">
        <v>537.0000000111759</v>
      </c>
    </row>
    <row r="4185">
      <c r="A4185" s="234" t="s">
        <v>5327</v>
      </c>
      <c r="B4185" s="234" t="str">
        <f>IFERROR(__xludf.DUMMYFUNCTION("""COMPUTED_VALUE"""),"SoC_RJ_Duque de Caxias")</f>
        <v>SoC_RJ_Duque de Caxias</v>
      </c>
      <c r="C4185" s="234" t="str">
        <f>IFERROR(__xludf.DUMMYFUNCTION("""COMPUTED_VALUE"""),"SOC-RJ2")</f>
        <v>SOC-RJ2</v>
      </c>
      <c r="D4185" s="234">
        <f>IFERROR(__xludf.DUMMYFUNCTION("""COMPUTED_VALUE"""),97.0)</f>
        <v>97</v>
      </c>
      <c r="E4185" s="237" t="str">
        <f>IFERROR(__xludf.DUMMYFUNCTION("""COMPUTED_VALUE"""),"LT0Q1701VRR72")</f>
        <v>LT0Q1701VRR72</v>
      </c>
      <c r="F4185" s="238" t="str">
        <f>IFERROR(__xludf.DUMMYFUNCTION("""COMPUTED_VALUE"""),"GEI0C29,TUS2A30")</f>
        <v>GEI0C29,TUS2A30</v>
      </c>
      <c r="G4185" s="238">
        <f>IFERROR(__xludf.DUMMYFUNCTION("""COMPUTED_VALUE"""),46029.91875)</f>
        <v>46029.91875</v>
      </c>
      <c r="H4185" s="238">
        <f>IFERROR(__xludf.DUMMYFUNCTION("""COMPUTED_VALUE"""),46030.29166666667)</f>
        <v>46030.29167</v>
      </c>
      <c r="I4185" s="237" t="str">
        <f t="shared" si="1"/>
        <v>Fora</v>
      </c>
      <c r="J4185" s="239">
        <v>120.00000001396984</v>
      </c>
    </row>
    <row r="4186">
      <c r="A4186" s="234" t="s">
        <v>724</v>
      </c>
      <c r="B4186" s="234" t="str">
        <f>IFERROR(__xludf.DUMMYFUNCTION("""COMPUTED_VALUE"""),"LM Hub_SP_Barueri_01")</f>
        <v>LM Hub_SP_Barueri_01</v>
      </c>
      <c r="C4186" s="234" t="str">
        <f>IFERROR(__xludf.DUMMYFUNCTION("""COMPUTED_VALUE"""),"HUB-LSP-81")</f>
        <v>HUB-LSP-81</v>
      </c>
      <c r="D4186" s="234">
        <f>IFERROR(__xludf.DUMMYFUNCTION("""COMPUTED_VALUE"""),17.0)</f>
        <v>17</v>
      </c>
      <c r="E4186" s="237" t="str">
        <f>IFERROR(__xludf.DUMMYFUNCTION("""COMPUTED_VALUE"""),"LT0Q1801VKX91")</f>
        <v>LT0Q1801VKX91</v>
      </c>
      <c r="F4186" s="238" t="str">
        <f>IFERROR(__xludf.DUMMYFUNCTION("""COMPUTED_VALUE"""),"FBH4883")</f>
        <v>FBH4883</v>
      </c>
      <c r="G4186" s="238">
        <f>IFERROR(__xludf.DUMMYFUNCTION("""COMPUTED_VALUE"""),46030.20833333333)</f>
        <v>46030.20833</v>
      </c>
      <c r="H4186" s="238">
        <f>IFERROR(__xludf.DUMMYFUNCTION("""COMPUTED_VALUE"""),46030.29166666667)</f>
        <v>46030.29167</v>
      </c>
      <c r="I4186" s="237" t="str">
        <f t="shared" si="1"/>
        <v>Fora</v>
      </c>
      <c r="J4186" s="239">
        <v>120.00000001396984</v>
      </c>
    </row>
    <row r="4187">
      <c r="A4187" s="234" t="s">
        <v>725</v>
      </c>
      <c r="B4187" s="234" t="str">
        <f>IFERROR(__xludf.DUMMYFUNCTION("""COMPUTED_VALUE"""),"LM Hub_SP_Jundiaí")</f>
        <v>LM Hub_SP_Jundiaí</v>
      </c>
      <c r="C4187" s="234" t="str">
        <f>IFERROR(__xludf.DUMMYFUNCTION("""COMPUTED_VALUE"""),"HUB-LSP-100")</f>
        <v>HUB-LSP-100</v>
      </c>
      <c r="D4187" s="234">
        <f>IFERROR(__xludf.DUMMYFUNCTION("""COMPUTED_VALUE"""),35.0)</f>
        <v>35</v>
      </c>
      <c r="E4187" s="237" t="str">
        <f>IFERROR(__xludf.DUMMYFUNCTION("""COMPUTED_VALUE"""),"LT0Q1801VMD71")</f>
        <v>LT0Q1801VMD71</v>
      </c>
      <c r="F4187" s="238" t="str">
        <f>IFERROR(__xludf.DUMMYFUNCTION("""COMPUTED_VALUE"""),"DBM1893")</f>
        <v>DBM1893</v>
      </c>
      <c r="G4187" s="238">
        <f>IFERROR(__xludf.DUMMYFUNCTION("""COMPUTED_VALUE"""),46030.20833333333)</f>
        <v>46030.20833</v>
      </c>
      <c r="H4187" s="238">
        <f>IFERROR(__xludf.DUMMYFUNCTION("""COMPUTED_VALUE"""),46030.29166666667)</f>
        <v>46030.29167</v>
      </c>
      <c r="I4187" s="237" t="str">
        <f t="shared" si="1"/>
        <v>Fora</v>
      </c>
      <c r="J4187" s="239">
        <v>120.00000001396984</v>
      </c>
    </row>
    <row r="4188">
      <c r="A4188" s="234" t="s">
        <v>726</v>
      </c>
      <c r="B4188" s="234" t="str">
        <f>IFERROR(__xludf.DUMMYFUNCTION("""COMPUTED_VALUE"""),"LM Hub_SP_Piracicaba")</f>
        <v>LM Hub_SP_Piracicaba</v>
      </c>
      <c r="C4188" s="234" t="str">
        <f>IFERROR(__xludf.DUMMYFUNCTION("""COMPUTED_VALUE"""),"HUB-LSP-62")</f>
        <v>HUB-LSP-62</v>
      </c>
      <c r="D4188" s="234">
        <f>IFERROR(__xludf.DUMMYFUNCTION("""COMPUTED_VALUE"""),33.0)</f>
        <v>33</v>
      </c>
      <c r="E4188" s="237" t="str">
        <f>IFERROR(__xludf.DUMMYFUNCTION("""COMPUTED_VALUE"""),"LT0Q1801VG7O1")</f>
        <v>LT0Q1801VG7O1</v>
      </c>
      <c r="F4188" s="238" t="str">
        <f>IFERROR(__xludf.DUMMYFUNCTION("""COMPUTED_VALUE"""),"OMY3I62")</f>
        <v>OMY3I62</v>
      </c>
      <c r="G4188" s="238">
        <f>IFERROR(__xludf.DUMMYFUNCTION("""COMPUTED_VALUE"""),46030.20833333333)</f>
        <v>46030.20833</v>
      </c>
      <c r="H4188" s="238">
        <f>IFERROR(__xludf.DUMMYFUNCTION("""COMPUTED_VALUE"""),46030.29166666667)</f>
        <v>46030.29167</v>
      </c>
      <c r="I4188" s="237" t="str">
        <f t="shared" si="1"/>
        <v>Fora</v>
      </c>
      <c r="J4188" s="239">
        <v>119.00000001071021</v>
      </c>
    </row>
    <row r="4189">
      <c r="A4189" s="234" t="s">
        <v>727</v>
      </c>
      <c r="B4189" s="234" t="str">
        <f>IFERROR(__xludf.DUMMYFUNCTION("""COMPUTED_VALUE"""),"LM Hub_SP_Santos_PraiaGrande_02")</f>
        <v>LM Hub_SP_Santos_PraiaGrande_02</v>
      </c>
      <c r="C4189" s="234" t="str">
        <f>IFERROR(__xludf.DUMMYFUNCTION("""COMPUTED_VALUE"""),"HUB-LSP-63")</f>
        <v>HUB-LSP-63</v>
      </c>
      <c r="D4189" s="234">
        <f>IFERROR(__xludf.DUMMYFUNCTION("""COMPUTED_VALUE"""),19.0)</f>
        <v>19</v>
      </c>
      <c r="E4189" s="237" t="str">
        <f>IFERROR(__xludf.DUMMYFUNCTION("""COMPUTED_VALUE"""),"LT0Q1801VGO21")</f>
        <v>LT0Q1801VGO21</v>
      </c>
      <c r="F4189" s="238" t="str">
        <f>IFERROR(__xludf.DUMMYFUNCTION("""COMPUTED_VALUE"""),"GEJ6E62,TLV2A95")</f>
        <v>GEJ6E62,TLV2A95</v>
      </c>
      <c r="G4189" s="238">
        <f>IFERROR(__xludf.DUMMYFUNCTION("""COMPUTED_VALUE"""),46030.209027777775)</f>
        <v>46030.20903</v>
      </c>
      <c r="H4189" s="238">
        <f>IFERROR(__xludf.DUMMYFUNCTION("""COMPUTED_VALUE"""),46030.29166666667)</f>
        <v>46030.29167</v>
      </c>
      <c r="I4189" s="237" t="str">
        <f t="shared" si="1"/>
        <v>Fora</v>
      </c>
      <c r="J4189" s="239">
        <v>118.00000000745058</v>
      </c>
    </row>
    <row r="4190">
      <c r="A4190" s="234" t="s">
        <v>728</v>
      </c>
      <c r="B4190" s="234" t="str">
        <f>IFERROR(__xludf.DUMMYFUNCTION("""COMPUTED_VALUE"""),"LM Hub_SP_Jurubatuba")</f>
        <v>LM Hub_SP_Jurubatuba</v>
      </c>
      <c r="C4190" s="234" t="str">
        <f>IFERROR(__xludf.DUMMYFUNCTION("""COMPUTED_VALUE"""),"HUB-LSP-16")</f>
        <v>HUB-LSP-16</v>
      </c>
      <c r="D4190" s="234">
        <f>IFERROR(__xludf.DUMMYFUNCTION("""COMPUTED_VALUE"""),38.0)</f>
        <v>38</v>
      </c>
      <c r="E4190" s="237" t="str">
        <f>IFERROR(__xludf.DUMMYFUNCTION("""COMPUTED_VALUE"""),"LT0Q1801VGMS1")</f>
        <v>LT0Q1801VGMS1</v>
      </c>
      <c r="F4190" s="238" t="str">
        <f>IFERROR(__xludf.DUMMYFUNCTION("""COMPUTED_VALUE"""),"MQM6I27,FXB7G01")</f>
        <v>MQM6I27,FXB7G01</v>
      </c>
      <c r="G4190" s="238">
        <f>IFERROR(__xludf.DUMMYFUNCTION("""COMPUTED_VALUE"""),46030.20972222222)</f>
        <v>46030.20972</v>
      </c>
      <c r="H4190" s="238">
        <f>IFERROR(__xludf.DUMMYFUNCTION("""COMPUTED_VALUE"""),46030.29166666667)</f>
        <v>46030.29167</v>
      </c>
      <c r="I4190" s="237" t="str">
        <f t="shared" si="1"/>
        <v>Fora</v>
      </c>
      <c r="J4190" s="239">
        <v>60.00000000698492</v>
      </c>
    </row>
    <row r="4191">
      <c r="A4191" s="234" t="s">
        <v>729</v>
      </c>
      <c r="B4191" s="234" t="str">
        <f>IFERROR(__xludf.DUMMYFUNCTION("""COMPUTED_VALUE"""),"LM Hub_SP_Mauá")</f>
        <v>LM Hub_SP_Mauá</v>
      </c>
      <c r="C4191" s="234" t="str">
        <f>IFERROR(__xludf.DUMMYFUNCTION("""COMPUTED_VALUE"""),"HUB-LSP-64")</f>
        <v>HUB-LSP-64</v>
      </c>
      <c r="D4191" s="234">
        <f>IFERROR(__xludf.DUMMYFUNCTION("""COMPUTED_VALUE"""),14.0)</f>
        <v>14</v>
      </c>
      <c r="E4191" s="237" t="str">
        <f>IFERROR(__xludf.DUMMYFUNCTION("""COMPUTED_VALUE"""),"LT0Q1801VRFC1")</f>
        <v>LT0Q1801VRFC1</v>
      </c>
      <c r="F4191" s="238" t="str">
        <f>IFERROR(__xludf.DUMMYFUNCTION("""COMPUTED_VALUE"""),"PQV0E87")</f>
        <v>PQV0E87</v>
      </c>
      <c r="G4191" s="238">
        <f>IFERROR(__xludf.DUMMYFUNCTION("""COMPUTED_VALUE"""),46030.25)</f>
        <v>46030.25</v>
      </c>
      <c r="H4191" s="238">
        <f>IFERROR(__xludf.DUMMYFUNCTION("""COMPUTED_VALUE"""),46030.29166666667)</f>
        <v>46030.29167</v>
      </c>
      <c r="I4191" s="237" t="str">
        <f t="shared" si="1"/>
        <v>Fora</v>
      </c>
      <c r="J4191" s="239">
        <v>119.99999999301508</v>
      </c>
    </row>
    <row r="4192">
      <c r="A4192" s="234" t="s">
        <v>731</v>
      </c>
      <c r="B4192" s="234" t="str">
        <f>IFERROR(__xludf.DUMMYFUNCTION("""COMPUTED_VALUE"""),"LM Hub_SP_Guarujá")</f>
        <v>LM Hub_SP_Guarujá</v>
      </c>
      <c r="C4192" s="234" t="str">
        <f>IFERROR(__xludf.DUMMYFUNCTION("""COMPUTED_VALUE"""),"HUB-LSP-06")</f>
        <v>HUB-LSP-06</v>
      </c>
      <c r="D4192" s="234">
        <f>IFERROR(__xludf.DUMMYFUNCTION("""COMPUTED_VALUE"""),32.0)</f>
        <v>32</v>
      </c>
      <c r="E4192" s="237" t="str">
        <f>IFERROR(__xludf.DUMMYFUNCTION("""COMPUTED_VALUE"""),"LT0Q1801VGNF1")</f>
        <v>LT0Q1801VGNF1</v>
      </c>
      <c r="F4192" s="238" t="str">
        <f>IFERROR(__xludf.DUMMYFUNCTION("""COMPUTED_VALUE"""),"GGN4792")</f>
        <v>GGN4792</v>
      </c>
      <c r="G4192" s="238">
        <f>IFERROR(__xludf.DUMMYFUNCTION("""COMPUTED_VALUE"""),46030.22916666667)</f>
        <v>46030.22917</v>
      </c>
      <c r="H4192" s="238">
        <f>IFERROR(__xludf.DUMMYFUNCTION("""COMPUTED_VALUE"""),46030.3125)</f>
        <v>46030.3125</v>
      </c>
      <c r="I4192" s="237" t="str">
        <f t="shared" si="1"/>
        <v>Fora</v>
      </c>
      <c r="J4192" s="239">
        <v>119.99999999301508</v>
      </c>
    </row>
    <row r="4193">
      <c r="A4193" s="234" t="s">
        <v>732</v>
      </c>
      <c r="B4193" s="234" t="str">
        <f>IFERROR(__xludf.DUMMYFUNCTION("""COMPUTED_VALUE"""),"LM Hub_SP_Itapevi")</f>
        <v>LM Hub_SP_Itapevi</v>
      </c>
      <c r="C4193" s="234" t="str">
        <f>IFERROR(__xludf.DUMMYFUNCTION("""COMPUTED_VALUE"""),"HUB-LSP-41")</f>
        <v>HUB-LSP-41</v>
      </c>
      <c r="D4193" s="234">
        <f>IFERROR(__xludf.DUMMYFUNCTION("""COMPUTED_VALUE"""),12.0)</f>
        <v>12</v>
      </c>
      <c r="E4193" s="237" t="str">
        <f>IFERROR(__xludf.DUMMYFUNCTION("""COMPUTED_VALUE"""),"LT0Q1801VQZR1")</f>
        <v>LT0Q1801VQZR1</v>
      </c>
      <c r="F4193" s="238" t="str">
        <f>IFERROR(__xludf.DUMMYFUNCTION("""COMPUTED_VALUE"""),"FYQ5533")</f>
        <v>FYQ5533</v>
      </c>
      <c r="G4193" s="238">
        <f>IFERROR(__xludf.DUMMYFUNCTION("""COMPUTED_VALUE"""),46030.22916666667)</f>
        <v>46030.22917</v>
      </c>
      <c r="H4193" s="238">
        <f>IFERROR(__xludf.DUMMYFUNCTION("""COMPUTED_VALUE"""),46030.3125)</f>
        <v>46030.3125</v>
      </c>
      <c r="I4193" s="237" t="str">
        <f t="shared" si="1"/>
        <v>Fora</v>
      </c>
      <c r="J4193" s="239">
        <v>119.99999999301508</v>
      </c>
    </row>
    <row r="4194">
      <c r="A4194" s="234" t="s">
        <v>733</v>
      </c>
      <c r="B4194" s="234" t="str">
        <f>IFERROR(__xludf.DUMMYFUNCTION("""COMPUTED_VALUE"""),"LM Hub_SP_Itaqua_Zimba")</f>
        <v>LM Hub_SP_Itaqua_Zimba</v>
      </c>
      <c r="C4194" s="234" t="str">
        <f>IFERROR(__xludf.DUMMYFUNCTION("""COMPUTED_VALUE"""),"HUB-LSP-74")</f>
        <v>HUB-LSP-74</v>
      </c>
      <c r="D4194" s="234">
        <f>IFERROR(__xludf.DUMMYFUNCTION("""COMPUTED_VALUE"""),28.0)</f>
        <v>28</v>
      </c>
      <c r="E4194" s="237" t="str">
        <f>IFERROR(__xludf.DUMMYFUNCTION("""COMPUTED_VALUE"""),"LT0Q1801VGNA1")</f>
        <v>LT0Q1801VGNA1</v>
      </c>
      <c r="F4194" s="238" t="str">
        <f>IFERROR(__xludf.DUMMYFUNCTION("""COMPUTED_VALUE"""),"DVA3A62,DBC7D61")</f>
        <v>DVA3A62,DBC7D61</v>
      </c>
      <c r="G4194" s="238">
        <f>IFERROR(__xludf.DUMMYFUNCTION("""COMPUTED_VALUE"""),46030.22916666667)</f>
        <v>46030.22917</v>
      </c>
      <c r="H4194" s="238">
        <f>IFERROR(__xludf.DUMMYFUNCTION("""COMPUTED_VALUE"""),46030.3125)</f>
        <v>46030.3125</v>
      </c>
      <c r="I4194" s="237" t="str">
        <f t="shared" si="1"/>
        <v>Fora</v>
      </c>
      <c r="J4194" s="239">
        <v>119.99999999301508</v>
      </c>
    </row>
    <row r="4195">
      <c r="A4195" s="234" t="s">
        <v>734</v>
      </c>
      <c r="B4195" s="234" t="str">
        <f>IFERROR(__xludf.DUMMYFUNCTION("""COMPUTED_VALUE"""),"LM Hub_SP_Santos_Praia Grande")</f>
        <v>LM Hub_SP_Santos_Praia Grande</v>
      </c>
      <c r="C4195" s="234" t="str">
        <f>IFERROR(__xludf.DUMMYFUNCTION("""COMPUTED_VALUE"""),"HUB-LSP-09")</f>
        <v>HUB-LSP-09</v>
      </c>
      <c r="D4195" s="234"/>
      <c r="E4195" s="237" t="str">
        <f>IFERROR(__xludf.DUMMYFUNCTION("""COMPUTED_VALUE"""),"LT0Q1801VGNK1")</f>
        <v>LT0Q1801VGNK1</v>
      </c>
      <c r="F4195" s="238" t="str">
        <f>IFERROR(__xludf.DUMMYFUNCTION("""COMPUTED_VALUE"""),"FCS0F95")</f>
        <v>FCS0F95</v>
      </c>
      <c r="G4195" s="238">
        <f>IFERROR(__xludf.DUMMYFUNCTION("""COMPUTED_VALUE"""),46030.22916666667)</f>
        <v>46030.22917</v>
      </c>
      <c r="H4195" s="238">
        <f>IFERROR(__xludf.DUMMYFUNCTION("""COMPUTED_VALUE"""),46030.3125)</f>
        <v>46030.3125</v>
      </c>
      <c r="I4195" s="237" t="str">
        <f t="shared" si="1"/>
        <v>Fora</v>
      </c>
      <c r="J4195" s="239">
        <v>119.99999999301508</v>
      </c>
    </row>
    <row r="4196">
      <c r="A4196" s="234" t="s">
        <v>735</v>
      </c>
      <c r="B4196" s="234" t="str">
        <f>IFERROR(__xludf.DUMMYFUNCTION("""COMPUTED_VALUE"""),"LM Hub_SP_São José dos Campos")</f>
        <v>LM Hub_SP_São José dos Campos</v>
      </c>
      <c r="C4196" s="234" t="str">
        <f>IFERROR(__xludf.DUMMYFUNCTION("""COMPUTED_VALUE"""),"HUB-LSP-04")</f>
        <v>HUB-LSP-04</v>
      </c>
      <c r="D4196" s="234"/>
      <c r="E4196" s="237" t="str">
        <f>IFERROR(__xludf.DUMMYFUNCTION("""COMPUTED_VALUE"""),"LT0Q1801VGNP1")</f>
        <v>LT0Q1801VGNP1</v>
      </c>
      <c r="F4196" s="238" t="str">
        <f>IFERROR(__xludf.DUMMYFUNCTION("""COMPUTED_VALUE"""),"TBX6D09")</f>
        <v>TBX6D09</v>
      </c>
      <c r="G4196" s="238">
        <f>IFERROR(__xludf.DUMMYFUNCTION("""COMPUTED_VALUE"""),46030.22916666667)</f>
        <v>46030.22917</v>
      </c>
      <c r="H4196" s="238">
        <f>IFERROR(__xludf.DUMMYFUNCTION("""COMPUTED_VALUE"""),46030.3125)</f>
        <v>46030.3125</v>
      </c>
      <c r="I4196" s="237" t="str">
        <f t="shared" si="1"/>
        <v>Fora</v>
      </c>
      <c r="J4196" s="239">
        <v>119.99999999301508</v>
      </c>
    </row>
    <row r="4197">
      <c r="A4197" s="234" t="s">
        <v>5328</v>
      </c>
      <c r="B4197" s="234" t="str">
        <f>IFERROR(__xludf.DUMMYFUNCTION("""COMPUTED_VALUE"""),"LM Hub_SP_São Paulo_Mooca")</f>
        <v>LM Hub_SP_São Paulo_Mooca</v>
      </c>
      <c r="C4197" s="234" t="str">
        <f>IFERROR(__xludf.DUMMYFUNCTION("""COMPUTED_VALUE"""),"HUB-LSP-13")</f>
        <v>HUB-LSP-13</v>
      </c>
      <c r="D4197" s="234">
        <f>IFERROR(__xludf.DUMMYFUNCTION("""COMPUTED_VALUE"""),49.0)</f>
        <v>49</v>
      </c>
      <c r="E4197" s="237" t="str">
        <f>IFERROR(__xludf.DUMMYFUNCTION("""COMPUTED_VALUE"""),"LT0Q1801VRET1")</f>
        <v>LT0Q1801VRET1</v>
      </c>
      <c r="F4197" s="238" t="str">
        <f>IFERROR(__xludf.DUMMYFUNCTION("""COMPUTED_VALUE"""),"PEP9J38")</f>
        <v>PEP9J38</v>
      </c>
      <c r="G4197" s="238">
        <f>IFERROR(__xludf.DUMMYFUNCTION("""COMPUTED_VALUE"""),46030.22916666667)</f>
        <v>46030.22917</v>
      </c>
      <c r="H4197" s="238">
        <f>IFERROR(__xludf.DUMMYFUNCTION("""COMPUTED_VALUE"""),46030.3125)</f>
        <v>46030.3125</v>
      </c>
      <c r="I4197" s="237" t="str">
        <f t="shared" si="1"/>
        <v>Fora</v>
      </c>
      <c r="J4197" s="239">
        <v>119.99999999301508</v>
      </c>
    </row>
    <row r="4198">
      <c r="A4198" s="234" t="s">
        <v>736</v>
      </c>
      <c r="B4198" s="234" t="str">
        <f>IFERROR(__xludf.DUMMYFUNCTION("""COMPUTED_VALUE"""),"LM Hub_SP_São Paulo_Mooca")</f>
        <v>LM Hub_SP_São Paulo_Mooca</v>
      </c>
      <c r="C4198" s="234" t="str">
        <f>IFERROR(__xludf.DUMMYFUNCTION("""COMPUTED_VALUE"""),"HUB-LSP-13")</f>
        <v>HUB-LSP-13</v>
      </c>
      <c r="D4198" s="234">
        <f>IFERROR(__xludf.DUMMYFUNCTION("""COMPUTED_VALUE"""),48.0)</f>
        <v>48</v>
      </c>
      <c r="E4198" s="237" t="str">
        <f>IFERROR(__xludf.DUMMYFUNCTION("""COMPUTED_VALUE"""),"LT0Q1801VREW2")</f>
        <v>LT0Q1801VREW2</v>
      </c>
      <c r="F4198" s="238" t="str">
        <f>IFERROR(__xludf.DUMMYFUNCTION("""COMPUTED_VALUE"""),"FGI1F79")</f>
        <v>FGI1F79</v>
      </c>
      <c r="G4198" s="238">
        <f>IFERROR(__xludf.DUMMYFUNCTION("""COMPUTED_VALUE"""),46030.22916666667)</f>
        <v>46030.22917</v>
      </c>
      <c r="H4198" s="238">
        <f>IFERROR(__xludf.DUMMYFUNCTION("""COMPUTED_VALUE"""),46030.3125)</f>
        <v>46030.3125</v>
      </c>
      <c r="I4198" s="237" t="str">
        <f t="shared" si="1"/>
        <v>Fora</v>
      </c>
      <c r="J4198" s="239">
        <v>538.9999999967404</v>
      </c>
    </row>
    <row r="4199">
      <c r="A4199" s="234" t="s">
        <v>737</v>
      </c>
      <c r="B4199" s="234" t="str">
        <f>IFERROR(__xludf.DUMMYFUNCTION("""COMPUTED_VALUE"""),"SoC_SP_Cravinhos")</f>
        <v>SoC_SP_Cravinhos</v>
      </c>
      <c r="C4199" s="234" t="str">
        <f>IFERROR(__xludf.DUMMYFUNCTION("""COMPUTED_VALUE"""),"SOC-SP5")</f>
        <v>SOC-SP5</v>
      </c>
      <c r="D4199" s="234">
        <f>IFERROR(__xludf.DUMMYFUNCTION("""COMPUTED_VALUE"""),94.0)</f>
        <v>94</v>
      </c>
      <c r="E4199" s="237" t="str">
        <f>IFERROR(__xludf.DUMMYFUNCTION("""COMPUTED_VALUE"""),"LT0Q1701VFGJ2")</f>
        <v>LT0Q1701VFGJ2</v>
      </c>
      <c r="F4199" s="238" t="str">
        <f>IFERROR(__xludf.DUMMYFUNCTION("""COMPUTED_VALUE"""),"FVH9G29,FSR7A42")</f>
        <v>FVH9G29,FSR7A42</v>
      </c>
      <c r="G4199" s="238">
        <f>IFERROR(__xludf.DUMMYFUNCTION("""COMPUTED_VALUE"""),46030.00069444445)</f>
        <v>46030.00069</v>
      </c>
      <c r="H4199" s="238">
        <f>IFERROR(__xludf.DUMMYFUNCTION("""COMPUTED_VALUE"""),46030.375)</f>
        <v>46030.375</v>
      </c>
      <c r="I4199" s="237" t="str">
        <f t="shared" si="1"/>
        <v>Fora</v>
      </c>
      <c r="J4199" s="239">
        <v>540.0</v>
      </c>
    </row>
    <row r="4200">
      <c r="A4200" s="234" t="s">
        <v>738</v>
      </c>
      <c r="B4200" s="234" t="str">
        <f>IFERROR(__xludf.DUMMYFUNCTION("""COMPUTED_VALUE"""),"SoC_RS_Gravataí_02")</f>
        <v>SoC_RS_Gravataí_02</v>
      </c>
      <c r="C4200" s="234" t="str">
        <f>IFERROR(__xludf.DUMMYFUNCTION("""COMPUTED_VALUE"""),"SOC-RS2")</f>
        <v>SOC-RS2</v>
      </c>
      <c r="D4200" s="234">
        <f>IFERROR(__xludf.DUMMYFUNCTION("""COMPUTED_VALUE"""),112.0)</f>
        <v>112</v>
      </c>
      <c r="E4200" s="237" t="str">
        <f>IFERROR(__xludf.DUMMYFUNCTION("""COMPUTED_VALUE"""),"LT0Q1701VLMH2")</f>
        <v>LT0Q1701VLMH2</v>
      </c>
      <c r="F4200" s="238" t="str">
        <f>IFERROR(__xludf.DUMMYFUNCTION("""COMPUTED_VALUE"""),"SUU4F68,STT1H02")</f>
        <v>SUU4F68,STT1H02</v>
      </c>
      <c r="G4200" s="238">
        <f>IFERROR(__xludf.DUMMYFUNCTION("""COMPUTED_VALUE"""),46030.0625)</f>
        <v>46030.0625</v>
      </c>
      <c r="H4200" s="238">
        <f>IFERROR(__xludf.DUMMYFUNCTION("""COMPUTED_VALUE"""),46030.4375)</f>
        <v>46030.4375</v>
      </c>
      <c r="I4200" s="237" t="str">
        <f t="shared" si="1"/>
        <v>Fora</v>
      </c>
      <c r="J4200" s="239">
        <v>538.9999999967404</v>
      </c>
    </row>
    <row r="4201">
      <c r="A4201" s="234" t="s">
        <v>5329</v>
      </c>
      <c r="B4201" s="234" t="str">
        <f>IFERROR(__xludf.DUMMYFUNCTION("""COMPUTED_VALUE"""),"SoC_BA_Simoes Filho")</f>
        <v>SoC_BA_Simoes Filho</v>
      </c>
      <c r="C4201" s="234" t="str">
        <f>IFERROR(__xludf.DUMMYFUNCTION("""COMPUTED_VALUE"""),"SOC-BA2")</f>
        <v>SOC-BA2</v>
      </c>
      <c r="D4201" s="234"/>
      <c r="E4201" s="237" t="str">
        <f>IFERROR(__xludf.DUMMYFUNCTION("""COMPUTED_VALUE"""),"LT0Q1701VLAE1")</f>
        <v>LT0Q1701VLAE1</v>
      </c>
      <c r="F4201" s="238" t="str">
        <f>IFERROR(__xludf.DUMMYFUNCTION("""COMPUTED_VALUE"""),"OZE3G04,BSF7A46")</f>
        <v>OZE3G04,BSF7A46</v>
      </c>
      <c r="G4201" s="238">
        <f>IFERROR(__xludf.DUMMYFUNCTION("""COMPUTED_VALUE"""),46030.084027777775)</f>
        <v>46030.08403</v>
      </c>
      <c r="H4201" s="238">
        <f>IFERROR(__xludf.DUMMYFUNCTION("""COMPUTED_VALUE"""),46030.45833333333)</f>
        <v>46030.45833</v>
      </c>
      <c r="I4201" s="237" t="str">
        <f t="shared" si="1"/>
        <v>Fora</v>
      </c>
      <c r="J4201" s="239">
        <v>600.0000000069849</v>
      </c>
    </row>
    <row r="4202">
      <c r="A4202" s="234" t="s">
        <v>739</v>
      </c>
      <c r="B4202" s="234" t="str">
        <f>IFERROR(__xludf.DUMMYFUNCTION("""COMPUTED_VALUE"""),"SoC_RJ_Duque de Caxias")</f>
        <v>SoC_RJ_Duque de Caxias</v>
      </c>
      <c r="C4202" s="234" t="str">
        <f>IFERROR(__xludf.DUMMYFUNCTION("""COMPUTED_VALUE"""),"SOC-RJ2")</f>
        <v>SOC-RJ2</v>
      </c>
      <c r="D4202" s="234">
        <f>IFERROR(__xludf.DUMMYFUNCTION("""COMPUTED_VALUE"""),97.0)</f>
        <v>97</v>
      </c>
      <c r="E4202" s="237" t="str">
        <f>IFERROR(__xludf.DUMMYFUNCTION("""COMPUTED_VALUE"""),"LT0Q1801VHRE1")</f>
        <v>LT0Q1801VHRE1</v>
      </c>
      <c r="F4202" s="238" t="str">
        <f>IFERROR(__xludf.DUMMYFUNCTION("""COMPUTED_VALUE"""),"QJQ7C17,EZE0860")</f>
        <v>QJQ7C17,EZE0860</v>
      </c>
      <c r="G4202" s="238">
        <f>IFERROR(__xludf.DUMMYFUNCTION("""COMPUTED_VALUE"""),46030.25)</f>
        <v>46030.25</v>
      </c>
      <c r="H4202" s="238">
        <f>IFERROR(__xludf.DUMMYFUNCTION("""COMPUTED_VALUE"""),46030.66666666667)</f>
        <v>46030.66667</v>
      </c>
      <c r="I4202" s="237" t="str">
        <f t="shared" si="1"/>
        <v>Fora</v>
      </c>
      <c r="J4202" s="239">
        <v>600.0000000069849</v>
      </c>
    </row>
    <row r="4203">
      <c r="A4203" s="234" t="s">
        <v>740</v>
      </c>
      <c r="B4203" s="234" t="str">
        <f>IFERROR(__xludf.DUMMYFUNCTION("""COMPUTED_VALUE"""),"SoC_SC_Itajaí")</f>
        <v>SoC_SC_Itajaí</v>
      </c>
      <c r="C4203" s="234" t="str">
        <f>IFERROR(__xludf.DUMMYFUNCTION("""COMPUTED_VALUE"""),"SOC-SC1")</f>
        <v>SOC-SC1</v>
      </c>
      <c r="D4203" s="234">
        <f>IFERROR(__xludf.DUMMYFUNCTION("""COMPUTED_VALUE"""),100.0)</f>
        <v>100</v>
      </c>
      <c r="E4203" s="237" t="str">
        <f>IFERROR(__xludf.DUMMYFUNCTION("""COMPUTED_VALUE"""),"LT0Q1801VK961")</f>
        <v>LT0Q1801VK961</v>
      </c>
      <c r="F4203" s="238" t="str">
        <f>IFERROR(__xludf.DUMMYFUNCTION("""COMPUTED_VALUE"""),"FDK4E91,TAX4D15")</f>
        <v>FDK4E91,TAX4D15</v>
      </c>
      <c r="G4203" s="238">
        <f>IFERROR(__xludf.DUMMYFUNCTION("""COMPUTED_VALUE"""),46030.25)</f>
        <v>46030.25</v>
      </c>
      <c r="H4203" s="238">
        <f>IFERROR(__xludf.DUMMYFUNCTION("""COMPUTED_VALUE"""),46030.66666666667)</f>
        <v>46030.66667</v>
      </c>
      <c r="I4203" s="237" t="str">
        <f t="shared" si="1"/>
        <v>Fora</v>
      </c>
      <c r="J4203" s="239">
        <v>539.0000000072177</v>
      </c>
    </row>
    <row r="4204">
      <c r="A4204" s="234" t="s">
        <v>730</v>
      </c>
      <c r="B4204" s="234" t="str">
        <f>IFERROR(__xludf.DUMMYFUNCTION("""COMPUTED_VALUE"""),"SoC_BA_Simoes Filho")</f>
        <v>SoC_BA_Simoes Filho</v>
      </c>
      <c r="C4204" s="234" t="str">
        <f>IFERROR(__xludf.DUMMYFUNCTION("""COMPUTED_VALUE"""),"SOC-BA2")</f>
        <v>SOC-BA2</v>
      </c>
      <c r="D4204" s="234">
        <f>IFERROR(__xludf.DUMMYFUNCTION("""COMPUTED_VALUE"""),113.0)</f>
        <v>113</v>
      </c>
      <c r="E4204" s="237" t="str">
        <f>IFERROR(__xludf.DUMMYFUNCTION("""COMPUTED_VALUE"""),"LT0Q1701VLAG2")</f>
        <v>LT0Q1701VLAG2</v>
      </c>
      <c r="F4204" s="238" t="str">
        <f>IFERROR(__xludf.DUMMYFUNCTION("""COMPUTED_VALUE"""),"ASW2C66,LPD4428")</f>
        <v>ASW2C66,LPD4428</v>
      </c>
      <c r="G4204" s="238">
        <f>IFERROR(__xludf.DUMMYFUNCTION("""COMPUTED_VALUE"""),46029.91736111111)</f>
        <v>46029.91736</v>
      </c>
      <c r="H4204" s="238">
        <f>IFERROR(__xludf.DUMMYFUNCTION("""COMPUTED_VALUE"""),46030.29166666667)</f>
        <v>46030.29167</v>
      </c>
      <c r="I4204" s="237" t="str">
        <f t="shared" si="1"/>
        <v>Fora</v>
      </c>
      <c r="J4204" s="239">
        <v>120.00000001396984</v>
      </c>
    </row>
    <row r="4205">
      <c r="A4205" s="234" t="s">
        <v>5330</v>
      </c>
      <c r="B4205" s="234" t="str">
        <f>IFERROR(__xludf.DUMMYFUNCTION("""COMPUTED_VALUE"""),"LM Hub_SP_São Paulo_Mooca")</f>
        <v>LM Hub_SP_São Paulo_Mooca</v>
      </c>
      <c r="C4205" s="234" t="str">
        <f>IFERROR(__xludf.DUMMYFUNCTION("""COMPUTED_VALUE"""),"HUB-LSP-13")</f>
        <v>HUB-LSP-13</v>
      </c>
      <c r="D4205" s="234"/>
      <c r="E4205" s="237" t="str">
        <f>IFERROR(__xludf.DUMMYFUNCTION("""COMPUTED_VALUE"""),"LT0Q1801VQZ31")</f>
        <v>LT0Q1801VQZ31</v>
      </c>
      <c r="F4205" s="238" t="str">
        <f>IFERROR(__xludf.DUMMYFUNCTION("""COMPUTED_VALUE"""),"FGI1F79")</f>
        <v>FGI1F79</v>
      </c>
      <c r="G4205" s="238">
        <f>IFERROR(__xludf.DUMMYFUNCTION("""COMPUTED_VALUE"""),46030.83333333333)</f>
        <v>46030.83333</v>
      </c>
      <c r="H4205" s="238">
        <f>IFERROR(__xludf.DUMMYFUNCTION("""COMPUTED_VALUE"""),46030.91666666667)</f>
        <v>46030.91667</v>
      </c>
      <c r="I4205" s="237" t="str">
        <f t="shared" si="1"/>
        <v>Fora</v>
      </c>
      <c r="J4205" s="239">
        <v>119.99999999301508</v>
      </c>
    </row>
    <row r="4206">
      <c r="A4206" s="234" t="s">
        <v>5331</v>
      </c>
      <c r="B4206" s="234" t="str">
        <f>IFERROR(__xludf.DUMMYFUNCTION("""COMPUTED_VALUE"""),"LM Hub_SP_Artur Alvim")</f>
        <v>LM Hub_SP_Artur Alvim</v>
      </c>
      <c r="C4206" s="234" t="str">
        <f>IFERROR(__xludf.DUMMYFUNCTION("""COMPUTED_VALUE"""),"HUB-LSP-07")</f>
        <v>HUB-LSP-07</v>
      </c>
      <c r="D4206" s="234">
        <f>IFERROR(__xludf.DUMMYFUNCTION("""COMPUTED_VALUE"""),41.0)</f>
        <v>41</v>
      </c>
      <c r="E4206" s="237" t="str">
        <f>IFERROR(__xludf.DUMMYFUNCTION("""COMPUTED_VALUE"""),"LT0Q1801VFH91")</f>
        <v>LT0Q1801VFH91</v>
      </c>
      <c r="F4206" s="238" t="str">
        <f>IFERROR(__xludf.DUMMYFUNCTION("""COMPUTED_VALUE"""),"NKW3F61,STD9E75")</f>
        <v>NKW3F61,STD9E75</v>
      </c>
      <c r="G4206" s="238">
        <f>IFERROR(__xludf.DUMMYFUNCTION("""COMPUTED_VALUE"""),46030.91666666667)</f>
        <v>46030.91667</v>
      </c>
      <c r="H4206" s="238">
        <f>IFERROR(__xludf.DUMMYFUNCTION("""COMPUTED_VALUE"""),46031.0)</f>
        <v>46031</v>
      </c>
      <c r="I4206" s="237" t="str">
        <f t="shared" si="1"/>
        <v>Fora</v>
      </c>
      <c r="J4206" s="239">
        <v>119.99999999301508</v>
      </c>
    </row>
    <row r="4207">
      <c r="A4207" s="234" t="s">
        <v>5332</v>
      </c>
      <c r="B4207" s="234" t="str">
        <f>IFERROR(__xludf.DUMMYFUNCTION("""COMPUTED_VALUE"""),"LM Hub_SP_Barueri_01")</f>
        <v>LM Hub_SP_Barueri_01</v>
      </c>
      <c r="C4207" s="234" t="str">
        <f>IFERROR(__xludf.DUMMYFUNCTION("""COMPUTED_VALUE"""),"HUB-LSP-81")</f>
        <v>HUB-LSP-81</v>
      </c>
      <c r="D4207" s="234">
        <f>IFERROR(__xludf.DUMMYFUNCTION("""COMPUTED_VALUE"""),29.0)</f>
        <v>29</v>
      </c>
      <c r="E4207" s="237" t="str">
        <f>IFERROR(__xludf.DUMMYFUNCTION("""COMPUTED_VALUE"""),"LT0Q1801VKXG1")</f>
        <v>LT0Q1801VKXG1</v>
      </c>
      <c r="F4207" s="238" t="str">
        <f>IFERROR(__xludf.DUMMYFUNCTION("""COMPUTED_VALUE"""),"DVA3A62,DBC7D61")</f>
        <v>DVA3A62,DBC7D61</v>
      </c>
      <c r="G4207" s="238">
        <f>IFERROR(__xludf.DUMMYFUNCTION("""COMPUTED_VALUE"""),46030.91666666667)</f>
        <v>46030.91667</v>
      </c>
      <c r="H4207" s="238">
        <f>IFERROR(__xludf.DUMMYFUNCTION("""COMPUTED_VALUE"""),46031.0)</f>
        <v>46031</v>
      </c>
      <c r="I4207" s="237" t="str">
        <f t="shared" si="1"/>
        <v>Fora</v>
      </c>
      <c r="J4207" s="239">
        <v>119.99999999301508</v>
      </c>
    </row>
    <row r="4208">
      <c r="A4208" s="234" t="s">
        <v>5333</v>
      </c>
      <c r="B4208" s="234" t="str">
        <f>IFERROR(__xludf.DUMMYFUNCTION("""COMPUTED_VALUE"""),"LM Hub_SP_Guarulhos")</f>
        <v>LM Hub_SP_Guarulhos</v>
      </c>
      <c r="C4208" s="234" t="str">
        <f>IFERROR(__xludf.DUMMYFUNCTION("""COMPUTED_VALUE"""),"HUB-LSP-77")</f>
        <v>HUB-LSP-77</v>
      </c>
      <c r="D4208" s="234">
        <f>IFERROR(__xludf.DUMMYFUNCTION("""COMPUTED_VALUE"""),33.0)</f>
        <v>33</v>
      </c>
      <c r="E4208" s="237" t="str">
        <f>IFERROR(__xludf.DUMMYFUNCTION("""COMPUTED_VALUE"""),"LT0Q1801VG7H1")</f>
        <v>LT0Q1801VG7H1</v>
      </c>
      <c r="F4208" s="238" t="str">
        <f>IFERROR(__xludf.DUMMYFUNCTION("""COMPUTED_VALUE"""),"FEB5I21,FRT9A70")</f>
        <v>FEB5I21,FRT9A70</v>
      </c>
      <c r="G4208" s="238">
        <f>IFERROR(__xludf.DUMMYFUNCTION("""COMPUTED_VALUE"""),46030.91666666667)</f>
        <v>46030.91667</v>
      </c>
      <c r="H4208" s="238">
        <f>IFERROR(__xludf.DUMMYFUNCTION("""COMPUTED_VALUE"""),46031.0)</f>
        <v>46031</v>
      </c>
      <c r="I4208" s="237" t="str">
        <f t="shared" si="1"/>
        <v>Fora</v>
      </c>
      <c r="J4208" s="239">
        <v>119.99999999301508</v>
      </c>
    </row>
    <row r="4209">
      <c r="A4209" s="234" t="s">
        <v>5334</v>
      </c>
      <c r="B4209" s="234" t="str">
        <f>IFERROR(__xludf.DUMMYFUNCTION("""COMPUTED_VALUE"""),"LM Hub_SP_Itapevi")</f>
        <v>LM Hub_SP_Itapevi</v>
      </c>
      <c r="C4209" s="234" t="str">
        <f>IFERROR(__xludf.DUMMYFUNCTION("""COMPUTED_VALUE"""),"HUB-LSP-41")</f>
        <v>HUB-LSP-41</v>
      </c>
      <c r="D4209" s="234">
        <f>IFERROR(__xludf.DUMMYFUNCTION("""COMPUTED_VALUE"""),47.0)</f>
        <v>47</v>
      </c>
      <c r="E4209" s="237" t="str">
        <f>IFERROR(__xludf.DUMMYFUNCTION("""COMPUTED_VALUE"""),"LT0Q1801VFIK1")</f>
        <v>LT0Q1801VFIK1</v>
      </c>
      <c r="F4209" s="238" t="str">
        <f>IFERROR(__xludf.DUMMYFUNCTION("""COMPUTED_VALUE"""),"EMU5F62,FGK3A38")</f>
        <v>EMU5F62,FGK3A38</v>
      </c>
      <c r="G4209" s="238">
        <f>IFERROR(__xludf.DUMMYFUNCTION("""COMPUTED_VALUE"""),46030.91666666667)</f>
        <v>46030.91667</v>
      </c>
      <c r="H4209" s="238">
        <f>IFERROR(__xludf.DUMMYFUNCTION("""COMPUTED_VALUE"""),46031.0)</f>
        <v>46031</v>
      </c>
      <c r="I4209" s="237" t="str">
        <f t="shared" si="1"/>
        <v>Fora</v>
      </c>
      <c r="J4209" s="239">
        <v>119.99999999301508</v>
      </c>
    </row>
    <row r="4210">
      <c r="A4210" s="234" t="s">
        <v>5335</v>
      </c>
      <c r="B4210" s="234" t="str">
        <f>IFERROR(__xludf.DUMMYFUNCTION("""COMPUTED_VALUE"""),"LM Hub_SP_Limeira_Campo Belo")</f>
        <v>LM Hub_SP_Limeira_Campo Belo</v>
      </c>
      <c r="C4210" s="234" t="str">
        <f>IFERROR(__xludf.DUMMYFUNCTION("""COMPUTED_VALUE"""),"HUB-LSP-24")</f>
        <v>HUB-LSP-24</v>
      </c>
      <c r="D4210" s="234">
        <f>IFERROR(__xludf.DUMMYFUNCTION("""COMPUTED_VALUE"""),27.0)</f>
        <v>27</v>
      </c>
      <c r="E4210" s="237" t="str">
        <f>IFERROR(__xludf.DUMMYFUNCTION("""COMPUTED_VALUE"""),"LT0Q1801VFM01")</f>
        <v>LT0Q1801VFM01</v>
      </c>
      <c r="F4210" s="238" t="str">
        <f>IFERROR(__xludf.DUMMYFUNCTION("""COMPUTED_VALUE"""),"SWH0E90,TAX1L63")</f>
        <v>SWH0E90,TAX1L63</v>
      </c>
      <c r="G4210" s="238">
        <f>IFERROR(__xludf.DUMMYFUNCTION("""COMPUTED_VALUE"""),46030.91666666667)</f>
        <v>46030.91667</v>
      </c>
      <c r="H4210" s="238">
        <f>IFERROR(__xludf.DUMMYFUNCTION("""COMPUTED_VALUE"""),46031.0)</f>
        <v>46031</v>
      </c>
      <c r="I4210" s="237" t="str">
        <f t="shared" si="1"/>
        <v>Fora</v>
      </c>
      <c r="J4210" s="239">
        <v>119.99999999301508</v>
      </c>
    </row>
    <row r="4211">
      <c r="A4211" s="234" t="s">
        <v>5336</v>
      </c>
      <c r="B4211" s="234" t="str">
        <f>IFERROR(__xludf.DUMMYFUNCTION("""COMPUTED_VALUE"""),"LM Hub_SP_Mauá")</f>
        <v>LM Hub_SP_Mauá</v>
      </c>
      <c r="C4211" s="234" t="str">
        <f>IFERROR(__xludf.DUMMYFUNCTION("""COMPUTED_VALUE"""),"HUB-LSP-64")</f>
        <v>HUB-LSP-64</v>
      </c>
      <c r="D4211" s="234">
        <f>IFERROR(__xludf.DUMMYFUNCTION("""COMPUTED_VALUE"""),23.0)</f>
        <v>23</v>
      </c>
      <c r="E4211" s="237" t="str">
        <f>IFERROR(__xludf.DUMMYFUNCTION("""COMPUTED_VALUE"""),"LT0Q1801VFIW1")</f>
        <v>LT0Q1801VFIW1</v>
      </c>
      <c r="F4211" s="238" t="str">
        <f>IFERROR(__xludf.DUMMYFUNCTION("""COMPUTED_VALUE"""),"FQF6B98,DTA7802")</f>
        <v>FQF6B98,DTA7802</v>
      </c>
      <c r="G4211" s="238">
        <f>IFERROR(__xludf.DUMMYFUNCTION("""COMPUTED_VALUE"""),46030.91666666667)</f>
        <v>46030.91667</v>
      </c>
      <c r="H4211" s="238">
        <f>IFERROR(__xludf.DUMMYFUNCTION("""COMPUTED_VALUE"""),46031.0)</f>
        <v>46031</v>
      </c>
      <c r="I4211" s="237" t="str">
        <f t="shared" si="1"/>
        <v>Fora</v>
      </c>
      <c r="J4211" s="239">
        <v>119.99999999301508</v>
      </c>
    </row>
    <row r="4212">
      <c r="A4212" s="234" t="s">
        <v>5337</v>
      </c>
      <c r="B4212" s="234" t="str">
        <f>IFERROR(__xludf.DUMMYFUNCTION("""COMPUTED_VALUE"""),"LM Hub_SP_Osasco_02")</f>
        <v>LM Hub_SP_Osasco_02</v>
      </c>
      <c r="C4212" s="234" t="str">
        <f>IFERROR(__xludf.DUMMYFUNCTION("""COMPUTED_VALUE"""),"HUB-LSP-60")</f>
        <v>HUB-LSP-60</v>
      </c>
      <c r="D4212" s="234">
        <f>IFERROR(__xludf.DUMMYFUNCTION("""COMPUTED_VALUE"""),36.0)</f>
        <v>36</v>
      </c>
      <c r="E4212" s="237" t="str">
        <f>IFERROR(__xludf.DUMMYFUNCTION("""COMPUTED_VALUE"""),"LT0Q1801VFIQ1")</f>
        <v>LT0Q1801VFIQ1</v>
      </c>
      <c r="F4212" s="238" t="str">
        <f>IFERROR(__xludf.DUMMYFUNCTION("""COMPUTED_VALUE"""),"ELA6D76,TKN4J33")</f>
        <v>ELA6D76,TKN4J33</v>
      </c>
      <c r="G4212" s="238">
        <f>IFERROR(__xludf.DUMMYFUNCTION("""COMPUTED_VALUE"""),46030.91666666667)</f>
        <v>46030.91667</v>
      </c>
      <c r="H4212" s="238">
        <f>IFERROR(__xludf.DUMMYFUNCTION("""COMPUTED_VALUE"""),46031.0)</f>
        <v>46031</v>
      </c>
      <c r="I4212" s="237" t="str">
        <f t="shared" si="1"/>
        <v>Fora</v>
      </c>
      <c r="J4212" s="239">
        <v>119.99999999301508</v>
      </c>
    </row>
    <row r="4213">
      <c r="A4213" s="234" t="s">
        <v>5338</v>
      </c>
      <c r="B4213" s="234" t="str">
        <f>IFERROR(__xludf.DUMMYFUNCTION("""COMPUTED_VALUE"""),"LM Hub_SP_São José do Rio P")</f>
        <v>LM Hub_SP_São José do Rio P</v>
      </c>
      <c r="C4213" s="234" t="str">
        <f>IFERROR(__xludf.DUMMYFUNCTION("""COMPUTED_VALUE"""),"HUB-LSP-27")</f>
        <v>HUB-LSP-27</v>
      </c>
      <c r="D4213" s="234">
        <f>IFERROR(__xludf.DUMMYFUNCTION("""COMPUTED_VALUE"""),28.0)</f>
        <v>28</v>
      </c>
      <c r="E4213" s="237" t="str">
        <f>IFERROR(__xludf.DUMMYFUNCTION("""COMPUTED_VALUE"""),"LT0Q1801VJP11")</f>
        <v>LT0Q1801VJP11</v>
      </c>
      <c r="F4213" s="238" t="str">
        <f>IFERROR(__xludf.DUMMYFUNCTION("""COMPUTED_VALUE"""),"FPF7962")</f>
        <v>FPF7962</v>
      </c>
      <c r="G4213" s="238">
        <f>IFERROR(__xludf.DUMMYFUNCTION("""COMPUTED_VALUE"""),46030.91666666667)</f>
        <v>46030.91667</v>
      </c>
      <c r="H4213" s="238">
        <f>IFERROR(__xludf.DUMMYFUNCTION("""COMPUTED_VALUE"""),46031.0)</f>
        <v>46031</v>
      </c>
      <c r="I4213" s="237" t="str">
        <f t="shared" si="1"/>
        <v>Fora</v>
      </c>
      <c r="J4213" s="239">
        <v>119.99999999301508</v>
      </c>
    </row>
    <row r="4214">
      <c r="A4214" s="234" t="s">
        <v>5339</v>
      </c>
      <c r="B4214" s="234" t="str">
        <f>IFERROR(__xludf.DUMMYFUNCTION("""COMPUTED_VALUE"""),"LM Hub_SP_VilaGuilherme")</f>
        <v>LM Hub_SP_VilaGuilherme</v>
      </c>
      <c r="C4214" s="234" t="str">
        <f>IFERROR(__xludf.DUMMYFUNCTION("""COMPUTED_VALUE"""),"HUB-LSP-68")</f>
        <v>HUB-LSP-68</v>
      </c>
      <c r="D4214" s="234">
        <f>IFERROR(__xludf.DUMMYFUNCTION("""COMPUTED_VALUE"""),5.0)</f>
        <v>5</v>
      </c>
      <c r="E4214" s="237" t="str">
        <f>IFERROR(__xludf.DUMMYFUNCTION("""COMPUTED_VALUE"""),"LT1Q1801W6GY1")</f>
        <v>LT1Q1801W6GY1</v>
      </c>
      <c r="F4214" s="238" t="str">
        <f>IFERROR(__xludf.DUMMYFUNCTION("""COMPUTED_VALUE"""),"FWB7E94")</f>
        <v>FWB7E94</v>
      </c>
      <c r="G4214" s="238">
        <f>IFERROR(__xludf.DUMMYFUNCTION("""COMPUTED_VALUE"""),46030.91666666667)</f>
        <v>46030.91667</v>
      </c>
      <c r="H4214" s="238">
        <f>IFERROR(__xludf.DUMMYFUNCTION("""COMPUTED_VALUE"""),46031.0)</f>
        <v>46031</v>
      </c>
      <c r="I4214" s="237" t="str">
        <f t="shared" si="1"/>
        <v>Fora</v>
      </c>
      <c r="J4214" s="239">
        <v>119.99999999301508</v>
      </c>
    </row>
    <row r="4215">
      <c r="A4215" s="234" t="s">
        <v>5340</v>
      </c>
      <c r="B4215" s="234" t="str">
        <f>IFERROR(__xludf.DUMMYFUNCTION("""COMPUTED_VALUE"""),"SoC_SP_Cravinhos")</f>
        <v>SoC_SP_Cravinhos</v>
      </c>
      <c r="C4215" s="234" t="str">
        <f>IFERROR(__xludf.DUMMYFUNCTION("""COMPUTED_VALUE"""),"SOC-SP5")</f>
        <v>SOC-SP5</v>
      </c>
      <c r="D4215" s="234"/>
      <c r="E4215" s="237" t="str">
        <f>IFERROR(__xludf.DUMMYFUNCTION("""COMPUTED_VALUE"""),"LT1Q1801W4DG1")</f>
        <v>LT1Q1801W4DG1</v>
      </c>
      <c r="F4215" s="234"/>
      <c r="G4215" s="238">
        <f>IFERROR(__xludf.DUMMYFUNCTION("""COMPUTED_VALUE"""),46030.91666666667)</f>
        <v>46030.91667</v>
      </c>
      <c r="H4215" s="238">
        <f>IFERROR(__xludf.DUMMYFUNCTION("""COMPUTED_VALUE"""),46031.0)</f>
        <v>46031</v>
      </c>
      <c r="I4215" s="237" t="str">
        <f t="shared" si="1"/>
        <v>Fora</v>
      </c>
      <c r="J4215" s="239">
        <v>119.99999999301508</v>
      </c>
    </row>
    <row r="4216">
      <c r="A4216" s="234" t="s">
        <v>5341</v>
      </c>
      <c r="B4216" s="234" t="str">
        <f>IFERROR(__xludf.DUMMYFUNCTION("""COMPUTED_VALUE"""),"SoC_SP_Louveira")</f>
        <v>SoC_SP_Louveira</v>
      </c>
      <c r="C4216" s="234" t="str">
        <f>IFERROR(__xludf.DUMMYFUNCTION("""COMPUTED_VALUE"""),"SOC-SP7")</f>
        <v>SOC-SP7</v>
      </c>
      <c r="D4216" s="234"/>
      <c r="E4216" s="237" t="str">
        <f>IFERROR(__xludf.DUMMYFUNCTION("""COMPUTED_VALUE"""),"LT1Q1801W4DD1")</f>
        <v>LT1Q1801W4DD1</v>
      </c>
      <c r="F4216" s="234"/>
      <c r="G4216" s="238">
        <f>IFERROR(__xludf.DUMMYFUNCTION("""COMPUTED_VALUE"""),46030.91666666667)</f>
        <v>46030.91667</v>
      </c>
      <c r="H4216" s="238">
        <f>IFERROR(__xludf.DUMMYFUNCTION("""COMPUTED_VALUE"""),46031.0)</f>
        <v>46031</v>
      </c>
      <c r="I4216" s="237" t="str">
        <f t="shared" si="1"/>
        <v>Fora</v>
      </c>
      <c r="J4216" s="239">
        <v>119.00000000023283</v>
      </c>
    </row>
    <row r="4217">
      <c r="A4217" s="234" t="s">
        <v>5342</v>
      </c>
      <c r="B4217" s="234" t="str">
        <f>IFERROR(__xludf.DUMMYFUNCTION("""COMPUTED_VALUE"""),"LM Hub_SP_Santo André")</f>
        <v>LM Hub_SP_Santo André</v>
      </c>
      <c r="C4217" s="234" t="str">
        <f>IFERROR(__xludf.DUMMYFUNCTION("""COMPUTED_VALUE"""),"HUB-LSP-93")</f>
        <v>HUB-LSP-93</v>
      </c>
      <c r="D4217" s="234"/>
      <c r="E4217" s="237" t="str">
        <f>IFERROR(__xludf.DUMMYFUNCTION("""COMPUTED_VALUE"""),"LT0Q1801VI9P1")</f>
        <v>LT0Q1801VI9P1</v>
      </c>
      <c r="F4217" s="238" t="str">
        <f>IFERROR(__xludf.DUMMYFUNCTION("""COMPUTED_VALUE"""),"LLM1I97,AOF6828")</f>
        <v>LLM1I97,AOF6828</v>
      </c>
      <c r="G4217" s="238">
        <f>IFERROR(__xludf.DUMMYFUNCTION("""COMPUTED_VALUE"""),46030.91736111111)</f>
        <v>46030.91736</v>
      </c>
      <c r="H4217" s="238">
        <f>IFERROR(__xludf.DUMMYFUNCTION("""COMPUTED_VALUE"""),46031.0)</f>
        <v>46031</v>
      </c>
      <c r="I4217" s="237" t="str">
        <f t="shared" si="1"/>
        <v>Fora</v>
      </c>
      <c r="J4217" s="239">
        <v>119.99999999301508</v>
      </c>
    </row>
    <row r="4218">
      <c r="A4218" s="234" t="s">
        <v>5343</v>
      </c>
      <c r="B4218" s="234" t="str">
        <f>IFERROR(__xludf.DUMMYFUNCTION("""COMPUTED_VALUE"""),"LM Hub_SP_Jardim Adriana")</f>
        <v>LM Hub_SP_Jardim Adriana</v>
      </c>
      <c r="C4218" s="234" t="str">
        <f>IFERROR(__xludf.DUMMYFUNCTION("""COMPUTED_VALUE"""),"HUB-LSP-12")</f>
        <v>HUB-LSP-12</v>
      </c>
      <c r="D4218" s="234"/>
      <c r="E4218" s="237" t="str">
        <f>IFERROR(__xludf.DUMMYFUNCTION("""COMPUTED_VALUE"""),"LT0Q1801VFHG1")</f>
        <v>LT0Q1801VFHG1</v>
      </c>
      <c r="F4218" s="238" t="str">
        <f>IFERROR(__xludf.DUMMYFUNCTION("""COMPUTED_VALUE"""),"DJB5B15")</f>
        <v>DJB5B15</v>
      </c>
      <c r="G4218" s="238">
        <f>IFERROR(__xludf.DUMMYFUNCTION("""COMPUTED_VALUE"""),46030.9375)</f>
        <v>46030.9375</v>
      </c>
      <c r="H4218" s="238">
        <f>IFERROR(__xludf.DUMMYFUNCTION("""COMPUTED_VALUE"""),46031.02083333333)</f>
        <v>46031.02083</v>
      </c>
      <c r="I4218" s="237" t="str">
        <f t="shared" si="1"/>
        <v>Fora</v>
      </c>
      <c r="J4218" s="239">
        <v>119.99999999301508</v>
      </c>
    </row>
    <row r="4219">
      <c r="A4219" s="234" t="s">
        <v>5344</v>
      </c>
      <c r="B4219" s="234" t="str">
        <f>IFERROR(__xludf.DUMMYFUNCTION("""COMPUTED_VALUE"""),"LM Hub_SP_Parque Novo Mundo")</f>
        <v>LM Hub_SP_Parque Novo Mundo</v>
      </c>
      <c r="C4219" s="234" t="str">
        <f>IFERROR(__xludf.DUMMYFUNCTION("""COMPUTED_VALUE"""),"HUB-LSP-89")</f>
        <v>HUB-LSP-89</v>
      </c>
      <c r="D4219" s="234">
        <f>IFERROR(__xludf.DUMMYFUNCTION("""COMPUTED_VALUE"""),12.0)</f>
        <v>12</v>
      </c>
      <c r="E4219" s="237" t="str">
        <f>IFERROR(__xludf.DUMMYFUNCTION("""COMPUTED_VALUE"""),"LT0Q1801VGEO1")</f>
        <v>LT0Q1801VGEO1</v>
      </c>
      <c r="F4219" s="238" t="str">
        <f>IFERROR(__xludf.DUMMYFUNCTION("""COMPUTED_VALUE"""),"GIQ1C13,AKZ0B43")</f>
        <v>GIQ1C13,AKZ0B43</v>
      </c>
      <c r="G4219" s="238">
        <f>IFERROR(__xludf.DUMMYFUNCTION("""COMPUTED_VALUE"""),46030.9375)</f>
        <v>46030.9375</v>
      </c>
      <c r="H4219" s="238">
        <f>IFERROR(__xludf.DUMMYFUNCTION("""COMPUTED_VALUE"""),46031.02083333333)</f>
        <v>46031.02083</v>
      </c>
      <c r="I4219" s="237" t="str">
        <f t="shared" si="1"/>
        <v>Fora</v>
      </c>
      <c r="J4219" s="239">
        <v>119.99999999301508</v>
      </c>
    </row>
    <row r="4220">
      <c r="A4220" s="234" t="s">
        <v>5345</v>
      </c>
      <c r="B4220" s="234" t="str">
        <f>IFERROR(__xludf.DUMMYFUNCTION("""COMPUTED_VALUE"""),"LM Hub_SP_Piracicaba")</f>
        <v>LM Hub_SP_Piracicaba</v>
      </c>
      <c r="C4220" s="234" t="str">
        <f>IFERROR(__xludf.DUMMYFUNCTION("""COMPUTED_VALUE"""),"HUB-LSP-62")</f>
        <v>HUB-LSP-62</v>
      </c>
      <c r="D4220" s="234">
        <f>IFERROR(__xludf.DUMMYFUNCTION("""COMPUTED_VALUE"""),38.0)</f>
        <v>38</v>
      </c>
      <c r="E4220" s="237" t="str">
        <f>IFERROR(__xludf.DUMMYFUNCTION("""COMPUTED_VALUE"""),"LT0Q1801VG7V1")</f>
        <v>LT0Q1801VG7V1</v>
      </c>
      <c r="F4220" s="238" t="str">
        <f>IFERROR(__xludf.DUMMYFUNCTION("""COMPUTED_VALUE"""),"EOF4D32")</f>
        <v>EOF4D32</v>
      </c>
      <c r="G4220" s="238">
        <f>IFERROR(__xludf.DUMMYFUNCTION("""COMPUTED_VALUE"""),46030.9375)</f>
        <v>46030.9375</v>
      </c>
      <c r="H4220" s="238">
        <f>IFERROR(__xludf.DUMMYFUNCTION("""COMPUTED_VALUE"""),46031.02083333333)</f>
        <v>46031.02083</v>
      </c>
      <c r="I4220" s="237" t="str">
        <f t="shared" si="1"/>
        <v>Fora</v>
      </c>
      <c r="J4220" s="239">
        <v>119.99999999301508</v>
      </c>
    </row>
    <row r="4221">
      <c r="A4221" s="234" t="s">
        <v>5346</v>
      </c>
      <c r="B4221" s="234" t="str">
        <f>IFERROR(__xludf.DUMMYFUNCTION("""COMPUTED_VALUE"""),"LM Hub_SP_Suzano_Baruel")</f>
        <v>LM Hub_SP_Suzano_Baruel</v>
      </c>
      <c r="C4221" s="234" t="str">
        <f>IFERROR(__xludf.DUMMYFUNCTION("""COMPUTED_VALUE"""),"HUB-LSP-97")</f>
        <v>HUB-LSP-97</v>
      </c>
      <c r="D4221" s="234">
        <f>IFERROR(__xludf.DUMMYFUNCTION("""COMPUTED_VALUE"""),8.0)</f>
        <v>8</v>
      </c>
      <c r="E4221" s="237" t="str">
        <f>IFERROR(__xludf.DUMMYFUNCTION("""COMPUTED_VALUE"""),"LT0Q1801VMSP1")</f>
        <v>LT0Q1801VMSP1</v>
      </c>
      <c r="F4221" s="238" t="str">
        <f>IFERROR(__xludf.DUMMYFUNCTION("""COMPUTED_VALUE"""),"DOT3E21,EGJ9093")</f>
        <v>DOT3E21,EGJ9093</v>
      </c>
      <c r="G4221" s="238">
        <f>IFERROR(__xludf.DUMMYFUNCTION("""COMPUTED_VALUE"""),46030.9375)</f>
        <v>46030.9375</v>
      </c>
      <c r="H4221" s="238">
        <f>IFERROR(__xludf.DUMMYFUNCTION("""COMPUTED_VALUE"""),46031.02083333333)</f>
        <v>46031.02083</v>
      </c>
      <c r="I4221" s="237" t="str">
        <f t="shared" si="1"/>
        <v>Fora</v>
      </c>
      <c r="J4221" s="239">
        <v>119.99999999301508</v>
      </c>
    </row>
    <row r="4222">
      <c r="A4222" s="234" t="s">
        <v>5347</v>
      </c>
      <c r="B4222" s="234" t="str">
        <f>IFERROR(__xludf.DUMMYFUNCTION("""COMPUTED_VALUE"""),"LM Hub_SP_VilaGuilherme")</f>
        <v>LM Hub_SP_VilaGuilherme</v>
      </c>
      <c r="C4222" s="234" t="str">
        <f>IFERROR(__xludf.DUMMYFUNCTION("""COMPUTED_VALUE"""),"HUB-LSP-68")</f>
        <v>HUB-LSP-68</v>
      </c>
      <c r="D4222" s="234">
        <f>IFERROR(__xludf.DUMMYFUNCTION("""COMPUTED_VALUE"""),48.0)</f>
        <v>48</v>
      </c>
      <c r="E4222" s="237" t="str">
        <f>IFERROR(__xludf.DUMMYFUNCTION("""COMPUTED_VALUE"""),"LT0Q1801VFJ31")</f>
        <v>LT0Q1801VFJ31</v>
      </c>
      <c r="F4222" s="238" t="str">
        <f>IFERROR(__xludf.DUMMYFUNCTION("""COMPUTED_VALUE"""),"DAJ3E28")</f>
        <v>DAJ3E28</v>
      </c>
      <c r="G4222" s="238">
        <f>IFERROR(__xludf.DUMMYFUNCTION("""COMPUTED_VALUE"""),46030.9375)</f>
        <v>46030.9375</v>
      </c>
      <c r="H4222" s="238">
        <f>IFERROR(__xludf.DUMMYFUNCTION("""COMPUTED_VALUE"""),46031.02083333333)</f>
        <v>46031.02083</v>
      </c>
      <c r="I4222" s="237" t="str">
        <f t="shared" si="1"/>
        <v>Fora</v>
      </c>
      <c r="J4222" s="239">
        <v>118.99999998975545</v>
      </c>
    </row>
    <row r="4223">
      <c r="A4223" s="234" t="s">
        <v>5348</v>
      </c>
      <c r="B4223" s="234" t="str">
        <f>IFERROR(__xludf.DUMMYFUNCTION("""COMPUTED_VALUE"""),"LM Hub_SP_São Paulo_Carandiru")</f>
        <v>LM Hub_SP_São Paulo_Carandiru</v>
      </c>
      <c r="C4223" s="234" t="str">
        <f>IFERROR(__xludf.DUMMYFUNCTION("""COMPUTED_VALUE"""),"HUB-LSP-18")</f>
        <v>HUB-LSP-18</v>
      </c>
      <c r="D4223" s="234">
        <f>IFERROR(__xludf.DUMMYFUNCTION("""COMPUTED_VALUE"""),37.0)</f>
        <v>37</v>
      </c>
      <c r="E4223" s="237" t="str">
        <f>IFERROR(__xludf.DUMMYFUNCTION("""COMPUTED_VALUE"""),"LT0Q1801VFI31")</f>
        <v>LT0Q1801VFI31</v>
      </c>
      <c r="F4223" s="238" t="str">
        <f>IFERROR(__xludf.DUMMYFUNCTION("""COMPUTED_VALUE"""),"OPY9J66")</f>
        <v>OPY9J66</v>
      </c>
      <c r="G4223" s="238">
        <f>IFERROR(__xludf.DUMMYFUNCTION("""COMPUTED_VALUE"""),46030.93819444445)</f>
        <v>46030.93819</v>
      </c>
      <c r="H4223" s="238">
        <f>IFERROR(__xludf.DUMMYFUNCTION("""COMPUTED_VALUE"""),46031.02083333333)</f>
        <v>46031.02083</v>
      </c>
      <c r="I4223" s="237" t="str">
        <f t="shared" si="1"/>
        <v>Fora</v>
      </c>
      <c r="J4223" s="239">
        <v>120.00000001396984</v>
      </c>
    </row>
    <row r="4224">
      <c r="A4224" s="234" t="s">
        <v>5349</v>
      </c>
      <c r="B4224" s="234" t="str">
        <f>IFERROR(__xludf.DUMMYFUNCTION("""COMPUTED_VALUE"""),"LM Hub_RJ_Nova Iguaçu")</f>
        <v>LM Hub_RJ_Nova Iguaçu</v>
      </c>
      <c r="C4224" s="234" t="str">
        <f>IFERROR(__xludf.DUMMYFUNCTION("""COMPUTED_VALUE"""),"HUB-LRJ-27")</f>
        <v>HUB-LRJ-27</v>
      </c>
      <c r="D4224" s="234"/>
      <c r="E4224" s="237" t="str">
        <f>IFERROR(__xludf.DUMMYFUNCTION("""COMPUTED_VALUE"""),"LT0Q1801VLGY1")</f>
        <v>LT0Q1801VLGY1</v>
      </c>
      <c r="F4224" s="238" t="str">
        <f>IFERROR(__xludf.DUMMYFUNCTION("""COMPUTED_VALUE"""),"TBZ3E78")</f>
        <v>TBZ3E78</v>
      </c>
      <c r="G4224" s="238">
        <f>IFERROR(__xludf.DUMMYFUNCTION("""COMPUTED_VALUE"""),46030.95833333333)</f>
        <v>46030.95833</v>
      </c>
      <c r="H4224" s="238">
        <f>IFERROR(__xludf.DUMMYFUNCTION("""COMPUTED_VALUE"""),46031.04166666667)</f>
        <v>46031.04167</v>
      </c>
      <c r="I4224" s="237" t="str">
        <f t="shared" si="1"/>
        <v>Fora</v>
      </c>
      <c r="J4224" s="239">
        <v>120.00000001396984</v>
      </c>
    </row>
    <row r="4225">
      <c r="A4225" s="234" t="s">
        <v>5350</v>
      </c>
      <c r="B4225" s="234" t="str">
        <f>IFERROR(__xludf.DUMMYFUNCTION("""COMPUTED_VALUE"""),"LM Hub_RJ_Rio de Janeiro_Campo G")</f>
        <v>LM Hub_RJ_Rio de Janeiro_Campo G</v>
      </c>
      <c r="C4225" s="234" t="str">
        <f>IFERROR(__xludf.DUMMYFUNCTION("""COMPUTED_VALUE"""),"HUB-LRJ-04")</f>
        <v>HUB-LRJ-04</v>
      </c>
      <c r="D4225" s="234">
        <f>IFERROR(__xludf.DUMMYFUNCTION("""COMPUTED_VALUE"""),49.0)</f>
        <v>49</v>
      </c>
      <c r="E4225" s="237" t="str">
        <f>IFERROR(__xludf.DUMMYFUNCTION("""COMPUTED_VALUE"""),"LT0Q1801VFNX1")</f>
        <v>LT0Q1801VFNX1</v>
      </c>
      <c r="F4225" s="238" t="str">
        <f>IFERROR(__xludf.DUMMYFUNCTION("""COMPUTED_VALUE"""),"TBB5J93")</f>
        <v>TBB5J93</v>
      </c>
      <c r="G4225" s="238">
        <f>IFERROR(__xludf.DUMMYFUNCTION("""COMPUTED_VALUE"""),46030.95833333333)</f>
        <v>46030.95833</v>
      </c>
      <c r="H4225" s="238">
        <f>IFERROR(__xludf.DUMMYFUNCTION("""COMPUTED_VALUE"""),46031.04166666667)</f>
        <v>46031.04167</v>
      </c>
      <c r="I4225" s="237" t="str">
        <f t="shared" si="1"/>
        <v>Fora</v>
      </c>
      <c r="J4225" s="239">
        <v>120.00000001396984</v>
      </c>
    </row>
    <row r="4226">
      <c r="A4226" s="234" t="s">
        <v>5351</v>
      </c>
      <c r="B4226" s="234" t="str">
        <f>IFERROR(__xludf.DUMMYFUNCTION("""COMPUTED_VALUE"""),"LM Hub_RJ_São João do Meriti")</f>
        <v>LM Hub_RJ_São João do Meriti</v>
      </c>
      <c r="C4226" s="234" t="str">
        <f>IFERROR(__xludf.DUMMYFUNCTION("""COMPUTED_VALUE"""),"HUB-LRJ-01")</f>
        <v>HUB-LRJ-01</v>
      </c>
      <c r="D4226" s="234">
        <f>IFERROR(__xludf.DUMMYFUNCTION("""COMPUTED_VALUE"""),14.0)</f>
        <v>14</v>
      </c>
      <c r="E4226" s="237" t="str">
        <f>IFERROR(__xludf.DUMMYFUNCTION("""COMPUTED_VALUE"""),"LT0Q1801VLHV1")</f>
        <v>LT0Q1801VLHV1</v>
      </c>
      <c r="F4226" s="238" t="str">
        <f>IFERROR(__xludf.DUMMYFUNCTION("""COMPUTED_VALUE"""),"GGC2A51")</f>
        <v>GGC2A51</v>
      </c>
      <c r="G4226" s="238">
        <f>IFERROR(__xludf.DUMMYFUNCTION("""COMPUTED_VALUE"""),46030.95833333333)</f>
        <v>46030.95833</v>
      </c>
      <c r="H4226" s="238">
        <f>IFERROR(__xludf.DUMMYFUNCTION("""COMPUTED_VALUE"""),46031.04166666667)</f>
        <v>46031.04167</v>
      </c>
      <c r="I4226" s="237" t="str">
        <f t="shared" si="1"/>
        <v>Fora</v>
      </c>
      <c r="J4226" s="239">
        <v>120.00000001396984</v>
      </c>
    </row>
    <row r="4227">
      <c r="A4227" s="234" t="s">
        <v>5352</v>
      </c>
      <c r="B4227" s="234" t="str">
        <f>IFERROR(__xludf.DUMMYFUNCTION("""COMPUTED_VALUE"""),"LM Hub_SP_Jundiaí")</f>
        <v>LM Hub_SP_Jundiaí</v>
      </c>
      <c r="C4227" s="234" t="str">
        <f>IFERROR(__xludf.DUMMYFUNCTION("""COMPUTED_VALUE"""),"HUB-LSP-100")</f>
        <v>HUB-LSP-100</v>
      </c>
      <c r="D4227" s="234">
        <f>IFERROR(__xludf.DUMMYFUNCTION("""COMPUTED_VALUE"""),25.0)</f>
        <v>25</v>
      </c>
      <c r="E4227" s="237" t="str">
        <f>IFERROR(__xludf.DUMMYFUNCTION("""COMPUTED_VALUE"""),"LT0Q1801VMDD1")</f>
        <v>LT0Q1801VMDD1</v>
      </c>
      <c r="F4227" s="238" t="str">
        <f>IFERROR(__xludf.DUMMYFUNCTION("""COMPUTED_VALUE"""),"EOK0A95")</f>
        <v>EOK0A95</v>
      </c>
      <c r="G4227" s="238">
        <f>IFERROR(__xludf.DUMMYFUNCTION("""COMPUTED_VALUE"""),46030.95833333333)</f>
        <v>46030.95833</v>
      </c>
      <c r="H4227" s="238">
        <f>IFERROR(__xludf.DUMMYFUNCTION("""COMPUTED_VALUE"""),46031.04166666667)</f>
        <v>46031.04167</v>
      </c>
      <c r="I4227" s="237" t="str">
        <f t="shared" si="1"/>
        <v>Fora</v>
      </c>
      <c r="J4227" s="239">
        <v>120.00000001396984</v>
      </c>
    </row>
    <row r="4228">
      <c r="A4228" s="234" t="s">
        <v>5353</v>
      </c>
      <c r="B4228" s="234" t="str">
        <f>IFERROR(__xludf.DUMMYFUNCTION("""COMPUTED_VALUE"""),"LM Hub_SP_Mogi Mirim")</f>
        <v>LM Hub_SP_Mogi Mirim</v>
      </c>
      <c r="C4228" s="234" t="str">
        <f>IFERROR(__xludf.DUMMYFUNCTION("""COMPUTED_VALUE"""),"HUB-LSP-37")</f>
        <v>HUB-LSP-37</v>
      </c>
      <c r="D4228" s="234">
        <f>IFERROR(__xludf.DUMMYFUNCTION("""COMPUTED_VALUE"""),40.0)</f>
        <v>40</v>
      </c>
      <c r="E4228" s="237" t="str">
        <f>IFERROR(__xludf.DUMMYFUNCTION("""COMPUTED_VALUE"""),"LT0Q1801VFN21")</f>
        <v>LT0Q1801VFN21</v>
      </c>
      <c r="F4228" s="238" t="str">
        <f>IFERROR(__xludf.DUMMYFUNCTION("""COMPUTED_VALUE"""),"SWU6I91,DTC7026")</f>
        <v>SWU6I91,DTC7026</v>
      </c>
      <c r="G4228" s="238">
        <f>IFERROR(__xludf.DUMMYFUNCTION("""COMPUTED_VALUE"""),46030.95833333333)</f>
        <v>46030.95833</v>
      </c>
      <c r="H4228" s="238">
        <f>IFERROR(__xludf.DUMMYFUNCTION("""COMPUTED_VALUE"""),46031.04166666667)</f>
        <v>46031.04167</v>
      </c>
      <c r="I4228" s="237" t="str">
        <f t="shared" si="1"/>
        <v>Fora</v>
      </c>
      <c r="J4228" s="239">
        <v>120.00000001396984</v>
      </c>
    </row>
    <row r="4229">
      <c r="A4229" s="234" t="s">
        <v>5354</v>
      </c>
      <c r="B4229" s="234" t="str">
        <f>IFERROR(__xludf.DUMMYFUNCTION("""COMPUTED_VALUE"""),"SoC_RJ_Duque de Caxias")</f>
        <v>SoC_RJ_Duque de Caxias</v>
      </c>
      <c r="C4229" s="234" t="str">
        <f>IFERROR(__xludf.DUMMYFUNCTION("""COMPUTED_VALUE"""),"SOC-RJ2")</f>
        <v>SOC-RJ2</v>
      </c>
      <c r="D4229" s="234">
        <f>IFERROR(__xludf.DUMMYFUNCTION("""COMPUTED_VALUE"""),113.0)</f>
        <v>113</v>
      </c>
      <c r="E4229" s="237" t="str">
        <f>IFERROR(__xludf.DUMMYFUNCTION("""COMPUTED_VALUE"""),"LT1Q1801W4DK1")</f>
        <v>LT1Q1801W4DK1</v>
      </c>
      <c r="F4229" s="238" t="str">
        <f>IFERROR(__xludf.DUMMYFUNCTION("""COMPUTED_VALUE"""),"HLC5098,QOU0627")</f>
        <v>HLC5098,QOU0627</v>
      </c>
      <c r="G4229" s="238">
        <f>IFERROR(__xludf.DUMMYFUNCTION("""COMPUTED_VALUE"""),46030.95833333333)</f>
        <v>46030.95833</v>
      </c>
      <c r="H4229" s="238">
        <f>IFERROR(__xludf.DUMMYFUNCTION("""COMPUTED_VALUE"""),46031.04166666667)</f>
        <v>46031.04167</v>
      </c>
      <c r="I4229" s="237" t="str">
        <f t="shared" si="1"/>
        <v>Fora</v>
      </c>
      <c r="J4229" s="239">
        <v>119.99999999301508</v>
      </c>
    </row>
    <row r="4230">
      <c r="A4230" s="234" t="s">
        <v>5355</v>
      </c>
      <c r="B4230" s="234" t="str">
        <f>IFERROR(__xludf.DUMMYFUNCTION("""COMPUTED_VALUE"""),"LM Hub_SP_Araraquara")</f>
        <v>LM Hub_SP_Araraquara</v>
      </c>
      <c r="C4230" s="234" t="str">
        <f>IFERROR(__xludf.DUMMYFUNCTION("""COMPUTED_VALUE"""),"HUB-LSP-29")</f>
        <v>HUB-LSP-29</v>
      </c>
      <c r="D4230" s="234">
        <f>IFERROR(__xludf.DUMMYFUNCTION("""COMPUTED_VALUE"""),32.0)</f>
        <v>32</v>
      </c>
      <c r="E4230" s="237" t="str">
        <f>IFERROR(__xludf.DUMMYFUNCTION("""COMPUTED_VALUE"""),"LT0Q1801VFN61")</f>
        <v>LT0Q1801VFN61</v>
      </c>
      <c r="F4230" s="238" t="str">
        <f>IFERROR(__xludf.DUMMYFUNCTION("""COMPUTED_VALUE"""),"CUB8D85")</f>
        <v>CUB8D85</v>
      </c>
      <c r="G4230" s="238">
        <f>IFERROR(__xludf.DUMMYFUNCTION("""COMPUTED_VALUE"""),46030.97916666667)</f>
        <v>46030.97917</v>
      </c>
      <c r="H4230" s="238">
        <f>IFERROR(__xludf.DUMMYFUNCTION("""COMPUTED_VALUE"""),46031.0625)</f>
        <v>46031.0625</v>
      </c>
      <c r="I4230" s="237" t="str">
        <f t="shared" si="1"/>
        <v>Fora</v>
      </c>
      <c r="J4230" s="239">
        <v>119.99999999301508</v>
      </c>
    </row>
    <row r="4231">
      <c r="A4231" s="234" t="s">
        <v>5356</v>
      </c>
      <c r="B4231" s="234" t="str">
        <f>IFERROR(__xludf.DUMMYFUNCTION("""COMPUTED_VALUE"""),"LM Hub_SP_Atibaia_Ponte_Alta")</f>
        <v>LM Hub_SP_Atibaia_Ponte_Alta</v>
      </c>
      <c r="C4231" s="234" t="str">
        <f>IFERROR(__xludf.DUMMYFUNCTION("""COMPUTED_VALUE"""),"HUB-LSP-87")</f>
        <v>HUB-LSP-87</v>
      </c>
      <c r="D4231" s="234">
        <f>IFERROR(__xludf.DUMMYFUNCTION("""COMPUTED_VALUE"""),26.0)</f>
        <v>26</v>
      </c>
      <c r="E4231" s="237" t="str">
        <f>IFERROR(__xludf.DUMMYFUNCTION("""COMPUTED_VALUE"""),"LT0Q1801VJKI1")</f>
        <v>LT0Q1801VJKI1</v>
      </c>
      <c r="F4231" s="238" t="str">
        <f>IFERROR(__xludf.DUMMYFUNCTION("""COMPUTED_VALUE"""),"EXF3J05")</f>
        <v>EXF3J05</v>
      </c>
      <c r="G4231" s="238">
        <f>IFERROR(__xludf.DUMMYFUNCTION("""COMPUTED_VALUE"""),46030.97916666667)</f>
        <v>46030.97917</v>
      </c>
      <c r="H4231" s="238">
        <f>IFERROR(__xludf.DUMMYFUNCTION("""COMPUTED_VALUE"""),46031.0625)</f>
        <v>46031.0625</v>
      </c>
      <c r="I4231" s="237" t="str">
        <f t="shared" si="1"/>
        <v>Fora</v>
      </c>
      <c r="J4231" s="239">
        <v>119.99999999301508</v>
      </c>
    </row>
    <row r="4232">
      <c r="A4232" s="234" t="s">
        <v>5357</v>
      </c>
      <c r="B4232" s="234" t="str">
        <f>IFERROR(__xludf.DUMMYFUNCTION("""COMPUTED_VALUE"""),"LM Hub_SP_Várzea Paulista")</f>
        <v>LM Hub_SP_Várzea Paulista</v>
      </c>
      <c r="C4232" s="234" t="str">
        <f>IFERROR(__xludf.DUMMYFUNCTION("""COMPUTED_VALUE"""),"HUB-LSP-61")</f>
        <v>HUB-LSP-61</v>
      </c>
      <c r="D4232" s="234">
        <f>IFERROR(__xludf.DUMMYFUNCTION("""COMPUTED_VALUE"""),18.0)</f>
        <v>18</v>
      </c>
      <c r="E4232" s="237" t="str">
        <f>IFERROR(__xludf.DUMMYFUNCTION("""COMPUTED_VALUE"""),"LT0Q1801VFMA1")</f>
        <v>LT0Q1801VFMA1</v>
      </c>
      <c r="F4232" s="238" t="str">
        <f>IFERROR(__xludf.DUMMYFUNCTION("""COMPUTED_VALUE"""),"AQM6H26,FZZ0G17")</f>
        <v>AQM6H26,FZZ0G17</v>
      </c>
      <c r="G4232" s="238">
        <f>IFERROR(__xludf.DUMMYFUNCTION("""COMPUTED_VALUE"""),46030.97916666667)</f>
        <v>46030.97917</v>
      </c>
      <c r="H4232" s="238">
        <f>IFERROR(__xludf.DUMMYFUNCTION("""COMPUTED_VALUE"""),46031.0625)</f>
        <v>46031.0625</v>
      </c>
      <c r="I4232" s="237" t="str">
        <f t="shared" si="1"/>
        <v>Fora</v>
      </c>
      <c r="J4232" s="239">
        <v>119.99999999301508</v>
      </c>
    </row>
    <row r="4233">
      <c r="A4233" s="234" t="s">
        <v>5358</v>
      </c>
      <c r="B4233" s="234" t="str">
        <f>IFERROR(__xludf.DUMMYFUNCTION("""COMPUTED_VALUE"""),"LM Hub_RJ_Ilha do Governador")</f>
        <v>LM Hub_RJ_Ilha do Governador</v>
      </c>
      <c r="C4233" s="234" t="str">
        <f>IFERROR(__xludf.DUMMYFUNCTION("""COMPUTED_VALUE"""),"HUB-LRJ-32")</f>
        <v>HUB-LRJ-32</v>
      </c>
      <c r="D4233" s="234">
        <f>IFERROR(__xludf.DUMMYFUNCTION("""COMPUTED_VALUE"""),6.0)</f>
        <v>6</v>
      </c>
      <c r="E4233" s="237" t="str">
        <f>IFERROR(__xludf.DUMMYFUNCTION("""COMPUTED_VALUE"""),"LT0Q1901VLHC1")</f>
        <v>LT0Q1901VLHC1</v>
      </c>
      <c r="F4233" s="238" t="str">
        <f>IFERROR(__xludf.DUMMYFUNCTION("""COMPUTED_VALUE"""),"BYX8E60")</f>
        <v>BYX8E60</v>
      </c>
      <c r="G4233" s="238">
        <f>IFERROR(__xludf.DUMMYFUNCTION("""COMPUTED_VALUE"""),46031.0)</f>
        <v>46031</v>
      </c>
      <c r="H4233" s="238">
        <f>IFERROR(__xludf.DUMMYFUNCTION("""COMPUTED_VALUE"""),46031.08333333333)</f>
        <v>46031.08333</v>
      </c>
      <c r="I4233" s="237" t="str">
        <f t="shared" si="1"/>
        <v>Fora</v>
      </c>
      <c r="J4233" s="239">
        <v>119.99999999301508</v>
      </c>
    </row>
    <row r="4234">
      <c r="A4234" s="234" t="s">
        <v>5359</v>
      </c>
      <c r="B4234" s="234" t="str">
        <f>IFERROR(__xludf.DUMMYFUNCTION("""COMPUTED_VALUE"""),"SoC_PR_Curitiba")</f>
        <v>SoC_PR_Curitiba</v>
      </c>
      <c r="C4234" s="234" t="str">
        <f>IFERROR(__xludf.DUMMYFUNCTION("""COMPUTED_VALUE"""),"SOC-PR1")</f>
        <v>SOC-PR1</v>
      </c>
      <c r="D4234" s="234">
        <f>IFERROR(__xludf.DUMMYFUNCTION("""COMPUTED_VALUE"""),9.0)</f>
        <v>9</v>
      </c>
      <c r="E4234" s="237" t="str">
        <f>IFERROR(__xludf.DUMMYFUNCTION("""COMPUTED_VALUE"""),"LT0Q1901VFFG1")</f>
        <v>LT0Q1901VFFG1</v>
      </c>
      <c r="F4234" s="238" t="str">
        <f>IFERROR(__xludf.DUMMYFUNCTION("""COMPUTED_VALUE"""),"TAW1D02,BEX8B12")</f>
        <v>TAW1D02,BEX8B12</v>
      </c>
      <c r="G4234" s="238">
        <f>IFERROR(__xludf.DUMMYFUNCTION("""COMPUTED_VALUE"""),46031.0)</f>
        <v>46031</v>
      </c>
      <c r="H4234" s="238">
        <f>IFERROR(__xludf.DUMMYFUNCTION("""COMPUTED_VALUE"""),46031.08333333333)</f>
        <v>46031.08333</v>
      </c>
      <c r="I4234" s="237" t="str">
        <f t="shared" si="1"/>
        <v>Fora</v>
      </c>
      <c r="J4234" s="239">
        <v>119.99999999301508</v>
      </c>
    </row>
    <row r="4235">
      <c r="A4235" s="234" t="s">
        <v>5360</v>
      </c>
      <c r="B4235" s="234" t="str">
        <f>IFERROR(__xludf.DUMMYFUNCTION("""COMPUTED_VALUE"""),"SoC_RJ_Duque de Caxias")</f>
        <v>SoC_RJ_Duque de Caxias</v>
      </c>
      <c r="C4235" s="234" t="str">
        <f>IFERROR(__xludf.DUMMYFUNCTION("""COMPUTED_VALUE"""),"SOC-RJ2")</f>
        <v>SOC-RJ2</v>
      </c>
      <c r="D4235" s="234">
        <f>IFERROR(__xludf.DUMMYFUNCTION("""COMPUTED_VALUE"""),110.0)</f>
        <v>110</v>
      </c>
      <c r="E4235" s="237" t="str">
        <f>IFERROR(__xludf.DUMMYFUNCTION("""COMPUTED_VALUE"""),"LT1Q1901W4DL1")</f>
        <v>LT1Q1901W4DL1</v>
      </c>
      <c r="F4235" s="238" t="str">
        <f>IFERROR(__xludf.DUMMYFUNCTION("""COMPUTED_VALUE"""),"TLW4H03,UDA5E04")</f>
        <v>TLW4H03,UDA5E04</v>
      </c>
      <c r="G4235" s="238">
        <f>IFERROR(__xludf.DUMMYFUNCTION("""COMPUTED_VALUE"""),46031.0)</f>
        <v>46031</v>
      </c>
      <c r="H4235" s="238">
        <f>IFERROR(__xludf.DUMMYFUNCTION("""COMPUTED_VALUE"""),46031.08333333333)</f>
        <v>46031.08333</v>
      </c>
      <c r="I4235" s="237" t="str">
        <f t="shared" si="1"/>
        <v>Fora</v>
      </c>
      <c r="J4235" s="239">
        <v>119.99999999301508</v>
      </c>
    </row>
    <row r="4236">
      <c r="A4236" s="234" t="s">
        <v>5361</v>
      </c>
      <c r="B4236" s="234" t="str">
        <f>IFERROR(__xludf.DUMMYFUNCTION("""COMPUTED_VALUE"""),"SoC_SC_Itajaí")</f>
        <v>SoC_SC_Itajaí</v>
      </c>
      <c r="C4236" s="234" t="str">
        <f>IFERROR(__xludf.DUMMYFUNCTION("""COMPUTED_VALUE"""),"SOC-SC1")</f>
        <v>SOC-SC1</v>
      </c>
      <c r="D4236" s="234">
        <f>IFERROR(__xludf.DUMMYFUNCTION("""COMPUTED_VALUE"""),7.0)</f>
        <v>7</v>
      </c>
      <c r="E4236" s="237" t="str">
        <f>IFERROR(__xludf.DUMMYFUNCTION("""COMPUTED_VALUE"""),"LT1Q1801W4WD1")</f>
        <v>LT1Q1801W4WD1</v>
      </c>
      <c r="F4236" s="238" t="str">
        <f>IFERROR(__xludf.DUMMYFUNCTION("""COMPUTED_VALUE"""),"GEE8F17,RXT4D33")</f>
        <v>GEE8F17,RXT4D33</v>
      </c>
      <c r="G4236" s="238">
        <f>IFERROR(__xludf.DUMMYFUNCTION("""COMPUTED_VALUE"""),46031.0)</f>
        <v>46031</v>
      </c>
      <c r="H4236" s="238">
        <f>IFERROR(__xludf.DUMMYFUNCTION("""COMPUTED_VALUE"""),46031.08333333333)</f>
        <v>46031.08333</v>
      </c>
      <c r="I4236" s="237" t="str">
        <f t="shared" si="1"/>
        <v>Fora</v>
      </c>
      <c r="J4236" s="239">
        <v>119.99999999301508</v>
      </c>
    </row>
    <row r="4237">
      <c r="A4237" s="234" t="s">
        <v>5362</v>
      </c>
      <c r="B4237" s="234" t="str">
        <f>IFERROR(__xludf.DUMMYFUNCTION("""COMPUTED_VALUE"""),"SoC_SP_Louveira")</f>
        <v>SoC_SP_Louveira</v>
      </c>
      <c r="C4237" s="234" t="str">
        <f>IFERROR(__xludf.DUMMYFUNCTION("""COMPUTED_VALUE"""),"SOC-SP7")</f>
        <v>SOC-SP7</v>
      </c>
      <c r="D4237" s="234"/>
      <c r="E4237" s="237" t="str">
        <f>IFERROR(__xludf.DUMMYFUNCTION("""COMPUTED_VALUE"""),"LT0Q1801VFGX1")</f>
        <v>LT0Q1801VFGX1</v>
      </c>
      <c r="F4237" s="238" t="str">
        <f>IFERROR(__xludf.DUMMYFUNCTION("""COMPUTED_VALUE"""),"FVJ4C52,FKH0E62")</f>
        <v>FVJ4C52,FKH0E62</v>
      </c>
      <c r="G4237" s="238">
        <f>IFERROR(__xludf.DUMMYFUNCTION("""COMPUTED_VALUE"""),46031.0)</f>
        <v>46031</v>
      </c>
      <c r="H4237" s="238">
        <f>IFERROR(__xludf.DUMMYFUNCTION("""COMPUTED_VALUE"""),46031.08333333333)</f>
        <v>46031.08333</v>
      </c>
      <c r="I4237" s="237" t="str">
        <f t="shared" si="1"/>
        <v>Fora</v>
      </c>
      <c r="J4237" s="239">
        <v>120.00000001396984</v>
      </c>
    </row>
    <row r="4238">
      <c r="A4238" s="234" t="s">
        <v>5363</v>
      </c>
      <c r="B4238" s="234" t="str">
        <f>IFERROR(__xludf.DUMMYFUNCTION("""COMPUTED_VALUE"""),"LM Hub_MG_Varginha_Fausto")</f>
        <v>LM Hub_MG_Varginha_Fausto</v>
      </c>
      <c r="C4238" s="234" t="str">
        <f>IFERROR(__xludf.DUMMYFUNCTION("""COMPUTED_VALUE"""),"HUB-LMG-45")</f>
        <v>HUB-LMG-45</v>
      </c>
      <c r="D4238" s="234">
        <f>IFERROR(__xludf.DUMMYFUNCTION("""COMPUTED_VALUE"""),46.0)</f>
        <v>46</v>
      </c>
      <c r="E4238" s="237" t="str">
        <f>IFERROR(__xludf.DUMMYFUNCTION("""COMPUTED_VALUE"""),"LT0Q1901VKWZ1")</f>
        <v>LT0Q1901VKWZ1</v>
      </c>
      <c r="F4238" s="238" t="str">
        <f>IFERROR(__xludf.DUMMYFUNCTION("""COMPUTED_VALUE"""),"SUE5F33")</f>
        <v>SUE5F33</v>
      </c>
      <c r="G4238" s="238">
        <f>IFERROR(__xludf.DUMMYFUNCTION("""COMPUTED_VALUE"""),46031.02083333333)</f>
        <v>46031.02083</v>
      </c>
      <c r="H4238" s="238">
        <f>IFERROR(__xludf.DUMMYFUNCTION("""COMPUTED_VALUE"""),46031.10416666667)</f>
        <v>46031.10417</v>
      </c>
      <c r="I4238" s="237" t="str">
        <f t="shared" si="1"/>
        <v>Fora</v>
      </c>
      <c r="J4238" s="239">
        <v>479.9999999930151</v>
      </c>
    </row>
    <row r="4239">
      <c r="A4239" s="234" t="s">
        <v>5364</v>
      </c>
      <c r="B4239" s="234" t="str">
        <f>IFERROR(__xludf.DUMMYFUNCTION("""COMPUTED_VALUE"""),"SoC_MG_Betim")</f>
        <v>SoC_MG_Betim</v>
      </c>
      <c r="C4239" s="234" t="str">
        <f>IFERROR(__xludf.DUMMYFUNCTION("""COMPUTED_VALUE"""),"SOC-MG2")</f>
        <v>SOC-MG2</v>
      </c>
      <c r="D4239" s="234">
        <f>IFERROR(__xludf.DUMMYFUNCTION("""COMPUTED_VALUE"""),91.0)</f>
        <v>91</v>
      </c>
      <c r="E4239" s="237" t="str">
        <f>IFERROR(__xludf.DUMMYFUNCTION("""COMPUTED_VALUE"""),"LT1Q1801W4W41")</f>
        <v>LT1Q1801W4W41</v>
      </c>
      <c r="F4239" s="238" t="str">
        <f>IFERROR(__xludf.DUMMYFUNCTION("""COMPUTED_VALUE"""),"GIC2A20,BYC4D58")</f>
        <v>GIC2A20,BYC4D58</v>
      </c>
      <c r="G4239" s="238">
        <f>IFERROR(__xludf.DUMMYFUNCTION("""COMPUTED_VALUE"""),46030.79166666667)</f>
        <v>46030.79167</v>
      </c>
      <c r="H4239" s="238">
        <f>IFERROR(__xludf.DUMMYFUNCTION("""COMPUTED_VALUE"""),46031.125)</f>
        <v>46031.125</v>
      </c>
      <c r="I4239" s="237" t="str">
        <f t="shared" si="1"/>
        <v>Fora</v>
      </c>
      <c r="J4239" s="239">
        <v>119.99999999301508</v>
      </c>
    </row>
    <row r="4240">
      <c r="A4240" s="234" t="s">
        <v>5365</v>
      </c>
      <c r="B4240" s="234" t="str">
        <f>IFERROR(__xludf.DUMMYFUNCTION("""COMPUTED_VALUE"""),"SoC_MG_Betim")</f>
        <v>SoC_MG_Betim</v>
      </c>
      <c r="C4240" s="234" t="str">
        <f>IFERROR(__xludf.DUMMYFUNCTION("""COMPUTED_VALUE"""),"SOC-MG2")</f>
        <v>SOC-MG2</v>
      </c>
      <c r="D4240" s="234">
        <f>IFERROR(__xludf.DUMMYFUNCTION("""COMPUTED_VALUE"""),15.0)</f>
        <v>15</v>
      </c>
      <c r="E4240" s="237" t="str">
        <f>IFERROR(__xludf.DUMMYFUNCTION("""COMPUTED_VALUE"""),"LT1Q1901W4DS1")</f>
        <v>LT1Q1901W4DS1</v>
      </c>
      <c r="F4240" s="238" t="str">
        <f>IFERROR(__xludf.DUMMYFUNCTION("""COMPUTED_VALUE"""),"SKL5D90,EZL3005")</f>
        <v>SKL5D90,EZL3005</v>
      </c>
      <c r="G4240" s="238">
        <f>IFERROR(__xludf.DUMMYFUNCTION("""COMPUTED_VALUE"""),46031.04166666667)</f>
        <v>46031.04167</v>
      </c>
      <c r="H4240" s="238">
        <f>IFERROR(__xludf.DUMMYFUNCTION("""COMPUTED_VALUE"""),46031.125)</f>
        <v>46031.125</v>
      </c>
      <c r="I4240" s="237" t="str">
        <f t="shared" si="1"/>
        <v>Fora</v>
      </c>
      <c r="J4240" s="239">
        <v>119.99999999301508</v>
      </c>
    </row>
    <row r="4241">
      <c r="A4241" s="234" t="s">
        <v>5366</v>
      </c>
      <c r="B4241" s="234" t="str">
        <f>IFERROR(__xludf.DUMMYFUNCTION("""COMPUTED_VALUE"""),"SoC_PR_Curitiba")</f>
        <v>SoC_PR_Curitiba</v>
      </c>
      <c r="C4241" s="234" t="str">
        <f>IFERROR(__xludf.DUMMYFUNCTION("""COMPUTED_VALUE"""),"SOC-PR1")</f>
        <v>SOC-PR1</v>
      </c>
      <c r="D4241" s="234">
        <f>IFERROR(__xludf.DUMMYFUNCTION("""COMPUTED_VALUE"""),13.0)</f>
        <v>13</v>
      </c>
      <c r="E4241" s="237" t="str">
        <f>IFERROR(__xludf.DUMMYFUNCTION("""COMPUTED_VALUE"""),"LT1Q1901W4W51")</f>
        <v>LT1Q1901W4W51</v>
      </c>
      <c r="F4241" s="238" t="str">
        <f>IFERROR(__xludf.DUMMYFUNCTION("""COMPUTED_VALUE"""),"MLW0D88,EPU0I70")</f>
        <v>MLW0D88,EPU0I70</v>
      </c>
      <c r="G4241" s="238">
        <f>IFERROR(__xludf.DUMMYFUNCTION("""COMPUTED_VALUE"""),46031.04166666667)</f>
        <v>46031.04167</v>
      </c>
      <c r="H4241" s="238">
        <f>IFERROR(__xludf.DUMMYFUNCTION("""COMPUTED_VALUE"""),46031.125)</f>
        <v>46031.125</v>
      </c>
      <c r="I4241" s="237" t="str">
        <f t="shared" si="1"/>
        <v>Fora</v>
      </c>
      <c r="J4241" s="239">
        <v>119.99999999301508</v>
      </c>
    </row>
    <row r="4242">
      <c r="A4242" s="234" t="s">
        <v>5367</v>
      </c>
      <c r="B4242" s="234" t="str">
        <f>IFERROR(__xludf.DUMMYFUNCTION("""COMPUTED_VALUE"""),"SoC_RJ_Duque de Caxias")</f>
        <v>SoC_RJ_Duque de Caxias</v>
      </c>
      <c r="C4242" s="234" t="str">
        <f>IFERROR(__xludf.DUMMYFUNCTION("""COMPUTED_VALUE"""),"SOC-RJ2")</f>
        <v>SOC-RJ2</v>
      </c>
      <c r="D4242" s="234">
        <f>IFERROR(__xludf.DUMMYFUNCTION("""COMPUTED_VALUE"""),97.0)</f>
        <v>97</v>
      </c>
      <c r="E4242" s="237" t="str">
        <f>IFERROR(__xludf.DUMMYFUNCTION("""COMPUTED_VALUE"""),"LT1Q1901W4DM1")</f>
        <v>LT1Q1901W4DM1</v>
      </c>
      <c r="F4242" s="238" t="str">
        <f>IFERROR(__xludf.DUMMYFUNCTION("""COMPUTED_VALUE"""),"ODM5D47,QIG2D94")</f>
        <v>ODM5D47,QIG2D94</v>
      </c>
      <c r="G4242" s="238">
        <f>IFERROR(__xludf.DUMMYFUNCTION("""COMPUTED_VALUE"""),46031.04166666667)</f>
        <v>46031.04167</v>
      </c>
      <c r="H4242" s="238">
        <f>IFERROR(__xludf.DUMMYFUNCTION("""COMPUTED_VALUE"""),46031.125)</f>
        <v>46031.125</v>
      </c>
      <c r="I4242" s="237" t="str">
        <f t="shared" si="1"/>
        <v>Fora</v>
      </c>
      <c r="J4242" s="239">
        <v>119.99999999301508</v>
      </c>
    </row>
    <row r="4243">
      <c r="A4243" s="234" t="s">
        <v>5368</v>
      </c>
      <c r="B4243" s="234" t="str">
        <f>IFERROR(__xludf.DUMMYFUNCTION("""COMPUTED_VALUE"""),"SoC_SP_Guarulhos")</f>
        <v>SoC_SP_Guarulhos</v>
      </c>
      <c r="C4243" s="234" t="str">
        <f>IFERROR(__xludf.DUMMYFUNCTION("""COMPUTED_VALUE"""),"SOC-SP6")</f>
        <v>SOC-SP6</v>
      </c>
      <c r="D4243" s="234"/>
      <c r="E4243" s="237" t="str">
        <f>IFERROR(__xludf.DUMMYFUNCTION("""COMPUTED_VALUE"""),"LT1Q1901W4VZ1")</f>
        <v>LT1Q1901W4VZ1</v>
      </c>
      <c r="F4243" s="238" t="str">
        <f>IFERROR(__xludf.DUMMYFUNCTION("""COMPUTED_VALUE"""),"EGK9C21,BWF7187")</f>
        <v>EGK9C21,BWF7187</v>
      </c>
      <c r="G4243" s="238">
        <f>IFERROR(__xludf.DUMMYFUNCTION("""COMPUTED_VALUE"""),46031.04166666667)</f>
        <v>46031.04167</v>
      </c>
      <c r="H4243" s="238">
        <f>IFERROR(__xludf.DUMMYFUNCTION("""COMPUTED_VALUE"""),46031.125)</f>
        <v>46031.125</v>
      </c>
      <c r="I4243" s="237" t="str">
        <f t="shared" si="1"/>
        <v>Fora</v>
      </c>
      <c r="J4243" s="239">
        <v>600.0000000069849</v>
      </c>
    </row>
    <row r="4244">
      <c r="A4244" s="234" t="s">
        <v>5369</v>
      </c>
      <c r="B4244" s="234" t="str">
        <f>IFERROR(__xludf.DUMMYFUNCTION("""COMPUTED_VALUE"""),"SoC_PE_Jaboatão dos Guararapes")</f>
        <v>SoC_PE_Jaboatão dos Guararapes</v>
      </c>
      <c r="C4244" s="234" t="str">
        <f>IFERROR(__xludf.DUMMYFUNCTION("""COMPUTED_VALUE"""),"SOC-PE2")</f>
        <v>SOC-PE2</v>
      </c>
      <c r="D4244" s="234">
        <f>IFERROR(__xludf.DUMMYFUNCTION("""COMPUTED_VALUE"""),114.0)</f>
        <v>114</v>
      </c>
      <c r="E4244" s="237" t="str">
        <f>IFERROR(__xludf.DUMMYFUNCTION("""COMPUTED_VALUE"""),"LT0Q1801VL6O1")</f>
        <v>LT0Q1801VL6O1</v>
      </c>
      <c r="F4244" s="238" t="str">
        <f>IFERROR(__xludf.DUMMYFUNCTION("""COMPUTED_VALUE"""),"FPY6A07,TIZ4C46")</f>
        <v>FPY6A07,TIZ4C46</v>
      </c>
      <c r="G4244" s="238">
        <f>IFERROR(__xludf.DUMMYFUNCTION("""COMPUTED_VALUE"""),46030.75)</f>
        <v>46030.75</v>
      </c>
      <c r="H4244" s="238">
        <f>IFERROR(__xludf.DUMMYFUNCTION("""COMPUTED_VALUE"""),46031.16666666667)</f>
        <v>46031.16667</v>
      </c>
      <c r="I4244" s="237" t="str">
        <f t="shared" si="1"/>
        <v>Fora</v>
      </c>
      <c r="J4244" s="239">
        <v>540.0</v>
      </c>
    </row>
    <row r="4245">
      <c r="A4245" s="234" t="s">
        <v>5370</v>
      </c>
      <c r="B4245" s="234" t="str">
        <f>IFERROR(__xludf.DUMMYFUNCTION("""COMPUTED_VALUE"""),"SoC_BA_Simoes Filho")</f>
        <v>SoC_BA_Simoes Filho</v>
      </c>
      <c r="C4245" s="234" t="str">
        <f>IFERROR(__xludf.DUMMYFUNCTION("""COMPUTED_VALUE"""),"SOC-BA2")</f>
        <v>SOC-BA2</v>
      </c>
      <c r="D4245" s="234">
        <f>IFERROR(__xludf.DUMMYFUNCTION("""COMPUTED_VALUE"""),89.0)</f>
        <v>89</v>
      </c>
      <c r="E4245" s="237" t="str">
        <f>IFERROR(__xludf.DUMMYFUNCTION("""COMPUTED_VALUE"""),"LT0Q1801VLA82")</f>
        <v>LT0Q1801VLA82</v>
      </c>
      <c r="F4245" s="238" t="str">
        <f>IFERROR(__xludf.DUMMYFUNCTION("""COMPUTED_VALUE"""),"FDZ0457,ADZ0588")</f>
        <v>FDZ0457,ADZ0588</v>
      </c>
      <c r="G4245" s="238">
        <f>IFERROR(__xludf.DUMMYFUNCTION("""COMPUTED_VALUE"""),46030.79166666667)</f>
        <v>46030.79167</v>
      </c>
      <c r="H4245" s="238">
        <f>IFERROR(__xludf.DUMMYFUNCTION("""COMPUTED_VALUE"""),46031.16666666667)</f>
        <v>46031.16667</v>
      </c>
      <c r="I4245" s="237" t="str">
        <f t="shared" si="1"/>
        <v>Fora</v>
      </c>
      <c r="J4245" s="239">
        <v>540.0</v>
      </c>
    </row>
    <row r="4246">
      <c r="A4246" s="234" t="s">
        <v>5371</v>
      </c>
      <c r="B4246" s="234" t="str">
        <f>IFERROR(__xludf.DUMMYFUNCTION("""COMPUTED_VALUE"""),"SoC_PE_Jaboatão dos Guararapes")</f>
        <v>SoC_PE_Jaboatão dos Guararapes</v>
      </c>
      <c r="C4246" s="234" t="str">
        <f>IFERROR(__xludf.DUMMYFUNCTION("""COMPUTED_VALUE"""),"SOC-PE2")</f>
        <v>SOC-PE2</v>
      </c>
      <c r="D4246" s="234">
        <f>IFERROR(__xludf.DUMMYFUNCTION("""COMPUTED_VALUE"""),98.0)</f>
        <v>98</v>
      </c>
      <c r="E4246" s="237" t="str">
        <f>IFERROR(__xludf.DUMMYFUNCTION("""COMPUTED_VALUE"""),"LT0Q1801VL6Q2")</f>
        <v>LT0Q1801VL6Q2</v>
      </c>
      <c r="F4246" s="238" t="str">
        <f>IFERROR(__xludf.DUMMYFUNCTION("""COMPUTED_VALUE"""),"EUL5E55,DVS4C39")</f>
        <v>EUL5E55,DVS4C39</v>
      </c>
      <c r="G4246" s="238">
        <f>IFERROR(__xludf.DUMMYFUNCTION("""COMPUTED_VALUE"""),46030.79166666667)</f>
        <v>46030.79167</v>
      </c>
      <c r="H4246" s="238">
        <f>IFERROR(__xludf.DUMMYFUNCTION("""COMPUTED_VALUE"""),46031.16666666667)</f>
        <v>46031.16667</v>
      </c>
      <c r="I4246" s="237" t="str">
        <f t="shared" si="1"/>
        <v>Fora</v>
      </c>
      <c r="J4246" s="239">
        <v>540.0</v>
      </c>
    </row>
    <row r="4247">
      <c r="A4247" s="234" t="s">
        <v>5372</v>
      </c>
      <c r="B4247" s="234" t="str">
        <f>IFERROR(__xludf.DUMMYFUNCTION("""COMPUTED_VALUE"""),"SoC_SC_Itajaí")</f>
        <v>SoC_SC_Itajaí</v>
      </c>
      <c r="C4247" s="234" t="str">
        <f>IFERROR(__xludf.DUMMYFUNCTION("""COMPUTED_VALUE"""),"SOC-SC1")</f>
        <v>SOC-SC1</v>
      </c>
      <c r="D4247" s="234">
        <f>IFERROR(__xludf.DUMMYFUNCTION("""COMPUTED_VALUE"""),100.0)</f>
        <v>100</v>
      </c>
      <c r="E4247" s="237" t="str">
        <f>IFERROR(__xludf.DUMMYFUNCTION("""COMPUTED_VALUE"""),"LT0Q1801VK9G2")</f>
        <v>LT0Q1801VK9G2</v>
      </c>
      <c r="F4247" s="238" t="str">
        <f>IFERROR(__xludf.DUMMYFUNCTION("""COMPUTED_VALUE"""),"TPZ0F66,SXB7D50")</f>
        <v>TPZ0F66,SXB7D50</v>
      </c>
      <c r="G4247" s="238">
        <f>IFERROR(__xludf.DUMMYFUNCTION("""COMPUTED_VALUE"""),46030.79166666667)</f>
        <v>46030.79167</v>
      </c>
      <c r="H4247" s="238">
        <f>IFERROR(__xludf.DUMMYFUNCTION("""COMPUTED_VALUE"""),46031.16666666667)</f>
        <v>46031.16667</v>
      </c>
      <c r="I4247" s="237" t="str">
        <f t="shared" si="1"/>
        <v>Fora</v>
      </c>
      <c r="J4247" s="239">
        <v>120.00000001396984</v>
      </c>
    </row>
    <row r="4248">
      <c r="A4248" s="234" t="s">
        <v>5373</v>
      </c>
      <c r="B4248" s="234" t="str">
        <f>IFERROR(__xludf.DUMMYFUNCTION("""COMPUTED_VALUE"""),"SoC_RJ_Duque de Caxias")</f>
        <v>SoC_RJ_Duque de Caxias</v>
      </c>
      <c r="C4248" s="234" t="str">
        <f>IFERROR(__xludf.DUMMYFUNCTION("""COMPUTED_VALUE"""),"SOC-RJ2")</f>
        <v>SOC-RJ2</v>
      </c>
      <c r="D4248" s="234">
        <f>IFERROR(__xludf.DUMMYFUNCTION("""COMPUTED_VALUE"""),114.0)</f>
        <v>114</v>
      </c>
      <c r="E4248" s="237" t="str">
        <f>IFERROR(__xludf.DUMMYFUNCTION("""COMPUTED_VALUE"""),"LT1Q1901W4DN1")</f>
        <v>LT1Q1901W4DN1</v>
      </c>
      <c r="F4248" s="238" t="str">
        <f>IFERROR(__xludf.DUMMYFUNCTION("""COMPUTED_VALUE"""),"BBR6A51,GGJ5D61")</f>
        <v>BBR6A51,GGJ5D61</v>
      </c>
      <c r="G4248" s="238">
        <f>IFERROR(__xludf.DUMMYFUNCTION("""COMPUTED_VALUE"""),46031.08333333333)</f>
        <v>46031.08333</v>
      </c>
      <c r="H4248" s="238">
        <f>IFERROR(__xludf.DUMMYFUNCTION("""COMPUTED_VALUE"""),46031.16666666667)</f>
        <v>46031.16667</v>
      </c>
      <c r="I4248" s="237" t="str">
        <f t="shared" si="1"/>
        <v>Fora</v>
      </c>
      <c r="J4248" s="239">
        <v>120.00000001396984</v>
      </c>
    </row>
    <row r="4249">
      <c r="A4249" s="234" t="s">
        <v>5374</v>
      </c>
      <c r="B4249" s="234" t="str">
        <f>IFERROR(__xludf.DUMMYFUNCTION("""COMPUTED_VALUE"""),"SoC_SP_Guarulhos")</f>
        <v>SoC_SP_Guarulhos</v>
      </c>
      <c r="C4249" s="234" t="str">
        <f>IFERROR(__xludf.DUMMYFUNCTION("""COMPUTED_VALUE"""),"SOC-SP6")</f>
        <v>SOC-SP6</v>
      </c>
      <c r="D4249" s="234">
        <f>IFERROR(__xludf.DUMMYFUNCTION("""COMPUTED_VALUE"""),16.0)</f>
        <v>16</v>
      </c>
      <c r="E4249" s="237" t="str">
        <f>IFERROR(__xludf.DUMMYFUNCTION("""COMPUTED_VALUE"""),"LT1Q1801W4VX1")</f>
        <v>LT1Q1801W4VX1</v>
      </c>
      <c r="F4249" s="238" t="str">
        <f>IFERROR(__xludf.DUMMYFUNCTION("""COMPUTED_VALUE"""),"EWJ9J15,EWJ9649")</f>
        <v>EWJ9J15,EWJ9649</v>
      </c>
      <c r="G4249" s="238">
        <f>IFERROR(__xludf.DUMMYFUNCTION("""COMPUTED_VALUE"""),46031.08333333333)</f>
        <v>46031.08333</v>
      </c>
      <c r="H4249" s="238">
        <f>IFERROR(__xludf.DUMMYFUNCTION("""COMPUTED_VALUE"""),46031.16666666667)</f>
        <v>46031.16667</v>
      </c>
      <c r="I4249" s="237" t="str">
        <f t="shared" si="1"/>
        <v>Fora</v>
      </c>
      <c r="J4249" s="239">
        <v>120.00000001396984</v>
      </c>
    </row>
    <row r="4250">
      <c r="A4250" s="234" t="s">
        <v>5375</v>
      </c>
      <c r="B4250" s="234" t="str">
        <f>IFERROR(__xludf.DUMMYFUNCTION("""COMPUTED_VALUE"""),"SoC_SP_Louveira")</f>
        <v>SoC_SP_Louveira</v>
      </c>
      <c r="C4250" s="234" t="str">
        <f>IFERROR(__xludf.DUMMYFUNCTION("""COMPUTED_VALUE"""),"SOC-SP7")</f>
        <v>SOC-SP7</v>
      </c>
      <c r="D4250" s="234">
        <f>IFERROR(__xludf.DUMMYFUNCTION("""COMPUTED_VALUE"""),49.0)</f>
        <v>49</v>
      </c>
      <c r="E4250" s="237" t="str">
        <f>IFERROR(__xludf.DUMMYFUNCTION("""COMPUTED_VALUE"""),"LT1Q1901W6JL1")</f>
        <v>LT1Q1901W6JL1</v>
      </c>
      <c r="F4250" s="238" t="str">
        <f>IFERROR(__xludf.DUMMYFUNCTION("""COMPUTED_VALUE"""),"JBC2B39,JXA5569")</f>
        <v>JBC2B39,JXA5569</v>
      </c>
      <c r="G4250" s="238">
        <f>IFERROR(__xludf.DUMMYFUNCTION("""COMPUTED_VALUE"""),46031.08333333333)</f>
        <v>46031.08333</v>
      </c>
      <c r="H4250" s="238">
        <f>IFERROR(__xludf.DUMMYFUNCTION("""COMPUTED_VALUE"""),46031.16666666667)</f>
        <v>46031.16667</v>
      </c>
      <c r="I4250" s="237" t="str">
        <f t="shared" si="1"/>
        <v>Fora</v>
      </c>
      <c r="J4250" s="239">
        <v>119.00000001071021</v>
      </c>
    </row>
    <row r="4251">
      <c r="A4251" s="234" t="s">
        <v>5376</v>
      </c>
      <c r="B4251" s="234" t="str">
        <f>IFERROR(__xludf.DUMMYFUNCTION("""COMPUTED_VALUE"""),"LM Hub_SP_Tatuí")</f>
        <v>LM Hub_SP_Tatuí</v>
      </c>
      <c r="C4251" s="234" t="str">
        <f>IFERROR(__xludf.DUMMYFUNCTION("""COMPUTED_VALUE"""),"HUB-LSP-51")</f>
        <v>HUB-LSP-51</v>
      </c>
      <c r="D4251" s="234"/>
      <c r="E4251" s="237" t="str">
        <f>IFERROR(__xludf.DUMMYFUNCTION("""COMPUTED_VALUE"""),"LT0Q1901VFJM1")</f>
        <v>LT0Q1901VFJM1</v>
      </c>
      <c r="F4251" s="238" t="str">
        <f>IFERROR(__xludf.DUMMYFUNCTION("""COMPUTED_VALUE"""),"FUR8D94,UDF4J25")</f>
        <v>FUR8D94,UDF4J25</v>
      </c>
      <c r="G4251" s="238">
        <f>IFERROR(__xludf.DUMMYFUNCTION("""COMPUTED_VALUE"""),46031.084027777775)</f>
        <v>46031.08403</v>
      </c>
      <c r="H4251" s="238">
        <f>IFERROR(__xludf.DUMMYFUNCTION("""COMPUTED_VALUE"""),46031.16666666667)</f>
        <v>46031.16667</v>
      </c>
      <c r="I4251" s="237" t="str">
        <f t="shared" si="1"/>
        <v>Fora</v>
      </c>
      <c r="J4251" s="239">
        <v>119.99999999301508</v>
      </c>
    </row>
    <row r="4252">
      <c r="A4252" s="234" t="s">
        <v>5377</v>
      </c>
      <c r="B4252" s="234" t="str">
        <f>IFERROR(__xludf.DUMMYFUNCTION("""COMPUTED_VALUE"""),"LM Hub_SP_Itapetininga")</f>
        <v>LM Hub_SP_Itapetininga</v>
      </c>
      <c r="C4252" s="234" t="str">
        <f>IFERROR(__xludf.DUMMYFUNCTION("""COMPUTED_VALUE"""),"HUB-LSP-53")</f>
        <v>HUB-LSP-53</v>
      </c>
      <c r="D4252" s="234">
        <f>IFERROR(__xludf.DUMMYFUNCTION("""COMPUTED_VALUE"""),37.0)</f>
        <v>37</v>
      </c>
      <c r="E4252" s="237" t="str">
        <f>IFERROR(__xludf.DUMMYFUNCTION("""COMPUTED_VALUE"""),"LT0Q1901VFJG1")</f>
        <v>LT0Q1901VFJG1</v>
      </c>
      <c r="F4252" s="238" t="str">
        <f>IFERROR(__xludf.DUMMYFUNCTION("""COMPUTED_VALUE"""),"FZY3F48")</f>
        <v>FZY3F48</v>
      </c>
      <c r="G4252" s="238">
        <f>IFERROR(__xludf.DUMMYFUNCTION("""COMPUTED_VALUE"""),46031.10416666667)</f>
        <v>46031.10417</v>
      </c>
      <c r="H4252" s="238">
        <f>IFERROR(__xludf.DUMMYFUNCTION("""COMPUTED_VALUE"""),46031.1875)</f>
        <v>46031.1875</v>
      </c>
      <c r="I4252" s="237" t="str">
        <f t="shared" si="1"/>
        <v>Fora</v>
      </c>
      <c r="J4252" s="239">
        <v>119.99999999301508</v>
      </c>
    </row>
    <row r="4253">
      <c r="A4253" s="234" t="s">
        <v>5378</v>
      </c>
      <c r="B4253" s="234" t="str">
        <f>IFERROR(__xludf.DUMMYFUNCTION("""COMPUTED_VALUE"""),"LM Hub_SP_São Carlos")</f>
        <v>LM Hub_SP_São Carlos</v>
      </c>
      <c r="C4253" s="234" t="str">
        <f>IFERROR(__xludf.DUMMYFUNCTION("""COMPUTED_VALUE"""),"HUB-LSP-31")</f>
        <v>HUB-LSP-31</v>
      </c>
      <c r="D4253" s="234">
        <f>IFERROR(__xludf.DUMMYFUNCTION("""COMPUTED_VALUE"""),40.0)</f>
        <v>40</v>
      </c>
      <c r="E4253" s="237" t="str">
        <f>IFERROR(__xludf.DUMMYFUNCTION("""COMPUTED_VALUE"""),"LT0Q1901VFMM1")</f>
        <v>LT0Q1901VFMM1</v>
      </c>
      <c r="F4253" s="238" t="str">
        <f>IFERROR(__xludf.DUMMYFUNCTION("""COMPUTED_VALUE"""),"QJT4B02")</f>
        <v>QJT4B02</v>
      </c>
      <c r="G4253" s="238">
        <f>IFERROR(__xludf.DUMMYFUNCTION("""COMPUTED_VALUE"""),46031.10416666667)</f>
        <v>46031.10417</v>
      </c>
      <c r="H4253" s="238">
        <f>IFERROR(__xludf.DUMMYFUNCTION("""COMPUTED_VALUE"""),46031.1875)</f>
        <v>46031.1875</v>
      </c>
      <c r="I4253" s="237" t="str">
        <f t="shared" si="1"/>
        <v>Fora</v>
      </c>
      <c r="J4253" s="239">
        <v>540.0</v>
      </c>
    </row>
    <row r="4254">
      <c r="A4254" s="234" t="s">
        <v>5379</v>
      </c>
      <c r="B4254" s="234" t="str">
        <f>IFERROR(__xludf.DUMMYFUNCTION("""COMPUTED_VALUE"""),"SoC_GO_Goiânia_02")</f>
        <v>SoC_GO_Goiânia_02</v>
      </c>
      <c r="C4254" s="234" t="str">
        <f>IFERROR(__xludf.DUMMYFUNCTION("""COMPUTED_VALUE"""),"SOC-GO2")</f>
        <v>SOC-GO2</v>
      </c>
      <c r="D4254" s="234">
        <f>IFERROR(__xludf.DUMMYFUNCTION("""COMPUTED_VALUE"""),86.0)</f>
        <v>86</v>
      </c>
      <c r="E4254" s="237" t="str">
        <f>IFERROR(__xludf.DUMMYFUNCTION("""COMPUTED_VALUE"""),"LT1Q1801W5051")</f>
        <v>LT1Q1801W5051</v>
      </c>
      <c r="F4254" s="238" t="str">
        <f>IFERROR(__xludf.DUMMYFUNCTION("""COMPUTED_VALUE"""),"SUR9E19,FUP2C03")</f>
        <v>SUR9E19,FUP2C03</v>
      </c>
      <c r="G4254" s="238">
        <f>IFERROR(__xludf.DUMMYFUNCTION("""COMPUTED_VALUE"""),46030.83333333333)</f>
        <v>46030.83333</v>
      </c>
      <c r="H4254" s="238">
        <f>IFERROR(__xludf.DUMMYFUNCTION("""COMPUTED_VALUE"""),46031.20833333333)</f>
        <v>46031.20833</v>
      </c>
      <c r="I4254" s="237" t="str">
        <f t="shared" si="1"/>
        <v>Fora</v>
      </c>
      <c r="J4254" s="239">
        <v>540.0</v>
      </c>
    </row>
    <row r="4255">
      <c r="A4255" s="234" t="s">
        <v>5380</v>
      </c>
      <c r="B4255" s="234" t="str">
        <f>IFERROR(__xludf.DUMMYFUNCTION("""COMPUTED_VALUE"""),"SoC_MG_Betim")</f>
        <v>SoC_MG_Betim</v>
      </c>
      <c r="C4255" s="234" t="str">
        <f>IFERROR(__xludf.DUMMYFUNCTION("""COMPUTED_VALUE"""),"SOC-MG2")</f>
        <v>SOC-MG2</v>
      </c>
      <c r="D4255" s="234" t="str">
        <f>IFERROR(__xludf.DUMMYFUNCTION("""COMPUTED_VALUE"""),"90/5")</f>
        <v>90/5</v>
      </c>
      <c r="E4255" s="237" t="str">
        <f>IFERROR(__xludf.DUMMYFUNCTION("""COMPUTED_VALUE"""),"LT1Q1801W4W11")</f>
        <v>LT1Q1801W4W11</v>
      </c>
      <c r="F4255" s="238" t="str">
        <f>IFERROR(__xludf.DUMMYFUNCTION("""COMPUTED_VALUE"""),"RHB2G64,TEL5I46")</f>
        <v>RHB2G64,TEL5I46</v>
      </c>
      <c r="G4255" s="238">
        <f>IFERROR(__xludf.DUMMYFUNCTION("""COMPUTED_VALUE"""),46030.83333333333)</f>
        <v>46030.83333</v>
      </c>
      <c r="H4255" s="238">
        <f>IFERROR(__xludf.DUMMYFUNCTION("""COMPUTED_VALUE"""),46031.20833333333)</f>
        <v>46031.20833</v>
      </c>
      <c r="I4255" s="237" t="str">
        <f t="shared" si="1"/>
        <v>Fora</v>
      </c>
      <c r="J4255" s="239">
        <v>540.0</v>
      </c>
    </row>
    <row r="4256">
      <c r="A4256" s="234" t="s">
        <v>5381</v>
      </c>
      <c r="B4256" s="234" t="str">
        <f>IFERROR(__xludf.DUMMYFUNCTION("""COMPUTED_VALUE"""),"SoC_PE_Jaboatão dos Guararapes")</f>
        <v>SoC_PE_Jaboatão dos Guararapes</v>
      </c>
      <c r="C4256" s="234" t="str">
        <f>IFERROR(__xludf.DUMMYFUNCTION("""COMPUTED_VALUE"""),"SOC-PE2")</f>
        <v>SOC-PE2</v>
      </c>
      <c r="D4256" s="234">
        <f>IFERROR(__xludf.DUMMYFUNCTION("""COMPUTED_VALUE"""),98.0)</f>
        <v>98</v>
      </c>
      <c r="E4256" s="237" t="str">
        <f>IFERROR(__xludf.DUMMYFUNCTION("""COMPUTED_VALUE"""),"LT1Q1801W4W71")</f>
        <v>LT1Q1801W4W71</v>
      </c>
      <c r="F4256" s="238" t="str">
        <f>IFERROR(__xludf.DUMMYFUNCTION("""COMPUTED_VALUE"""),"ELW0D26,LXT1725")</f>
        <v>ELW0D26,LXT1725</v>
      </c>
      <c r="G4256" s="238">
        <f>IFERROR(__xludf.DUMMYFUNCTION("""COMPUTED_VALUE"""),46030.83333333333)</f>
        <v>46030.83333</v>
      </c>
      <c r="H4256" s="238">
        <f>IFERROR(__xludf.DUMMYFUNCTION("""COMPUTED_VALUE"""),46031.20833333333)</f>
        <v>46031.20833</v>
      </c>
      <c r="I4256" s="237" t="str">
        <f t="shared" si="1"/>
        <v>Fora</v>
      </c>
      <c r="J4256" s="239">
        <v>540.0</v>
      </c>
    </row>
    <row r="4257">
      <c r="A4257" s="234" t="s">
        <v>5382</v>
      </c>
      <c r="B4257" s="234" t="str">
        <f>IFERROR(__xludf.DUMMYFUNCTION("""COMPUTED_VALUE"""),"SoC_RJ_Duque de Caxias")</f>
        <v>SoC_RJ_Duque de Caxias</v>
      </c>
      <c r="C4257" s="234" t="str">
        <f>IFERROR(__xludf.DUMMYFUNCTION("""COMPUTED_VALUE"""),"SOC-RJ2")</f>
        <v>SOC-RJ2</v>
      </c>
      <c r="D4257" s="234">
        <f>IFERROR(__xludf.DUMMYFUNCTION("""COMPUTED_VALUE"""),96.0)</f>
        <v>96</v>
      </c>
      <c r="E4257" s="237" t="str">
        <f>IFERROR(__xludf.DUMMYFUNCTION("""COMPUTED_VALUE"""),"LT1Q1801W4WG1")</f>
        <v>LT1Q1801W4WG1</v>
      </c>
      <c r="F4257" s="238" t="str">
        <f>IFERROR(__xludf.DUMMYFUNCTION("""COMPUTED_VALUE"""),"MLO0H90,GIJ0E53")</f>
        <v>MLO0H90,GIJ0E53</v>
      </c>
      <c r="G4257" s="238">
        <f>IFERROR(__xludf.DUMMYFUNCTION("""COMPUTED_VALUE"""),46030.83333333333)</f>
        <v>46030.83333</v>
      </c>
      <c r="H4257" s="238">
        <f>IFERROR(__xludf.DUMMYFUNCTION("""COMPUTED_VALUE"""),46031.20833333333)</f>
        <v>46031.20833</v>
      </c>
      <c r="I4257" s="237" t="str">
        <f t="shared" si="1"/>
        <v>Fora</v>
      </c>
      <c r="J4257" s="239">
        <v>540.0</v>
      </c>
    </row>
    <row r="4258">
      <c r="A4258" s="234" t="s">
        <v>5383</v>
      </c>
      <c r="B4258" s="234" t="str">
        <f>IFERROR(__xludf.DUMMYFUNCTION("""COMPUTED_VALUE"""),"SoC_RS_Gravataí_02")</f>
        <v>SoC_RS_Gravataí_02</v>
      </c>
      <c r="C4258" s="234" t="str">
        <f>IFERROR(__xludf.DUMMYFUNCTION("""COMPUTED_VALUE"""),"SOC-RS2")</f>
        <v>SOC-RS2</v>
      </c>
      <c r="D4258" s="234">
        <f>IFERROR(__xludf.DUMMYFUNCTION("""COMPUTED_VALUE"""),102.0)</f>
        <v>102</v>
      </c>
      <c r="E4258" s="237" t="str">
        <f>IFERROR(__xludf.DUMMYFUNCTION("""COMPUTED_VALUE"""),"LT1Q1801W4WB1")</f>
        <v>LT1Q1801W4WB1</v>
      </c>
      <c r="F4258" s="238" t="str">
        <f>IFERROR(__xludf.DUMMYFUNCTION("""COMPUTED_VALUE"""),"QHZ9J85,JCO7F56")</f>
        <v>QHZ9J85,JCO7F56</v>
      </c>
      <c r="G4258" s="238">
        <f>IFERROR(__xludf.DUMMYFUNCTION("""COMPUTED_VALUE"""),46030.83333333333)</f>
        <v>46030.83333</v>
      </c>
      <c r="H4258" s="238">
        <f>IFERROR(__xludf.DUMMYFUNCTION("""COMPUTED_VALUE"""),46031.20833333333)</f>
        <v>46031.20833</v>
      </c>
      <c r="I4258" s="237" t="str">
        <f t="shared" si="1"/>
        <v>Fora</v>
      </c>
      <c r="J4258" s="239">
        <v>540.0</v>
      </c>
    </row>
    <row r="4259">
      <c r="A4259" s="234" t="s">
        <v>5384</v>
      </c>
      <c r="B4259" s="234" t="str">
        <f>IFERROR(__xludf.DUMMYFUNCTION("""COMPUTED_VALUE"""),"SoC_SC_Itajaí")</f>
        <v>SoC_SC_Itajaí</v>
      </c>
      <c r="C4259" s="234" t="str">
        <f>IFERROR(__xludf.DUMMYFUNCTION("""COMPUTED_VALUE"""),"SOC-SC1")</f>
        <v>SOC-SC1</v>
      </c>
      <c r="D4259" s="234"/>
      <c r="E4259" s="237" t="str">
        <f>IFERROR(__xludf.DUMMYFUNCTION("""COMPUTED_VALUE"""),"LT1Q1801W5041")</f>
        <v>LT1Q1801W5041</v>
      </c>
      <c r="F4259" s="238" t="str">
        <f>IFERROR(__xludf.DUMMYFUNCTION("""COMPUTED_VALUE"""),"TPR2J26,RXK7E81")</f>
        <v>TPR2J26,RXK7E81</v>
      </c>
      <c r="G4259" s="238">
        <f>IFERROR(__xludf.DUMMYFUNCTION("""COMPUTED_VALUE"""),46030.83333333333)</f>
        <v>46030.83333</v>
      </c>
      <c r="H4259" s="238">
        <f>IFERROR(__xludf.DUMMYFUNCTION("""COMPUTED_VALUE"""),46031.20833333333)</f>
        <v>46031.20833</v>
      </c>
      <c r="I4259" s="237" t="str">
        <f t="shared" si="1"/>
        <v>Fora</v>
      </c>
      <c r="J4259" s="239">
        <v>538.9999999967404</v>
      </c>
    </row>
    <row r="4260">
      <c r="A4260" s="234" t="s">
        <v>5385</v>
      </c>
      <c r="B4260" s="234" t="str">
        <f>IFERROR(__xludf.DUMMYFUNCTION("""COMPUTED_VALUE"""),"SoC_PE_Jaboatão dos Guararapes")</f>
        <v>SoC_PE_Jaboatão dos Guararapes</v>
      </c>
      <c r="C4260" s="234" t="str">
        <f>IFERROR(__xludf.DUMMYFUNCTION("""COMPUTED_VALUE"""),"SOC-PE2")</f>
        <v>SOC-PE2</v>
      </c>
      <c r="D4260" s="234">
        <f>IFERROR(__xludf.DUMMYFUNCTION("""COMPUTED_VALUE"""),48.0)</f>
        <v>48</v>
      </c>
      <c r="E4260" s="237" t="str">
        <f>IFERROR(__xludf.DUMMYFUNCTION("""COMPUTED_VALUE"""),"LT0Q1801VL722")</f>
        <v>LT0Q1801VL722</v>
      </c>
      <c r="F4260" s="238" t="str">
        <f>IFERROR(__xludf.DUMMYFUNCTION("""COMPUTED_VALUE"""),"EGK8H75,FFW1J92")</f>
        <v>EGK8H75,FFW1J92</v>
      </c>
      <c r="G4260" s="238">
        <f>IFERROR(__xludf.DUMMYFUNCTION("""COMPUTED_VALUE"""),46030.834027777775)</f>
        <v>46030.83403</v>
      </c>
      <c r="H4260" s="238">
        <f>IFERROR(__xludf.DUMMYFUNCTION("""COMPUTED_VALUE"""),46031.20833333333)</f>
        <v>46031.20833</v>
      </c>
      <c r="I4260" s="237" t="str">
        <f t="shared" si="1"/>
        <v>Fora</v>
      </c>
      <c r="J4260" s="239">
        <v>119.99999999301508</v>
      </c>
    </row>
    <row r="4261">
      <c r="A4261" s="234" t="s">
        <v>5386</v>
      </c>
      <c r="B4261" s="234" t="str">
        <f>IFERROR(__xludf.DUMMYFUNCTION("""COMPUTED_VALUE"""),"LM Hub_SP_Itapeva")</f>
        <v>LM Hub_SP_Itapeva</v>
      </c>
      <c r="C4261" s="234" t="str">
        <f>IFERROR(__xludf.DUMMYFUNCTION("""COMPUTED_VALUE"""),"HUB-LSP-39")</f>
        <v>HUB-LSP-39</v>
      </c>
      <c r="D4261" s="234">
        <f>IFERROR(__xludf.DUMMYFUNCTION("""COMPUTED_VALUE"""),34.0)</f>
        <v>34</v>
      </c>
      <c r="E4261" s="237" t="str">
        <f>IFERROR(__xludf.DUMMYFUNCTION("""COMPUTED_VALUE"""),"LT0Q1901VFJR1")</f>
        <v>LT0Q1901VFJR1</v>
      </c>
      <c r="F4261" s="238" t="str">
        <f>IFERROR(__xludf.DUMMYFUNCTION("""COMPUTED_VALUE"""),"FCT0F31")</f>
        <v>FCT0F31</v>
      </c>
      <c r="G4261" s="238">
        <f>IFERROR(__xludf.DUMMYFUNCTION("""COMPUTED_VALUE"""),46031.125)</f>
        <v>46031.125</v>
      </c>
      <c r="H4261" s="238">
        <f>IFERROR(__xludf.DUMMYFUNCTION("""COMPUTED_VALUE"""),46031.20833333333)</f>
        <v>46031.20833</v>
      </c>
      <c r="I4261" s="237" t="str">
        <f t="shared" si="1"/>
        <v>Fora</v>
      </c>
      <c r="J4261" s="239">
        <v>119.99999999301508</v>
      </c>
    </row>
    <row r="4262">
      <c r="A4262" s="234" t="s">
        <v>5387</v>
      </c>
      <c r="B4262" s="234" t="str">
        <f>IFERROR(__xludf.DUMMYFUNCTION("""COMPUTED_VALUE"""),"LM Hub_SP_Sumaré_Nova Veneza_1")</f>
        <v>LM Hub_SP_Sumaré_Nova Veneza_1</v>
      </c>
      <c r="C4262" s="234" t="str">
        <f>IFERROR(__xludf.DUMMYFUNCTION("""COMPUTED_VALUE"""),"HUB-LSP-88")</f>
        <v>HUB-LSP-88</v>
      </c>
      <c r="D4262" s="234">
        <f>IFERROR(__xludf.DUMMYFUNCTION("""COMPUTED_VALUE"""),21.0)</f>
        <v>21</v>
      </c>
      <c r="E4262" s="237" t="str">
        <f>IFERROR(__xludf.DUMMYFUNCTION("""COMPUTED_VALUE"""),"LT0Q1901VKT61")</f>
        <v>LT0Q1901VKT61</v>
      </c>
      <c r="F4262" s="238" t="str">
        <f>IFERROR(__xludf.DUMMYFUNCTION("""COMPUTED_VALUE"""),"FZA1C21")</f>
        <v>FZA1C21</v>
      </c>
      <c r="G4262" s="238">
        <f>IFERROR(__xludf.DUMMYFUNCTION("""COMPUTED_VALUE"""),46031.125)</f>
        <v>46031.125</v>
      </c>
      <c r="H4262" s="238">
        <f>IFERROR(__xludf.DUMMYFUNCTION("""COMPUTED_VALUE"""),46031.20833333333)</f>
        <v>46031.20833</v>
      </c>
      <c r="I4262" s="237" t="str">
        <f t="shared" si="1"/>
        <v>Fora</v>
      </c>
      <c r="J4262" s="239">
        <v>119.99999999301508</v>
      </c>
    </row>
    <row r="4263">
      <c r="A4263" s="234" t="s">
        <v>5388</v>
      </c>
      <c r="B4263" s="234" t="str">
        <f>IFERROR(__xludf.DUMMYFUNCTION("""COMPUTED_VALUE"""),"SoC_PR_Curitiba")</f>
        <v>SoC_PR_Curitiba</v>
      </c>
      <c r="C4263" s="234" t="str">
        <f>IFERROR(__xludf.DUMMYFUNCTION("""COMPUTED_VALUE"""),"SOC-PR1")</f>
        <v>SOC-PR1</v>
      </c>
      <c r="D4263" s="234">
        <f>IFERROR(__xludf.DUMMYFUNCTION("""COMPUTED_VALUE"""),14.0)</f>
        <v>14</v>
      </c>
      <c r="E4263" s="237" t="str">
        <f>IFERROR(__xludf.DUMMYFUNCTION("""COMPUTED_VALUE"""),"LT1Q1901W4W61")</f>
        <v>LT1Q1901W4W61</v>
      </c>
      <c r="F4263" s="238" t="str">
        <f>IFERROR(__xludf.DUMMYFUNCTION("""COMPUTED_VALUE"""),"UAU0G49,SFL9I18")</f>
        <v>UAU0G49,SFL9I18</v>
      </c>
      <c r="G4263" s="238">
        <f>IFERROR(__xludf.DUMMYFUNCTION("""COMPUTED_VALUE"""),46031.125)</f>
        <v>46031.125</v>
      </c>
      <c r="H4263" s="238">
        <f>IFERROR(__xludf.DUMMYFUNCTION("""COMPUTED_VALUE"""),46031.20833333333)</f>
        <v>46031.20833</v>
      </c>
      <c r="I4263" s="237" t="str">
        <f t="shared" si="1"/>
        <v>Fora</v>
      </c>
      <c r="J4263" s="239">
        <v>119.99999999301508</v>
      </c>
    </row>
    <row r="4264">
      <c r="A4264" s="234" t="s">
        <v>5389</v>
      </c>
      <c r="B4264" s="234" t="str">
        <f>IFERROR(__xludf.DUMMYFUNCTION("""COMPUTED_VALUE"""),"SoC_SP_Guarulhos")</f>
        <v>SoC_SP_Guarulhos</v>
      </c>
      <c r="C4264" s="234" t="str">
        <f>IFERROR(__xludf.DUMMYFUNCTION("""COMPUTED_VALUE"""),"SOC-SP6")</f>
        <v>SOC-SP6</v>
      </c>
      <c r="D4264" s="234"/>
      <c r="E4264" s="237" t="str">
        <f>IFERROR(__xludf.DUMMYFUNCTION("""COMPUTED_VALUE"""),"LT0Q1901VGGK1")</f>
        <v>LT0Q1901VGGK1</v>
      </c>
      <c r="F4264" s="238" t="str">
        <f>IFERROR(__xludf.DUMMYFUNCTION("""COMPUTED_VALUE"""),"EMU7J50,MDL1B13")</f>
        <v>EMU7J50,MDL1B13</v>
      </c>
      <c r="G4264" s="238">
        <f>IFERROR(__xludf.DUMMYFUNCTION("""COMPUTED_VALUE"""),46031.125)</f>
        <v>46031.125</v>
      </c>
      <c r="H4264" s="238">
        <f>IFERROR(__xludf.DUMMYFUNCTION("""COMPUTED_VALUE"""),46031.20833333333)</f>
        <v>46031.20833</v>
      </c>
      <c r="I4264" s="237" t="str">
        <f t="shared" si="1"/>
        <v>Fora</v>
      </c>
      <c r="J4264" s="239">
        <v>119.99999999301508</v>
      </c>
    </row>
    <row r="4265">
      <c r="A4265" s="234" t="s">
        <v>5390</v>
      </c>
      <c r="B4265" s="234" t="str">
        <f>IFERROR(__xludf.DUMMYFUNCTION("""COMPUTED_VALUE"""),"SoC_SP_Louveira")</f>
        <v>SoC_SP_Louveira</v>
      </c>
      <c r="C4265" s="234" t="str">
        <f>IFERROR(__xludf.DUMMYFUNCTION("""COMPUTED_VALUE"""),"SOC-SP7")</f>
        <v>SOC-SP7</v>
      </c>
      <c r="D4265" s="234">
        <f>IFERROR(__xludf.DUMMYFUNCTION("""COMPUTED_VALUE"""),17.0)</f>
        <v>17</v>
      </c>
      <c r="E4265" s="237" t="str">
        <f>IFERROR(__xludf.DUMMYFUNCTION("""COMPUTED_VALUE"""),"LT0Q1901VFGT1")</f>
        <v>LT0Q1901VFGT1</v>
      </c>
      <c r="F4265" s="238" t="str">
        <f>IFERROR(__xludf.DUMMYFUNCTION("""COMPUTED_VALUE"""),"FLT6C13,SVT2E31")</f>
        <v>FLT6C13,SVT2E31</v>
      </c>
      <c r="G4265" s="238">
        <f>IFERROR(__xludf.DUMMYFUNCTION("""COMPUTED_VALUE"""),46031.125)</f>
        <v>46031.125</v>
      </c>
      <c r="H4265" s="238">
        <f>IFERROR(__xludf.DUMMYFUNCTION("""COMPUTED_VALUE"""),46031.20833333333)</f>
        <v>46031.20833</v>
      </c>
      <c r="I4265" s="237" t="str">
        <f t="shared" si="1"/>
        <v>Fora</v>
      </c>
      <c r="J4265" s="239">
        <v>120.00000001396984</v>
      </c>
    </row>
    <row r="4266">
      <c r="A4266" s="234" t="s">
        <v>5391</v>
      </c>
      <c r="B4266" s="234" t="str">
        <f>IFERROR(__xludf.DUMMYFUNCTION("""COMPUTED_VALUE"""),"LM Hub_SP_Campinas_São Martinho")</f>
        <v>LM Hub_SP_Campinas_São Martinho</v>
      </c>
      <c r="C4266" s="234" t="str">
        <f>IFERROR(__xludf.DUMMYFUNCTION("""COMPUTED_VALUE"""),"HUB-LSP-19")</f>
        <v>HUB-LSP-19</v>
      </c>
      <c r="D4266" s="234">
        <f>IFERROR(__xludf.DUMMYFUNCTION("""COMPUTED_VALUE"""),7.0)</f>
        <v>7</v>
      </c>
      <c r="E4266" s="237" t="str">
        <f>IFERROR(__xludf.DUMMYFUNCTION("""COMPUTED_VALUE"""),"LT0Q1901VFO21")</f>
        <v>LT0Q1901VFO21</v>
      </c>
      <c r="F4266" s="238" t="str">
        <f>IFERROR(__xludf.DUMMYFUNCTION("""COMPUTED_VALUE"""),"GCJ6G71")</f>
        <v>GCJ6G71</v>
      </c>
      <c r="G4266" s="238">
        <f>IFERROR(__xludf.DUMMYFUNCTION("""COMPUTED_VALUE"""),46031.14583333333)</f>
        <v>46031.14583</v>
      </c>
      <c r="H4266" s="238">
        <f>IFERROR(__xludf.DUMMYFUNCTION("""COMPUTED_VALUE"""),46031.22916666667)</f>
        <v>46031.22917</v>
      </c>
      <c r="I4266" s="237" t="str">
        <f t="shared" si="1"/>
        <v>Fora</v>
      </c>
      <c r="J4266" s="239">
        <v>120.00000001396984</v>
      </c>
    </row>
    <row r="4267">
      <c r="A4267" s="234" t="s">
        <v>5392</v>
      </c>
      <c r="B4267" s="234" t="str">
        <f>IFERROR(__xludf.DUMMYFUNCTION("""COMPUTED_VALUE"""),"LM Hub_SP_Mogi Mirim")</f>
        <v>LM Hub_SP_Mogi Mirim</v>
      </c>
      <c r="C4267" s="234" t="str">
        <f>IFERROR(__xludf.DUMMYFUNCTION("""COMPUTED_VALUE"""),"HUB-LSP-37")</f>
        <v>HUB-LSP-37</v>
      </c>
      <c r="D4267" s="234">
        <f>IFERROR(__xludf.DUMMYFUNCTION("""COMPUTED_VALUE"""),42.0)</f>
        <v>42</v>
      </c>
      <c r="E4267" s="237" t="str">
        <f>IFERROR(__xludf.DUMMYFUNCTION("""COMPUTED_VALUE"""),"LT0Q1901VFMX1")</f>
        <v>LT0Q1901VFMX1</v>
      </c>
      <c r="F4267" s="238" t="str">
        <f>IFERROR(__xludf.DUMMYFUNCTION("""COMPUTED_VALUE"""),"CUG3E95")</f>
        <v>CUG3E95</v>
      </c>
      <c r="G4267" s="238">
        <f>IFERROR(__xludf.DUMMYFUNCTION("""COMPUTED_VALUE"""),46031.14583333333)</f>
        <v>46031.14583</v>
      </c>
      <c r="H4267" s="238">
        <f>IFERROR(__xludf.DUMMYFUNCTION("""COMPUTED_VALUE"""),46031.22916666667)</f>
        <v>46031.22917</v>
      </c>
      <c r="I4267" s="237" t="str">
        <f t="shared" si="1"/>
        <v>Fora</v>
      </c>
      <c r="J4267" s="239">
        <v>120.00000001396984</v>
      </c>
    </row>
    <row r="4268">
      <c r="A4268" s="234" t="s">
        <v>5393</v>
      </c>
      <c r="B4268" s="234" t="str">
        <f>IFERROR(__xludf.DUMMYFUNCTION("""COMPUTED_VALUE"""),"LM Hub_SP_Osasco_02")</f>
        <v>LM Hub_SP_Osasco_02</v>
      </c>
      <c r="C4268" s="234" t="str">
        <f>IFERROR(__xludf.DUMMYFUNCTION("""COMPUTED_VALUE"""),"HUB-LSP-60")</f>
        <v>HUB-LSP-60</v>
      </c>
      <c r="D4268" s="234">
        <f>IFERROR(__xludf.DUMMYFUNCTION("""COMPUTED_VALUE"""),28.0)</f>
        <v>28</v>
      </c>
      <c r="E4268" s="237" t="str">
        <f>IFERROR(__xludf.DUMMYFUNCTION("""COMPUTED_VALUE"""),"LT0Q1901VGN61")</f>
        <v>LT0Q1901VGN61</v>
      </c>
      <c r="F4268" s="238" t="str">
        <f>IFERROR(__xludf.DUMMYFUNCTION("""COMPUTED_VALUE"""),"FEU6H63")</f>
        <v>FEU6H63</v>
      </c>
      <c r="G4268" s="238">
        <f>IFERROR(__xludf.DUMMYFUNCTION("""COMPUTED_VALUE"""),46031.14583333333)</f>
        <v>46031.14583</v>
      </c>
      <c r="H4268" s="238">
        <f>IFERROR(__xludf.DUMMYFUNCTION("""COMPUTED_VALUE"""),46031.22916666667)</f>
        <v>46031.22917</v>
      </c>
      <c r="I4268" s="237" t="str">
        <f t="shared" si="1"/>
        <v>Fora</v>
      </c>
      <c r="J4268" s="239">
        <v>120.00000001396984</v>
      </c>
    </row>
    <row r="4269">
      <c r="A4269" s="234" t="s">
        <v>5394</v>
      </c>
      <c r="B4269" s="234" t="str">
        <f>IFERROR(__xludf.DUMMYFUNCTION("""COMPUTED_VALUE"""),"LM Hub_SP_Sorocaba_Região Norte")</f>
        <v>LM Hub_SP_Sorocaba_Região Norte</v>
      </c>
      <c r="C4269" s="234" t="str">
        <f>IFERROR(__xludf.DUMMYFUNCTION("""COMPUTED_VALUE"""),"HUB-LSP-10")</f>
        <v>HUB-LSP-10</v>
      </c>
      <c r="D4269" s="234">
        <f>IFERROR(__xludf.DUMMYFUNCTION("""COMPUTED_VALUE"""),8.0)</f>
        <v>8</v>
      </c>
      <c r="E4269" s="237" t="str">
        <f>IFERROR(__xludf.DUMMYFUNCTION("""COMPUTED_VALUE"""),"LT0Q1901VFLC1")</f>
        <v>LT0Q1901VFLC1</v>
      </c>
      <c r="F4269" s="238" t="str">
        <f>IFERROR(__xludf.DUMMYFUNCTION("""COMPUTED_VALUE"""),"EFO6B06,MJH0C66")</f>
        <v>EFO6B06,MJH0C66</v>
      </c>
      <c r="G4269" s="238">
        <f>IFERROR(__xludf.DUMMYFUNCTION("""COMPUTED_VALUE"""),46031.14583333333)</f>
        <v>46031.14583</v>
      </c>
      <c r="H4269" s="238">
        <f>IFERROR(__xludf.DUMMYFUNCTION("""COMPUTED_VALUE"""),46031.22916666667)</f>
        <v>46031.22917</v>
      </c>
      <c r="I4269" s="237" t="str">
        <f t="shared" si="1"/>
        <v>Fora</v>
      </c>
      <c r="J4269" s="239">
        <v>120.00000001396984</v>
      </c>
    </row>
    <row r="4270">
      <c r="A4270" s="234" t="s">
        <v>5395</v>
      </c>
      <c r="B4270" s="234" t="str">
        <f>IFERROR(__xludf.DUMMYFUNCTION("""COMPUTED_VALUE"""),"LM Hub_SP_Sorocaba_Região Norte")</f>
        <v>LM Hub_SP_Sorocaba_Região Norte</v>
      </c>
      <c r="C4270" s="234" t="str">
        <f>IFERROR(__xludf.DUMMYFUNCTION("""COMPUTED_VALUE"""),"HUB-LSP-10")</f>
        <v>HUB-LSP-10</v>
      </c>
      <c r="D4270" s="234">
        <f>IFERROR(__xludf.DUMMYFUNCTION("""COMPUTED_VALUE"""),36.0)</f>
        <v>36</v>
      </c>
      <c r="E4270" s="237" t="str">
        <f>IFERROR(__xludf.DUMMYFUNCTION("""COMPUTED_VALUE"""),"LT0Q1901VFLE2")</f>
        <v>LT0Q1901VFLE2</v>
      </c>
      <c r="F4270" s="238" t="str">
        <f>IFERROR(__xludf.DUMMYFUNCTION("""COMPUTED_VALUE"""),"DNU8E03,MGA6B94")</f>
        <v>DNU8E03,MGA6B94</v>
      </c>
      <c r="G4270" s="238">
        <f>IFERROR(__xludf.DUMMYFUNCTION("""COMPUTED_VALUE"""),46031.14583333333)</f>
        <v>46031.14583</v>
      </c>
      <c r="H4270" s="238">
        <f>IFERROR(__xludf.DUMMYFUNCTION("""COMPUTED_VALUE"""),46031.22916666667)</f>
        <v>46031.22917</v>
      </c>
      <c r="I4270" s="237" t="str">
        <f t="shared" si="1"/>
        <v>Fora</v>
      </c>
      <c r="J4270" s="239">
        <v>540.0</v>
      </c>
    </row>
    <row r="4271">
      <c r="A4271" s="234" t="s">
        <v>5396</v>
      </c>
      <c r="B4271" s="234" t="str">
        <f>IFERROR(__xludf.DUMMYFUNCTION("""COMPUTED_VALUE"""),"SoC_BA_Simoes Filho")</f>
        <v>SoC_BA_Simoes Filho</v>
      </c>
      <c r="C4271" s="234" t="str">
        <f>IFERROR(__xludf.DUMMYFUNCTION("""COMPUTED_VALUE"""),"SOC-BA2")</f>
        <v>SOC-BA2</v>
      </c>
      <c r="D4271" s="234">
        <f>IFERROR(__xludf.DUMMYFUNCTION("""COMPUTED_VALUE"""),89.0)</f>
        <v>89</v>
      </c>
      <c r="E4271" s="237" t="str">
        <f>IFERROR(__xludf.DUMMYFUNCTION("""COMPUTED_VALUE"""),"LT1Q1801W4WA1")</f>
        <v>LT1Q1801W4WA1</v>
      </c>
      <c r="F4271" s="238" t="str">
        <f>IFERROR(__xludf.DUMMYFUNCTION("""COMPUTED_VALUE"""),"FCG3B00,GHX6G72")</f>
        <v>FCG3B00,GHX6G72</v>
      </c>
      <c r="G4271" s="238">
        <f>IFERROR(__xludf.DUMMYFUNCTION("""COMPUTED_VALUE"""),46030.875)</f>
        <v>46030.875</v>
      </c>
      <c r="H4271" s="238">
        <f>IFERROR(__xludf.DUMMYFUNCTION("""COMPUTED_VALUE"""),46031.25)</f>
        <v>46031.25</v>
      </c>
      <c r="I4271" s="237" t="str">
        <f t="shared" si="1"/>
        <v>Fora</v>
      </c>
      <c r="J4271" s="239">
        <v>540.0</v>
      </c>
    </row>
    <row r="4272">
      <c r="A4272" s="234" t="s">
        <v>5397</v>
      </c>
      <c r="B4272" s="234" t="str">
        <f>IFERROR(__xludf.DUMMYFUNCTION("""COMPUTED_VALUE"""),"SoC_GO_Goiânia_02")</f>
        <v>SoC_GO_Goiânia_02</v>
      </c>
      <c r="C4272" s="234" t="str">
        <f>IFERROR(__xludf.DUMMYFUNCTION("""COMPUTED_VALUE"""),"SOC-GO2")</f>
        <v>SOC-GO2</v>
      </c>
      <c r="D4272" s="234">
        <f>IFERROR(__xludf.DUMMYFUNCTION("""COMPUTED_VALUE"""),87.0)</f>
        <v>87</v>
      </c>
      <c r="E4272" s="237" t="str">
        <f>IFERROR(__xludf.DUMMYFUNCTION("""COMPUTED_VALUE"""),"LT1Q1801W5061")</f>
        <v>LT1Q1801W5061</v>
      </c>
      <c r="F4272" s="238" t="str">
        <f>IFERROR(__xludf.DUMMYFUNCTION("""COMPUTED_VALUE"""),"FDZ2I20,BUS2J73")</f>
        <v>FDZ2I20,BUS2J73</v>
      </c>
      <c r="G4272" s="238">
        <f>IFERROR(__xludf.DUMMYFUNCTION("""COMPUTED_VALUE"""),46030.875)</f>
        <v>46030.875</v>
      </c>
      <c r="H4272" s="238">
        <f>IFERROR(__xludf.DUMMYFUNCTION("""COMPUTED_VALUE"""),46031.25)</f>
        <v>46031.25</v>
      </c>
      <c r="I4272" s="237" t="str">
        <f t="shared" si="1"/>
        <v>Fora</v>
      </c>
      <c r="J4272" s="239">
        <v>540.0</v>
      </c>
    </row>
    <row r="4273">
      <c r="A4273" s="234" t="s">
        <v>5398</v>
      </c>
      <c r="B4273" s="234" t="str">
        <f>IFERROR(__xludf.DUMMYFUNCTION("""COMPUTED_VALUE"""),"SoC_MG_Betim")</f>
        <v>SoC_MG_Betim</v>
      </c>
      <c r="C4273" s="234" t="str">
        <f>IFERROR(__xludf.DUMMYFUNCTION("""COMPUTED_VALUE"""),"SOC-MG2")</f>
        <v>SOC-MG2</v>
      </c>
      <c r="D4273" s="234">
        <f>IFERROR(__xludf.DUMMYFUNCTION("""COMPUTED_VALUE"""),113.0)</f>
        <v>113</v>
      </c>
      <c r="E4273" s="237" t="str">
        <f>IFERROR(__xludf.DUMMYFUNCTION("""COMPUTED_VALUE"""),"LT1Q1801W4W21")</f>
        <v>LT1Q1801W4W21</v>
      </c>
      <c r="F4273" s="238" t="str">
        <f>IFERROR(__xludf.DUMMYFUNCTION("""COMPUTED_VALUE"""),"HHW0F61,EWP4I40")</f>
        <v>HHW0F61,EWP4I40</v>
      </c>
      <c r="G4273" s="238">
        <f>IFERROR(__xludf.DUMMYFUNCTION("""COMPUTED_VALUE"""),46030.875)</f>
        <v>46030.875</v>
      </c>
      <c r="H4273" s="238">
        <f>IFERROR(__xludf.DUMMYFUNCTION("""COMPUTED_VALUE"""),46031.25)</f>
        <v>46031.25</v>
      </c>
      <c r="I4273" s="237" t="str">
        <f t="shared" si="1"/>
        <v>Fora</v>
      </c>
      <c r="J4273" s="239">
        <v>540.0</v>
      </c>
    </row>
    <row r="4274">
      <c r="A4274" s="234" t="s">
        <v>743</v>
      </c>
      <c r="B4274" s="234" t="str">
        <f>IFERROR(__xludf.DUMMYFUNCTION("""COMPUTED_VALUE"""),"SoC_PE_Jaboatão dos Guararapes")</f>
        <v>SoC_PE_Jaboatão dos Guararapes</v>
      </c>
      <c r="C4274" s="234" t="str">
        <f>IFERROR(__xludf.DUMMYFUNCTION("""COMPUTED_VALUE"""),"SOC-PE2")</f>
        <v>SOC-PE2</v>
      </c>
      <c r="D4274" s="234">
        <f>IFERROR(__xludf.DUMMYFUNCTION("""COMPUTED_VALUE"""),98.0)</f>
        <v>98</v>
      </c>
      <c r="E4274" s="237" t="str">
        <f>IFERROR(__xludf.DUMMYFUNCTION("""COMPUTED_VALUE"""),"LT1Q1801W4W81")</f>
        <v>LT1Q1801W4W81</v>
      </c>
      <c r="F4274" s="238" t="str">
        <f>IFERROR(__xludf.DUMMYFUNCTION("""COMPUTED_VALUE"""),"SFK5G25,TAI8B95")</f>
        <v>SFK5G25,TAI8B95</v>
      </c>
      <c r="G4274" s="238">
        <f>IFERROR(__xludf.DUMMYFUNCTION("""COMPUTED_VALUE"""),46030.875)</f>
        <v>46030.875</v>
      </c>
      <c r="H4274" s="238">
        <f>IFERROR(__xludf.DUMMYFUNCTION("""COMPUTED_VALUE"""),46031.25)</f>
        <v>46031.25</v>
      </c>
      <c r="I4274" s="237" t="str">
        <f t="shared" si="1"/>
        <v>Fora</v>
      </c>
      <c r="J4274" s="239">
        <v>540.0</v>
      </c>
    </row>
    <row r="4275">
      <c r="A4275" s="234" t="s">
        <v>5399</v>
      </c>
      <c r="B4275" s="234" t="str">
        <f>IFERROR(__xludf.DUMMYFUNCTION("""COMPUTED_VALUE"""),"SoC_RS_Gravataí_02")</f>
        <v>SoC_RS_Gravataí_02</v>
      </c>
      <c r="C4275" s="234" t="str">
        <f>IFERROR(__xludf.DUMMYFUNCTION("""COMPUTED_VALUE"""),"SOC-RS2")</f>
        <v>SOC-RS2</v>
      </c>
      <c r="D4275" s="234">
        <f>IFERROR(__xludf.DUMMYFUNCTION("""COMPUTED_VALUE"""),24.0)</f>
        <v>24</v>
      </c>
      <c r="E4275" s="237" t="str">
        <f>IFERROR(__xludf.DUMMYFUNCTION("""COMPUTED_VALUE"""),"LT1Q1801W4WC1")</f>
        <v>LT1Q1801W4WC1</v>
      </c>
      <c r="F4275" s="238" t="str">
        <f>IFERROR(__xludf.DUMMYFUNCTION("""COMPUTED_VALUE"""),"OUY0H39,QJZ6E63")</f>
        <v>OUY0H39,QJZ6E63</v>
      </c>
      <c r="G4275" s="238">
        <f>IFERROR(__xludf.DUMMYFUNCTION("""COMPUTED_VALUE"""),46030.875)</f>
        <v>46030.875</v>
      </c>
      <c r="H4275" s="238">
        <f>IFERROR(__xludf.DUMMYFUNCTION("""COMPUTED_VALUE"""),46031.25)</f>
        <v>46031.25</v>
      </c>
      <c r="I4275" s="237" t="str">
        <f t="shared" si="1"/>
        <v>Fora</v>
      </c>
      <c r="J4275" s="239">
        <v>540.0</v>
      </c>
    </row>
    <row r="4276">
      <c r="A4276" s="234" t="s">
        <v>5399</v>
      </c>
      <c r="B4276" s="234" t="str">
        <f>IFERROR(__xludf.DUMMYFUNCTION("""COMPUTED_VALUE"""),"SoC_RS_Gravataí_02")</f>
        <v>SoC_RS_Gravataí_02</v>
      </c>
      <c r="C4276" s="234" t="str">
        <f>IFERROR(__xludf.DUMMYFUNCTION("""COMPUTED_VALUE"""),"SOC-RS2")</f>
        <v>SOC-RS2</v>
      </c>
      <c r="D4276" s="234">
        <f>IFERROR(__xludf.DUMMYFUNCTION("""COMPUTED_VALUE"""),24.0)</f>
        <v>24</v>
      </c>
      <c r="E4276" s="237" t="str">
        <f>IFERROR(__xludf.DUMMYFUNCTION("""COMPUTED_VALUE"""),"LT1Q1801W4WC1")</f>
        <v>LT1Q1801W4WC1</v>
      </c>
      <c r="F4276" s="238" t="str">
        <f>IFERROR(__xludf.DUMMYFUNCTION("""COMPUTED_VALUE"""),"OUY0H39,QJZ6E63")</f>
        <v>OUY0H39,QJZ6E63</v>
      </c>
      <c r="G4276" s="238">
        <f>IFERROR(__xludf.DUMMYFUNCTION("""COMPUTED_VALUE"""),46030.875)</f>
        <v>46030.875</v>
      </c>
      <c r="H4276" s="238">
        <f>IFERROR(__xludf.DUMMYFUNCTION("""COMPUTED_VALUE"""),46031.25)</f>
        <v>46031.25</v>
      </c>
      <c r="I4276" s="237" t="str">
        <f t="shared" si="1"/>
        <v>Fora</v>
      </c>
      <c r="J4276" s="239">
        <v>119.99999999301508</v>
      </c>
    </row>
    <row r="4277">
      <c r="A4277" s="234" t="s">
        <v>744</v>
      </c>
      <c r="B4277" s="234" t="str">
        <f>IFERROR(__xludf.DUMMYFUNCTION("""COMPUTED_VALUE"""),"LM Hub_SP_Guaratinguetá")</f>
        <v>LM Hub_SP_Guaratinguetá</v>
      </c>
      <c r="C4277" s="234" t="str">
        <f>IFERROR(__xludf.DUMMYFUNCTION("""COMPUTED_VALUE"""),"HUB-LSP-33")</f>
        <v>HUB-LSP-33</v>
      </c>
      <c r="D4277" s="234">
        <f>IFERROR(__xludf.DUMMYFUNCTION("""COMPUTED_VALUE"""),29.0)</f>
        <v>29</v>
      </c>
      <c r="E4277" s="237" t="str">
        <f>IFERROR(__xludf.DUMMYFUNCTION("""COMPUTED_VALUE"""),"LT0Q1901VFKN1")</f>
        <v>LT0Q1901VFKN1</v>
      </c>
      <c r="F4277" s="238" t="str">
        <f>IFERROR(__xludf.DUMMYFUNCTION("""COMPUTED_VALUE"""),"CNQ9G84,UEP4I46")</f>
        <v>CNQ9G84,UEP4I46</v>
      </c>
      <c r="G4277" s="238">
        <f>IFERROR(__xludf.DUMMYFUNCTION("""COMPUTED_VALUE"""),46031.16666666667)</f>
        <v>46031.16667</v>
      </c>
      <c r="H4277" s="238">
        <f>IFERROR(__xludf.DUMMYFUNCTION("""COMPUTED_VALUE"""),46031.25)</f>
        <v>46031.25</v>
      </c>
      <c r="I4277" s="237" t="str">
        <f t="shared" si="1"/>
        <v>Fora</v>
      </c>
      <c r="J4277" s="239">
        <v>119.99999999301508</v>
      </c>
    </row>
    <row r="4278">
      <c r="A4278" s="234" t="s">
        <v>5400</v>
      </c>
      <c r="B4278" s="234" t="str">
        <f>IFERROR(__xludf.DUMMYFUNCTION("""COMPUTED_VALUE"""),"LM Hub_SP_Limeira_Campo Belo")</f>
        <v>LM Hub_SP_Limeira_Campo Belo</v>
      </c>
      <c r="C4278" s="234" t="str">
        <f>IFERROR(__xludf.DUMMYFUNCTION("""COMPUTED_VALUE"""),"HUB-LSP-24")</f>
        <v>HUB-LSP-24</v>
      </c>
      <c r="D4278" s="234">
        <f>IFERROR(__xludf.DUMMYFUNCTION("""COMPUTED_VALUE"""),26.0)</f>
        <v>26</v>
      </c>
      <c r="E4278" s="237" t="str">
        <f>IFERROR(__xludf.DUMMYFUNCTION("""COMPUTED_VALUE"""),"LT0Q1901VFLV1")</f>
        <v>LT0Q1901VFLV1</v>
      </c>
      <c r="F4278" s="238" t="str">
        <f>IFERROR(__xludf.DUMMYFUNCTION("""COMPUTED_VALUE"""),"TAJ5D50")</f>
        <v>TAJ5D50</v>
      </c>
      <c r="G4278" s="238">
        <f>IFERROR(__xludf.DUMMYFUNCTION("""COMPUTED_VALUE"""),46031.16666666667)</f>
        <v>46031.16667</v>
      </c>
      <c r="H4278" s="238">
        <f>IFERROR(__xludf.DUMMYFUNCTION("""COMPUTED_VALUE"""),46031.25)</f>
        <v>46031.25</v>
      </c>
      <c r="I4278" s="237" t="str">
        <f t="shared" si="1"/>
        <v>Fora</v>
      </c>
      <c r="J4278" s="239">
        <v>119.99999999301508</v>
      </c>
    </row>
    <row r="4279">
      <c r="A4279" s="234" t="s">
        <v>745</v>
      </c>
      <c r="B4279" s="234" t="str">
        <f>IFERROR(__xludf.DUMMYFUNCTION("""COMPUTED_VALUE"""),"LM Hub_SP_Registro")</f>
        <v>LM Hub_SP_Registro</v>
      </c>
      <c r="C4279" s="234" t="str">
        <f>IFERROR(__xludf.DUMMYFUNCTION("""COMPUTED_VALUE"""),"HUB-LSP-40")</f>
        <v>HUB-LSP-40</v>
      </c>
      <c r="D4279" s="234">
        <f>IFERROR(__xludf.DUMMYFUNCTION("""COMPUTED_VALUE"""),20.0)</f>
        <v>20</v>
      </c>
      <c r="E4279" s="237" t="str">
        <f>IFERROR(__xludf.DUMMYFUNCTION("""COMPUTED_VALUE"""),"LT0Q1901VFKC1")</f>
        <v>LT0Q1901VFKC1</v>
      </c>
      <c r="F4279" s="238" t="str">
        <f>IFERROR(__xludf.DUMMYFUNCTION("""COMPUTED_VALUE"""),"DSS2A37")</f>
        <v>DSS2A37</v>
      </c>
      <c r="G4279" s="238">
        <f>IFERROR(__xludf.DUMMYFUNCTION("""COMPUTED_VALUE"""),46031.16666666667)</f>
        <v>46031.16667</v>
      </c>
      <c r="H4279" s="238">
        <f>IFERROR(__xludf.DUMMYFUNCTION("""COMPUTED_VALUE"""),46031.25)</f>
        <v>46031.25</v>
      </c>
      <c r="I4279" s="237" t="str">
        <f t="shared" si="1"/>
        <v>Fora</v>
      </c>
      <c r="J4279" s="239">
        <v>119.99999999301508</v>
      </c>
    </row>
    <row r="4280">
      <c r="A4280" s="234" t="s">
        <v>746</v>
      </c>
      <c r="B4280" s="234" t="str">
        <f>IFERROR(__xludf.DUMMYFUNCTION("""COMPUTED_VALUE"""),"LM Hub_SP_Várzea Paulista")</f>
        <v>LM Hub_SP_Várzea Paulista</v>
      </c>
      <c r="C4280" s="234" t="str">
        <f>IFERROR(__xludf.DUMMYFUNCTION("""COMPUTED_VALUE"""),"HUB-LSP-61")</f>
        <v>HUB-LSP-61</v>
      </c>
      <c r="D4280" s="234">
        <f>IFERROR(__xludf.DUMMYFUNCTION("""COMPUTED_VALUE"""),27.0)</f>
        <v>27</v>
      </c>
      <c r="E4280" s="237" t="str">
        <f>IFERROR(__xludf.DUMMYFUNCTION("""COMPUTED_VALUE"""),"LT0Q1901VFM51")</f>
        <v>LT0Q1901VFM51</v>
      </c>
      <c r="F4280" s="238" t="str">
        <f>IFERROR(__xludf.DUMMYFUNCTION("""COMPUTED_VALUE"""),"HNQ8267")</f>
        <v>HNQ8267</v>
      </c>
      <c r="G4280" s="238">
        <f>IFERROR(__xludf.DUMMYFUNCTION("""COMPUTED_VALUE"""),46031.16666666667)</f>
        <v>46031.16667</v>
      </c>
      <c r="H4280" s="238">
        <f>IFERROR(__xludf.DUMMYFUNCTION("""COMPUTED_VALUE"""),46031.25)</f>
        <v>46031.25</v>
      </c>
      <c r="I4280" s="237" t="str">
        <f t="shared" si="1"/>
        <v>Fora</v>
      </c>
      <c r="J4280" s="239">
        <v>119.00000000023283</v>
      </c>
    </row>
    <row r="4281">
      <c r="A4281" s="234" t="s">
        <v>747</v>
      </c>
      <c r="B4281" s="234" t="str">
        <f>IFERROR(__xludf.DUMMYFUNCTION("""COMPUTED_VALUE"""),"LM Hub_SP_São Bernardo do Campo")</f>
        <v>LM Hub_SP_São Bernardo do Campo</v>
      </c>
      <c r="C4281" s="234" t="str">
        <f>IFERROR(__xludf.DUMMYFUNCTION("""COMPUTED_VALUE"""),"HUB-LSP-79")</f>
        <v>HUB-LSP-79</v>
      </c>
      <c r="D4281" s="234">
        <f>IFERROR(__xludf.DUMMYFUNCTION("""COMPUTED_VALUE"""),16.0)</f>
        <v>16</v>
      </c>
      <c r="E4281" s="237" t="str">
        <f>IFERROR(__xludf.DUMMYFUNCTION("""COMPUTED_VALUE"""),"LT0Q1901VG4Q1")</f>
        <v>LT0Q1901VG4Q1</v>
      </c>
      <c r="F4281" s="238" t="str">
        <f>IFERROR(__xludf.DUMMYFUNCTION("""COMPUTED_VALUE"""),"DVT5D28,DTC7I46")</f>
        <v>DVT5D28,DTC7I46</v>
      </c>
      <c r="G4281" s="238">
        <f>IFERROR(__xludf.DUMMYFUNCTION("""COMPUTED_VALUE"""),46031.16736111111)</f>
        <v>46031.16736</v>
      </c>
      <c r="H4281" s="238">
        <f>IFERROR(__xludf.DUMMYFUNCTION("""COMPUTED_VALUE"""),46031.25)</f>
        <v>46031.25</v>
      </c>
      <c r="I4281" s="237" t="str">
        <f t="shared" si="1"/>
        <v>Fora</v>
      </c>
      <c r="J4281" s="239">
        <v>119.99999999301508</v>
      </c>
    </row>
    <row r="4282">
      <c r="A4282" s="234" t="s">
        <v>748</v>
      </c>
      <c r="B4282" s="234" t="str">
        <f>IFERROR(__xludf.DUMMYFUNCTION("""COMPUTED_VALUE"""),"LM Hub_SP_Atibaia_Ponte_Alta")</f>
        <v>LM Hub_SP_Atibaia_Ponte_Alta</v>
      </c>
      <c r="C4282" s="234" t="str">
        <f>IFERROR(__xludf.DUMMYFUNCTION("""COMPUTED_VALUE"""),"HUB-LSP-87")</f>
        <v>HUB-LSP-87</v>
      </c>
      <c r="D4282" s="234">
        <f>IFERROR(__xludf.DUMMYFUNCTION("""COMPUTED_VALUE"""),15.0)</f>
        <v>15</v>
      </c>
      <c r="E4282" s="237" t="str">
        <f>IFERROR(__xludf.DUMMYFUNCTION("""COMPUTED_VALUE"""),"LT0Q1901VJKD1")</f>
        <v>LT0Q1901VJKD1</v>
      </c>
      <c r="F4282" s="238" t="str">
        <f>IFERROR(__xludf.DUMMYFUNCTION("""COMPUTED_VALUE"""),"DBM1893")</f>
        <v>DBM1893</v>
      </c>
      <c r="G4282" s="238">
        <f>IFERROR(__xludf.DUMMYFUNCTION("""COMPUTED_VALUE"""),46031.1875)</f>
        <v>46031.1875</v>
      </c>
      <c r="H4282" s="238">
        <f>IFERROR(__xludf.DUMMYFUNCTION("""COMPUTED_VALUE"""),46031.27083333333)</f>
        <v>46031.27083</v>
      </c>
      <c r="I4282" s="237" t="str">
        <f t="shared" si="1"/>
        <v>Fora</v>
      </c>
      <c r="J4282" s="239">
        <v>119.99999999301508</v>
      </c>
    </row>
    <row r="4283">
      <c r="A4283" s="234" t="s">
        <v>749</v>
      </c>
      <c r="B4283" s="234" t="str">
        <f>IFERROR(__xludf.DUMMYFUNCTION("""COMPUTED_VALUE"""),"LM Hub_SP_Embu das Artes")</f>
        <v>LM Hub_SP_Embu das Artes</v>
      </c>
      <c r="C4283" s="234" t="str">
        <f>IFERROR(__xludf.DUMMYFUNCTION("""COMPUTED_VALUE"""),"HUB-LSP-36")</f>
        <v>HUB-LSP-36</v>
      </c>
      <c r="D4283" s="234">
        <f>IFERROR(__xludf.DUMMYFUNCTION("""COMPUTED_VALUE"""),33.0)</f>
        <v>33</v>
      </c>
      <c r="E4283" s="237" t="str">
        <f>IFERROR(__xludf.DUMMYFUNCTION("""COMPUTED_VALUE"""),"LT0Q1901VGO71")</f>
        <v>LT0Q1901VGO71</v>
      </c>
      <c r="F4283" s="238" t="str">
        <f>IFERROR(__xludf.DUMMYFUNCTION("""COMPUTED_VALUE"""),"GHZ9G37,FAM6D41")</f>
        <v>GHZ9G37,FAM6D41</v>
      </c>
      <c r="G4283" s="238">
        <f>IFERROR(__xludf.DUMMYFUNCTION("""COMPUTED_VALUE"""),46031.1875)</f>
        <v>46031.1875</v>
      </c>
      <c r="H4283" s="238">
        <f>IFERROR(__xludf.DUMMYFUNCTION("""COMPUTED_VALUE"""),46031.27083333333)</f>
        <v>46031.27083</v>
      </c>
      <c r="I4283" s="237" t="str">
        <f t="shared" si="1"/>
        <v>Fora</v>
      </c>
      <c r="J4283" s="239">
        <v>119.99999999301508</v>
      </c>
    </row>
    <row r="4284">
      <c r="A4284" s="234" t="s">
        <v>750</v>
      </c>
      <c r="B4284" s="234" t="str">
        <f>IFERROR(__xludf.DUMMYFUNCTION("""COMPUTED_VALUE"""),"LM Hub_SP_Taubaté")</f>
        <v>LM Hub_SP_Taubaté</v>
      </c>
      <c r="C4284" s="234" t="str">
        <f>IFERROR(__xludf.DUMMYFUNCTION("""COMPUTED_VALUE"""),"HUB-LSP-08")</f>
        <v>HUB-LSP-08</v>
      </c>
      <c r="D4284" s="234">
        <f>IFERROR(__xludf.DUMMYFUNCTION("""COMPUTED_VALUE"""),6.0)</f>
        <v>6</v>
      </c>
      <c r="E4284" s="237" t="str">
        <f>IFERROR(__xludf.DUMMYFUNCTION("""COMPUTED_VALUE"""),"LT0Q1901VFKY1")</f>
        <v>LT0Q1901VFKY1</v>
      </c>
      <c r="F4284" s="238" t="str">
        <f>IFERROR(__xludf.DUMMYFUNCTION("""COMPUTED_VALUE"""),"FBQ6A90")</f>
        <v>FBQ6A90</v>
      </c>
      <c r="G4284" s="238">
        <f>IFERROR(__xludf.DUMMYFUNCTION("""COMPUTED_VALUE"""),46031.1875)</f>
        <v>46031.1875</v>
      </c>
      <c r="H4284" s="238">
        <f>IFERROR(__xludf.DUMMYFUNCTION("""COMPUTED_VALUE"""),46031.27083333333)</f>
        <v>46031.27083</v>
      </c>
      <c r="I4284" s="237" t="str">
        <f t="shared" si="1"/>
        <v>Fora</v>
      </c>
      <c r="J4284" s="239">
        <v>119.99999999301508</v>
      </c>
    </row>
    <row r="4285">
      <c r="A4285" s="234" t="s">
        <v>766</v>
      </c>
      <c r="B4285" s="234" t="str">
        <f>IFERROR(__xludf.DUMMYFUNCTION("""COMPUTED_VALUE"""),"SoC_RJ_Duque de Caxias")</f>
        <v>SoC_RJ_Duque de Caxias</v>
      </c>
      <c r="C4285" s="234" t="str">
        <f>IFERROR(__xludf.DUMMYFUNCTION("""COMPUTED_VALUE"""),"SOC-RJ2")</f>
        <v>SOC-RJ2</v>
      </c>
      <c r="D4285" s="234"/>
      <c r="E4285" s="237" t="str">
        <f>IFERROR(__xludf.DUMMYFUNCTION("""COMPUTED_VALUE"""),"LT1Q1801W4DJ1")</f>
        <v>LT1Q1801W4DJ1</v>
      </c>
      <c r="F4285" s="238" t="str">
        <f>IFERROR(__xludf.DUMMYFUNCTION("""COMPUTED_VALUE"""),"JSC0E63,FKE3A01")</f>
        <v>JSC0E63,FKE3A01</v>
      </c>
      <c r="G4285" s="238">
        <f>IFERROR(__xludf.DUMMYFUNCTION("""COMPUTED_VALUE"""),46031.208333333336)</f>
        <v>46031.20833</v>
      </c>
      <c r="H4285" s="238">
        <f>IFERROR(__xludf.DUMMYFUNCTION("""COMPUTED_VALUE"""),46031.291666666664)</f>
        <v>46031.29167</v>
      </c>
      <c r="I4285" s="237" t="str">
        <f t="shared" si="1"/>
        <v>Fora</v>
      </c>
      <c r="J4285" s="239">
        <v>540.0</v>
      </c>
    </row>
    <row r="4286">
      <c r="A4286" s="234" t="s">
        <v>751</v>
      </c>
      <c r="B4286" s="234" t="str">
        <f>IFERROR(__xludf.DUMMYFUNCTION("""COMPUTED_VALUE"""),"SoC_GO_Goiânia_02")</f>
        <v>SoC_GO_Goiânia_02</v>
      </c>
      <c r="C4286" s="234" t="str">
        <f>IFERROR(__xludf.DUMMYFUNCTION("""COMPUTED_VALUE"""),"SOC-GO2")</f>
        <v>SOC-GO2</v>
      </c>
      <c r="D4286" s="234">
        <f>IFERROR(__xludf.DUMMYFUNCTION("""COMPUTED_VALUE"""),110.0)</f>
        <v>110</v>
      </c>
      <c r="E4286" s="237" t="str">
        <f>IFERROR(__xludf.DUMMYFUNCTION("""COMPUTED_VALUE"""),"LT0Q1801VLK02")</f>
        <v>LT0Q1801VLK02</v>
      </c>
      <c r="F4286" s="238" t="str">
        <f>IFERROR(__xludf.DUMMYFUNCTION("""COMPUTED_VALUE"""),"AWP7D63,RYG3H06")</f>
        <v>AWP7D63,RYG3H06</v>
      </c>
      <c r="G4286" s="238">
        <f>IFERROR(__xludf.DUMMYFUNCTION("""COMPUTED_VALUE"""),46030.91666666667)</f>
        <v>46030.91667</v>
      </c>
      <c r="H4286" s="238">
        <f>IFERROR(__xludf.DUMMYFUNCTION("""COMPUTED_VALUE"""),46031.29166666667)</f>
        <v>46031.29167</v>
      </c>
      <c r="I4286" s="237" t="str">
        <f t="shared" si="1"/>
        <v>Fora</v>
      </c>
      <c r="J4286" s="239">
        <v>540.0</v>
      </c>
    </row>
    <row r="4287">
      <c r="A4287" s="234" t="s">
        <v>5401</v>
      </c>
      <c r="B4287" s="234" t="str">
        <f>IFERROR(__xludf.DUMMYFUNCTION("""COMPUTED_VALUE"""),"SoC_GO_Goiânia_02")</f>
        <v>SoC_GO_Goiânia_02</v>
      </c>
      <c r="C4287" s="234" t="str">
        <f>IFERROR(__xludf.DUMMYFUNCTION("""COMPUTED_VALUE"""),"SOC-GO2")</f>
        <v>SOC-GO2</v>
      </c>
      <c r="D4287" s="234">
        <f>IFERROR(__xludf.DUMMYFUNCTION("""COMPUTED_VALUE"""),12.0)</f>
        <v>12</v>
      </c>
      <c r="E4287" s="237" t="str">
        <f>IFERROR(__xludf.DUMMYFUNCTION("""COMPUTED_VALUE"""),"LT1Q1801W4WE1")</f>
        <v>LT1Q1801W4WE1</v>
      </c>
      <c r="F4287" s="238" t="str">
        <f>IFERROR(__xludf.DUMMYFUNCTION("""COMPUTED_VALUE"""),"RYS0B73,QIU7705")</f>
        <v>RYS0B73,QIU7705</v>
      </c>
      <c r="G4287" s="238">
        <f>IFERROR(__xludf.DUMMYFUNCTION("""COMPUTED_VALUE"""),46030.91666666667)</f>
        <v>46030.91667</v>
      </c>
      <c r="H4287" s="238">
        <f>IFERROR(__xludf.DUMMYFUNCTION("""COMPUTED_VALUE"""),46031.29166666667)</f>
        <v>46031.29167</v>
      </c>
      <c r="I4287" s="237" t="str">
        <f t="shared" si="1"/>
        <v>Fora</v>
      </c>
      <c r="J4287" s="239">
        <v>540.0</v>
      </c>
    </row>
    <row r="4288">
      <c r="A4288" s="234" t="s">
        <v>5402</v>
      </c>
      <c r="B4288" s="234" t="str">
        <f>IFERROR(__xludf.DUMMYFUNCTION("""COMPUTED_VALUE"""),"SoC_MG_Betim")</f>
        <v>SoC_MG_Betim</v>
      </c>
      <c r="C4288" s="234" t="str">
        <f>IFERROR(__xludf.DUMMYFUNCTION("""COMPUTED_VALUE"""),"SOC-MG2")</f>
        <v>SOC-MG2</v>
      </c>
      <c r="D4288" s="234">
        <f>IFERROR(__xludf.DUMMYFUNCTION("""COMPUTED_VALUE"""),39.0)</f>
        <v>39</v>
      </c>
      <c r="E4288" s="237" t="str">
        <f>IFERROR(__xludf.DUMMYFUNCTION("""COMPUTED_VALUE"""),"LT1Q1801W4W31")</f>
        <v>LT1Q1801W4W31</v>
      </c>
      <c r="F4288" s="238" t="str">
        <f>IFERROR(__xludf.DUMMYFUNCTION("""COMPUTED_VALUE"""),"HKH0E68,GAP9C60")</f>
        <v>HKH0E68,GAP9C60</v>
      </c>
      <c r="G4288" s="238">
        <f>IFERROR(__xludf.DUMMYFUNCTION("""COMPUTED_VALUE"""),46030.91666666667)</f>
        <v>46030.91667</v>
      </c>
      <c r="H4288" s="238">
        <f>IFERROR(__xludf.DUMMYFUNCTION("""COMPUTED_VALUE"""),46031.29166666667)</f>
        <v>46031.29167</v>
      </c>
      <c r="I4288" s="237" t="str">
        <f t="shared" si="1"/>
        <v>Fora</v>
      </c>
      <c r="J4288" s="239">
        <v>540.0</v>
      </c>
    </row>
    <row r="4289">
      <c r="A4289" s="234" t="s">
        <v>5403</v>
      </c>
      <c r="B4289" s="234" t="str">
        <f>IFERROR(__xludf.DUMMYFUNCTION("""COMPUTED_VALUE"""),"SoC_RJ_Duque de Caxias")</f>
        <v>SoC_RJ_Duque de Caxias</v>
      </c>
      <c r="C4289" s="234" t="str">
        <f>IFERROR(__xludf.DUMMYFUNCTION("""COMPUTED_VALUE"""),"SOC-RJ2")</f>
        <v>SOC-RJ2</v>
      </c>
      <c r="D4289" s="234">
        <f>IFERROR(__xludf.DUMMYFUNCTION("""COMPUTED_VALUE"""),112.0)</f>
        <v>112</v>
      </c>
      <c r="E4289" s="237" t="str">
        <f>IFERROR(__xludf.DUMMYFUNCTION("""COMPUTED_VALUE"""),"LT0Q1801VHRS1")</f>
        <v>LT0Q1801VHRS1</v>
      </c>
      <c r="F4289" s="238" t="str">
        <f>IFERROR(__xludf.DUMMYFUNCTION("""COMPUTED_VALUE"""),"CUC8E98,EMU6E12")</f>
        <v>CUC8E98,EMU6E12</v>
      </c>
      <c r="G4289" s="238">
        <f>IFERROR(__xludf.DUMMYFUNCTION("""COMPUTED_VALUE"""),46030.91666666667)</f>
        <v>46030.91667</v>
      </c>
      <c r="H4289" s="238">
        <f>IFERROR(__xludf.DUMMYFUNCTION("""COMPUTED_VALUE"""),46031.29166666667)</f>
        <v>46031.29167</v>
      </c>
      <c r="I4289" s="237" t="str">
        <f t="shared" si="1"/>
        <v>Fora</v>
      </c>
      <c r="J4289" s="239">
        <v>540.0</v>
      </c>
    </row>
    <row r="4290">
      <c r="A4290" s="234" t="s">
        <v>754</v>
      </c>
      <c r="B4290" s="234" t="str">
        <f>IFERROR(__xludf.DUMMYFUNCTION("""COMPUTED_VALUE"""),"SoC_SC_Itajaí")</f>
        <v>SoC_SC_Itajaí</v>
      </c>
      <c r="C4290" s="234" t="str">
        <f>IFERROR(__xludf.DUMMYFUNCTION("""COMPUTED_VALUE"""),"SOC-SC1")</f>
        <v>SOC-SC1</v>
      </c>
      <c r="D4290" s="234"/>
      <c r="E4290" s="237" t="str">
        <f>IFERROR(__xludf.DUMMYFUNCTION("""COMPUTED_VALUE"""),"LT0Q1801VK9L1")</f>
        <v>LT0Q1801VK9L1</v>
      </c>
      <c r="F4290" s="238" t="str">
        <f>IFERROR(__xludf.DUMMYFUNCTION("""COMPUTED_VALUE"""),"TPN0A19,SXK6F54")</f>
        <v>TPN0A19,SXK6F54</v>
      </c>
      <c r="G4290" s="238">
        <f>IFERROR(__xludf.DUMMYFUNCTION("""COMPUTED_VALUE"""),46030.91666666667)</f>
        <v>46030.91667</v>
      </c>
      <c r="H4290" s="238">
        <f>IFERROR(__xludf.DUMMYFUNCTION("""COMPUTED_VALUE"""),46031.29166666667)</f>
        <v>46031.29167</v>
      </c>
      <c r="I4290" s="237" t="str">
        <f t="shared" si="1"/>
        <v>Fora</v>
      </c>
      <c r="J4290" s="239">
        <v>539.0000000072177</v>
      </c>
    </row>
    <row r="4291">
      <c r="A4291" s="234" t="s">
        <v>755</v>
      </c>
      <c r="B4291" s="234" t="str">
        <f>IFERROR(__xludf.DUMMYFUNCTION("""COMPUTED_VALUE"""),"SoC_BA_Simoes Filho")</f>
        <v>SoC_BA_Simoes Filho</v>
      </c>
      <c r="C4291" s="234" t="str">
        <f>IFERROR(__xludf.DUMMYFUNCTION("""COMPUTED_VALUE"""),"SOC-BA2")</f>
        <v>SOC-BA2</v>
      </c>
      <c r="D4291" s="234"/>
      <c r="E4291" s="237" t="str">
        <f>IFERROR(__xludf.DUMMYFUNCTION("""COMPUTED_VALUE"""),"LT0Q1801VLAJ2")</f>
        <v>LT0Q1801VLAJ2</v>
      </c>
      <c r="F4291" s="238" t="str">
        <f>IFERROR(__xludf.DUMMYFUNCTION("""COMPUTED_VALUE"""),"AZF1F77,RLF8A26")</f>
        <v>AZF1F77,RLF8A26</v>
      </c>
      <c r="G4291" s="238">
        <f>IFERROR(__xludf.DUMMYFUNCTION("""COMPUTED_VALUE"""),46030.91736111111)</f>
        <v>46030.91736</v>
      </c>
      <c r="H4291" s="238">
        <f>IFERROR(__xludf.DUMMYFUNCTION("""COMPUTED_VALUE"""),46031.29166666667)</f>
        <v>46031.29167</v>
      </c>
      <c r="I4291" s="237" t="str">
        <f t="shared" si="1"/>
        <v>Fora</v>
      </c>
      <c r="J4291" s="239">
        <v>539.0000000072177</v>
      </c>
    </row>
    <row r="4292">
      <c r="A4292" s="234" t="s">
        <v>756</v>
      </c>
      <c r="B4292" s="234" t="str">
        <f>IFERROR(__xludf.DUMMYFUNCTION("""COMPUTED_VALUE"""),"SoC_GO_Goiânia_02")</f>
        <v>SoC_GO_Goiânia_02</v>
      </c>
      <c r="C4292" s="234" t="str">
        <f>IFERROR(__xludf.DUMMYFUNCTION("""COMPUTED_VALUE"""),"SOC-GO2")</f>
        <v>SOC-GO2</v>
      </c>
      <c r="D4292" s="234">
        <f>IFERROR(__xludf.DUMMYFUNCTION("""COMPUTED_VALUE"""),47.0)</f>
        <v>47</v>
      </c>
      <c r="E4292" s="237" t="str">
        <f>IFERROR(__xludf.DUMMYFUNCTION("""COMPUTED_VALUE"""),"LT0Q1801VLKK2")</f>
        <v>LT0Q1801VLKK2</v>
      </c>
      <c r="F4292" s="238" t="str">
        <f>IFERROR(__xludf.DUMMYFUNCTION("""COMPUTED_VALUE"""),"FDB0D73,EFU2I35")</f>
        <v>FDB0D73,EFU2I35</v>
      </c>
      <c r="G4292" s="238">
        <f>IFERROR(__xludf.DUMMYFUNCTION("""COMPUTED_VALUE"""),46030.91736111111)</f>
        <v>46030.91736</v>
      </c>
      <c r="H4292" s="238">
        <f>IFERROR(__xludf.DUMMYFUNCTION("""COMPUTED_VALUE"""),46031.29166666667)</f>
        <v>46031.29167</v>
      </c>
      <c r="I4292" s="237" t="str">
        <f t="shared" si="1"/>
        <v>Fora</v>
      </c>
      <c r="J4292" s="239">
        <v>539.0000000072177</v>
      </c>
    </row>
    <row r="4293">
      <c r="A4293" s="234" t="s">
        <v>757</v>
      </c>
      <c r="B4293" s="234" t="str">
        <f>IFERROR(__xludf.DUMMYFUNCTION("""COMPUTED_VALUE"""),"SoC_PE_Jaboatão dos Guararapes")</f>
        <v>SoC_PE_Jaboatão dos Guararapes</v>
      </c>
      <c r="C4293" s="234" t="str">
        <f>IFERROR(__xludf.DUMMYFUNCTION("""COMPUTED_VALUE"""),"SOC-PE2")</f>
        <v>SOC-PE2</v>
      </c>
      <c r="D4293" s="234"/>
      <c r="E4293" s="237" t="str">
        <f>IFERROR(__xludf.DUMMYFUNCTION("""COMPUTED_VALUE"""),"LT0Q1801VL701")</f>
        <v>LT0Q1801VL701</v>
      </c>
      <c r="F4293" s="238" t="str">
        <f>IFERROR(__xludf.DUMMYFUNCTION("""COMPUTED_VALUE"""),"HBN8G06,GXM8D20")</f>
        <v>HBN8G06,GXM8D20</v>
      </c>
      <c r="G4293" s="238">
        <f>IFERROR(__xludf.DUMMYFUNCTION("""COMPUTED_VALUE"""),46030.91736111111)</f>
        <v>46030.91736</v>
      </c>
      <c r="H4293" s="238">
        <f>IFERROR(__xludf.DUMMYFUNCTION("""COMPUTED_VALUE"""),46031.29166666667)</f>
        <v>46031.29167</v>
      </c>
      <c r="I4293" s="237" t="str">
        <f t="shared" si="1"/>
        <v>Fora</v>
      </c>
      <c r="J4293" s="239">
        <v>539.0000000072177</v>
      </c>
    </row>
    <row r="4294">
      <c r="A4294" s="234" t="s">
        <v>758</v>
      </c>
      <c r="B4294" s="234" t="str">
        <f>IFERROR(__xludf.DUMMYFUNCTION("""COMPUTED_VALUE"""),"SoC_RS_Gravataí_02")</f>
        <v>SoC_RS_Gravataí_02</v>
      </c>
      <c r="C4294" s="234" t="str">
        <f>IFERROR(__xludf.DUMMYFUNCTION("""COMPUTED_VALUE"""),"SOC-RS2")</f>
        <v>SOC-RS2</v>
      </c>
      <c r="D4294" s="234">
        <f>IFERROR(__xludf.DUMMYFUNCTION("""COMPUTED_VALUE"""),114.0)</f>
        <v>114</v>
      </c>
      <c r="E4294" s="237" t="str">
        <f>IFERROR(__xludf.DUMMYFUNCTION("""COMPUTED_VALUE"""),"LT0Q1801VLMI1")</f>
        <v>LT0Q1801VLMI1</v>
      </c>
      <c r="F4294" s="238" t="str">
        <f>IFERROR(__xludf.DUMMYFUNCTION("""COMPUTED_VALUE"""),"SFQ9A94,TKL0E25")</f>
        <v>SFQ9A94,TKL0E25</v>
      </c>
      <c r="G4294" s="238">
        <f>IFERROR(__xludf.DUMMYFUNCTION("""COMPUTED_VALUE"""),46030.91736111111)</f>
        <v>46030.91736</v>
      </c>
      <c r="H4294" s="238">
        <f>IFERROR(__xludf.DUMMYFUNCTION("""COMPUTED_VALUE"""),46031.29166666667)</f>
        <v>46031.29167</v>
      </c>
      <c r="I4294" s="237" t="str">
        <f t="shared" si="1"/>
        <v>Fora</v>
      </c>
      <c r="J4294" s="239">
        <v>539.0000000072177</v>
      </c>
    </row>
    <row r="4295">
      <c r="A4295" s="234" t="s">
        <v>759</v>
      </c>
      <c r="B4295" s="234" t="str">
        <f>IFERROR(__xludf.DUMMYFUNCTION("""COMPUTED_VALUE"""),"SoC_RS_Gravataí_02")</f>
        <v>SoC_RS_Gravataí_02</v>
      </c>
      <c r="C4295" s="234" t="str">
        <f>IFERROR(__xludf.DUMMYFUNCTION("""COMPUTED_VALUE"""),"SOC-RS2")</f>
        <v>SOC-RS2</v>
      </c>
      <c r="D4295" s="234">
        <f>IFERROR(__xludf.DUMMYFUNCTION("""COMPUTED_VALUE"""),102.0)</f>
        <v>102</v>
      </c>
      <c r="E4295" s="237" t="str">
        <f>IFERROR(__xludf.DUMMYFUNCTION("""COMPUTED_VALUE"""),"LT0Q1801VLMK2")</f>
        <v>LT0Q1801VLMK2</v>
      </c>
      <c r="F4295" s="238" t="str">
        <f>IFERROR(__xludf.DUMMYFUNCTION("""COMPUTED_VALUE"""),"JBH7E44,RLI1J42")</f>
        <v>JBH7E44,RLI1J42</v>
      </c>
      <c r="G4295" s="238">
        <f>IFERROR(__xludf.DUMMYFUNCTION("""COMPUTED_VALUE"""),46030.91736111111)</f>
        <v>46030.91736</v>
      </c>
      <c r="H4295" s="238">
        <f>IFERROR(__xludf.DUMMYFUNCTION("""COMPUTED_VALUE"""),46031.29166666667)</f>
        <v>46031.29167</v>
      </c>
      <c r="I4295" s="237" t="str">
        <f t="shared" si="1"/>
        <v>Fora</v>
      </c>
      <c r="J4295" s="239">
        <v>539.0000000072177</v>
      </c>
    </row>
    <row r="4296">
      <c r="A4296" s="234" t="s">
        <v>5404</v>
      </c>
      <c r="B4296" s="234" t="str">
        <f>IFERROR(__xludf.DUMMYFUNCTION("""COMPUTED_VALUE"""),"SoC_SP_Cravinhos")</f>
        <v>SoC_SP_Cravinhos</v>
      </c>
      <c r="C4296" s="234" t="str">
        <f>IFERROR(__xludf.DUMMYFUNCTION("""COMPUTED_VALUE"""),"SOC-SP5")</f>
        <v>SOC-SP5</v>
      </c>
      <c r="D4296" s="234">
        <f>IFERROR(__xludf.DUMMYFUNCTION("""COMPUTED_VALUE"""),95.0)</f>
        <v>95</v>
      </c>
      <c r="E4296" s="237" t="str">
        <f>IFERROR(__xludf.DUMMYFUNCTION("""COMPUTED_VALUE"""),"LT0Q1801VFGK1")</f>
        <v>LT0Q1801VFGK1</v>
      </c>
      <c r="F4296" s="238" t="str">
        <f>IFERROR(__xludf.DUMMYFUNCTION("""COMPUTED_VALUE"""),"FEK3A22,EWJ2318")</f>
        <v>FEK3A22,EWJ2318</v>
      </c>
      <c r="G4296" s="238">
        <f>IFERROR(__xludf.DUMMYFUNCTION("""COMPUTED_VALUE"""),46030.91736111111)</f>
        <v>46030.91736</v>
      </c>
      <c r="H4296" s="238">
        <f>IFERROR(__xludf.DUMMYFUNCTION("""COMPUTED_VALUE"""),46031.29166666667)</f>
        <v>46031.29167</v>
      </c>
      <c r="I4296" s="237" t="str">
        <f t="shared" si="1"/>
        <v>Fora</v>
      </c>
      <c r="J4296" s="239">
        <v>539.0000000072177</v>
      </c>
    </row>
    <row r="4297">
      <c r="A4297" s="234" t="s">
        <v>5405</v>
      </c>
      <c r="B4297" s="234" t="str">
        <f>IFERROR(__xludf.DUMMYFUNCTION("""COMPUTED_VALUE"""),"SoC_SP_Cravinhos")</f>
        <v>SoC_SP_Cravinhos</v>
      </c>
      <c r="C4297" s="234" t="str">
        <f>IFERROR(__xludf.DUMMYFUNCTION("""COMPUTED_VALUE"""),"SOC-SP5")</f>
        <v>SOC-SP5</v>
      </c>
      <c r="D4297" s="234">
        <f>IFERROR(__xludf.DUMMYFUNCTION("""COMPUTED_VALUE"""),94.0)</f>
        <v>94</v>
      </c>
      <c r="E4297" s="237" t="str">
        <f>IFERROR(__xludf.DUMMYFUNCTION("""COMPUTED_VALUE"""),"LT0Q1801VFGM2")</f>
        <v>LT0Q1801VFGM2</v>
      </c>
      <c r="F4297" s="238" t="str">
        <f>IFERROR(__xludf.DUMMYFUNCTION("""COMPUTED_VALUE"""),"DTB9H48,MBK1D58")</f>
        <v>DTB9H48,MBK1D58</v>
      </c>
      <c r="G4297" s="238">
        <f>IFERROR(__xludf.DUMMYFUNCTION("""COMPUTED_VALUE"""),46030.91736111111)</f>
        <v>46030.91736</v>
      </c>
      <c r="H4297" s="238">
        <f>IFERROR(__xludf.DUMMYFUNCTION("""COMPUTED_VALUE"""),46031.29166666667)</f>
        <v>46031.29167</v>
      </c>
      <c r="I4297" s="237" t="str">
        <f t="shared" si="1"/>
        <v>Fora</v>
      </c>
      <c r="J4297" s="239">
        <v>538.0000000144355</v>
      </c>
    </row>
    <row r="4298">
      <c r="A4298" s="234" t="s">
        <v>5406</v>
      </c>
      <c r="B4298" s="234" t="str">
        <f>IFERROR(__xludf.DUMMYFUNCTION("""COMPUTED_VALUE"""),"SoC_MG_Betim")</f>
        <v>SoC_MG_Betim</v>
      </c>
      <c r="C4298" s="234" t="str">
        <f>IFERROR(__xludf.DUMMYFUNCTION("""COMPUTED_VALUE"""),"SOC-MG2")</f>
        <v>SOC-MG2</v>
      </c>
      <c r="D4298" s="234">
        <f>IFERROR(__xludf.DUMMYFUNCTION("""COMPUTED_VALUE"""),91.0)</f>
        <v>91</v>
      </c>
      <c r="E4298" s="237" t="str">
        <f>IFERROR(__xludf.DUMMYFUNCTION("""COMPUTED_VALUE"""),"LT0Q1801VFFC2")</f>
        <v>LT0Q1801VFFC2</v>
      </c>
      <c r="F4298" s="238" t="str">
        <f>IFERROR(__xludf.DUMMYFUNCTION("""COMPUTED_VALUE"""),"SWQ6D05,SWG3J97")</f>
        <v>SWQ6D05,SWG3J97</v>
      </c>
      <c r="G4298" s="238">
        <f>IFERROR(__xludf.DUMMYFUNCTION("""COMPUTED_VALUE"""),46030.91805555555)</f>
        <v>46030.91806</v>
      </c>
      <c r="H4298" s="238">
        <f>IFERROR(__xludf.DUMMYFUNCTION("""COMPUTED_VALUE"""),46031.29166666667)</f>
        <v>46031.29167</v>
      </c>
      <c r="I4298" s="237" t="str">
        <f t="shared" si="1"/>
        <v>Fora</v>
      </c>
      <c r="J4298" s="239">
        <v>538.0000000144355</v>
      </c>
    </row>
    <row r="4299">
      <c r="A4299" s="234" t="s">
        <v>760</v>
      </c>
      <c r="B4299" s="234" t="str">
        <f>IFERROR(__xludf.DUMMYFUNCTION("""COMPUTED_VALUE"""),"SoC_RJ_Duque de Caxias")</f>
        <v>SoC_RJ_Duque de Caxias</v>
      </c>
      <c r="C4299" s="234" t="str">
        <f>IFERROR(__xludf.DUMMYFUNCTION("""COMPUTED_VALUE"""),"SOC-RJ2")</f>
        <v>SOC-RJ2</v>
      </c>
      <c r="D4299" s="234">
        <f>IFERROR(__xludf.DUMMYFUNCTION("""COMPUTED_VALUE"""),96.0)</f>
        <v>96</v>
      </c>
      <c r="E4299" s="237" t="str">
        <f>IFERROR(__xludf.DUMMYFUNCTION("""COMPUTED_VALUE"""),"LT0Q1801VRR01")</f>
        <v>LT0Q1801VRR01</v>
      </c>
      <c r="F4299" s="238" t="str">
        <f>IFERROR(__xludf.DUMMYFUNCTION("""COMPUTED_VALUE"""),"JGZ2838,KET3G80")</f>
        <v>JGZ2838,KET3G80</v>
      </c>
      <c r="G4299" s="238">
        <f>IFERROR(__xludf.DUMMYFUNCTION("""COMPUTED_VALUE"""),46030.91805555555)</f>
        <v>46030.91806</v>
      </c>
      <c r="H4299" s="238">
        <f>IFERROR(__xludf.DUMMYFUNCTION("""COMPUTED_VALUE"""),46031.29166666667)</f>
        <v>46031.29167</v>
      </c>
      <c r="I4299" s="237" t="str">
        <f t="shared" si="1"/>
        <v>Fora</v>
      </c>
      <c r="J4299" s="239">
        <v>479.0000000107102</v>
      </c>
    </row>
    <row r="4300">
      <c r="A4300" s="234" t="s">
        <v>761</v>
      </c>
      <c r="B4300" s="234" t="str">
        <f>IFERROR(__xludf.DUMMYFUNCTION("""COMPUTED_VALUE"""),"SoC_GO_Goiânia_02")</f>
        <v>SoC_GO_Goiânia_02</v>
      </c>
      <c r="C4300" s="234" t="str">
        <f>IFERROR(__xludf.DUMMYFUNCTION("""COMPUTED_VALUE"""),"SOC-GO2")</f>
        <v>SOC-GO2</v>
      </c>
      <c r="D4300" s="234">
        <f>IFERROR(__xludf.DUMMYFUNCTION("""COMPUTED_VALUE"""),87.0)</f>
        <v>87</v>
      </c>
      <c r="E4300" s="237" t="str">
        <f>IFERROR(__xludf.DUMMYFUNCTION("""COMPUTED_VALUE"""),"LT0Q1801VLKI1")</f>
        <v>LT0Q1801VLKI1</v>
      </c>
      <c r="F4300" s="238" t="str">
        <f>IFERROR(__xludf.DUMMYFUNCTION("""COMPUTED_VALUE"""),"EBA6H69,TXS9H10")</f>
        <v>EBA6H69,TXS9H10</v>
      </c>
      <c r="G4300" s="238">
        <f>IFERROR(__xludf.DUMMYFUNCTION("""COMPUTED_VALUE"""),46030.959027777775)</f>
        <v>46030.95903</v>
      </c>
      <c r="H4300" s="238">
        <f>IFERROR(__xludf.DUMMYFUNCTION("""COMPUTED_VALUE"""),46031.29166666667)</f>
        <v>46031.29167</v>
      </c>
      <c r="I4300" s="237" t="str">
        <f t="shared" si="1"/>
        <v>Fora</v>
      </c>
      <c r="J4300" s="239">
        <v>418.00000000046566</v>
      </c>
    </row>
    <row r="4301">
      <c r="A4301" s="234" t="s">
        <v>5407</v>
      </c>
      <c r="B4301" s="234" t="str">
        <f>IFERROR(__xludf.DUMMYFUNCTION("""COMPUTED_VALUE"""),"SoC_MG_Betim")</f>
        <v>SoC_MG_Betim</v>
      </c>
      <c r="C4301" s="234" t="str">
        <f>IFERROR(__xludf.DUMMYFUNCTION("""COMPUTED_VALUE"""),"SOC-MG2")</f>
        <v>SOC-MG2</v>
      </c>
      <c r="D4301" s="234"/>
      <c r="E4301" s="237" t="str">
        <f>IFERROR(__xludf.DUMMYFUNCTION("""COMPUTED_VALUE"""),"LT0Q1801VFFA1")</f>
        <v>LT0Q1801VFFA1</v>
      </c>
      <c r="F4301" s="238" t="str">
        <f>IFERROR(__xludf.DUMMYFUNCTION("""COMPUTED_VALUE"""),"TEQ8I71,EZL6F23")</f>
        <v>TEQ8I71,EZL6F23</v>
      </c>
      <c r="G4301" s="238">
        <f>IFERROR(__xludf.DUMMYFUNCTION("""COMPUTED_VALUE"""),46031.00138888889)</f>
        <v>46031.00139</v>
      </c>
      <c r="H4301" s="238">
        <f>IFERROR(__xludf.DUMMYFUNCTION("""COMPUTED_VALUE"""),46031.29166666667)</f>
        <v>46031.29167</v>
      </c>
      <c r="I4301" s="237" t="str">
        <f t="shared" si="1"/>
        <v>Fora</v>
      </c>
      <c r="J4301" s="239">
        <v>120.00000001396984</v>
      </c>
    </row>
    <row r="4302">
      <c r="A4302" s="234" t="s">
        <v>763</v>
      </c>
      <c r="B4302" s="234" t="str">
        <f>IFERROR(__xludf.DUMMYFUNCTION("""COMPUTED_VALUE"""),"LM Hub_SP_Barueri_01")</f>
        <v>LM Hub_SP_Barueri_01</v>
      </c>
      <c r="C4302" s="234" t="str">
        <f>IFERROR(__xludf.DUMMYFUNCTION("""COMPUTED_VALUE"""),"HUB-LSP-81")</f>
        <v>HUB-LSP-81</v>
      </c>
      <c r="D4302" s="234">
        <f>IFERROR(__xludf.DUMMYFUNCTION("""COMPUTED_VALUE"""),17.0)</f>
        <v>17</v>
      </c>
      <c r="E4302" s="237" t="str">
        <f>IFERROR(__xludf.DUMMYFUNCTION("""COMPUTED_VALUE"""),"LT0Q1901VKXA1")</f>
        <v>LT0Q1901VKXA1</v>
      </c>
      <c r="F4302" s="238" t="str">
        <f>IFERROR(__xludf.DUMMYFUNCTION("""COMPUTED_VALUE"""),"FBH4883")</f>
        <v>FBH4883</v>
      </c>
      <c r="G4302" s="238">
        <f>IFERROR(__xludf.DUMMYFUNCTION("""COMPUTED_VALUE"""),46031.20833333333)</f>
        <v>46031.20833</v>
      </c>
      <c r="H4302" s="238">
        <f>IFERROR(__xludf.DUMMYFUNCTION("""COMPUTED_VALUE"""),46031.29166666667)</f>
        <v>46031.29167</v>
      </c>
      <c r="I4302" s="237" t="str">
        <f t="shared" si="1"/>
        <v>Fora</v>
      </c>
      <c r="J4302" s="239">
        <v>120.00000001396984</v>
      </c>
    </row>
    <row r="4303">
      <c r="A4303" s="234" t="s">
        <v>764</v>
      </c>
      <c r="B4303" s="234" t="str">
        <f>IFERROR(__xludf.DUMMYFUNCTION("""COMPUTED_VALUE"""),"LM Hub_SP_Jundiaí")</f>
        <v>LM Hub_SP_Jundiaí</v>
      </c>
      <c r="C4303" s="234" t="str">
        <f>IFERROR(__xludf.DUMMYFUNCTION("""COMPUTED_VALUE"""),"HUB-LSP-100")</f>
        <v>HUB-LSP-100</v>
      </c>
      <c r="D4303" s="234">
        <f>IFERROR(__xludf.DUMMYFUNCTION("""COMPUTED_VALUE"""),25.0)</f>
        <v>25</v>
      </c>
      <c r="E4303" s="237" t="str">
        <f>IFERROR(__xludf.DUMMYFUNCTION("""COMPUTED_VALUE"""),"LT0Q1901VMD81")</f>
        <v>LT0Q1901VMD81</v>
      </c>
      <c r="F4303" s="238" t="str">
        <f>IFERROR(__xludf.DUMMYFUNCTION("""COMPUTED_VALUE"""),"TBX6C72")</f>
        <v>TBX6C72</v>
      </c>
      <c r="G4303" s="238">
        <f>IFERROR(__xludf.DUMMYFUNCTION("""COMPUTED_VALUE"""),46031.20833333333)</f>
        <v>46031.20833</v>
      </c>
      <c r="H4303" s="238">
        <f>IFERROR(__xludf.DUMMYFUNCTION("""COMPUTED_VALUE"""),46031.29166666667)</f>
        <v>46031.29167</v>
      </c>
      <c r="I4303" s="237" t="str">
        <f t="shared" si="1"/>
        <v>Fora</v>
      </c>
      <c r="J4303" s="239">
        <v>120.00000001396984</v>
      </c>
    </row>
    <row r="4304">
      <c r="A4304" s="234" t="s">
        <v>765</v>
      </c>
      <c r="B4304" s="234" t="str">
        <f>IFERROR(__xludf.DUMMYFUNCTION("""COMPUTED_VALUE"""),"LM Hub_SP_Jurubatuba")</f>
        <v>LM Hub_SP_Jurubatuba</v>
      </c>
      <c r="C4304" s="234" t="str">
        <f>IFERROR(__xludf.DUMMYFUNCTION("""COMPUTED_VALUE"""),"HUB-LSP-16")</f>
        <v>HUB-LSP-16</v>
      </c>
      <c r="D4304" s="234"/>
      <c r="E4304" s="237" t="str">
        <f>IFERROR(__xludf.DUMMYFUNCTION("""COMPUTED_VALUE"""),"LT0Q1901VGMO1")</f>
        <v>LT0Q1901VGMO1</v>
      </c>
      <c r="F4304" s="238" t="str">
        <f>IFERROR(__xludf.DUMMYFUNCTION("""COMPUTED_VALUE"""),"FYU4F06")</f>
        <v>FYU4F06</v>
      </c>
      <c r="G4304" s="238">
        <f>IFERROR(__xludf.DUMMYFUNCTION("""COMPUTED_VALUE"""),46031.20833333333)</f>
        <v>46031.20833</v>
      </c>
      <c r="H4304" s="238">
        <f>IFERROR(__xludf.DUMMYFUNCTION("""COMPUTED_VALUE"""),46031.29166666667)</f>
        <v>46031.29167</v>
      </c>
      <c r="I4304" s="237" t="str">
        <f t="shared" si="1"/>
        <v>Fora</v>
      </c>
      <c r="J4304" s="239">
        <v>120.00000001396984</v>
      </c>
    </row>
    <row r="4305">
      <c r="A4305" s="234" t="s">
        <v>767</v>
      </c>
      <c r="B4305" s="234" t="str">
        <f>IFERROR(__xludf.DUMMYFUNCTION("""COMPUTED_VALUE"""),"LM Hub_SP_Piracicaba")</f>
        <v>LM Hub_SP_Piracicaba</v>
      </c>
      <c r="C4305" s="234" t="str">
        <f>IFERROR(__xludf.DUMMYFUNCTION("""COMPUTED_VALUE"""),"HUB-LSP-62")</f>
        <v>HUB-LSP-62</v>
      </c>
      <c r="D4305" s="234">
        <f>IFERROR(__xludf.DUMMYFUNCTION("""COMPUTED_VALUE"""),38.0)</f>
        <v>38</v>
      </c>
      <c r="E4305" s="237" t="str">
        <f>IFERROR(__xludf.DUMMYFUNCTION("""COMPUTED_VALUE"""),"LT0Q1901VG7P1")</f>
        <v>LT0Q1901VG7P1</v>
      </c>
      <c r="F4305" s="238" t="str">
        <f>IFERROR(__xludf.DUMMYFUNCTION("""COMPUTED_VALUE"""),"OMY3I62")</f>
        <v>OMY3I62</v>
      </c>
      <c r="G4305" s="238">
        <f>IFERROR(__xludf.DUMMYFUNCTION("""COMPUTED_VALUE"""),46031.20833333333)</f>
        <v>46031.20833</v>
      </c>
      <c r="H4305" s="238">
        <f>IFERROR(__xludf.DUMMYFUNCTION("""COMPUTED_VALUE"""),46031.29166666667)</f>
        <v>46031.29167</v>
      </c>
      <c r="I4305" s="237" t="str">
        <f t="shared" si="1"/>
        <v>Fora</v>
      </c>
      <c r="J4305" s="239">
        <v>120.00000001396984</v>
      </c>
    </row>
    <row r="4306">
      <c r="A4306" s="234" t="s">
        <v>768</v>
      </c>
      <c r="B4306" s="234" t="str">
        <f>IFERROR(__xludf.DUMMYFUNCTION("""COMPUTED_VALUE"""),"LM Hub_SP_Santos_PraiaGrande_02")</f>
        <v>LM Hub_SP_Santos_PraiaGrande_02</v>
      </c>
      <c r="C4306" s="234" t="str">
        <f>IFERROR(__xludf.DUMMYFUNCTION("""COMPUTED_VALUE"""),"HUB-LSP-63")</f>
        <v>HUB-LSP-63</v>
      </c>
      <c r="D4306" s="234"/>
      <c r="E4306" s="237" t="str">
        <f>IFERROR(__xludf.DUMMYFUNCTION("""COMPUTED_VALUE"""),"LT0Q1901VGNY1")</f>
        <v>LT0Q1901VGNY1</v>
      </c>
      <c r="F4306" s="238" t="str">
        <f>IFERROR(__xludf.DUMMYFUNCTION("""COMPUTED_VALUE"""),"-")</f>
        <v>-</v>
      </c>
      <c r="G4306" s="238">
        <f>IFERROR(__xludf.DUMMYFUNCTION("""COMPUTED_VALUE"""),46031.20833333333)</f>
        <v>46031.20833</v>
      </c>
      <c r="H4306" s="238">
        <f>IFERROR(__xludf.DUMMYFUNCTION("""COMPUTED_VALUE"""),46031.29166666667)</f>
        <v>46031.29167</v>
      </c>
      <c r="I4306" s="237" t="str">
        <f t="shared" si="1"/>
        <v>Fora</v>
      </c>
      <c r="J4306" s="239">
        <v>120.00000001396984</v>
      </c>
    </row>
    <row r="4307">
      <c r="A4307" s="234" t="s">
        <v>769</v>
      </c>
      <c r="B4307" s="234" t="str">
        <f>IFERROR(__xludf.DUMMYFUNCTION("""COMPUTED_VALUE"""),"LM Hub_SP_Santos_PraiaGrande_02")</f>
        <v>LM Hub_SP_Santos_PraiaGrande_02</v>
      </c>
      <c r="C4307" s="234" t="str">
        <f>IFERROR(__xludf.DUMMYFUNCTION("""COMPUTED_VALUE"""),"HUB-LSP-63")</f>
        <v>HUB-LSP-63</v>
      </c>
      <c r="D4307" s="234"/>
      <c r="E4307" s="237" t="str">
        <f>IFERROR(__xludf.DUMMYFUNCTION("""COMPUTED_VALUE"""),"LT0Q1901VGO02")</f>
        <v>LT0Q1901VGO02</v>
      </c>
      <c r="F4307" s="238" t="str">
        <f>IFERROR(__xludf.DUMMYFUNCTION("""COMPUTED_VALUE"""),"GEJ6E62,TLV2A95")</f>
        <v>GEJ6E62,TLV2A95</v>
      </c>
      <c r="G4307" s="238">
        <f>IFERROR(__xludf.DUMMYFUNCTION("""COMPUTED_VALUE"""),46031.20833333333)</f>
        <v>46031.20833</v>
      </c>
      <c r="H4307" s="238">
        <f>IFERROR(__xludf.DUMMYFUNCTION("""COMPUTED_VALUE"""),46031.29166666667)</f>
        <v>46031.29167</v>
      </c>
      <c r="I4307" s="237" t="str">
        <f t="shared" si="1"/>
        <v>Fora</v>
      </c>
      <c r="J4307" s="239">
        <v>118.00000000745058</v>
      </c>
    </row>
    <row r="4308">
      <c r="A4308" s="234" t="s">
        <v>5408</v>
      </c>
      <c r="B4308" s="234" t="str">
        <f>IFERROR(__xludf.DUMMYFUNCTION("""COMPUTED_VALUE"""),"LM Hub_SP_Jurubatuba")</f>
        <v>LM Hub_SP_Jurubatuba</v>
      </c>
      <c r="C4308" s="234" t="str">
        <f>IFERROR(__xludf.DUMMYFUNCTION("""COMPUTED_VALUE"""),"HUB-LSP-16")</f>
        <v>HUB-LSP-16</v>
      </c>
      <c r="D4308" s="234">
        <f>IFERROR(__xludf.DUMMYFUNCTION("""COMPUTED_VALUE"""),19.0)</f>
        <v>19</v>
      </c>
      <c r="E4308" s="237" t="str">
        <f>IFERROR(__xludf.DUMMYFUNCTION("""COMPUTED_VALUE"""),"LT0Q1901VGMT1")</f>
        <v>LT0Q1901VGMT1</v>
      </c>
      <c r="F4308" s="238" t="str">
        <f>IFERROR(__xludf.DUMMYFUNCTION("""COMPUTED_VALUE"""),"MQM6I27,FXB7G01")</f>
        <v>MQM6I27,FXB7G01</v>
      </c>
      <c r="G4308" s="238">
        <f>IFERROR(__xludf.DUMMYFUNCTION("""COMPUTED_VALUE"""),46031.20972222222)</f>
        <v>46031.20972</v>
      </c>
      <c r="H4308" s="238">
        <f>IFERROR(__xludf.DUMMYFUNCTION("""COMPUTED_VALUE"""),46031.29166666667)</f>
        <v>46031.29167</v>
      </c>
      <c r="I4308" s="237" t="str">
        <f t="shared" si="1"/>
        <v>Fora</v>
      </c>
      <c r="J4308" s="239">
        <v>119.99999999301508</v>
      </c>
    </row>
    <row r="4309">
      <c r="A4309" s="234" t="s">
        <v>770</v>
      </c>
      <c r="B4309" s="234" t="str">
        <f>IFERROR(__xludf.DUMMYFUNCTION("""COMPUTED_VALUE"""),"LM Hub_SP_Guarujá")</f>
        <v>LM Hub_SP_Guarujá</v>
      </c>
      <c r="C4309" s="234" t="str">
        <f>IFERROR(__xludf.DUMMYFUNCTION("""COMPUTED_VALUE"""),"HUB-LSP-06")</f>
        <v>HUB-LSP-06</v>
      </c>
      <c r="D4309" s="234">
        <f>IFERROR(__xludf.DUMMYFUNCTION("""COMPUTED_VALUE"""),32.0)</f>
        <v>32</v>
      </c>
      <c r="E4309" s="237" t="str">
        <f>IFERROR(__xludf.DUMMYFUNCTION("""COMPUTED_VALUE"""),"LT0Q1901VGNG1")</f>
        <v>LT0Q1901VGNG1</v>
      </c>
      <c r="F4309" s="238" t="str">
        <f>IFERROR(__xludf.DUMMYFUNCTION("""COMPUTED_VALUE"""),"GGN4792")</f>
        <v>GGN4792</v>
      </c>
      <c r="G4309" s="238">
        <f>IFERROR(__xludf.DUMMYFUNCTION("""COMPUTED_VALUE"""),46031.22916666667)</f>
        <v>46031.22917</v>
      </c>
      <c r="H4309" s="238">
        <f>IFERROR(__xludf.DUMMYFUNCTION("""COMPUTED_VALUE"""),46031.3125)</f>
        <v>46031.3125</v>
      </c>
      <c r="I4309" s="237" t="str">
        <f t="shared" si="1"/>
        <v>Fora</v>
      </c>
      <c r="J4309" s="239">
        <v>119.99999999301508</v>
      </c>
    </row>
    <row r="4310">
      <c r="A4310" s="234" t="s">
        <v>771</v>
      </c>
      <c r="B4310" s="234" t="str">
        <f>IFERROR(__xludf.DUMMYFUNCTION("""COMPUTED_VALUE"""),"LM Hub_SP_Itapevi")</f>
        <v>LM Hub_SP_Itapevi</v>
      </c>
      <c r="C4310" s="234" t="str">
        <f>IFERROR(__xludf.DUMMYFUNCTION("""COMPUTED_VALUE"""),"HUB-LSP-41")</f>
        <v>HUB-LSP-41</v>
      </c>
      <c r="D4310" s="234">
        <f>IFERROR(__xludf.DUMMYFUNCTION("""COMPUTED_VALUE"""),44.0)</f>
        <v>44</v>
      </c>
      <c r="E4310" s="237" t="str">
        <f>IFERROR(__xludf.DUMMYFUNCTION("""COMPUTED_VALUE"""),"LT0Q1901VQZS1")</f>
        <v>LT0Q1901VQZS1</v>
      </c>
      <c r="F4310" s="238" t="str">
        <f>IFERROR(__xludf.DUMMYFUNCTION("""COMPUTED_VALUE"""),"FYQ5533")</f>
        <v>FYQ5533</v>
      </c>
      <c r="G4310" s="238">
        <f>IFERROR(__xludf.DUMMYFUNCTION("""COMPUTED_VALUE"""),46031.22916666667)</f>
        <v>46031.22917</v>
      </c>
      <c r="H4310" s="238">
        <f>IFERROR(__xludf.DUMMYFUNCTION("""COMPUTED_VALUE"""),46031.3125)</f>
        <v>46031.3125</v>
      </c>
      <c r="I4310" s="237" t="str">
        <f t="shared" si="1"/>
        <v>Fora</v>
      </c>
      <c r="J4310" s="239">
        <v>119.99999999301508</v>
      </c>
    </row>
    <row r="4311">
      <c r="A4311" s="234" t="s">
        <v>772</v>
      </c>
      <c r="B4311" s="234" t="str">
        <f>IFERROR(__xludf.DUMMYFUNCTION("""COMPUTED_VALUE"""),"LM Hub_SP_Itaqua_Zimba")</f>
        <v>LM Hub_SP_Itaqua_Zimba</v>
      </c>
      <c r="C4311" s="234" t="str">
        <f>IFERROR(__xludf.DUMMYFUNCTION("""COMPUTED_VALUE"""),"HUB-LSP-74")</f>
        <v>HUB-LSP-74</v>
      </c>
      <c r="D4311" s="234">
        <f>IFERROR(__xludf.DUMMYFUNCTION("""COMPUTED_VALUE"""),49.0)</f>
        <v>49</v>
      </c>
      <c r="E4311" s="237" t="str">
        <f>IFERROR(__xludf.DUMMYFUNCTION("""COMPUTED_VALUE"""),"LT0Q1901VGNB1")</f>
        <v>LT0Q1901VGNB1</v>
      </c>
      <c r="F4311" s="238" t="str">
        <f>IFERROR(__xludf.DUMMYFUNCTION("""COMPUTED_VALUE"""),"DVA3A62,DBC7D61")</f>
        <v>DVA3A62,DBC7D61</v>
      </c>
      <c r="G4311" s="238">
        <f>IFERROR(__xludf.DUMMYFUNCTION("""COMPUTED_VALUE"""),46031.22916666667)</f>
        <v>46031.22917</v>
      </c>
      <c r="H4311" s="238">
        <f>IFERROR(__xludf.DUMMYFUNCTION("""COMPUTED_VALUE"""),46031.3125)</f>
        <v>46031.3125</v>
      </c>
      <c r="I4311" s="237" t="str">
        <f t="shared" si="1"/>
        <v>Fora</v>
      </c>
      <c r="J4311" s="239">
        <v>119.99999999301508</v>
      </c>
    </row>
    <row r="4312">
      <c r="A4312" s="234" t="s">
        <v>773</v>
      </c>
      <c r="B4312" s="234" t="str">
        <f>IFERROR(__xludf.DUMMYFUNCTION("""COMPUTED_VALUE"""),"LM Hub_SP_Santos_Praia Grande")</f>
        <v>LM Hub_SP_Santos_Praia Grande</v>
      </c>
      <c r="C4312" s="234" t="str">
        <f>IFERROR(__xludf.DUMMYFUNCTION("""COMPUTED_VALUE"""),"HUB-LSP-09")</f>
        <v>HUB-LSP-09</v>
      </c>
      <c r="D4312" s="234"/>
      <c r="E4312" s="237" t="str">
        <f>IFERROR(__xludf.DUMMYFUNCTION("""COMPUTED_VALUE"""),"LT0Q1901VGNL1")</f>
        <v>LT0Q1901VGNL1</v>
      </c>
      <c r="F4312" s="238" t="str">
        <f>IFERROR(__xludf.DUMMYFUNCTION("""COMPUTED_VALUE"""),"-")</f>
        <v>-</v>
      </c>
      <c r="G4312" s="238">
        <f>IFERROR(__xludf.DUMMYFUNCTION("""COMPUTED_VALUE"""),46031.22916666667)</f>
        <v>46031.22917</v>
      </c>
      <c r="H4312" s="238">
        <f>IFERROR(__xludf.DUMMYFUNCTION("""COMPUTED_VALUE"""),46031.3125)</f>
        <v>46031.3125</v>
      </c>
      <c r="I4312" s="237" t="str">
        <f t="shared" si="1"/>
        <v>Fora</v>
      </c>
      <c r="J4312" s="239">
        <v>119.99999999301508</v>
      </c>
    </row>
    <row r="4313">
      <c r="A4313" s="234" t="s">
        <v>774</v>
      </c>
      <c r="B4313" s="234" t="str">
        <f>IFERROR(__xludf.DUMMYFUNCTION("""COMPUTED_VALUE"""),"LM Hub_SP_São José dos Campos")</f>
        <v>LM Hub_SP_São José dos Campos</v>
      </c>
      <c r="C4313" s="234" t="str">
        <f>IFERROR(__xludf.DUMMYFUNCTION("""COMPUTED_VALUE"""),"HUB-LSP-04")</f>
        <v>HUB-LSP-04</v>
      </c>
      <c r="D4313" s="234"/>
      <c r="E4313" s="237" t="str">
        <f>IFERROR(__xludf.DUMMYFUNCTION("""COMPUTED_VALUE"""),"LT0Q1901VGNQ1")</f>
        <v>LT0Q1901VGNQ1</v>
      </c>
      <c r="F4313" s="238" t="str">
        <f>IFERROR(__xludf.DUMMYFUNCTION("""COMPUTED_VALUE"""),"TBX6D09")</f>
        <v>TBX6D09</v>
      </c>
      <c r="G4313" s="238">
        <f>IFERROR(__xludf.DUMMYFUNCTION("""COMPUTED_VALUE"""),46031.22916666667)</f>
        <v>46031.22917</v>
      </c>
      <c r="H4313" s="238">
        <f>IFERROR(__xludf.DUMMYFUNCTION("""COMPUTED_VALUE"""),46031.3125)</f>
        <v>46031.3125</v>
      </c>
      <c r="I4313" s="237" t="str">
        <f t="shared" si="1"/>
        <v>Fora</v>
      </c>
      <c r="J4313" s="239">
        <v>119.99999999301508</v>
      </c>
    </row>
    <row r="4314">
      <c r="A4314" s="234" t="s">
        <v>775</v>
      </c>
      <c r="B4314" s="234" t="str">
        <f>IFERROR(__xludf.DUMMYFUNCTION("""COMPUTED_VALUE"""),"LM Hub_SP_São Paulo_Mooca")</f>
        <v>LM Hub_SP_São Paulo_Mooca</v>
      </c>
      <c r="C4314" s="234" t="str">
        <f>IFERROR(__xludf.DUMMYFUNCTION("""COMPUTED_VALUE"""),"HUB-LSP-13")</f>
        <v>HUB-LSP-13</v>
      </c>
      <c r="D4314" s="234">
        <f>IFERROR(__xludf.DUMMYFUNCTION("""COMPUTED_VALUE"""),48.0)</f>
        <v>48</v>
      </c>
      <c r="E4314" s="237" t="str">
        <f>IFERROR(__xludf.DUMMYFUNCTION("""COMPUTED_VALUE"""),"LT0Q1901VREX1")</f>
        <v>LT0Q1901VREX1</v>
      </c>
      <c r="F4314" s="238" t="str">
        <f>IFERROR(__xludf.DUMMYFUNCTION("""COMPUTED_VALUE"""),"PEP9J38")</f>
        <v>PEP9J38</v>
      </c>
      <c r="G4314" s="238">
        <f>IFERROR(__xludf.DUMMYFUNCTION("""COMPUTED_VALUE"""),46031.22916666667)</f>
        <v>46031.22917</v>
      </c>
      <c r="H4314" s="238">
        <f>IFERROR(__xludf.DUMMYFUNCTION("""COMPUTED_VALUE"""),46031.3125)</f>
        <v>46031.3125</v>
      </c>
      <c r="I4314" s="237" t="str">
        <f t="shared" si="1"/>
        <v>Fora</v>
      </c>
      <c r="J4314" s="239">
        <v>119.99999999301508</v>
      </c>
    </row>
    <row r="4315">
      <c r="A4315" s="234" t="s">
        <v>776</v>
      </c>
      <c r="B4315" s="234" t="str">
        <f>IFERROR(__xludf.DUMMYFUNCTION("""COMPUTED_VALUE"""),"LM Hub_SP_São Paulo_Mooca")</f>
        <v>LM Hub_SP_São Paulo_Mooca</v>
      </c>
      <c r="C4315" s="234" t="str">
        <f>IFERROR(__xludf.DUMMYFUNCTION("""COMPUTED_VALUE"""),"HUB-LSP-13")</f>
        <v>HUB-LSP-13</v>
      </c>
      <c r="D4315" s="234"/>
      <c r="E4315" s="237" t="str">
        <f>IFERROR(__xludf.DUMMYFUNCTION("""COMPUTED_VALUE"""),"LT0Q1901VRF12")</f>
        <v>LT0Q1901VRF12</v>
      </c>
      <c r="F4315" s="238" t="str">
        <f>IFERROR(__xludf.DUMMYFUNCTION("""COMPUTED_VALUE"""),"PEP9J38")</f>
        <v>PEP9J38</v>
      </c>
      <c r="G4315" s="238">
        <f>IFERROR(__xludf.DUMMYFUNCTION("""COMPUTED_VALUE"""),46031.22916666667)</f>
        <v>46031.22917</v>
      </c>
      <c r="H4315" s="238">
        <f>IFERROR(__xludf.DUMMYFUNCTION("""COMPUTED_VALUE"""),46031.3125)</f>
        <v>46031.3125</v>
      </c>
      <c r="I4315" s="237" t="str">
        <f t="shared" si="1"/>
        <v>Fora</v>
      </c>
      <c r="J4315" s="239">
        <v>119.99999999301508</v>
      </c>
    </row>
    <row r="4316">
      <c r="A4316" s="234" t="s">
        <v>777</v>
      </c>
      <c r="B4316" s="234" t="str">
        <f>IFERROR(__xludf.DUMMYFUNCTION("""COMPUTED_VALUE"""),"LM Hub_SP_Suzano_Baruel")</f>
        <v>LM Hub_SP_Suzano_Baruel</v>
      </c>
      <c r="C4316" s="234" t="str">
        <f>IFERROR(__xludf.DUMMYFUNCTION("""COMPUTED_VALUE"""),"HUB-LSP-97")</f>
        <v>HUB-LSP-97</v>
      </c>
      <c r="D4316" s="234">
        <f>IFERROR(__xludf.DUMMYFUNCTION("""COMPUTED_VALUE"""),13.0)</f>
        <v>13</v>
      </c>
      <c r="E4316" s="237" t="str">
        <f>IFERROR(__xludf.DUMMYFUNCTION("""COMPUTED_VALUE"""),"LT0Q1901VMSK1")</f>
        <v>LT0Q1901VMSK1</v>
      </c>
      <c r="F4316" s="238" t="str">
        <f>IFERROR(__xludf.DUMMYFUNCTION("""COMPUTED_VALUE"""),"GJK2F83")</f>
        <v>GJK2F83</v>
      </c>
      <c r="G4316" s="238">
        <f>IFERROR(__xludf.DUMMYFUNCTION("""COMPUTED_VALUE"""),46031.22916666667)</f>
        <v>46031.22917</v>
      </c>
      <c r="H4316" s="238">
        <f>IFERROR(__xludf.DUMMYFUNCTION("""COMPUTED_VALUE"""),46031.3125)</f>
        <v>46031.3125</v>
      </c>
      <c r="I4316" s="237" t="str">
        <f t="shared" si="1"/>
        <v>Fora</v>
      </c>
      <c r="J4316" s="239">
        <v>180.0</v>
      </c>
    </row>
    <row r="4317">
      <c r="A4317" s="234" t="s">
        <v>778</v>
      </c>
      <c r="B4317" s="234" t="str">
        <f>IFERROR(__xludf.DUMMYFUNCTION("""COMPUTED_VALUE"""),"SoC_SP_Santana")</f>
        <v>SoC_SP_Santana</v>
      </c>
      <c r="C4317" s="234" t="str">
        <f>IFERROR(__xludf.DUMMYFUNCTION("""COMPUTED_VALUE"""),"SOC-SP2")</f>
        <v>SOC-SP2</v>
      </c>
      <c r="D4317" s="234">
        <f>IFERROR(__xludf.DUMMYFUNCTION("""COMPUTED_VALUE"""),23.0)</f>
        <v>23</v>
      </c>
      <c r="E4317" s="237" t="str">
        <f>IFERROR(__xludf.DUMMYFUNCTION("""COMPUTED_VALUE"""),"LT0Q1901VFZW1")</f>
        <v>LT0Q1901VFZW1</v>
      </c>
      <c r="F4317" s="238" t="str">
        <f>IFERROR(__xludf.DUMMYFUNCTION("""COMPUTED_VALUE"""),"DKI3H35,MDV7E89")</f>
        <v>DKI3H35,MDV7E89</v>
      </c>
      <c r="G4317" s="238">
        <f>IFERROR(__xludf.DUMMYFUNCTION("""COMPUTED_VALUE"""),46031.194444444445)</f>
        <v>46031.19444</v>
      </c>
      <c r="H4317" s="238">
        <f>IFERROR(__xludf.DUMMYFUNCTION("""COMPUTED_VALUE"""),46031.319444444445)</f>
        <v>46031.31944</v>
      </c>
      <c r="I4317" s="237" t="str">
        <f t="shared" si="1"/>
        <v>Fora</v>
      </c>
      <c r="J4317" s="239">
        <v>538.9999999967404</v>
      </c>
    </row>
    <row r="4318">
      <c r="A4318" s="234" t="s">
        <v>5409</v>
      </c>
      <c r="B4318" s="234" t="str">
        <f>IFERROR(__xludf.DUMMYFUNCTION("""COMPUTED_VALUE"""),"SoC_BA_Simoes Filho")</f>
        <v>SoC_BA_Simoes Filho</v>
      </c>
      <c r="C4318" s="234" t="str">
        <f>IFERROR(__xludf.DUMMYFUNCTION("""COMPUTED_VALUE"""),"SOC-BA2")</f>
        <v>SOC-BA2</v>
      </c>
      <c r="D4318" s="234">
        <f>IFERROR(__xludf.DUMMYFUNCTION("""COMPUTED_VALUE"""),111.0)</f>
        <v>111</v>
      </c>
      <c r="E4318" s="237" t="str">
        <f>IFERROR(__xludf.DUMMYFUNCTION("""COMPUTED_VALUE"""),"LT0Q1801VLAH1")</f>
        <v>LT0Q1801VLAH1</v>
      </c>
      <c r="F4318" s="238" t="str">
        <f>IFERROR(__xludf.DUMMYFUNCTION("""COMPUTED_VALUE"""),"HFD4E70,KMW5J36")</f>
        <v>HFD4E70,KMW5J36</v>
      </c>
      <c r="G4318" s="238">
        <f>IFERROR(__xludf.DUMMYFUNCTION("""COMPUTED_VALUE"""),46030.959027777775)</f>
        <v>46030.95903</v>
      </c>
      <c r="H4318" s="238">
        <f>IFERROR(__xludf.DUMMYFUNCTION("""COMPUTED_VALUE"""),46031.33333333333)</f>
        <v>46031.33333</v>
      </c>
      <c r="I4318" s="237" t="str">
        <f t="shared" si="1"/>
        <v>Fora</v>
      </c>
      <c r="J4318" s="239">
        <v>119.99999999301508</v>
      </c>
    </row>
    <row r="4319">
      <c r="A4319" s="234" t="s">
        <v>779</v>
      </c>
      <c r="B4319" s="234" t="str">
        <f>IFERROR(__xludf.DUMMYFUNCTION("""COMPUTED_VALUE"""),"SoC_PR_Curitiba")</f>
        <v>SoC_PR_Curitiba</v>
      </c>
      <c r="C4319" s="234" t="str">
        <f>IFERROR(__xludf.DUMMYFUNCTION("""COMPUTED_VALUE"""),"SOC-PR1")</f>
        <v>SOC-PR1</v>
      </c>
      <c r="D4319" s="234"/>
      <c r="E4319" s="237" t="str">
        <f>IFERROR(__xludf.DUMMYFUNCTION("""COMPUTED_VALUE"""),"LT0Q1901VFFL1")</f>
        <v>LT0Q1901VFFL1</v>
      </c>
      <c r="F4319" s="238" t="str">
        <f>IFERROR(__xludf.DUMMYFUNCTION("""COMPUTED_VALUE"""),"SFO1F31,TLR8J05")</f>
        <v>SFO1F31,TLR8J05</v>
      </c>
      <c r="G4319" s="238">
        <f>IFERROR(__xludf.DUMMYFUNCTION("""COMPUTED_VALUE"""),46031.29166666667)</f>
        <v>46031.29167</v>
      </c>
      <c r="H4319" s="238">
        <f>IFERROR(__xludf.DUMMYFUNCTION("""COMPUTED_VALUE"""),46031.375)</f>
        <v>46031.375</v>
      </c>
      <c r="I4319" s="237" t="str">
        <f t="shared" si="1"/>
        <v>Fora</v>
      </c>
      <c r="J4319" s="239">
        <v>119.99999999301508</v>
      </c>
    </row>
    <row r="4320">
      <c r="A4320" s="234" t="s">
        <v>5410</v>
      </c>
      <c r="B4320" s="234" t="str">
        <f>IFERROR(__xludf.DUMMYFUNCTION("""COMPUTED_VALUE"""),"SoC_SP_Cravinhos")</f>
        <v>SoC_SP_Cravinhos</v>
      </c>
      <c r="C4320" s="234" t="str">
        <f>IFERROR(__xludf.DUMMYFUNCTION("""COMPUTED_VALUE"""),"SOC-SP5")</f>
        <v>SOC-SP5</v>
      </c>
      <c r="D4320" s="234">
        <f>IFERROR(__xludf.DUMMYFUNCTION("""COMPUTED_VALUE"""),95.0)</f>
        <v>95</v>
      </c>
      <c r="E4320" s="237" t="str">
        <f>IFERROR(__xludf.DUMMYFUNCTION("""COMPUTED_VALUE"""),"LT1Q1901W64H1")</f>
        <v>LT1Q1901W64H1</v>
      </c>
      <c r="F4320" s="238" t="str">
        <f>IFERROR(__xludf.DUMMYFUNCTION("""COMPUTED_VALUE"""),"RYL0C59,RYM5G69")</f>
        <v>RYL0C59,RYM5G69</v>
      </c>
      <c r="G4320" s="238">
        <f>IFERROR(__xludf.DUMMYFUNCTION("""COMPUTED_VALUE"""),46031.79166666667)</f>
        <v>46031.79167</v>
      </c>
      <c r="H4320" s="238">
        <f>IFERROR(__xludf.DUMMYFUNCTION("""COMPUTED_VALUE"""),46031.875)</f>
        <v>46031.875</v>
      </c>
      <c r="I4320" s="237" t="str">
        <f t="shared" si="1"/>
        <v>Fora</v>
      </c>
      <c r="J4320" s="239">
        <v>119.99999999301508</v>
      </c>
    </row>
    <row r="4321">
      <c r="A4321" s="234" t="s">
        <v>5411</v>
      </c>
      <c r="B4321" s="234" t="str">
        <f>IFERROR(__xludf.DUMMYFUNCTION("""COMPUTED_VALUE"""),"LM Hub_SP_Guarulhos")</f>
        <v>LM Hub_SP_Guarulhos</v>
      </c>
      <c r="C4321" s="234" t="str">
        <f>IFERROR(__xludf.DUMMYFUNCTION("""COMPUTED_VALUE"""),"HUB-LSP-77")</f>
        <v>HUB-LSP-77</v>
      </c>
      <c r="D4321" s="234">
        <f>IFERROR(__xludf.DUMMYFUNCTION("""COMPUTED_VALUE"""),36.0)</f>
        <v>36</v>
      </c>
      <c r="E4321" s="237" t="str">
        <f>IFERROR(__xludf.DUMMYFUNCTION("""COMPUTED_VALUE"""),"LT1Q1901W6A11")</f>
        <v>LT1Q1901W6A11</v>
      </c>
      <c r="F4321" s="238" t="str">
        <f>IFERROR(__xludf.DUMMYFUNCTION("""COMPUTED_VALUE"""),"MFO5E94,JXB0B94")</f>
        <v>MFO5E94,JXB0B94</v>
      </c>
      <c r="G4321" s="238">
        <f>IFERROR(__xludf.DUMMYFUNCTION("""COMPUTED_VALUE"""),46031.91666666667)</f>
        <v>46031.91667</v>
      </c>
      <c r="H4321" s="238">
        <f>IFERROR(__xludf.DUMMYFUNCTION("""COMPUTED_VALUE"""),46032.0)</f>
        <v>46032</v>
      </c>
      <c r="I4321" s="237" t="str">
        <f t="shared" si="1"/>
        <v>Fora</v>
      </c>
      <c r="J4321" s="239">
        <v>119.99999999301508</v>
      </c>
    </row>
    <row r="4322">
      <c r="A4322" s="234" t="s">
        <v>5412</v>
      </c>
      <c r="B4322" s="234" t="str">
        <f>IFERROR(__xludf.DUMMYFUNCTION("""COMPUTED_VALUE"""),"LM Hub_SP_Itapevi")</f>
        <v>LM Hub_SP_Itapevi</v>
      </c>
      <c r="C4322" s="234" t="str">
        <f>IFERROR(__xludf.DUMMYFUNCTION("""COMPUTED_VALUE"""),"HUB-LSP-41")</f>
        <v>HUB-LSP-41</v>
      </c>
      <c r="D4322" s="234">
        <f>IFERROR(__xludf.DUMMYFUNCTION("""COMPUTED_VALUE"""),5.0)</f>
        <v>5</v>
      </c>
      <c r="E4322" s="237" t="str">
        <f>IFERROR(__xludf.DUMMYFUNCTION("""COMPUTED_VALUE"""),"LT0Q1901VFIL1")</f>
        <v>LT0Q1901VFIL1</v>
      </c>
      <c r="F4322" s="238" t="str">
        <f>IFERROR(__xludf.DUMMYFUNCTION("""COMPUTED_VALUE"""),"EMU5F62,FGK3A38")</f>
        <v>EMU5F62,FGK3A38</v>
      </c>
      <c r="G4322" s="238">
        <f>IFERROR(__xludf.DUMMYFUNCTION("""COMPUTED_VALUE"""),46031.91666666667)</f>
        <v>46031.91667</v>
      </c>
      <c r="H4322" s="238">
        <f>IFERROR(__xludf.DUMMYFUNCTION("""COMPUTED_VALUE"""),46032.0)</f>
        <v>46032</v>
      </c>
      <c r="I4322" s="237" t="str">
        <f t="shared" si="1"/>
        <v>Fora</v>
      </c>
      <c r="J4322" s="239">
        <v>119.99999999301508</v>
      </c>
    </row>
    <row r="4323">
      <c r="A4323" s="234" t="s">
        <v>5413</v>
      </c>
      <c r="B4323" s="234" t="str">
        <f>IFERROR(__xludf.DUMMYFUNCTION("""COMPUTED_VALUE"""),"LM Hub_SP_Limeira_Campo Belo")</f>
        <v>LM Hub_SP_Limeira_Campo Belo</v>
      </c>
      <c r="C4323" s="234" t="str">
        <f>IFERROR(__xludf.DUMMYFUNCTION("""COMPUTED_VALUE"""),"HUB-LSP-24")</f>
        <v>HUB-LSP-24</v>
      </c>
      <c r="D4323" s="234">
        <f>IFERROR(__xludf.DUMMYFUNCTION("""COMPUTED_VALUE"""),25.0)</f>
        <v>25</v>
      </c>
      <c r="E4323" s="237" t="str">
        <f>IFERROR(__xludf.DUMMYFUNCTION("""COMPUTED_VALUE"""),"LT0Q1901VFM11")</f>
        <v>LT0Q1901VFM11</v>
      </c>
      <c r="F4323" s="238" t="str">
        <f>IFERROR(__xludf.DUMMYFUNCTION("""COMPUTED_VALUE"""),"FCV3J24,TLS7G35")</f>
        <v>FCV3J24,TLS7G35</v>
      </c>
      <c r="G4323" s="238">
        <f>IFERROR(__xludf.DUMMYFUNCTION("""COMPUTED_VALUE"""),46031.91666666667)</f>
        <v>46031.91667</v>
      </c>
      <c r="H4323" s="238">
        <f>IFERROR(__xludf.DUMMYFUNCTION("""COMPUTED_VALUE"""),46032.0)</f>
        <v>46032</v>
      </c>
      <c r="I4323" s="237" t="str">
        <f t="shared" si="1"/>
        <v>Fora</v>
      </c>
      <c r="J4323" s="239">
        <v>119.99999999301508</v>
      </c>
    </row>
    <row r="4324">
      <c r="A4324" s="234" t="s">
        <v>5414</v>
      </c>
      <c r="B4324" s="234" t="str">
        <f>IFERROR(__xludf.DUMMYFUNCTION("""COMPUTED_VALUE"""),"LM Hub_SP_Mauá")</f>
        <v>LM Hub_SP_Mauá</v>
      </c>
      <c r="C4324" s="234" t="str">
        <f>IFERROR(__xludf.DUMMYFUNCTION("""COMPUTED_VALUE"""),"HUB-LSP-64")</f>
        <v>HUB-LSP-64</v>
      </c>
      <c r="D4324" s="234">
        <f>IFERROR(__xludf.DUMMYFUNCTION("""COMPUTED_VALUE"""),18.0)</f>
        <v>18</v>
      </c>
      <c r="E4324" s="237" t="str">
        <f>IFERROR(__xludf.DUMMYFUNCTION("""COMPUTED_VALUE"""),"LT0Q1901VFIX1")</f>
        <v>LT0Q1901VFIX1</v>
      </c>
      <c r="F4324" s="238" t="str">
        <f>IFERROR(__xludf.DUMMYFUNCTION("""COMPUTED_VALUE"""),"FQF6B98,DTA7802")</f>
        <v>FQF6B98,DTA7802</v>
      </c>
      <c r="G4324" s="238">
        <f>IFERROR(__xludf.DUMMYFUNCTION("""COMPUTED_VALUE"""),46031.91666666667)</f>
        <v>46031.91667</v>
      </c>
      <c r="H4324" s="238">
        <f>IFERROR(__xludf.DUMMYFUNCTION("""COMPUTED_VALUE"""),46032.0)</f>
        <v>46032</v>
      </c>
      <c r="I4324" s="237" t="str">
        <f t="shared" si="1"/>
        <v>Fora</v>
      </c>
      <c r="J4324" s="239">
        <v>119.99999999301508</v>
      </c>
    </row>
    <row r="4325">
      <c r="A4325" s="234" t="s">
        <v>5415</v>
      </c>
      <c r="B4325" s="234" t="str">
        <f>IFERROR(__xludf.DUMMYFUNCTION("""COMPUTED_VALUE"""),"LM Hub_SP_São José do Rio P")</f>
        <v>LM Hub_SP_São José do Rio P</v>
      </c>
      <c r="C4325" s="234" t="str">
        <f>IFERROR(__xludf.DUMMYFUNCTION("""COMPUTED_VALUE"""),"HUB-LSP-27")</f>
        <v>HUB-LSP-27</v>
      </c>
      <c r="D4325" s="234">
        <f>IFERROR(__xludf.DUMMYFUNCTION("""COMPUTED_VALUE"""),7.0)</f>
        <v>7</v>
      </c>
      <c r="E4325" s="237" t="str">
        <f>IFERROR(__xludf.DUMMYFUNCTION("""COMPUTED_VALUE"""),"LT0Q1901VJP21")</f>
        <v>LT0Q1901VJP21</v>
      </c>
      <c r="F4325" s="238" t="str">
        <f>IFERROR(__xludf.DUMMYFUNCTION("""COMPUTED_VALUE"""),"FLF5581")</f>
        <v>FLF5581</v>
      </c>
      <c r="G4325" s="238">
        <f>IFERROR(__xludf.DUMMYFUNCTION("""COMPUTED_VALUE"""),46031.91666666667)</f>
        <v>46031.91667</v>
      </c>
      <c r="H4325" s="238">
        <f>IFERROR(__xludf.DUMMYFUNCTION("""COMPUTED_VALUE"""),46032.0)</f>
        <v>46032</v>
      </c>
      <c r="I4325" s="237" t="str">
        <f t="shared" si="1"/>
        <v>Fora</v>
      </c>
      <c r="J4325" s="239">
        <v>119.99999999301508</v>
      </c>
    </row>
    <row r="4326">
      <c r="A4326" s="234" t="s">
        <v>5416</v>
      </c>
      <c r="B4326" s="234" t="str">
        <f>IFERROR(__xludf.DUMMYFUNCTION("""COMPUTED_VALUE"""),"SoC_PR_Curitiba")</f>
        <v>SoC_PR_Curitiba</v>
      </c>
      <c r="C4326" s="234" t="str">
        <f>IFERROR(__xludf.DUMMYFUNCTION("""COMPUTED_VALUE"""),"SOC-PR1")</f>
        <v>SOC-PR1</v>
      </c>
      <c r="D4326" s="234">
        <f>IFERROR(__xludf.DUMMYFUNCTION("""COMPUTED_VALUE"""),114.0)</f>
        <v>114</v>
      </c>
      <c r="E4326" s="237" t="str">
        <f>IFERROR(__xludf.DUMMYFUNCTION("""COMPUTED_VALUE"""),"LT1Q1901W64U1")</f>
        <v>LT1Q1901W64U1</v>
      </c>
      <c r="F4326" s="238" t="str">
        <f>IFERROR(__xludf.DUMMYFUNCTION("""COMPUTED_VALUE"""),"RAG7228,RYZ0F99")</f>
        <v>RAG7228,RYZ0F99</v>
      </c>
      <c r="G4326" s="238">
        <f>IFERROR(__xludf.DUMMYFUNCTION("""COMPUTED_VALUE"""),46031.91666666667)</f>
        <v>46031.91667</v>
      </c>
      <c r="H4326" s="238">
        <f>IFERROR(__xludf.DUMMYFUNCTION("""COMPUTED_VALUE"""),46032.0)</f>
        <v>46032</v>
      </c>
      <c r="I4326" s="237" t="str">
        <f t="shared" si="1"/>
        <v>Fora</v>
      </c>
      <c r="J4326" s="239">
        <v>119.99999999301508</v>
      </c>
    </row>
    <row r="4327">
      <c r="A4327" s="234" t="s">
        <v>5417</v>
      </c>
      <c r="B4327" s="234" t="str">
        <f>IFERROR(__xludf.DUMMYFUNCTION("""COMPUTED_VALUE"""),"SoC_SP_Guarulhos")</f>
        <v>SoC_SP_Guarulhos</v>
      </c>
      <c r="C4327" s="234" t="str">
        <f>IFERROR(__xludf.DUMMYFUNCTION("""COMPUTED_VALUE"""),"SOC-SP6")</f>
        <v>SOC-SP6</v>
      </c>
      <c r="D4327" s="234">
        <f>IFERROR(__xludf.DUMMYFUNCTION("""COMPUTED_VALUE"""),35.0)</f>
        <v>35</v>
      </c>
      <c r="E4327" s="237" t="str">
        <f>IFERROR(__xludf.DUMMYFUNCTION("""COMPUTED_VALUE"""),"LT1Q1901W6TZ1")</f>
        <v>LT1Q1901W6TZ1</v>
      </c>
      <c r="F4327" s="238" t="str">
        <f>IFERROR(__xludf.DUMMYFUNCTION("""COMPUTED_VALUE"""),"ISW3H16,FVD1B93")</f>
        <v>ISW3H16,FVD1B93</v>
      </c>
      <c r="G4327" s="238">
        <f>IFERROR(__xludf.DUMMYFUNCTION("""COMPUTED_VALUE"""),46031.91666666667)</f>
        <v>46031.91667</v>
      </c>
      <c r="H4327" s="238">
        <f>IFERROR(__xludf.DUMMYFUNCTION("""COMPUTED_VALUE"""),46032.0)</f>
        <v>46032</v>
      </c>
      <c r="I4327" s="237" t="str">
        <f t="shared" si="1"/>
        <v>Fora</v>
      </c>
      <c r="J4327" s="239">
        <v>60.00000000698492</v>
      </c>
    </row>
    <row r="4328">
      <c r="A4328" s="234" t="s">
        <v>5418</v>
      </c>
      <c r="B4328" s="234" t="str">
        <f>IFERROR(__xludf.DUMMYFUNCTION("""COMPUTED_VALUE"""),"LM Hub_SP_Jardim Adriana")</f>
        <v>LM Hub_SP_Jardim Adriana</v>
      </c>
      <c r="C4328" s="234" t="str">
        <f>IFERROR(__xludf.DUMMYFUNCTION("""COMPUTED_VALUE"""),"HUB-LSP-12")</f>
        <v>HUB-LSP-12</v>
      </c>
      <c r="D4328" s="234">
        <f>IFERROR(__xludf.DUMMYFUNCTION("""COMPUTED_VALUE"""),8.0)</f>
        <v>8</v>
      </c>
      <c r="E4328" s="237" t="str">
        <f>IFERROR(__xludf.DUMMYFUNCTION("""COMPUTED_VALUE"""),"LT1Q1901W69L1")</f>
        <v>LT1Q1901W69L1</v>
      </c>
      <c r="F4328" s="238" t="str">
        <f>IFERROR(__xludf.DUMMYFUNCTION("""COMPUTED_VALUE"""),"CSK0A38")</f>
        <v>CSK0A38</v>
      </c>
      <c r="G4328" s="238">
        <f>IFERROR(__xludf.DUMMYFUNCTION("""COMPUTED_VALUE"""),46031.95833333333)</f>
        <v>46031.95833</v>
      </c>
      <c r="H4328" s="238">
        <f>IFERROR(__xludf.DUMMYFUNCTION("""COMPUTED_VALUE"""),46032.0)</f>
        <v>46032</v>
      </c>
      <c r="I4328" s="237" t="str">
        <f t="shared" si="1"/>
        <v>Fora</v>
      </c>
      <c r="J4328" s="239">
        <v>60.00000000698492</v>
      </c>
    </row>
    <row r="4329">
      <c r="A4329" s="234" t="s">
        <v>5419</v>
      </c>
      <c r="B4329" s="234" t="str">
        <f>IFERROR(__xludf.DUMMYFUNCTION("""COMPUTED_VALUE"""),"LM Hub_SP_Jardim Adriana")</f>
        <v>LM Hub_SP_Jardim Adriana</v>
      </c>
      <c r="C4329" s="234" t="str">
        <f>IFERROR(__xludf.DUMMYFUNCTION("""COMPUTED_VALUE"""),"HUB-LSP-12")</f>
        <v>HUB-LSP-12</v>
      </c>
      <c r="D4329" s="234">
        <f>IFERROR(__xludf.DUMMYFUNCTION("""COMPUTED_VALUE"""),6.0)</f>
        <v>6</v>
      </c>
      <c r="E4329" s="237" t="str">
        <f>IFERROR(__xludf.DUMMYFUNCTION("""COMPUTED_VALUE"""),"LT1Q1901W69M1")</f>
        <v>LT1Q1901W69M1</v>
      </c>
      <c r="F4329" s="238" t="str">
        <f>IFERROR(__xludf.DUMMYFUNCTION("""COMPUTED_VALUE"""),"DBB6C34")</f>
        <v>DBB6C34</v>
      </c>
      <c r="G4329" s="238">
        <f>IFERROR(__xludf.DUMMYFUNCTION("""COMPUTED_VALUE"""),46031.95833333333)</f>
        <v>46031.95833</v>
      </c>
      <c r="H4329" s="238">
        <f>IFERROR(__xludf.DUMMYFUNCTION("""COMPUTED_VALUE"""),46032.0)</f>
        <v>46032</v>
      </c>
      <c r="I4329" s="237" t="str">
        <f t="shared" si="1"/>
        <v>Fora</v>
      </c>
      <c r="J4329" s="239">
        <v>60.00000000698492</v>
      </c>
    </row>
    <row r="4330">
      <c r="A4330" s="234" t="s">
        <v>5420</v>
      </c>
      <c r="B4330" s="234" t="str">
        <f>IFERROR(__xludf.DUMMYFUNCTION("""COMPUTED_VALUE"""),"LM Hub_SP_Mauá")</f>
        <v>LM Hub_SP_Mauá</v>
      </c>
      <c r="C4330" s="234" t="str">
        <f>IFERROR(__xludf.DUMMYFUNCTION("""COMPUTED_VALUE"""),"HUB-LSP-64")</f>
        <v>HUB-LSP-64</v>
      </c>
      <c r="D4330" s="234">
        <f>IFERROR(__xludf.DUMMYFUNCTION("""COMPUTED_VALUE"""),29.0)</f>
        <v>29</v>
      </c>
      <c r="E4330" s="237" t="str">
        <f>IFERROR(__xludf.DUMMYFUNCTION("""COMPUTED_VALUE"""),"LT1Q1901W69V1")</f>
        <v>LT1Q1901W69V1</v>
      </c>
      <c r="F4330" s="238" t="str">
        <f>IFERROR(__xludf.DUMMYFUNCTION("""COMPUTED_VALUE"""),"AXH9D10")</f>
        <v>AXH9D10</v>
      </c>
      <c r="G4330" s="238">
        <f>IFERROR(__xludf.DUMMYFUNCTION("""COMPUTED_VALUE"""),46031.95833333333)</f>
        <v>46031.95833</v>
      </c>
      <c r="H4330" s="238">
        <f>IFERROR(__xludf.DUMMYFUNCTION("""COMPUTED_VALUE"""),46032.0)</f>
        <v>46032</v>
      </c>
      <c r="I4330" s="237" t="str">
        <f t="shared" si="1"/>
        <v>Fora</v>
      </c>
      <c r="J4330" s="239">
        <v>119.99999999301508</v>
      </c>
    </row>
    <row r="4331">
      <c r="A4331" s="234" t="s">
        <v>5421</v>
      </c>
      <c r="B4331" s="234" t="str">
        <f>IFERROR(__xludf.DUMMYFUNCTION("""COMPUTED_VALUE"""),"LM Hub_SP_Jardim Adriana")</f>
        <v>LM Hub_SP_Jardim Adriana</v>
      </c>
      <c r="C4331" s="234" t="str">
        <f>IFERROR(__xludf.DUMMYFUNCTION("""COMPUTED_VALUE"""),"HUB-LSP-12")</f>
        <v>HUB-LSP-12</v>
      </c>
      <c r="D4331" s="234">
        <f>IFERROR(__xludf.DUMMYFUNCTION("""COMPUTED_VALUE"""),13.0)</f>
        <v>13</v>
      </c>
      <c r="E4331" s="237" t="str">
        <f>IFERROR(__xludf.DUMMYFUNCTION("""COMPUTED_VALUE"""),"LT0Q1901VFHH1")</f>
        <v>LT0Q1901VFHH1</v>
      </c>
      <c r="F4331" s="238" t="str">
        <f>IFERROR(__xludf.DUMMYFUNCTION("""COMPUTED_VALUE"""),"DJB5B15")</f>
        <v>DJB5B15</v>
      </c>
      <c r="G4331" s="238">
        <f>IFERROR(__xludf.DUMMYFUNCTION("""COMPUTED_VALUE"""),46031.9375)</f>
        <v>46031.9375</v>
      </c>
      <c r="H4331" s="238">
        <f>IFERROR(__xludf.DUMMYFUNCTION("""COMPUTED_VALUE"""),46032.02083333333)</f>
        <v>46032.02083</v>
      </c>
      <c r="I4331" s="237" t="str">
        <f t="shared" si="1"/>
        <v>Fora</v>
      </c>
      <c r="J4331" s="239">
        <v>119.99999999301508</v>
      </c>
    </row>
    <row r="4332">
      <c r="A4332" s="234" t="s">
        <v>5422</v>
      </c>
      <c r="B4332" s="234" t="str">
        <f>IFERROR(__xludf.DUMMYFUNCTION("""COMPUTED_VALUE"""),"LM Hub_SP_Piracicaba")</f>
        <v>LM Hub_SP_Piracicaba</v>
      </c>
      <c r="C4332" s="234" t="str">
        <f>IFERROR(__xludf.DUMMYFUNCTION("""COMPUTED_VALUE"""),"HUB-LSP-62")</f>
        <v>HUB-LSP-62</v>
      </c>
      <c r="D4332" s="234">
        <f>IFERROR(__xludf.DUMMYFUNCTION("""COMPUTED_VALUE"""),40.0)</f>
        <v>40</v>
      </c>
      <c r="E4332" s="237" t="str">
        <f>IFERROR(__xludf.DUMMYFUNCTION("""COMPUTED_VALUE"""),"LT0Q1901VG7W1")</f>
        <v>LT0Q1901VG7W1</v>
      </c>
      <c r="F4332" s="238" t="str">
        <f>IFERROR(__xludf.DUMMYFUNCTION("""COMPUTED_VALUE"""),"EOF4D32,EOF4D30")</f>
        <v>EOF4D32,EOF4D30</v>
      </c>
      <c r="G4332" s="238">
        <f>IFERROR(__xludf.DUMMYFUNCTION("""COMPUTED_VALUE"""),46031.9375)</f>
        <v>46031.9375</v>
      </c>
      <c r="H4332" s="238">
        <f>IFERROR(__xludf.DUMMYFUNCTION("""COMPUTED_VALUE"""),46032.02083333333)</f>
        <v>46032.02083</v>
      </c>
      <c r="I4332" s="237" t="str">
        <f t="shared" si="1"/>
        <v>Fora</v>
      </c>
      <c r="J4332" s="239">
        <v>119.99999999301508</v>
      </c>
    </row>
    <row r="4333">
      <c r="A4333" s="234" t="s">
        <v>5423</v>
      </c>
      <c r="B4333" s="234" t="str">
        <f>IFERROR(__xludf.DUMMYFUNCTION("""COMPUTED_VALUE"""),"LM Hub_SP_Suzano_Baruel")</f>
        <v>LM Hub_SP_Suzano_Baruel</v>
      </c>
      <c r="C4333" s="234" t="str">
        <f>IFERROR(__xludf.DUMMYFUNCTION("""COMPUTED_VALUE"""),"HUB-LSP-97")</f>
        <v>HUB-LSP-97</v>
      </c>
      <c r="D4333" s="234">
        <f>IFERROR(__xludf.DUMMYFUNCTION("""COMPUTED_VALUE"""),9.0)</f>
        <v>9</v>
      </c>
      <c r="E4333" s="237" t="str">
        <f>IFERROR(__xludf.DUMMYFUNCTION("""COMPUTED_VALUE"""),"LT0Q1901VMSQ1")</f>
        <v>LT0Q1901VMSQ1</v>
      </c>
      <c r="F4333" s="238" t="str">
        <f>IFERROR(__xludf.DUMMYFUNCTION("""COMPUTED_VALUE"""),"DOT3E21,EGJ9093")</f>
        <v>DOT3E21,EGJ9093</v>
      </c>
      <c r="G4333" s="238">
        <f>IFERROR(__xludf.DUMMYFUNCTION("""COMPUTED_VALUE"""),46031.9375)</f>
        <v>46031.9375</v>
      </c>
      <c r="H4333" s="238">
        <f>IFERROR(__xludf.DUMMYFUNCTION("""COMPUTED_VALUE"""),46032.02083333333)</f>
        <v>46032.02083</v>
      </c>
      <c r="I4333" s="237" t="str">
        <f t="shared" si="1"/>
        <v>Fora</v>
      </c>
      <c r="J4333" s="239">
        <v>119.99999999301508</v>
      </c>
    </row>
    <row r="4334">
      <c r="A4334" s="234" t="s">
        <v>5424</v>
      </c>
      <c r="B4334" s="234" t="str">
        <f>IFERROR(__xludf.DUMMYFUNCTION("""COMPUTED_VALUE"""),"LM Hub_SP_VilaGuilherme")</f>
        <v>LM Hub_SP_VilaGuilherme</v>
      </c>
      <c r="C4334" s="234" t="str">
        <f>IFERROR(__xludf.DUMMYFUNCTION("""COMPUTED_VALUE"""),"HUB-LSP-68")</f>
        <v>HUB-LSP-68</v>
      </c>
      <c r="D4334" s="234">
        <f>IFERROR(__xludf.DUMMYFUNCTION("""COMPUTED_VALUE"""),48.0)</f>
        <v>48</v>
      </c>
      <c r="E4334" s="237" t="str">
        <f>IFERROR(__xludf.DUMMYFUNCTION("""COMPUTED_VALUE"""),"LT0Q1901VFJ41")</f>
        <v>LT0Q1901VFJ41</v>
      </c>
      <c r="F4334" s="238" t="str">
        <f>IFERROR(__xludf.DUMMYFUNCTION("""COMPUTED_VALUE"""),"DAJ3E28")</f>
        <v>DAJ3E28</v>
      </c>
      <c r="G4334" s="238">
        <f>IFERROR(__xludf.DUMMYFUNCTION("""COMPUTED_VALUE"""),46031.9375)</f>
        <v>46031.9375</v>
      </c>
      <c r="H4334" s="238">
        <f>IFERROR(__xludf.DUMMYFUNCTION("""COMPUTED_VALUE"""),46032.02083333333)</f>
        <v>46032.02083</v>
      </c>
      <c r="I4334" s="237" t="str">
        <f t="shared" si="1"/>
        <v>Fora</v>
      </c>
      <c r="J4334" s="239">
        <v>118.99999998975545</v>
      </c>
    </row>
    <row r="4335">
      <c r="A4335" s="234" t="s">
        <v>5425</v>
      </c>
      <c r="B4335" s="234" t="str">
        <f>IFERROR(__xludf.DUMMYFUNCTION("""COMPUTED_VALUE"""),"LM Hub_SP_São Paulo_Carandiru")</f>
        <v>LM Hub_SP_São Paulo_Carandiru</v>
      </c>
      <c r="C4335" s="234" t="str">
        <f>IFERROR(__xludf.DUMMYFUNCTION("""COMPUTED_VALUE"""),"HUB-LSP-18")</f>
        <v>HUB-LSP-18</v>
      </c>
      <c r="D4335" s="234">
        <f>IFERROR(__xludf.DUMMYFUNCTION("""COMPUTED_VALUE"""),49.0)</f>
        <v>49</v>
      </c>
      <c r="E4335" s="237" t="str">
        <f>IFERROR(__xludf.DUMMYFUNCTION("""COMPUTED_VALUE"""),"LT0Q1901VFI41")</f>
        <v>LT0Q1901VFI41</v>
      </c>
      <c r="F4335" s="238" t="str">
        <f>IFERROR(__xludf.DUMMYFUNCTION("""COMPUTED_VALUE"""),"OPY9J66")</f>
        <v>OPY9J66</v>
      </c>
      <c r="G4335" s="238">
        <f>IFERROR(__xludf.DUMMYFUNCTION("""COMPUTED_VALUE"""),46031.93819444445)</f>
        <v>46031.93819</v>
      </c>
      <c r="H4335" s="238">
        <f>IFERROR(__xludf.DUMMYFUNCTION("""COMPUTED_VALUE"""),46032.02083333333)</f>
        <v>46032.02083</v>
      </c>
      <c r="I4335" s="237" t="str">
        <f t="shared" si="1"/>
        <v>Fora</v>
      </c>
      <c r="J4335" s="239">
        <v>120.00000001396984</v>
      </c>
    </row>
    <row r="4336">
      <c r="A4336" s="234" t="s">
        <v>5426</v>
      </c>
      <c r="B4336" s="234" t="str">
        <f>IFERROR(__xludf.DUMMYFUNCTION("""COMPUTED_VALUE"""),"LM Hub_RJ_Nova Iguaçu")</f>
        <v>LM Hub_RJ_Nova Iguaçu</v>
      </c>
      <c r="C4336" s="234" t="str">
        <f>IFERROR(__xludf.DUMMYFUNCTION("""COMPUTED_VALUE"""),"HUB-LRJ-27")</f>
        <v>HUB-LRJ-27</v>
      </c>
      <c r="D4336" s="234">
        <f>IFERROR(__xludf.DUMMYFUNCTION("""COMPUTED_VALUE"""),12.0)</f>
        <v>12</v>
      </c>
      <c r="E4336" s="237" t="str">
        <f>IFERROR(__xludf.DUMMYFUNCTION("""COMPUTED_VALUE"""),"LT0Q1901VLGZ1")</f>
        <v>LT0Q1901VLGZ1</v>
      </c>
      <c r="F4336" s="238" t="str">
        <f>IFERROR(__xludf.DUMMYFUNCTION("""COMPUTED_VALUE"""),"TBZ3E78")</f>
        <v>TBZ3E78</v>
      </c>
      <c r="G4336" s="238">
        <f>IFERROR(__xludf.DUMMYFUNCTION("""COMPUTED_VALUE"""),46031.95833333333)</f>
        <v>46031.95833</v>
      </c>
      <c r="H4336" s="238">
        <f>IFERROR(__xludf.DUMMYFUNCTION("""COMPUTED_VALUE"""),46032.04166666667)</f>
        <v>46032.04167</v>
      </c>
      <c r="I4336" s="237" t="str">
        <f t="shared" si="1"/>
        <v>Fora</v>
      </c>
      <c r="J4336" s="239">
        <v>120.00000001396984</v>
      </c>
    </row>
    <row r="4337">
      <c r="A4337" s="234" t="s">
        <v>5427</v>
      </c>
      <c r="B4337" s="234" t="str">
        <f>IFERROR(__xludf.DUMMYFUNCTION("""COMPUTED_VALUE"""),"LM Hub_RJ_Rio de Janeiro_Campo G")</f>
        <v>LM Hub_RJ_Rio de Janeiro_Campo G</v>
      </c>
      <c r="C4337" s="234" t="str">
        <f>IFERROR(__xludf.DUMMYFUNCTION("""COMPUTED_VALUE"""),"HUB-LRJ-04")</f>
        <v>HUB-LRJ-04</v>
      </c>
      <c r="D4337" s="234">
        <f>IFERROR(__xludf.DUMMYFUNCTION("""COMPUTED_VALUE"""),47.0)</f>
        <v>47</v>
      </c>
      <c r="E4337" s="237" t="str">
        <f>IFERROR(__xludf.DUMMYFUNCTION("""COMPUTED_VALUE"""),"LT0Q1901VFNY1")</f>
        <v>LT0Q1901VFNY1</v>
      </c>
      <c r="F4337" s="238" t="str">
        <f>IFERROR(__xludf.DUMMYFUNCTION("""COMPUTED_VALUE"""),"UBA1H99")</f>
        <v>UBA1H99</v>
      </c>
      <c r="G4337" s="238">
        <f>IFERROR(__xludf.DUMMYFUNCTION("""COMPUTED_VALUE"""),46031.95833333333)</f>
        <v>46031.95833</v>
      </c>
      <c r="H4337" s="238">
        <f>IFERROR(__xludf.DUMMYFUNCTION("""COMPUTED_VALUE"""),46032.04166666667)</f>
        <v>46032.04167</v>
      </c>
      <c r="I4337" s="237" t="str">
        <f t="shared" si="1"/>
        <v>Fora</v>
      </c>
      <c r="J4337" s="239">
        <v>120.00000001396984</v>
      </c>
    </row>
    <row r="4338">
      <c r="A4338" s="234" t="s">
        <v>5428</v>
      </c>
      <c r="B4338" s="234" t="str">
        <f>IFERROR(__xludf.DUMMYFUNCTION("""COMPUTED_VALUE"""),"LM Hub_RJ_São João do Meriti")</f>
        <v>LM Hub_RJ_São João do Meriti</v>
      </c>
      <c r="C4338" s="234" t="str">
        <f>IFERROR(__xludf.DUMMYFUNCTION("""COMPUTED_VALUE"""),"HUB-LRJ-01")</f>
        <v>HUB-LRJ-01</v>
      </c>
      <c r="D4338" s="234">
        <f>IFERROR(__xludf.DUMMYFUNCTION("""COMPUTED_VALUE"""),14.0)</f>
        <v>14</v>
      </c>
      <c r="E4338" s="237" t="str">
        <f>IFERROR(__xludf.DUMMYFUNCTION("""COMPUTED_VALUE"""),"LT0Q1901VLHW1")</f>
        <v>LT0Q1901VLHW1</v>
      </c>
      <c r="F4338" s="238" t="str">
        <f>IFERROR(__xludf.DUMMYFUNCTION("""COMPUTED_VALUE"""),"STW5B17")</f>
        <v>STW5B17</v>
      </c>
      <c r="G4338" s="238">
        <f>IFERROR(__xludf.DUMMYFUNCTION("""COMPUTED_VALUE"""),46031.95833333333)</f>
        <v>46031.95833</v>
      </c>
      <c r="H4338" s="238">
        <f>IFERROR(__xludf.DUMMYFUNCTION("""COMPUTED_VALUE"""),46032.04166666667)</f>
        <v>46032.04167</v>
      </c>
      <c r="I4338" s="237" t="str">
        <f t="shared" si="1"/>
        <v>Fora</v>
      </c>
      <c r="J4338" s="239">
        <v>120.00000001396984</v>
      </c>
    </row>
    <row r="4339">
      <c r="A4339" s="234" t="s">
        <v>5429</v>
      </c>
      <c r="B4339" s="234" t="str">
        <f>IFERROR(__xludf.DUMMYFUNCTION("""COMPUTED_VALUE"""),"LM Hub_SP_Jundiaí")</f>
        <v>LM Hub_SP_Jundiaí</v>
      </c>
      <c r="C4339" s="234" t="str">
        <f>IFERROR(__xludf.DUMMYFUNCTION("""COMPUTED_VALUE"""),"HUB-LSP-100")</f>
        <v>HUB-LSP-100</v>
      </c>
      <c r="D4339" s="234">
        <f>IFERROR(__xludf.DUMMYFUNCTION("""COMPUTED_VALUE"""),28.0)</f>
        <v>28</v>
      </c>
      <c r="E4339" s="237" t="str">
        <f>IFERROR(__xludf.DUMMYFUNCTION("""COMPUTED_VALUE"""),"LT0Q1901VMDE1")</f>
        <v>LT0Q1901VMDE1</v>
      </c>
      <c r="F4339" s="238" t="str">
        <f>IFERROR(__xludf.DUMMYFUNCTION("""COMPUTED_VALUE"""),"EXF3J05")</f>
        <v>EXF3J05</v>
      </c>
      <c r="G4339" s="238">
        <f>IFERROR(__xludf.DUMMYFUNCTION("""COMPUTED_VALUE"""),46031.95833333333)</f>
        <v>46031.95833</v>
      </c>
      <c r="H4339" s="238">
        <f>IFERROR(__xludf.DUMMYFUNCTION("""COMPUTED_VALUE"""),46032.04166666667)</f>
        <v>46032.04167</v>
      </c>
      <c r="I4339" s="237" t="str">
        <f t="shared" si="1"/>
        <v>Fora</v>
      </c>
      <c r="J4339" s="239">
        <v>120.00000001396984</v>
      </c>
    </row>
    <row r="4340">
      <c r="A4340" s="234" t="s">
        <v>5430</v>
      </c>
      <c r="B4340" s="234" t="str">
        <f>IFERROR(__xludf.DUMMYFUNCTION("""COMPUTED_VALUE"""),"LM Hub_SP_Mogi Mirim")</f>
        <v>LM Hub_SP_Mogi Mirim</v>
      </c>
      <c r="C4340" s="234" t="str">
        <f>IFERROR(__xludf.DUMMYFUNCTION("""COMPUTED_VALUE"""),"HUB-LSP-37")</f>
        <v>HUB-LSP-37</v>
      </c>
      <c r="D4340" s="234">
        <f>IFERROR(__xludf.DUMMYFUNCTION("""COMPUTED_VALUE"""),33.0)</f>
        <v>33</v>
      </c>
      <c r="E4340" s="237" t="str">
        <f>IFERROR(__xludf.DUMMYFUNCTION("""COMPUTED_VALUE"""),"LT0Q1901VFN31")</f>
        <v>LT0Q1901VFN31</v>
      </c>
      <c r="F4340" s="238" t="str">
        <f>IFERROR(__xludf.DUMMYFUNCTION("""COMPUTED_VALUE"""),"SWU6I91,DTC7026")</f>
        <v>SWU6I91,DTC7026</v>
      </c>
      <c r="G4340" s="238">
        <f>IFERROR(__xludf.DUMMYFUNCTION("""COMPUTED_VALUE"""),46031.95833333333)</f>
        <v>46031.95833</v>
      </c>
      <c r="H4340" s="238">
        <f>IFERROR(__xludf.DUMMYFUNCTION("""COMPUTED_VALUE"""),46032.04166666667)</f>
        <v>46032.04167</v>
      </c>
      <c r="I4340" s="237" t="str">
        <f t="shared" si="1"/>
        <v>Fora</v>
      </c>
      <c r="J4340" s="239">
        <v>120.00000001396984</v>
      </c>
    </row>
    <row r="4341">
      <c r="A4341" s="234" t="s">
        <v>5431</v>
      </c>
      <c r="B4341" s="234" t="str">
        <f>IFERROR(__xludf.DUMMYFUNCTION("""COMPUTED_VALUE"""),"SoC_PR_Curitiba")</f>
        <v>SoC_PR_Curitiba</v>
      </c>
      <c r="C4341" s="234" t="str">
        <f>IFERROR(__xludf.DUMMYFUNCTION("""COMPUTED_VALUE"""),"SOC-PR1")</f>
        <v>SOC-PR1</v>
      </c>
      <c r="D4341" s="234">
        <f>IFERROR(__xludf.DUMMYFUNCTION("""COMPUTED_VALUE"""),41.0)</f>
        <v>41</v>
      </c>
      <c r="E4341" s="237" t="str">
        <f>IFERROR(__xludf.DUMMYFUNCTION("""COMPUTED_VALUE"""),"LT1Q1901W64V1")</f>
        <v>LT1Q1901W64V1</v>
      </c>
      <c r="F4341" s="238" t="str">
        <f>IFERROR(__xludf.DUMMYFUNCTION("""COMPUTED_VALUE"""),"EZU9B80,TBQ7I22")</f>
        <v>EZU9B80,TBQ7I22</v>
      </c>
      <c r="G4341" s="238">
        <f>IFERROR(__xludf.DUMMYFUNCTION("""COMPUTED_VALUE"""),46031.95833333333)</f>
        <v>46031.95833</v>
      </c>
      <c r="H4341" s="238">
        <f>IFERROR(__xludf.DUMMYFUNCTION("""COMPUTED_VALUE"""),46032.04166666667)</f>
        <v>46032.04167</v>
      </c>
      <c r="I4341" s="237" t="str">
        <f t="shared" si="1"/>
        <v>Fora</v>
      </c>
      <c r="J4341" s="239">
        <v>120.00000001396984</v>
      </c>
    </row>
    <row r="4342">
      <c r="A4342" s="234" t="s">
        <v>5432</v>
      </c>
      <c r="B4342" s="234" t="str">
        <f>IFERROR(__xludf.DUMMYFUNCTION("""COMPUTED_VALUE"""),"SoC_RJ_Duque de Caxias")</f>
        <v>SoC_RJ_Duque de Caxias</v>
      </c>
      <c r="C4342" s="234" t="str">
        <f>IFERROR(__xludf.DUMMYFUNCTION("""COMPUTED_VALUE"""),"SOC-RJ2")</f>
        <v>SOC-RJ2</v>
      </c>
      <c r="D4342" s="234">
        <f>IFERROR(__xludf.DUMMYFUNCTION("""COMPUTED_VALUE"""),113.0)</f>
        <v>113</v>
      </c>
      <c r="E4342" s="237" t="str">
        <f>IFERROR(__xludf.DUMMYFUNCTION("""COMPUTED_VALUE"""),"LT1Q1901W64K1")</f>
        <v>LT1Q1901W64K1</v>
      </c>
      <c r="F4342" s="238" t="str">
        <f>IFERROR(__xludf.DUMMYFUNCTION("""COMPUTED_VALUE"""),"FLN3D82,CDV6B64")</f>
        <v>FLN3D82,CDV6B64</v>
      </c>
      <c r="G4342" s="238">
        <f>IFERROR(__xludf.DUMMYFUNCTION("""COMPUTED_VALUE"""),46031.95833333333)</f>
        <v>46031.95833</v>
      </c>
      <c r="H4342" s="238">
        <f>IFERROR(__xludf.DUMMYFUNCTION("""COMPUTED_VALUE"""),46032.04166666667)</f>
        <v>46032.04167</v>
      </c>
      <c r="I4342" s="237" t="str">
        <f t="shared" si="1"/>
        <v>Fora</v>
      </c>
      <c r="J4342" s="239">
        <v>120.00000001396984</v>
      </c>
    </row>
    <row r="4343">
      <c r="A4343" s="234" t="s">
        <v>5433</v>
      </c>
      <c r="B4343" s="234" t="str">
        <f>IFERROR(__xludf.DUMMYFUNCTION("""COMPUTED_VALUE"""),"SoC_RJ_Duque de Caxias")</f>
        <v>SoC_RJ_Duque de Caxias</v>
      </c>
      <c r="C4343" s="234" t="str">
        <f>IFERROR(__xludf.DUMMYFUNCTION("""COMPUTED_VALUE"""),"SOC-RJ2")</f>
        <v>SOC-RJ2</v>
      </c>
      <c r="D4343" s="234">
        <f>IFERROR(__xludf.DUMMYFUNCTION("""COMPUTED_VALUE"""),113.0)</f>
        <v>113</v>
      </c>
      <c r="E4343" s="237" t="str">
        <f>IFERROR(__xludf.DUMMYFUNCTION("""COMPUTED_VALUE"""),"LT1Q1901W64M1")</f>
        <v>LT1Q1901W64M1</v>
      </c>
      <c r="F4343" s="238" t="str">
        <f>IFERROR(__xludf.DUMMYFUNCTION("""COMPUTED_VALUE"""),"CVN5H75,APK3F13")</f>
        <v>CVN5H75,APK3F13</v>
      </c>
      <c r="G4343" s="238">
        <f>IFERROR(__xludf.DUMMYFUNCTION("""COMPUTED_VALUE"""),46031.95833333333)</f>
        <v>46031.95833</v>
      </c>
      <c r="H4343" s="238">
        <f>IFERROR(__xludf.DUMMYFUNCTION("""COMPUTED_VALUE"""),46032.04166666667)</f>
        <v>46032.04167</v>
      </c>
      <c r="I4343" s="237" t="str">
        <f t="shared" si="1"/>
        <v>Fora</v>
      </c>
      <c r="J4343" s="239">
        <v>119.99999999301508</v>
      </c>
    </row>
    <row r="4344">
      <c r="A4344" s="234" t="s">
        <v>5434</v>
      </c>
      <c r="B4344" s="234" t="str">
        <f>IFERROR(__xludf.DUMMYFUNCTION("""COMPUTED_VALUE"""),"LM Hub_SP_Araraquara")</f>
        <v>LM Hub_SP_Araraquara</v>
      </c>
      <c r="C4344" s="234" t="str">
        <f>IFERROR(__xludf.DUMMYFUNCTION("""COMPUTED_VALUE"""),"HUB-LSP-29")</f>
        <v>HUB-LSP-29</v>
      </c>
      <c r="D4344" s="234">
        <f>IFERROR(__xludf.DUMMYFUNCTION("""COMPUTED_VALUE"""),27.0)</f>
        <v>27</v>
      </c>
      <c r="E4344" s="237" t="str">
        <f>IFERROR(__xludf.DUMMYFUNCTION("""COMPUTED_VALUE"""),"LT0Q1901VFN81")</f>
        <v>LT0Q1901VFN81</v>
      </c>
      <c r="F4344" s="238" t="str">
        <f>IFERROR(__xludf.DUMMYFUNCTION("""COMPUTED_VALUE"""),"CUB8D85")</f>
        <v>CUB8D85</v>
      </c>
      <c r="G4344" s="238">
        <f>IFERROR(__xludf.DUMMYFUNCTION("""COMPUTED_VALUE"""),46031.97916666667)</f>
        <v>46031.97917</v>
      </c>
      <c r="H4344" s="238">
        <f>IFERROR(__xludf.DUMMYFUNCTION("""COMPUTED_VALUE"""),46032.0625)</f>
        <v>46032.0625</v>
      </c>
      <c r="I4344" s="237" t="str">
        <f t="shared" si="1"/>
        <v>Fora</v>
      </c>
      <c r="J4344" s="239">
        <v>119.99999999301508</v>
      </c>
    </row>
    <row r="4345">
      <c r="A4345" s="234" t="s">
        <v>5435</v>
      </c>
      <c r="B4345" s="234" t="str">
        <f>IFERROR(__xludf.DUMMYFUNCTION("""COMPUTED_VALUE"""),"LM Hub_SP_Atibaia_Ponte_Alta")</f>
        <v>LM Hub_SP_Atibaia_Ponte_Alta</v>
      </c>
      <c r="C4345" s="234" t="str">
        <f>IFERROR(__xludf.DUMMYFUNCTION("""COMPUTED_VALUE"""),"HUB-LSP-87")</f>
        <v>HUB-LSP-87</v>
      </c>
      <c r="D4345" s="234">
        <f>IFERROR(__xludf.DUMMYFUNCTION("""COMPUTED_VALUE"""),44.0)</f>
        <v>44</v>
      </c>
      <c r="E4345" s="237" t="str">
        <f>IFERROR(__xludf.DUMMYFUNCTION("""COMPUTED_VALUE"""),"LT0Q1901VJKJ1")</f>
        <v>LT0Q1901VJKJ1</v>
      </c>
      <c r="F4345" s="238" t="str">
        <f>IFERROR(__xludf.DUMMYFUNCTION("""COMPUTED_VALUE"""),"DBM1893")</f>
        <v>DBM1893</v>
      </c>
      <c r="G4345" s="238">
        <f>IFERROR(__xludf.DUMMYFUNCTION("""COMPUTED_VALUE"""),46031.97916666667)</f>
        <v>46031.97917</v>
      </c>
      <c r="H4345" s="238">
        <f>IFERROR(__xludf.DUMMYFUNCTION("""COMPUTED_VALUE"""),46032.0625)</f>
        <v>46032.0625</v>
      </c>
      <c r="I4345" s="237" t="str">
        <f t="shared" si="1"/>
        <v>Fora</v>
      </c>
      <c r="J4345" s="239">
        <v>119.99999999301508</v>
      </c>
    </row>
    <row r="4346">
      <c r="A4346" s="234" t="s">
        <v>5436</v>
      </c>
      <c r="B4346" s="234" t="str">
        <f>IFERROR(__xludf.DUMMYFUNCTION("""COMPUTED_VALUE"""),"LM Hub_SP_Várzea Paulista")</f>
        <v>LM Hub_SP_Várzea Paulista</v>
      </c>
      <c r="C4346" s="234" t="str">
        <f>IFERROR(__xludf.DUMMYFUNCTION("""COMPUTED_VALUE"""),"HUB-LSP-20")</f>
        <v>HUB-LSP-20</v>
      </c>
      <c r="D4346" s="234">
        <f>IFERROR(__xludf.DUMMYFUNCTION("""COMPUTED_VALUE"""),26.0)</f>
        <v>26</v>
      </c>
      <c r="E4346" s="237" t="str">
        <f>IFERROR(__xludf.DUMMYFUNCTION("""COMPUTED_VALUE"""),"LT0Q1901VFMB1")</f>
        <v>LT0Q1901VFMB1</v>
      </c>
      <c r="F4346" s="238" t="str">
        <f>IFERROR(__xludf.DUMMYFUNCTION("""COMPUTED_VALUE"""),"RJG8E37,FCG5D30")</f>
        <v>RJG8E37,FCG5D30</v>
      </c>
      <c r="G4346" s="238">
        <f>IFERROR(__xludf.DUMMYFUNCTION("""COMPUTED_VALUE"""),46031.97916666667)</f>
        <v>46031.97917</v>
      </c>
      <c r="H4346" s="238">
        <f>IFERROR(__xludf.DUMMYFUNCTION("""COMPUTED_VALUE"""),46032.0625)</f>
        <v>46032.0625</v>
      </c>
      <c r="I4346" s="237" t="str">
        <f t="shared" si="1"/>
        <v>Fora</v>
      </c>
      <c r="J4346" s="239">
        <v>119.99999999301508</v>
      </c>
    </row>
    <row r="4347">
      <c r="A4347" s="234" t="s">
        <v>5437</v>
      </c>
      <c r="B4347" s="234" t="str">
        <f>IFERROR(__xludf.DUMMYFUNCTION("""COMPUTED_VALUE"""),"LM Hub_RJ_Ilha do Governador")</f>
        <v>LM Hub_RJ_Ilha do Governador</v>
      </c>
      <c r="C4347" s="234" t="str">
        <f>IFERROR(__xludf.DUMMYFUNCTION("""COMPUTED_VALUE"""),"HUB-LRJ-32")</f>
        <v>HUB-LRJ-32</v>
      </c>
      <c r="D4347" s="234">
        <f>IFERROR(__xludf.DUMMYFUNCTION("""COMPUTED_VALUE"""),15.0)</f>
        <v>15</v>
      </c>
      <c r="E4347" s="237" t="str">
        <f>IFERROR(__xludf.DUMMYFUNCTION("""COMPUTED_VALUE"""),"LT0Q1A01VLHD1")</f>
        <v>LT0Q1A01VLHD1</v>
      </c>
      <c r="F4347" s="238" t="str">
        <f>IFERROR(__xludf.DUMMYFUNCTION("""COMPUTED_VALUE"""),"EWU9F04")</f>
        <v>EWU9F04</v>
      </c>
      <c r="G4347" s="238">
        <f>IFERROR(__xludf.DUMMYFUNCTION("""COMPUTED_VALUE"""),46032.0)</f>
        <v>46032</v>
      </c>
      <c r="H4347" s="238">
        <f>IFERROR(__xludf.DUMMYFUNCTION("""COMPUTED_VALUE"""),46032.08333333333)</f>
        <v>46032.08333</v>
      </c>
      <c r="I4347" s="237" t="str">
        <f t="shared" si="1"/>
        <v>Fora</v>
      </c>
      <c r="J4347" s="239">
        <v>119.99999999301508</v>
      </c>
    </row>
    <row r="4348">
      <c r="A4348" s="234" t="s">
        <v>5438</v>
      </c>
      <c r="B4348" s="234" t="str">
        <f>IFERROR(__xludf.DUMMYFUNCTION("""COMPUTED_VALUE"""),"SoC_GO_Goiânia_02")</f>
        <v>SoC_GO_Goiânia_02</v>
      </c>
      <c r="C4348" s="234" t="str">
        <f>IFERROR(__xludf.DUMMYFUNCTION("""COMPUTED_VALUE"""),"SOC-GO2")</f>
        <v>SOC-GO2</v>
      </c>
      <c r="D4348" s="234">
        <f>IFERROR(__xludf.DUMMYFUNCTION("""COMPUTED_VALUE"""),113.0)</f>
        <v>113</v>
      </c>
      <c r="E4348" s="237" t="str">
        <f>IFERROR(__xludf.DUMMYFUNCTION("""COMPUTED_VALUE"""),"LT0Q1A01VLJU5")</f>
        <v>LT0Q1A01VLJU5</v>
      </c>
      <c r="F4348" s="238" t="str">
        <f>IFERROR(__xludf.DUMMYFUNCTION("""COMPUTED_VALUE"""),"OKF1C49,SXH3D94")</f>
        <v>OKF1C49,SXH3D94</v>
      </c>
      <c r="G4348" s="238">
        <f>IFERROR(__xludf.DUMMYFUNCTION("""COMPUTED_VALUE"""),46032.0)</f>
        <v>46032</v>
      </c>
      <c r="H4348" s="238">
        <f>IFERROR(__xludf.DUMMYFUNCTION("""COMPUTED_VALUE"""),46032.08333333333)</f>
        <v>46032.08333</v>
      </c>
      <c r="I4348" s="237" t="str">
        <f t="shared" si="1"/>
        <v>Fora</v>
      </c>
      <c r="J4348" s="239">
        <v>119.99999999301508</v>
      </c>
    </row>
    <row r="4349">
      <c r="A4349" s="234" t="s">
        <v>5439</v>
      </c>
      <c r="B4349" s="234" t="str">
        <f>IFERROR(__xludf.DUMMYFUNCTION("""COMPUTED_VALUE"""),"SoC_GO_Goiânia_02")</f>
        <v>SoC_GO_Goiânia_02</v>
      </c>
      <c r="C4349" s="234" t="str">
        <f>IFERROR(__xludf.DUMMYFUNCTION("""COMPUTED_VALUE"""),"SOC-GO2")</f>
        <v>SOC-GO2</v>
      </c>
      <c r="D4349" s="234"/>
      <c r="E4349" s="237" t="str">
        <f>IFERROR(__xludf.DUMMYFUNCTION("""COMPUTED_VALUE"""),"LT0Q1A01VLJW6")</f>
        <v>LT0Q1A01VLJW6</v>
      </c>
      <c r="F4349" s="238" t="str">
        <f>IFERROR(__xludf.DUMMYFUNCTION("""COMPUTED_VALUE"""),"JCF5A77,TQU7B69")</f>
        <v>JCF5A77,TQU7B69</v>
      </c>
      <c r="G4349" s="238">
        <f>IFERROR(__xludf.DUMMYFUNCTION("""COMPUTED_VALUE"""),46032.0)</f>
        <v>46032</v>
      </c>
      <c r="H4349" s="238">
        <f>IFERROR(__xludf.DUMMYFUNCTION("""COMPUTED_VALUE"""),46032.08333333333)</f>
        <v>46032.08333</v>
      </c>
      <c r="I4349" s="237" t="str">
        <f t="shared" si="1"/>
        <v>Fora</v>
      </c>
      <c r="J4349" s="239">
        <v>119.99999999301508</v>
      </c>
    </row>
    <row r="4350">
      <c r="A4350" s="234" t="s">
        <v>5440</v>
      </c>
      <c r="B4350" s="234" t="str">
        <f>IFERROR(__xludf.DUMMYFUNCTION("""COMPUTED_VALUE"""),"SoC_SP_Cravinhos")</f>
        <v>SoC_SP_Cravinhos</v>
      </c>
      <c r="C4350" s="234" t="str">
        <f>IFERROR(__xludf.DUMMYFUNCTION("""COMPUTED_VALUE"""),"SOC-SP5")</f>
        <v>SOC-SP5</v>
      </c>
      <c r="D4350" s="234">
        <f>IFERROR(__xludf.DUMMYFUNCTION("""COMPUTED_VALUE"""),111.0)</f>
        <v>111</v>
      </c>
      <c r="E4350" s="237" t="str">
        <f>IFERROR(__xludf.DUMMYFUNCTION("""COMPUTED_VALUE"""),"LT1Q1901W64I1")</f>
        <v>LT1Q1901W64I1</v>
      </c>
      <c r="F4350" s="238" t="str">
        <f>IFERROR(__xludf.DUMMYFUNCTION("""COMPUTED_VALUE"""),"EJW7B70,DGX0D42")</f>
        <v>EJW7B70,DGX0D42</v>
      </c>
      <c r="G4350" s="238">
        <f>IFERROR(__xludf.DUMMYFUNCTION("""COMPUTED_VALUE"""),46032.0)</f>
        <v>46032</v>
      </c>
      <c r="H4350" s="238">
        <f>IFERROR(__xludf.DUMMYFUNCTION("""COMPUTED_VALUE"""),46032.08333333333)</f>
        <v>46032.08333</v>
      </c>
      <c r="I4350" s="237" t="str">
        <f t="shared" si="1"/>
        <v>Fora</v>
      </c>
      <c r="J4350" s="239">
        <v>120.00000001396984</v>
      </c>
    </row>
    <row r="4351">
      <c r="A4351" s="234" t="s">
        <v>5441</v>
      </c>
      <c r="B4351" s="234" t="str">
        <f>IFERROR(__xludf.DUMMYFUNCTION("""COMPUTED_VALUE"""),"LM Hub_MG_Varginha_Fausto")</f>
        <v>LM Hub_MG_Varginha_Fausto</v>
      </c>
      <c r="C4351" s="234" t="str">
        <f>IFERROR(__xludf.DUMMYFUNCTION("""COMPUTED_VALUE"""),"HUB-LMG-45")</f>
        <v>HUB-LMG-45</v>
      </c>
      <c r="D4351" s="234">
        <f>IFERROR(__xludf.DUMMYFUNCTION("""COMPUTED_VALUE"""),7.0)</f>
        <v>7</v>
      </c>
      <c r="E4351" s="237" t="str">
        <f>IFERROR(__xludf.DUMMYFUNCTION("""COMPUTED_VALUE"""),"LT0Q1A01VKX01")</f>
        <v>LT0Q1A01VKX01</v>
      </c>
      <c r="F4351" s="238" t="str">
        <f>IFERROR(__xludf.DUMMYFUNCTION("""COMPUTED_VALUE"""),"EMT3I32")</f>
        <v>EMT3I32</v>
      </c>
      <c r="G4351" s="238">
        <f>IFERROR(__xludf.DUMMYFUNCTION("""COMPUTED_VALUE"""),46032.02083333333)</f>
        <v>46032.02083</v>
      </c>
      <c r="H4351" s="238">
        <f>IFERROR(__xludf.DUMMYFUNCTION("""COMPUTED_VALUE"""),46032.10416666667)</f>
        <v>46032.10417</v>
      </c>
      <c r="I4351" s="237" t="str">
        <f t="shared" si="1"/>
        <v>Fora</v>
      </c>
      <c r="J4351" s="239">
        <v>180.0</v>
      </c>
    </row>
    <row r="4352">
      <c r="A4352" s="234" t="s">
        <v>5442</v>
      </c>
      <c r="B4352" s="234" t="str">
        <f>IFERROR(__xludf.DUMMYFUNCTION("""COMPUTED_VALUE"""),"SoC_PR_Curitiba")</f>
        <v>SoC_PR_Curitiba</v>
      </c>
      <c r="C4352" s="234" t="str">
        <f>IFERROR(__xludf.DUMMYFUNCTION("""COMPUTED_VALUE"""),"SOC-PR1")</f>
        <v>SOC-PR1</v>
      </c>
      <c r="D4352" s="234">
        <f>IFERROR(__xludf.DUMMYFUNCTION("""COMPUTED_VALUE"""),19.0)</f>
        <v>19</v>
      </c>
      <c r="E4352" s="237" t="str">
        <f>IFERROR(__xludf.DUMMYFUNCTION("""COMPUTED_VALUE"""),"LT0Q1A01VFFH1")</f>
        <v>LT0Q1A01VFFH1</v>
      </c>
      <c r="F4352" s="238" t="str">
        <f>IFERROR(__xludf.DUMMYFUNCTION("""COMPUTED_VALUE"""),"CUC1I14,BEY5C17")</f>
        <v>CUC1I14,BEY5C17</v>
      </c>
      <c r="G4352" s="238">
        <f>IFERROR(__xludf.DUMMYFUNCTION("""COMPUTED_VALUE"""),46032.0)</f>
        <v>46032</v>
      </c>
      <c r="H4352" s="238">
        <f>IFERROR(__xludf.DUMMYFUNCTION("""COMPUTED_VALUE"""),46032.125)</f>
        <v>46032.125</v>
      </c>
      <c r="I4352" s="237" t="str">
        <f t="shared" si="1"/>
        <v>Fora</v>
      </c>
      <c r="J4352" s="239">
        <v>119.99999999301508</v>
      </c>
    </row>
    <row r="4353">
      <c r="A4353" s="234" t="s">
        <v>5443</v>
      </c>
      <c r="B4353" s="234" t="str">
        <f>IFERROR(__xludf.DUMMYFUNCTION("""COMPUTED_VALUE"""),"SoC_MG_Betim")</f>
        <v>SoC_MG_Betim</v>
      </c>
      <c r="C4353" s="234" t="str">
        <f>IFERROR(__xludf.DUMMYFUNCTION("""COMPUTED_VALUE"""),"SOC-MG2")</f>
        <v>SOC-MG2</v>
      </c>
      <c r="D4353" s="234">
        <f>IFERROR(__xludf.DUMMYFUNCTION("""COMPUTED_VALUE"""),114.0)</f>
        <v>114</v>
      </c>
      <c r="E4353" s="237" t="str">
        <f>IFERROR(__xludf.DUMMYFUNCTION("""COMPUTED_VALUE"""),"LT1Q1A01W6BB1")</f>
        <v>LT1Q1A01W6BB1</v>
      </c>
      <c r="F4353" s="238" t="str">
        <f>IFERROR(__xludf.DUMMYFUNCTION("""COMPUTED_VALUE"""),"DPB7C61,FKP5E34")</f>
        <v>DPB7C61,FKP5E34</v>
      </c>
      <c r="G4353" s="238">
        <f>IFERROR(__xludf.DUMMYFUNCTION("""COMPUTED_VALUE"""),46032.04166666667)</f>
        <v>46032.04167</v>
      </c>
      <c r="H4353" s="238">
        <f>IFERROR(__xludf.DUMMYFUNCTION("""COMPUTED_VALUE"""),46032.125)</f>
        <v>46032.125</v>
      </c>
      <c r="I4353" s="237" t="str">
        <f t="shared" si="1"/>
        <v>Fora</v>
      </c>
      <c r="J4353" s="239">
        <v>119.99999999301508</v>
      </c>
    </row>
    <row r="4354">
      <c r="A4354" s="234" t="s">
        <v>5444</v>
      </c>
      <c r="B4354" s="234" t="str">
        <f>IFERROR(__xludf.DUMMYFUNCTION("""COMPUTED_VALUE"""),"SoC_RJ_Duque de Caxias")</f>
        <v>SoC_RJ_Duque de Caxias</v>
      </c>
      <c r="C4354" s="234" t="str">
        <f>IFERROR(__xludf.DUMMYFUNCTION("""COMPUTED_VALUE"""),"SOC-RJ2")</f>
        <v>SOC-RJ2</v>
      </c>
      <c r="D4354" s="234"/>
      <c r="E4354" s="237" t="str">
        <f>IFERROR(__xludf.DUMMYFUNCTION("""COMPUTED_VALUE"""),"LT1Q1A01W64O1")</f>
        <v>LT1Q1A01W64O1</v>
      </c>
      <c r="F4354" s="238" t="str">
        <f>IFERROR(__xludf.DUMMYFUNCTION("""COMPUTED_VALUE"""),"EFO6H01,FWE2C36")</f>
        <v>EFO6H01,FWE2C36</v>
      </c>
      <c r="G4354" s="238">
        <f>IFERROR(__xludf.DUMMYFUNCTION("""COMPUTED_VALUE"""),46032.04166666667)</f>
        <v>46032.04167</v>
      </c>
      <c r="H4354" s="238">
        <f>IFERROR(__xludf.DUMMYFUNCTION("""COMPUTED_VALUE"""),46032.125)</f>
        <v>46032.125</v>
      </c>
      <c r="I4354" s="237" t="str">
        <f t="shared" si="1"/>
        <v>Fora</v>
      </c>
      <c r="J4354" s="239">
        <v>540.0</v>
      </c>
    </row>
    <row r="4355">
      <c r="A4355" s="234" t="s">
        <v>5445</v>
      </c>
      <c r="B4355" s="234" t="str">
        <f>IFERROR(__xludf.DUMMYFUNCTION("""COMPUTED_VALUE"""),"SoC_GO_Goiânia_02")</f>
        <v>SoC_GO_Goiânia_02</v>
      </c>
      <c r="C4355" s="234" t="str">
        <f>IFERROR(__xludf.DUMMYFUNCTION("""COMPUTED_VALUE"""),"SOC-GO2")</f>
        <v>SOC-GO2</v>
      </c>
      <c r="D4355" s="234">
        <f>IFERROR(__xludf.DUMMYFUNCTION("""COMPUTED_VALUE"""),87.0)</f>
        <v>87</v>
      </c>
      <c r="E4355" s="237" t="str">
        <f>IFERROR(__xludf.DUMMYFUNCTION("""COMPUTED_VALUE"""),"LT0Q1901VLK81")</f>
        <v>LT0Q1901VLK81</v>
      </c>
      <c r="F4355" s="238" t="str">
        <f>IFERROR(__xludf.DUMMYFUNCTION("""COMPUTED_VALUE"""),"FYO3F50,TEX3G94")</f>
        <v>FYO3F50,TEX3G94</v>
      </c>
      <c r="G4355" s="238">
        <f>IFERROR(__xludf.DUMMYFUNCTION("""COMPUTED_VALUE"""),46031.79166666667)</f>
        <v>46031.79167</v>
      </c>
      <c r="H4355" s="238">
        <f>IFERROR(__xludf.DUMMYFUNCTION("""COMPUTED_VALUE"""),46032.16666666667)</f>
        <v>46032.16667</v>
      </c>
      <c r="I4355" s="237" t="str">
        <f t="shared" si="1"/>
        <v>Fora</v>
      </c>
      <c r="J4355" s="239">
        <v>540.0</v>
      </c>
    </row>
    <row r="4356">
      <c r="A4356" s="234" t="s">
        <v>780</v>
      </c>
      <c r="B4356" s="234" t="str">
        <f>IFERROR(__xludf.DUMMYFUNCTION("""COMPUTED_VALUE"""),"SoC_GO_Goiânia_02")</f>
        <v>SoC_GO_Goiânia_02</v>
      </c>
      <c r="C4356" s="234" t="str">
        <f>IFERROR(__xludf.DUMMYFUNCTION("""COMPUTED_VALUE"""),"SOC-GO2")</f>
        <v>SOC-GO2</v>
      </c>
      <c r="D4356" s="234">
        <f>IFERROR(__xludf.DUMMYFUNCTION("""COMPUTED_VALUE"""),86.0)</f>
        <v>86</v>
      </c>
      <c r="E4356" s="237" t="str">
        <f>IFERROR(__xludf.DUMMYFUNCTION("""COMPUTED_VALUE"""),"LT0Q1901VLKA2")</f>
        <v>LT0Q1901VLKA2</v>
      </c>
      <c r="F4356" s="238" t="str">
        <f>IFERROR(__xludf.DUMMYFUNCTION("""COMPUTED_VALUE"""),"FTT0B82,EZL3E48")</f>
        <v>FTT0B82,EZL3E48</v>
      </c>
      <c r="G4356" s="238">
        <f>IFERROR(__xludf.DUMMYFUNCTION("""COMPUTED_VALUE"""),46031.79166666667)</f>
        <v>46031.79167</v>
      </c>
      <c r="H4356" s="238">
        <f>IFERROR(__xludf.DUMMYFUNCTION("""COMPUTED_VALUE"""),46032.16666666667)</f>
        <v>46032.16667</v>
      </c>
      <c r="I4356" s="237" t="str">
        <f t="shared" si="1"/>
        <v>Fora</v>
      </c>
      <c r="J4356" s="239">
        <v>540.0</v>
      </c>
    </row>
    <row r="4357">
      <c r="A4357" s="234" t="s">
        <v>5446</v>
      </c>
      <c r="B4357" s="234" t="str">
        <f>IFERROR(__xludf.DUMMYFUNCTION("""COMPUTED_VALUE"""),"SoC_MG_Betim")</f>
        <v>SoC_MG_Betim</v>
      </c>
      <c r="C4357" s="234" t="str">
        <f>IFERROR(__xludf.DUMMYFUNCTION("""COMPUTED_VALUE"""),"SOC-MG2")</f>
        <v>SOC-MG2</v>
      </c>
      <c r="D4357" s="234">
        <f>IFERROR(__xludf.DUMMYFUNCTION("""COMPUTED_VALUE"""),90.0)</f>
        <v>90</v>
      </c>
      <c r="E4357" s="237" t="str">
        <f>IFERROR(__xludf.DUMMYFUNCTION("""COMPUTED_VALUE"""),"LT0Q1901VFF41")</f>
        <v>LT0Q1901VFF41</v>
      </c>
      <c r="F4357" s="238" t="str">
        <f>IFERROR(__xludf.DUMMYFUNCTION("""COMPUTED_VALUE"""),"FNU0D51,RXK7I60")</f>
        <v>FNU0D51,RXK7I60</v>
      </c>
      <c r="G4357" s="238">
        <f>IFERROR(__xludf.DUMMYFUNCTION("""COMPUTED_VALUE"""),46031.79166666667)</f>
        <v>46031.79167</v>
      </c>
      <c r="H4357" s="238">
        <f>IFERROR(__xludf.DUMMYFUNCTION("""COMPUTED_VALUE"""),46032.16666666667)</f>
        <v>46032.16667</v>
      </c>
      <c r="I4357" s="237" t="str">
        <f t="shared" si="1"/>
        <v>Fora</v>
      </c>
      <c r="J4357" s="239">
        <v>540.0</v>
      </c>
    </row>
    <row r="4358">
      <c r="A4358" s="234" t="s">
        <v>5447</v>
      </c>
      <c r="B4358" s="234" t="str">
        <f>IFERROR(__xludf.DUMMYFUNCTION("""COMPUTED_VALUE"""),"SoC_RS_Gravataí_02")</f>
        <v>SoC_RS_Gravataí_02</v>
      </c>
      <c r="C4358" s="234" t="str">
        <f>IFERROR(__xludf.DUMMYFUNCTION("""COMPUTED_VALUE"""),"SOC-RS2")</f>
        <v>SOC-RS2</v>
      </c>
      <c r="D4358" s="234">
        <f>IFERROR(__xludf.DUMMYFUNCTION("""COMPUTED_VALUE"""),102.0)</f>
        <v>102</v>
      </c>
      <c r="E4358" s="237" t="str">
        <f>IFERROR(__xludf.DUMMYFUNCTION("""COMPUTED_VALUE"""),"LT0Q1901VLM71")</f>
        <v>LT0Q1901VLM71</v>
      </c>
      <c r="F4358" s="238" t="str">
        <f>IFERROR(__xludf.DUMMYFUNCTION("""COMPUTED_VALUE"""),"FXG9H71,ESU0J36")</f>
        <v>FXG9H71,ESU0J36</v>
      </c>
      <c r="G4358" s="238">
        <f>IFERROR(__xludf.DUMMYFUNCTION("""COMPUTED_VALUE"""),46031.79166666667)</f>
        <v>46031.79167</v>
      </c>
      <c r="H4358" s="238">
        <f>IFERROR(__xludf.DUMMYFUNCTION("""COMPUTED_VALUE"""),46032.16666666667)</f>
        <v>46032.16667</v>
      </c>
      <c r="I4358" s="237" t="str">
        <f t="shared" si="1"/>
        <v>Fora</v>
      </c>
      <c r="J4358" s="239">
        <v>480.00000001396984</v>
      </c>
    </row>
    <row r="4359">
      <c r="A4359" s="234" t="s">
        <v>5448</v>
      </c>
      <c r="B4359" s="234" t="str">
        <f>IFERROR(__xludf.DUMMYFUNCTION("""COMPUTED_VALUE"""),"SoC_SC_Itajaí")</f>
        <v>SoC_SC_Itajaí</v>
      </c>
      <c r="C4359" s="234" t="str">
        <f>IFERROR(__xludf.DUMMYFUNCTION("""COMPUTED_VALUE"""),"SOC-SC1")</f>
        <v>SOC-SC1</v>
      </c>
      <c r="D4359" s="234">
        <f>IFERROR(__xludf.DUMMYFUNCTION("""COMPUTED_VALUE"""),100.0)</f>
        <v>100</v>
      </c>
      <c r="E4359" s="237" t="str">
        <f>IFERROR(__xludf.DUMMYFUNCTION("""COMPUTED_VALUE"""),"LT0Q1901VK9F1")</f>
        <v>LT0Q1901VK9F1</v>
      </c>
      <c r="F4359" s="238" t="str">
        <f>IFERROR(__xludf.DUMMYFUNCTION("""COMPUTED_VALUE"""),"SXE7E67,SXN1H17")</f>
        <v>SXE7E67,SXN1H17</v>
      </c>
      <c r="G4359" s="238">
        <f>IFERROR(__xludf.DUMMYFUNCTION("""COMPUTED_VALUE"""),46031.83333333333)</f>
        <v>46031.83333</v>
      </c>
      <c r="H4359" s="238">
        <f>IFERROR(__xludf.DUMMYFUNCTION("""COMPUTED_VALUE"""),46032.16666666667)</f>
        <v>46032.16667</v>
      </c>
      <c r="I4359" s="237" t="str">
        <f t="shared" si="1"/>
        <v>Fora</v>
      </c>
      <c r="J4359" s="239">
        <v>180.0</v>
      </c>
    </row>
    <row r="4360">
      <c r="A4360" s="234" t="s">
        <v>5449</v>
      </c>
      <c r="B4360" s="234" t="str">
        <f>IFERROR(__xludf.DUMMYFUNCTION("""COMPUTED_VALUE"""),"SoC_SP_Santana")</f>
        <v>SoC_SP_Santana</v>
      </c>
      <c r="C4360" s="234" t="str">
        <f>IFERROR(__xludf.DUMMYFUNCTION("""COMPUTED_VALUE"""),"SOC-SP2")</f>
        <v>SOC-SP2</v>
      </c>
      <c r="D4360" s="234">
        <f>IFERROR(__xludf.DUMMYFUNCTION("""COMPUTED_VALUE"""),17.0)</f>
        <v>17</v>
      </c>
      <c r="E4360" s="237" t="str">
        <f>IFERROR(__xludf.DUMMYFUNCTION("""COMPUTED_VALUE"""),"LT0Q1A01VFZS1")</f>
        <v>LT0Q1A01VFZS1</v>
      </c>
      <c r="F4360" s="238" t="str">
        <f>IFERROR(__xludf.DUMMYFUNCTION("""COMPUTED_VALUE"""),"OKQ5H03,FJP9A36")</f>
        <v>OKQ5H03,FJP9A36</v>
      </c>
      <c r="G4360" s="238">
        <f>IFERROR(__xludf.DUMMYFUNCTION("""COMPUTED_VALUE"""),46032.04166666667)</f>
        <v>46032.04167</v>
      </c>
      <c r="H4360" s="238">
        <f>IFERROR(__xludf.DUMMYFUNCTION("""COMPUTED_VALUE"""),46032.16666666667)</f>
        <v>46032.16667</v>
      </c>
      <c r="I4360" s="237" t="str">
        <f t="shared" si="1"/>
        <v>Fora</v>
      </c>
      <c r="J4360" s="239">
        <v>120.00000001396984</v>
      </c>
    </row>
    <row r="4361">
      <c r="A4361" s="234" t="s">
        <v>5450</v>
      </c>
      <c r="B4361" s="234" t="str">
        <f>IFERROR(__xludf.DUMMYFUNCTION("""COMPUTED_VALUE"""),"SoC_BA_Simoes Filho")</f>
        <v>SoC_BA_Simoes Filho</v>
      </c>
      <c r="C4361" s="234" t="str">
        <f>IFERROR(__xludf.DUMMYFUNCTION("""COMPUTED_VALUE"""),"SOC-BA2")</f>
        <v>SOC-BA2</v>
      </c>
      <c r="D4361" s="234"/>
      <c r="E4361" s="237" t="str">
        <f>IFERROR(__xludf.DUMMYFUNCTION("""COMPUTED_VALUE"""),"LT1Q1A01W6B21")</f>
        <v>LT1Q1A01W6B21</v>
      </c>
      <c r="F4361" s="238" t="str">
        <f>IFERROR(__xludf.DUMMYFUNCTION("""COMPUTED_VALUE"""),"GDM4G86,ATP4A70")</f>
        <v>GDM4G86,ATP4A70</v>
      </c>
      <c r="G4361" s="238">
        <f>IFERROR(__xludf.DUMMYFUNCTION("""COMPUTED_VALUE"""),46032.08333333333)</f>
        <v>46032.08333</v>
      </c>
      <c r="H4361" s="238">
        <f>IFERROR(__xludf.DUMMYFUNCTION("""COMPUTED_VALUE"""),46032.16666666667)</f>
        <v>46032.16667</v>
      </c>
      <c r="I4361" s="237" t="str">
        <f t="shared" si="1"/>
        <v>Fora</v>
      </c>
      <c r="J4361" s="239">
        <v>120.00000001396984</v>
      </c>
    </row>
    <row r="4362">
      <c r="A4362" s="234" t="s">
        <v>5451</v>
      </c>
      <c r="B4362" s="234" t="str">
        <f>IFERROR(__xludf.DUMMYFUNCTION("""COMPUTED_VALUE"""),"SoC_GO_Goiânia_02")</f>
        <v>SoC_GO_Goiânia_02</v>
      </c>
      <c r="C4362" s="234" t="str">
        <f>IFERROR(__xludf.DUMMYFUNCTION("""COMPUTED_VALUE"""),"SOC-GO2")</f>
        <v>SOC-GO2</v>
      </c>
      <c r="D4362" s="234"/>
      <c r="E4362" s="237" t="str">
        <f>IFERROR(__xludf.DUMMYFUNCTION("""COMPUTED_VALUE"""),"LT0Q1A01VLJT4")</f>
        <v>LT0Q1A01VLJT4</v>
      </c>
      <c r="F4362" s="238" t="str">
        <f>IFERROR(__xludf.DUMMYFUNCTION("""COMPUTED_VALUE"""),"AMO9A77,CPR1C84")</f>
        <v>AMO9A77,CPR1C84</v>
      </c>
      <c r="G4362" s="238">
        <f>IFERROR(__xludf.DUMMYFUNCTION("""COMPUTED_VALUE"""),46032.08333333333)</f>
        <v>46032.08333</v>
      </c>
      <c r="H4362" s="238">
        <f>IFERROR(__xludf.DUMMYFUNCTION("""COMPUTED_VALUE"""),46032.16666666667)</f>
        <v>46032.16667</v>
      </c>
      <c r="I4362" s="237" t="str">
        <f t="shared" si="1"/>
        <v>Fora</v>
      </c>
      <c r="J4362" s="239">
        <v>120.00000001396984</v>
      </c>
    </row>
    <row r="4363">
      <c r="A4363" s="234" t="s">
        <v>5452</v>
      </c>
      <c r="B4363" s="234" t="str">
        <f>IFERROR(__xludf.DUMMYFUNCTION("""COMPUTED_VALUE"""),"SoC_MG_Betim")</f>
        <v>SoC_MG_Betim</v>
      </c>
      <c r="C4363" s="234" t="str">
        <f>IFERROR(__xludf.DUMMYFUNCTION("""COMPUTED_VALUE"""),"SOC-MG2")</f>
        <v>SOC-MG2</v>
      </c>
      <c r="D4363" s="234"/>
      <c r="E4363" s="237" t="str">
        <f>IFERROR(__xludf.DUMMYFUNCTION("""COMPUTED_VALUE"""),"LT1Q1A01W6BC1")</f>
        <v>LT1Q1A01W6BC1</v>
      </c>
      <c r="F4363" s="238" t="str">
        <f>IFERROR(__xludf.DUMMYFUNCTION("""COMPUTED_VALUE"""),"EOE2286,MEO9E10")</f>
        <v>EOE2286,MEO9E10</v>
      </c>
      <c r="G4363" s="238">
        <f>IFERROR(__xludf.DUMMYFUNCTION("""COMPUTED_VALUE"""),46032.08333333333)</f>
        <v>46032.08333</v>
      </c>
      <c r="H4363" s="238">
        <f>IFERROR(__xludf.DUMMYFUNCTION("""COMPUTED_VALUE"""),46032.16666666667)</f>
        <v>46032.16667</v>
      </c>
      <c r="I4363" s="237" t="str">
        <f t="shared" si="1"/>
        <v>Fora</v>
      </c>
      <c r="J4363" s="239">
        <v>120.00000001396984</v>
      </c>
    </row>
    <row r="4364">
      <c r="A4364" s="234" t="s">
        <v>5453</v>
      </c>
      <c r="B4364" s="234" t="str">
        <f>IFERROR(__xludf.DUMMYFUNCTION("""COMPUTED_VALUE"""),"SoC_PE_Jaboatão dos Guararapes")</f>
        <v>SoC_PE_Jaboatão dos Guararapes</v>
      </c>
      <c r="C4364" s="234" t="str">
        <f>IFERROR(__xludf.DUMMYFUNCTION("""COMPUTED_VALUE"""),"SOC-PE2")</f>
        <v>SOC-PE2</v>
      </c>
      <c r="D4364" s="234">
        <f>IFERROR(__xludf.DUMMYFUNCTION("""COMPUTED_VALUE"""),16.0)</f>
        <v>16</v>
      </c>
      <c r="E4364" s="237" t="str">
        <f>IFERROR(__xludf.DUMMYFUNCTION("""COMPUTED_VALUE"""),"LT1Q1A01W6BH1")</f>
        <v>LT1Q1A01W6BH1</v>
      </c>
      <c r="F4364" s="238" t="str">
        <f>IFERROR(__xludf.DUMMYFUNCTION("""COMPUTED_VALUE"""),"ONR5G21,GEB0F86")</f>
        <v>ONR5G21,GEB0F86</v>
      </c>
      <c r="G4364" s="238">
        <f>IFERROR(__xludf.DUMMYFUNCTION("""COMPUTED_VALUE"""),46032.08333333333)</f>
        <v>46032.08333</v>
      </c>
      <c r="H4364" s="238">
        <f>IFERROR(__xludf.DUMMYFUNCTION("""COMPUTED_VALUE"""),46032.16666666667)</f>
        <v>46032.16667</v>
      </c>
      <c r="I4364" s="237" t="str">
        <f t="shared" si="1"/>
        <v>Fora</v>
      </c>
      <c r="J4364" s="239">
        <v>120.00000001396984</v>
      </c>
    </row>
    <row r="4365">
      <c r="A4365" s="234" t="s">
        <v>5454</v>
      </c>
      <c r="B4365" s="234" t="str">
        <f>IFERROR(__xludf.DUMMYFUNCTION("""COMPUTED_VALUE"""),"SoC_RJ_Duque de Caxias")</f>
        <v>SoC_RJ_Duque de Caxias</v>
      </c>
      <c r="C4365" s="234" t="str">
        <f>IFERROR(__xludf.DUMMYFUNCTION("""COMPUTED_VALUE"""),"SOC-RJ2")</f>
        <v>SOC-RJ2</v>
      </c>
      <c r="D4365" s="234"/>
      <c r="E4365" s="237" t="str">
        <f>IFERROR(__xludf.DUMMYFUNCTION("""COMPUTED_VALUE"""),"LT1Q1901W64L1")</f>
        <v>LT1Q1901W64L1</v>
      </c>
      <c r="F4365" s="238" t="str">
        <f>IFERROR(__xludf.DUMMYFUNCTION("""COMPUTED_VALUE"""),"DVS7H95,HOA1D64")</f>
        <v>DVS7H95,HOA1D64</v>
      </c>
      <c r="G4365" s="238">
        <f>IFERROR(__xludf.DUMMYFUNCTION("""COMPUTED_VALUE"""),46032.08333333333)</f>
        <v>46032.08333</v>
      </c>
      <c r="H4365" s="238">
        <f>IFERROR(__xludf.DUMMYFUNCTION("""COMPUTED_VALUE"""),46032.16666666667)</f>
        <v>46032.16667</v>
      </c>
      <c r="I4365" s="237" t="str">
        <f t="shared" si="1"/>
        <v>Fora</v>
      </c>
      <c r="J4365" s="239">
        <v>120.00000001396984</v>
      </c>
    </row>
    <row r="4366">
      <c r="A4366" s="234" t="s">
        <v>5455</v>
      </c>
      <c r="B4366" s="234" t="str">
        <f>IFERROR(__xludf.DUMMYFUNCTION("""COMPUTED_VALUE"""),"SoC_RJ_Duque de Caxias")</f>
        <v>SoC_RJ_Duque de Caxias</v>
      </c>
      <c r="C4366" s="234" t="str">
        <f>IFERROR(__xludf.DUMMYFUNCTION("""COMPUTED_VALUE"""),"SOC-RJ2")</f>
        <v>SOC-RJ2</v>
      </c>
      <c r="D4366" s="234"/>
      <c r="E4366" s="237" t="str">
        <f>IFERROR(__xludf.DUMMYFUNCTION("""COMPUTED_VALUE"""),"LT1Q1A01W6BP1")</f>
        <v>LT1Q1A01W6BP1</v>
      </c>
      <c r="F4366" s="238" t="str">
        <f>IFERROR(__xludf.DUMMYFUNCTION("""COMPUTED_VALUE"""),"TLW4H03,UDA5E04")</f>
        <v>TLW4H03,UDA5E04</v>
      </c>
      <c r="G4366" s="238">
        <f>IFERROR(__xludf.DUMMYFUNCTION("""COMPUTED_VALUE"""),46032.08333333333)</f>
        <v>46032.08333</v>
      </c>
      <c r="H4366" s="238">
        <f>IFERROR(__xludf.DUMMYFUNCTION("""COMPUTED_VALUE"""),46032.16666666667)</f>
        <v>46032.16667</v>
      </c>
      <c r="I4366" s="237" t="str">
        <f t="shared" si="1"/>
        <v>Fora</v>
      </c>
      <c r="J4366" s="239">
        <v>119.00000001071021</v>
      </c>
    </row>
    <row r="4367">
      <c r="A4367" s="234" t="s">
        <v>5456</v>
      </c>
      <c r="B4367" s="234" t="str">
        <f>IFERROR(__xludf.DUMMYFUNCTION("""COMPUTED_VALUE"""),"LM Hub_SP_Tatuí")</f>
        <v>LM Hub_SP_Tatuí</v>
      </c>
      <c r="C4367" s="234" t="str">
        <f>IFERROR(__xludf.DUMMYFUNCTION("""COMPUTED_VALUE"""),"HUB-LSP-51")</f>
        <v>HUB-LSP-51</v>
      </c>
      <c r="D4367" s="234">
        <f>IFERROR(__xludf.DUMMYFUNCTION("""COMPUTED_VALUE"""),22.0)</f>
        <v>22</v>
      </c>
      <c r="E4367" s="237" t="str">
        <f>IFERROR(__xludf.DUMMYFUNCTION("""COMPUTED_VALUE"""),"LT0Q1A01VFJN1")</f>
        <v>LT0Q1A01VFJN1</v>
      </c>
      <c r="F4367" s="238" t="str">
        <f>IFERROR(__xludf.DUMMYFUNCTION("""COMPUTED_VALUE"""),"EKU0C05,FXE2B95")</f>
        <v>EKU0C05,FXE2B95</v>
      </c>
      <c r="G4367" s="238">
        <f>IFERROR(__xludf.DUMMYFUNCTION("""COMPUTED_VALUE"""),46032.084027777775)</f>
        <v>46032.08403</v>
      </c>
      <c r="H4367" s="238">
        <f>IFERROR(__xludf.DUMMYFUNCTION("""COMPUTED_VALUE"""),46032.16666666667)</f>
        <v>46032.16667</v>
      </c>
      <c r="I4367" s="237" t="str">
        <f t="shared" si="1"/>
        <v>Fora</v>
      </c>
      <c r="J4367" s="239">
        <v>119.99999999301508</v>
      </c>
    </row>
    <row r="4368">
      <c r="A4368" s="234" t="s">
        <v>5457</v>
      </c>
      <c r="B4368" s="234" t="str">
        <f>IFERROR(__xludf.DUMMYFUNCTION("""COMPUTED_VALUE"""),"LM Hub_SP_Itapetininga")</f>
        <v>LM Hub_SP_Itapetininga</v>
      </c>
      <c r="C4368" s="234" t="str">
        <f>IFERROR(__xludf.DUMMYFUNCTION("""COMPUTED_VALUE"""),"HUB-LSP-53")</f>
        <v>HUB-LSP-53</v>
      </c>
      <c r="D4368" s="234">
        <f>IFERROR(__xludf.DUMMYFUNCTION("""COMPUTED_VALUE"""),40.0)</f>
        <v>40</v>
      </c>
      <c r="E4368" s="237" t="str">
        <f>IFERROR(__xludf.DUMMYFUNCTION("""COMPUTED_VALUE"""),"LT0Q1A01VFJH1")</f>
        <v>LT0Q1A01VFJH1</v>
      </c>
      <c r="F4368" s="238" t="str">
        <f>IFERROR(__xludf.DUMMYFUNCTION("""COMPUTED_VALUE"""),"FLQ1E34,FLQ1E30")</f>
        <v>FLQ1E34,FLQ1E30</v>
      </c>
      <c r="G4368" s="238">
        <f>IFERROR(__xludf.DUMMYFUNCTION("""COMPUTED_VALUE"""),46032.10416666667)</f>
        <v>46032.10417</v>
      </c>
      <c r="H4368" s="238">
        <f>IFERROR(__xludf.DUMMYFUNCTION("""COMPUTED_VALUE"""),46032.1875)</f>
        <v>46032.1875</v>
      </c>
      <c r="I4368" s="237" t="str">
        <f t="shared" si="1"/>
        <v>Fora</v>
      </c>
      <c r="J4368" s="239">
        <v>119.99999999301508</v>
      </c>
    </row>
    <row r="4369">
      <c r="A4369" s="234" t="s">
        <v>5458</v>
      </c>
      <c r="B4369" s="234" t="str">
        <f>IFERROR(__xludf.DUMMYFUNCTION("""COMPUTED_VALUE"""),"LM Hub_SP_São Carlos")</f>
        <v>LM Hub_SP_São Carlos</v>
      </c>
      <c r="C4369" s="234" t="str">
        <f>IFERROR(__xludf.DUMMYFUNCTION("""COMPUTED_VALUE"""),"HUB-LSP-31")</f>
        <v>HUB-LSP-31</v>
      </c>
      <c r="D4369" s="234">
        <f>IFERROR(__xludf.DUMMYFUNCTION("""COMPUTED_VALUE"""),5.0)</f>
        <v>5</v>
      </c>
      <c r="E4369" s="237" t="str">
        <f>IFERROR(__xludf.DUMMYFUNCTION("""COMPUTED_VALUE"""),"LT0Q1A01VFMN1")</f>
        <v>LT0Q1A01VFMN1</v>
      </c>
      <c r="F4369" s="238" t="str">
        <f>IFERROR(__xludf.DUMMYFUNCTION("""COMPUTED_VALUE"""),"QJT4B02")</f>
        <v>QJT4B02</v>
      </c>
      <c r="G4369" s="238">
        <f>IFERROR(__xludf.DUMMYFUNCTION("""COMPUTED_VALUE"""),46032.10416666667)</f>
        <v>46032.10417</v>
      </c>
      <c r="H4369" s="238">
        <f>IFERROR(__xludf.DUMMYFUNCTION("""COMPUTED_VALUE"""),46032.1875)</f>
        <v>46032.1875</v>
      </c>
      <c r="I4369" s="237" t="str">
        <f t="shared" si="1"/>
        <v>Fora</v>
      </c>
      <c r="J4369" s="239">
        <v>540.0</v>
      </c>
    </row>
    <row r="4370">
      <c r="A4370" s="234" t="s">
        <v>5459</v>
      </c>
      <c r="B4370" s="234" t="str">
        <f>IFERROR(__xludf.DUMMYFUNCTION("""COMPUTED_VALUE"""),"SoC_RJ_Duque de Caxias")</f>
        <v>SoC_RJ_Duque de Caxias</v>
      </c>
      <c r="C4370" s="234" t="str">
        <f>IFERROR(__xludf.DUMMYFUNCTION("""COMPUTED_VALUE"""),"SOC-RJ2")</f>
        <v>SOC-RJ2</v>
      </c>
      <c r="D4370" s="234">
        <f>IFERROR(__xludf.DUMMYFUNCTION("""COMPUTED_VALUE"""),96.0)</f>
        <v>96</v>
      </c>
      <c r="E4370" s="237" t="str">
        <f>IFERROR(__xludf.DUMMYFUNCTION("""COMPUTED_VALUE"""),"LT1Q1901W6U01")</f>
        <v>LT1Q1901W6U01</v>
      </c>
      <c r="F4370" s="238" t="str">
        <f>IFERROR(__xludf.DUMMYFUNCTION("""COMPUTED_VALUE"""),"UDR9D90,GFK1D06")</f>
        <v>UDR9D90,GFK1D06</v>
      </c>
      <c r="G4370" s="238">
        <f>IFERROR(__xludf.DUMMYFUNCTION("""COMPUTED_VALUE"""),46031.83333333333)</f>
        <v>46031.83333</v>
      </c>
      <c r="H4370" s="238">
        <f>IFERROR(__xludf.DUMMYFUNCTION("""COMPUTED_VALUE"""),46032.20833333333)</f>
        <v>46032.20833</v>
      </c>
      <c r="I4370" s="237" t="str">
        <f t="shared" si="1"/>
        <v>Fora</v>
      </c>
      <c r="J4370" s="239">
        <v>180.0</v>
      </c>
    </row>
    <row r="4371">
      <c r="A4371" s="234" t="s">
        <v>5460</v>
      </c>
      <c r="B4371" s="234" t="str">
        <f>IFERROR(__xludf.DUMMYFUNCTION("""COMPUTED_VALUE"""),"SoC_SP_Santana")</f>
        <v>SoC_SP_Santana</v>
      </c>
      <c r="C4371" s="234" t="str">
        <f>IFERROR(__xludf.DUMMYFUNCTION("""COMPUTED_VALUE"""),"SOC-SP2")</f>
        <v>SOC-SP2</v>
      </c>
      <c r="D4371" s="234"/>
      <c r="E4371" s="237" t="str">
        <f>IFERROR(__xludf.DUMMYFUNCTION("""COMPUTED_VALUE"""),"LT0Q1A01VFZX1")</f>
        <v>LT0Q1A01VFZX1</v>
      </c>
      <c r="F4371" s="238" t="str">
        <f>IFERROR(__xludf.DUMMYFUNCTION("""COMPUTED_VALUE"""),"JPY8F49,CKY6B58")</f>
        <v>JPY8F49,CKY6B58</v>
      </c>
      <c r="G4371" s="238">
        <f>IFERROR(__xludf.DUMMYFUNCTION("""COMPUTED_VALUE"""),46032.08333333333)</f>
        <v>46032.08333</v>
      </c>
      <c r="H4371" s="238">
        <f>IFERROR(__xludf.DUMMYFUNCTION("""COMPUTED_VALUE"""),46032.20833333333)</f>
        <v>46032.20833</v>
      </c>
      <c r="I4371" s="237" t="str">
        <f t="shared" si="1"/>
        <v>Fora</v>
      </c>
      <c r="J4371" s="239">
        <v>119.99999999301508</v>
      </c>
    </row>
    <row r="4372">
      <c r="A4372" s="234" t="s">
        <v>5461</v>
      </c>
      <c r="B4372" s="234" t="str">
        <f>IFERROR(__xludf.DUMMYFUNCTION("""COMPUTED_VALUE"""),"LM Hub_SP_Itapeva")</f>
        <v>LM Hub_SP_Itapeva</v>
      </c>
      <c r="C4372" s="234" t="str">
        <f>IFERROR(__xludf.DUMMYFUNCTION("""COMPUTED_VALUE"""),"HUB-LSP-39")</f>
        <v>HUB-LSP-39</v>
      </c>
      <c r="D4372" s="234">
        <f>IFERROR(__xludf.DUMMYFUNCTION("""COMPUTED_VALUE"""),25.0)</f>
        <v>25</v>
      </c>
      <c r="E4372" s="237" t="str">
        <f>IFERROR(__xludf.DUMMYFUNCTION("""COMPUTED_VALUE"""),"LT0Q1A01VFJS1")</f>
        <v>LT0Q1A01VFJS1</v>
      </c>
      <c r="F4372" s="238" t="str">
        <f>IFERROR(__xludf.DUMMYFUNCTION("""COMPUTED_VALUE"""),"FCT0F31")</f>
        <v>FCT0F31</v>
      </c>
      <c r="G4372" s="238">
        <f>IFERROR(__xludf.DUMMYFUNCTION("""COMPUTED_VALUE"""),46032.125)</f>
        <v>46032.125</v>
      </c>
      <c r="H4372" s="238">
        <f>IFERROR(__xludf.DUMMYFUNCTION("""COMPUTED_VALUE"""),46032.20833333333)</f>
        <v>46032.20833</v>
      </c>
      <c r="I4372" s="237" t="str">
        <f t="shared" si="1"/>
        <v>Fora</v>
      </c>
      <c r="J4372" s="239">
        <v>119.99999999301508</v>
      </c>
    </row>
    <row r="4373">
      <c r="A4373" s="234" t="s">
        <v>5462</v>
      </c>
      <c r="B4373" s="234" t="str">
        <f>IFERROR(__xludf.DUMMYFUNCTION("""COMPUTED_VALUE"""),"LM Hub_SP_Sumaré_Nova Veneza_1")</f>
        <v>LM Hub_SP_Sumaré_Nova Veneza_1</v>
      </c>
      <c r="C4373" s="234" t="str">
        <f>IFERROR(__xludf.DUMMYFUNCTION("""COMPUTED_VALUE"""),"HUB-LSP-88")</f>
        <v>HUB-LSP-88</v>
      </c>
      <c r="D4373" s="234">
        <f>IFERROR(__xludf.DUMMYFUNCTION("""COMPUTED_VALUE"""),9.0)</f>
        <v>9</v>
      </c>
      <c r="E4373" s="237" t="str">
        <f>IFERROR(__xludf.DUMMYFUNCTION("""COMPUTED_VALUE"""),"LT0Q1A01VKT71")</f>
        <v>LT0Q1A01VKT71</v>
      </c>
      <c r="F4373" s="238" t="str">
        <f>IFERROR(__xludf.DUMMYFUNCTION("""COMPUTED_VALUE"""),"QND2J58")</f>
        <v>QND2J58</v>
      </c>
      <c r="G4373" s="238">
        <f>IFERROR(__xludf.DUMMYFUNCTION("""COMPUTED_VALUE"""),46032.125)</f>
        <v>46032.125</v>
      </c>
      <c r="H4373" s="238">
        <f>IFERROR(__xludf.DUMMYFUNCTION("""COMPUTED_VALUE"""),46032.20833333333)</f>
        <v>46032.20833</v>
      </c>
      <c r="I4373" s="237" t="str">
        <f t="shared" si="1"/>
        <v>Fora</v>
      </c>
      <c r="J4373" s="239">
        <v>119.99999999301508</v>
      </c>
    </row>
    <row r="4374">
      <c r="A4374" s="234" t="s">
        <v>5463</v>
      </c>
      <c r="B4374" s="234" t="str">
        <f>IFERROR(__xludf.DUMMYFUNCTION("""COMPUTED_VALUE"""),"SoC_GO_Goiânia_02")</f>
        <v>SoC_GO_Goiânia_02</v>
      </c>
      <c r="C4374" s="234" t="str">
        <f>IFERROR(__xludf.DUMMYFUNCTION("""COMPUTED_VALUE"""),"SOC-GO2")</f>
        <v>SOC-GO2</v>
      </c>
      <c r="D4374" s="234"/>
      <c r="E4374" s="237" t="str">
        <f>IFERROR(__xludf.DUMMYFUNCTION("""COMPUTED_VALUE"""),"LT0Q1A01VLJP2")</f>
        <v>LT0Q1A01VLJP2</v>
      </c>
      <c r="F4374" s="238" t="str">
        <f>IFERROR(__xludf.DUMMYFUNCTION("""COMPUTED_VALUE"""),"FTC2E17,TIT3B53")</f>
        <v>FTC2E17,TIT3B53</v>
      </c>
      <c r="G4374" s="238">
        <f>IFERROR(__xludf.DUMMYFUNCTION("""COMPUTED_VALUE"""),46032.125)</f>
        <v>46032.125</v>
      </c>
      <c r="H4374" s="238">
        <f>IFERROR(__xludf.DUMMYFUNCTION("""COMPUTED_VALUE"""),46032.20833333333)</f>
        <v>46032.20833</v>
      </c>
      <c r="I4374" s="237" t="str">
        <f t="shared" si="1"/>
        <v>Fora</v>
      </c>
      <c r="J4374" s="239">
        <v>119.99999999301508</v>
      </c>
    </row>
    <row r="4375">
      <c r="A4375" s="234" t="s">
        <v>5464</v>
      </c>
      <c r="B4375" s="234" t="str">
        <f>IFERROR(__xludf.DUMMYFUNCTION("""COMPUTED_VALUE"""),"SoC_SP_Guarulhos")</f>
        <v>SoC_SP_Guarulhos</v>
      </c>
      <c r="C4375" s="234" t="str">
        <f>IFERROR(__xludf.DUMMYFUNCTION("""COMPUTED_VALUE"""),"SOC-SP6")</f>
        <v>SOC-SP6</v>
      </c>
      <c r="D4375" s="234"/>
      <c r="E4375" s="237" t="str">
        <f>IFERROR(__xludf.DUMMYFUNCTION("""COMPUTED_VALUE"""),"LT0Q1A01VGGL1")</f>
        <v>LT0Q1A01VGGL1</v>
      </c>
      <c r="F4375" s="238" t="str">
        <f>IFERROR(__xludf.DUMMYFUNCTION("""COMPUTED_VALUE"""),"EJY4H62,STV7A41")</f>
        <v>EJY4H62,STV7A41</v>
      </c>
      <c r="G4375" s="238">
        <f>IFERROR(__xludf.DUMMYFUNCTION("""COMPUTED_VALUE"""),46032.125)</f>
        <v>46032.125</v>
      </c>
      <c r="H4375" s="238">
        <f>IFERROR(__xludf.DUMMYFUNCTION("""COMPUTED_VALUE"""),46032.20833333333)</f>
        <v>46032.20833</v>
      </c>
      <c r="I4375" s="237" t="str">
        <f t="shared" si="1"/>
        <v>Fora</v>
      </c>
      <c r="J4375" s="239">
        <v>119.99999999301508</v>
      </c>
    </row>
    <row r="4376">
      <c r="A4376" s="234" t="s">
        <v>5465</v>
      </c>
      <c r="B4376" s="234" t="str">
        <f>IFERROR(__xludf.DUMMYFUNCTION("""COMPUTED_VALUE"""),"SoC_SP_Louveira")</f>
        <v>SoC_SP_Louveira</v>
      </c>
      <c r="C4376" s="234" t="str">
        <f>IFERROR(__xludf.DUMMYFUNCTION("""COMPUTED_VALUE"""),"SOC-SP7")</f>
        <v>SOC-SP7</v>
      </c>
      <c r="D4376" s="234">
        <f>IFERROR(__xludf.DUMMYFUNCTION("""COMPUTED_VALUE"""),8.0)</f>
        <v>8</v>
      </c>
      <c r="E4376" s="237" t="str">
        <f>IFERROR(__xludf.DUMMYFUNCTION("""COMPUTED_VALUE"""),"LT0Q1A01VFGU1")</f>
        <v>LT0Q1A01VFGU1</v>
      </c>
      <c r="F4376" s="238" t="str">
        <f>IFERROR(__xludf.DUMMYFUNCTION("""COMPUTED_VALUE"""),"BPQ9C21,RBE0I12")</f>
        <v>BPQ9C21,RBE0I12</v>
      </c>
      <c r="G4376" s="238">
        <f>IFERROR(__xludf.DUMMYFUNCTION("""COMPUTED_VALUE"""),46032.125)</f>
        <v>46032.125</v>
      </c>
      <c r="H4376" s="238">
        <f>IFERROR(__xludf.DUMMYFUNCTION("""COMPUTED_VALUE"""),46032.20833333333)</f>
        <v>46032.20833</v>
      </c>
      <c r="I4376" s="237" t="str">
        <f t="shared" si="1"/>
        <v>Fora</v>
      </c>
      <c r="J4376" s="239">
        <v>120.00000001396984</v>
      </c>
    </row>
    <row r="4377">
      <c r="A4377" s="234" t="s">
        <v>5466</v>
      </c>
      <c r="B4377" s="234" t="str">
        <f>IFERROR(__xludf.DUMMYFUNCTION("""COMPUTED_VALUE"""),"LM Hub_SP_Campinas_São Martinho")</f>
        <v>LM Hub_SP_Campinas_São Martinho</v>
      </c>
      <c r="C4377" s="234" t="str">
        <f>IFERROR(__xludf.DUMMYFUNCTION("""COMPUTED_VALUE"""),"HUB-LSP-19")</f>
        <v>HUB-LSP-19</v>
      </c>
      <c r="D4377" s="234">
        <f>IFERROR(__xludf.DUMMYFUNCTION("""COMPUTED_VALUE"""),14.0)</f>
        <v>14</v>
      </c>
      <c r="E4377" s="237" t="str">
        <f>IFERROR(__xludf.DUMMYFUNCTION("""COMPUTED_VALUE"""),"LT0Q1A01VFO31")</f>
        <v>LT0Q1A01VFO31</v>
      </c>
      <c r="F4377" s="238" t="str">
        <f>IFERROR(__xludf.DUMMYFUNCTION("""COMPUTED_VALUE"""),"JPY8F49")</f>
        <v>JPY8F49</v>
      </c>
      <c r="G4377" s="238">
        <f>IFERROR(__xludf.DUMMYFUNCTION("""COMPUTED_VALUE"""),46032.14583333333)</f>
        <v>46032.14583</v>
      </c>
      <c r="H4377" s="238">
        <f>IFERROR(__xludf.DUMMYFUNCTION("""COMPUTED_VALUE"""),46032.22916666667)</f>
        <v>46032.22917</v>
      </c>
      <c r="I4377" s="237" t="str">
        <f t="shared" si="1"/>
        <v>Fora</v>
      </c>
      <c r="J4377" s="239">
        <v>120.00000001396984</v>
      </c>
    </row>
    <row r="4378">
      <c r="A4378" s="234" t="s">
        <v>5467</v>
      </c>
      <c r="B4378" s="234" t="str">
        <f>IFERROR(__xludf.DUMMYFUNCTION("""COMPUTED_VALUE"""),"LM Hub_SP_Mogi Mirim")</f>
        <v>LM Hub_SP_Mogi Mirim</v>
      </c>
      <c r="C4378" s="234" t="str">
        <f>IFERROR(__xludf.DUMMYFUNCTION("""COMPUTED_VALUE"""),"HUB-LSP-37")</f>
        <v>HUB-LSP-37</v>
      </c>
      <c r="D4378" s="234">
        <f>IFERROR(__xludf.DUMMYFUNCTION("""COMPUTED_VALUE"""),33.0)</f>
        <v>33</v>
      </c>
      <c r="E4378" s="237" t="str">
        <f>IFERROR(__xludf.DUMMYFUNCTION("""COMPUTED_VALUE"""),"LT0Q1A01VFMY1")</f>
        <v>LT0Q1A01VFMY1</v>
      </c>
      <c r="F4378" s="238" t="str">
        <f>IFERROR(__xludf.DUMMYFUNCTION("""COMPUTED_VALUE"""),"CUG3E95")</f>
        <v>CUG3E95</v>
      </c>
      <c r="G4378" s="238">
        <f>IFERROR(__xludf.DUMMYFUNCTION("""COMPUTED_VALUE"""),46032.14583333333)</f>
        <v>46032.14583</v>
      </c>
      <c r="H4378" s="238">
        <f>IFERROR(__xludf.DUMMYFUNCTION("""COMPUTED_VALUE"""),46032.22916666667)</f>
        <v>46032.22917</v>
      </c>
      <c r="I4378" s="237" t="str">
        <f t="shared" si="1"/>
        <v>Fora</v>
      </c>
      <c r="J4378" s="239">
        <v>120.00000001396984</v>
      </c>
    </row>
    <row r="4379">
      <c r="A4379" s="234" t="s">
        <v>5468</v>
      </c>
      <c r="B4379" s="234" t="str">
        <f>IFERROR(__xludf.DUMMYFUNCTION("""COMPUTED_VALUE"""),"LM Hub_SP_Osasco_02")</f>
        <v>LM Hub_SP_Osasco_02</v>
      </c>
      <c r="C4379" s="234" t="str">
        <f>IFERROR(__xludf.DUMMYFUNCTION("""COMPUTED_VALUE"""),"HUB-LSP-60")</f>
        <v>HUB-LSP-60</v>
      </c>
      <c r="D4379" s="234">
        <f>IFERROR(__xludf.DUMMYFUNCTION("""COMPUTED_VALUE"""),37.0)</f>
        <v>37</v>
      </c>
      <c r="E4379" s="237" t="str">
        <f>IFERROR(__xludf.DUMMYFUNCTION("""COMPUTED_VALUE"""),"LT0Q1A01VGN71")</f>
        <v>LT0Q1A01VGN71</v>
      </c>
      <c r="F4379" s="238" t="str">
        <f>IFERROR(__xludf.DUMMYFUNCTION("""COMPUTED_VALUE"""),"FEU6H63")</f>
        <v>FEU6H63</v>
      </c>
      <c r="G4379" s="238">
        <f>IFERROR(__xludf.DUMMYFUNCTION("""COMPUTED_VALUE"""),46032.14583333333)</f>
        <v>46032.14583</v>
      </c>
      <c r="H4379" s="238">
        <f>IFERROR(__xludf.DUMMYFUNCTION("""COMPUTED_VALUE"""),46032.22916666667)</f>
        <v>46032.22917</v>
      </c>
      <c r="I4379" s="237" t="str">
        <f t="shared" si="1"/>
        <v>Fora</v>
      </c>
      <c r="J4379" s="239">
        <v>119.00000001071021</v>
      </c>
    </row>
    <row r="4380">
      <c r="A4380" s="234" t="s">
        <v>5469</v>
      </c>
      <c r="B4380" s="234" t="str">
        <f>IFERROR(__xludf.DUMMYFUNCTION("""COMPUTED_VALUE"""),"LM Hub_SP_Sorocaba_Região Norte")</f>
        <v>LM Hub_SP_Sorocaba_Região Norte</v>
      </c>
      <c r="C4380" s="234" t="str">
        <f>IFERROR(__xludf.DUMMYFUNCTION("""COMPUTED_VALUE"""),"HUB-LSP-10")</f>
        <v>HUB-LSP-10</v>
      </c>
      <c r="D4380" s="234">
        <f>IFERROR(__xludf.DUMMYFUNCTION("""COMPUTED_VALUE"""),15.0)</f>
        <v>15</v>
      </c>
      <c r="E4380" s="237" t="str">
        <f>IFERROR(__xludf.DUMMYFUNCTION("""COMPUTED_VALUE"""),"LT0Q1A01VFLG1")</f>
        <v>LT0Q1A01VFLG1</v>
      </c>
      <c r="F4380" s="238" t="str">
        <f>IFERROR(__xludf.DUMMYFUNCTION("""COMPUTED_VALUE"""),"DNU8E03,MGA6B94")</f>
        <v>DNU8E03,MGA6B94</v>
      </c>
      <c r="G4380" s="238">
        <f>IFERROR(__xludf.DUMMYFUNCTION("""COMPUTED_VALUE"""),46032.146527777775)</f>
        <v>46032.14653</v>
      </c>
      <c r="H4380" s="238">
        <f>IFERROR(__xludf.DUMMYFUNCTION("""COMPUTED_VALUE"""),46032.22916666667)</f>
        <v>46032.22917</v>
      </c>
      <c r="I4380" s="237" t="str">
        <f t="shared" si="1"/>
        <v>Fora</v>
      </c>
      <c r="J4380" s="239">
        <v>118.00000000745058</v>
      </c>
    </row>
    <row r="4381">
      <c r="A4381" s="234" t="s">
        <v>5470</v>
      </c>
      <c r="B4381" s="234" t="str">
        <f>IFERROR(__xludf.DUMMYFUNCTION("""COMPUTED_VALUE"""),"LM Hub_SP_Sorocaba_Região Norte")</f>
        <v>LM Hub_SP_Sorocaba_Região Norte</v>
      </c>
      <c r="C4381" s="234" t="str">
        <f>IFERROR(__xludf.DUMMYFUNCTION("""COMPUTED_VALUE"""),"HUB-LSP-10")</f>
        <v>HUB-LSP-10</v>
      </c>
      <c r="D4381" s="234">
        <f>IFERROR(__xludf.DUMMYFUNCTION("""COMPUTED_VALUE"""),29.0)</f>
        <v>29</v>
      </c>
      <c r="E4381" s="237" t="str">
        <f>IFERROR(__xludf.DUMMYFUNCTION("""COMPUTED_VALUE"""),"LT0Q1A01VFLJ1")</f>
        <v>LT0Q1A01VFLJ1</v>
      </c>
      <c r="F4381" s="238" t="str">
        <f>IFERROR(__xludf.DUMMYFUNCTION("""COMPUTED_VALUE"""),"GJG5D03")</f>
        <v>GJG5D03</v>
      </c>
      <c r="G4381" s="238">
        <f>IFERROR(__xludf.DUMMYFUNCTION("""COMPUTED_VALUE"""),46032.14722222222)</f>
        <v>46032.14722</v>
      </c>
      <c r="H4381" s="238">
        <f>IFERROR(__xludf.DUMMYFUNCTION("""COMPUTED_VALUE"""),46032.22916666667)</f>
        <v>46032.22917</v>
      </c>
      <c r="I4381" s="237" t="str">
        <f t="shared" si="1"/>
        <v>Fora</v>
      </c>
      <c r="J4381" s="239">
        <v>540.0</v>
      </c>
    </row>
    <row r="4382">
      <c r="A4382" s="234" t="s">
        <v>5471</v>
      </c>
      <c r="B4382" s="234" t="str">
        <f>IFERROR(__xludf.DUMMYFUNCTION("""COMPUTED_VALUE"""),"SoC_BA_Simoes Filho")</f>
        <v>SoC_BA_Simoes Filho</v>
      </c>
      <c r="C4382" s="234" t="str">
        <f>IFERROR(__xludf.DUMMYFUNCTION("""COMPUTED_VALUE"""),"SOC-BA2")</f>
        <v>SOC-BA2</v>
      </c>
      <c r="D4382" s="234">
        <f>IFERROR(__xludf.DUMMYFUNCTION("""COMPUTED_VALUE"""),89.0)</f>
        <v>89</v>
      </c>
      <c r="E4382" s="237" t="str">
        <f>IFERROR(__xludf.DUMMYFUNCTION("""COMPUTED_VALUE"""),"LT1Q1901W6B41")</f>
        <v>LT1Q1901W6B41</v>
      </c>
      <c r="F4382" s="238" t="str">
        <f>IFERROR(__xludf.DUMMYFUNCTION("""COMPUTED_VALUE"""),"IPJ5530,ITS7B56")</f>
        <v>IPJ5530,ITS7B56</v>
      </c>
      <c r="G4382" s="238">
        <f>IFERROR(__xludf.DUMMYFUNCTION("""COMPUTED_VALUE"""),46031.875)</f>
        <v>46031.875</v>
      </c>
      <c r="H4382" s="238">
        <f>IFERROR(__xludf.DUMMYFUNCTION("""COMPUTED_VALUE"""),46032.25)</f>
        <v>46032.25</v>
      </c>
      <c r="I4382" s="237" t="str">
        <f t="shared" si="1"/>
        <v>Fora</v>
      </c>
      <c r="J4382" s="239">
        <v>540.0</v>
      </c>
    </row>
    <row r="4383">
      <c r="A4383" s="234" t="s">
        <v>5472</v>
      </c>
      <c r="B4383" s="234" t="str">
        <f>IFERROR(__xludf.DUMMYFUNCTION("""COMPUTED_VALUE"""),"SoC_GO_Goiânia_02")</f>
        <v>SoC_GO_Goiânia_02</v>
      </c>
      <c r="C4383" s="234" t="str">
        <f>IFERROR(__xludf.DUMMYFUNCTION("""COMPUTED_VALUE"""),"SOC-GO2")</f>
        <v>SOC-GO2</v>
      </c>
      <c r="D4383" s="234">
        <f>IFERROR(__xludf.DUMMYFUNCTION("""COMPUTED_VALUE"""),87.0)</f>
        <v>87</v>
      </c>
      <c r="E4383" s="237" t="str">
        <f>IFERROR(__xludf.DUMMYFUNCTION("""COMPUTED_VALUE"""),"LT1Q1901W6UD1")</f>
        <v>LT1Q1901W6UD1</v>
      </c>
      <c r="F4383" s="238" t="str">
        <f>IFERROR(__xludf.DUMMYFUNCTION("""COMPUTED_VALUE"""),"EYL1J55,LWI9J94")</f>
        <v>EYL1J55,LWI9J94</v>
      </c>
      <c r="G4383" s="238">
        <f>IFERROR(__xludf.DUMMYFUNCTION("""COMPUTED_VALUE"""),46031.875)</f>
        <v>46031.875</v>
      </c>
      <c r="H4383" s="238">
        <f>IFERROR(__xludf.DUMMYFUNCTION("""COMPUTED_VALUE"""),46032.25)</f>
        <v>46032.25</v>
      </c>
      <c r="I4383" s="237" t="str">
        <f t="shared" si="1"/>
        <v>Fora</v>
      </c>
      <c r="J4383" s="239">
        <v>540.0</v>
      </c>
    </row>
    <row r="4384">
      <c r="A4384" s="234" t="s">
        <v>5473</v>
      </c>
      <c r="B4384" s="234" t="str">
        <f>IFERROR(__xludf.DUMMYFUNCTION("""COMPUTED_VALUE"""),"SoC_MG_Betim")</f>
        <v>SoC_MG_Betim</v>
      </c>
      <c r="C4384" s="234" t="str">
        <f>IFERROR(__xludf.DUMMYFUNCTION("""COMPUTED_VALUE"""),"SOC-MG2")</f>
        <v>SOC-MG2</v>
      </c>
      <c r="D4384" s="234">
        <f>IFERROR(__xludf.DUMMYFUNCTION("""COMPUTED_VALUE"""),110.0)</f>
        <v>110</v>
      </c>
      <c r="E4384" s="237" t="str">
        <f>IFERROR(__xludf.DUMMYFUNCTION("""COMPUTED_VALUE"""),"LT1Q1901W6U41")</f>
        <v>LT1Q1901W6U41</v>
      </c>
      <c r="F4384" s="238" t="str">
        <f>IFERROR(__xludf.DUMMYFUNCTION("""COMPUTED_VALUE"""),"NWF2210,TKD9B49")</f>
        <v>NWF2210,TKD9B49</v>
      </c>
      <c r="G4384" s="238">
        <f>IFERROR(__xludf.DUMMYFUNCTION("""COMPUTED_VALUE"""),46031.875)</f>
        <v>46031.875</v>
      </c>
      <c r="H4384" s="238">
        <f>IFERROR(__xludf.DUMMYFUNCTION("""COMPUTED_VALUE"""),46032.25)</f>
        <v>46032.25</v>
      </c>
      <c r="I4384" s="237" t="str">
        <f t="shared" si="1"/>
        <v>Fora</v>
      </c>
      <c r="J4384" s="239">
        <v>540.0</v>
      </c>
    </row>
    <row r="4385">
      <c r="A4385" s="234" t="s">
        <v>5474</v>
      </c>
      <c r="B4385" s="234" t="str">
        <f>IFERROR(__xludf.DUMMYFUNCTION("""COMPUTED_VALUE"""),"SoC_RS_Gravataí_02")</f>
        <v>SoC_RS_Gravataí_02</v>
      </c>
      <c r="C4385" s="234" t="str">
        <f>IFERROR(__xludf.DUMMYFUNCTION("""COMPUTED_VALUE"""),"SOC-RS2")</f>
        <v>SOC-RS2</v>
      </c>
      <c r="D4385" s="234">
        <f>IFERROR(__xludf.DUMMYFUNCTION("""COMPUTED_VALUE"""),24.0)</f>
        <v>24</v>
      </c>
      <c r="E4385" s="237" t="str">
        <f>IFERROR(__xludf.DUMMYFUNCTION("""COMPUTED_VALUE"""),"LT1Q1901W6UB1")</f>
        <v>LT1Q1901W6UB1</v>
      </c>
      <c r="F4385" s="238" t="str">
        <f>IFERROR(__xludf.DUMMYFUNCTION("""COMPUTED_VALUE"""),"JDF4B18,TQP2E49")</f>
        <v>JDF4B18,TQP2E49</v>
      </c>
      <c r="G4385" s="238">
        <f>IFERROR(__xludf.DUMMYFUNCTION("""COMPUTED_VALUE"""),46031.875)</f>
        <v>46031.875</v>
      </c>
      <c r="H4385" s="238">
        <f>IFERROR(__xludf.DUMMYFUNCTION("""COMPUTED_VALUE"""),46032.25)</f>
        <v>46032.25</v>
      </c>
      <c r="I4385" s="237" t="str">
        <f t="shared" si="1"/>
        <v>Fora</v>
      </c>
      <c r="J4385" s="239">
        <v>540.0</v>
      </c>
    </row>
    <row r="4386">
      <c r="A4386" s="234" t="s">
        <v>781</v>
      </c>
      <c r="B4386" s="234" t="str">
        <f>IFERROR(__xludf.DUMMYFUNCTION("""COMPUTED_VALUE"""),"SoC_SC_Itajaí")</f>
        <v>SoC_SC_Itajaí</v>
      </c>
      <c r="C4386" s="234" t="str">
        <f>IFERROR(__xludf.DUMMYFUNCTION("""COMPUTED_VALUE"""),"SOC-SC1")</f>
        <v>SOC-SC1</v>
      </c>
      <c r="D4386" s="234">
        <f>IFERROR(__xludf.DUMMYFUNCTION("""COMPUTED_VALUE"""),100.0)</f>
        <v>100</v>
      </c>
      <c r="E4386" s="237" t="str">
        <f>IFERROR(__xludf.DUMMYFUNCTION("""COMPUTED_VALUE"""),"LT1Q1901W6UC1")</f>
        <v>LT1Q1901W6UC1</v>
      </c>
      <c r="F4386" s="238" t="str">
        <f>IFERROR(__xludf.DUMMYFUNCTION("""COMPUTED_VALUE"""),"SXS4C59,RAI2E48")</f>
        <v>SXS4C59,RAI2E48</v>
      </c>
      <c r="G4386" s="238">
        <f>IFERROR(__xludf.DUMMYFUNCTION("""COMPUTED_VALUE"""),46031.875)</f>
        <v>46031.875</v>
      </c>
      <c r="H4386" s="238">
        <f>IFERROR(__xludf.DUMMYFUNCTION("""COMPUTED_VALUE"""),46032.25)</f>
        <v>46032.25</v>
      </c>
      <c r="I4386" s="237" t="str">
        <f t="shared" si="1"/>
        <v>Fora</v>
      </c>
      <c r="J4386" s="239">
        <v>180.0</v>
      </c>
    </row>
    <row r="4387">
      <c r="A4387" s="234" t="s">
        <v>782</v>
      </c>
      <c r="B4387" s="234" t="str">
        <f>IFERROR(__xludf.DUMMYFUNCTION("""COMPUTED_VALUE"""),"SoC_RJ_Duque de Caxias")</f>
        <v>SoC_RJ_Duque de Caxias</v>
      </c>
      <c r="C4387" s="234" t="str">
        <f>IFERROR(__xludf.DUMMYFUNCTION("""COMPUTED_VALUE"""),"SOC-RJ2")</f>
        <v>SOC-RJ2</v>
      </c>
      <c r="D4387" s="234">
        <f>IFERROR(__xludf.DUMMYFUNCTION("""COMPUTED_VALUE"""),113.0)</f>
        <v>113</v>
      </c>
      <c r="E4387" s="237" t="str">
        <f>IFERROR(__xludf.DUMMYFUNCTION("""COMPUTED_VALUE"""),"LT1Q1A01W64N1")</f>
        <v>LT1Q1A01W64N1</v>
      </c>
      <c r="F4387" s="238" t="str">
        <f>IFERROR(__xludf.DUMMYFUNCTION("""COMPUTED_VALUE"""),"ETU8D01,ETU9331")</f>
        <v>ETU8D01,ETU9331</v>
      </c>
      <c r="G4387" s="238">
        <f>IFERROR(__xludf.DUMMYFUNCTION("""COMPUTED_VALUE"""),46032.125)</f>
        <v>46032.125</v>
      </c>
      <c r="H4387" s="238">
        <f>IFERROR(__xludf.DUMMYFUNCTION("""COMPUTED_VALUE"""),46032.25)</f>
        <v>46032.25</v>
      </c>
      <c r="I4387" s="237" t="str">
        <f t="shared" si="1"/>
        <v>Fora</v>
      </c>
      <c r="J4387" s="239">
        <v>180.0</v>
      </c>
    </row>
    <row r="4388">
      <c r="A4388" s="234" t="s">
        <v>783</v>
      </c>
      <c r="B4388" s="234" t="str">
        <f>IFERROR(__xludf.DUMMYFUNCTION("""COMPUTED_VALUE"""),"SoC_RJ_Duque de Caxias")</f>
        <v>SoC_RJ_Duque de Caxias</v>
      </c>
      <c r="C4388" s="234" t="str">
        <f>IFERROR(__xludf.DUMMYFUNCTION("""COMPUTED_VALUE"""),"SOC-RJ2")</f>
        <v>SOC-RJ2</v>
      </c>
      <c r="D4388" s="234">
        <f>IFERROR(__xludf.DUMMYFUNCTION("""COMPUTED_VALUE"""),96.0)</f>
        <v>96</v>
      </c>
      <c r="E4388" s="237" t="str">
        <f>IFERROR(__xludf.DUMMYFUNCTION("""COMPUTED_VALUE"""),"LT1Q1A01W6BO1")</f>
        <v>LT1Q1A01W6BO1</v>
      </c>
      <c r="F4388" s="238" t="str">
        <f>IFERROR(__xludf.DUMMYFUNCTION("""COMPUTED_VALUE"""),"FSN1I44,FWG8C04")</f>
        <v>FSN1I44,FWG8C04</v>
      </c>
      <c r="G4388" s="238">
        <f>IFERROR(__xludf.DUMMYFUNCTION("""COMPUTED_VALUE"""),46032.125)</f>
        <v>46032.125</v>
      </c>
      <c r="H4388" s="238">
        <f>IFERROR(__xludf.DUMMYFUNCTION("""COMPUTED_VALUE"""),46032.25)</f>
        <v>46032.25</v>
      </c>
      <c r="I4388" s="237" t="str">
        <f t="shared" si="1"/>
        <v>Fora</v>
      </c>
      <c r="J4388" s="239">
        <v>119.99999999301508</v>
      </c>
    </row>
    <row r="4389">
      <c r="A4389" s="234" t="s">
        <v>5475</v>
      </c>
      <c r="B4389" s="234" t="str">
        <f>IFERROR(__xludf.DUMMYFUNCTION("""COMPUTED_VALUE"""),"LM Hub_SP_Guaratinguetá")</f>
        <v>LM Hub_SP_Guaratinguetá</v>
      </c>
      <c r="C4389" s="234" t="str">
        <f>IFERROR(__xludf.DUMMYFUNCTION("""COMPUTED_VALUE"""),"HUB-LSP-33")</f>
        <v>HUB-LSP-33</v>
      </c>
      <c r="D4389" s="234"/>
      <c r="E4389" s="237" t="str">
        <f>IFERROR(__xludf.DUMMYFUNCTION("""COMPUTED_VALUE"""),"LT0Q1A01VFKO1")</f>
        <v>LT0Q1A01VFKO1</v>
      </c>
      <c r="F4389" s="238" t="str">
        <f>IFERROR(__xludf.DUMMYFUNCTION("""COMPUTED_VALUE"""),"CNQ9G84,UEP4I46")</f>
        <v>CNQ9G84,UEP4I46</v>
      </c>
      <c r="G4389" s="238">
        <f>IFERROR(__xludf.DUMMYFUNCTION("""COMPUTED_VALUE"""),46032.16666666667)</f>
        <v>46032.16667</v>
      </c>
      <c r="H4389" s="238">
        <f>IFERROR(__xludf.DUMMYFUNCTION("""COMPUTED_VALUE"""),46032.25)</f>
        <v>46032.25</v>
      </c>
      <c r="I4389" s="237" t="str">
        <f t="shared" si="1"/>
        <v>Fora</v>
      </c>
      <c r="J4389" s="239">
        <v>119.99999999301508</v>
      </c>
    </row>
    <row r="4390">
      <c r="A4390" s="234" t="s">
        <v>5476</v>
      </c>
      <c r="B4390" s="234" t="str">
        <f>IFERROR(__xludf.DUMMYFUNCTION("""COMPUTED_VALUE"""),"LM Hub_SP_Limeira_Campo Belo")</f>
        <v>LM Hub_SP_Limeira_Campo Belo</v>
      </c>
      <c r="C4390" s="234" t="str">
        <f>IFERROR(__xludf.DUMMYFUNCTION("""COMPUTED_VALUE"""),"HUB-LSP-24")</f>
        <v>HUB-LSP-24</v>
      </c>
      <c r="D4390" s="234">
        <f>IFERROR(__xludf.DUMMYFUNCTION("""COMPUTED_VALUE"""),26.0)</f>
        <v>26</v>
      </c>
      <c r="E4390" s="237" t="str">
        <f>IFERROR(__xludf.DUMMYFUNCTION("""COMPUTED_VALUE"""),"LT0Q1A01VFLW1")</f>
        <v>LT0Q1A01VFLW1</v>
      </c>
      <c r="F4390" s="238" t="str">
        <f>IFERROR(__xludf.DUMMYFUNCTION("""COMPUTED_VALUE"""),"TAJ5D50")</f>
        <v>TAJ5D50</v>
      </c>
      <c r="G4390" s="238">
        <f>IFERROR(__xludf.DUMMYFUNCTION("""COMPUTED_VALUE"""),46032.16666666667)</f>
        <v>46032.16667</v>
      </c>
      <c r="H4390" s="238">
        <f>IFERROR(__xludf.DUMMYFUNCTION("""COMPUTED_VALUE"""),46032.25)</f>
        <v>46032.25</v>
      </c>
      <c r="I4390" s="237" t="str">
        <f t="shared" si="1"/>
        <v>Fora</v>
      </c>
      <c r="J4390" s="239">
        <v>119.99999999301508</v>
      </c>
    </row>
    <row r="4391">
      <c r="A4391" s="234" t="s">
        <v>5477</v>
      </c>
      <c r="B4391" s="234" t="str">
        <f>IFERROR(__xludf.DUMMYFUNCTION("""COMPUTED_VALUE"""),"LM Hub_SP_Registro")</f>
        <v>LM Hub_SP_Registro</v>
      </c>
      <c r="C4391" s="234" t="str">
        <f>IFERROR(__xludf.DUMMYFUNCTION("""COMPUTED_VALUE"""),"HUB-LSP-40")</f>
        <v>HUB-LSP-40</v>
      </c>
      <c r="D4391" s="234">
        <f>IFERROR(__xludf.DUMMYFUNCTION("""COMPUTED_VALUE"""),7.0)</f>
        <v>7</v>
      </c>
      <c r="E4391" s="237" t="str">
        <f>IFERROR(__xludf.DUMMYFUNCTION("""COMPUTED_VALUE"""),"LT0Q1A01VFKD1")</f>
        <v>LT0Q1A01VFKD1</v>
      </c>
      <c r="F4391" s="238" t="str">
        <f>IFERROR(__xludf.DUMMYFUNCTION("""COMPUTED_VALUE"""),"DSS2A37")</f>
        <v>DSS2A37</v>
      </c>
      <c r="G4391" s="238">
        <f>IFERROR(__xludf.DUMMYFUNCTION("""COMPUTED_VALUE"""),46032.16666666667)</f>
        <v>46032.16667</v>
      </c>
      <c r="H4391" s="238">
        <f>IFERROR(__xludf.DUMMYFUNCTION("""COMPUTED_VALUE"""),46032.25)</f>
        <v>46032.25</v>
      </c>
      <c r="I4391" s="237" t="str">
        <f t="shared" si="1"/>
        <v>Fora</v>
      </c>
      <c r="J4391" s="239">
        <v>119.99999999301508</v>
      </c>
    </row>
    <row r="4392">
      <c r="A4392" s="234" t="s">
        <v>5478</v>
      </c>
      <c r="B4392" s="234" t="str">
        <f>IFERROR(__xludf.DUMMYFUNCTION("""COMPUTED_VALUE"""),"LM Hub_SP_Várzea Paulista")</f>
        <v>LM Hub_SP_Várzea Paulista</v>
      </c>
      <c r="C4392" s="234" t="str">
        <f>IFERROR(__xludf.DUMMYFUNCTION("""COMPUTED_VALUE"""),"HUB-LSP-20")</f>
        <v>HUB-LSP-20</v>
      </c>
      <c r="D4392" s="234">
        <f>IFERROR(__xludf.DUMMYFUNCTION("""COMPUTED_VALUE"""),32.0)</f>
        <v>32</v>
      </c>
      <c r="E4392" s="237" t="str">
        <f>IFERROR(__xludf.DUMMYFUNCTION("""COMPUTED_VALUE"""),"LT0Q1A01VFM61")</f>
        <v>LT0Q1A01VFM61</v>
      </c>
      <c r="F4392" s="238" t="str">
        <f>IFERROR(__xludf.DUMMYFUNCTION("""COMPUTED_VALUE"""),"HNQ8267")</f>
        <v>HNQ8267</v>
      </c>
      <c r="G4392" s="238">
        <f>IFERROR(__xludf.DUMMYFUNCTION("""COMPUTED_VALUE"""),46032.16666666667)</f>
        <v>46032.16667</v>
      </c>
      <c r="H4392" s="238">
        <f>IFERROR(__xludf.DUMMYFUNCTION("""COMPUTED_VALUE"""),46032.25)</f>
        <v>46032.25</v>
      </c>
      <c r="I4392" s="237" t="str">
        <f t="shared" si="1"/>
        <v>Fora</v>
      </c>
      <c r="J4392" s="239">
        <v>119.99999999301508</v>
      </c>
    </row>
    <row r="4393">
      <c r="A4393" s="234" t="s">
        <v>5479</v>
      </c>
      <c r="B4393" s="234" t="str">
        <f>IFERROR(__xludf.DUMMYFUNCTION("""COMPUTED_VALUE"""),"SoC_BA_Simoes Filho")</f>
        <v>SoC_BA_Simoes Filho</v>
      </c>
      <c r="C4393" s="234" t="str">
        <f>IFERROR(__xludf.DUMMYFUNCTION("""COMPUTED_VALUE"""),"SOC-BA2")</f>
        <v>SOC-BA2</v>
      </c>
      <c r="D4393" s="234"/>
      <c r="E4393" s="237" t="str">
        <f>IFERROR(__xludf.DUMMYFUNCTION("""COMPUTED_VALUE"""),"LT1Q1A01W6B31")</f>
        <v>LT1Q1A01W6B31</v>
      </c>
      <c r="F4393" s="238" t="str">
        <f>IFERROR(__xludf.DUMMYFUNCTION("""COMPUTED_VALUE"""),"QWA8I14,SKS2B20")</f>
        <v>QWA8I14,SKS2B20</v>
      </c>
      <c r="G4393" s="238">
        <f>IFERROR(__xludf.DUMMYFUNCTION("""COMPUTED_VALUE"""),46032.16666666667)</f>
        <v>46032.16667</v>
      </c>
      <c r="H4393" s="238">
        <f>IFERROR(__xludf.DUMMYFUNCTION("""COMPUTED_VALUE"""),46032.25)</f>
        <v>46032.25</v>
      </c>
      <c r="I4393" s="237" t="str">
        <f t="shared" si="1"/>
        <v>Fora</v>
      </c>
      <c r="J4393" s="239">
        <v>119.99999999301508</v>
      </c>
    </row>
    <row r="4394">
      <c r="A4394" s="234" t="s">
        <v>5480</v>
      </c>
      <c r="B4394" s="234" t="str">
        <f>IFERROR(__xludf.DUMMYFUNCTION("""COMPUTED_VALUE"""),"SoC_MG_Betim")</f>
        <v>SoC_MG_Betim</v>
      </c>
      <c r="C4394" s="234" t="str">
        <f>IFERROR(__xludf.DUMMYFUNCTION("""COMPUTED_VALUE"""),"SOC-MG2")</f>
        <v>SOC-MG2</v>
      </c>
      <c r="D4394" s="234">
        <f>IFERROR(__xludf.DUMMYFUNCTION("""COMPUTED_VALUE"""),91.0)</f>
        <v>91</v>
      </c>
      <c r="E4394" s="237" t="str">
        <f>IFERROR(__xludf.DUMMYFUNCTION("""COMPUTED_VALUE"""),"LT1Q1A01W6BD1")</f>
        <v>LT1Q1A01W6BD1</v>
      </c>
      <c r="F4394" s="238" t="str">
        <f>IFERROR(__xludf.DUMMYFUNCTION("""COMPUTED_VALUE"""),"SDX1I59,TBJ2B75")</f>
        <v>SDX1I59,TBJ2B75</v>
      </c>
      <c r="G4394" s="238">
        <f>IFERROR(__xludf.DUMMYFUNCTION("""COMPUTED_VALUE"""),46032.16666666667)</f>
        <v>46032.16667</v>
      </c>
      <c r="H4394" s="238">
        <f>IFERROR(__xludf.DUMMYFUNCTION("""COMPUTED_VALUE"""),46032.25)</f>
        <v>46032.25</v>
      </c>
      <c r="I4394" s="237" t="str">
        <f t="shared" si="1"/>
        <v>Fora</v>
      </c>
      <c r="J4394" s="239">
        <v>119.99999999301508</v>
      </c>
    </row>
    <row r="4395">
      <c r="A4395" s="234" t="s">
        <v>5481</v>
      </c>
      <c r="B4395" s="234" t="str">
        <f>IFERROR(__xludf.DUMMYFUNCTION("""COMPUTED_VALUE"""),"SoC_PE_Jaboatão dos Guararapes")</f>
        <v>SoC_PE_Jaboatão dos Guararapes</v>
      </c>
      <c r="C4395" s="234" t="str">
        <f>IFERROR(__xludf.DUMMYFUNCTION("""COMPUTED_VALUE"""),"SOC-PE2")</f>
        <v>SOC-PE2</v>
      </c>
      <c r="D4395" s="234"/>
      <c r="E4395" s="237" t="str">
        <f>IFERROR(__xludf.DUMMYFUNCTION("""COMPUTED_VALUE"""),"LT1Q1A01W6BI1")</f>
        <v>LT1Q1A01W6BI1</v>
      </c>
      <c r="F4395" s="238" t="str">
        <f>IFERROR(__xludf.DUMMYFUNCTION("""COMPUTED_VALUE"""),"QEO3668,DYI8A09")</f>
        <v>QEO3668,DYI8A09</v>
      </c>
      <c r="G4395" s="238">
        <f>IFERROR(__xludf.DUMMYFUNCTION("""COMPUTED_VALUE"""),46032.16666666667)</f>
        <v>46032.16667</v>
      </c>
      <c r="H4395" s="238">
        <f>IFERROR(__xludf.DUMMYFUNCTION("""COMPUTED_VALUE"""),46032.25)</f>
        <v>46032.25</v>
      </c>
      <c r="I4395" s="237" t="str">
        <f t="shared" si="1"/>
        <v>Fora</v>
      </c>
      <c r="J4395" s="239">
        <v>119.99999999301508</v>
      </c>
    </row>
    <row r="4396">
      <c r="A4396" s="234" t="s">
        <v>5482</v>
      </c>
      <c r="B4396" s="234" t="str">
        <f>IFERROR(__xludf.DUMMYFUNCTION("""COMPUTED_VALUE"""),"SoC_PR_Curitiba")</f>
        <v>SoC_PR_Curitiba</v>
      </c>
      <c r="C4396" s="234" t="str">
        <f>IFERROR(__xludf.DUMMYFUNCTION("""COMPUTED_VALUE"""),"SOC-PR1")</f>
        <v>SOC-PR1</v>
      </c>
      <c r="D4396" s="234"/>
      <c r="E4396" s="237" t="str">
        <f>IFERROR(__xludf.DUMMYFUNCTION("""COMPUTED_VALUE"""),"LT0Q1A01VFFM1")</f>
        <v>LT0Q1A01VFFM1</v>
      </c>
      <c r="F4396" s="238" t="str">
        <f>IFERROR(__xludf.DUMMYFUNCTION("""COMPUTED_VALUE"""),"UAW6H38,SXH1C60")</f>
        <v>UAW6H38,SXH1C60</v>
      </c>
      <c r="G4396" s="238">
        <f>IFERROR(__xludf.DUMMYFUNCTION("""COMPUTED_VALUE"""),46032.16666666667)</f>
        <v>46032.16667</v>
      </c>
      <c r="H4396" s="238">
        <f>IFERROR(__xludf.DUMMYFUNCTION("""COMPUTED_VALUE"""),46032.25)</f>
        <v>46032.25</v>
      </c>
      <c r="I4396" s="237" t="str">
        <f t="shared" si="1"/>
        <v>Fora</v>
      </c>
      <c r="J4396" s="239">
        <v>119.99999999301508</v>
      </c>
    </row>
    <row r="4397">
      <c r="A4397" s="234" t="s">
        <v>5483</v>
      </c>
      <c r="B4397" s="234" t="str">
        <f>IFERROR(__xludf.DUMMYFUNCTION("""COMPUTED_VALUE"""),"SoC_RJ_Duque de Caxias")</f>
        <v>SoC_RJ_Duque de Caxias</v>
      </c>
      <c r="C4397" s="234" t="str">
        <f>IFERROR(__xludf.DUMMYFUNCTION("""COMPUTED_VALUE"""),"SOC-RJ2")</f>
        <v>SOC-RJ2</v>
      </c>
      <c r="D4397" s="234"/>
      <c r="E4397" s="237" t="str">
        <f>IFERROR(__xludf.DUMMYFUNCTION("""COMPUTED_VALUE"""),"LT1Q1A01W6BQ1")</f>
        <v>LT1Q1A01W6BQ1</v>
      </c>
      <c r="F4397" s="238" t="str">
        <f>IFERROR(__xludf.DUMMYFUNCTION("""COMPUTED_VALUE"""),"TLW4H03,UDA5E04")</f>
        <v>TLW4H03,UDA5E04</v>
      </c>
      <c r="G4397" s="238">
        <f>IFERROR(__xludf.DUMMYFUNCTION("""COMPUTED_VALUE"""),46032.16666666667)</f>
        <v>46032.16667</v>
      </c>
      <c r="H4397" s="238">
        <f>IFERROR(__xludf.DUMMYFUNCTION("""COMPUTED_VALUE"""),46032.25)</f>
        <v>46032.25</v>
      </c>
      <c r="I4397" s="237" t="str">
        <f t="shared" si="1"/>
        <v>Fora</v>
      </c>
      <c r="J4397" s="239">
        <v>119.99999999301508</v>
      </c>
    </row>
    <row r="4398">
      <c r="A4398" s="234" t="s">
        <v>5484</v>
      </c>
      <c r="B4398" s="234" t="str">
        <f>IFERROR(__xludf.DUMMYFUNCTION("""COMPUTED_VALUE"""),"SoC_RS_Gravataí_02")</f>
        <v>SoC_RS_Gravataí_02</v>
      </c>
      <c r="C4398" s="234" t="str">
        <f>IFERROR(__xludf.DUMMYFUNCTION("""COMPUTED_VALUE"""),"SOC-RS2")</f>
        <v>SOC-RS2</v>
      </c>
      <c r="D4398" s="234"/>
      <c r="E4398" s="237" t="str">
        <f>IFERROR(__xludf.DUMMYFUNCTION("""COMPUTED_VALUE"""),"LT1Q1A01W6BU1")</f>
        <v>LT1Q1A01W6BU1</v>
      </c>
      <c r="F4398" s="238" t="str">
        <f>IFERROR(__xludf.DUMMYFUNCTION("""COMPUTED_VALUE"""),"IVL5I56,IRJ0G63")</f>
        <v>IVL5I56,IRJ0G63</v>
      </c>
      <c r="G4398" s="238">
        <f>IFERROR(__xludf.DUMMYFUNCTION("""COMPUTED_VALUE"""),46032.16666666667)</f>
        <v>46032.16667</v>
      </c>
      <c r="H4398" s="238">
        <f>IFERROR(__xludf.DUMMYFUNCTION("""COMPUTED_VALUE"""),46032.25)</f>
        <v>46032.25</v>
      </c>
      <c r="I4398" s="237" t="str">
        <f t="shared" si="1"/>
        <v>Fora</v>
      </c>
      <c r="J4398" s="239">
        <v>119.99999999301508</v>
      </c>
    </row>
    <row r="4399">
      <c r="A4399" s="234" t="s">
        <v>5485</v>
      </c>
      <c r="B4399" s="234" t="str">
        <f>IFERROR(__xludf.DUMMYFUNCTION("""COMPUTED_VALUE"""),"LM Hub_SP_Atibaia_Ponte_Alta")</f>
        <v>LM Hub_SP_Atibaia_Ponte_Alta</v>
      </c>
      <c r="C4399" s="234" t="str">
        <f>IFERROR(__xludf.DUMMYFUNCTION("""COMPUTED_VALUE"""),"HUB-LSP-87")</f>
        <v>HUB-LSP-87</v>
      </c>
      <c r="D4399" s="234"/>
      <c r="E4399" s="237" t="str">
        <f>IFERROR(__xludf.DUMMYFUNCTION("""COMPUTED_VALUE"""),"LT0Q1A01VJKE1")</f>
        <v>LT0Q1A01VJKE1</v>
      </c>
      <c r="F4399" s="238" t="str">
        <f>IFERROR(__xludf.DUMMYFUNCTION("""COMPUTED_VALUE"""),"UGN5F59")</f>
        <v>UGN5F59</v>
      </c>
      <c r="G4399" s="238">
        <f>IFERROR(__xludf.DUMMYFUNCTION("""COMPUTED_VALUE"""),46032.1875)</f>
        <v>46032.1875</v>
      </c>
      <c r="H4399" s="238">
        <f>IFERROR(__xludf.DUMMYFUNCTION("""COMPUTED_VALUE"""),46032.27083333333)</f>
        <v>46032.27083</v>
      </c>
      <c r="I4399" s="237" t="str">
        <f t="shared" si="1"/>
        <v>Fora</v>
      </c>
      <c r="J4399" s="239">
        <v>119.99999999301508</v>
      </c>
    </row>
    <row r="4400">
      <c r="A4400" s="234" t="s">
        <v>784</v>
      </c>
      <c r="B4400" s="234" t="str">
        <f>IFERROR(__xludf.DUMMYFUNCTION("""COMPUTED_VALUE"""),"LM Hub_SP_Taubaté")</f>
        <v>LM Hub_SP_Taubaté</v>
      </c>
      <c r="C4400" s="234" t="str">
        <f>IFERROR(__xludf.DUMMYFUNCTION("""COMPUTED_VALUE"""),"HUB-LSP-08")</f>
        <v>HUB-LSP-08</v>
      </c>
      <c r="D4400" s="234">
        <f>IFERROR(__xludf.DUMMYFUNCTION("""COMPUTED_VALUE"""),6.0)</f>
        <v>6</v>
      </c>
      <c r="E4400" s="237" t="str">
        <f>IFERROR(__xludf.DUMMYFUNCTION("""COMPUTED_VALUE"""),"LT0Q1A01VFKZ1")</f>
        <v>LT0Q1A01VFKZ1</v>
      </c>
      <c r="F4400" s="238" t="str">
        <f>IFERROR(__xludf.DUMMYFUNCTION("""COMPUTED_VALUE"""),"FBQ6A90")</f>
        <v>FBQ6A90</v>
      </c>
      <c r="G4400" s="238">
        <f>IFERROR(__xludf.DUMMYFUNCTION("""COMPUTED_VALUE"""),46032.1875)</f>
        <v>46032.1875</v>
      </c>
      <c r="H4400" s="238">
        <f>IFERROR(__xludf.DUMMYFUNCTION("""COMPUTED_VALUE"""),46032.27083333333)</f>
        <v>46032.27083</v>
      </c>
      <c r="I4400" s="237" t="str">
        <f t="shared" si="1"/>
        <v>Fora</v>
      </c>
      <c r="J4400" s="239">
        <v>540.0</v>
      </c>
    </row>
    <row r="4401">
      <c r="A4401" s="234" t="s">
        <v>785</v>
      </c>
      <c r="B4401" s="234" t="str">
        <f>IFERROR(__xludf.DUMMYFUNCTION("""COMPUTED_VALUE"""),"SoC_GO_Goiânia_02")</f>
        <v>SoC_GO_Goiânia_02</v>
      </c>
      <c r="C4401" s="234" t="str">
        <f>IFERROR(__xludf.DUMMYFUNCTION("""COMPUTED_VALUE"""),"SOC-GO2")</f>
        <v>SOC-GO2</v>
      </c>
      <c r="D4401" s="234">
        <f>IFERROR(__xludf.DUMMYFUNCTION("""COMPUTED_VALUE"""),87.0)</f>
        <v>87</v>
      </c>
      <c r="E4401" s="237" t="str">
        <f>IFERROR(__xludf.DUMMYFUNCTION("""COMPUTED_VALUE"""),"LT0Q1901VLKD1")</f>
        <v>LT0Q1901VLKD1</v>
      </c>
      <c r="F4401" s="238" t="str">
        <f>IFERROR(__xludf.DUMMYFUNCTION("""COMPUTED_VALUE"""),"MJR4B06,IMM3C01")</f>
        <v>MJR4B06,IMM3C01</v>
      </c>
      <c r="G4401" s="238">
        <f>IFERROR(__xludf.DUMMYFUNCTION("""COMPUTED_VALUE"""),46031.91666666667)</f>
        <v>46031.91667</v>
      </c>
      <c r="H4401" s="238">
        <f>IFERROR(__xludf.DUMMYFUNCTION("""COMPUTED_VALUE"""),46032.29166666667)</f>
        <v>46032.29167</v>
      </c>
      <c r="I4401" s="237" t="str">
        <f t="shared" si="1"/>
        <v>Fora</v>
      </c>
      <c r="J4401" s="239">
        <v>540.0</v>
      </c>
    </row>
    <row r="4402">
      <c r="A4402" s="234" t="s">
        <v>5486</v>
      </c>
      <c r="B4402" s="234" t="str">
        <f>IFERROR(__xludf.DUMMYFUNCTION("""COMPUTED_VALUE"""),"SoC_PE_Jaboatão dos Guararapes")</f>
        <v>SoC_PE_Jaboatão dos Guararapes</v>
      </c>
      <c r="C4402" s="234" t="str">
        <f>IFERROR(__xludf.DUMMYFUNCTION("""COMPUTED_VALUE"""),"SOC-PE2")</f>
        <v>SOC-PE2</v>
      </c>
      <c r="D4402" s="234"/>
      <c r="E4402" s="237" t="str">
        <f>IFERROR(__xludf.DUMMYFUNCTION("""COMPUTED_VALUE"""),"LT1Q1901W6U91")</f>
        <v>LT1Q1901W6U91</v>
      </c>
      <c r="F4402" s="234"/>
      <c r="G4402" s="238">
        <f>IFERROR(__xludf.DUMMYFUNCTION("""COMPUTED_VALUE"""),46031.91666666667)</f>
        <v>46031.91667</v>
      </c>
      <c r="H4402" s="238">
        <f>IFERROR(__xludf.DUMMYFUNCTION("""COMPUTED_VALUE"""),46032.29166666667)</f>
        <v>46032.29167</v>
      </c>
      <c r="I4402" s="237" t="str">
        <f t="shared" si="1"/>
        <v>Fora</v>
      </c>
      <c r="J4402" s="239">
        <v>540.0</v>
      </c>
    </row>
    <row r="4403">
      <c r="A4403" s="234" t="s">
        <v>5487</v>
      </c>
      <c r="B4403" s="234" t="str">
        <f>IFERROR(__xludf.DUMMYFUNCTION("""COMPUTED_VALUE"""),"SoC_RJ_Duque de Caxias")</f>
        <v>SoC_RJ_Duque de Caxias</v>
      </c>
      <c r="C4403" s="234" t="str">
        <f>IFERROR(__xludf.DUMMYFUNCTION("""COMPUTED_VALUE"""),"SOC-RJ2")</f>
        <v>SOC-RJ2</v>
      </c>
      <c r="D4403" s="234">
        <f>IFERROR(__xludf.DUMMYFUNCTION("""COMPUTED_VALUE"""),97.0)</f>
        <v>97</v>
      </c>
      <c r="E4403" s="237" t="str">
        <f>IFERROR(__xludf.DUMMYFUNCTION("""COMPUTED_VALUE"""),"LT0Q1901VHRT1")</f>
        <v>LT0Q1901VHRT1</v>
      </c>
      <c r="F4403" s="238" t="str">
        <f>IFERROR(__xludf.DUMMYFUNCTION("""COMPUTED_VALUE"""),"EPU5C78,TIV0I78")</f>
        <v>EPU5C78,TIV0I78</v>
      </c>
      <c r="G4403" s="238">
        <f>IFERROR(__xludf.DUMMYFUNCTION("""COMPUTED_VALUE"""),46031.91666666667)</f>
        <v>46031.91667</v>
      </c>
      <c r="H4403" s="238">
        <f>IFERROR(__xludf.DUMMYFUNCTION("""COMPUTED_VALUE"""),46032.29166666667)</f>
        <v>46032.29167</v>
      </c>
      <c r="I4403" s="237" t="str">
        <f t="shared" si="1"/>
        <v>Fora</v>
      </c>
      <c r="J4403" s="239">
        <v>540.0</v>
      </c>
    </row>
    <row r="4404">
      <c r="A4404" s="234" t="s">
        <v>5488</v>
      </c>
      <c r="B4404" s="234" t="str">
        <f>IFERROR(__xludf.DUMMYFUNCTION("""COMPUTED_VALUE"""),"SoC_SC_Itajaí")</f>
        <v>SoC_SC_Itajaí</v>
      </c>
      <c r="C4404" s="234" t="str">
        <f>IFERROR(__xludf.DUMMYFUNCTION("""COMPUTED_VALUE"""),"SOC-SC1")</f>
        <v>SOC-SC1</v>
      </c>
      <c r="D4404" s="234" t="str">
        <f>IFERROR(__xludf.DUMMYFUNCTION("""COMPUTED_VALUE"""),"100/5")</f>
        <v>100/5</v>
      </c>
      <c r="E4404" s="237" t="str">
        <f>IFERROR(__xludf.DUMMYFUNCTION("""COMPUTED_VALUE"""),"LT0Q1901VK9M1")</f>
        <v>LT0Q1901VK9M1</v>
      </c>
      <c r="F4404" s="238" t="str">
        <f>IFERROR(__xludf.DUMMYFUNCTION("""COMPUTED_VALUE"""),"RYR9F74,TPW5D78")</f>
        <v>RYR9F74,TPW5D78</v>
      </c>
      <c r="G4404" s="238">
        <f>IFERROR(__xludf.DUMMYFUNCTION("""COMPUTED_VALUE"""),46031.91666666667)</f>
        <v>46031.91667</v>
      </c>
      <c r="H4404" s="238">
        <f>IFERROR(__xludf.DUMMYFUNCTION("""COMPUTED_VALUE"""),46032.29166666667)</f>
        <v>46032.29167</v>
      </c>
      <c r="I4404" s="237" t="str">
        <f t="shared" si="1"/>
        <v>Fora</v>
      </c>
      <c r="J4404" s="239">
        <v>539.0000000072177</v>
      </c>
    </row>
    <row r="4405">
      <c r="A4405" s="234" t="s">
        <v>5489</v>
      </c>
      <c r="B4405" s="234" t="str">
        <f>IFERROR(__xludf.DUMMYFUNCTION("""COMPUTED_VALUE"""),"SoC_BA_Simoes Filho")</f>
        <v>SoC_BA_Simoes Filho</v>
      </c>
      <c r="C4405" s="234" t="str">
        <f>IFERROR(__xludf.DUMMYFUNCTION("""COMPUTED_VALUE"""),"SOC-BA2")</f>
        <v>SOC-BA2</v>
      </c>
      <c r="D4405" s="234">
        <f>IFERROR(__xludf.DUMMYFUNCTION("""COMPUTED_VALUE"""),112.0)</f>
        <v>112</v>
      </c>
      <c r="E4405" s="237" t="str">
        <f>IFERROR(__xludf.DUMMYFUNCTION("""COMPUTED_VALUE"""),"LT0Q1901VLAI1")</f>
        <v>LT0Q1901VLAI1</v>
      </c>
      <c r="F4405" s="238" t="str">
        <f>IFERROR(__xludf.DUMMYFUNCTION("""COMPUTED_VALUE"""),"MME6B10,UDS6B48")</f>
        <v>MME6B10,UDS6B48</v>
      </c>
      <c r="G4405" s="238">
        <f>IFERROR(__xludf.DUMMYFUNCTION("""COMPUTED_VALUE"""),46031.91736111111)</f>
        <v>46031.91736</v>
      </c>
      <c r="H4405" s="238">
        <f>IFERROR(__xludf.DUMMYFUNCTION("""COMPUTED_VALUE"""),46032.29166666667)</f>
        <v>46032.29167</v>
      </c>
      <c r="I4405" s="237" t="str">
        <f t="shared" si="1"/>
        <v>Fora</v>
      </c>
      <c r="J4405" s="239">
        <v>539.0000000072177</v>
      </c>
    </row>
    <row r="4406">
      <c r="A4406" s="234" t="s">
        <v>5490</v>
      </c>
      <c r="B4406" s="234" t="str">
        <f>IFERROR(__xludf.DUMMYFUNCTION("""COMPUTED_VALUE"""),"SoC_MG_Betim")</f>
        <v>SoC_MG_Betim</v>
      </c>
      <c r="C4406" s="234" t="str">
        <f>IFERROR(__xludf.DUMMYFUNCTION("""COMPUTED_VALUE"""),"SOC-MG2")</f>
        <v>SOC-MG2</v>
      </c>
      <c r="D4406" s="234">
        <f>IFERROR(__xludf.DUMMYFUNCTION("""COMPUTED_VALUE"""),91.0)</f>
        <v>91</v>
      </c>
      <c r="E4406" s="237" t="str">
        <f>IFERROR(__xludf.DUMMYFUNCTION("""COMPUTED_VALUE"""),"LT0Q1901VFF71")</f>
        <v>LT0Q1901VFF71</v>
      </c>
      <c r="F4406" s="238" t="str">
        <f>IFERROR(__xludf.DUMMYFUNCTION("""COMPUTED_VALUE"""),"HHF9D77,KMJ3252")</f>
        <v>HHF9D77,KMJ3252</v>
      </c>
      <c r="G4406" s="238">
        <f>IFERROR(__xludf.DUMMYFUNCTION("""COMPUTED_VALUE"""),46031.91736111111)</f>
        <v>46031.91736</v>
      </c>
      <c r="H4406" s="238">
        <f>IFERROR(__xludf.DUMMYFUNCTION("""COMPUTED_VALUE"""),46032.29166666667)</f>
        <v>46032.29167</v>
      </c>
      <c r="I4406" s="237" t="str">
        <f t="shared" si="1"/>
        <v>Fora</v>
      </c>
      <c r="J4406" s="239">
        <v>539.0000000072177</v>
      </c>
    </row>
    <row r="4407">
      <c r="A4407" s="234" t="s">
        <v>786</v>
      </c>
      <c r="B4407" s="234" t="str">
        <f>IFERROR(__xludf.DUMMYFUNCTION("""COMPUTED_VALUE"""),"SoC_PE_Jaboatão dos Guararapes")</f>
        <v>SoC_PE_Jaboatão dos Guararapes</v>
      </c>
      <c r="C4407" s="234" t="str">
        <f>IFERROR(__xludf.DUMMYFUNCTION("""COMPUTED_VALUE"""),"SOC-PE2")</f>
        <v>SOC-PE2</v>
      </c>
      <c r="D4407" s="234">
        <f>IFERROR(__xludf.DUMMYFUNCTION("""COMPUTED_VALUE"""),5.0)</f>
        <v>5</v>
      </c>
      <c r="E4407" s="237" t="str">
        <f>IFERROR(__xludf.DUMMYFUNCTION("""COMPUTED_VALUE"""),"LT0Q1901VL711")</f>
        <v>LT0Q1901VL711</v>
      </c>
      <c r="F4407" s="238" t="str">
        <f>IFERROR(__xludf.DUMMYFUNCTION("""COMPUTED_VALUE"""),"FLT2E19,OVS6761")</f>
        <v>FLT2E19,OVS6761</v>
      </c>
      <c r="G4407" s="238">
        <f>IFERROR(__xludf.DUMMYFUNCTION("""COMPUTED_VALUE"""),46031.91736111111)</f>
        <v>46031.91736</v>
      </c>
      <c r="H4407" s="238">
        <f>IFERROR(__xludf.DUMMYFUNCTION("""COMPUTED_VALUE"""),46032.29166666667)</f>
        <v>46032.29167</v>
      </c>
      <c r="I4407" s="237" t="str">
        <f t="shared" si="1"/>
        <v>Fora</v>
      </c>
      <c r="J4407" s="239">
        <v>539.0000000072177</v>
      </c>
    </row>
    <row r="4408">
      <c r="A4408" s="234" t="s">
        <v>5491</v>
      </c>
      <c r="B4408" s="234" t="str">
        <f>IFERROR(__xludf.DUMMYFUNCTION("""COMPUTED_VALUE"""),"SoC_PE_Jaboatão dos Guararapes")</f>
        <v>SoC_PE_Jaboatão dos Guararapes</v>
      </c>
      <c r="C4408" s="234" t="str">
        <f>IFERROR(__xludf.DUMMYFUNCTION("""COMPUTED_VALUE"""),"SOC-PE2")</f>
        <v>SOC-PE2</v>
      </c>
      <c r="D4408" s="234">
        <f>IFERROR(__xludf.DUMMYFUNCTION("""COMPUTED_VALUE"""),98.0)</f>
        <v>98</v>
      </c>
      <c r="E4408" s="237" t="str">
        <f>IFERROR(__xludf.DUMMYFUNCTION("""COMPUTED_VALUE"""),"LT0Q1901VL732")</f>
        <v>LT0Q1901VL732</v>
      </c>
      <c r="F4408" s="238" t="str">
        <f>IFERROR(__xludf.DUMMYFUNCTION("""COMPUTED_VALUE"""),"AXM9B30,BAE7157")</f>
        <v>AXM9B30,BAE7157</v>
      </c>
      <c r="G4408" s="238">
        <f>IFERROR(__xludf.DUMMYFUNCTION("""COMPUTED_VALUE"""),46031.91736111111)</f>
        <v>46031.91736</v>
      </c>
      <c r="H4408" s="238">
        <f>IFERROR(__xludf.DUMMYFUNCTION("""COMPUTED_VALUE"""),46032.29166666667)</f>
        <v>46032.29167</v>
      </c>
      <c r="I4408" s="237" t="str">
        <f t="shared" si="1"/>
        <v>Fora</v>
      </c>
      <c r="J4408" s="239">
        <v>539.0000000072177</v>
      </c>
    </row>
    <row r="4409">
      <c r="A4409" s="234" t="s">
        <v>787</v>
      </c>
      <c r="B4409" s="234" t="str">
        <f>IFERROR(__xludf.DUMMYFUNCTION("""COMPUTED_VALUE"""),"SoC_RS_Gravataí_02")</f>
        <v>SoC_RS_Gravataí_02</v>
      </c>
      <c r="C4409" s="234" t="str">
        <f>IFERROR(__xludf.DUMMYFUNCTION("""COMPUTED_VALUE"""),"SOC-RS2")</f>
        <v>SOC-RS2</v>
      </c>
      <c r="D4409" s="234">
        <f>IFERROR(__xludf.DUMMYFUNCTION("""COMPUTED_VALUE"""),102.0)</f>
        <v>102</v>
      </c>
      <c r="E4409" s="237" t="str">
        <f>IFERROR(__xludf.DUMMYFUNCTION("""COMPUTED_VALUE"""),"LT0Q1901VLMJ1")</f>
        <v>LT0Q1901VLMJ1</v>
      </c>
      <c r="F4409" s="238" t="str">
        <f>IFERROR(__xludf.DUMMYFUNCTION("""COMPUTED_VALUE"""),"SWP1F91,SVT2B25")</f>
        <v>SWP1F91,SVT2B25</v>
      </c>
      <c r="G4409" s="238">
        <f>IFERROR(__xludf.DUMMYFUNCTION("""COMPUTED_VALUE"""),46031.91736111111)</f>
        <v>46031.91736</v>
      </c>
      <c r="H4409" s="238">
        <f>IFERROR(__xludf.DUMMYFUNCTION("""COMPUTED_VALUE"""),46032.29166666667)</f>
        <v>46032.29167</v>
      </c>
      <c r="I4409" s="237" t="str">
        <f t="shared" si="1"/>
        <v>Fora</v>
      </c>
      <c r="J4409" s="239">
        <v>539.0000000072177</v>
      </c>
    </row>
    <row r="4410">
      <c r="A4410" s="234" t="s">
        <v>788</v>
      </c>
      <c r="B4410" s="234" t="str">
        <f>IFERROR(__xludf.DUMMYFUNCTION("""COMPUTED_VALUE"""),"SoC_RS_Gravataí_02")</f>
        <v>SoC_RS_Gravataí_02</v>
      </c>
      <c r="C4410" s="234" t="str">
        <f>IFERROR(__xludf.DUMMYFUNCTION("""COMPUTED_VALUE"""),"SOC-RS2")</f>
        <v>SOC-RS2</v>
      </c>
      <c r="D4410" s="234">
        <f>IFERROR(__xludf.DUMMYFUNCTION("""COMPUTED_VALUE"""),25.0)</f>
        <v>25</v>
      </c>
      <c r="E4410" s="237" t="str">
        <f>IFERROR(__xludf.DUMMYFUNCTION("""COMPUTED_VALUE"""),"LT0Q1901VLML2")</f>
        <v>LT0Q1901VLML2</v>
      </c>
      <c r="F4410" s="238" t="str">
        <f>IFERROR(__xludf.DUMMYFUNCTION("""COMPUTED_VALUE"""),"JAB9D32,EKH7J93")</f>
        <v>JAB9D32,EKH7J93</v>
      </c>
      <c r="G4410" s="238">
        <f>IFERROR(__xludf.DUMMYFUNCTION("""COMPUTED_VALUE"""),46031.91736111111)</f>
        <v>46031.91736</v>
      </c>
      <c r="H4410" s="238">
        <f>IFERROR(__xludf.DUMMYFUNCTION("""COMPUTED_VALUE"""),46032.29166666667)</f>
        <v>46032.29167</v>
      </c>
      <c r="I4410" s="237" t="str">
        <f t="shared" si="1"/>
        <v>Fora</v>
      </c>
      <c r="J4410" s="239">
        <v>539.0000000072177</v>
      </c>
    </row>
    <row r="4411">
      <c r="A4411" s="234" t="s">
        <v>5492</v>
      </c>
      <c r="B4411" s="234" t="str">
        <f>IFERROR(__xludf.DUMMYFUNCTION("""COMPUTED_VALUE"""),"SoC_SP_Cravinhos")</f>
        <v>SoC_SP_Cravinhos</v>
      </c>
      <c r="C4411" s="234" t="str">
        <f>IFERROR(__xludf.DUMMYFUNCTION("""COMPUTED_VALUE"""),"SOC-SP5")</f>
        <v>SOC-SP5</v>
      </c>
      <c r="D4411" s="234">
        <f>IFERROR(__xludf.DUMMYFUNCTION("""COMPUTED_VALUE"""),94.0)</f>
        <v>94</v>
      </c>
      <c r="E4411" s="237" t="str">
        <f>IFERROR(__xludf.DUMMYFUNCTION("""COMPUTED_VALUE"""),"LT0Q1901VFGL1")</f>
        <v>LT0Q1901VFGL1</v>
      </c>
      <c r="F4411" s="238" t="str">
        <f>IFERROR(__xludf.DUMMYFUNCTION("""COMPUTED_VALUE"""),"NZO6H45,DBC7421")</f>
        <v>NZO6H45,DBC7421</v>
      </c>
      <c r="G4411" s="238">
        <f>IFERROR(__xludf.DUMMYFUNCTION("""COMPUTED_VALUE"""),46031.91736111111)</f>
        <v>46031.91736</v>
      </c>
      <c r="H4411" s="238">
        <f>IFERROR(__xludf.DUMMYFUNCTION("""COMPUTED_VALUE"""),46032.29166666667)</f>
        <v>46032.29167</v>
      </c>
      <c r="I4411" s="237" t="str">
        <f t="shared" si="1"/>
        <v>Fora</v>
      </c>
      <c r="J4411" s="239">
        <v>538.0000000144355</v>
      </c>
    </row>
    <row r="4412">
      <c r="A4412" s="234" t="s">
        <v>790</v>
      </c>
      <c r="B4412" s="234" t="str">
        <f>IFERROR(__xludf.DUMMYFUNCTION("""COMPUTED_VALUE"""),"SoC_RJ_Duque de Caxias")</f>
        <v>SoC_RJ_Duque de Caxias</v>
      </c>
      <c r="C4412" s="234" t="str">
        <f>IFERROR(__xludf.DUMMYFUNCTION("""COMPUTED_VALUE"""),"SOC-RJ2")</f>
        <v>SOC-RJ2</v>
      </c>
      <c r="D4412" s="234">
        <f>IFERROR(__xludf.DUMMYFUNCTION("""COMPUTED_VALUE"""),97.0)</f>
        <v>97</v>
      </c>
      <c r="E4412" s="237" t="str">
        <f>IFERROR(__xludf.DUMMYFUNCTION("""COMPUTED_VALUE"""),"LT0Q1901VRR21")</f>
        <v>LT0Q1901VRR21</v>
      </c>
      <c r="F4412" s="238" t="str">
        <f>IFERROR(__xludf.DUMMYFUNCTION("""COMPUTED_VALUE"""),"HBZ5F88,KPW6C08")</f>
        <v>HBZ5F88,KPW6C08</v>
      </c>
      <c r="G4412" s="238">
        <f>IFERROR(__xludf.DUMMYFUNCTION("""COMPUTED_VALUE"""),46031.91805555555)</f>
        <v>46031.91806</v>
      </c>
      <c r="H4412" s="238">
        <f>IFERROR(__xludf.DUMMYFUNCTION("""COMPUTED_VALUE"""),46032.29166666667)</f>
        <v>46032.29167</v>
      </c>
      <c r="I4412" s="237" t="str">
        <f t="shared" si="1"/>
        <v>Fora</v>
      </c>
      <c r="J4412" s="239">
        <v>120.00000001396984</v>
      </c>
    </row>
    <row r="4413">
      <c r="A4413" s="234" t="s">
        <v>5493</v>
      </c>
      <c r="B4413" s="234" t="str">
        <f>IFERROR(__xludf.DUMMYFUNCTION("""COMPUTED_VALUE"""),"LM Hub_SP_Barueri_01")</f>
        <v>LM Hub_SP_Barueri_01</v>
      </c>
      <c r="C4413" s="234" t="str">
        <f>IFERROR(__xludf.DUMMYFUNCTION("""COMPUTED_VALUE"""),"HUB-LSP-81")</f>
        <v>HUB-LSP-81</v>
      </c>
      <c r="D4413" s="234">
        <f>IFERROR(__xludf.DUMMYFUNCTION("""COMPUTED_VALUE"""),13.0)</f>
        <v>13</v>
      </c>
      <c r="E4413" s="237" t="str">
        <f>IFERROR(__xludf.DUMMYFUNCTION("""COMPUTED_VALUE"""),"LT0Q1A01VKXB1")</f>
        <v>LT0Q1A01VKXB1</v>
      </c>
      <c r="F4413" s="238" t="str">
        <f>IFERROR(__xludf.DUMMYFUNCTION("""COMPUTED_VALUE"""),"FBH4883")</f>
        <v>FBH4883</v>
      </c>
      <c r="G4413" s="238">
        <f>IFERROR(__xludf.DUMMYFUNCTION("""COMPUTED_VALUE"""),46032.20833333333)</f>
        <v>46032.20833</v>
      </c>
      <c r="H4413" s="238">
        <f>IFERROR(__xludf.DUMMYFUNCTION("""COMPUTED_VALUE"""),46032.29166666667)</f>
        <v>46032.29167</v>
      </c>
      <c r="I4413" s="237" t="str">
        <f t="shared" si="1"/>
        <v>Fora</v>
      </c>
      <c r="J4413" s="239">
        <v>120.00000001396984</v>
      </c>
    </row>
    <row r="4414">
      <c r="A4414" s="234" t="s">
        <v>791</v>
      </c>
      <c r="B4414" s="234" t="str">
        <f>IFERROR(__xludf.DUMMYFUNCTION("""COMPUTED_VALUE"""),"LM Hub_SP_Jundiaí")</f>
        <v>LM Hub_SP_Jundiaí</v>
      </c>
      <c r="C4414" s="234" t="str">
        <f>IFERROR(__xludf.DUMMYFUNCTION("""COMPUTED_VALUE"""),"HUB-LSP-100")</f>
        <v>HUB-LSP-100</v>
      </c>
      <c r="D4414" s="234">
        <f>IFERROR(__xludf.DUMMYFUNCTION("""COMPUTED_VALUE"""),27.0)</f>
        <v>27</v>
      </c>
      <c r="E4414" s="237" t="str">
        <f>IFERROR(__xludf.DUMMYFUNCTION("""COMPUTED_VALUE"""),"LT0Q1A01VMD91")</f>
        <v>LT0Q1A01VMD91</v>
      </c>
      <c r="F4414" s="238" t="str">
        <f>IFERROR(__xludf.DUMMYFUNCTION("""COMPUTED_VALUE"""),"TBX6D09")</f>
        <v>TBX6D09</v>
      </c>
      <c r="G4414" s="238">
        <f>IFERROR(__xludf.DUMMYFUNCTION("""COMPUTED_VALUE"""),46032.20833333333)</f>
        <v>46032.20833</v>
      </c>
      <c r="H4414" s="238">
        <f>IFERROR(__xludf.DUMMYFUNCTION("""COMPUTED_VALUE"""),46032.29166666667)</f>
        <v>46032.29167</v>
      </c>
      <c r="I4414" s="237" t="str">
        <f t="shared" si="1"/>
        <v>Fora</v>
      </c>
      <c r="J4414" s="239">
        <v>120.00000001396984</v>
      </c>
    </row>
    <row r="4415">
      <c r="A4415" s="234" t="s">
        <v>792</v>
      </c>
      <c r="B4415" s="234" t="str">
        <f>IFERROR(__xludf.DUMMYFUNCTION("""COMPUTED_VALUE"""),"LM Hub_SP_Jurubatuba")</f>
        <v>LM Hub_SP_Jurubatuba</v>
      </c>
      <c r="C4415" s="234" t="str">
        <f>IFERROR(__xludf.DUMMYFUNCTION("""COMPUTED_VALUE"""),"HUB-LSP-16")</f>
        <v>HUB-LSP-16</v>
      </c>
      <c r="D4415" s="234">
        <f>IFERROR(__xludf.DUMMYFUNCTION("""COMPUTED_VALUE"""),35.0)</f>
        <v>35</v>
      </c>
      <c r="E4415" s="237" t="str">
        <f>IFERROR(__xludf.DUMMYFUNCTION("""COMPUTED_VALUE"""),"LT0Q1A01VGMP1")</f>
        <v>LT0Q1A01VGMP1</v>
      </c>
      <c r="F4415" s="238" t="str">
        <f>IFERROR(__xludf.DUMMYFUNCTION("""COMPUTED_VALUE"""),"EMN6E91")</f>
        <v>EMN6E91</v>
      </c>
      <c r="G4415" s="238">
        <f>IFERROR(__xludf.DUMMYFUNCTION("""COMPUTED_VALUE"""),46032.20833333333)</f>
        <v>46032.20833</v>
      </c>
      <c r="H4415" s="238">
        <f>IFERROR(__xludf.DUMMYFUNCTION("""COMPUTED_VALUE"""),46032.29166666667)</f>
        <v>46032.29167</v>
      </c>
      <c r="I4415" s="237" t="str">
        <f t="shared" si="1"/>
        <v>Fora</v>
      </c>
      <c r="J4415" s="239">
        <v>120.00000001396984</v>
      </c>
    </row>
    <row r="4416">
      <c r="A4416" s="234" t="s">
        <v>793</v>
      </c>
      <c r="B4416" s="234" t="str">
        <f>IFERROR(__xludf.DUMMYFUNCTION("""COMPUTED_VALUE"""),"LM Hub_SP_Piracicaba")</f>
        <v>LM Hub_SP_Piracicaba</v>
      </c>
      <c r="C4416" s="234" t="str">
        <f>IFERROR(__xludf.DUMMYFUNCTION("""COMPUTED_VALUE"""),"HUB-LSP-62")</f>
        <v>HUB-LSP-62</v>
      </c>
      <c r="D4416" s="234"/>
      <c r="E4416" s="237" t="str">
        <f>IFERROR(__xludf.DUMMYFUNCTION("""COMPUTED_VALUE"""),"LT0Q1A01VG7Q1")</f>
        <v>LT0Q1A01VG7Q1</v>
      </c>
      <c r="F4416" s="238" t="str">
        <f>IFERROR(__xludf.DUMMYFUNCTION("""COMPUTED_VALUE"""),"OMY3I62")</f>
        <v>OMY3I62</v>
      </c>
      <c r="G4416" s="238">
        <f>IFERROR(__xludf.DUMMYFUNCTION("""COMPUTED_VALUE"""),46032.20833333333)</f>
        <v>46032.20833</v>
      </c>
      <c r="H4416" s="238">
        <f>IFERROR(__xludf.DUMMYFUNCTION("""COMPUTED_VALUE"""),46032.29166666667)</f>
        <v>46032.29167</v>
      </c>
      <c r="I4416" s="237" t="str">
        <f t="shared" si="1"/>
        <v>Fora</v>
      </c>
      <c r="J4416" s="239">
        <v>118.00000000745058</v>
      </c>
    </row>
    <row r="4417">
      <c r="A4417" s="234" t="s">
        <v>794</v>
      </c>
      <c r="B4417" s="234" t="str">
        <f>IFERROR(__xludf.DUMMYFUNCTION("""COMPUTED_VALUE"""),"LM Hub_SP_Jurubatuba")</f>
        <v>LM Hub_SP_Jurubatuba</v>
      </c>
      <c r="C4417" s="234" t="str">
        <f>IFERROR(__xludf.DUMMYFUNCTION("""COMPUTED_VALUE"""),"HUB-LSP-16")</f>
        <v>HUB-LSP-16</v>
      </c>
      <c r="D4417" s="234">
        <f>IFERROR(__xludf.DUMMYFUNCTION("""COMPUTED_VALUE"""),17.0)</f>
        <v>17</v>
      </c>
      <c r="E4417" s="237" t="str">
        <f>IFERROR(__xludf.DUMMYFUNCTION("""COMPUTED_VALUE"""),"LT0Q1A01VGMU1")</f>
        <v>LT0Q1A01VGMU1</v>
      </c>
      <c r="F4417" s="238" t="str">
        <f>IFERROR(__xludf.DUMMYFUNCTION("""COMPUTED_VALUE"""),"CUA7C61,FPW0F14")</f>
        <v>CUA7C61,FPW0F14</v>
      </c>
      <c r="G4417" s="238">
        <f>IFERROR(__xludf.DUMMYFUNCTION("""COMPUTED_VALUE"""),46032.20972222222)</f>
        <v>46032.20972</v>
      </c>
      <c r="H4417" s="238">
        <f>IFERROR(__xludf.DUMMYFUNCTION("""COMPUTED_VALUE"""),46032.29166666667)</f>
        <v>46032.29167</v>
      </c>
      <c r="I4417" s="237" t="str">
        <f t="shared" si="1"/>
        <v>Fora</v>
      </c>
      <c r="J4417" s="239">
        <v>60.00000000698492</v>
      </c>
    </row>
    <row r="4418">
      <c r="A4418" s="234" t="s">
        <v>795</v>
      </c>
      <c r="B4418" s="234" t="str">
        <f>IFERROR(__xludf.DUMMYFUNCTION("""COMPUTED_VALUE"""),"LM Hub_SP_Mauá")</f>
        <v>LM Hub_SP_Mauá</v>
      </c>
      <c r="C4418" s="234" t="str">
        <f>IFERROR(__xludf.DUMMYFUNCTION("""COMPUTED_VALUE"""),"HUB-LSP-64")</f>
        <v>HUB-LSP-64</v>
      </c>
      <c r="D4418" s="234">
        <f>IFERROR(__xludf.DUMMYFUNCTION("""COMPUTED_VALUE"""),15.0)</f>
        <v>15</v>
      </c>
      <c r="E4418" s="237" t="str">
        <f>IFERROR(__xludf.DUMMYFUNCTION("""COMPUTED_VALUE"""),"LT0Q1A01VRFG1")</f>
        <v>LT0Q1A01VRFG1</v>
      </c>
      <c r="F4418" s="238" t="str">
        <f>IFERROR(__xludf.DUMMYFUNCTION("""COMPUTED_VALUE"""),"PQV0E87")</f>
        <v>PQV0E87</v>
      </c>
      <c r="G4418" s="238">
        <f>IFERROR(__xludf.DUMMYFUNCTION("""COMPUTED_VALUE"""),46032.25)</f>
        <v>46032.25</v>
      </c>
      <c r="H4418" s="238">
        <f>IFERROR(__xludf.DUMMYFUNCTION("""COMPUTED_VALUE"""),46032.29166666667)</f>
        <v>46032.29167</v>
      </c>
      <c r="I4418" s="237" t="str">
        <f t="shared" si="1"/>
        <v>Fora</v>
      </c>
      <c r="J4418" s="239">
        <v>119.99999999301508</v>
      </c>
    </row>
    <row r="4419">
      <c r="A4419" s="234" t="s">
        <v>796</v>
      </c>
      <c r="B4419" s="234" t="str">
        <f>IFERROR(__xludf.DUMMYFUNCTION("""COMPUTED_VALUE"""),"LM Hub_SP_Guarujá")</f>
        <v>LM Hub_SP_Guarujá</v>
      </c>
      <c r="C4419" s="234" t="str">
        <f>IFERROR(__xludf.DUMMYFUNCTION("""COMPUTED_VALUE"""),"HUB-LSP-06")</f>
        <v>HUB-LSP-06</v>
      </c>
      <c r="D4419" s="234">
        <f>IFERROR(__xludf.DUMMYFUNCTION("""COMPUTED_VALUE"""),34.0)</f>
        <v>34</v>
      </c>
      <c r="E4419" s="237" t="str">
        <f>IFERROR(__xludf.DUMMYFUNCTION("""COMPUTED_VALUE"""),"LT0Q1A01VGNH1")</f>
        <v>LT0Q1A01VGNH1</v>
      </c>
      <c r="F4419" s="238" t="str">
        <f>IFERROR(__xludf.DUMMYFUNCTION("""COMPUTED_VALUE"""),"SVL5H32")</f>
        <v>SVL5H32</v>
      </c>
      <c r="G4419" s="238">
        <f>IFERROR(__xludf.DUMMYFUNCTION("""COMPUTED_VALUE"""),46032.22916666667)</f>
        <v>46032.22917</v>
      </c>
      <c r="H4419" s="238">
        <f>IFERROR(__xludf.DUMMYFUNCTION("""COMPUTED_VALUE"""),46032.3125)</f>
        <v>46032.3125</v>
      </c>
      <c r="I4419" s="237" t="str">
        <f t="shared" si="1"/>
        <v>Fora</v>
      </c>
      <c r="J4419" s="239">
        <v>119.99999999301508</v>
      </c>
    </row>
    <row r="4420">
      <c r="A4420" s="234" t="s">
        <v>797</v>
      </c>
      <c r="B4420" s="234" t="str">
        <f>IFERROR(__xludf.DUMMYFUNCTION("""COMPUTED_VALUE"""),"LM Hub_SP_Itapevi")</f>
        <v>LM Hub_SP_Itapevi</v>
      </c>
      <c r="C4420" s="234" t="str">
        <f>IFERROR(__xludf.DUMMYFUNCTION("""COMPUTED_VALUE"""),"HUB-LSP-41")</f>
        <v>HUB-LSP-41</v>
      </c>
      <c r="D4420" s="234"/>
      <c r="E4420" s="237" t="str">
        <f>IFERROR(__xludf.DUMMYFUNCTION("""COMPUTED_VALUE"""),"LT0Q1A01VQZV1")</f>
        <v>LT0Q1A01VQZV1</v>
      </c>
      <c r="F4420" s="238" t="str">
        <f>IFERROR(__xludf.DUMMYFUNCTION("""COMPUTED_VALUE"""),"RYF5C99")</f>
        <v>RYF5C99</v>
      </c>
      <c r="G4420" s="238">
        <f>IFERROR(__xludf.DUMMYFUNCTION("""COMPUTED_VALUE"""),46032.22916666667)</f>
        <v>46032.22917</v>
      </c>
      <c r="H4420" s="238">
        <f>IFERROR(__xludf.DUMMYFUNCTION("""COMPUTED_VALUE"""),46032.3125)</f>
        <v>46032.3125</v>
      </c>
      <c r="I4420" s="237" t="str">
        <f t="shared" si="1"/>
        <v>Fora</v>
      </c>
      <c r="J4420" s="239">
        <v>119.99999999301508</v>
      </c>
    </row>
    <row r="4421">
      <c r="A4421" s="234" t="s">
        <v>798</v>
      </c>
      <c r="B4421" s="234" t="str">
        <f>IFERROR(__xludf.DUMMYFUNCTION("""COMPUTED_VALUE"""),"LM Hub_SP_Itaqua_Zimba")</f>
        <v>LM Hub_SP_Itaqua_Zimba</v>
      </c>
      <c r="C4421" s="234" t="str">
        <f>IFERROR(__xludf.DUMMYFUNCTION("""COMPUTED_VALUE"""),"HUB-LSP-74")</f>
        <v>HUB-LSP-74</v>
      </c>
      <c r="D4421" s="234">
        <f>IFERROR(__xludf.DUMMYFUNCTION("""COMPUTED_VALUE"""),28.0)</f>
        <v>28</v>
      </c>
      <c r="E4421" s="237" t="str">
        <f>IFERROR(__xludf.DUMMYFUNCTION("""COMPUTED_VALUE"""),"LT0Q1A01VGNC1")</f>
        <v>LT0Q1A01VGNC1</v>
      </c>
      <c r="F4421" s="238" t="str">
        <f>IFERROR(__xludf.DUMMYFUNCTION("""COMPUTED_VALUE"""),"DVA3A62,DBC7D61")</f>
        <v>DVA3A62,DBC7D61</v>
      </c>
      <c r="G4421" s="238">
        <f>IFERROR(__xludf.DUMMYFUNCTION("""COMPUTED_VALUE"""),46032.22916666667)</f>
        <v>46032.22917</v>
      </c>
      <c r="H4421" s="238">
        <f>IFERROR(__xludf.DUMMYFUNCTION("""COMPUTED_VALUE"""),46032.3125)</f>
        <v>46032.3125</v>
      </c>
      <c r="I4421" s="237" t="str">
        <f t="shared" si="1"/>
        <v>Fora</v>
      </c>
      <c r="J4421" s="239">
        <v>119.99999999301508</v>
      </c>
    </row>
    <row r="4422">
      <c r="A4422" s="234" t="s">
        <v>799</v>
      </c>
      <c r="B4422" s="234" t="str">
        <f>IFERROR(__xludf.DUMMYFUNCTION("""COMPUTED_VALUE"""),"LM Hub_SP_Santos_Praia Grande")</f>
        <v>LM Hub_SP_Santos_Praia Grande</v>
      </c>
      <c r="C4422" s="234" t="str">
        <f>IFERROR(__xludf.DUMMYFUNCTION("""COMPUTED_VALUE"""),"HUB-LSP-09")</f>
        <v>HUB-LSP-09</v>
      </c>
      <c r="D4422" s="234">
        <f>IFERROR(__xludf.DUMMYFUNCTION("""COMPUTED_VALUE"""),29.0)</f>
        <v>29</v>
      </c>
      <c r="E4422" s="237" t="str">
        <f>IFERROR(__xludf.DUMMYFUNCTION("""COMPUTED_VALUE"""),"LT0Q1A01VGNM1")</f>
        <v>LT0Q1A01VGNM1</v>
      </c>
      <c r="F4422" s="238" t="str">
        <f>IFERROR(__xludf.DUMMYFUNCTION("""COMPUTED_VALUE"""),"GEJ6E62")</f>
        <v>GEJ6E62</v>
      </c>
      <c r="G4422" s="238">
        <f>IFERROR(__xludf.DUMMYFUNCTION("""COMPUTED_VALUE"""),46032.22916666667)</f>
        <v>46032.22917</v>
      </c>
      <c r="H4422" s="238">
        <f>IFERROR(__xludf.DUMMYFUNCTION("""COMPUTED_VALUE"""),46032.3125)</f>
        <v>46032.3125</v>
      </c>
      <c r="I4422" s="237" t="str">
        <f t="shared" si="1"/>
        <v>Fora</v>
      </c>
      <c r="J4422" s="239">
        <v>119.00000000023283</v>
      </c>
    </row>
    <row r="4423">
      <c r="A4423" s="234" t="s">
        <v>5494</v>
      </c>
      <c r="B4423" s="234" t="str">
        <f>IFERROR(__xludf.DUMMYFUNCTION("""COMPUTED_VALUE"""),"LM Hub_SP_São Paulo_Mooca")</f>
        <v>LM Hub_SP_São Paulo_Mooca</v>
      </c>
      <c r="C4423" s="234" t="str">
        <f>IFERROR(__xludf.DUMMYFUNCTION("""COMPUTED_VALUE"""),"HUB-LSP-13")</f>
        <v>HUB-LSP-13</v>
      </c>
      <c r="D4423" s="234">
        <f>IFERROR(__xludf.DUMMYFUNCTION("""COMPUTED_VALUE"""),12.0)</f>
        <v>12</v>
      </c>
      <c r="E4423" s="237" t="str">
        <f>IFERROR(__xludf.DUMMYFUNCTION("""COMPUTED_VALUE"""),"LT0Q1A01VRF51")</f>
        <v>LT0Q1A01VRF51</v>
      </c>
      <c r="F4423" s="238" t="str">
        <f>IFERROR(__xludf.DUMMYFUNCTION("""COMPUTED_VALUE"""),"PEP9J38")</f>
        <v>PEP9J38</v>
      </c>
      <c r="G4423" s="238">
        <f>IFERROR(__xludf.DUMMYFUNCTION("""COMPUTED_VALUE"""),46032.22986111111)</f>
        <v>46032.22986</v>
      </c>
      <c r="H4423" s="238">
        <f>IFERROR(__xludf.DUMMYFUNCTION("""COMPUTED_VALUE"""),46032.3125)</f>
        <v>46032.3125</v>
      </c>
      <c r="I4423" s="237" t="str">
        <f t="shared" si="1"/>
        <v>Fora</v>
      </c>
      <c r="J4423" s="239">
        <v>119.99999999301508</v>
      </c>
    </row>
    <row r="4424">
      <c r="A4424" s="234" t="s">
        <v>800</v>
      </c>
      <c r="B4424" s="234" t="str">
        <f>IFERROR(__xludf.DUMMYFUNCTION("""COMPUTED_VALUE"""),"LM Hub_SP_Suzano_Baruel")</f>
        <v>LM Hub_SP_Suzano_Baruel</v>
      </c>
      <c r="C4424" s="234" t="str">
        <f>IFERROR(__xludf.DUMMYFUNCTION("""COMPUTED_VALUE"""),"HUB-LSP-97")</f>
        <v>HUB-LSP-97</v>
      </c>
      <c r="D4424" s="234"/>
      <c r="E4424" s="237" t="str">
        <f>IFERROR(__xludf.DUMMYFUNCTION("""COMPUTED_VALUE"""),"LT0Q1A01VMSL1")</f>
        <v>LT0Q1A01VMSL1</v>
      </c>
      <c r="F4424" s="238" t="str">
        <f>IFERROR(__xludf.DUMMYFUNCTION("""COMPUTED_VALUE"""),"EGJ9547")</f>
        <v>EGJ9547</v>
      </c>
      <c r="G4424" s="238">
        <f>IFERROR(__xludf.DUMMYFUNCTION("""COMPUTED_VALUE"""),46032.22916666667)</f>
        <v>46032.22917</v>
      </c>
      <c r="H4424" s="238">
        <f>IFERROR(__xludf.DUMMYFUNCTION("""COMPUTED_VALUE"""),46032.3125)</f>
        <v>46032.3125</v>
      </c>
      <c r="I4424" s="237" t="str">
        <f t="shared" si="1"/>
        <v>Fora</v>
      </c>
      <c r="J4424" s="239">
        <v>119.99999999301508</v>
      </c>
    </row>
    <row r="4425">
      <c r="A4425" s="234" t="s">
        <v>801</v>
      </c>
      <c r="B4425" s="234" t="str">
        <f>IFERROR(__xludf.DUMMYFUNCTION("""COMPUTED_VALUE"""),"LM Hub_SP_VilaGuilherme")</f>
        <v>LM Hub_SP_VilaGuilherme</v>
      </c>
      <c r="C4425" s="234" t="str">
        <f>IFERROR(__xludf.DUMMYFUNCTION("""COMPUTED_VALUE"""),"HUB-LSP-68")</f>
        <v>HUB-LSP-68</v>
      </c>
      <c r="D4425" s="234">
        <f>IFERROR(__xludf.DUMMYFUNCTION("""COMPUTED_VALUE"""),45.0)</f>
        <v>45</v>
      </c>
      <c r="E4425" s="237" t="str">
        <f>IFERROR(__xludf.DUMMYFUNCTION("""COMPUTED_VALUE"""),"LT0Q1A01VRFO1")</f>
        <v>LT0Q1A01VRFO1</v>
      </c>
      <c r="F4425" s="238" t="str">
        <f>IFERROR(__xludf.DUMMYFUNCTION("""COMPUTED_VALUE"""),"OOA7H79")</f>
        <v>OOA7H79</v>
      </c>
      <c r="G4425" s="238">
        <f>IFERROR(__xludf.DUMMYFUNCTION("""COMPUTED_VALUE"""),46032.25)</f>
        <v>46032.25</v>
      </c>
      <c r="H4425" s="238">
        <f>IFERROR(__xludf.DUMMYFUNCTION("""COMPUTED_VALUE"""),46032.33333333333)</f>
        <v>46032.33333</v>
      </c>
      <c r="I4425" s="237" t="str">
        <f t="shared" si="1"/>
        <v>Fora</v>
      </c>
      <c r="J4425" s="239">
        <v>119.00000000023283</v>
      </c>
    </row>
    <row r="4426">
      <c r="A4426" s="234" t="s">
        <v>802</v>
      </c>
      <c r="B4426" s="234" t="str">
        <f>IFERROR(__xludf.DUMMYFUNCTION("""COMPUTED_VALUE"""),"LM Hub_SP_São Paulo_Carandiru")</f>
        <v>LM Hub_SP_São Paulo_Carandiru</v>
      </c>
      <c r="C4426" s="234" t="str">
        <f>IFERROR(__xludf.DUMMYFUNCTION("""COMPUTED_VALUE"""),"HUB-LSP-18")</f>
        <v>HUB-LSP-18</v>
      </c>
      <c r="D4426" s="234">
        <f>IFERROR(__xludf.DUMMYFUNCTION("""COMPUTED_VALUE"""),39.0)</f>
        <v>39</v>
      </c>
      <c r="E4426" s="237" t="str">
        <f>IFERROR(__xludf.DUMMYFUNCTION("""COMPUTED_VALUE"""),"LT0Q1A01VGN21")</f>
        <v>LT0Q1A01VGN21</v>
      </c>
      <c r="F4426" s="238" t="str">
        <f>IFERROR(__xludf.DUMMYFUNCTION("""COMPUTED_VALUE"""),"FZJ9H38")</f>
        <v>FZJ9H38</v>
      </c>
      <c r="G4426" s="238">
        <f>IFERROR(__xludf.DUMMYFUNCTION("""COMPUTED_VALUE"""),46032.29236111111)</f>
        <v>46032.29236</v>
      </c>
      <c r="H4426" s="238">
        <f>IFERROR(__xludf.DUMMYFUNCTION("""COMPUTED_VALUE"""),46032.375)</f>
        <v>46032.375</v>
      </c>
      <c r="I4426" s="237" t="str">
        <f t="shared" si="1"/>
        <v>Fora</v>
      </c>
      <c r="J4426" s="239">
        <v>540.0</v>
      </c>
    </row>
    <row r="4427">
      <c r="A4427" s="234" t="s">
        <v>803</v>
      </c>
      <c r="B4427" s="234" t="str">
        <f>IFERROR(__xludf.DUMMYFUNCTION("""COMPUTED_VALUE"""),"SoC_BA_Simoes Filho")</f>
        <v>SoC_BA_Simoes Filho</v>
      </c>
      <c r="C4427" s="234" t="str">
        <f>IFERROR(__xludf.DUMMYFUNCTION("""COMPUTED_VALUE"""),"SOC-BA2")</f>
        <v>SOC-BA2</v>
      </c>
      <c r="D4427" s="234">
        <f>IFERROR(__xludf.DUMMYFUNCTION("""COMPUTED_VALUE"""),89.0)</f>
        <v>89</v>
      </c>
      <c r="E4427" s="237" t="str">
        <f>IFERROR(__xludf.DUMMYFUNCTION("""COMPUTED_VALUE"""),"LT0Q1901VLA92")</f>
        <v>LT0Q1901VLA92</v>
      </c>
      <c r="F4427" s="238" t="str">
        <f>IFERROR(__xludf.DUMMYFUNCTION("""COMPUTED_VALUE"""),"EVD4730,CZB5477")</f>
        <v>EVD4730,CZB5477</v>
      </c>
      <c r="G4427" s="238">
        <f>IFERROR(__xludf.DUMMYFUNCTION("""COMPUTED_VALUE"""),46032.0)</f>
        <v>46032</v>
      </c>
      <c r="H4427" s="238">
        <f>IFERROR(__xludf.DUMMYFUNCTION("""COMPUTED_VALUE"""),46032.375)</f>
        <v>46032.375</v>
      </c>
      <c r="I4427" s="237" t="str">
        <f t="shared" si="1"/>
        <v>Fora</v>
      </c>
      <c r="J4427" s="239">
        <v>540.0</v>
      </c>
    </row>
    <row r="4428">
      <c r="A4428" s="234" t="s">
        <v>804</v>
      </c>
      <c r="B4428" s="234" t="str">
        <f>IFERROR(__xludf.DUMMYFUNCTION("""COMPUTED_VALUE"""),"SoC_MG_Betim")</f>
        <v>SoC_MG_Betim</v>
      </c>
      <c r="C4428" s="234" t="str">
        <f>IFERROR(__xludf.DUMMYFUNCTION("""COMPUTED_VALUE"""),"SOC-MG2")</f>
        <v>SOC-MG2</v>
      </c>
      <c r="D4428" s="234"/>
      <c r="E4428" s="237" t="str">
        <f>IFERROR(__xludf.DUMMYFUNCTION("""COMPUTED_VALUE"""),"LT1Q1901W6U51")</f>
        <v>LT1Q1901W6U51</v>
      </c>
      <c r="F4428" s="238" t="str">
        <f>IFERROR(__xludf.DUMMYFUNCTION("""COMPUTED_VALUE"""),"JCO4D00,BAP2D20")</f>
        <v>JCO4D00,BAP2D20</v>
      </c>
      <c r="G4428" s="238">
        <f>IFERROR(__xludf.DUMMYFUNCTION("""COMPUTED_VALUE"""),46032.0)</f>
        <v>46032</v>
      </c>
      <c r="H4428" s="238">
        <f>IFERROR(__xludf.DUMMYFUNCTION("""COMPUTED_VALUE"""),46032.375)</f>
        <v>46032.375</v>
      </c>
      <c r="I4428" s="237" t="str">
        <f t="shared" si="1"/>
        <v>Fora</v>
      </c>
      <c r="J4428" s="239">
        <v>540.0</v>
      </c>
    </row>
    <row r="4429">
      <c r="A4429" s="234" t="s">
        <v>805</v>
      </c>
      <c r="B4429" s="234" t="str">
        <f>IFERROR(__xludf.DUMMYFUNCTION("""COMPUTED_VALUE"""),"SoC_BA_Simoes Filho")</f>
        <v>SoC_BA_Simoes Filho</v>
      </c>
      <c r="C4429" s="234" t="str">
        <f>IFERROR(__xludf.DUMMYFUNCTION("""COMPUTED_VALUE"""),"SOC-BA2")</f>
        <v>SOC-BA2</v>
      </c>
      <c r="D4429" s="234"/>
      <c r="E4429" s="237" t="str">
        <f>IFERROR(__xludf.DUMMYFUNCTION("""COMPUTED_VALUE"""),"LT0Q1901VLA71")</f>
        <v>LT0Q1901VLA71</v>
      </c>
      <c r="F4429" s="238" t="str">
        <f>IFERROR(__xludf.DUMMYFUNCTION("""COMPUTED_VALUE"""),"HGJ5D22,TXO0D11")</f>
        <v>HGJ5D22,TXO0D11</v>
      </c>
      <c r="G4429" s="238">
        <f>IFERROR(__xludf.DUMMYFUNCTION("""COMPUTED_VALUE"""),46032.04166666667)</f>
        <v>46032.04167</v>
      </c>
      <c r="H4429" s="238">
        <f>IFERROR(__xludf.DUMMYFUNCTION("""COMPUTED_VALUE"""),46032.41666666667)</f>
        <v>46032.41667</v>
      </c>
      <c r="I4429" s="237" t="str">
        <f t="shared" si="1"/>
        <v>Fora</v>
      </c>
      <c r="J4429" s="239">
        <v>538.9999999967404</v>
      </c>
    </row>
    <row r="4430">
      <c r="A4430" s="234" t="s">
        <v>5495</v>
      </c>
      <c r="B4430" s="234" t="str">
        <f>IFERROR(__xludf.DUMMYFUNCTION("""COMPUTED_VALUE"""),"SoC_BA_Simoes Filho")</f>
        <v>SoC_BA_Simoes Filho</v>
      </c>
      <c r="C4430" s="234" t="str">
        <f>IFERROR(__xludf.DUMMYFUNCTION("""COMPUTED_VALUE"""),"SOC-BA2")</f>
        <v>SOC-BA2</v>
      </c>
      <c r="D4430" s="234"/>
      <c r="E4430" s="237" t="str">
        <f>IFERROR(__xludf.DUMMYFUNCTION("""COMPUTED_VALUE"""),"LT0Q1901VLAK2")</f>
        <v>LT0Q1901VLAK2</v>
      </c>
      <c r="F4430" s="238" t="str">
        <f>IFERROR(__xludf.DUMMYFUNCTION("""COMPUTED_VALUE"""),"EOF4I61,HWQ9B93")</f>
        <v>EOF4I61,HWQ9B93</v>
      </c>
      <c r="G4430" s="238">
        <f>IFERROR(__xludf.DUMMYFUNCTION("""COMPUTED_VALUE"""),46032.12569444445)</f>
        <v>46032.12569</v>
      </c>
      <c r="H4430" s="238">
        <f>IFERROR(__xludf.DUMMYFUNCTION("""COMPUTED_VALUE"""),46032.5)</f>
        <v>46032.5</v>
      </c>
      <c r="I4430" s="237" t="str">
        <f t="shared" si="1"/>
        <v>Fora</v>
      </c>
      <c r="J4430" s="239">
        <v>540.0</v>
      </c>
    </row>
    <row r="4431">
      <c r="A4431" s="234" t="s">
        <v>5496</v>
      </c>
      <c r="B4431" s="234" t="str">
        <f>IFERROR(__xludf.DUMMYFUNCTION("""COMPUTED_VALUE"""),"SoC_PE_Jaboatão dos Guararapes")</f>
        <v>SoC_PE_Jaboatão dos Guararapes</v>
      </c>
      <c r="C4431" s="234" t="str">
        <f>IFERROR(__xludf.DUMMYFUNCTION("""COMPUTED_VALUE"""),"SOC-PE2")</f>
        <v>SOC-PE2</v>
      </c>
      <c r="D4431" s="234">
        <f>IFERROR(__xludf.DUMMYFUNCTION("""COMPUTED_VALUE"""),98.0)</f>
        <v>98</v>
      </c>
      <c r="E4431" s="237" t="str">
        <f>IFERROR(__xludf.DUMMYFUNCTION("""COMPUTED_VALUE"""),"LT1Q1A01WM6U1")</f>
        <v>LT1Q1A01WM6U1</v>
      </c>
      <c r="F4431" s="238" t="str">
        <f>IFERROR(__xludf.DUMMYFUNCTION("""COMPUTED_VALUE"""),"OGX9D47,PQF7B93")</f>
        <v>OGX9D47,PQF7B93</v>
      </c>
      <c r="G4431" s="238">
        <f>IFERROR(__xludf.DUMMYFUNCTION("""COMPUTED_VALUE"""),46032.125)</f>
        <v>46032.125</v>
      </c>
      <c r="H4431" s="238">
        <f>IFERROR(__xludf.DUMMYFUNCTION("""COMPUTED_VALUE"""),46032.5)</f>
        <v>46032.5</v>
      </c>
      <c r="I4431" s="237" t="str">
        <f t="shared" si="1"/>
        <v>Fora</v>
      </c>
      <c r="J4431" s="239">
        <v>118.99999998975545</v>
      </c>
    </row>
    <row r="4432">
      <c r="A4432" s="234" t="s">
        <v>5497</v>
      </c>
      <c r="B4432" s="234" t="str">
        <f>IFERROR(__xludf.DUMMYFUNCTION("""COMPUTED_VALUE"""),"LM Hub_SP_Guarujá")</f>
        <v>LM Hub_SP_Guarujá</v>
      </c>
      <c r="C4432" s="234" t="str">
        <f>IFERROR(__xludf.DUMMYFUNCTION("""COMPUTED_VALUE"""),"HUB-LSP-06")</f>
        <v>HUB-LSP-06</v>
      </c>
      <c r="D4432" s="234">
        <f>IFERROR(__xludf.DUMMYFUNCTION("""COMPUTED_VALUE"""),32.0)</f>
        <v>32</v>
      </c>
      <c r="E4432" s="237" t="str">
        <f>IFERROR(__xludf.DUMMYFUNCTION("""COMPUTED_VALUE"""),"LT0Q1A01VFK81")</f>
        <v>LT0Q1A01VFK81</v>
      </c>
      <c r="F4432" s="238" t="str">
        <f>IFERROR(__xludf.DUMMYFUNCTION("""COMPUTED_VALUE"""),"GGN4792")</f>
        <v>GGN4792</v>
      </c>
      <c r="G4432" s="238">
        <f>IFERROR(__xludf.DUMMYFUNCTION("""COMPUTED_VALUE"""),46032.91666666667)</f>
        <v>46032.91667</v>
      </c>
      <c r="H4432" s="238">
        <f>IFERROR(__xludf.DUMMYFUNCTION("""COMPUTED_VALUE"""),46032.99930555555)</f>
        <v>46032.99931</v>
      </c>
      <c r="I4432" s="237" t="str">
        <f t="shared" si="1"/>
        <v>Fora</v>
      </c>
      <c r="J4432" s="239">
        <v>119.99999999301508</v>
      </c>
    </row>
    <row r="4433">
      <c r="A4433" s="234" t="s">
        <v>5498</v>
      </c>
      <c r="B4433" s="234" t="str">
        <f>IFERROR(__xludf.DUMMYFUNCTION("""COMPUTED_VALUE"""),"LM Hub_SP_Artur Alvim")</f>
        <v>LM Hub_SP_Artur Alvim</v>
      </c>
      <c r="C4433" s="234" t="str">
        <f>IFERROR(__xludf.DUMMYFUNCTION("""COMPUTED_VALUE"""),"HUB-LSP-07")</f>
        <v>HUB-LSP-07</v>
      </c>
      <c r="D4433" s="234">
        <f>IFERROR(__xludf.DUMMYFUNCTION("""COMPUTED_VALUE"""),36.0)</f>
        <v>36</v>
      </c>
      <c r="E4433" s="237" t="str">
        <f>IFERROR(__xludf.DUMMYFUNCTION("""COMPUTED_VALUE"""),"LT0Q1A01VFHB1")</f>
        <v>LT0Q1A01VFHB1</v>
      </c>
      <c r="F4433" s="238" t="str">
        <f>IFERROR(__xludf.DUMMYFUNCTION("""COMPUTED_VALUE"""),"NKW3F61,STD9E75")</f>
        <v>NKW3F61,STD9E75</v>
      </c>
      <c r="G4433" s="238">
        <f>IFERROR(__xludf.DUMMYFUNCTION("""COMPUTED_VALUE"""),46032.91666666667)</f>
        <v>46032.91667</v>
      </c>
      <c r="H4433" s="238">
        <f>IFERROR(__xludf.DUMMYFUNCTION("""COMPUTED_VALUE"""),46033.0)</f>
        <v>46033</v>
      </c>
      <c r="I4433" s="237" t="str">
        <f t="shared" si="1"/>
        <v>Fora</v>
      </c>
      <c r="J4433" s="239">
        <v>119.99999999301508</v>
      </c>
    </row>
    <row r="4434">
      <c r="A4434" s="234" t="s">
        <v>5499</v>
      </c>
      <c r="B4434" s="234" t="str">
        <f>IFERROR(__xludf.DUMMYFUNCTION("""COMPUTED_VALUE"""),"LM Hub_SP_Embu das Artes")</f>
        <v>LM Hub_SP_Embu das Artes</v>
      </c>
      <c r="C4434" s="234" t="str">
        <f>IFERROR(__xludf.DUMMYFUNCTION("""COMPUTED_VALUE"""),"HUB-LSP-36")</f>
        <v>HUB-LSP-36</v>
      </c>
      <c r="D4434" s="234">
        <f>IFERROR(__xludf.DUMMYFUNCTION("""COMPUTED_VALUE"""),26.0)</f>
        <v>26</v>
      </c>
      <c r="E4434" s="237" t="str">
        <f>IFERROR(__xludf.DUMMYFUNCTION("""COMPUTED_VALUE"""),"LT1Q1A01WML31")</f>
        <v>LT1Q1A01WML31</v>
      </c>
      <c r="F4434" s="238" t="str">
        <f>IFERROR(__xludf.DUMMYFUNCTION("""COMPUTED_VALUE"""),"SIE0F31")</f>
        <v>SIE0F31</v>
      </c>
      <c r="G4434" s="238">
        <f>IFERROR(__xludf.DUMMYFUNCTION("""COMPUTED_VALUE"""),46032.91666666667)</f>
        <v>46032.91667</v>
      </c>
      <c r="H4434" s="238">
        <f>IFERROR(__xludf.DUMMYFUNCTION("""COMPUTED_VALUE"""),46033.0)</f>
        <v>46033</v>
      </c>
      <c r="I4434" s="237" t="str">
        <f t="shared" si="1"/>
        <v>Fora</v>
      </c>
      <c r="J4434" s="239">
        <v>119.99999999301508</v>
      </c>
    </row>
    <row r="4435">
      <c r="A4435" s="234" t="s">
        <v>5500</v>
      </c>
      <c r="B4435" s="234" t="str">
        <f>IFERROR(__xludf.DUMMYFUNCTION("""COMPUTED_VALUE"""),"LM Hub_SP_Guarulhos")</f>
        <v>LM Hub_SP_Guarulhos</v>
      </c>
      <c r="C4435" s="234" t="str">
        <f>IFERROR(__xludf.DUMMYFUNCTION("""COMPUTED_VALUE"""),"HUB-LSP-77")</f>
        <v>HUB-LSP-77</v>
      </c>
      <c r="D4435" s="234">
        <f>IFERROR(__xludf.DUMMYFUNCTION("""COMPUTED_VALUE"""),28.0)</f>
        <v>28</v>
      </c>
      <c r="E4435" s="237" t="str">
        <f>IFERROR(__xludf.DUMMYFUNCTION("""COMPUTED_VALUE"""),"LT0Q1A01VG7J1")</f>
        <v>LT0Q1A01VG7J1</v>
      </c>
      <c r="F4435" s="238" t="str">
        <f>IFERROR(__xludf.DUMMYFUNCTION("""COMPUTED_VALUE"""),"FEB5I21,FRT9A70")</f>
        <v>FEB5I21,FRT9A70</v>
      </c>
      <c r="G4435" s="238">
        <f>IFERROR(__xludf.DUMMYFUNCTION("""COMPUTED_VALUE"""),46032.91666666667)</f>
        <v>46032.91667</v>
      </c>
      <c r="H4435" s="238">
        <f>IFERROR(__xludf.DUMMYFUNCTION("""COMPUTED_VALUE"""),46033.0)</f>
        <v>46033</v>
      </c>
      <c r="I4435" s="237" t="str">
        <f t="shared" si="1"/>
        <v>Fora</v>
      </c>
      <c r="J4435" s="239">
        <v>119.99999999301508</v>
      </c>
    </row>
    <row r="4436">
      <c r="A4436" s="234" t="s">
        <v>5501</v>
      </c>
      <c r="B4436" s="234" t="str">
        <f>IFERROR(__xludf.DUMMYFUNCTION("""COMPUTED_VALUE"""),"LM Hub_SP_Itapevi")</f>
        <v>LM Hub_SP_Itapevi</v>
      </c>
      <c r="C4436" s="234" t="str">
        <f>IFERROR(__xludf.DUMMYFUNCTION("""COMPUTED_VALUE"""),"HUB-LSP-41")</f>
        <v>HUB-LSP-41</v>
      </c>
      <c r="D4436" s="234">
        <f>IFERROR(__xludf.DUMMYFUNCTION("""COMPUTED_VALUE"""),49.0)</f>
        <v>49</v>
      </c>
      <c r="E4436" s="237" t="str">
        <f>IFERROR(__xludf.DUMMYFUNCTION("""COMPUTED_VALUE"""),"LT0Q1A01VFIM1")</f>
        <v>LT0Q1A01VFIM1</v>
      </c>
      <c r="F4436" s="238" t="str">
        <f>IFERROR(__xludf.DUMMYFUNCTION("""COMPUTED_VALUE"""),"EMU5F62,FGK3A38")</f>
        <v>EMU5F62,FGK3A38</v>
      </c>
      <c r="G4436" s="238">
        <f>IFERROR(__xludf.DUMMYFUNCTION("""COMPUTED_VALUE"""),46032.91666666667)</f>
        <v>46032.91667</v>
      </c>
      <c r="H4436" s="238">
        <f>IFERROR(__xludf.DUMMYFUNCTION("""COMPUTED_VALUE"""),46033.0)</f>
        <v>46033</v>
      </c>
      <c r="I4436" s="237" t="str">
        <f t="shared" si="1"/>
        <v>Fora</v>
      </c>
      <c r="J4436" s="239">
        <v>119.99999999301508</v>
      </c>
    </row>
    <row r="4437">
      <c r="A4437" s="234" t="s">
        <v>5502</v>
      </c>
      <c r="B4437" s="234" t="str">
        <f>IFERROR(__xludf.DUMMYFUNCTION("""COMPUTED_VALUE"""),"LM Hub_SP_Mauá")</f>
        <v>LM Hub_SP_Mauá</v>
      </c>
      <c r="C4437" s="234" t="str">
        <f>IFERROR(__xludf.DUMMYFUNCTION("""COMPUTED_VALUE"""),"HUB-LSP-64")</f>
        <v>HUB-LSP-64</v>
      </c>
      <c r="D4437" s="234">
        <f>IFERROR(__xludf.DUMMYFUNCTION("""COMPUTED_VALUE"""),23.0)</f>
        <v>23</v>
      </c>
      <c r="E4437" s="237" t="str">
        <f>IFERROR(__xludf.DUMMYFUNCTION("""COMPUTED_VALUE"""),"LT0Q1A01VFIY1")</f>
        <v>LT0Q1A01VFIY1</v>
      </c>
      <c r="F4437" s="238" t="str">
        <f>IFERROR(__xludf.DUMMYFUNCTION("""COMPUTED_VALUE"""),"FQF6B98,DTA7802")</f>
        <v>FQF6B98,DTA7802</v>
      </c>
      <c r="G4437" s="238">
        <f>IFERROR(__xludf.DUMMYFUNCTION("""COMPUTED_VALUE"""),46032.91666666667)</f>
        <v>46032.91667</v>
      </c>
      <c r="H4437" s="238">
        <f>IFERROR(__xludf.DUMMYFUNCTION("""COMPUTED_VALUE"""),46033.0)</f>
        <v>46033</v>
      </c>
      <c r="I4437" s="237" t="str">
        <f t="shared" si="1"/>
        <v>Fora</v>
      </c>
      <c r="J4437" s="239">
        <v>119.99999999301508</v>
      </c>
    </row>
    <row r="4438">
      <c r="A4438" s="234" t="s">
        <v>5503</v>
      </c>
      <c r="B4438" s="234" t="str">
        <f>IFERROR(__xludf.DUMMYFUNCTION("""COMPUTED_VALUE"""),"LM Hub_SP_Osasco_02")</f>
        <v>LM Hub_SP_Osasco_02</v>
      </c>
      <c r="C4438" s="234" t="str">
        <f>IFERROR(__xludf.DUMMYFUNCTION("""COMPUTED_VALUE"""),"HUB-LSP-60")</f>
        <v>HUB-LSP-60</v>
      </c>
      <c r="D4438" s="234">
        <f>IFERROR(__xludf.DUMMYFUNCTION("""COMPUTED_VALUE"""),35.0)</f>
        <v>35</v>
      </c>
      <c r="E4438" s="237" t="str">
        <f>IFERROR(__xludf.DUMMYFUNCTION("""COMPUTED_VALUE"""),"LT0Q1A01VFIS1")</f>
        <v>LT0Q1A01VFIS1</v>
      </c>
      <c r="F4438" s="238" t="str">
        <f>IFERROR(__xludf.DUMMYFUNCTION("""COMPUTED_VALUE"""),"FUZ6B23,FUA8006")</f>
        <v>FUZ6B23,FUA8006</v>
      </c>
      <c r="G4438" s="238">
        <f>IFERROR(__xludf.DUMMYFUNCTION("""COMPUTED_VALUE"""),46032.91666666667)</f>
        <v>46032.91667</v>
      </c>
      <c r="H4438" s="238">
        <f>IFERROR(__xludf.DUMMYFUNCTION("""COMPUTED_VALUE"""),46033.0)</f>
        <v>46033</v>
      </c>
      <c r="I4438" s="237" t="str">
        <f t="shared" si="1"/>
        <v>Fora</v>
      </c>
      <c r="J4438" s="239">
        <v>119.99999999301508</v>
      </c>
    </row>
    <row r="4439">
      <c r="A4439" s="234" t="s">
        <v>5504</v>
      </c>
      <c r="B4439" s="234" t="str">
        <f>IFERROR(__xludf.DUMMYFUNCTION("""COMPUTED_VALUE"""),"LM Hub_SP_Suzano_Baruel")</f>
        <v>LM Hub_SP_Suzano_Baruel</v>
      </c>
      <c r="C4439" s="234" t="str">
        <f>IFERROR(__xludf.DUMMYFUNCTION("""COMPUTED_VALUE"""),"HUB-LSP-97")</f>
        <v>HUB-LSP-97</v>
      </c>
      <c r="D4439" s="234">
        <f>IFERROR(__xludf.DUMMYFUNCTION("""COMPUTED_VALUE"""),7.0)</f>
        <v>7</v>
      </c>
      <c r="E4439" s="237" t="str">
        <f>IFERROR(__xludf.DUMMYFUNCTION("""COMPUTED_VALUE"""),"LT1Q1A01WML71")</f>
        <v>LT1Q1A01WML71</v>
      </c>
      <c r="F4439" s="238" t="str">
        <f>IFERROR(__xludf.DUMMYFUNCTION("""COMPUTED_VALUE"""),"EGJ9547")</f>
        <v>EGJ9547</v>
      </c>
      <c r="G4439" s="238">
        <f>IFERROR(__xludf.DUMMYFUNCTION("""COMPUTED_VALUE"""),46032.91666666667)</f>
        <v>46032.91667</v>
      </c>
      <c r="H4439" s="238">
        <f>IFERROR(__xludf.DUMMYFUNCTION("""COMPUTED_VALUE"""),46033.0)</f>
        <v>46033</v>
      </c>
      <c r="I4439" s="237" t="str">
        <f t="shared" si="1"/>
        <v>Fora</v>
      </c>
      <c r="J4439" s="239">
        <v>119.00000000023283</v>
      </c>
    </row>
    <row r="4440">
      <c r="A4440" s="234" t="s">
        <v>5505</v>
      </c>
      <c r="B4440" s="234" t="str">
        <f>IFERROR(__xludf.DUMMYFUNCTION("""COMPUTED_VALUE"""),"LM Hub_SP_Santo André")</f>
        <v>LM Hub_SP_Santo André</v>
      </c>
      <c r="C4440" s="234" t="str">
        <f>IFERROR(__xludf.DUMMYFUNCTION("""COMPUTED_VALUE"""),"HUB-LSP-93")</f>
        <v>HUB-LSP-93</v>
      </c>
      <c r="D4440" s="234">
        <f>IFERROR(__xludf.DUMMYFUNCTION("""COMPUTED_VALUE"""),46.0)</f>
        <v>46</v>
      </c>
      <c r="E4440" s="237" t="str">
        <f>IFERROR(__xludf.DUMMYFUNCTION("""COMPUTED_VALUE"""),"LT0Q1A01VI9R1")</f>
        <v>LT0Q1A01VI9R1</v>
      </c>
      <c r="F4440" s="238" t="str">
        <f>IFERROR(__xludf.DUMMYFUNCTION("""COMPUTED_VALUE"""),"LLM1I97,AOF6828")</f>
        <v>LLM1I97,AOF6828</v>
      </c>
      <c r="G4440" s="238">
        <f>IFERROR(__xludf.DUMMYFUNCTION("""COMPUTED_VALUE"""),46032.91736111111)</f>
        <v>46032.91736</v>
      </c>
      <c r="H4440" s="238">
        <f>IFERROR(__xludf.DUMMYFUNCTION("""COMPUTED_VALUE"""),46033.0)</f>
        <v>46033</v>
      </c>
      <c r="I4440" s="237" t="str">
        <f t="shared" si="1"/>
        <v>Fora</v>
      </c>
      <c r="J4440" s="239">
        <v>119.99999999301508</v>
      </c>
    </row>
    <row r="4441">
      <c r="A4441" s="234" t="s">
        <v>5506</v>
      </c>
      <c r="B4441" s="234" t="str">
        <f>IFERROR(__xludf.DUMMYFUNCTION("""COMPUTED_VALUE"""),"LM Hub_SP_Jardim Adriana")</f>
        <v>LM Hub_SP_Jardim Adriana</v>
      </c>
      <c r="C4441" s="234" t="str">
        <f>IFERROR(__xludf.DUMMYFUNCTION("""COMPUTED_VALUE"""),"HUB-LSP-12")</f>
        <v>HUB-LSP-12</v>
      </c>
      <c r="D4441" s="234"/>
      <c r="E4441" s="237" t="str">
        <f>IFERROR(__xludf.DUMMYFUNCTION("""COMPUTED_VALUE"""),"LT0Q1A01VFHI1")</f>
        <v>LT0Q1A01VFHI1</v>
      </c>
      <c r="F4441" s="238" t="str">
        <f>IFERROR(__xludf.DUMMYFUNCTION("""COMPUTED_VALUE"""),"IYS3C29")</f>
        <v>IYS3C29</v>
      </c>
      <c r="G4441" s="238">
        <f>IFERROR(__xludf.DUMMYFUNCTION("""COMPUTED_VALUE"""),46032.9375)</f>
        <v>46032.9375</v>
      </c>
      <c r="H4441" s="238">
        <f>IFERROR(__xludf.DUMMYFUNCTION("""COMPUTED_VALUE"""),46033.02083333333)</f>
        <v>46033.02083</v>
      </c>
      <c r="I4441" s="237" t="str">
        <f t="shared" si="1"/>
        <v>Fora</v>
      </c>
      <c r="J4441" s="239">
        <v>119.99999999301508</v>
      </c>
    </row>
    <row r="4442">
      <c r="A4442" s="234" t="s">
        <v>5507</v>
      </c>
      <c r="B4442" s="234" t="str">
        <f>IFERROR(__xludf.DUMMYFUNCTION("""COMPUTED_VALUE"""),"LM Hub_SP_Parque Novo Mundo")</f>
        <v>LM Hub_SP_Parque Novo Mundo</v>
      </c>
      <c r="C4442" s="234" t="str">
        <f>IFERROR(__xludf.DUMMYFUNCTION("""COMPUTED_VALUE"""),"HUB-LSP-89")</f>
        <v>HUB-LSP-89</v>
      </c>
      <c r="D4442" s="234">
        <f>IFERROR(__xludf.DUMMYFUNCTION("""COMPUTED_VALUE"""),17.0)</f>
        <v>17</v>
      </c>
      <c r="E4442" s="237" t="str">
        <f>IFERROR(__xludf.DUMMYFUNCTION("""COMPUTED_VALUE"""),"LT0Q1A01VGEP1")</f>
        <v>LT0Q1A01VGEP1</v>
      </c>
      <c r="F4442" s="238" t="str">
        <f>IFERROR(__xludf.DUMMYFUNCTION("""COMPUTED_VALUE"""),"FUF6H46,NVV7D82")</f>
        <v>FUF6H46,NVV7D82</v>
      </c>
      <c r="G4442" s="238">
        <f>IFERROR(__xludf.DUMMYFUNCTION("""COMPUTED_VALUE"""),46032.9375)</f>
        <v>46032.9375</v>
      </c>
      <c r="H4442" s="238">
        <f>IFERROR(__xludf.DUMMYFUNCTION("""COMPUTED_VALUE"""),46033.02083333333)</f>
        <v>46033.02083</v>
      </c>
      <c r="I4442" s="237" t="str">
        <f t="shared" si="1"/>
        <v>Fora</v>
      </c>
      <c r="J4442" s="239">
        <v>119.99999999301508</v>
      </c>
    </row>
    <row r="4443">
      <c r="A4443" s="234" t="s">
        <v>5508</v>
      </c>
      <c r="B4443" s="234" t="str">
        <f>IFERROR(__xludf.DUMMYFUNCTION("""COMPUTED_VALUE"""),"LM Hub_SP_Piracicaba")</f>
        <v>LM Hub_SP_Piracicaba</v>
      </c>
      <c r="C4443" s="234" t="str">
        <f>IFERROR(__xludf.DUMMYFUNCTION("""COMPUTED_VALUE"""),"HUB-LSP-62")</f>
        <v>HUB-LSP-62</v>
      </c>
      <c r="D4443" s="234">
        <f>IFERROR(__xludf.DUMMYFUNCTION("""COMPUTED_VALUE"""),41.0)</f>
        <v>41</v>
      </c>
      <c r="E4443" s="237" t="str">
        <f>IFERROR(__xludf.DUMMYFUNCTION("""COMPUTED_VALUE"""),"LT0Q1A01VG7X1")</f>
        <v>LT0Q1A01VG7X1</v>
      </c>
      <c r="F4443" s="238" t="str">
        <f>IFERROR(__xludf.DUMMYFUNCTION("""COMPUTED_VALUE"""),"EOF4D32")</f>
        <v>EOF4D32</v>
      </c>
      <c r="G4443" s="238">
        <f>IFERROR(__xludf.DUMMYFUNCTION("""COMPUTED_VALUE"""),46032.9375)</f>
        <v>46032.9375</v>
      </c>
      <c r="H4443" s="238">
        <f>IFERROR(__xludf.DUMMYFUNCTION("""COMPUTED_VALUE"""),46033.02083333333)</f>
        <v>46033.02083</v>
      </c>
      <c r="I4443" s="237" t="str">
        <f t="shared" si="1"/>
        <v>Fora</v>
      </c>
      <c r="J4443" s="239">
        <v>119.99999999301508</v>
      </c>
    </row>
    <row r="4444">
      <c r="A4444" s="234" t="s">
        <v>5509</v>
      </c>
      <c r="B4444" s="234" t="str">
        <f>IFERROR(__xludf.DUMMYFUNCTION("""COMPUTED_VALUE"""),"LM Hub_SP_Suzano_Baruel")</f>
        <v>LM Hub_SP_Suzano_Baruel</v>
      </c>
      <c r="C4444" s="234" t="str">
        <f>IFERROR(__xludf.DUMMYFUNCTION("""COMPUTED_VALUE"""),"HUB-LSP-97")</f>
        <v>HUB-LSP-97</v>
      </c>
      <c r="D4444" s="234">
        <f>IFERROR(__xludf.DUMMYFUNCTION("""COMPUTED_VALUE"""),7.0)</f>
        <v>7</v>
      </c>
      <c r="E4444" s="237" t="str">
        <f>IFERROR(__xludf.DUMMYFUNCTION("""COMPUTED_VALUE"""),"LT0Q1A01VMSR1")</f>
        <v>LT0Q1A01VMSR1</v>
      </c>
      <c r="F4444" s="238" t="str">
        <f>IFERROR(__xludf.DUMMYFUNCTION("""COMPUTED_VALUE"""),"DOT3E21,EGJ9093")</f>
        <v>DOT3E21,EGJ9093</v>
      </c>
      <c r="G4444" s="238">
        <f>IFERROR(__xludf.DUMMYFUNCTION("""COMPUTED_VALUE"""),46032.9375)</f>
        <v>46032.9375</v>
      </c>
      <c r="H4444" s="238">
        <f>IFERROR(__xludf.DUMMYFUNCTION("""COMPUTED_VALUE"""),46033.02083333333)</f>
        <v>46033.02083</v>
      </c>
      <c r="I4444" s="237" t="str">
        <f t="shared" si="1"/>
        <v>Fora</v>
      </c>
      <c r="J4444" s="239">
        <v>119.99999999301508</v>
      </c>
    </row>
    <row r="4445">
      <c r="A4445" s="234" t="s">
        <v>5510</v>
      </c>
      <c r="B4445" s="234" t="str">
        <f>IFERROR(__xludf.DUMMYFUNCTION("""COMPUTED_VALUE"""),"LM Hub_SP_VilaGuilherme")</f>
        <v>LM Hub_SP_VilaGuilherme</v>
      </c>
      <c r="C4445" s="234" t="str">
        <f>IFERROR(__xludf.DUMMYFUNCTION("""COMPUTED_VALUE"""),"HUB-LSP-68")</f>
        <v>HUB-LSP-68</v>
      </c>
      <c r="D4445" s="234">
        <f>IFERROR(__xludf.DUMMYFUNCTION("""COMPUTED_VALUE"""),48.0)</f>
        <v>48</v>
      </c>
      <c r="E4445" s="237" t="str">
        <f>IFERROR(__xludf.DUMMYFUNCTION("""COMPUTED_VALUE"""),"LT0Q1A01VFJ71")</f>
        <v>LT0Q1A01VFJ71</v>
      </c>
      <c r="F4445" s="238" t="str">
        <f>IFERROR(__xludf.DUMMYFUNCTION("""COMPUTED_VALUE"""),"DAJ3E28")</f>
        <v>DAJ3E28</v>
      </c>
      <c r="G4445" s="238">
        <f>IFERROR(__xludf.DUMMYFUNCTION("""COMPUTED_VALUE"""),46032.9375)</f>
        <v>46032.9375</v>
      </c>
      <c r="H4445" s="238">
        <f>IFERROR(__xludf.DUMMYFUNCTION("""COMPUTED_VALUE"""),46033.02083333333)</f>
        <v>46033.02083</v>
      </c>
      <c r="I4445" s="237" t="str">
        <f t="shared" si="1"/>
        <v>Fora</v>
      </c>
      <c r="J4445" s="239">
        <v>118.99999998975545</v>
      </c>
    </row>
    <row r="4446">
      <c r="A4446" s="234" t="s">
        <v>5511</v>
      </c>
      <c r="B4446" s="234" t="str">
        <f>IFERROR(__xludf.DUMMYFUNCTION("""COMPUTED_VALUE"""),"LM Hub_SP_São Paulo_Carandiru")</f>
        <v>LM Hub_SP_São Paulo_Carandiru</v>
      </c>
      <c r="C4446" s="234" t="str">
        <f>IFERROR(__xludf.DUMMYFUNCTION("""COMPUTED_VALUE"""),"HUB-LSP-18")</f>
        <v>HUB-LSP-18</v>
      </c>
      <c r="D4446" s="234" t="str">
        <f>IFERROR(__xludf.DUMMYFUNCTION("""COMPUTED_VALUE"""),"5/44")</f>
        <v>5/44</v>
      </c>
      <c r="E4446" s="237" t="str">
        <f>IFERROR(__xludf.DUMMYFUNCTION("""COMPUTED_VALUE"""),"LT0Q1A01VFI51")</f>
        <v>LT0Q1A01VFI51</v>
      </c>
      <c r="F4446" s="238" t="str">
        <f>IFERROR(__xludf.DUMMYFUNCTION("""COMPUTED_VALUE"""),"FZJ9H38")</f>
        <v>FZJ9H38</v>
      </c>
      <c r="G4446" s="238">
        <f>IFERROR(__xludf.DUMMYFUNCTION("""COMPUTED_VALUE"""),46032.93819444445)</f>
        <v>46032.93819</v>
      </c>
      <c r="H4446" s="238">
        <f>IFERROR(__xludf.DUMMYFUNCTION("""COMPUTED_VALUE"""),46033.02083333333)</f>
        <v>46033.02083</v>
      </c>
      <c r="I4446" s="237" t="str">
        <f t="shared" si="1"/>
        <v>Fora</v>
      </c>
      <c r="J4446" s="239">
        <v>119.99999999301508</v>
      </c>
    </row>
    <row r="4447">
      <c r="A4447" s="234" t="s">
        <v>5512</v>
      </c>
      <c r="B4447" s="234" t="str">
        <f>IFERROR(__xludf.DUMMYFUNCTION("""COMPUTED_VALUE"""),"LM Hub_SP_Araraquara")</f>
        <v>LM Hub_SP_Araraquara</v>
      </c>
      <c r="C4447" s="234" t="str">
        <f>IFERROR(__xludf.DUMMYFUNCTION("""COMPUTED_VALUE"""),"HUB-LSP-29")</f>
        <v>HUB-LSP-29</v>
      </c>
      <c r="D4447" s="234">
        <f>IFERROR(__xludf.DUMMYFUNCTION("""COMPUTED_VALUE"""),33.0)</f>
        <v>33</v>
      </c>
      <c r="E4447" s="237" t="str">
        <f>IFERROR(__xludf.DUMMYFUNCTION("""COMPUTED_VALUE"""),"LT0Q1A01VFN91")</f>
        <v>LT0Q1A01VFN91</v>
      </c>
      <c r="F4447" s="238" t="str">
        <f>IFERROR(__xludf.DUMMYFUNCTION("""COMPUTED_VALUE"""),"OHQ3D06")</f>
        <v>OHQ3D06</v>
      </c>
      <c r="G4447" s="238">
        <f>IFERROR(__xludf.DUMMYFUNCTION("""COMPUTED_VALUE"""),46032.97916666667)</f>
        <v>46032.97917</v>
      </c>
      <c r="H4447" s="238">
        <f>IFERROR(__xludf.DUMMYFUNCTION("""COMPUTED_VALUE"""),46033.0625)</f>
        <v>46033.0625</v>
      </c>
      <c r="I4447" s="237" t="str">
        <f t="shared" si="1"/>
        <v>Fora</v>
      </c>
      <c r="J4447" s="239">
        <v>540.0</v>
      </c>
    </row>
    <row r="4448">
      <c r="A4448" s="234" t="s">
        <v>5513</v>
      </c>
      <c r="B4448" s="234" t="str">
        <f>IFERROR(__xludf.DUMMYFUNCTION("""COMPUTED_VALUE"""),"SoC_MG_Betim")</f>
        <v>SoC_MG_Betim</v>
      </c>
      <c r="C4448" s="234" t="str">
        <f>IFERROR(__xludf.DUMMYFUNCTION("""COMPUTED_VALUE"""),"SOC-MG2")</f>
        <v>SOC-MG2</v>
      </c>
      <c r="D4448" s="234">
        <f>IFERROR(__xludf.DUMMYFUNCTION("""COMPUTED_VALUE"""),47.0)</f>
        <v>47</v>
      </c>
      <c r="E4448" s="237" t="str">
        <f>IFERROR(__xludf.DUMMYFUNCTION("""COMPUTED_VALUE"""),"LT0Q1A01VFEL1")</f>
        <v>LT0Q1A01VFEL1</v>
      </c>
      <c r="F4448" s="238" t="str">
        <f>IFERROR(__xludf.DUMMYFUNCTION("""COMPUTED_VALUE"""),"FQV7E24,EFU9D57")</f>
        <v>FQV7E24,EFU9D57</v>
      </c>
      <c r="G4448" s="238">
        <f>IFERROR(__xludf.DUMMYFUNCTION("""COMPUTED_VALUE"""),46032.75)</f>
        <v>46032.75</v>
      </c>
      <c r="H4448" s="238">
        <f>IFERROR(__xludf.DUMMYFUNCTION("""COMPUTED_VALUE"""),46033.125)</f>
        <v>46033.125</v>
      </c>
      <c r="I4448" s="237" t="str">
        <f t="shared" si="1"/>
        <v>Fora</v>
      </c>
      <c r="J4448" s="239">
        <v>119.99999999301508</v>
      </c>
    </row>
    <row r="4449">
      <c r="A4449" s="234" t="s">
        <v>5514</v>
      </c>
      <c r="B4449" s="234" t="str">
        <f>IFERROR(__xludf.DUMMYFUNCTION("""COMPUTED_VALUE"""),"SoC_BA_Simoes Filho")</f>
        <v>SoC_BA_Simoes Filho</v>
      </c>
      <c r="C4449" s="234" t="str">
        <f>IFERROR(__xludf.DUMMYFUNCTION("""COMPUTED_VALUE"""),"SOC-BA2")</f>
        <v>SOC-BA2</v>
      </c>
      <c r="D4449" s="234"/>
      <c r="E4449" s="237" t="str">
        <f>IFERROR(__xludf.DUMMYFUNCTION("""COMPUTED_VALUE"""),"LT1Q1B01WMHK1")</f>
        <v>LT1Q1B01WMHK1</v>
      </c>
      <c r="F4449" s="238" t="str">
        <f>IFERROR(__xludf.DUMMYFUNCTION("""COMPUTED_VALUE"""),"HLZ2A08,EGK9021")</f>
        <v>HLZ2A08,EGK9021</v>
      </c>
      <c r="G4449" s="238">
        <f>IFERROR(__xludf.DUMMYFUNCTION("""COMPUTED_VALUE"""),46033.04166666667)</f>
        <v>46033.04167</v>
      </c>
      <c r="H4449" s="238">
        <f>IFERROR(__xludf.DUMMYFUNCTION("""COMPUTED_VALUE"""),46033.125)</f>
        <v>46033.125</v>
      </c>
      <c r="I4449" s="237" t="str">
        <f t="shared" si="1"/>
        <v>Fora</v>
      </c>
      <c r="J4449" s="239">
        <v>119.99999999301508</v>
      </c>
    </row>
    <row r="4450">
      <c r="A4450" s="234" t="s">
        <v>5515</v>
      </c>
      <c r="B4450" s="234" t="str">
        <f>IFERROR(__xludf.DUMMYFUNCTION("""COMPUTED_VALUE"""),"SoC_MG_Betim")</f>
        <v>SoC_MG_Betim</v>
      </c>
      <c r="C4450" s="234" t="str">
        <f>IFERROR(__xludf.DUMMYFUNCTION("""COMPUTED_VALUE"""),"SOC-MG2")</f>
        <v>SOC-MG2</v>
      </c>
      <c r="D4450" s="234"/>
      <c r="E4450" s="237" t="str">
        <f>IFERROR(__xludf.DUMMYFUNCTION("""COMPUTED_VALUE"""),"LT1Q1B01WMHE1")</f>
        <v>LT1Q1B01WMHE1</v>
      </c>
      <c r="F4450" s="238" t="str">
        <f>IFERROR(__xludf.DUMMYFUNCTION("""COMPUTED_VALUE"""),"DKI3H23,NOL9299")</f>
        <v>DKI3H23,NOL9299</v>
      </c>
      <c r="G4450" s="238">
        <f>IFERROR(__xludf.DUMMYFUNCTION("""COMPUTED_VALUE"""),46033.04166666667)</f>
        <v>46033.04167</v>
      </c>
      <c r="H4450" s="238">
        <f>IFERROR(__xludf.DUMMYFUNCTION("""COMPUTED_VALUE"""),46033.125)</f>
        <v>46033.125</v>
      </c>
      <c r="I4450" s="237" t="str">
        <f t="shared" si="1"/>
        <v>Fora</v>
      </c>
      <c r="J4450" s="239">
        <v>120.00000001396984</v>
      </c>
    </row>
    <row r="4451">
      <c r="A4451" s="234" t="s">
        <v>5516</v>
      </c>
      <c r="B4451" s="234" t="str">
        <f>IFERROR(__xludf.DUMMYFUNCTION("""COMPUTED_VALUE"""),"SoC_MG_Betim")</f>
        <v>SoC_MG_Betim</v>
      </c>
      <c r="C4451" s="234" t="str">
        <f>IFERROR(__xludf.DUMMYFUNCTION("""COMPUTED_VALUE"""),"SOC-MG2")</f>
        <v>SOC-MG2</v>
      </c>
      <c r="D4451" s="234"/>
      <c r="E4451" s="237" t="str">
        <f>IFERROR(__xludf.DUMMYFUNCTION("""COMPUTED_VALUE"""),"LT1Q1B01WMHF1")</f>
        <v>LT1Q1B01WMHF1</v>
      </c>
      <c r="F4451" s="238" t="str">
        <f>IFERROR(__xludf.DUMMYFUNCTION("""COMPUTED_VALUE"""),"QMR2B57,MEI8B43")</f>
        <v>QMR2B57,MEI8B43</v>
      </c>
      <c r="G4451" s="238">
        <f>IFERROR(__xludf.DUMMYFUNCTION("""COMPUTED_VALUE"""),46033.08333333333)</f>
        <v>46033.08333</v>
      </c>
      <c r="H4451" s="238">
        <f>IFERROR(__xludf.DUMMYFUNCTION("""COMPUTED_VALUE"""),46033.16666666667)</f>
        <v>46033.16667</v>
      </c>
      <c r="I4451" s="237" t="str">
        <f t="shared" si="1"/>
        <v>Fora</v>
      </c>
      <c r="J4451" s="239">
        <v>120.00000001396984</v>
      </c>
    </row>
    <row r="4452">
      <c r="A4452" s="234" t="s">
        <v>5517</v>
      </c>
      <c r="B4452" s="234" t="str">
        <f>IFERROR(__xludf.DUMMYFUNCTION("""COMPUTED_VALUE"""),"SoC_PE_Jaboatão dos Guararapes")</f>
        <v>SoC_PE_Jaboatão dos Guararapes</v>
      </c>
      <c r="C4452" s="234" t="str">
        <f>IFERROR(__xludf.DUMMYFUNCTION("""COMPUTED_VALUE"""),"SOC-PE2")</f>
        <v>SOC-PE2</v>
      </c>
      <c r="D4452" s="234"/>
      <c r="E4452" s="237" t="str">
        <f>IFERROR(__xludf.DUMMYFUNCTION("""COMPUTED_VALUE"""),"LT1Q1B01WMHI1")</f>
        <v>LT1Q1B01WMHI1</v>
      </c>
      <c r="F4452" s="238" t="str">
        <f>IFERROR(__xludf.DUMMYFUNCTION("""COMPUTED_VALUE"""),"ODG1187,MKU7042")</f>
        <v>ODG1187,MKU7042</v>
      </c>
      <c r="G4452" s="238">
        <f>IFERROR(__xludf.DUMMYFUNCTION("""COMPUTED_VALUE"""),46033.08333333333)</f>
        <v>46033.08333</v>
      </c>
      <c r="H4452" s="238">
        <f>IFERROR(__xludf.DUMMYFUNCTION("""COMPUTED_VALUE"""),46033.16666666667)</f>
        <v>46033.16667</v>
      </c>
      <c r="I4452" s="237" t="str">
        <f t="shared" si="1"/>
        <v>Fora</v>
      </c>
      <c r="J4452" s="239">
        <v>120.00000001396984</v>
      </c>
    </row>
    <row r="4453">
      <c r="A4453" s="234" t="s">
        <v>5518</v>
      </c>
      <c r="B4453" s="234" t="str">
        <f>IFERROR(__xludf.DUMMYFUNCTION("""COMPUTED_VALUE"""),"SoC_PR_Curitiba")</f>
        <v>SoC_PR_Curitiba</v>
      </c>
      <c r="C4453" s="234" t="str">
        <f>IFERROR(__xludf.DUMMYFUNCTION("""COMPUTED_VALUE"""),"SOC-PR1")</f>
        <v>SOC-PR1</v>
      </c>
      <c r="D4453" s="234"/>
      <c r="E4453" s="237" t="str">
        <f>IFERROR(__xludf.DUMMYFUNCTION("""COMPUTED_VALUE"""),"LT1Q1B01WMHH1")</f>
        <v>LT1Q1B01WMHH1</v>
      </c>
      <c r="F4453" s="238" t="str">
        <f>IFERROR(__xludf.DUMMYFUNCTION("""COMPUTED_VALUE"""),"UAW6H39,SWY6F75")</f>
        <v>UAW6H39,SWY6F75</v>
      </c>
      <c r="G4453" s="238">
        <f>IFERROR(__xludf.DUMMYFUNCTION("""COMPUTED_VALUE"""),46033.08333333333)</f>
        <v>46033.08333</v>
      </c>
      <c r="H4453" s="238">
        <f>IFERROR(__xludf.DUMMYFUNCTION("""COMPUTED_VALUE"""),46033.16666666667)</f>
        <v>46033.16667</v>
      </c>
      <c r="I4453" s="237" t="str">
        <f t="shared" si="1"/>
        <v>Fora</v>
      </c>
      <c r="J4453" s="239">
        <v>120.00000001396984</v>
      </c>
    </row>
    <row r="4454">
      <c r="A4454" s="234" t="s">
        <v>5519</v>
      </c>
      <c r="B4454" s="234" t="str">
        <f>IFERROR(__xludf.DUMMYFUNCTION("""COMPUTED_VALUE"""),"SoC_RJ_Duque de Caxias")</f>
        <v>SoC_RJ_Duque de Caxias</v>
      </c>
      <c r="C4454" s="234" t="str">
        <f>IFERROR(__xludf.DUMMYFUNCTION("""COMPUTED_VALUE"""),"SOC-RJ2")</f>
        <v>SOC-RJ2</v>
      </c>
      <c r="D4454" s="234"/>
      <c r="E4454" s="237" t="str">
        <f>IFERROR(__xludf.DUMMYFUNCTION("""COMPUTED_VALUE"""),"LT1Q1B01WMHC1")</f>
        <v>LT1Q1B01WMHC1</v>
      </c>
      <c r="F4454" s="238" t="str">
        <f>IFERROR(__xludf.DUMMYFUNCTION("""COMPUTED_VALUE"""),"BSX0I27,FBV8J63")</f>
        <v>BSX0I27,FBV8J63</v>
      </c>
      <c r="G4454" s="238">
        <f>IFERROR(__xludf.DUMMYFUNCTION("""COMPUTED_VALUE"""),46033.08333333333)</f>
        <v>46033.08333</v>
      </c>
      <c r="H4454" s="238">
        <f>IFERROR(__xludf.DUMMYFUNCTION("""COMPUTED_VALUE"""),46033.16666666667)</f>
        <v>46033.16667</v>
      </c>
      <c r="I4454" s="237" t="str">
        <f t="shared" si="1"/>
        <v>Fora</v>
      </c>
      <c r="J4454" s="239">
        <v>120.00000001396984</v>
      </c>
    </row>
    <row r="4455">
      <c r="A4455" s="234" t="s">
        <v>5520</v>
      </c>
      <c r="B4455" s="234" t="str">
        <f>IFERROR(__xludf.DUMMYFUNCTION("""COMPUTED_VALUE"""),"SoC_SP_Louveira")</f>
        <v>SoC_SP_Louveira</v>
      </c>
      <c r="C4455" s="234" t="str">
        <f>IFERROR(__xludf.DUMMYFUNCTION("""COMPUTED_VALUE"""),"SOC-SP7")</f>
        <v>SOC-SP7</v>
      </c>
      <c r="D4455" s="234">
        <f>IFERROR(__xludf.DUMMYFUNCTION("""COMPUTED_VALUE"""),49.0)</f>
        <v>49</v>
      </c>
      <c r="E4455" s="237" t="str">
        <f>IFERROR(__xludf.DUMMYFUNCTION("""COMPUTED_VALUE"""),"LT1Q1B01WMTW1")</f>
        <v>LT1Q1B01WMTW1</v>
      </c>
      <c r="F4455" s="238" t="str">
        <f>IFERROR(__xludf.DUMMYFUNCTION("""COMPUTED_VALUE"""),"QMR2B57,MEI8B43")</f>
        <v>QMR2B57,MEI8B43</v>
      </c>
      <c r="G4455" s="238">
        <f>IFERROR(__xludf.DUMMYFUNCTION("""COMPUTED_VALUE"""),46033.08333333333)</f>
        <v>46033.08333</v>
      </c>
      <c r="H4455" s="238">
        <f>IFERROR(__xludf.DUMMYFUNCTION("""COMPUTED_VALUE"""),46033.16666666667)</f>
        <v>46033.16667</v>
      </c>
      <c r="I4455" s="237" t="str">
        <f t="shared" si="1"/>
        <v>Fora</v>
      </c>
      <c r="J4455" s="239">
        <v>119.99999999301508</v>
      </c>
    </row>
    <row r="4456">
      <c r="A4456" s="234" t="s">
        <v>5521</v>
      </c>
      <c r="B4456" s="234" t="str">
        <f>IFERROR(__xludf.DUMMYFUNCTION("""COMPUTED_VALUE"""),"SoC_BA_Simoes Filho")</f>
        <v>SoC_BA_Simoes Filho</v>
      </c>
      <c r="C4456" s="234" t="str">
        <f>IFERROR(__xludf.DUMMYFUNCTION("""COMPUTED_VALUE"""),"SOC-BA2")</f>
        <v>SOC-BA2</v>
      </c>
      <c r="D4456" s="234"/>
      <c r="E4456" s="237" t="str">
        <f>IFERROR(__xludf.DUMMYFUNCTION("""COMPUTED_VALUE"""),"LT1Q1B01WMHL1")</f>
        <v>LT1Q1B01WMHL1</v>
      </c>
      <c r="F4456" s="238" t="str">
        <f>IFERROR(__xludf.DUMMYFUNCTION("""COMPUTED_VALUE"""),"PUB7B48,FBI0J96")</f>
        <v>PUB7B48,FBI0J96</v>
      </c>
      <c r="G4456" s="238">
        <f>IFERROR(__xludf.DUMMYFUNCTION("""COMPUTED_VALUE"""),46033.125)</f>
        <v>46033.125</v>
      </c>
      <c r="H4456" s="238">
        <f>IFERROR(__xludf.DUMMYFUNCTION("""COMPUTED_VALUE"""),46033.20833333333)</f>
        <v>46033.20833</v>
      </c>
      <c r="I4456" s="237" t="str">
        <f t="shared" si="1"/>
        <v>Fora</v>
      </c>
      <c r="J4456" s="239">
        <v>119.99999999301508</v>
      </c>
    </row>
    <row r="4457">
      <c r="A4457" s="234" t="s">
        <v>5522</v>
      </c>
      <c r="B4457" s="234" t="str">
        <f>IFERROR(__xludf.DUMMYFUNCTION("""COMPUTED_VALUE"""),"SoC_SP_Cravinhos")</f>
        <v>SoC_SP_Cravinhos</v>
      </c>
      <c r="C4457" s="234" t="str">
        <f>IFERROR(__xludf.DUMMYFUNCTION("""COMPUTED_VALUE"""),"SOC-SP5")</f>
        <v>SOC-SP5</v>
      </c>
      <c r="D4457" s="234">
        <f>IFERROR(__xludf.DUMMYFUNCTION("""COMPUTED_VALUE"""),112.0)</f>
        <v>112</v>
      </c>
      <c r="E4457" s="237" t="str">
        <f>IFERROR(__xludf.DUMMYFUNCTION("""COMPUTED_VALUE"""),"LT1Q1B01WMH91")</f>
        <v>LT1Q1B01WMH91</v>
      </c>
      <c r="F4457" s="238" t="str">
        <f>IFERROR(__xludf.DUMMYFUNCTION("""COMPUTED_VALUE"""),"DPF9J14,GMN8E37")</f>
        <v>DPF9J14,GMN8E37</v>
      </c>
      <c r="G4457" s="238">
        <f>IFERROR(__xludf.DUMMYFUNCTION("""COMPUTED_VALUE"""),46033.125)</f>
        <v>46033.125</v>
      </c>
      <c r="H4457" s="238">
        <f>IFERROR(__xludf.DUMMYFUNCTION("""COMPUTED_VALUE"""),46033.20833333333)</f>
        <v>46033.20833</v>
      </c>
      <c r="I4457" s="237" t="str">
        <f t="shared" si="1"/>
        <v>Fora</v>
      </c>
      <c r="J4457" s="239">
        <v>118.99999998975545</v>
      </c>
    </row>
    <row r="4458">
      <c r="A4458" s="234" t="s">
        <v>5523</v>
      </c>
      <c r="B4458" s="234" t="str">
        <f>IFERROR(__xludf.DUMMYFUNCTION("""COMPUTED_VALUE"""),"SoC_MG_Betim")</f>
        <v>SoC_MG_Betim</v>
      </c>
      <c r="C4458" s="234" t="str">
        <f>IFERROR(__xludf.DUMMYFUNCTION("""COMPUTED_VALUE"""),"SOC-MG2")</f>
        <v>SOC-MG2</v>
      </c>
      <c r="D4458" s="234">
        <f>IFERROR(__xludf.DUMMYFUNCTION("""COMPUTED_VALUE"""),91.0)</f>
        <v>91</v>
      </c>
      <c r="E4458" s="237" t="str">
        <f>IFERROR(__xludf.DUMMYFUNCTION("""COMPUTED_VALUE"""),"LT0Q1A01VFF81")</f>
        <v>LT0Q1A01VFF81</v>
      </c>
      <c r="F4458" s="238" t="str">
        <f>IFERROR(__xludf.DUMMYFUNCTION("""COMPUTED_VALUE"""),"STT8D25,SVN1E68")</f>
        <v>STT8D25,SVN1E68</v>
      </c>
      <c r="G4458" s="238">
        <f>IFERROR(__xludf.DUMMYFUNCTION("""COMPUTED_VALUE"""),46033.12569444445)</f>
        <v>46033.12569</v>
      </c>
      <c r="H4458" s="238">
        <f>IFERROR(__xludf.DUMMYFUNCTION("""COMPUTED_VALUE"""),46033.20833333333)</f>
        <v>46033.20833</v>
      </c>
      <c r="I4458" s="237" t="str">
        <f t="shared" si="1"/>
        <v>Fora</v>
      </c>
      <c r="J4458" s="239">
        <v>119.99999999301508</v>
      </c>
    </row>
    <row r="4459">
      <c r="A4459" s="234" t="s">
        <v>5524</v>
      </c>
      <c r="B4459" s="234" t="str">
        <f>IFERROR(__xludf.DUMMYFUNCTION("""COMPUTED_VALUE"""),"SoC_MG_Betim")</f>
        <v>SoC_MG_Betim</v>
      </c>
      <c r="C4459" s="234" t="str">
        <f>IFERROR(__xludf.DUMMYFUNCTION("""COMPUTED_VALUE"""),"SOC-MG2")</f>
        <v>SOC-MG2</v>
      </c>
      <c r="D4459" s="234">
        <f>IFERROR(__xludf.DUMMYFUNCTION("""COMPUTED_VALUE"""),111.0)</f>
        <v>111</v>
      </c>
      <c r="E4459" s="237" t="str">
        <f>IFERROR(__xludf.DUMMYFUNCTION("""COMPUTED_VALUE"""),"LT1Q1B01WMHG1")</f>
        <v>LT1Q1B01WMHG1</v>
      </c>
      <c r="F4459" s="238" t="str">
        <f>IFERROR(__xludf.DUMMYFUNCTION("""COMPUTED_VALUE"""),"RDZ4J97,QTM4F47")</f>
        <v>RDZ4J97,QTM4F47</v>
      </c>
      <c r="G4459" s="238">
        <f>IFERROR(__xludf.DUMMYFUNCTION("""COMPUTED_VALUE"""),46033.16666666667)</f>
        <v>46033.16667</v>
      </c>
      <c r="H4459" s="238">
        <f>IFERROR(__xludf.DUMMYFUNCTION("""COMPUTED_VALUE"""),46033.25)</f>
        <v>46033.25</v>
      </c>
      <c r="I4459" s="237" t="str">
        <f t="shared" si="1"/>
        <v>Fora</v>
      </c>
      <c r="J4459" s="239">
        <v>119.99999999301508</v>
      </c>
    </row>
    <row r="4460">
      <c r="A4460" s="234" t="s">
        <v>5525</v>
      </c>
      <c r="B4460" s="234" t="str">
        <f>IFERROR(__xludf.DUMMYFUNCTION("""COMPUTED_VALUE"""),"SoC_PE_Jaboatão dos Guararapes")</f>
        <v>SoC_PE_Jaboatão dos Guararapes</v>
      </c>
      <c r="C4460" s="234" t="str">
        <f>IFERROR(__xludf.DUMMYFUNCTION("""COMPUTED_VALUE"""),"SOC-PE2")</f>
        <v>SOC-PE2</v>
      </c>
      <c r="D4460" s="234">
        <f>IFERROR(__xludf.DUMMYFUNCTION("""COMPUTED_VALUE"""),48.0)</f>
        <v>48</v>
      </c>
      <c r="E4460" s="237" t="str">
        <f>IFERROR(__xludf.DUMMYFUNCTION("""COMPUTED_VALUE"""),"LT1Q1B01WMHJ1")</f>
        <v>LT1Q1B01WMHJ1</v>
      </c>
      <c r="F4460" s="238" t="str">
        <f>IFERROR(__xludf.DUMMYFUNCTION("""COMPUTED_VALUE"""),"HGJ5D22,TXO0D11")</f>
        <v>HGJ5D22,TXO0D11</v>
      </c>
      <c r="G4460" s="238">
        <f>IFERROR(__xludf.DUMMYFUNCTION("""COMPUTED_VALUE"""),46033.16666666667)</f>
        <v>46033.16667</v>
      </c>
      <c r="H4460" s="238">
        <f>IFERROR(__xludf.DUMMYFUNCTION("""COMPUTED_VALUE"""),46033.25)</f>
        <v>46033.25</v>
      </c>
      <c r="I4460" s="237" t="str">
        <f t="shared" si="1"/>
        <v>Fora</v>
      </c>
      <c r="J4460" s="239">
        <v>119.99999999301508</v>
      </c>
    </row>
    <row r="4461">
      <c r="A4461" s="234" t="s">
        <v>5526</v>
      </c>
      <c r="B4461" s="234" t="str">
        <f>IFERROR(__xludf.DUMMYFUNCTION("""COMPUTED_VALUE"""),"SoC_PR_Curitiba")</f>
        <v>SoC_PR_Curitiba</v>
      </c>
      <c r="C4461" s="234" t="str">
        <f>IFERROR(__xludf.DUMMYFUNCTION("""COMPUTED_VALUE"""),"SOC-PR1")</f>
        <v>SOC-PR1</v>
      </c>
      <c r="D4461" s="234">
        <f>IFERROR(__xludf.DUMMYFUNCTION("""COMPUTED_VALUE"""),40.0)</f>
        <v>40</v>
      </c>
      <c r="E4461" s="237" t="str">
        <f>IFERROR(__xludf.DUMMYFUNCTION("""COMPUTED_VALUE"""),"LT1Q1B01WMT81")</f>
        <v>LT1Q1B01WMT81</v>
      </c>
      <c r="F4461" s="238" t="str">
        <f>IFERROR(__xludf.DUMMYFUNCTION("""COMPUTED_VALUE"""),"SXX3H06,SXW7B62")</f>
        <v>SXX3H06,SXW7B62</v>
      </c>
      <c r="G4461" s="238">
        <f>IFERROR(__xludf.DUMMYFUNCTION("""COMPUTED_VALUE"""),46033.16666666667)</f>
        <v>46033.16667</v>
      </c>
      <c r="H4461" s="238">
        <f>IFERROR(__xludf.DUMMYFUNCTION("""COMPUTED_VALUE"""),46033.25)</f>
        <v>46033.25</v>
      </c>
      <c r="I4461" s="237" t="str">
        <f t="shared" si="1"/>
        <v>Fora</v>
      </c>
      <c r="J4461" s="239">
        <v>119.99999999301508</v>
      </c>
    </row>
    <row r="4462">
      <c r="A4462" s="234" t="s">
        <v>5527</v>
      </c>
      <c r="B4462" s="234" t="str">
        <f>IFERROR(__xludf.DUMMYFUNCTION("""COMPUTED_VALUE"""),"SoC_RJ_Duque de Caxias")</f>
        <v>SoC_RJ_Duque de Caxias</v>
      </c>
      <c r="C4462" s="234" t="str">
        <f>IFERROR(__xludf.DUMMYFUNCTION("""COMPUTED_VALUE"""),"SOC-RJ2")</f>
        <v>SOC-RJ2</v>
      </c>
      <c r="D4462" s="234"/>
      <c r="E4462" s="237" t="str">
        <f>IFERROR(__xludf.DUMMYFUNCTION("""COMPUTED_VALUE"""),"LT1Q1A01WMI91")</f>
        <v>LT1Q1A01WMI91</v>
      </c>
      <c r="F4462" s="238" t="str">
        <f>IFERROR(__xludf.DUMMYFUNCTION("""COMPUTED_VALUE"""),"RJB3J86,AVT7G97")</f>
        <v>RJB3J86,AVT7G97</v>
      </c>
      <c r="G4462" s="238">
        <f>IFERROR(__xludf.DUMMYFUNCTION("""COMPUTED_VALUE"""),46033.16666666667)</f>
        <v>46033.16667</v>
      </c>
      <c r="H4462" s="238">
        <f>IFERROR(__xludf.DUMMYFUNCTION("""COMPUTED_VALUE"""),46033.25)</f>
        <v>46033.25</v>
      </c>
      <c r="I4462" s="237" t="str">
        <f t="shared" si="1"/>
        <v>Fora</v>
      </c>
      <c r="J4462" s="239">
        <v>119.99999999301508</v>
      </c>
    </row>
    <row r="4463">
      <c r="A4463" s="234" t="s">
        <v>5528</v>
      </c>
      <c r="B4463" s="234" t="str">
        <f>IFERROR(__xludf.DUMMYFUNCTION("""COMPUTED_VALUE"""),"SoC_RJ_Duque de Caxias")</f>
        <v>SoC_RJ_Duque de Caxias</v>
      </c>
      <c r="C4463" s="234" t="str">
        <f>IFERROR(__xludf.DUMMYFUNCTION("""COMPUTED_VALUE"""),"SOC-RJ2")</f>
        <v>SOC-RJ2</v>
      </c>
      <c r="D4463" s="234">
        <f>IFERROR(__xludf.DUMMYFUNCTION("""COMPUTED_VALUE"""),110.0)</f>
        <v>110</v>
      </c>
      <c r="E4463" s="237" t="str">
        <f>IFERROR(__xludf.DUMMYFUNCTION("""COMPUTED_VALUE"""),"LT1Q1B01WMHD1")</f>
        <v>LT1Q1B01WMHD1</v>
      </c>
      <c r="F4463" s="238" t="str">
        <f>IFERROR(__xludf.DUMMYFUNCTION("""COMPUTED_VALUE"""),"JGZ2838,KET3G80")</f>
        <v>JGZ2838,KET3G80</v>
      </c>
      <c r="G4463" s="238">
        <f>IFERROR(__xludf.DUMMYFUNCTION("""COMPUTED_VALUE"""),46033.16666666667)</f>
        <v>46033.16667</v>
      </c>
      <c r="H4463" s="238">
        <f>IFERROR(__xludf.DUMMYFUNCTION("""COMPUTED_VALUE"""),46033.25)</f>
        <v>46033.25</v>
      </c>
      <c r="I4463" s="237" t="str">
        <f t="shared" si="1"/>
        <v>Fora</v>
      </c>
      <c r="J4463" s="239">
        <v>119.00000000023283</v>
      </c>
    </row>
    <row r="4464">
      <c r="A4464" s="234" t="s">
        <v>5529</v>
      </c>
      <c r="B4464" s="234" t="str">
        <f>IFERROR(__xludf.DUMMYFUNCTION("""COMPUTED_VALUE"""),"SoC_BA_Simoes Filho")</f>
        <v>SoC_BA_Simoes Filho</v>
      </c>
      <c r="C4464" s="234" t="str">
        <f>IFERROR(__xludf.DUMMYFUNCTION("""COMPUTED_VALUE"""),"SOC-BA2")</f>
        <v>SOC-BA2</v>
      </c>
      <c r="D4464" s="234" t="str">
        <f>IFERROR(__xludf.DUMMYFUNCTION("""COMPUTED_VALUE"""),"89/113")</f>
        <v>89/113</v>
      </c>
      <c r="E4464" s="237" t="str">
        <f>IFERROR(__xludf.DUMMYFUNCTION("""COMPUTED_VALUE"""),"LT0Q1A01VLAL1")</f>
        <v>LT0Q1A01VLAL1</v>
      </c>
      <c r="F4464" s="238" t="str">
        <f>IFERROR(__xludf.DUMMYFUNCTION("""COMPUTED_VALUE"""),"EFV4J64,GDZ1J49")</f>
        <v>EFV4J64,GDZ1J49</v>
      </c>
      <c r="G4464" s="238">
        <f>IFERROR(__xludf.DUMMYFUNCTION("""COMPUTED_VALUE"""),46033.16736111111)</f>
        <v>46033.16736</v>
      </c>
      <c r="H4464" s="238">
        <f>IFERROR(__xludf.DUMMYFUNCTION("""COMPUTED_VALUE"""),46033.25)</f>
        <v>46033.25</v>
      </c>
      <c r="I4464" s="237" t="str">
        <f t="shared" si="1"/>
        <v>Fora</v>
      </c>
      <c r="J4464" s="239">
        <v>119.00000000023283</v>
      </c>
    </row>
    <row r="4465">
      <c r="A4465" s="234" t="s">
        <v>5530</v>
      </c>
      <c r="B4465" s="234" t="str">
        <f>IFERROR(__xludf.DUMMYFUNCTION("""COMPUTED_VALUE"""),"SoC_RJ_Duque de Caxias")</f>
        <v>SoC_RJ_Duque de Caxias</v>
      </c>
      <c r="C4465" s="234" t="str">
        <f>IFERROR(__xludf.DUMMYFUNCTION("""COMPUTED_VALUE"""),"SOC-RJ2")</f>
        <v>SOC-RJ2</v>
      </c>
      <c r="D4465" s="234"/>
      <c r="E4465" s="237" t="str">
        <f>IFERROR(__xludf.DUMMYFUNCTION("""COMPUTED_VALUE"""),"LT1Q1B01WMT41")</f>
        <v>LT1Q1B01WMT41</v>
      </c>
      <c r="F4465" s="238" t="str">
        <f>IFERROR(__xludf.DUMMYFUNCTION("""COMPUTED_VALUE"""),"BSX0I27,FBV8J63")</f>
        <v>BSX0I27,FBV8J63</v>
      </c>
      <c r="G4465" s="238">
        <f>IFERROR(__xludf.DUMMYFUNCTION("""COMPUTED_VALUE"""),46033.16736111111)</f>
        <v>46033.16736</v>
      </c>
      <c r="H4465" s="238">
        <f>IFERROR(__xludf.DUMMYFUNCTION("""COMPUTED_VALUE"""),46033.25)</f>
        <v>46033.25</v>
      </c>
      <c r="I4465" s="237" t="str">
        <f t="shared" si="1"/>
        <v>Fora</v>
      </c>
      <c r="J4465" s="239">
        <v>119.00000000023283</v>
      </c>
    </row>
    <row r="4466">
      <c r="A4466" s="234" t="s">
        <v>5531</v>
      </c>
      <c r="B4466" s="234" t="str">
        <f>IFERROR(__xludf.DUMMYFUNCTION("""COMPUTED_VALUE"""),"SoC_RS_Gravataí_02")</f>
        <v>SoC_RS_Gravataí_02</v>
      </c>
      <c r="C4466" s="234" t="str">
        <f>IFERROR(__xludf.DUMMYFUNCTION("""COMPUTED_VALUE"""),"SOC-RS2")</f>
        <v>SOC-RS2</v>
      </c>
      <c r="D4466" s="234">
        <f>IFERROR(__xludf.DUMMYFUNCTION("""COMPUTED_VALUE"""),114.0)</f>
        <v>114</v>
      </c>
      <c r="E4466" s="237" t="str">
        <f>IFERROR(__xludf.DUMMYFUNCTION("""COMPUTED_VALUE"""),"LT0Q1A01VLMO2")</f>
        <v>LT0Q1A01VLMO2</v>
      </c>
      <c r="F4466" s="238" t="str">
        <f>IFERROR(__xludf.DUMMYFUNCTION("""COMPUTED_VALUE"""),"SVM0A66,CQU0E55")</f>
        <v>SVM0A66,CQU0E55</v>
      </c>
      <c r="G4466" s="238">
        <f>IFERROR(__xludf.DUMMYFUNCTION("""COMPUTED_VALUE"""),46033.16736111111)</f>
        <v>46033.16736</v>
      </c>
      <c r="H4466" s="238">
        <f>IFERROR(__xludf.DUMMYFUNCTION("""COMPUTED_VALUE"""),46033.25)</f>
        <v>46033.25</v>
      </c>
      <c r="I4466" s="237" t="str">
        <f t="shared" si="1"/>
        <v>Fora</v>
      </c>
      <c r="J4466" s="239">
        <v>540.0</v>
      </c>
    </row>
    <row r="4467">
      <c r="A4467" s="234" t="s">
        <v>5532</v>
      </c>
      <c r="B4467" s="234" t="str">
        <f>IFERROR(__xludf.DUMMYFUNCTION("""COMPUTED_VALUE"""),"SoC_MG_Betim")</f>
        <v>SoC_MG_Betim</v>
      </c>
      <c r="C4467" s="234" t="str">
        <f>IFERROR(__xludf.DUMMYFUNCTION("""COMPUTED_VALUE"""),"SOC-MG2")</f>
        <v>SOC-MG2</v>
      </c>
      <c r="D4467" s="234"/>
      <c r="E4467" s="237" t="str">
        <f>IFERROR(__xludf.DUMMYFUNCTION("""COMPUTED_VALUE"""),"LT0Q1A01VQYN1")</f>
        <v>LT0Q1A01VQYN1</v>
      </c>
      <c r="F4467" s="238" t="str">
        <f>IFERROR(__xludf.DUMMYFUNCTION("""COMPUTED_VALUE"""),"RFE4B95,MLT4098")</f>
        <v>RFE4B95,MLT4098</v>
      </c>
      <c r="G4467" s="238">
        <f>IFERROR(__xludf.DUMMYFUNCTION("""COMPUTED_VALUE"""),46032.91666666667)</f>
        <v>46032.91667</v>
      </c>
      <c r="H4467" s="238">
        <f>IFERROR(__xludf.DUMMYFUNCTION("""COMPUTED_VALUE"""),46033.29166666667)</f>
        <v>46033.29167</v>
      </c>
      <c r="I4467" s="237" t="str">
        <f t="shared" si="1"/>
        <v>Fora</v>
      </c>
      <c r="J4467" s="239">
        <v>540.0</v>
      </c>
    </row>
    <row r="4468">
      <c r="A4468" s="234" t="s">
        <v>5533</v>
      </c>
      <c r="B4468" s="234" t="str">
        <f>IFERROR(__xludf.DUMMYFUNCTION("""COMPUTED_VALUE"""),"SoC_PE_Jaboatão dos Guararapes")</f>
        <v>SoC_PE_Jaboatão dos Guararapes</v>
      </c>
      <c r="C4468" s="234" t="str">
        <f>IFERROR(__xludf.DUMMYFUNCTION("""COMPUTED_VALUE"""),"SOC-PE2")</f>
        <v>SOC-PE2</v>
      </c>
      <c r="D4468" s="234">
        <f>IFERROR(__xludf.DUMMYFUNCTION("""COMPUTED_VALUE"""),98.0)</f>
        <v>98</v>
      </c>
      <c r="E4468" s="237" t="str">
        <f>IFERROR(__xludf.DUMMYFUNCTION("""COMPUTED_VALUE"""),"LT0Q1A01VL6V1")</f>
        <v>LT0Q1A01VL6V1</v>
      </c>
      <c r="F4468" s="238" t="str">
        <f>IFERROR(__xludf.DUMMYFUNCTION("""COMPUTED_VALUE"""),"MJD9337,SXK5A73")</f>
        <v>MJD9337,SXK5A73</v>
      </c>
      <c r="G4468" s="238">
        <f>IFERROR(__xludf.DUMMYFUNCTION("""COMPUTED_VALUE"""),46032.91666666667)</f>
        <v>46032.91667</v>
      </c>
      <c r="H4468" s="238">
        <f>IFERROR(__xludf.DUMMYFUNCTION("""COMPUTED_VALUE"""),46033.29166666667)</f>
        <v>46033.29167</v>
      </c>
      <c r="I4468" s="237" t="str">
        <f t="shared" si="1"/>
        <v>Fora</v>
      </c>
      <c r="J4468" s="239">
        <v>539.0000000072177</v>
      </c>
    </row>
    <row r="4469">
      <c r="A4469" s="234" t="s">
        <v>5534</v>
      </c>
      <c r="B4469" s="234" t="str">
        <f>IFERROR(__xludf.DUMMYFUNCTION("""COMPUTED_VALUE"""),"SoC_BA_Simoes Filho")</f>
        <v>SoC_BA_Simoes Filho</v>
      </c>
      <c r="C4469" s="234" t="str">
        <f>IFERROR(__xludf.DUMMYFUNCTION("""COMPUTED_VALUE"""),"SOC-BA2")</f>
        <v>SOC-BA2</v>
      </c>
      <c r="D4469" s="234"/>
      <c r="E4469" s="237" t="str">
        <f>IFERROR(__xludf.DUMMYFUNCTION("""COMPUTED_VALUE"""),"LT0Q1A01VLAN2")</f>
        <v>LT0Q1A01VLAN2</v>
      </c>
      <c r="F4469" s="238" t="str">
        <f>IFERROR(__xludf.DUMMYFUNCTION("""COMPUTED_VALUE"""),"STT0I32,TDI4I62")</f>
        <v>STT0I32,TDI4I62</v>
      </c>
      <c r="G4469" s="238">
        <f>IFERROR(__xludf.DUMMYFUNCTION("""COMPUTED_VALUE"""),46032.91736111111)</f>
        <v>46032.91736</v>
      </c>
      <c r="H4469" s="238">
        <f>IFERROR(__xludf.DUMMYFUNCTION("""COMPUTED_VALUE"""),46033.29166666667)</f>
        <v>46033.29167</v>
      </c>
      <c r="I4469" s="237" t="str">
        <f t="shared" si="1"/>
        <v>Fora</v>
      </c>
      <c r="J4469" s="239">
        <v>539.0000000072177</v>
      </c>
    </row>
    <row r="4470">
      <c r="A4470" s="234" t="s">
        <v>5535</v>
      </c>
      <c r="B4470" s="234" t="str">
        <f>IFERROR(__xludf.DUMMYFUNCTION("""COMPUTED_VALUE"""),"SoC_RJ_Duque de Caxias")</f>
        <v>SoC_RJ_Duque de Caxias</v>
      </c>
      <c r="C4470" s="234" t="str">
        <f>IFERROR(__xludf.DUMMYFUNCTION("""COMPUTED_VALUE"""),"SOC-RJ2")</f>
        <v>SOC-RJ2</v>
      </c>
      <c r="D4470" s="234">
        <f>IFERROR(__xludf.DUMMYFUNCTION("""COMPUTED_VALUE"""),111.0)</f>
        <v>111</v>
      </c>
      <c r="E4470" s="237" t="str">
        <f>IFERROR(__xludf.DUMMYFUNCTION("""COMPUTED_VALUE"""),"LT0Q1A01VRQZ1")</f>
        <v>LT0Q1A01VRQZ1</v>
      </c>
      <c r="F4470" s="238" t="str">
        <f>IFERROR(__xludf.DUMMYFUNCTION("""COMPUTED_VALUE"""),"EVO9D64,DJE4A81")</f>
        <v>EVO9D64,DJE4A81</v>
      </c>
      <c r="G4470" s="238">
        <f>IFERROR(__xludf.DUMMYFUNCTION("""COMPUTED_VALUE"""),46032.91736111111)</f>
        <v>46032.91736</v>
      </c>
      <c r="H4470" s="238">
        <f>IFERROR(__xludf.DUMMYFUNCTION("""COMPUTED_VALUE"""),46033.29166666667)</f>
        <v>46033.29167</v>
      </c>
      <c r="I4470" s="237" t="str">
        <f t="shared" si="1"/>
        <v>Fora</v>
      </c>
      <c r="J4470" s="239">
        <v>539.0000000072177</v>
      </c>
    </row>
    <row r="4471">
      <c r="A4471" s="234" t="s">
        <v>5536</v>
      </c>
      <c r="B4471" s="234" t="str">
        <f>IFERROR(__xludf.DUMMYFUNCTION("""COMPUTED_VALUE"""),"SoC_RJ_Duque de Caxias")</f>
        <v>SoC_RJ_Duque de Caxias</v>
      </c>
      <c r="C4471" s="234" t="str">
        <f>IFERROR(__xludf.DUMMYFUNCTION("""COMPUTED_VALUE"""),"SOC-RJ2")</f>
        <v>SOC-RJ2</v>
      </c>
      <c r="D4471" s="234">
        <f>IFERROR(__xludf.DUMMYFUNCTION("""COMPUTED_VALUE"""),96.0)</f>
        <v>96</v>
      </c>
      <c r="E4471" s="237" t="str">
        <f>IFERROR(__xludf.DUMMYFUNCTION("""COMPUTED_VALUE"""),"LT0Q1A01VRR12")</f>
        <v>LT0Q1A01VRR12</v>
      </c>
      <c r="F4471" s="238" t="str">
        <f>IFERROR(__xludf.DUMMYFUNCTION("""COMPUTED_VALUE"""),"RKC5B61,RKB3J74")</f>
        <v>RKC5B61,RKB3J74</v>
      </c>
      <c r="G4471" s="238">
        <f>IFERROR(__xludf.DUMMYFUNCTION("""COMPUTED_VALUE"""),46032.91736111111)</f>
        <v>46032.91736</v>
      </c>
      <c r="H4471" s="238">
        <f>IFERROR(__xludf.DUMMYFUNCTION("""COMPUTED_VALUE"""),46033.29166666667)</f>
        <v>46033.29167</v>
      </c>
      <c r="I4471" s="237" t="str">
        <f t="shared" si="1"/>
        <v>Fora</v>
      </c>
      <c r="J4471" s="239">
        <v>539.0000000072177</v>
      </c>
    </row>
    <row r="4472">
      <c r="A4472" s="234" t="s">
        <v>5537</v>
      </c>
      <c r="B4472" s="234" t="str">
        <f>IFERROR(__xludf.DUMMYFUNCTION("""COMPUTED_VALUE"""),"SoC_RS_Gravataí_02")</f>
        <v>SoC_RS_Gravataí_02</v>
      </c>
      <c r="C4472" s="234" t="str">
        <f>IFERROR(__xludf.DUMMYFUNCTION("""COMPUTED_VALUE"""),"SOC-RS2")</f>
        <v>SOC-RS2</v>
      </c>
      <c r="D4472" s="234">
        <f>IFERROR(__xludf.DUMMYFUNCTION("""COMPUTED_VALUE"""),102.0)</f>
        <v>102</v>
      </c>
      <c r="E4472" s="237" t="str">
        <f>IFERROR(__xludf.DUMMYFUNCTION("""COMPUTED_VALUE"""),"LT0Q1A01VLMM1")</f>
        <v>LT0Q1A01VLMM1</v>
      </c>
      <c r="F4472" s="238" t="str">
        <f>IFERROR(__xludf.DUMMYFUNCTION("""COMPUTED_VALUE"""),"TPM8D15,TPY4B58")</f>
        <v>TPM8D15,TPY4B58</v>
      </c>
      <c r="G4472" s="238">
        <f>IFERROR(__xludf.DUMMYFUNCTION("""COMPUTED_VALUE"""),46032.91736111111)</f>
        <v>46032.91736</v>
      </c>
      <c r="H4472" s="238">
        <f>IFERROR(__xludf.DUMMYFUNCTION("""COMPUTED_VALUE"""),46033.29166666667)</f>
        <v>46033.29167</v>
      </c>
      <c r="I4472" s="237" t="str">
        <f t="shared" si="1"/>
        <v>Fora</v>
      </c>
      <c r="J4472" s="239">
        <v>539.0000000072177</v>
      </c>
    </row>
    <row r="4473">
      <c r="A4473" s="234" t="s">
        <v>5538</v>
      </c>
      <c r="B4473" s="234" t="str">
        <f>IFERROR(__xludf.DUMMYFUNCTION("""COMPUTED_VALUE"""),"SoC_SP_Cravinhos")</f>
        <v>SoC_SP_Cravinhos</v>
      </c>
      <c r="C4473" s="234" t="str">
        <f>IFERROR(__xludf.DUMMYFUNCTION("""COMPUTED_VALUE"""),"SOC-SP5")</f>
        <v>SOC-SP5</v>
      </c>
      <c r="D4473" s="234">
        <f>IFERROR(__xludf.DUMMYFUNCTION("""COMPUTED_VALUE"""),94.0)</f>
        <v>94</v>
      </c>
      <c r="E4473" s="237" t="str">
        <f>IFERROR(__xludf.DUMMYFUNCTION("""COMPUTED_VALUE"""),"LT0Q1A01VFGO1")</f>
        <v>LT0Q1A01VFGO1</v>
      </c>
      <c r="F4473" s="238" t="str">
        <f>IFERROR(__xludf.DUMMYFUNCTION("""COMPUTED_VALUE"""),"GJH4E86,DTC2A15")</f>
        <v>GJH4E86,DTC2A15</v>
      </c>
      <c r="G4473" s="238">
        <f>IFERROR(__xludf.DUMMYFUNCTION("""COMPUTED_VALUE"""),46032.91736111111)</f>
        <v>46032.91736</v>
      </c>
      <c r="H4473" s="238">
        <f>IFERROR(__xludf.DUMMYFUNCTION("""COMPUTED_VALUE"""),46033.29166666667)</f>
        <v>46033.29167</v>
      </c>
      <c r="I4473" s="237" t="str">
        <f t="shared" si="1"/>
        <v>Fora</v>
      </c>
      <c r="J4473" s="239">
        <v>539.0000000072177</v>
      </c>
    </row>
    <row r="4474">
      <c r="A4474" s="234" t="s">
        <v>5539</v>
      </c>
      <c r="B4474" s="234" t="str">
        <f>IFERROR(__xludf.DUMMYFUNCTION("""COMPUTED_VALUE"""),"SoC_SP_Cravinhos")</f>
        <v>SoC_SP_Cravinhos</v>
      </c>
      <c r="C4474" s="234" t="str">
        <f>IFERROR(__xludf.DUMMYFUNCTION("""COMPUTED_VALUE"""),"SOC-SP5")</f>
        <v>SOC-SP5</v>
      </c>
      <c r="D4474" s="234" t="str">
        <f>IFERROR(__xludf.DUMMYFUNCTION("""COMPUTED_VALUE"""),"95/113")</f>
        <v>95/113</v>
      </c>
      <c r="E4474" s="237" t="str">
        <f>IFERROR(__xludf.DUMMYFUNCTION("""COMPUTED_VALUE"""),"LT0Q1A01VFGQ2")</f>
        <v>LT0Q1A01VFGQ2</v>
      </c>
      <c r="F4474" s="238" t="str">
        <f>IFERROR(__xludf.DUMMYFUNCTION("""COMPUTED_VALUE"""),"FEK3A22,EWJ2318")</f>
        <v>FEK3A22,EWJ2318</v>
      </c>
      <c r="G4474" s="238">
        <f>IFERROR(__xludf.DUMMYFUNCTION("""COMPUTED_VALUE"""),46032.91736111111)</f>
        <v>46032.91736</v>
      </c>
      <c r="H4474" s="238">
        <f>IFERROR(__xludf.DUMMYFUNCTION("""COMPUTED_VALUE"""),46033.29166666667)</f>
        <v>46033.29167</v>
      </c>
      <c r="I4474" s="237" t="str">
        <f t="shared" si="1"/>
        <v>Fora</v>
      </c>
      <c r="J4474" s="239">
        <v>119.99999999301508</v>
      </c>
    </row>
    <row r="4475">
      <c r="A4475" s="234" t="s">
        <v>5540</v>
      </c>
      <c r="B4475" s="234" t="str">
        <f>IFERROR(__xludf.DUMMYFUNCTION("""COMPUTED_VALUE"""),"SoC_SP_Cravinhos")</f>
        <v>SoC_SP_Cravinhos</v>
      </c>
      <c r="C4475" s="234" t="str">
        <f>IFERROR(__xludf.DUMMYFUNCTION("""COMPUTED_VALUE"""),"SOC-SP5")</f>
        <v>SOC-SP5</v>
      </c>
      <c r="D4475" s="234" t="str">
        <f>IFERROR(__xludf.DUMMYFUNCTION("""COMPUTED_VALUE"""),"95/8")</f>
        <v>95/8</v>
      </c>
      <c r="E4475" s="237" t="str">
        <f>IFERROR(__xludf.DUMMYFUNCTION("""COMPUTED_VALUE"""),"LT0Q1C01WIBC1")</f>
        <v>LT0Q1C01WIBC1</v>
      </c>
      <c r="F4475" s="238" t="str">
        <f>IFERROR(__xludf.DUMMYFUNCTION("""COMPUTED_VALUE"""),"EFO9A89,FQE7D14")</f>
        <v>EFO9A89,FQE7D14</v>
      </c>
      <c r="G4475" s="238">
        <f>IFERROR(__xludf.DUMMYFUNCTION("""COMPUTED_VALUE"""),46034.66666666667)</f>
        <v>46034.66667</v>
      </c>
      <c r="H4475" s="238">
        <f>IFERROR(__xludf.DUMMYFUNCTION("""COMPUTED_VALUE"""),46034.75)</f>
        <v>46034.75</v>
      </c>
      <c r="I4475" s="237" t="str">
        <f t="shared" si="1"/>
        <v>Fora</v>
      </c>
      <c r="J4475" s="239">
        <v>119.99999999301508</v>
      </c>
    </row>
    <row r="4476">
      <c r="A4476" s="234" t="s">
        <v>5541</v>
      </c>
      <c r="B4476" s="234" t="str">
        <f>IFERROR(__xludf.DUMMYFUNCTION("""COMPUTED_VALUE"""),"SoC_SP_Cravinhos")</f>
        <v>SoC_SP_Cravinhos</v>
      </c>
      <c r="C4476" s="234" t="str">
        <f>IFERROR(__xludf.DUMMYFUNCTION("""COMPUTED_VALUE"""),"SOC-SP5")</f>
        <v>SOC-SP5</v>
      </c>
      <c r="D4476" s="234">
        <f>IFERROR(__xludf.DUMMYFUNCTION("""COMPUTED_VALUE"""),94.0)</f>
        <v>94</v>
      </c>
      <c r="E4476" s="237" t="str">
        <f>IFERROR(__xludf.DUMMYFUNCTION("""COMPUTED_VALUE"""),"LT1Q1C01WNDF1")</f>
        <v>LT1Q1C01WNDF1</v>
      </c>
      <c r="F4476" s="238" t="str">
        <f>IFERROR(__xludf.DUMMYFUNCTION("""COMPUTED_VALUE"""),"UFN3F88,UGE6J17")</f>
        <v>UFN3F88,UGE6J17</v>
      </c>
      <c r="G4476" s="238">
        <f>IFERROR(__xludf.DUMMYFUNCTION("""COMPUTED_VALUE"""),46034.79166666667)</f>
        <v>46034.79167</v>
      </c>
      <c r="H4476" s="238">
        <f>IFERROR(__xludf.DUMMYFUNCTION("""COMPUTED_VALUE"""),46034.875)</f>
        <v>46034.875</v>
      </c>
      <c r="I4476" s="237" t="str">
        <f t="shared" si="1"/>
        <v>Fora</v>
      </c>
      <c r="J4476" s="239">
        <v>119.99999999301508</v>
      </c>
    </row>
    <row r="4477">
      <c r="A4477" s="234" t="s">
        <v>5542</v>
      </c>
      <c r="B4477" s="234" t="str">
        <f>IFERROR(__xludf.DUMMYFUNCTION("""COMPUTED_VALUE"""),"LM Hub_SP_São Bernardo do Campo")</f>
        <v>LM Hub_SP_São Bernardo do Campo</v>
      </c>
      <c r="C4477" s="234" t="str">
        <f>IFERROR(__xludf.DUMMYFUNCTION("""COMPUTED_VALUE"""),"HUB-LSP-79")</f>
        <v>HUB-LSP-79</v>
      </c>
      <c r="D4477" s="234">
        <f>IFERROR(__xludf.DUMMYFUNCTION("""COMPUTED_VALUE"""),19.0)</f>
        <v>19</v>
      </c>
      <c r="E4477" s="237" t="str">
        <f>IFERROR(__xludf.DUMMYFUNCTION("""COMPUTED_VALUE"""),"LT0Q1C01W9TK1")</f>
        <v>LT0Q1C01W9TK1</v>
      </c>
      <c r="F4477" s="238" t="str">
        <f>IFERROR(__xludf.DUMMYFUNCTION("""COMPUTED_VALUE"""),"NKW3F61")</f>
        <v>NKW3F61</v>
      </c>
      <c r="G4477" s="238">
        <f>IFERROR(__xludf.DUMMYFUNCTION("""COMPUTED_VALUE"""),46034.875)</f>
        <v>46034.875</v>
      </c>
      <c r="H4477" s="238">
        <f>IFERROR(__xludf.DUMMYFUNCTION("""COMPUTED_VALUE"""),46034.95833333333)</f>
        <v>46034.95833</v>
      </c>
      <c r="I4477" s="237" t="str">
        <f t="shared" si="1"/>
        <v>Fora</v>
      </c>
      <c r="J4477" s="239">
        <v>120.00000001396984</v>
      </c>
    </row>
    <row r="4478">
      <c r="A4478" s="234" t="s">
        <v>5543</v>
      </c>
      <c r="B4478" s="234" t="str">
        <f>IFERROR(__xludf.DUMMYFUNCTION("""COMPUTED_VALUE"""),"LM Hub_SP_Itaqua_Zimba")</f>
        <v>LM Hub_SP_Itaqua_Zimba</v>
      </c>
      <c r="C4478" s="234" t="str">
        <f>IFERROR(__xludf.DUMMYFUNCTION("""COMPUTED_VALUE"""),"HUB-LSP-74")</f>
        <v>HUB-LSP-74</v>
      </c>
      <c r="D4478" s="234">
        <f>IFERROR(__xludf.DUMMYFUNCTION("""COMPUTED_VALUE"""),14.0)</f>
        <v>14</v>
      </c>
      <c r="E4478" s="237" t="str">
        <f>IFERROR(__xludf.DUMMYFUNCTION("""COMPUTED_VALUE"""),"LT0Q1C01W98P1")</f>
        <v>LT0Q1C01W98P1</v>
      </c>
      <c r="F4478" s="238" t="str">
        <f>IFERROR(__xludf.DUMMYFUNCTION("""COMPUTED_VALUE"""),"SUQ5C99,TLD5B82")</f>
        <v>SUQ5C99,TLD5B82</v>
      </c>
      <c r="G4478" s="238">
        <f>IFERROR(__xludf.DUMMYFUNCTION("""COMPUTED_VALUE"""),46034.89583333333)</f>
        <v>46034.89583</v>
      </c>
      <c r="H4478" s="238">
        <f>IFERROR(__xludf.DUMMYFUNCTION("""COMPUTED_VALUE"""),46034.97916666667)</f>
        <v>46034.97917</v>
      </c>
      <c r="I4478" s="237" t="str">
        <f t="shared" si="1"/>
        <v>Fora</v>
      </c>
      <c r="J4478" s="239">
        <v>120.00000001396984</v>
      </c>
    </row>
    <row r="4479">
      <c r="A4479" s="234" t="s">
        <v>5544</v>
      </c>
      <c r="B4479" s="234" t="str">
        <f>IFERROR(__xludf.DUMMYFUNCTION("""COMPUTED_VALUE"""),"LM Hub_SP_Jurubatuba")</f>
        <v>LM Hub_SP_Jurubatuba</v>
      </c>
      <c r="C4479" s="234" t="str">
        <f>IFERROR(__xludf.DUMMYFUNCTION("""COMPUTED_VALUE"""),"HUB-LSP-16")</f>
        <v>HUB-LSP-16</v>
      </c>
      <c r="D4479" s="234">
        <f>IFERROR(__xludf.DUMMYFUNCTION("""COMPUTED_VALUE"""),15.0)</f>
        <v>15</v>
      </c>
      <c r="E4479" s="237" t="str">
        <f>IFERROR(__xludf.DUMMYFUNCTION("""COMPUTED_VALUE"""),"LT0Q1C01W9751")</f>
        <v>LT0Q1C01W9751</v>
      </c>
      <c r="F4479" s="238" t="str">
        <f>IFERROR(__xludf.DUMMYFUNCTION("""COMPUTED_VALUE"""),"CUA7C61,FPW0F14")</f>
        <v>CUA7C61,FPW0F14</v>
      </c>
      <c r="G4479" s="238">
        <f>IFERROR(__xludf.DUMMYFUNCTION("""COMPUTED_VALUE"""),46034.89583333333)</f>
        <v>46034.89583</v>
      </c>
      <c r="H4479" s="238">
        <f>IFERROR(__xludf.DUMMYFUNCTION("""COMPUTED_VALUE"""),46034.97916666667)</f>
        <v>46034.97917</v>
      </c>
      <c r="I4479" s="237" t="str">
        <f t="shared" si="1"/>
        <v>Fora</v>
      </c>
      <c r="J4479" s="239">
        <v>120.00000001396984</v>
      </c>
    </row>
    <row r="4480">
      <c r="A4480" s="234" t="s">
        <v>5545</v>
      </c>
      <c r="B4480" s="234" t="str">
        <f>IFERROR(__xludf.DUMMYFUNCTION("""COMPUTED_VALUE"""),"LM Hub_SP_Santos_Praia Grande")</f>
        <v>LM Hub_SP_Santos_Praia Grande</v>
      </c>
      <c r="C4480" s="234" t="str">
        <f>IFERROR(__xludf.DUMMYFUNCTION("""COMPUTED_VALUE"""),"HUB-LSP-09")</f>
        <v>HUB-LSP-09</v>
      </c>
      <c r="D4480" s="234">
        <f>IFERROR(__xludf.DUMMYFUNCTION("""COMPUTED_VALUE"""),23.0)</f>
        <v>23</v>
      </c>
      <c r="E4480" s="237" t="str">
        <f>IFERROR(__xludf.DUMMYFUNCTION("""COMPUTED_VALUE"""),"LT0Q1C01W9AO1")</f>
        <v>LT0Q1C01W9AO1</v>
      </c>
      <c r="F4480" s="238" t="str">
        <f>IFERROR(__xludf.DUMMYFUNCTION("""COMPUTED_VALUE"""),"GIV3H68,TLX8G42")</f>
        <v>GIV3H68,TLX8G42</v>
      </c>
      <c r="G4480" s="238">
        <f>IFERROR(__xludf.DUMMYFUNCTION("""COMPUTED_VALUE"""),46034.89583333333)</f>
        <v>46034.89583</v>
      </c>
      <c r="H4480" s="238">
        <f>IFERROR(__xludf.DUMMYFUNCTION("""COMPUTED_VALUE"""),46034.97916666667)</f>
        <v>46034.97917</v>
      </c>
      <c r="I4480" s="237" t="str">
        <f t="shared" si="1"/>
        <v>Fora</v>
      </c>
      <c r="J4480" s="239">
        <v>120.00000001396984</v>
      </c>
    </row>
    <row r="4481">
      <c r="A4481" s="234" t="s">
        <v>5546</v>
      </c>
      <c r="B4481" s="234" t="str">
        <f>IFERROR(__xludf.DUMMYFUNCTION("""COMPUTED_VALUE"""),"LM Hub_SP_São Paulo_Lapa")</f>
        <v>LM Hub_SP_São Paulo_Lapa</v>
      </c>
      <c r="C4481" s="234" t="str">
        <f>IFERROR(__xludf.DUMMYFUNCTION("""COMPUTED_VALUE"""),"HUB-LSP-15")</f>
        <v>HUB-LSP-15</v>
      </c>
      <c r="D4481" s="234"/>
      <c r="E4481" s="237" t="str">
        <f>IFERROR(__xludf.DUMMYFUNCTION("""COMPUTED_VALUE"""),"LT0Q1C01W96R1")</f>
        <v>LT0Q1C01W96R1</v>
      </c>
      <c r="F4481" s="234"/>
      <c r="G4481" s="238">
        <f>IFERROR(__xludf.DUMMYFUNCTION("""COMPUTED_VALUE"""),46034.89583333333)</f>
        <v>46034.89583</v>
      </c>
      <c r="H4481" s="238">
        <f>IFERROR(__xludf.DUMMYFUNCTION("""COMPUTED_VALUE"""),46034.97916666667)</f>
        <v>46034.97917</v>
      </c>
      <c r="I4481" s="237" t="str">
        <f t="shared" si="1"/>
        <v>Fora</v>
      </c>
      <c r="J4481" s="239">
        <v>118.99999998975545</v>
      </c>
    </row>
    <row r="4482">
      <c r="A4482" s="234" t="s">
        <v>5547</v>
      </c>
      <c r="B4482" s="234" t="str">
        <f>IFERROR(__xludf.DUMMYFUNCTION("""COMPUTED_VALUE"""),"LM Hub_SP_Guarujá")</f>
        <v>LM Hub_SP_Guarujá</v>
      </c>
      <c r="C4482" s="234" t="str">
        <f>IFERROR(__xludf.DUMMYFUNCTION("""COMPUTED_VALUE"""),"HUB-LSP-06")</f>
        <v>HUB-LSP-06</v>
      </c>
      <c r="D4482" s="234">
        <f>IFERROR(__xludf.DUMMYFUNCTION("""COMPUTED_VALUE"""),33.0)</f>
        <v>33</v>
      </c>
      <c r="E4482" s="237" t="str">
        <f>IFERROR(__xludf.DUMMYFUNCTION("""COMPUTED_VALUE"""),"LT0Q1C01W99M1")</f>
        <v>LT0Q1C01W99M1</v>
      </c>
      <c r="F4482" s="238" t="str">
        <f>IFERROR(__xludf.DUMMYFUNCTION("""COMPUTED_VALUE"""),"TJN5H17")</f>
        <v>TJN5H17</v>
      </c>
      <c r="G4482" s="238">
        <f>IFERROR(__xludf.DUMMYFUNCTION("""COMPUTED_VALUE"""),46034.91666666667)</f>
        <v>46034.91667</v>
      </c>
      <c r="H4482" s="238">
        <f>IFERROR(__xludf.DUMMYFUNCTION("""COMPUTED_VALUE"""),46034.99930555555)</f>
        <v>46034.99931</v>
      </c>
      <c r="I4482" s="237" t="str">
        <f t="shared" si="1"/>
        <v>Fora</v>
      </c>
      <c r="J4482" s="239">
        <v>119.99999999301508</v>
      </c>
    </row>
    <row r="4483">
      <c r="A4483" s="234" t="s">
        <v>5548</v>
      </c>
      <c r="B4483" s="234" t="str">
        <f>IFERROR(__xludf.DUMMYFUNCTION("""COMPUTED_VALUE"""),"LM Hub_RS_Porto Alegre_Floresta")</f>
        <v>LM Hub_RS_Porto Alegre_Floresta</v>
      </c>
      <c r="C4483" s="234" t="str">
        <f>IFERROR(__xludf.DUMMYFUNCTION("""COMPUTED_VALUE"""),"HUB-LRS-03")</f>
        <v>HUB-LRS-03</v>
      </c>
      <c r="D4483" s="234"/>
      <c r="E4483" s="237" t="str">
        <f>IFERROR(__xludf.DUMMYFUNCTION("""COMPUTED_VALUE"""),"LT0Q1C01WFN21")</f>
        <v>LT0Q1C01WFN21</v>
      </c>
      <c r="F4483" s="238" t="str">
        <f>IFERROR(__xludf.DUMMYFUNCTION("""COMPUTED_VALUE"""),"IOJ1F31")</f>
        <v>IOJ1F31</v>
      </c>
      <c r="G4483" s="238">
        <f>IFERROR(__xludf.DUMMYFUNCTION("""COMPUTED_VALUE"""),46034.91666666667)</f>
        <v>46034.91667</v>
      </c>
      <c r="H4483" s="238">
        <f>IFERROR(__xludf.DUMMYFUNCTION("""COMPUTED_VALUE"""),46035.0)</f>
        <v>46035</v>
      </c>
      <c r="I4483" s="237" t="str">
        <f t="shared" si="1"/>
        <v>Fora</v>
      </c>
      <c r="J4483" s="239">
        <v>119.99999999301508</v>
      </c>
    </row>
    <row r="4484">
      <c r="A4484" s="234" t="s">
        <v>5549</v>
      </c>
      <c r="B4484" s="234" t="str">
        <f>IFERROR(__xludf.DUMMYFUNCTION("""COMPUTED_VALUE"""),"LM Hub_SP_Artur Alvim")</f>
        <v>LM Hub_SP_Artur Alvim</v>
      </c>
      <c r="C4484" s="234" t="str">
        <f>IFERROR(__xludf.DUMMYFUNCTION("""COMPUTED_VALUE"""),"HUB-LSP-07")</f>
        <v>HUB-LSP-07</v>
      </c>
      <c r="D4484" s="234"/>
      <c r="E4484" s="237" t="str">
        <f>IFERROR(__xludf.DUMMYFUNCTION("""COMPUTED_VALUE"""),"LT0Q1C01W96A1")</f>
        <v>LT0Q1C01W96A1</v>
      </c>
      <c r="F4484" s="238" t="str">
        <f>IFERROR(__xludf.DUMMYFUNCTION("""COMPUTED_VALUE"""),"DAJ3E28")</f>
        <v>DAJ3E28</v>
      </c>
      <c r="G4484" s="238">
        <f>IFERROR(__xludf.DUMMYFUNCTION("""COMPUTED_VALUE"""),46034.91666666667)</f>
        <v>46034.91667</v>
      </c>
      <c r="H4484" s="238">
        <f>IFERROR(__xludf.DUMMYFUNCTION("""COMPUTED_VALUE"""),46035.0)</f>
        <v>46035</v>
      </c>
      <c r="I4484" s="237" t="str">
        <f t="shared" si="1"/>
        <v>Fora</v>
      </c>
      <c r="J4484" s="239">
        <v>119.99999999301508</v>
      </c>
    </row>
    <row r="4485">
      <c r="A4485" s="234" t="s">
        <v>5550</v>
      </c>
      <c r="B4485" s="234" t="str">
        <f>IFERROR(__xludf.DUMMYFUNCTION("""COMPUTED_VALUE"""),"LM Hub_SP_Barueri_01")</f>
        <v>LM Hub_SP_Barueri_01</v>
      </c>
      <c r="C4485" s="234" t="str">
        <f>IFERROR(__xludf.DUMMYFUNCTION("""COMPUTED_VALUE"""),"HUB-LSP-81")</f>
        <v>HUB-LSP-81</v>
      </c>
      <c r="D4485" s="234">
        <f>IFERROR(__xludf.DUMMYFUNCTION("""COMPUTED_VALUE"""),26.0)</f>
        <v>26</v>
      </c>
      <c r="E4485" s="237" t="str">
        <f>IFERROR(__xludf.DUMMYFUNCTION("""COMPUTED_VALUE"""),"LT0Q1C01WEHK1")</f>
        <v>LT0Q1C01WEHK1</v>
      </c>
      <c r="F4485" s="238" t="str">
        <f>IFERROR(__xludf.DUMMYFUNCTION("""COMPUTED_VALUE"""),"BTZ0G54,EOE7F81")</f>
        <v>BTZ0G54,EOE7F81</v>
      </c>
      <c r="G4485" s="238">
        <f>IFERROR(__xludf.DUMMYFUNCTION("""COMPUTED_VALUE"""),46034.91666666667)</f>
        <v>46034.91667</v>
      </c>
      <c r="H4485" s="238">
        <f>IFERROR(__xludf.DUMMYFUNCTION("""COMPUTED_VALUE"""),46035.0)</f>
        <v>46035</v>
      </c>
      <c r="I4485" s="237" t="str">
        <f t="shared" si="1"/>
        <v>Fora</v>
      </c>
      <c r="J4485" s="239">
        <v>119.99999999301508</v>
      </c>
    </row>
    <row r="4486">
      <c r="A4486" s="234" t="s">
        <v>5551</v>
      </c>
      <c r="B4486" s="234" t="str">
        <f>IFERROR(__xludf.DUMMYFUNCTION("""COMPUTED_VALUE"""),"LM Hub_SP_Guarulhos")</f>
        <v>LM Hub_SP_Guarulhos</v>
      </c>
      <c r="C4486" s="234" t="str">
        <f>IFERROR(__xludf.DUMMYFUNCTION("""COMPUTED_VALUE"""),"HUB-LSP-77")</f>
        <v>HUB-LSP-77</v>
      </c>
      <c r="D4486" s="234"/>
      <c r="E4486" s="237" t="str">
        <f>IFERROR(__xludf.DUMMYFUNCTION("""COMPUTED_VALUE"""),"LT0Q1C01W9WW1")</f>
        <v>LT0Q1C01W9WW1</v>
      </c>
      <c r="F4486" s="238" t="str">
        <f>IFERROR(__xludf.DUMMYFUNCTION("""COMPUTED_VALUE"""),"OHQ3D06")</f>
        <v>OHQ3D06</v>
      </c>
      <c r="G4486" s="238">
        <f>IFERROR(__xludf.DUMMYFUNCTION("""COMPUTED_VALUE"""),46034.91666666667)</f>
        <v>46034.91667</v>
      </c>
      <c r="H4486" s="238">
        <f>IFERROR(__xludf.DUMMYFUNCTION("""COMPUTED_VALUE"""),46035.0)</f>
        <v>46035</v>
      </c>
      <c r="I4486" s="237" t="str">
        <f t="shared" si="1"/>
        <v>Fora</v>
      </c>
      <c r="J4486" s="239">
        <v>119.99999999301508</v>
      </c>
    </row>
    <row r="4487">
      <c r="A4487" s="234" t="s">
        <v>5552</v>
      </c>
      <c r="B4487" s="234" t="str">
        <f>IFERROR(__xludf.DUMMYFUNCTION("""COMPUTED_VALUE"""),"LM Hub_SP_Itapevi")</f>
        <v>LM Hub_SP_Itapevi</v>
      </c>
      <c r="C4487" s="234" t="str">
        <f>IFERROR(__xludf.DUMMYFUNCTION("""COMPUTED_VALUE"""),"HUB-LSP-41")</f>
        <v>HUB-LSP-41</v>
      </c>
      <c r="D4487" s="234">
        <f>IFERROR(__xludf.DUMMYFUNCTION("""COMPUTED_VALUE"""),41.0)</f>
        <v>41</v>
      </c>
      <c r="E4487" s="237" t="str">
        <f>IFERROR(__xludf.DUMMYFUNCTION("""COMPUTED_VALUE"""),"LT0Q1C01W9811")</f>
        <v>LT0Q1C01W9811</v>
      </c>
      <c r="F4487" s="238" t="str">
        <f>IFERROR(__xludf.DUMMYFUNCTION("""COMPUTED_VALUE"""),"EMU5F62,FGK3A38")</f>
        <v>EMU5F62,FGK3A38</v>
      </c>
      <c r="G4487" s="238">
        <f>IFERROR(__xludf.DUMMYFUNCTION("""COMPUTED_VALUE"""),46034.91666666667)</f>
        <v>46034.91667</v>
      </c>
      <c r="H4487" s="238">
        <f>IFERROR(__xludf.DUMMYFUNCTION("""COMPUTED_VALUE"""),46035.0)</f>
        <v>46035</v>
      </c>
      <c r="I4487" s="237" t="str">
        <f t="shared" si="1"/>
        <v>Fora</v>
      </c>
      <c r="J4487" s="239">
        <v>119.99999999301508</v>
      </c>
    </row>
    <row r="4488">
      <c r="A4488" s="234" t="s">
        <v>5553</v>
      </c>
      <c r="B4488" s="234" t="str">
        <f>IFERROR(__xludf.DUMMYFUNCTION("""COMPUTED_VALUE"""),"LM Hub_SP_Limeira_Campo Belo")</f>
        <v>LM Hub_SP_Limeira_Campo Belo</v>
      </c>
      <c r="C4488" s="234" t="str">
        <f>IFERROR(__xludf.DUMMYFUNCTION("""COMPUTED_VALUE"""),"HUB-LSP-24")</f>
        <v>HUB-LSP-24</v>
      </c>
      <c r="D4488" s="234">
        <f>IFERROR(__xludf.DUMMYFUNCTION("""COMPUTED_VALUE"""),27.0)</f>
        <v>27</v>
      </c>
      <c r="E4488" s="237" t="str">
        <f>IFERROR(__xludf.DUMMYFUNCTION("""COMPUTED_VALUE"""),"LT0Q1C01W9BC1")</f>
        <v>LT0Q1C01W9BC1</v>
      </c>
      <c r="F4488" s="238" t="str">
        <f>IFERROR(__xludf.DUMMYFUNCTION("""COMPUTED_VALUE"""),"SUK8B27,UEK3J07")</f>
        <v>SUK8B27,UEK3J07</v>
      </c>
      <c r="G4488" s="238">
        <f>IFERROR(__xludf.DUMMYFUNCTION("""COMPUTED_VALUE"""),46034.91666666667)</f>
        <v>46034.91667</v>
      </c>
      <c r="H4488" s="238">
        <f>IFERROR(__xludf.DUMMYFUNCTION("""COMPUTED_VALUE"""),46035.0)</f>
        <v>46035</v>
      </c>
      <c r="I4488" s="237" t="str">
        <f t="shared" si="1"/>
        <v>Fora</v>
      </c>
      <c r="J4488" s="239">
        <v>119.99999999301508</v>
      </c>
    </row>
    <row r="4489">
      <c r="A4489" s="234" t="s">
        <v>5554</v>
      </c>
      <c r="B4489" s="234" t="str">
        <f>IFERROR(__xludf.DUMMYFUNCTION("""COMPUTED_VALUE"""),"LM Hub_SP_Mauá")</f>
        <v>LM Hub_SP_Mauá</v>
      </c>
      <c r="C4489" s="234" t="str">
        <f>IFERROR(__xludf.DUMMYFUNCTION("""COMPUTED_VALUE"""),"HUB-LSP-64")</f>
        <v>HUB-LSP-64</v>
      </c>
      <c r="D4489" s="234">
        <f>IFERROR(__xludf.DUMMYFUNCTION("""COMPUTED_VALUE"""),22.0)</f>
        <v>22</v>
      </c>
      <c r="E4489" s="237" t="str">
        <f>IFERROR(__xludf.DUMMYFUNCTION("""COMPUTED_VALUE"""),"LT0Q1C01W98D1")</f>
        <v>LT0Q1C01W98D1</v>
      </c>
      <c r="F4489" s="238" t="str">
        <f>IFERROR(__xludf.DUMMYFUNCTION("""COMPUTED_VALUE"""),"FQF6B98,DTA7802")</f>
        <v>FQF6B98,DTA7802</v>
      </c>
      <c r="G4489" s="238">
        <f>IFERROR(__xludf.DUMMYFUNCTION("""COMPUTED_VALUE"""),46034.91666666667)</f>
        <v>46034.91667</v>
      </c>
      <c r="H4489" s="238">
        <f>IFERROR(__xludf.DUMMYFUNCTION("""COMPUTED_VALUE"""),46035.0)</f>
        <v>46035</v>
      </c>
      <c r="I4489" s="237" t="str">
        <f t="shared" si="1"/>
        <v>Fora</v>
      </c>
      <c r="J4489" s="239">
        <v>119.99999999301508</v>
      </c>
    </row>
    <row r="4490">
      <c r="A4490" s="234" t="s">
        <v>5555</v>
      </c>
      <c r="B4490" s="234" t="str">
        <f>IFERROR(__xludf.DUMMYFUNCTION("""COMPUTED_VALUE"""),"LM Hub_SP_Osasco_02")</f>
        <v>LM Hub_SP_Osasco_02</v>
      </c>
      <c r="C4490" s="234" t="str">
        <f>IFERROR(__xludf.DUMMYFUNCTION("""COMPUTED_VALUE"""),"HUB-LSP-60")</f>
        <v>HUB-LSP-60</v>
      </c>
      <c r="D4490" s="234">
        <f>IFERROR(__xludf.DUMMYFUNCTION("""COMPUTED_VALUE"""),36.0)</f>
        <v>36</v>
      </c>
      <c r="E4490" s="237" t="str">
        <f>IFERROR(__xludf.DUMMYFUNCTION("""COMPUTED_VALUE"""),"LT0Q1C01W9851")</f>
        <v>LT0Q1C01W9851</v>
      </c>
      <c r="F4490" s="238" t="str">
        <f>IFERROR(__xludf.DUMMYFUNCTION("""COMPUTED_VALUE"""),"FUZ6B23,FUA8006")</f>
        <v>FUZ6B23,FUA8006</v>
      </c>
      <c r="G4490" s="238">
        <f>IFERROR(__xludf.DUMMYFUNCTION("""COMPUTED_VALUE"""),46034.91666666667)</f>
        <v>46034.91667</v>
      </c>
      <c r="H4490" s="238">
        <f>IFERROR(__xludf.DUMMYFUNCTION("""COMPUTED_VALUE"""),46035.0)</f>
        <v>46035</v>
      </c>
      <c r="I4490" s="237" t="str">
        <f t="shared" si="1"/>
        <v>Fora</v>
      </c>
      <c r="J4490" s="239">
        <v>119.99999999301508</v>
      </c>
    </row>
    <row r="4491">
      <c r="A4491" s="234" t="s">
        <v>5556</v>
      </c>
      <c r="B4491" s="234" t="str">
        <f>IFERROR(__xludf.DUMMYFUNCTION("""COMPUTED_VALUE"""),"LM Hub_SP_Santo André")</f>
        <v>LM Hub_SP_Santo André</v>
      </c>
      <c r="C4491" s="234" t="str">
        <f>IFERROR(__xludf.DUMMYFUNCTION("""COMPUTED_VALUE"""),"HUB-LSP-93")</f>
        <v>HUB-LSP-93</v>
      </c>
      <c r="D4491" s="234">
        <f>IFERROR(__xludf.DUMMYFUNCTION("""COMPUTED_VALUE"""),9.0)</f>
        <v>9</v>
      </c>
      <c r="E4491" s="237" t="str">
        <f>IFERROR(__xludf.DUMMYFUNCTION("""COMPUTED_VALUE"""),"LT0Q1C01WBXF1")</f>
        <v>LT0Q1C01WBXF1</v>
      </c>
      <c r="F4491" s="238" t="str">
        <f>IFERROR(__xludf.DUMMYFUNCTION("""COMPUTED_VALUE"""),"EXR6E81,EDU9089")</f>
        <v>EXR6E81,EDU9089</v>
      </c>
      <c r="G4491" s="238">
        <f>IFERROR(__xludf.DUMMYFUNCTION("""COMPUTED_VALUE"""),46034.91666666667)</f>
        <v>46034.91667</v>
      </c>
      <c r="H4491" s="238">
        <f>IFERROR(__xludf.DUMMYFUNCTION("""COMPUTED_VALUE"""),46035.0)</f>
        <v>46035</v>
      </c>
      <c r="I4491" s="237" t="str">
        <f t="shared" si="1"/>
        <v>Fora</v>
      </c>
      <c r="J4491" s="239">
        <v>119.99999999301508</v>
      </c>
    </row>
    <row r="4492">
      <c r="A4492" s="234" t="s">
        <v>5557</v>
      </c>
      <c r="B4492" s="234" t="str">
        <f>IFERROR(__xludf.DUMMYFUNCTION("""COMPUTED_VALUE"""),"LM Hub_SP_São José do Rio P")</f>
        <v>LM Hub_SP_São José do Rio P</v>
      </c>
      <c r="C4492" s="234" t="str">
        <f>IFERROR(__xludf.DUMMYFUNCTION("""COMPUTED_VALUE"""),"HUB-LSP-27")</f>
        <v>HUB-LSP-27</v>
      </c>
      <c r="D4492" s="234">
        <f>IFERROR(__xludf.DUMMYFUNCTION("""COMPUTED_VALUE"""),16.0)</f>
        <v>16</v>
      </c>
      <c r="E4492" s="237" t="str">
        <f>IFERROR(__xludf.DUMMYFUNCTION("""COMPUTED_VALUE"""),"LT0Q1C01WDAB1")</f>
        <v>LT0Q1C01WDAB1</v>
      </c>
      <c r="F4492" s="238" t="str">
        <f>IFERROR(__xludf.DUMMYFUNCTION("""COMPUTED_VALUE"""),"UAY2G99")</f>
        <v>UAY2G99</v>
      </c>
      <c r="G4492" s="238">
        <f>IFERROR(__xludf.DUMMYFUNCTION("""COMPUTED_VALUE"""),46034.91666666667)</f>
        <v>46034.91667</v>
      </c>
      <c r="H4492" s="238">
        <f>IFERROR(__xludf.DUMMYFUNCTION("""COMPUTED_VALUE"""),46035.0)</f>
        <v>46035</v>
      </c>
      <c r="I4492" s="237" t="str">
        <f t="shared" si="1"/>
        <v>Fora</v>
      </c>
      <c r="J4492" s="239">
        <v>119.99999999301508</v>
      </c>
    </row>
    <row r="4493">
      <c r="A4493" s="234" t="s">
        <v>5558</v>
      </c>
      <c r="B4493" s="234" t="str">
        <f>IFERROR(__xludf.DUMMYFUNCTION("""COMPUTED_VALUE"""),"SoC_MG_Betim")</f>
        <v>SoC_MG_Betim</v>
      </c>
      <c r="C4493" s="234" t="str">
        <f>IFERROR(__xludf.DUMMYFUNCTION("""COMPUTED_VALUE"""),"SOC-MG2")</f>
        <v>SOC-MG2</v>
      </c>
      <c r="D4493" s="234" t="str">
        <f>IFERROR(__xludf.DUMMYFUNCTION("""COMPUTED_VALUE"""),"90/48")</f>
        <v>90/48</v>
      </c>
      <c r="E4493" s="237" t="str">
        <f>IFERROR(__xludf.DUMMYFUNCTION("""COMPUTED_VALUE"""),"LT1Q1C01WNO41")</f>
        <v>LT1Q1C01WNO41</v>
      </c>
      <c r="F4493" s="238" t="str">
        <f>IFERROR(__xludf.DUMMYFUNCTION("""COMPUTED_VALUE"""),"HBG0F08,FWO5H10")</f>
        <v>HBG0F08,FWO5H10</v>
      </c>
      <c r="G4493" s="238">
        <f>IFERROR(__xludf.DUMMYFUNCTION("""COMPUTED_VALUE"""),46034.91666666667)</f>
        <v>46034.91667</v>
      </c>
      <c r="H4493" s="238">
        <f>IFERROR(__xludf.DUMMYFUNCTION("""COMPUTED_VALUE"""),46035.0)</f>
        <v>46035</v>
      </c>
      <c r="I4493" s="237" t="str">
        <f t="shared" si="1"/>
        <v>Fora</v>
      </c>
      <c r="J4493" s="239">
        <v>119.99999999301508</v>
      </c>
    </row>
    <row r="4494">
      <c r="A4494" s="234" t="s">
        <v>5559</v>
      </c>
      <c r="B4494" s="234" t="str">
        <f>IFERROR(__xludf.DUMMYFUNCTION("""COMPUTED_VALUE"""),"LM Hub_SP_Parque Novo Mundo")</f>
        <v>LM Hub_SP_Parque Novo Mundo</v>
      </c>
      <c r="C4494" s="234" t="str">
        <f>IFERROR(__xludf.DUMMYFUNCTION("""COMPUTED_VALUE"""),"HUB-LSP-89")</f>
        <v>HUB-LSP-89</v>
      </c>
      <c r="D4494" s="234"/>
      <c r="E4494" s="237" t="str">
        <f>IFERROR(__xludf.DUMMYFUNCTION("""COMPUTED_VALUE"""),"LT0Q1C01WA4M1")</f>
        <v>LT0Q1C01WA4M1</v>
      </c>
      <c r="F4494" s="238" t="str">
        <f>IFERROR(__xludf.DUMMYFUNCTION("""COMPUTED_VALUE"""),"GIQ1C13,AKZ0B43")</f>
        <v>GIQ1C13,AKZ0B43</v>
      </c>
      <c r="G4494" s="238">
        <f>IFERROR(__xludf.DUMMYFUNCTION("""COMPUTED_VALUE"""),46034.9375)</f>
        <v>46034.9375</v>
      </c>
      <c r="H4494" s="238">
        <f>IFERROR(__xludf.DUMMYFUNCTION("""COMPUTED_VALUE"""),46035.02083333333)</f>
        <v>46035.02083</v>
      </c>
      <c r="I4494" s="237" t="str">
        <f t="shared" si="1"/>
        <v>Fora</v>
      </c>
      <c r="J4494" s="239">
        <v>119.99999999301508</v>
      </c>
    </row>
    <row r="4495">
      <c r="A4495" s="234" t="s">
        <v>5560</v>
      </c>
      <c r="B4495" s="234" t="str">
        <f>IFERROR(__xludf.DUMMYFUNCTION("""COMPUTED_VALUE"""),"LM Hub_SP_Piracicaba")</f>
        <v>LM Hub_SP_Piracicaba</v>
      </c>
      <c r="C4495" s="234" t="str">
        <f>IFERROR(__xludf.DUMMYFUNCTION("""COMPUTED_VALUE"""),"HUB-LSP-62")</f>
        <v>HUB-LSP-62</v>
      </c>
      <c r="D4495" s="234">
        <f>IFERROR(__xludf.DUMMYFUNCTION("""COMPUTED_VALUE"""),5.0)</f>
        <v>5</v>
      </c>
      <c r="E4495" s="237" t="str">
        <f>IFERROR(__xludf.DUMMYFUNCTION("""COMPUTED_VALUE"""),"LT0Q1C01W9X61")</f>
        <v>LT0Q1C01W9X61</v>
      </c>
      <c r="F4495" s="238" t="str">
        <f>IFERROR(__xludf.DUMMYFUNCTION("""COMPUTED_VALUE"""),"EOF4D32,EOF4D30")</f>
        <v>EOF4D32,EOF4D30</v>
      </c>
      <c r="G4495" s="238">
        <f>IFERROR(__xludf.DUMMYFUNCTION("""COMPUTED_VALUE"""),46034.9375)</f>
        <v>46034.9375</v>
      </c>
      <c r="H4495" s="238">
        <f>IFERROR(__xludf.DUMMYFUNCTION("""COMPUTED_VALUE"""),46035.02083333333)</f>
        <v>46035.02083</v>
      </c>
      <c r="I4495" s="237" t="str">
        <f t="shared" si="1"/>
        <v>Fora</v>
      </c>
      <c r="J4495" s="239">
        <v>119.99999999301508</v>
      </c>
    </row>
    <row r="4496">
      <c r="A4496" s="234" t="s">
        <v>5561</v>
      </c>
      <c r="B4496" s="234" t="str">
        <f>IFERROR(__xludf.DUMMYFUNCTION("""COMPUTED_VALUE"""),"LM Hub_SP_São Paulo_Carandiru")</f>
        <v>LM Hub_SP_São Paulo_Carandiru</v>
      </c>
      <c r="C4496" s="234" t="str">
        <f>IFERROR(__xludf.DUMMYFUNCTION("""COMPUTED_VALUE"""),"HUB-LSP-18")</f>
        <v>HUB-LSP-18</v>
      </c>
      <c r="D4496" s="234">
        <f>IFERROR(__xludf.DUMMYFUNCTION("""COMPUTED_VALUE"""),44.0)</f>
        <v>44</v>
      </c>
      <c r="E4496" s="237" t="str">
        <f>IFERROR(__xludf.DUMMYFUNCTION("""COMPUTED_VALUE"""),"LT0Q1C01W97F1")</f>
        <v>LT0Q1C01W97F1</v>
      </c>
      <c r="F4496" s="238" t="str">
        <f>IFERROR(__xludf.DUMMYFUNCTION("""COMPUTED_VALUE"""),"NVO0561")</f>
        <v>NVO0561</v>
      </c>
      <c r="G4496" s="238">
        <f>IFERROR(__xludf.DUMMYFUNCTION("""COMPUTED_VALUE"""),46034.9375)</f>
        <v>46034.9375</v>
      </c>
      <c r="H4496" s="238">
        <f>IFERROR(__xludf.DUMMYFUNCTION("""COMPUTED_VALUE"""),46035.02083333333)</f>
        <v>46035.02083</v>
      </c>
      <c r="I4496" s="237" t="str">
        <f t="shared" si="1"/>
        <v>Fora</v>
      </c>
      <c r="J4496" s="239">
        <v>119.99999999301508</v>
      </c>
    </row>
    <row r="4497">
      <c r="A4497" s="234" t="s">
        <v>5562</v>
      </c>
      <c r="B4497" s="234" t="str">
        <f>IFERROR(__xludf.DUMMYFUNCTION("""COMPUTED_VALUE"""),"LM Hub_SP_VilaGuilherme")</f>
        <v>LM Hub_SP_VilaGuilherme</v>
      </c>
      <c r="C4497" s="234" t="str">
        <f>IFERROR(__xludf.DUMMYFUNCTION("""COMPUTED_VALUE"""),"HUB-LSP-68")</f>
        <v>HUB-LSP-68</v>
      </c>
      <c r="D4497" s="234">
        <f>IFERROR(__xludf.DUMMYFUNCTION("""COMPUTED_VALUE"""),46.0)</f>
        <v>46</v>
      </c>
      <c r="E4497" s="237" t="str">
        <f>IFERROR(__xludf.DUMMYFUNCTION("""COMPUTED_VALUE"""),"LT0Q1C01W98J1")</f>
        <v>LT0Q1C01W98J1</v>
      </c>
      <c r="F4497" s="238" t="str">
        <f>IFERROR(__xludf.DUMMYFUNCTION("""COMPUTED_VALUE"""),"BWN8361,BXG5C74")</f>
        <v>BWN8361,BXG5C74</v>
      </c>
      <c r="G4497" s="238">
        <f>IFERROR(__xludf.DUMMYFUNCTION("""COMPUTED_VALUE"""),46034.9375)</f>
        <v>46034.9375</v>
      </c>
      <c r="H4497" s="238">
        <f>IFERROR(__xludf.DUMMYFUNCTION("""COMPUTED_VALUE"""),46035.02083333333)</f>
        <v>46035.02083</v>
      </c>
      <c r="I4497" s="237" t="str">
        <f t="shared" si="1"/>
        <v>Fora</v>
      </c>
      <c r="J4497" s="239">
        <v>120.00000001396984</v>
      </c>
    </row>
    <row r="4498">
      <c r="A4498" s="234" t="s">
        <v>5563</v>
      </c>
      <c r="B4498" s="234" t="str">
        <f>IFERROR(__xludf.DUMMYFUNCTION("""COMPUTED_VALUE"""),"LM Hub_RJ_Nova Iguaçu")</f>
        <v>LM Hub_RJ_Nova Iguaçu</v>
      </c>
      <c r="C4498" s="234" t="str">
        <f>IFERROR(__xludf.DUMMYFUNCTION("""COMPUTED_VALUE"""),"HUB-LRJ-27")</f>
        <v>HUB-LRJ-27</v>
      </c>
      <c r="D4498" s="234">
        <f>IFERROR(__xludf.DUMMYFUNCTION("""COMPUTED_VALUE"""),13.0)</f>
        <v>13</v>
      </c>
      <c r="E4498" s="237" t="str">
        <f>IFERROR(__xludf.DUMMYFUNCTION("""COMPUTED_VALUE"""),"LT0Q1C01WF2Y1")</f>
        <v>LT0Q1C01WF2Y1</v>
      </c>
      <c r="F4498" s="238" t="str">
        <f>IFERROR(__xludf.DUMMYFUNCTION("""COMPUTED_VALUE"""),"TBZ3E78")</f>
        <v>TBZ3E78</v>
      </c>
      <c r="G4498" s="238">
        <f>IFERROR(__xludf.DUMMYFUNCTION("""COMPUTED_VALUE"""),46034.95833333333)</f>
        <v>46034.95833</v>
      </c>
      <c r="H4498" s="238">
        <f>IFERROR(__xludf.DUMMYFUNCTION("""COMPUTED_VALUE"""),46035.04166666667)</f>
        <v>46035.04167</v>
      </c>
      <c r="I4498" s="237" t="str">
        <f t="shared" si="1"/>
        <v>Fora</v>
      </c>
      <c r="J4498" s="239">
        <v>120.00000001396984</v>
      </c>
    </row>
    <row r="4499">
      <c r="A4499" s="234" t="s">
        <v>5564</v>
      </c>
      <c r="B4499" s="234" t="str">
        <f>IFERROR(__xludf.DUMMYFUNCTION("""COMPUTED_VALUE"""),"LM Hub_RJ_Rio de Janeiro_Campo G")</f>
        <v>LM Hub_RJ_Rio de Janeiro_Campo G</v>
      </c>
      <c r="C4499" s="234" t="str">
        <f>IFERROR(__xludf.DUMMYFUNCTION("""COMPUTED_VALUE"""),"HUB-LRJ-04")</f>
        <v>HUB-LRJ-04</v>
      </c>
      <c r="D4499" s="234">
        <f>IFERROR(__xludf.DUMMYFUNCTION("""COMPUTED_VALUE"""),47.0)</f>
        <v>47</v>
      </c>
      <c r="E4499" s="237" t="str">
        <f>IFERROR(__xludf.DUMMYFUNCTION("""COMPUTED_VALUE"""),"LT0Q1C01W9DJ1")</f>
        <v>LT0Q1C01W9DJ1</v>
      </c>
      <c r="F4499" s="238" t="str">
        <f>IFERROR(__xludf.DUMMYFUNCTION("""COMPUTED_VALUE"""),"UBA1H99")</f>
        <v>UBA1H99</v>
      </c>
      <c r="G4499" s="238">
        <f>IFERROR(__xludf.DUMMYFUNCTION("""COMPUTED_VALUE"""),46034.95833333333)</f>
        <v>46034.95833</v>
      </c>
      <c r="H4499" s="238">
        <f>IFERROR(__xludf.DUMMYFUNCTION("""COMPUTED_VALUE"""),46035.04166666667)</f>
        <v>46035.04167</v>
      </c>
      <c r="I4499" s="237" t="str">
        <f t="shared" si="1"/>
        <v>Fora</v>
      </c>
      <c r="J4499" s="239">
        <v>120.00000001396984</v>
      </c>
    </row>
    <row r="4500">
      <c r="A4500" s="234" t="s">
        <v>5565</v>
      </c>
      <c r="B4500" s="234" t="str">
        <f>IFERROR(__xludf.DUMMYFUNCTION("""COMPUTED_VALUE"""),"LM Hub_RJ_São João do Meriti")</f>
        <v>LM Hub_RJ_São João do Meriti</v>
      </c>
      <c r="C4500" s="234" t="str">
        <f>IFERROR(__xludf.DUMMYFUNCTION("""COMPUTED_VALUE"""),"HUB-LRJ-01")</f>
        <v>HUB-LRJ-01</v>
      </c>
      <c r="D4500" s="234">
        <f>IFERROR(__xludf.DUMMYFUNCTION("""COMPUTED_VALUE"""),6.0)</f>
        <v>6</v>
      </c>
      <c r="E4500" s="237" t="str">
        <f>IFERROR(__xludf.DUMMYFUNCTION("""COMPUTED_VALUE"""),"LT0Q1C01WF3V1")</f>
        <v>LT0Q1C01WF3V1</v>
      </c>
      <c r="F4500" s="238" t="str">
        <f>IFERROR(__xludf.DUMMYFUNCTION("""COMPUTED_VALUE"""),"FYD0J70")</f>
        <v>FYD0J70</v>
      </c>
      <c r="G4500" s="238">
        <f>IFERROR(__xludf.DUMMYFUNCTION("""COMPUTED_VALUE"""),46034.95833333333)</f>
        <v>46034.95833</v>
      </c>
      <c r="H4500" s="238">
        <f>IFERROR(__xludf.DUMMYFUNCTION("""COMPUTED_VALUE"""),46035.04166666667)</f>
        <v>46035.04167</v>
      </c>
      <c r="I4500" s="237" t="str">
        <f t="shared" si="1"/>
        <v>Fora</v>
      </c>
      <c r="J4500" s="239">
        <v>120.00000001396984</v>
      </c>
    </row>
    <row r="4501">
      <c r="A4501" s="234" t="s">
        <v>5566</v>
      </c>
      <c r="B4501" s="234" t="str">
        <f>IFERROR(__xludf.DUMMYFUNCTION("""COMPUTED_VALUE"""),"LM Hub_SP_Jundiaí")</f>
        <v>LM Hub_SP_Jundiaí</v>
      </c>
      <c r="C4501" s="234" t="str">
        <f>IFERROR(__xludf.DUMMYFUNCTION("""COMPUTED_VALUE"""),"HUB-LSP-100")</f>
        <v>HUB-LSP-100</v>
      </c>
      <c r="D4501" s="234">
        <f>IFERROR(__xludf.DUMMYFUNCTION("""COMPUTED_VALUE"""),25.0)</f>
        <v>25</v>
      </c>
      <c r="E4501" s="237" t="str">
        <f>IFERROR(__xludf.DUMMYFUNCTION("""COMPUTED_VALUE"""),"LT0Q1C01WFXR1")</f>
        <v>LT0Q1C01WFXR1</v>
      </c>
      <c r="F4501" s="238" t="str">
        <f>IFERROR(__xludf.DUMMYFUNCTION("""COMPUTED_VALUE"""),"TJD6E97,TLK7J13")</f>
        <v>TJD6E97,TLK7J13</v>
      </c>
      <c r="G4501" s="238">
        <f>IFERROR(__xludf.DUMMYFUNCTION("""COMPUTED_VALUE"""),46034.95833333333)</f>
        <v>46034.95833</v>
      </c>
      <c r="H4501" s="238">
        <f>IFERROR(__xludf.DUMMYFUNCTION("""COMPUTED_VALUE"""),46035.04166666667)</f>
        <v>46035.04167</v>
      </c>
      <c r="I4501" s="237" t="str">
        <f t="shared" si="1"/>
        <v>Fora</v>
      </c>
      <c r="J4501" s="239">
        <v>120.00000001396984</v>
      </c>
    </row>
    <row r="4502">
      <c r="A4502" s="234" t="s">
        <v>5567</v>
      </c>
      <c r="B4502" s="234" t="str">
        <f>IFERROR(__xludf.DUMMYFUNCTION("""COMPUTED_VALUE"""),"LM Hub_SP_Mogi Mirim")</f>
        <v>LM Hub_SP_Mogi Mirim</v>
      </c>
      <c r="C4502" s="234" t="str">
        <f>IFERROR(__xludf.DUMMYFUNCTION("""COMPUTED_VALUE"""),"HUB-LSP-37")</f>
        <v>HUB-LSP-37</v>
      </c>
      <c r="D4502" s="234">
        <f>IFERROR(__xludf.DUMMYFUNCTION("""COMPUTED_VALUE"""),37.0)</f>
        <v>37</v>
      </c>
      <c r="E4502" s="237" t="str">
        <f>IFERROR(__xludf.DUMMYFUNCTION("""COMPUTED_VALUE"""),"LT0Q1C01W9C51")</f>
        <v>LT0Q1C01W9C51</v>
      </c>
      <c r="F4502" s="238" t="str">
        <f>IFERROR(__xludf.DUMMYFUNCTION("""COMPUTED_VALUE"""),"FCD0G15,RBB2B81")</f>
        <v>FCD0G15,RBB2B81</v>
      </c>
      <c r="G4502" s="238">
        <f>IFERROR(__xludf.DUMMYFUNCTION("""COMPUTED_VALUE"""),46034.95833333333)</f>
        <v>46034.95833</v>
      </c>
      <c r="H4502" s="238">
        <f>IFERROR(__xludf.DUMMYFUNCTION("""COMPUTED_VALUE"""),46035.04166666667)</f>
        <v>46035.04167</v>
      </c>
      <c r="I4502" s="237" t="str">
        <f t="shared" si="1"/>
        <v>Fora</v>
      </c>
      <c r="J4502" s="239">
        <v>120.00000001396984</v>
      </c>
    </row>
    <row r="4503">
      <c r="A4503" s="234" t="s">
        <v>5568</v>
      </c>
      <c r="B4503" s="234" t="str">
        <f>IFERROR(__xludf.DUMMYFUNCTION("""COMPUTED_VALUE"""),"SoC_SP_Cravinhos")</f>
        <v>SoC_SP_Cravinhos</v>
      </c>
      <c r="C4503" s="234" t="str">
        <f>IFERROR(__xludf.DUMMYFUNCTION("""COMPUTED_VALUE"""),"SOC-SP5")</f>
        <v>SOC-SP5</v>
      </c>
      <c r="D4503" s="234">
        <f>IFERROR(__xludf.DUMMYFUNCTION("""COMPUTED_VALUE"""),112.0)</f>
        <v>112</v>
      </c>
      <c r="E4503" s="237" t="str">
        <f>IFERROR(__xludf.DUMMYFUNCTION("""COMPUTED_VALUE"""),"LT1Q1C01WNG61")</f>
        <v>LT1Q1C01WNG61</v>
      </c>
      <c r="F4503" s="238" t="str">
        <f>IFERROR(__xludf.DUMMYFUNCTION("""COMPUTED_VALUE"""),"EZU9I81,FTX5D42")</f>
        <v>EZU9I81,FTX5D42</v>
      </c>
      <c r="G4503" s="238">
        <f>IFERROR(__xludf.DUMMYFUNCTION("""COMPUTED_VALUE"""),46034.95833333333)</f>
        <v>46034.95833</v>
      </c>
      <c r="H4503" s="238">
        <f>IFERROR(__xludf.DUMMYFUNCTION("""COMPUTED_VALUE"""),46035.04166666667)</f>
        <v>46035.04167</v>
      </c>
      <c r="I4503" s="237" t="str">
        <f t="shared" si="1"/>
        <v>Fora</v>
      </c>
      <c r="J4503" s="239">
        <v>119.99999999301508</v>
      </c>
    </row>
    <row r="4504">
      <c r="A4504" s="234" t="s">
        <v>5569</v>
      </c>
      <c r="B4504" s="234" t="str">
        <f>IFERROR(__xludf.DUMMYFUNCTION("""COMPUTED_VALUE"""),"LM Hub_SP_Araraquara")</f>
        <v>LM Hub_SP_Araraquara</v>
      </c>
      <c r="C4504" s="234" t="str">
        <f>IFERROR(__xludf.DUMMYFUNCTION("""COMPUTED_VALUE"""),"HUB-LSP-29")</f>
        <v>HUB-LSP-29</v>
      </c>
      <c r="D4504" s="234">
        <f>IFERROR(__xludf.DUMMYFUNCTION("""COMPUTED_VALUE"""),35.0)</f>
        <v>35</v>
      </c>
      <c r="E4504" s="237" t="str">
        <f>IFERROR(__xludf.DUMMYFUNCTION("""COMPUTED_VALUE"""),"LT0Q1C01W9CA1")</f>
        <v>LT0Q1C01W9CA1</v>
      </c>
      <c r="F4504" s="238" t="str">
        <f>IFERROR(__xludf.DUMMYFUNCTION("""COMPUTED_VALUE"""),"DVS7G78,DJE5J16")</f>
        <v>DVS7G78,DJE5J16</v>
      </c>
      <c r="G4504" s="238">
        <f>IFERROR(__xludf.DUMMYFUNCTION("""COMPUTED_VALUE"""),46034.97916666667)</f>
        <v>46034.97917</v>
      </c>
      <c r="H4504" s="238">
        <f>IFERROR(__xludf.DUMMYFUNCTION("""COMPUTED_VALUE"""),46035.0625)</f>
        <v>46035.0625</v>
      </c>
      <c r="I4504" s="237" t="str">
        <f t="shared" si="1"/>
        <v>Fora</v>
      </c>
      <c r="J4504" s="239">
        <v>119.99999999301508</v>
      </c>
    </row>
    <row r="4505">
      <c r="A4505" s="234" t="s">
        <v>5570</v>
      </c>
      <c r="B4505" s="234" t="str">
        <f>IFERROR(__xludf.DUMMYFUNCTION("""COMPUTED_VALUE"""),"LM Hub_SP_Atibaia_Ponte_Alta")</f>
        <v>LM Hub_SP_Atibaia_Ponte_Alta</v>
      </c>
      <c r="C4505" s="234" t="str">
        <f>IFERROR(__xludf.DUMMYFUNCTION("""COMPUTED_VALUE"""),"HUB-LSP-87")</f>
        <v>HUB-LSP-87</v>
      </c>
      <c r="D4505" s="234">
        <f>IFERROR(__xludf.DUMMYFUNCTION("""COMPUTED_VALUE"""),32.0)</f>
        <v>32</v>
      </c>
      <c r="E4505" s="237" t="str">
        <f>IFERROR(__xludf.DUMMYFUNCTION("""COMPUTED_VALUE"""),"LT0Q1C01WD641")</f>
        <v>LT0Q1C01WD641</v>
      </c>
      <c r="F4505" s="238" t="str">
        <f>IFERROR(__xludf.DUMMYFUNCTION("""COMPUTED_VALUE"""),"TKU9E90,TKO7E99")</f>
        <v>TKU9E90,TKO7E99</v>
      </c>
      <c r="G4505" s="238">
        <f>IFERROR(__xludf.DUMMYFUNCTION("""COMPUTED_VALUE"""),46034.97916666667)</f>
        <v>46034.97917</v>
      </c>
      <c r="H4505" s="238">
        <f>IFERROR(__xludf.DUMMYFUNCTION("""COMPUTED_VALUE"""),46035.0625)</f>
        <v>46035.0625</v>
      </c>
      <c r="I4505" s="237" t="str">
        <f t="shared" si="1"/>
        <v>Fora</v>
      </c>
      <c r="J4505" s="239">
        <v>119.99999999301508</v>
      </c>
    </row>
    <row r="4506">
      <c r="A4506" s="234" t="s">
        <v>5571</v>
      </c>
      <c r="B4506" s="234" t="str">
        <f>IFERROR(__xludf.DUMMYFUNCTION("""COMPUTED_VALUE"""),"LM Hub_SP_Várzea Paulista")</f>
        <v>LM Hub_SP_Várzea Paulista</v>
      </c>
      <c r="C4506" s="234" t="str">
        <f>IFERROR(__xludf.DUMMYFUNCTION("""COMPUTED_VALUE"""),"HUB-LSP-20")</f>
        <v>HUB-LSP-20</v>
      </c>
      <c r="D4506" s="234">
        <f>IFERROR(__xludf.DUMMYFUNCTION("""COMPUTED_VALUE"""),28.0)</f>
        <v>28</v>
      </c>
      <c r="E4506" s="237" t="str">
        <f>IFERROR(__xludf.DUMMYFUNCTION("""COMPUTED_VALUE"""),"LT0Q1C01W9CS1")</f>
        <v>LT0Q1C01W9CS1</v>
      </c>
      <c r="F4506" s="238" t="str">
        <f>IFERROR(__xludf.DUMMYFUNCTION("""COMPUTED_VALUE"""),"GDC9B69")</f>
        <v>GDC9B69</v>
      </c>
      <c r="G4506" s="238">
        <f>IFERROR(__xludf.DUMMYFUNCTION("""COMPUTED_VALUE"""),46034.97916666667)</f>
        <v>46034.97917</v>
      </c>
      <c r="H4506" s="238">
        <f>IFERROR(__xludf.DUMMYFUNCTION("""COMPUTED_VALUE"""),46035.0625)</f>
        <v>46035.0625</v>
      </c>
      <c r="I4506" s="237" t="str">
        <f t="shared" si="1"/>
        <v>Fora</v>
      </c>
      <c r="J4506" s="239">
        <v>119.99999999301508</v>
      </c>
    </row>
    <row r="4507">
      <c r="A4507" s="234" t="s">
        <v>5572</v>
      </c>
      <c r="B4507" s="234" t="str">
        <f>IFERROR(__xludf.DUMMYFUNCTION("""COMPUTED_VALUE"""),"LM Hub_RJ_Ilha do Governador")</f>
        <v>LM Hub_RJ_Ilha do Governador</v>
      </c>
      <c r="C4507" s="234" t="str">
        <f>IFERROR(__xludf.DUMMYFUNCTION("""COMPUTED_VALUE"""),"HUB-LRJ-32")</f>
        <v>HUB-LRJ-32</v>
      </c>
      <c r="D4507" s="234">
        <f>IFERROR(__xludf.DUMMYFUNCTION("""COMPUTED_VALUE"""),12.0)</f>
        <v>12</v>
      </c>
      <c r="E4507" s="237" t="str">
        <f>IFERROR(__xludf.DUMMYFUNCTION("""COMPUTED_VALUE"""),"LT0Q1D01WF3D1")</f>
        <v>LT0Q1D01WF3D1</v>
      </c>
      <c r="F4507" s="238" t="str">
        <f>IFERROR(__xludf.DUMMYFUNCTION("""COMPUTED_VALUE"""),"ETM1F73")</f>
        <v>ETM1F73</v>
      </c>
      <c r="G4507" s="238">
        <f>IFERROR(__xludf.DUMMYFUNCTION("""COMPUTED_VALUE"""),46035.0)</f>
        <v>46035</v>
      </c>
      <c r="H4507" s="238">
        <f>IFERROR(__xludf.DUMMYFUNCTION("""COMPUTED_VALUE"""),46035.08333333333)</f>
        <v>46035.08333</v>
      </c>
      <c r="I4507" s="237" t="str">
        <f t="shared" si="1"/>
        <v>Fora</v>
      </c>
      <c r="J4507" s="239">
        <v>119.99999999301508</v>
      </c>
    </row>
    <row r="4508">
      <c r="A4508" s="234" t="s">
        <v>5573</v>
      </c>
      <c r="B4508" s="234" t="str">
        <f>IFERROR(__xludf.DUMMYFUNCTION("""COMPUTED_VALUE"""),"LM Hub_SP_Tatuí")</f>
        <v>LM Hub_SP_Tatuí</v>
      </c>
      <c r="C4508" s="234" t="str">
        <f>IFERROR(__xludf.DUMMYFUNCTION("""COMPUTED_VALUE"""),"HUB-LSP-51")</f>
        <v>HUB-LSP-51</v>
      </c>
      <c r="D4508" s="234">
        <f>IFERROR(__xludf.DUMMYFUNCTION("""COMPUTED_VALUE"""),29.0)</f>
        <v>29</v>
      </c>
      <c r="E4508" s="237" t="str">
        <f>IFERROR(__xludf.DUMMYFUNCTION("""COMPUTED_VALUE"""),"LT0Q1D01W9901")</f>
        <v>LT0Q1D01W9901</v>
      </c>
      <c r="F4508" s="238" t="str">
        <f>IFERROR(__xludf.DUMMYFUNCTION("""COMPUTED_VALUE"""),"GFM6E44,GBH5G53")</f>
        <v>GFM6E44,GBH5G53</v>
      </c>
      <c r="G4508" s="238">
        <f>IFERROR(__xludf.DUMMYFUNCTION("""COMPUTED_VALUE"""),46035.0)</f>
        <v>46035</v>
      </c>
      <c r="H4508" s="238">
        <f>IFERROR(__xludf.DUMMYFUNCTION("""COMPUTED_VALUE"""),46035.08333333333)</f>
        <v>46035.08333</v>
      </c>
      <c r="I4508" s="237" t="str">
        <f t="shared" si="1"/>
        <v>Fora</v>
      </c>
      <c r="J4508" s="239">
        <v>119.99999999301508</v>
      </c>
    </row>
    <row r="4509">
      <c r="A4509" s="234" t="s">
        <v>5574</v>
      </c>
      <c r="B4509" s="234" t="str">
        <f>IFERROR(__xludf.DUMMYFUNCTION("""COMPUTED_VALUE"""),"SoC_PE_Jaboatão dos Guararapes")</f>
        <v>SoC_PE_Jaboatão dos Guararapes</v>
      </c>
      <c r="C4509" s="234" t="str">
        <f>IFERROR(__xludf.DUMMYFUNCTION("""COMPUTED_VALUE"""),"SOC-PE2")</f>
        <v>SOC-PE2</v>
      </c>
      <c r="D4509" s="234">
        <f>IFERROR(__xludf.DUMMYFUNCTION("""COMPUTED_VALUE"""),33.0)</f>
        <v>33</v>
      </c>
      <c r="E4509" s="237" t="str">
        <f>IFERROR(__xludf.DUMMYFUNCTION("""COMPUTED_VALUE"""),"LT1Q1D01WNDX1")</f>
        <v>LT1Q1D01WNDX1</v>
      </c>
      <c r="F4509" s="238" t="str">
        <f>IFERROR(__xludf.DUMMYFUNCTION("""COMPUTED_VALUE"""),"ASP8G85,OWP4B83")</f>
        <v>ASP8G85,OWP4B83</v>
      </c>
      <c r="G4509" s="238">
        <f>IFERROR(__xludf.DUMMYFUNCTION("""COMPUTED_VALUE"""),46035.0)</f>
        <v>46035</v>
      </c>
      <c r="H4509" s="238">
        <f>IFERROR(__xludf.DUMMYFUNCTION("""COMPUTED_VALUE"""),46035.08333333333)</f>
        <v>46035.08333</v>
      </c>
      <c r="I4509" s="237" t="str">
        <f t="shared" si="1"/>
        <v>Fora</v>
      </c>
      <c r="J4509" s="239">
        <v>119.99999999301508</v>
      </c>
    </row>
    <row r="4510">
      <c r="A4510" s="234" t="s">
        <v>5575</v>
      </c>
      <c r="B4510" s="234" t="str">
        <f>IFERROR(__xludf.DUMMYFUNCTION("""COMPUTED_VALUE"""),"SoC_PR_Curitiba")</f>
        <v>SoC_PR_Curitiba</v>
      </c>
      <c r="C4510" s="234" t="str">
        <f>IFERROR(__xludf.DUMMYFUNCTION("""COMPUTED_VALUE"""),"SOC-PR1")</f>
        <v>SOC-PR1</v>
      </c>
      <c r="D4510" s="234">
        <f>IFERROR(__xludf.DUMMYFUNCTION("""COMPUTED_VALUE"""),39.0)</f>
        <v>39</v>
      </c>
      <c r="E4510" s="237" t="str">
        <f>IFERROR(__xludf.DUMMYFUNCTION("""COMPUTED_VALUE"""),"LT0Q1D01W93P1")</f>
        <v>LT0Q1D01W93P1</v>
      </c>
      <c r="F4510" s="238" t="str">
        <f>IFERROR(__xludf.DUMMYFUNCTION("""COMPUTED_VALUE"""),"RLH6H86,SXK8A59")</f>
        <v>RLH6H86,SXK8A59</v>
      </c>
      <c r="G4510" s="238">
        <f>IFERROR(__xludf.DUMMYFUNCTION("""COMPUTED_VALUE"""),46035.0)</f>
        <v>46035</v>
      </c>
      <c r="H4510" s="238">
        <f>IFERROR(__xludf.DUMMYFUNCTION("""COMPUTED_VALUE"""),46035.08333333333)</f>
        <v>46035.08333</v>
      </c>
      <c r="I4510" s="237" t="str">
        <f t="shared" si="1"/>
        <v>Fora</v>
      </c>
      <c r="J4510" s="239">
        <v>119.99999999301508</v>
      </c>
    </row>
    <row r="4511">
      <c r="A4511" s="234" t="s">
        <v>5576</v>
      </c>
      <c r="B4511" s="234" t="str">
        <f>IFERROR(__xludf.DUMMYFUNCTION("""COMPUTED_VALUE"""),"SoC_SP_Louveira")</f>
        <v>SoC_SP_Louveira</v>
      </c>
      <c r="C4511" s="234" t="str">
        <f>IFERROR(__xludf.DUMMYFUNCTION("""COMPUTED_VALUE"""),"SOC-SP7")</f>
        <v>SOC-SP7</v>
      </c>
      <c r="D4511" s="234"/>
      <c r="E4511" s="237" t="str">
        <f>IFERROR(__xludf.DUMMYFUNCTION("""COMPUTED_VALUE"""),"LT0Q1D01W95E1")</f>
        <v>LT0Q1D01W95E1</v>
      </c>
      <c r="F4511" s="238" t="str">
        <f>IFERROR(__xludf.DUMMYFUNCTION("""COMPUTED_VALUE"""),"FLT6C13,SVT2E31")</f>
        <v>FLT6C13,SVT2E31</v>
      </c>
      <c r="G4511" s="238">
        <f>IFERROR(__xludf.DUMMYFUNCTION("""COMPUTED_VALUE"""),46035.0)</f>
        <v>46035</v>
      </c>
      <c r="H4511" s="238">
        <f>IFERROR(__xludf.DUMMYFUNCTION("""COMPUTED_VALUE"""),46035.08333333333)</f>
        <v>46035.08333</v>
      </c>
      <c r="I4511" s="237" t="str">
        <f t="shared" si="1"/>
        <v>Fora</v>
      </c>
      <c r="J4511" s="239">
        <v>120.00000001396984</v>
      </c>
    </row>
    <row r="4512">
      <c r="A4512" s="234" t="s">
        <v>5577</v>
      </c>
      <c r="B4512" s="234" t="str">
        <f>IFERROR(__xludf.DUMMYFUNCTION("""COMPUTED_VALUE"""),"LM Hub_MG_Varginha_Fausto")</f>
        <v>LM Hub_MG_Varginha_Fausto</v>
      </c>
      <c r="C4512" s="234" t="str">
        <f>IFERROR(__xludf.DUMMYFUNCTION("""COMPUTED_VALUE"""),"HUB-LMG-45")</f>
        <v>HUB-LMG-45</v>
      </c>
      <c r="D4512" s="234">
        <f>IFERROR(__xludf.DUMMYFUNCTION("""COMPUTED_VALUE"""),49.0)</f>
        <v>49</v>
      </c>
      <c r="E4512" s="237" t="str">
        <f>IFERROR(__xludf.DUMMYFUNCTION("""COMPUTED_VALUE"""),"LT0Q1D01WEGZ1")</f>
        <v>LT0Q1D01WEGZ1</v>
      </c>
      <c r="F4512" s="238" t="str">
        <f>IFERROR(__xludf.DUMMYFUNCTION("""COMPUTED_VALUE"""),"EMT0B42")</f>
        <v>EMT0B42</v>
      </c>
      <c r="G4512" s="238">
        <f>IFERROR(__xludf.DUMMYFUNCTION("""COMPUTED_VALUE"""),46035.02083333333)</f>
        <v>46035.02083</v>
      </c>
      <c r="H4512" s="238">
        <f>IFERROR(__xludf.DUMMYFUNCTION("""COMPUTED_VALUE"""),46035.10416666667)</f>
        <v>46035.10417</v>
      </c>
      <c r="I4512" s="237" t="str">
        <f t="shared" si="1"/>
        <v>Fora</v>
      </c>
      <c r="J4512" s="239">
        <v>540.0</v>
      </c>
    </row>
    <row r="4513">
      <c r="A4513" s="234" t="s">
        <v>5578</v>
      </c>
      <c r="B4513" s="234" t="str">
        <f>IFERROR(__xludf.DUMMYFUNCTION("""COMPUTED_VALUE"""),"SoC_PE_Jaboatão dos Guararapes")</f>
        <v>SoC_PE_Jaboatão dos Guararapes</v>
      </c>
      <c r="C4513" s="234" t="str">
        <f>IFERROR(__xludf.DUMMYFUNCTION("""COMPUTED_VALUE"""),"SOC-PE2")</f>
        <v>SOC-PE2</v>
      </c>
      <c r="D4513" s="234">
        <f>IFERROR(__xludf.DUMMYFUNCTION("""COMPUTED_VALUE"""),98.0)</f>
        <v>98</v>
      </c>
      <c r="E4513" s="237" t="str">
        <f>IFERROR(__xludf.DUMMYFUNCTION("""COMPUTED_VALUE"""),"LT1Q1C01WNDW1")</f>
        <v>LT1Q1C01WNDW1</v>
      </c>
      <c r="F4513" s="238" t="str">
        <f>IFERROR(__xludf.DUMMYFUNCTION("""COMPUTED_VALUE"""),"QWA8I14,SKS2B20")</f>
        <v>QWA8I14,SKS2B20</v>
      </c>
      <c r="G4513" s="238">
        <f>IFERROR(__xludf.DUMMYFUNCTION("""COMPUTED_VALUE"""),46034.75)</f>
        <v>46034.75</v>
      </c>
      <c r="H4513" s="238">
        <f>IFERROR(__xludf.DUMMYFUNCTION("""COMPUTED_VALUE"""),46035.125)</f>
        <v>46035.125</v>
      </c>
      <c r="I4513" s="237" t="str">
        <f t="shared" si="1"/>
        <v>Fora</v>
      </c>
      <c r="J4513" s="239">
        <v>119.99999999301508</v>
      </c>
    </row>
    <row r="4514">
      <c r="A4514" s="234" t="s">
        <v>5579</v>
      </c>
      <c r="B4514" s="234" t="str">
        <f>IFERROR(__xludf.DUMMYFUNCTION("""COMPUTED_VALUE"""),"SoC_GO_Goiânia_02")</f>
        <v>SoC_GO_Goiânia_02</v>
      </c>
      <c r="C4514" s="234" t="str">
        <f>IFERROR(__xludf.DUMMYFUNCTION("""COMPUTED_VALUE"""),"SOC-GO2")</f>
        <v>SOC-GO2</v>
      </c>
      <c r="D4514" s="234"/>
      <c r="E4514" s="237" t="str">
        <f>IFERROR(__xludf.DUMMYFUNCTION("""COMPUTED_VALUE"""),"LT1Q1D01WNFY1")</f>
        <v>LT1Q1D01WNFY1</v>
      </c>
      <c r="F4514" s="238" t="str">
        <f>IFERROR(__xludf.DUMMYFUNCTION("""COMPUTED_VALUE"""),"QPH3J14,FSM1G51")</f>
        <v>QPH3J14,FSM1G51</v>
      </c>
      <c r="G4514" s="238">
        <f>IFERROR(__xludf.DUMMYFUNCTION("""COMPUTED_VALUE"""),46035.04166666667)</f>
        <v>46035.04167</v>
      </c>
      <c r="H4514" s="238">
        <f>IFERROR(__xludf.DUMMYFUNCTION("""COMPUTED_VALUE"""),46035.125)</f>
        <v>46035.125</v>
      </c>
      <c r="I4514" s="237" t="str">
        <f t="shared" si="1"/>
        <v>Fora</v>
      </c>
      <c r="J4514" s="239">
        <v>119.99999999301508</v>
      </c>
    </row>
    <row r="4515">
      <c r="A4515" s="234" t="s">
        <v>5580</v>
      </c>
      <c r="B4515" s="234" t="str">
        <f>IFERROR(__xludf.DUMMYFUNCTION("""COMPUTED_VALUE"""),"SoC_PR_Curitiba")</f>
        <v>SoC_PR_Curitiba</v>
      </c>
      <c r="C4515" s="234" t="str">
        <f>IFERROR(__xludf.DUMMYFUNCTION("""COMPUTED_VALUE"""),"SOC-PR1")</f>
        <v>SOC-PR1</v>
      </c>
      <c r="D4515" s="234">
        <f>IFERROR(__xludf.DUMMYFUNCTION("""COMPUTED_VALUE"""),13.0)</f>
        <v>13</v>
      </c>
      <c r="E4515" s="237" t="str">
        <f>IFERROR(__xludf.DUMMYFUNCTION("""COMPUTED_VALUE"""),"LT1Q1D01WNDU1")</f>
        <v>LT1Q1D01WNDU1</v>
      </c>
      <c r="F4515" s="238" t="str">
        <f>IFERROR(__xludf.DUMMYFUNCTION("""COMPUTED_VALUE"""),"RAI8F35,RXT4E03")</f>
        <v>RAI8F35,RXT4E03</v>
      </c>
      <c r="G4515" s="238">
        <f>IFERROR(__xludf.DUMMYFUNCTION("""COMPUTED_VALUE"""),46035.04166666667)</f>
        <v>46035.04167</v>
      </c>
      <c r="H4515" s="238">
        <f>IFERROR(__xludf.DUMMYFUNCTION("""COMPUTED_VALUE"""),46035.125)</f>
        <v>46035.125</v>
      </c>
      <c r="I4515" s="237" t="str">
        <f t="shared" si="1"/>
        <v>Fora</v>
      </c>
      <c r="J4515" s="239">
        <v>119.99999999301508</v>
      </c>
    </row>
    <row r="4516">
      <c r="A4516" s="234" t="s">
        <v>5581</v>
      </c>
      <c r="B4516" s="234" t="str">
        <f>IFERROR(__xludf.DUMMYFUNCTION("""COMPUTED_VALUE"""),"SoC_RJ_Duque de Caxias")</f>
        <v>SoC_RJ_Duque de Caxias</v>
      </c>
      <c r="C4516" s="234" t="str">
        <f>IFERROR(__xludf.DUMMYFUNCTION("""COMPUTED_VALUE"""),"SOC-RJ2")</f>
        <v>SOC-RJ2</v>
      </c>
      <c r="D4516" s="234">
        <f>IFERROR(__xludf.DUMMYFUNCTION("""COMPUTED_VALUE"""),110.0)</f>
        <v>110</v>
      </c>
      <c r="E4516" s="237" t="str">
        <f>IFERROR(__xludf.DUMMYFUNCTION("""COMPUTED_VALUE"""),"LT1Q1D01WNDM1")</f>
        <v>LT1Q1D01WNDM1</v>
      </c>
      <c r="F4516" s="238" t="str">
        <f>IFERROR(__xludf.DUMMYFUNCTION("""COMPUTED_VALUE"""),"ARW6H90,DBL9F03")</f>
        <v>ARW6H90,DBL9F03</v>
      </c>
      <c r="G4516" s="238">
        <f>IFERROR(__xludf.DUMMYFUNCTION("""COMPUTED_VALUE"""),46035.04166666667)</f>
        <v>46035.04167</v>
      </c>
      <c r="H4516" s="238">
        <f>IFERROR(__xludf.DUMMYFUNCTION("""COMPUTED_VALUE"""),46035.125)</f>
        <v>46035.125</v>
      </c>
      <c r="I4516" s="237" t="str">
        <f t="shared" si="1"/>
        <v>Fora</v>
      </c>
      <c r="J4516" s="239">
        <v>60.00000000698492</v>
      </c>
    </row>
    <row r="4517">
      <c r="A4517" s="234" t="s">
        <v>5582</v>
      </c>
      <c r="B4517" s="234" t="str">
        <f>IFERROR(__xludf.DUMMYFUNCTION("""COMPUTED_VALUE"""),"SoC_MG_Betim")</f>
        <v>SoC_MG_Betim</v>
      </c>
      <c r="C4517" s="234" t="str">
        <f>IFERROR(__xludf.DUMMYFUNCTION("""COMPUTED_VALUE"""),"SOC-MG2")</f>
        <v>SOC-MG2</v>
      </c>
      <c r="D4517" s="234"/>
      <c r="E4517" s="237" t="str">
        <f>IFERROR(__xludf.DUMMYFUNCTION("""COMPUTED_VALUE"""),"LT1Q1D01WNDT1")</f>
        <v>LT1Q1D01WNDT1</v>
      </c>
      <c r="F4517" s="238" t="str">
        <f>IFERROR(__xludf.DUMMYFUNCTION("""COMPUTED_VALUE"""),"GBR4G52,GIY7A58")</f>
        <v>GBR4G52,GIY7A58</v>
      </c>
      <c r="G4517" s="238">
        <f>IFERROR(__xludf.DUMMYFUNCTION("""COMPUTED_VALUE"""),46035.08333333333)</f>
        <v>46035.08333</v>
      </c>
      <c r="H4517" s="238">
        <f>IFERROR(__xludf.DUMMYFUNCTION("""COMPUTED_VALUE"""),46035.125)</f>
        <v>46035.125</v>
      </c>
      <c r="I4517" s="237" t="str">
        <f t="shared" si="1"/>
        <v>Fora</v>
      </c>
      <c r="J4517" s="239">
        <v>540.0</v>
      </c>
    </row>
    <row r="4518">
      <c r="A4518" s="234" t="s">
        <v>5583</v>
      </c>
      <c r="B4518" s="234" t="str">
        <f>IFERROR(__xludf.DUMMYFUNCTION("""COMPUTED_VALUE"""),"SoC_RJ_Duque de Caxias")</f>
        <v>SoC_RJ_Duque de Caxias</v>
      </c>
      <c r="C4518" s="234" t="str">
        <f>IFERROR(__xludf.DUMMYFUNCTION("""COMPUTED_VALUE"""),"SOC-RJ2")</f>
        <v>SOC-RJ2</v>
      </c>
      <c r="D4518" s="234">
        <f>IFERROR(__xludf.DUMMYFUNCTION("""COMPUTED_VALUE"""),97.0)</f>
        <v>97</v>
      </c>
      <c r="E4518" s="237" t="str">
        <f>IFERROR(__xludf.DUMMYFUNCTION("""COMPUTED_VALUE"""),"LT0Q1C01WBFC2")</f>
        <v>LT0Q1C01WBFC2</v>
      </c>
      <c r="F4518" s="238" t="str">
        <f>IFERROR(__xludf.DUMMYFUNCTION("""COMPUTED_VALUE"""),"MMH2F35,HRS6C42")</f>
        <v>MMH2F35,HRS6C42</v>
      </c>
      <c r="G4518" s="238">
        <f>IFERROR(__xludf.DUMMYFUNCTION("""COMPUTED_VALUE"""),46034.79166666667)</f>
        <v>46034.79167</v>
      </c>
      <c r="H4518" s="238">
        <f>IFERROR(__xludf.DUMMYFUNCTION("""COMPUTED_VALUE"""),46035.16666666667)</f>
        <v>46035.16667</v>
      </c>
      <c r="I4518" s="237" t="str">
        <f t="shared" si="1"/>
        <v>Fora</v>
      </c>
      <c r="J4518" s="239">
        <v>540.0</v>
      </c>
    </row>
    <row r="4519">
      <c r="A4519" s="234" t="s">
        <v>5584</v>
      </c>
      <c r="B4519" s="234" t="str">
        <f>IFERROR(__xludf.DUMMYFUNCTION("""COMPUTED_VALUE"""),"SoC_SC_Itajaí")</f>
        <v>SoC_SC_Itajaí</v>
      </c>
      <c r="C4519" s="234" t="str">
        <f>IFERROR(__xludf.DUMMYFUNCTION("""COMPUTED_VALUE"""),"SOC-SC1")</f>
        <v>SOC-SC1</v>
      </c>
      <c r="D4519" s="234">
        <f>IFERROR(__xludf.DUMMYFUNCTION("""COMPUTED_VALUE"""),100.0)</f>
        <v>100</v>
      </c>
      <c r="E4519" s="237" t="str">
        <f>IFERROR(__xludf.DUMMYFUNCTION("""COMPUTED_VALUE"""),"LT1Q1C01WNFR1")</f>
        <v>LT1Q1C01WNFR1</v>
      </c>
      <c r="F4519" s="238" t="str">
        <f>IFERROR(__xludf.DUMMYFUNCTION("""COMPUTED_VALUE"""),"EMT5B92,EML4J82")</f>
        <v>EMT5B92,EML4J82</v>
      </c>
      <c r="G4519" s="238">
        <f>IFERROR(__xludf.DUMMYFUNCTION("""COMPUTED_VALUE"""),46034.79166666667)</f>
        <v>46034.79167</v>
      </c>
      <c r="H4519" s="238">
        <f>IFERROR(__xludf.DUMMYFUNCTION("""COMPUTED_VALUE"""),46035.16666666667)</f>
        <v>46035.16667</v>
      </c>
      <c r="I4519" s="237" t="str">
        <f t="shared" si="1"/>
        <v>Fora</v>
      </c>
      <c r="J4519" s="239">
        <v>480.00000001396984</v>
      </c>
    </row>
    <row r="4520">
      <c r="A4520" s="234" t="s">
        <v>5585</v>
      </c>
      <c r="B4520" s="234" t="str">
        <f>IFERROR(__xludf.DUMMYFUNCTION("""COMPUTED_VALUE"""),"SoC_GO_Goiânia_02")</f>
        <v>SoC_GO_Goiânia_02</v>
      </c>
      <c r="C4520" s="234" t="str">
        <f>IFERROR(__xludf.DUMMYFUNCTION("""COMPUTED_VALUE"""),"SOC-GO2")</f>
        <v>SOC-GO2</v>
      </c>
      <c r="D4520" s="234" t="str">
        <f>IFERROR(__xludf.DUMMYFUNCTION("""COMPUTED_VALUE"""),"86/8")</f>
        <v>86/8</v>
      </c>
      <c r="E4520" s="237" t="str">
        <f>IFERROR(__xludf.DUMMYFUNCTION("""COMPUTED_VALUE"""),"LT1Q1C01WNO01")</f>
        <v>LT1Q1C01WNO01</v>
      </c>
      <c r="F4520" s="238" t="str">
        <f>IFERROR(__xludf.DUMMYFUNCTION("""COMPUTED_VALUE"""),"OLA6C26,EWU0856")</f>
        <v>OLA6C26,EWU0856</v>
      </c>
      <c r="G4520" s="238">
        <f>IFERROR(__xludf.DUMMYFUNCTION("""COMPUTED_VALUE"""),46034.83333333333)</f>
        <v>46034.83333</v>
      </c>
      <c r="H4520" s="238">
        <f>IFERROR(__xludf.DUMMYFUNCTION("""COMPUTED_VALUE"""),46035.16666666667)</f>
        <v>46035.16667</v>
      </c>
      <c r="I4520" s="237" t="str">
        <f t="shared" si="1"/>
        <v>Fora</v>
      </c>
      <c r="J4520" s="239">
        <v>120.00000001396984</v>
      </c>
    </row>
    <row r="4521">
      <c r="A4521" s="234" t="s">
        <v>5586</v>
      </c>
      <c r="B4521" s="234" t="str">
        <f>IFERROR(__xludf.DUMMYFUNCTION("""COMPUTED_VALUE"""),"SoC_PE_Jaboatão dos Guararapes")</f>
        <v>SoC_PE_Jaboatão dos Guararapes</v>
      </c>
      <c r="C4521" s="234" t="str">
        <f>IFERROR(__xludf.DUMMYFUNCTION("""COMPUTED_VALUE"""),"SOC-PE2")</f>
        <v>SOC-PE2</v>
      </c>
      <c r="D4521" s="234"/>
      <c r="E4521" s="237" t="str">
        <f>IFERROR(__xludf.DUMMYFUNCTION("""COMPUTED_VALUE"""),"LT1Q1D01WNFJ1")</f>
        <v>LT1Q1D01WNFJ1</v>
      </c>
      <c r="F4521" s="238" t="str">
        <f>IFERROR(__xludf.DUMMYFUNCTION("""COMPUTED_VALUE"""),"OXI9A62,CUB3526")</f>
        <v>OXI9A62,CUB3526</v>
      </c>
      <c r="G4521" s="238">
        <f>IFERROR(__xludf.DUMMYFUNCTION("""COMPUTED_VALUE"""),46035.08333333333)</f>
        <v>46035.08333</v>
      </c>
      <c r="H4521" s="238">
        <f>IFERROR(__xludf.DUMMYFUNCTION("""COMPUTED_VALUE"""),46035.16666666667)</f>
        <v>46035.16667</v>
      </c>
      <c r="I4521" s="237" t="str">
        <f t="shared" si="1"/>
        <v>Fora</v>
      </c>
      <c r="J4521" s="239">
        <v>120.00000001396984</v>
      </c>
    </row>
    <row r="4522">
      <c r="A4522" s="234" t="s">
        <v>5587</v>
      </c>
      <c r="B4522" s="234" t="str">
        <f>IFERROR(__xludf.DUMMYFUNCTION("""COMPUTED_VALUE"""),"SoC_RS_Gravataí_02")</f>
        <v>SoC_RS_Gravataí_02</v>
      </c>
      <c r="C4522" s="234" t="str">
        <f>IFERROR(__xludf.DUMMYFUNCTION("""COMPUTED_VALUE"""),"SOC-RS2")</f>
        <v>SOC-RS2</v>
      </c>
      <c r="D4522" s="234"/>
      <c r="E4522" s="237" t="str">
        <f>IFERROR(__xludf.DUMMYFUNCTION("""COMPUTED_VALUE"""),"LT1Q1D01WNFQ1")</f>
        <v>LT1Q1D01WNFQ1</v>
      </c>
      <c r="F4522" s="238" t="str">
        <f>IFERROR(__xludf.DUMMYFUNCTION("""COMPUTED_VALUE"""),"EMT1I13,EMT0D52")</f>
        <v>EMT1I13,EMT0D52</v>
      </c>
      <c r="G4522" s="238">
        <f>IFERROR(__xludf.DUMMYFUNCTION("""COMPUTED_VALUE"""),46035.08333333333)</f>
        <v>46035.08333</v>
      </c>
      <c r="H4522" s="238">
        <f>IFERROR(__xludf.DUMMYFUNCTION("""COMPUTED_VALUE"""),46035.16666666667)</f>
        <v>46035.16667</v>
      </c>
      <c r="I4522" s="237" t="str">
        <f t="shared" si="1"/>
        <v>Fora</v>
      </c>
      <c r="J4522" s="239">
        <v>119.99999999301508</v>
      </c>
    </row>
    <row r="4523">
      <c r="A4523" s="234" t="s">
        <v>5588</v>
      </c>
      <c r="B4523" s="234" t="str">
        <f>IFERROR(__xludf.DUMMYFUNCTION("""COMPUTED_VALUE"""),"LM Hub_SP_Itapetininga")</f>
        <v>LM Hub_SP_Itapetininga</v>
      </c>
      <c r="C4523" s="234" t="str">
        <f>IFERROR(__xludf.DUMMYFUNCTION("""COMPUTED_VALUE"""),"HUB-LSP-53")</f>
        <v>HUB-LSP-53</v>
      </c>
      <c r="D4523" s="234">
        <f>IFERROR(__xludf.DUMMYFUNCTION("""COMPUTED_VALUE"""),40.0)</f>
        <v>40</v>
      </c>
      <c r="E4523" s="237" t="str">
        <f>IFERROR(__xludf.DUMMYFUNCTION("""COMPUTED_VALUE"""),"LT0Q1D01W98V1")</f>
        <v>LT0Q1D01W98V1</v>
      </c>
      <c r="F4523" s="238" t="str">
        <f>IFERROR(__xludf.DUMMYFUNCTION("""COMPUTED_VALUE"""),"FZY3F48")</f>
        <v>FZY3F48</v>
      </c>
      <c r="G4523" s="238">
        <f>IFERROR(__xludf.DUMMYFUNCTION("""COMPUTED_VALUE"""),46035.10416666667)</f>
        <v>46035.10417</v>
      </c>
      <c r="H4523" s="238">
        <f>IFERROR(__xludf.DUMMYFUNCTION("""COMPUTED_VALUE"""),46035.1875)</f>
        <v>46035.1875</v>
      </c>
      <c r="I4523" s="237" t="str">
        <f t="shared" si="1"/>
        <v>Fora</v>
      </c>
      <c r="J4523" s="239">
        <v>119.99999999301508</v>
      </c>
    </row>
    <row r="4524">
      <c r="A4524" s="234" t="s">
        <v>5589</v>
      </c>
      <c r="B4524" s="234" t="str">
        <f>IFERROR(__xludf.DUMMYFUNCTION("""COMPUTED_VALUE"""),"LM Hub_SP_São Carlos")</f>
        <v>LM Hub_SP_São Carlos</v>
      </c>
      <c r="C4524" s="234" t="str">
        <f>IFERROR(__xludf.DUMMYFUNCTION("""COMPUTED_VALUE"""),"HUB-LSP-31")</f>
        <v>HUB-LSP-31</v>
      </c>
      <c r="D4524" s="234">
        <f>IFERROR(__xludf.DUMMYFUNCTION("""COMPUTED_VALUE"""),38.0)</f>
        <v>38</v>
      </c>
      <c r="E4524" s="237" t="str">
        <f>IFERROR(__xludf.DUMMYFUNCTION("""COMPUTED_VALUE"""),"LT0Q1D01W9BP1")</f>
        <v>LT0Q1D01W9BP1</v>
      </c>
      <c r="F4524" s="238" t="str">
        <f>IFERROR(__xludf.DUMMYFUNCTION("""COMPUTED_VALUE"""),"DYL0G56")</f>
        <v>DYL0G56</v>
      </c>
      <c r="G4524" s="238">
        <f>IFERROR(__xludf.DUMMYFUNCTION("""COMPUTED_VALUE"""),46035.10416666667)</f>
        <v>46035.10417</v>
      </c>
      <c r="H4524" s="238">
        <f>IFERROR(__xludf.DUMMYFUNCTION("""COMPUTED_VALUE"""),46035.1875)</f>
        <v>46035.1875</v>
      </c>
      <c r="I4524" s="237" t="str">
        <f t="shared" si="1"/>
        <v>Fora</v>
      </c>
      <c r="J4524" s="239">
        <v>540.0</v>
      </c>
    </row>
    <row r="4525">
      <c r="A4525" s="234" t="s">
        <v>5590</v>
      </c>
      <c r="B4525" s="234" t="str">
        <f>IFERROR(__xludf.DUMMYFUNCTION("""COMPUTED_VALUE"""),"SoC_RJ_Duque de Caxias")</f>
        <v>SoC_RJ_Duque de Caxias</v>
      </c>
      <c r="C4525" s="234" t="str">
        <f>IFERROR(__xludf.DUMMYFUNCTION("""COMPUTED_VALUE"""),"SOC-RJ2")</f>
        <v>SOC-RJ2</v>
      </c>
      <c r="D4525" s="234">
        <f>IFERROR(__xludf.DUMMYFUNCTION("""COMPUTED_VALUE"""),114.0)</f>
        <v>114</v>
      </c>
      <c r="E4525" s="237" t="str">
        <f>IFERROR(__xludf.DUMMYFUNCTION("""COMPUTED_VALUE"""),"LT1Q1C01WNDK1")</f>
        <v>LT1Q1C01WNDK1</v>
      </c>
      <c r="F4525" s="238" t="str">
        <f>IFERROR(__xludf.DUMMYFUNCTION("""COMPUTED_VALUE"""),"QJQ7C17,EZE0860")</f>
        <v>QJQ7C17,EZE0860</v>
      </c>
      <c r="G4525" s="238">
        <f>IFERROR(__xludf.DUMMYFUNCTION("""COMPUTED_VALUE"""),46034.83333333333)</f>
        <v>46034.83333</v>
      </c>
      <c r="H4525" s="238">
        <f>IFERROR(__xludf.DUMMYFUNCTION("""COMPUTED_VALUE"""),46035.20833333333)</f>
        <v>46035.20833</v>
      </c>
      <c r="I4525" s="237" t="str">
        <f t="shared" si="1"/>
        <v>Fora</v>
      </c>
      <c r="J4525" s="239">
        <v>540.0</v>
      </c>
    </row>
    <row r="4526">
      <c r="A4526" s="234" t="s">
        <v>5591</v>
      </c>
      <c r="B4526" s="234" t="str">
        <f>IFERROR(__xludf.DUMMYFUNCTION("""COMPUTED_VALUE"""),"SoC_RS_Gravataí_02")</f>
        <v>SoC_RS_Gravataí_02</v>
      </c>
      <c r="C4526" s="234" t="str">
        <f>IFERROR(__xludf.DUMMYFUNCTION("""COMPUTED_VALUE"""),"SOC-RS2")</f>
        <v>SOC-RS2</v>
      </c>
      <c r="D4526" s="234">
        <f>IFERROR(__xludf.DUMMYFUNCTION("""COMPUTED_VALUE"""),112.0)</f>
        <v>112</v>
      </c>
      <c r="E4526" s="237" t="str">
        <f>IFERROR(__xludf.DUMMYFUNCTION("""COMPUTED_VALUE"""),"LT1Q1C01WNDZ1")</f>
        <v>LT1Q1C01WNDZ1</v>
      </c>
      <c r="F4526" s="238" t="str">
        <f>IFERROR(__xludf.DUMMYFUNCTION("""COMPUTED_VALUE"""),"PRJ5F58,TJP2C75")</f>
        <v>PRJ5F58,TJP2C75</v>
      </c>
      <c r="G4526" s="238">
        <f>IFERROR(__xludf.DUMMYFUNCTION("""COMPUTED_VALUE"""),46034.83333333333)</f>
        <v>46034.83333</v>
      </c>
      <c r="H4526" s="238">
        <f>IFERROR(__xludf.DUMMYFUNCTION("""COMPUTED_VALUE"""),46035.20833333333)</f>
        <v>46035.20833</v>
      </c>
      <c r="I4526" s="237" t="str">
        <f t="shared" si="1"/>
        <v>Fora</v>
      </c>
      <c r="J4526" s="239">
        <v>540.0</v>
      </c>
    </row>
    <row r="4527">
      <c r="A4527" s="234" t="s">
        <v>5592</v>
      </c>
      <c r="B4527" s="234" t="str">
        <f>IFERROR(__xludf.DUMMYFUNCTION("""COMPUTED_VALUE"""),"SoC_RJ_Duque de Caxias")</f>
        <v>SoC_RJ_Duque de Caxias</v>
      </c>
      <c r="C4527" s="234" t="str">
        <f>IFERROR(__xludf.DUMMYFUNCTION("""COMPUTED_VALUE"""),"SOC-RJ2")</f>
        <v>SOC-RJ2</v>
      </c>
      <c r="D4527" s="234">
        <f>IFERROR(__xludf.DUMMYFUNCTION("""COMPUTED_VALUE"""),111.0)</f>
        <v>111</v>
      </c>
      <c r="E4527" s="237" t="str">
        <f>IFERROR(__xludf.DUMMYFUNCTION("""COMPUTED_VALUE"""),"LT0Q1C01WBFB1")</f>
        <v>LT0Q1C01WBFB1</v>
      </c>
      <c r="F4527" s="238" t="str">
        <f>IFERROR(__xludf.DUMMYFUNCTION("""COMPUTED_VALUE"""),"UFF1E13,QSV1C27")</f>
        <v>UFF1E13,QSV1C27</v>
      </c>
      <c r="G4527" s="238">
        <f>IFERROR(__xludf.DUMMYFUNCTION("""COMPUTED_VALUE"""),46034.83333333333)</f>
        <v>46034.83333</v>
      </c>
      <c r="H4527" s="238">
        <f>IFERROR(__xludf.DUMMYFUNCTION("""COMPUTED_VALUE"""),46035.20833333333)</f>
        <v>46035.20833</v>
      </c>
      <c r="I4527" s="237" t="str">
        <f t="shared" si="1"/>
        <v>Fora</v>
      </c>
      <c r="J4527" s="239">
        <v>479.9999999930151</v>
      </c>
    </row>
    <row r="4528">
      <c r="A4528" s="234" t="s">
        <v>5593</v>
      </c>
      <c r="B4528" s="234" t="str">
        <f>IFERROR(__xludf.DUMMYFUNCTION("""COMPUTED_VALUE"""),"SoC_MG_Betim")</f>
        <v>SoC_MG_Betim</v>
      </c>
      <c r="C4528" s="234" t="str">
        <f>IFERROR(__xludf.DUMMYFUNCTION("""COMPUTED_VALUE"""),"SOC-MG2")</f>
        <v>SOC-MG2</v>
      </c>
      <c r="D4528" s="234">
        <f>IFERROR(__xludf.DUMMYFUNCTION("""COMPUTED_VALUE"""),91.0)</f>
        <v>91</v>
      </c>
      <c r="E4528" s="237" t="str">
        <f>IFERROR(__xludf.DUMMYFUNCTION("""COMPUTED_VALUE"""),"LT1Q1C01WNFF1")</f>
        <v>LT1Q1C01WNFF1</v>
      </c>
      <c r="F4528" s="238" t="str">
        <f>IFERROR(__xludf.DUMMYFUNCTION("""COMPUTED_VALUE"""),"JBC2B39,JXA5569")</f>
        <v>JBC2B39,JXA5569</v>
      </c>
      <c r="G4528" s="238">
        <f>IFERROR(__xludf.DUMMYFUNCTION("""COMPUTED_VALUE"""),46034.875)</f>
        <v>46034.875</v>
      </c>
      <c r="H4528" s="238">
        <f>IFERROR(__xludf.DUMMYFUNCTION("""COMPUTED_VALUE"""),46035.20833333333)</f>
        <v>46035.20833</v>
      </c>
      <c r="I4528" s="237" t="str">
        <f t="shared" si="1"/>
        <v>Fora</v>
      </c>
      <c r="J4528" s="239">
        <v>180.0</v>
      </c>
    </row>
    <row r="4529">
      <c r="A4529" s="234" t="s">
        <v>5594</v>
      </c>
      <c r="B4529" s="234" t="str">
        <f>IFERROR(__xludf.DUMMYFUNCTION("""COMPUTED_VALUE"""),"SoC_SP_Santana")</f>
        <v>SoC_SP_Santana</v>
      </c>
      <c r="C4529" s="234" t="str">
        <f>IFERROR(__xludf.DUMMYFUNCTION("""COMPUTED_VALUE"""),"SOC-SP2")</f>
        <v>SOC-SP2</v>
      </c>
      <c r="D4529" s="234" t="str">
        <f>IFERROR(__xludf.DUMMYFUNCTION("""COMPUTED_VALUE"""),"34/35")</f>
        <v>34/35</v>
      </c>
      <c r="E4529" s="237" t="str">
        <f>IFERROR(__xludf.DUMMYFUNCTION("""COMPUTED_VALUE"""),"LT0Q1D01W9OO1")</f>
        <v>LT0Q1D01W9OO1</v>
      </c>
      <c r="F4529" s="238" t="str">
        <f>IFERROR(__xludf.DUMMYFUNCTION("""COMPUTED_VALUE"""),"STN7J16,DAE4D51,DAE4E21")</f>
        <v>STN7J16,DAE4D51,DAE4E21</v>
      </c>
      <c r="G4529" s="238">
        <f>IFERROR(__xludf.DUMMYFUNCTION("""COMPUTED_VALUE"""),46035.08333333333)</f>
        <v>46035.08333</v>
      </c>
      <c r="H4529" s="238">
        <f>IFERROR(__xludf.DUMMYFUNCTION("""COMPUTED_VALUE"""),46035.20833333333)</f>
        <v>46035.20833</v>
      </c>
      <c r="I4529" s="237" t="str">
        <f t="shared" si="1"/>
        <v>Fora</v>
      </c>
      <c r="J4529" s="239">
        <v>119.99999999301508</v>
      </c>
    </row>
    <row r="4530">
      <c r="A4530" s="234" t="s">
        <v>5595</v>
      </c>
      <c r="B4530" s="234" t="str">
        <f>IFERROR(__xludf.DUMMYFUNCTION("""COMPUTED_VALUE"""),"LM Hub_SP_Itapeva")</f>
        <v>LM Hub_SP_Itapeva</v>
      </c>
      <c r="C4530" s="234" t="str">
        <f>IFERROR(__xludf.DUMMYFUNCTION("""COMPUTED_VALUE"""),"HUB-LSP-39")</f>
        <v>HUB-LSP-39</v>
      </c>
      <c r="D4530" s="234">
        <f>IFERROR(__xludf.DUMMYFUNCTION("""COMPUTED_VALUE"""),9.0)</f>
        <v>9</v>
      </c>
      <c r="E4530" s="237" t="str">
        <f>IFERROR(__xludf.DUMMYFUNCTION("""COMPUTED_VALUE"""),"LT0Q1D01W9971")</f>
        <v>LT0Q1D01W9971</v>
      </c>
      <c r="F4530" s="238" t="str">
        <f>IFERROR(__xludf.DUMMYFUNCTION("""COMPUTED_VALUE"""),"FCT0F31")</f>
        <v>FCT0F31</v>
      </c>
      <c r="G4530" s="238">
        <f>IFERROR(__xludf.DUMMYFUNCTION("""COMPUTED_VALUE"""),46035.125)</f>
        <v>46035.125</v>
      </c>
      <c r="H4530" s="238">
        <f>IFERROR(__xludf.DUMMYFUNCTION("""COMPUTED_VALUE"""),46035.20833333333)</f>
        <v>46035.20833</v>
      </c>
      <c r="I4530" s="237" t="str">
        <f t="shared" si="1"/>
        <v>Fora</v>
      </c>
      <c r="J4530" s="239">
        <v>119.99999999301508</v>
      </c>
    </row>
    <row r="4531">
      <c r="A4531" s="234" t="s">
        <v>5596</v>
      </c>
      <c r="B4531" s="234" t="str">
        <f>IFERROR(__xludf.DUMMYFUNCTION("""COMPUTED_VALUE"""),"LM Hub_SP_Sumaré_Nova Veneza_1")</f>
        <v>LM Hub_SP_Sumaré_Nova Veneza_1</v>
      </c>
      <c r="C4531" s="234" t="str">
        <f>IFERROR(__xludf.DUMMYFUNCTION("""COMPUTED_VALUE"""),"HUB-LSP-88")</f>
        <v>HUB-LSP-88</v>
      </c>
      <c r="D4531" s="234">
        <f>IFERROR(__xludf.DUMMYFUNCTION("""COMPUTED_VALUE"""),44.0)</f>
        <v>44</v>
      </c>
      <c r="E4531" s="237" t="str">
        <f>IFERROR(__xludf.DUMMYFUNCTION("""COMPUTED_VALUE"""),"LT0Q1D01WEDM1")</f>
        <v>LT0Q1D01WEDM1</v>
      </c>
      <c r="F4531" s="238" t="str">
        <f>IFERROR(__xludf.DUMMYFUNCTION("""COMPUTED_VALUE"""),"EGJ9547")</f>
        <v>EGJ9547</v>
      </c>
      <c r="G4531" s="238">
        <f>IFERROR(__xludf.DUMMYFUNCTION("""COMPUTED_VALUE"""),46035.125)</f>
        <v>46035.125</v>
      </c>
      <c r="H4531" s="238">
        <f>IFERROR(__xludf.DUMMYFUNCTION("""COMPUTED_VALUE"""),46035.20833333333)</f>
        <v>46035.20833</v>
      </c>
      <c r="I4531" s="237" t="str">
        <f t="shared" si="1"/>
        <v>Fora</v>
      </c>
      <c r="J4531" s="239">
        <v>119.99999999301508</v>
      </c>
    </row>
    <row r="4532">
      <c r="A4532" s="234" t="s">
        <v>5597</v>
      </c>
      <c r="B4532" s="234" t="str">
        <f>IFERROR(__xludf.DUMMYFUNCTION("""COMPUTED_VALUE"""),"SoC_GO_Goiânia_02")</f>
        <v>SoC_GO_Goiânia_02</v>
      </c>
      <c r="C4532" s="234" t="str">
        <f>IFERROR(__xludf.DUMMYFUNCTION("""COMPUTED_VALUE"""),"SOC-GO2")</f>
        <v>SOC-GO2</v>
      </c>
      <c r="D4532" s="234"/>
      <c r="E4532" s="237" t="str">
        <f>IFERROR(__xludf.DUMMYFUNCTION("""COMPUTED_VALUE"""),"LT1Q1D01WNE31")</f>
        <v>LT1Q1D01WNE31</v>
      </c>
      <c r="F4532" s="238" t="str">
        <f>IFERROR(__xludf.DUMMYFUNCTION("""COMPUTED_VALUE"""),"DKI3H23,EFW5282")</f>
        <v>DKI3H23,EFW5282</v>
      </c>
      <c r="G4532" s="238">
        <f>IFERROR(__xludf.DUMMYFUNCTION("""COMPUTED_VALUE"""),46035.125)</f>
        <v>46035.125</v>
      </c>
      <c r="H4532" s="238">
        <f>IFERROR(__xludf.DUMMYFUNCTION("""COMPUTED_VALUE"""),46035.20833333333)</f>
        <v>46035.20833</v>
      </c>
      <c r="I4532" s="237" t="str">
        <f t="shared" si="1"/>
        <v>Fora</v>
      </c>
      <c r="J4532" s="239">
        <v>119.99999999301508</v>
      </c>
    </row>
    <row r="4533">
      <c r="A4533" s="234" t="s">
        <v>5598</v>
      </c>
      <c r="B4533" s="234" t="str">
        <f>IFERROR(__xludf.DUMMYFUNCTION("""COMPUTED_VALUE"""),"SoC_SC_Itajaí")</f>
        <v>SoC_SC_Itajaí</v>
      </c>
      <c r="C4533" s="234" t="str">
        <f>IFERROR(__xludf.DUMMYFUNCTION("""COMPUTED_VALUE"""),"SOC-SC1")</f>
        <v>SOC-SC1</v>
      </c>
      <c r="D4533" s="234"/>
      <c r="E4533" s="237" t="str">
        <f>IFERROR(__xludf.DUMMYFUNCTION("""COMPUTED_VALUE"""),"LT1Q1D01WNFT1")</f>
        <v>LT1Q1D01WNFT1</v>
      </c>
      <c r="F4533" s="238" t="str">
        <f>IFERROR(__xludf.DUMMYFUNCTION("""COMPUTED_VALUE"""),"SXP5I00,RYX0E83")</f>
        <v>SXP5I00,RYX0E83</v>
      </c>
      <c r="G4533" s="238">
        <f>IFERROR(__xludf.DUMMYFUNCTION("""COMPUTED_VALUE"""),46035.125)</f>
        <v>46035.125</v>
      </c>
      <c r="H4533" s="238">
        <f>IFERROR(__xludf.DUMMYFUNCTION("""COMPUTED_VALUE"""),46035.20833333333)</f>
        <v>46035.20833</v>
      </c>
      <c r="I4533" s="237" t="str">
        <f t="shared" si="1"/>
        <v>Fora</v>
      </c>
      <c r="J4533" s="239">
        <v>119.99999999301508</v>
      </c>
    </row>
    <row r="4534">
      <c r="A4534" s="234" t="s">
        <v>5599</v>
      </c>
      <c r="B4534" s="234" t="str">
        <f>IFERROR(__xludf.DUMMYFUNCTION("""COMPUTED_VALUE"""),"SoC_GO_Goiânia_02")</f>
        <v>SoC_GO_Goiânia_02</v>
      </c>
      <c r="C4534" s="234" t="str">
        <f>IFERROR(__xludf.DUMMYFUNCTION("""COMPUTED_VALUE"""),"SOC-GO2")</f>
        <v>SOC-GO2</v>
      </c>
      <c r="D4534" s="234">
        <f>IFERROR(__xludf.DUMMYFUNCTION("""COMPUTED_VALUE"""),87.0)</f>
        <v>87</v>
      </c>
      <c r="E4534" s="237" t="str">
        <f>IFERROR(__xludf.DUMMYFUNCTION("""COMPUTED_VALUE"""),"LT1Q1D01WNFZ1")</f>
        <v>LT1Q1D01WNFZ1</v>
      </c>
      <c r="F4534" s="238" t="str">
        <f>IFERROR(__xludf.DUMMYFUNCTION("""COMPUTED_VALUE"""),"JBW4E40,UAT8F78")</f>
        <v>JBW4E40,UAT8F78</v>
      </c>
      <c r="G4534" s="238">
        <f>IFERROR(__xludf.DUMMYFUNCTION("""COMPUTED_VALUE"""),46035.125)</f>
        <v>46035.125</v>
      </c>
      <c r="H4534" s="238">
        <f>IFERROR(__xludf.DUMMYFUNCTION("""COMPUTED_VALUE"""),46035.20833333333)</f>
        <v>46035.20833</v>
      </c>
      <c r="I4534" s="237" t="str">
        <f t="shared" si="1"/>
        <v>Fora</v>
      </c>
      <c r="J4534" s="239">
        <v>119.99999999301508</v>
      </c>
    </row>
    <row r="4535">
      <c r="A4535" s="234" t="s">
        <v>5600</v>
      </c>
      <c r="B4535" s="234" t="str">
        <f>IFERROR(__xludf.DUMMYFUNCTION("""COMPUTED_VALUE"""),"SoC_MG_Betim")</f>
        <v>SoC_MG_Betim</v>
      </c>
      <c r="C4535" s="234" t="str">
        <f>IFERROR(__xludf.DUMMYFUNCTION("""COMPUTED_VALUE"""),"SOC-MG2")</f>
        <v>SOC-MG2</v>
      </c>
      <c r="D4535" s="234">
        <f>IFERROR(__xludf.DUMMYFUNCTION("""COMPUTED_VALUE"""),113.0)</f>
        <v>113</v>
      </c>
      <c r="E4535" s="237" t="str">
        <f>IFERROR(__xludf.DUMMYFUNCTION("""COMPUTED_VALUE"""),"LT1Q1D01WNFG1")</f>
        <v>LT1Q1D01WNFG1</v>
      </c>
      <c r="F4535" s="238" t="str">
        <f>IFERROR(__xludf.DUMMYFUNCTION("""COMPUTED_VALUE"""),"GHE0A38,FKW6J97")</f>
        <v>GHE0A38,FKW6J97</v>
      </c>
      <c r="G4535" s="238">
        <f>IFERROR(__xludf.DUMMYFUNCTION("""COMPUTED_VALUE"""),46035.125)</f>
        <v>46035.125</v>
      </c>
      <c r="H4535" s="238">
        <f>IFERROR(__xludf.DUMMYFUNCTION("""COMPUTED_VALUE"""),46035.20833333333)</f>
        <v>46035.20833</v>
      </c>
      <c r="I4535" s="237" t="str">
        <f t="shared" si="1"/>
        <v>Fora</v>
      </c>
      <c r="J4535" s="239">
        <v>119.99999999301508</v>
      </c>
    </row>
    <row r="4536">
      <c r="A4536" s="234" t="s">
        <v>5601</v>
      </c>
      <c r="B4536" s="234" t="str">
        <f>IFERROR(__xludf.DUMMYFUNCTION("""COMPUTED_VALUE"""),"SoC_PR_Curitiba")</f>
        <v>SoC_PR_Curitiba</v>
      </c>
      <c r="C4536" s="234" t="str">
        <f>IFERROR(__xludf.DUMMYFUNCTION("""COMPUTED_VALUE"""),"SOC-PR1")</f>
        <v>SOC-PR1</v>
      </c>
      <c r="D4536" s="234">
        <f>IFERROR(__xludf.DUMMYFUNCTION("""COMPUTED_VALUE"""),41.0)</f>
        <v>41</v>
      </c>
      <c r="E4536" s="237" t="str">
        <f>IFERROR(__xludf.DUMMYFUNCTION("""COMPUTED_VALUE"""),"LT0Q1D01W93V1")</f>
        <v>LT0Q1D01W93V1</v>
      </c>
      <c r="F4536" s="238" t="str">
        <f>IFERROR(__xludf.DUMMYFUNCTION("""COMPUTED_VALUE"""),"UAW6H38,SXH1C60")</f>
        <v>UAW6H38,SXH1C60</v>
      </c>
      <c r="G4536" s="238">
        <f>IFERROR(__xludf.DUMMYFUNCTION("""COMPUTED_VALUE"""),46035.125)</f>
        <v>46035.125</v>
      </c>
      <c r="H4536" s="238">
        <f>IFERROR(__xludf.DUMMYFUNCTION("""COMPUTED_VALUE"""),46035.20833333333)</f>
        <v>46035.20833</v>
      </c>
      <c r="I4536" s="237" t="str">
        <f t="shared" si="1"/>
        <v>Fora</v>
      </c>
      <c r="J4536" s="239">
        <v>119.99999999301508</v>
      </c>
    </row>
    <row r="4537">
      <c r="A4537" s="234" t="s">
        <v>5602</v>
      </c>
      <c r="B4537" s="234" t="str">
        <f>IFERROR(__xludf.DUMMYFUNCTION("""COMPUTED_VALUE"""),"SoC_PR_Curitiba")</f>
        <v>SoC_PR_Curitiba</v>
      </c>
      <c r="C4537" s="234" t="str">
        <f>IFERROR(__xludf.DUMMYFUNCTION("""COMPUTED_VALUE"""),"SOC-PR1")</f>
        <v>SOC-PR1</v>
      </c>
      <c r="D4537" s="234">
        <f>IFERROR(__xludf.DUMMYFUNCTION("""COMPUTED_VALUE"""),9.0)</f>
        <v>9</v>
      </c>
      <c r="E4537" s="237" t="str">
        <f>IFERROR(__xludf.DUMMYFUNCTION("""COMPUTED_VALUE"""),"LT1Q1D01WNDV1")</f>
        <v>LT1Q1D01WNDV1</v>
      </c>
      <c r="F4537" s="238" t="str">
        <f>IFERROR(__xludf.DUMMYFUNCTION("""COMPUTED_VALUE"""),"RLM8F06,GIC3H35")</f>
        <v>RLM8F06,GIC3H35</v>
      </c>
      <c r="G4537" s="238">
        <f>IFERROR(__xludf.DUMMYFUNCTION("""COMPUTED_VALUE"""),46035.16666666667)</f>
        <v>46035.16667</v>
      </c>
      <c r="H4537" s="238">
        <f>IFERROR(__xludf.DUMMYFUNCTION("""COMPUTED_VALUE"""),46035.25)</f>
        <v>46035.25</v>
      </c>
      <c r="I4537" s="237" t="str">
        <f t="shared" si="1"/>
        <v>Fora</v>
      </c>
      <c r="J4537" s="239">
        <v>119.99999999301508</v>
      </c>
    </row>
    <row r="4538">
      <c r="A4538" s="234" t="s">
        <v>5603</v>
      </c>
      <c r="B4538" s="234" t="str">
        <f>IFERROR(__xludf.DUMMYFUNCTION("""COMPUTED_VALUE"""),"SoC_RJ_Duque de Caxias")</f>
        <v>SoC_RJ_Duque de Caxias</v>
      </c>
      <c r="C4538" s="234" t="str">
        <f>IFERROR(__xludf.DUMMYFUNCTION("""COMPUTED_VALUE"""),"SOC-RJ2")</f>
        <v>SOC-RJ2</v>
      </c>
      <c r="D4538" s="234"/>
      <c r="E4538" s="237" t="str">
        <f>IFERROR(__xludf.DUMMYFUNCTION("""COMPUTED_VALUE"""),"LT1Q1D01WNDN1")</f>
        <v>LT1Q1D01WNDN1</v>
      </c>
      <c r="F4538" s="238" t="str">
        <f>IFERROR(__xludf.DUMMYFUNCTION("""COMPUTED_VALUE"""),"FST5E90,FFW3E68")</f>
        <v>FST5E90,FFW3E68</v>
      </c>
      <c r="G4538" s="238">
        <f>IFERROR(__xludf.DUMMYFUNCTION("""COMPUTED_VALUE"""),46035.125)</f>
        <v>46035.125</v>
      </c>
      <c r="H4538" s="238">
        <f>IFERROR(__xludf.DUMMYFUNCTION("""COMPUTED_VALUE"""),46035.20833333333)</f>
        <v>46035.20833</v>
      </c>
      <c r="I4538" s="237" t="str">
        <f t="shared" si="1"/>
        <v>Fora</v>
      </c>
      <c r="J4538" s="239">
        <v>120.00000001396984</v>
      </c>
    </row>
    <row r="4539">
      <c r="A4539" s="234" t="s">
        <v>5604</v>
      </c>
      <c r="B4539" s="234" t="str">
        <f>IFERROR(__xludf.DUMMYFUNCTION("""COMPUTED_VALUE"""),"LM Hub_SP_Campinas_São Martinho")</f>
        <v>LM Hub_SP_Campinas_São Martinho</v>
      </c>
      <c r="C4539" s="234" t="str">
        <f>IFERROR(__xludf.DUMMYFUNCTION("""COMPUTED_VALUE"""),"HUB-LSP-19")</f>
        <v>HUB-LSP-19</v>
      </c>
      <c r="D4539" s="234">
        <f>IFERROR(__xludf.DUMMYFUNCTION("""COMPUTED_VALUE"""),25.0)</f>
        <v>25</v>
      </c>
      <c r="E4539" s="237" t="str">
        <f>IFERROR(__xludf.DUMMYFUNCTION("""COMPUTED_VALUE"""),"LT0Q1D01W9DO1")</f>
        <v>LT0Q1D01W9DO1</v>
      </c>
      <c r="F4539" s="238" t="str">
        <f>IFERROR(__xludf.DUMMYFUNCTION("""COMPUTED_VALUE"""),"FAU5I28")</f>
        <v>FAU5I28</v>
      </c>
      <c r="G4539" s="238">
        <f>IFERROR(__xludf.DUMMYFUNCTION("""COMPUTED_VALUE"""),46035.14583333333)</f>
        <v>46035.14583</v>
      </c>
      <c r="H4539" s="238">
        <f>IFERROR(__xludf.DUMMYFUNCTION("""COMPUTED_VALUE"""),46035.22916666667)</f>
        <v>46035.22917</v>
      </c>
      <c r="I4539" s="237" t="str">
        <f t="shared" si="1"/>
        <v>Fora</v>
      </c>
      <c r="J4539" s="239">
        <v>120.00000001396984</v>
      </c>
    </row>
    <row r="4540">
      <c r="A4540" s="234" t="s">
        <v>5605</v>
      </c>
      <c r="B4540" s="234" t="str">
        <f>IFERROR(__xludf.DUMMYFUNCTION("""COMPUTED_VALUE"""),"LM Hub_SP_Mogi Mirim")</f>
        <v>LM Hub_SP_Mogi Mirim</v>
      </c>
      <c r="C4540" s="234" t="str">
        <f>IFERROR(__xludf.DUMMYFUNCTION("""COMPUTED_VALUE"""),"HUB-LSP-37")</f>
        <v>HUB-LSP-37</v>
      </c>
      <c r="D4540" s="234">
        <f>IFERROR(__xludf.DUMMYFUNCTION("""COMPUTED_VALUE"""),32.0)</f>
        <v>32</v>
      </c>
      <c r="E4540" s="237" t="str">
        <f>IFERROR(__xludf.DUMMYFUNCTION("""COMPUTED_VALUE"""),"LT0Q1D01W9C01")</f>
        <v>LT0Q1D01W9C01</v>
      </c>
      <c r="F4540" s="238" t="str">
        <f>IFERROR(__xludf.DUMMYFUNCTION("""COMPUTED_VALUE"""),"RYF7D49")</f>
        <v>RYF7D49</v>
      </c>
      <c r="G4540" s="238">
        <f>IFERROR(__xludf.DUMMYFUNCTION("""COMPUTED_VALUE"""),46035.14583333333)</f>
        <v>46035.14583</v>
      </c>
      <c r="H4540" s="238">
        <f>IFERROR(__xludf.DUMMYFUNCTION("""COMPUTED_VALUE"""),46035.22916666667)</f>
        <v>46035.22917</v>
      </c>
      <c r="I4540" s="237" t="str">
        <f t="shared" si="1"/>
        <v>Fora</v>
      </c>
      <c r="J4540" s="239">
        <v>120.00000001396984</v>
      </c>
    </row>
    <row r="4541">
      <c r="A4541" s="234" t="s">
        <v>5606</v>
      </c>
      <c r="B4541" s="234" t="str">
        <f>IFERROR(__xludf.DUMMYFUNCTION("""COMPUTED_VALUE"""),"LM Hub_SP_Osasco_02")</f>
        <v>LM Hub_SP_Osasco_02</v>
      </c>
      <c r="C4541" s="234" t="str">
        <f>IFERROR(__xludf.DUMMYFUNCTION("""COMPUTED_VALUE"""),"HUB-LSP-60")</f>
        <v>HUB-LSP-60</v>
      </c>
      <c r="D4541" s="234">
        <f>IFERROR(__xludf.DUMMYFUNCTION("""COMPUTED_VALUE"""),7.0)</f>
        <v>7</v>
      </c>
      <c r="E4541" s="237" t="str">
        <f>IFERROR(__xludf.DUMMYFUNCTION("""COMPUTED_VALUE"""),"LT0Q1D01WACT1")</f>
        <v>LT0Q1D01WACT1</v>
      </c>
      <c r="F4541" s="238" t="str">
        <f>IFERROR(__xludf.DUMMYFUNCTION("""COMPUTED_VALUE"""),"FEU6H63")</f>
        <v>FEU6H63</v>
      </c>
      <c r="G4541" s="238">
        <f>IFERROR(__xludf.DUMMYFUNCTION("""COMPUTED_VALUE"""),46035.14583333333)</f>
        <v>46035.14583</v>
      </c>
      <c r="H4541" s="238">
        <f>IFERROR(__xludf.DUMMYFUNCTION("""COMPUTED_VALUE"""),46035.22916666667)</f>
        <v>46035.22917</v>
      </c>
      <c r="I4541" s="237" t="str">
        <f t="shared" si="1"/>
        <v>Fora</v>
      </c>
      <c r="J4541" s="239">
        <v>120.00000001396984</v>
      </c>
    </row>
    <row r="4542">
      <c r="A4542" s="234" t="s">
        <v>5607</v>
      </c>
      <c r="B4542" s="234" t="str">
        <f>IFERROR(__xludf.DUMMYFUNCTION("""COMPUTED_VALUE"""),"LM Hub_SP_Sorocaba_Região Norte")</f>
        <v>LM Hub_SP_Sorocaba_Região Norte</v>
      </c>
      <c r="C4542" s="234" t="str">
        <f>IFERROR(__xludf.DUMMYFUNCTION("""COMPUTED_VALUE"""),"HUB-LSP-10")</f>
        <v>HUB-LSP-10</v>
      </c>
      <c r="D4542" s="234"/>
      <c r="E4542" s="237" t="str">
        <f>IFERROR(__xludf.DUMMYFUNCTION("""COMPUTED_VALUE"""),"LT0Q1D01W9AZ1")</f>
        <v>LT0Q1D01W9AZ1</v>
      </c>
      <c r="F4542" s="234"/>
      <c r="G4542" s="238">
        <f>IFERROR(__xludf.DUMMYFUNCTION("""COMPUTED_VALUE"""),46035.14583333333)</f>
        <v>46035.14583</v>
      </c>
      <c r="H4542" s="238">
        <f>IFERROR(__xludf.DUMMYFUNCTION("""COMPUTED_VALUE"""),46035.22916666667)</f>
        <v>46035.22917</v>
      </c>
      <c r="I4542" s="237" t="str">
        <f t="shared" si="1"/>
        <v>Fora</v>
      </c>
      <c r="J4542" s="239">
        <v>119.00000000023283</v>
      </c>
    </row>
    <row r="4543">
      <c r="A4543" s="234" t="s">
        <v>5608</v>
      </c>
      <c r="B4543" s="234" t="str">
        <f>IFERROR(__xludf.DUMMYFUNCTION("""COMPUTED_VALUE"""),"LM Hub_SP_Campinas_São Martinho")</f>
        <v>LM Hub_SP_Campinas_São Martinho</v>
      </c>
      <c r="C4543" s="234" t="str">
        <f>IFERROR(__xludf.DUMMYFUNCTION("""COMPUTED_VALUE"""),"HUB-LSP-19")</f>
        <v>HUB-LSP-19</v>
      </c>
      <c r="D4543" s="234"/>
      <c r="E4543" s="237" t="str">
        <f>IFERROR(__xludf.DUMMYFUNCTION("""COMPUTED_VALUE"""),"LT0Q1D01W9DP1")</f>
        <v>LT0Q1D01W9DP1</v>
      </c>
      <c r="F4543" s="238" t="str">
        <f>IFERROR(__xludf.DUMMYFUNCTION("""COMPUTED_VALUE"""),"FAU5I28")</f>
        <v>FAU5I28</v>
      </c>
      <c r="G4543" s="238">
        <f>IFERROR(__xludf.DUMMYFUNCTION("""COMPUTED_VALUE"""),46035.22986111111)</f>
        <v>46035.22986</v>
      </c>
      <c r="H4543" s="238">
        <f>IFERROR(__xludf.DUMMYFUNCTION("""COMPUTED_VALUE"""),46035.3125)</f>
        <v>46035.3125</v>
      </c>
      <c r="I4543" s="237" t="str">
        <f t="shared" si="1"/>
        <v>Fora</v>
      </c>
      <c r="J4543" s="239">
        <v>119.00000001071021</v>
      </c>
    </row>
    <row r="4544">
      <c r="A4544" s="234" t="s">
        <v>5609</v>
      </c>
      <c r="B4544" s="234" t="str">
        <f>IFERROR(__xludf.DUMMYFUNCTION("""COMPUTED_VALUE"""),"LM Hub_SP_Sorocaba_Região Norte")</f>
        <v>LM Hub_SP_Sorocaba_Região Norte</v>
      </c>
      <c r="C4544" s="234" t="str">
        <f>IFERROR(__xludf.DUMMYFUNCTION("""COMPUTED_VALUE"""),"HUB-LSP-10")</f>
        <v>HUB-LSP-10</v>
      </c>
      <c r="D4544" s="234">
        <f>IFERROR(__xludf.DUMMYFUNCTION("""COMPUTED_VALUE"""),12.0)</f>
        <v>12</v>
      </c>
      <c r="E4544" s="237" t="str">
        <f>IFERROR(__xludf.DUMMYFUNCTION("""COMPUTED_VALUE"""),"LT0Q1D01W9AU1")</f>
        <v>LT0Q1D01W9AU1</v>
      </c>
      <c r="F4544" s="238" t="str">
        <f>IFERROR(__xludf.DUMMYFUNCTION("""COMPUTED_VALUE"""),"GHJ3E37,OUU8J45")</f>
        <v>GHJ3E37,OUU8J45</v>
      </c>
      <c r="G4544" s="238">
        <f>IFERROR(__xludf.DUMMYFUNCTION("""COMPUTED_VALUE"""),46035.146527777775)</f>
        <v>46035.14653</v>
      </c>
      <c r="H4544" s="238">
        <f>IFERROR(__xludf.DUMMYFUNCTION("""COMPUTED_VALUE"""),46035.22916666667)</f>
        <v>46035.22917</v>
      </c>
      <c r="I4544" s="237" t="str">
        <f t="shared" si="1"/>
        <v>Fora</v>
      </c>
      <c r="J4544" s="239">
        <v>540.0</v>
      </c>
    </row>
    <row r="4545">
      <c r="A4545" s="234" t="s">
        <v>811</v>
      </c>
      <c r="B4545" s="234" t="str">
        <f>IFERROR(__xludf.DUMMYFUNCTION("""COMPUTED_VALUE"""),"SoC_PE_Jaboatão dos Guararapes")</f>
        <v>SoC_PE_Jaboatão dos Guararapes</v>
      </c>
      <c r="C4545" s="234" t="str">
        <f>IFERROR(__xludf.DUMMYFUNCTION("""COMPUTED_VALUE"""),"SOC-PE2")</f>
        <v>SOC-PE2</v>
      </c>
      <c r="D4545" s="234">
        <f>IFERROR(__xludf.DUMMYFUNCTION("""COMPUTED_VALUE"""),99.0)</f>
        <v>99</v>
      </c>
      <c r="E4545" s="237" t="str">
        <f>IFERROR(__xludf.DUMMYFUNCTION("""COMPUTED_VALUE"""),"LT1Q1C01WNFN1")</f>
        <v>LT1Q1C01WNFN1</v>
      </c>
      <c r="F4545" s="238" t="str">
        <f>IFERROR(__xludf.DUMMYFUNCTION("""COMPUTED_VALUE"""),"PVX5G61,OKU4B59")</f>
        <v>PVX5G61,OKU4B59</v>
      </c>
      <c r="G4545" s="238">
        <f>IFERROR(__xludf.DUMMYFUNCTION("""COMPUTED_VALUE"""),46034.875)</f>
        <v>46034.875</v>
      </c>
      <c r="H4545" s="238">
        <f>IFERROR(__xludf.DUMMYFUNCTION("""COMPUTED_VALUE"""),46035.25)</f>
        <v>46035.25</v>
      </c>
      <c r="I4545" s="237" t="str">
        <f t="shared" si="1"/>
        <v>Fora</v>
      </c>
      <c r="J4545" s="239">
        <v>479.9999999930151</v>
      </c>
    </row>
    <row r="4546">
      <c r="A4546" s="234" t="s">
        <v>5610</v>
      </c>
      <c r="B4546" s="234" t="str">
        <f>IFERROR(__xludf.DUMMYFUNCTION("""COMPUTED_VALUE"""),"SoC_PE_Jaboatão dos Guararapes")</f>
        <v>SoC_PE_Jaboatão dos Guararapes</v>
      </c>
      <c r="C4546" s="234" t="str">
        <f>IFERROR(__xludf.DUMMYFUNCTION("""COMPUTED_VALUE"""),"SOC-PE2")</f>
        <v>SOC-PE2</v>
      </c>
      <c r="D4546" s="234">
        <f>IFERROR(__xludf.DUMMYFUNCTION("""COMPUTED_VALUE"""),98.0)</f>
        <v>98</v>
      </c>
      <c r="E4546" s="237" t="str">
        <f>IFERROR(__xludf.DUMMYFUNCTION("""COMPUTED_VALUE"""),"LT1Q1C01WNFI1")</f>
        <v>LT1Q1C01WNFI1</v>
      </c>
      <c r="F4546" s="238" t="str">
        <f>IFERROR(__xludf.DUMMYFUNCTION("""COMPUTED_VALUE"""),"TDO2A44,SXZ0C60")</f>
        <v>TDO2A44,SXZ0C60</v>
      </c>
      <c r="G4546" s="238">
        <f>IFERROR(__xludf.DUMMYFUNCTION("""COMPUTED_VALUE"""),46034.91666666667)</f>
        <v>46034.91667</v>
      </c>
      <c r="H4546" s="238">
        <f>IFERROR(__xludf.DUMMYFUNCTION("""COMPUTED_VALUE"""),46035.25)</f>
        <v>46035.25</v>
      </c>
      <c r="I4546" s="237" t="str">
        <f t="shared" si="1"/>
        <v>Fora</v>
      </c>
      <c r="J4546" s="239">
        <v>479.9999999930151</v>
      </c>
    </row>
    <row r="4547">
      <c r="A4547" s="234" t="s">
        <v>5611</v>
      </c>
      <c r="B4547" s="234" t="str">
        <f>IFERROR(__xludf.DUMMYFUNCTION("""COMPUTED_VALUE"""),"SoC_RS_Gravataí_02")</f>
        <v>SoC_RS_Gravataí_02</v>
      </c>
      <c r="C4547" s="234" t="str">
        <f>IFERROR(__xludf.DUMMYFUNCTION("""COMPUTED_VALUE"""),"SOC-RS2")</f>
        <v>SOC-RS2</v>
      </c>
      <c r="D4547" s="234">
        <f>IFERROR(__xludf.DUMMYFUNCTION("""COMPUTED_VALUE"""),102.0)</f>
        <v>102</v>
      </c>
      <c r="E4547" s="237" t="str">
        <f>IFERROR(__xludf.DUMMYFUNCTION("""COMPUTED_VALUE"""),"LT1Q1C01WNFP1")</f>
        <v>LT1Q1C01WNFP1</v>
      </c>
      <c r="F4547" s="238" t="str">
        <f>IFERROR(__xludf.DUMMYFUNCTION("""COMPUTED_VALUE"""),"JCX0C86,PDA6F09")</f>
        <v>JCX0C86,PDA6F09</v>
      </c>
      <c r="G4547" s="238">
        <f>IFERROR(__xludf.DUMMYFUNCTION("""COMPUTED_VALUE"""),46034.91666666667)</f>
        <v>46034.91667</v>
      </c>
      <c r="H4547" s="238">
        <f>IFERROR(__xludf.DUMMYFUNCTION("""COMPUTED_VALUE"""),46035.25)</f>
        <v>46035.25</v>
      </c>
      <c r="I4547" s="237" t="str">
        <f t="shared" si="1"/>
        <v>Fora</v>
      </c>
      <c r="J4547" s="239">
        <v>479.9999999930151</v>
      </c>
    </row>
    <row r="4548">
      <c r="A4548" s="234" t="s">
        <v>5612</v>
      </c>
      <c r="B4548" s="234" t="str">
        <f>IFERROR(__xludf.DUMMYFUNCTION("""COMPUTED_VALUE"""),"SoC_SC_Itajaí")</f>
        <v>SoC_SC_Itajaí</v>
      </c>
      <c r="C4548" s="234" t="str">
        <f>IFERROR(__xludf.DUMMYFUNCTION("""COMPUTED_VALUE"""),"SOC-SC1")</f>
        <v>SOC-SC1</v>
      </c>
      <c r="D4548" s="234">
        <f>IFERROR(__xludf.DUMMYFUNCTION("""COMPUTED_VALUE"""),100.0)</f>
        <v>100</v>
      </c>
      <c r="E4548" s="237" t="str">
        <f>IFERROR(__xludf.DUMMYFUNCTION("""COMPUTED_VALUE"""),"LT1Q1C01WNE01")</f>
        <v>LT1Q1C01WNE01</v>
      </c>
      <c r="F4548" s="238" t="str">
        <f>IFERROR(__xludf.DUMMYFUNCTION("""COMPUTED_VALUE"""),"RYV2G08,FFJ2J18")</f>
        <v>RYV2G08,FFJ2J18</v>
      </c>
      <c r="G4548" s="238">
        <f>IFERROR(__xludf.DUMMYFUNCTION("""COMPUTED_VALUE"""),46034.91666666667)</f>
        <v>46034.91667</v>
      </c>
      <c r="H4548" s="238">
        <f>IFERROR(__xludf.DUMMYFUNCTION("""COMPUTED_VALUE"""),46035.25)</f>
        <v>46035.25</v>
      </c>
      <c r="I4548" s="237" t="str">
        <f t="shared" si="1"/>
        <v>Fora</v>
      </c>
      <c r="J4548" s="239">
        <v>479.9999999930151</v>
      </c>
    </row>
    <row r="4549">
      <c r="A4549" s="234" t="s">
        <v>5613</v>
      </c>
      <c r="B4549" s="234" t="str">
        <f>IFERROR(__xludf.DUMMYFUNCTION("""COMPUTED_VALUE"""),"SoC_SC_Itajaí")</f>
        <v>SoC_SC_Itajaí</v>
      </c>
      <c r="C4549" s="234" t="str">
        <f>IFERROR(__xludf.DUMMYFUNCTION("""COMPUTED_VALUE"""),"SOC-SC1")</f>
        <v>SOC-SC1</v>
      </c>
      <c r="D4549" s="234">
        <f>IFERROR(__xludf.DUMMYFUNCTION("""COMPUTED_VALUE"""),5.0)</f>
        <v>5</v>
      </c>
      <c r="E4549" s="237" t="str">
        <f>IFERROR(__xludf.DUMMYFUNCTION("""COMPUTED_VALUE"""),"LT1Q1C01WNFS1")</f>
        <v>LT1Q1C01WNFS1</v>
      </c>
      <c r="F4549" s="238" t="str">
        <f>IFERROR(__xludf.DUMMYFUNCTION("""COMPUTED_VALUE"""),"FJP7A54,APK6A05")</f>
        <v>FJP7A54,APK6A05</v>
      </c>
      <c r="G4549" s="238">
        <f>IFERROR(__xludf.DUMMYFUNCTION("""COMPUTED_VALUE"""),46034.91666666667)</f>
        <v>46034.91667</v>
      </c>
      <c r="H4549" s="238">
        <f>IFERROR(__xludf.DUMMYFUNCTION("""COMPUTED_VALUE"""),46035.25)</f>
        <v>46035.25</v>
      </c>
      <c r="I4549" s="237" t="str">
        <f t="shared" si="1"/>
        <v>Fora</v>
      </c>
      <c r="J4549" s="239">
        <v>420.0000000069849</v>
      </c>
    </row>
    <row r="4550">
      <c r="A4550" s="234" t="s">
        <v>5614</v>
      </c>
      <c r="B4550" s="234" t="str">
        <f>IFERROR(__xludf.DUMMYFUNCTION("""COMPUTED_VALUE"""),"SoC_MG_Betim")</f>
        <v>SoC_MG_Betim</v>
      </c>
      <c r="C4550" s="234" t="str">
        <f>IFERROR(__xludf.DUMMYFUNCTION("""COMPUTED_VALUE"""),"SOC-MG2")</f>
        <v>SOC-MG2</v>
      </c>
      <c r="D4550" s="234">
        <f>IFERROR(__xludf.DUMMYFUNCTION("""COMPUTED_VALUE"""),91.0)</f>
        <v>91</v>
      </c>
      <c r="E4550" s="237" t="str">
        <f>IFERROR(__xludf.DUMMYFUNCTION("""COMPUTED_VALUE"""),"LT1Q1C01WNDS1")</f>
        <v>LT1Q1C01WNDS1</v>
      </c>
      <c r="F4550" s="238" t="str">
        <f>IFERROR(__xludf.DUMMYFUNCTION("""COMPUTED_VALUE"""),"TKZ5B40,TJL9I78")</f>
        <v>TKZ5B40,TJL9I78</v>
      </c>
      <c r="G4550" s="238">
        <f>IFERROR(__xludf.DUMMYFUNCTION("""COMPUTED_VALUE"""),46034.95833333333)</f>
        <v>46034.95833</v>
      </c>
      <c r="H4550" s="238">
        <f>IFERROR(__xludf.DUMMYFUNCTION("""COMPUTED_VALUE"""),46035.25)</f>
        <v>46035.25</v>
      </c>
      <c r="I4550" s="237" t="str">
        <f t="shared" si="1"/>
        <v>Fora</v>
      </c>
      <c r="J4550" s="239">
        <v>420.0000000069849</v>
      </c>
    </row>
    <row r="4551">
      <c r="A4551" s="234" t="s">
        <v>5615</v>
      </c>
      <c r="B4551" s="234" t="str">
        <f>IFERROR(__xludf.DUMMYFUNCTION("""COMPUTED_VALUE"""),"SoC_RJ_Duque de Caxias")</f>
        <v>SoC_RJ_Duque de Caxias</v>
      </c>
      <c r="C4551" s="234" t="str">
        <f>IFERROR(__xludf.DUMMYFUNCTION("""COMPUTED_VALUE"""),"SOC-RJ2")</f>
        <v>SOC-RJ2</v>
      </c>
      <c r="D4551" s="234">
        <f>IFERROR(__xludf.DUMMYFUNCTION("""COMPUTED_VALUE"""),96.0)</f>
        <v>96</v>
      </c>
      <c r="E4551" s="237" t="str">
        <f>IFERROR(__xludf.DUMMYFUNCTION("""COMPUTED_VALUE"""),"LT1Q1C01WNDL1")</f>
        <v>LT1Q1C01WNDL1</v>
      </c>
      <c r="F4551" s="238" t="str">
        <f>IFERROR(__xludf.DUMMYFUNCTION("""COMPUTED_VALUE"""),"EPU5C78,TIV0I78")</f>
        <v>EPU5C78,TIV0I78</v>
      </c>
      <c r="G4551" s="238">
        <f>IFERROR(__xludf.DUMMYFUNCTION("""COMPUTED_VALUE"""),46034.95833333333)</f>
        <v>46034.95833</v>
      </c>
      <c r="H4551" s="238">
        <f>IFERROR(__xludf.DUMMYFUNCTION("""COMPUTED_VALUE"""),46035.25)</f>
        <v>46035.25</v>
      </c>
      <c r="I4551" s="237" t="str">
        <f t="shared" si="1"/>
        <v>Fora</v>
      </c>
      <c r="J4551" s="239">
        <v>119.99999999301508</v>
      </c>
    </row>
    <row r="4552">
      <c r="A4552" s="234" t="s">
        <v>808</v>
      </c>
      <c r="B4552" s="234" t="str">
        <f>IFERROR(__xludf.DUMMYFUNCTION("""COMPUTED_VALUE"""),"LM Hub_SP_Limeira_Campo Belo")</f>
        <v>LM Hub_SP_Limeira_Campo Belo</v>
      </c>
      <c r="C4552" s="234" t="str">
        <f>IFERROR(__xludf.DUMMYFUNCTION("""COMPUTED_VALUE"""),"HUB-LSP-24")</f>
        <v>HUB-LSP-24</v>
      </c>
      <c r="D4552" s="234">
        <f>IFERROR(__xludf.DUMMYFUNCTION("""COMPUTED_VALUE"""),22.0)</f>
        <v>22</v>
      </c>
      <c r="E4552" s="237" t="str">
        <f>IFERROR(__xludf.DUMMYFUNCTION("""COMPUTED_VALUE"""),"LT0Q1D01W9B71")</f>
        <v>LT0Q1D01W9B71</v>
      </c>
      <c r="F4552" s="238" t="str">
        <f>IFERROR(__xludf.DUMMYFUNCTION("""COMPUTED_VALUE"""),"TAJ5D50")</f>
        <v>TAJ5D50</v>
      </c>
      <c r="G4552" s="238">
        <f>IFERROR(__xludf.DUMMYFUNCTION("""COMPUTED_VALUE"""),46035.16666666667)</f>
        <v>46035.16667</v>
      </c>
      <c r="H4552" s="238">
        <f>IFERROR(__xludf.DUMMYFUNCTION("""COMPUTED_VALUE"""),46035.25)</f>
        <v>46035.25</v>
      </c>
      <c r="I4552" s="237" t="str">
        <f t="shared" si="1"/>
        <v>Fora</v>
      </c>
      <c r="J4552" s="239">
        <v>119.99999999301508</v>
      </c>
    </row>
    <row r="4553">
      <c r="A4553" s="234" t="s">
        <v>5616</v>
      </c>
      <c r="B4553" s="234" t="str">
        <f>IFERROR(__xludf.DUMMYFUNCTION("""COMPUTED_VALUE"""),"LM Hub_SP_São Bernardo do Campo")</f>
        <v>LM Hub_SP_São Bernardo do Campo</v>
      </c>
      <c r="C4553" s="234" t="str">
        <f>IFERROR(__xludf.DUMMYFUNCTION("""COMPUTED_VALUE"""),"HUB-LSP-79")</f>
        <v>HUB-LSP-79</v>
      </c>
      <c r="D4553" s="234">
        <f>IFERROR(__xludf.DUMMYFUNCTION("""COMPUTED_VALUE"""),26.0)</f>
        <v>26</v>
      </c>
      <c r="E4553" s="237" t="str">
        <f>IFERROR(__xludf.DUMMYFUNCTION("""COMPUTED_VALUE"""),"LT0Q1D01W9TA1")</f>
        <v>LT0Q1D01W9TA1</v>
      </c>
      <c r="F4553" s="238" t="str">
        <f>IFERROR(__xludf.DUMMYFUNCTION("""COMPUTED_VALUE"""),"DAJ3E28")</f>
        <v>DAJ3E28</v>
      </c>
      <c r="G4553" s="238">
        <f>IFERROR(__xludf.DUMMYFUNCTION("""COMPUTED_VALUE"""),46035.16666666667)</f>
        <v>46035.16667</v>
      </c>
      <c r="H4553" s="238">
        <f>IFERROR(__xludf.DUMMYFUNCTION("""COMPUTED_VALUE"""),46035.25)</f>
        <v>46035.25</v>
      </c>
      <c r="I4553" s="237" t="str">
        <f t="shared" si="1"/>
        <v>Fora</v>
      </c>
      <c r="J4553" s="239">
        <v>119.99999999301508</v>
      </c>
    </row>
    <row r="4554">
      <c r="A4554" s="234" t="s">
        <v>5617</v>
      </c>
      <c r="B4554" s="234" t="str">
        <f>IFERROR(__xludf.DUMMYFUNCTION("""COMPUTED_VALUE"""),"SoC_PE_Jaboatão dos Guararapes")</f>
        <v>SoC_PE_Jaboatão dos Guararapes</v>
      </c>
      <c r="C4554" s="234" t="str">
        <f>IFERROR(__xludf.DUMMYFUNCTION("""COMPUTED_VALUE"""),"SOC-PE2")</f>
        <v>SOC-PE2</v>
      </c>
      <c r="D4554" s="234"/>
      <c r="E4554" s="237" t="str">
        <f>IFERROR(__xludf.DUMMYFUNCTION("""COMPUTED_VALUE"""),"LT1Q1D01WNDY1")</f>
        <v>LT1Q1D01WNDY1</v>
      </c>
      <c r="F4554" s="238" t="str">
        <f>IFERROR(__xludf.DUMMYFUNCTION("""COMPUTED_VALUE"""),"RCV7J14,OAH2D41")</f>
        <v>RCV7J14,OAH2D41</v>
      </c>
      <c r="G4554" s="238">
        <f>IFERROR(__xludf.DUMMYFUNCTION("""COMPUTED_VALUE"""),46035.16666666667)</f>
        <v>46035.16667</v>
      </c>
      <c r="H4554" s="238">
        <f>IFERROR(__xludf.DUMMYFUNCTION("""COMPUTED_VALUE"""),46035.25)</f>
        <v>46035.25</v>
      </c>
      <c r="I4554" s="237" t="str">
        <f t="shared" si="1"/>
        <v>Fora</v>
      </c>
      <c r="J4554" s="239">
        <v>119.99999999301508</v>
      </c>
    </row>
    <row r="4555">
      <c r="A4555" s="234" t="s">
        <v>5618</v>
      </c>
      <c r="B4555" s="234" t="str">
        <f>IFERROR(__xludf.DUMMYFUNCTION("""COMPUTED_VALUE"""),"SoC_PE_Jaboatão dos Guararapes")</f>
        <v>SoC_PE_Jaboatão dos Guararapes</v>
      </c>
      <c r="C4555" s="234" t="str">
        <f>IFERROR(__xludf.DUMMYFUNCTION("""COMPUTED_VALUE"""),"SOC-PE2")</f>
        <v>SOC-PE2</v>
      </c>
      <c r="D4555" s="234">
        <f>IFERROR(__xludf.DUMMYFUNCTION("""COMPUTED_VALUE"""),110.0)</f>
        <v>110</v>
      </c>
      <c r="E4555" s="237" t="str">
        <f>IFERROR(__xludf.DUMMYFUNCTION("""COMPUTED_VALUE"""),"LT1Q1D01WNFL1")</f>
        <v>LT1Q1D01WNFL1</v>
      </c>
      <c r="F4555" s="238" t="str">
        <f>IFERROR(__xludf.DUMMYFUNCTION("""COMPUTED_VALUE"""),"QUS6I38,SHQ5A50")</f>
        <v>QUS6I38,SHQ5A50</v>
      </c>
      <c r="G4555" s="238">
        <f>IFERROR(__xludf.DUMMYFUNCTION("""COMPUTED_VALUE"""),46035.16666666667)</f>
        <v>46035.16667</v>
      </c>
      <c r="H4555" s="238">
        <f>IFERROR(__xludf.DUMMYFUNCTION("""COMPUTED_VALUE"""),46035.25)</f>
        <v>46035.25</v>
      </c>
      <c r="I4555" s="237" t="str">
        <f t="shared" si="1"/>
        <v>Fora</v>
      </c>
      <c r="J4555" s="239">
        <v>119.99999999301508</v>
      </c>
    </row>
    <row r="4556">
      <c r="A4556" s="234" t="s">
        <v>5619</v>
      </c>
      <c r="B4556" s="234" t="str">
        <f>IFERROR(__xludf.DUMMYFUNCTION("""COMPUTED_VALUE"""),"SoC_SP_Louveira")</f>
        <v>SoC_SP_Louveira</v>
      </c>
      <c r="C4556" s="234" t="str">
        <f>IFERROR(__xludf.DUMMYFUNCTION("""COMPUTED_VALUE"""),"SOC-SP7")</f>
        <v>SOC-SP7</v>
      </c>
      <c r="D4556" s="234">
        <f>IFERROR(__xludf.DUMMYFUNCTION("""COMPUTED_VALUE"""),8.0)</f>
        <v>8</v>
      </c>
      <c r="E4556" s="237" t="str">
        <f>IFERROR(__xludf.DUMMYFUNCTION("""COMPUTED_VALUE"""),"LT0Q1D01W95J1")</f>
        <v>LT0Q1D01W95J1</v>
      </c>
      <c r="F4556" s="238" t="str">
        <f>IFERROR(__xludf.DUMMYFUNCTION("""COMPUTED_VALUE"""),"SVC6I57,SWO1G45")</f>
        <v>SVC6I57,SWO1G45</v>
      </c>
      <c r="G4556" s="238">
        <f>IFERROR(__xludf.DUMMYFUNCTION("""COMPUTED_VALUE"""),46035.16666666667)</f>
        <v>46035.16667</v>
      </c>
      <c r="H4556" s="238">
        <f>IFERROR(__xludf.DUMMYFUNCTION("""COMPUTED_VALUE"""),46035.25)</f>
        <v>46035.25</v>
      </c>
      <c r="I4556" s="237" t="str">
        <f t="shared" si="1"/>
        <v>Fora</v>
      </c>
      <c r="J4556" s="239">
        <v>119.00000000023283</v>
      </c>
    </row>
    <row r="4557">
      <c r="A4557" s="234" t="s">
        <v>814</v>
      </c>
      <c r="B4557" s="234" t="str">
        <f>IFERROR(__xludf.DUMMYFUNCTION("""COMPUTED_VALUE"""),"LM Hub_SP_Guaratinguetá")</f>
        <v>LM Hub_SP_Guaratinguetá</v>
      </c>
      <c r="C4557" s="234" t="str">
        <f>IFERROR(__xludf.DUMMYFUNCTION("""COMPUTED_VALUE"""),"HUB-LSP-33")</f>
        <v>HUB-LSP-33</v>
      </c>
      <c r="D4557" s="234">
        <f>IFERROR(__xludf.DUMMYFUNCTION("""COMPUTED_VALUE"""),6.0)</f>
        <v>6</v>
      </c>
      <c r="E4557" s="237" t="str">
        <f>IFERROR(__xludf.DUMMYFUNCTION("""COMPUTED_VALUE"""),"LT0Q1D01WIC51")</f>
        <v>LT0Q1D01WIC51</v>
      </c>
      <c r="F4557" s="238" t="str">
        <f>IFERROR(__xludf.DUMMYFUNCTION("""COMPUTED_VALUE"""),"MEO1F43,GVE1D68")</f>
        <v>MEO1F43,GVE1D68</v>
      </c>
      <c r="G4557" s="238">
        <f>IFERROR(__xludf.DUMMYFUNCTION("""COMPUTED_VALUE"""),46035.16736111111)</f>
        <v>46035.16736</v>
      </c>
      <c r="H4557" s="238">
        <f>IFERROR(__xludf.DUMMYFUNCTION("""COMPUTED_VALUE"""),46035.25)</f>
        <v>46035.25</v>
      </c>
      <c r="I4557" s="237" t="str">
        <f t="shared" si="1"/>
        <v>Fora</v>
      </c>
      <c r="J4557" s="239">
        <v>119.99999999301508</v>
      </c>
    </row>
    <row r="4558">
      <c r="A4558" s="234" t="s">
        <v>816</v>
      </c>
      <c r="B4558" s="234" t="str">
        <f>IFERROR(__xludf.DUMMYFUNCTION("""COMPUTED_VALUE"""),"LM Hub_SP_Atibaia_Ponte_Alta")</f>
        <v>LM Hub_SP_Atibaia_Ponte_Alta</v>
      </c>
      <c r="C4558" s="234" t="str">
        <f>IFERROR(__xludf.DUMMYFUNCTION("""COMPUTED_VALUE"""),"HUB-LSP-87")</f>
        <v>HUB-LSP-87</v>
      </c>
      <c r="D4558" s="234">
        <f>IFERROR(__xludf.DUMMYFUNCTION("""COMPUTED_VALUE"""),19.0)</f>
        <v>19</v>
      </c>
      <c r="E4558" s="237" t="str">
        <f>IFERROR(__xludf.DUMMYFUNCTION("""COMPUTED_VALUE"""),"LT0Q1D01WD5Z1")</f>
        <v>LT0Q1D01WD5Z1</v>
      </c>
      <c r="F4558" s="238" t="str">
        <f>IFERROR(__xludf.DUMMYFUNCTION("""COMPUTED_VALUE"""),"DBM1893")</f>
        <v>DBM1893</v>
      </c>
      <c r="G4558" s="238">
        <f>IFERROR(__xludf.DUMMYFUNCTION("""COMPUTED_VALUE"""),46035.1875)</f>
        <v>46035.1875</v>
      </c>
      <c r="H4558" s="238">
        <f>IFERROR(__xludf.DUMMYFUNCTION("""COMPUTED_VALUE"""),46035.27083333333)</f>
        <v>46035.27083</v>
      </c>
      <c r="I4558" s="237" t="str">
        <f t="shared" si="1"/>
        <v>Fora</v>
      </c>
      <c r="J4558" s="239">
        <v>119.99999999301508</v>
      </c>
    </row>
    <row r="4559">
      <c r="A4559" s="234" t="s">
        <v>817</v>
      </c>
      <c r="B4559" s="234" t="str">
        <f>IFERROR(__xludf.DUMMYFUNCTION("""COMPUTED_VALUE"""),"LM Hub_SP_Taubaté")</f>
        <v>LM Hub_SP_Taubaté</v>
      </c>
      <c r="C4559" s="234" t="str">
        <f>IFERROR(__xludf.DUMMYFUNCTION("""COMPUTED_VALUE"""),"HUB-LSP-08")</f>
        <v>HUB-LSP-08</v>
      </c>
      <c r="D4559" s="234">
        <f>IFERROR(__xludf.DUMMYFUNCTION("""COMPUTED_VALUE"""),17.0)</f>
        <v>17</v>
      </c>
      <c r="E4559" s="237" t="str">
        <f>IFERROR(__xludf.DUMMYFUNCTION("""COMPUTED_VALUE"""),"LT0Q1D01W9AE1")</f>
        <v>LT0Q1D01W9AE1</v>
      </c>
      <c r="F4559" s="238" t="str">
        <f>IFERROR(__xludf.DUMMYFUNCTION("""COMPUTED_VALUE"""),"FBQ6A90")</f>
        <v>FBQ6A90</v>
      </c>
      <c r="G4559" s="238">
        <f>IFERROR(__xludf.DUMMYFUNCTION("""COMPUTED_VALUE"""),46035.1875)</f>
        <v>46035.1875</v>
      </c>
      <c r="H4559" s="238">
        <f>IFERROR(__xludf.DUMMYFUNCTION("""COMPUTED_VALUE"""),46035.27083333333)</f>
        <v>46035.27083</v>
      </c>
      <c r="I4559" s="237" t="str">
        <f t="shared" si="1"/>
        <v>Fora</v>
      </c>
      <c r="J4559" s="239">
        <v>540.0</v>
      </c>
    </row>
    <row r="4560">
      <c r="A4560" s="234" t="s">
        <v>5620</v>
      </c>
      <c r="B4560" s="234" t="str">
        <f>IFERROR(__xludf.DUMMYFUNCTION("""COMPUTED_VALUE"""),"SoC_MG_Betim")</f>
        <v>SoC_MG_Betim</v>
      </c>
      <c r="C4560" s="234" t="str">
        <f>IFERROR(__xludf.DUMMYFUNCTION("""COMPUTED_VALUE"""),"SOC-MG2")</f>
        <v>SOC-MG2</v>
      </c>
      <c r="D4560" s="234"/>
      <c r="E4560" s="237" t="str">
        <f>IFERROR(__xludf.DUMMYFUNCTION("""COMPUTED_VALUE"""),"LT0Q1C01W93E1")</f>
        <v>LT0Q1C01W93E1</v>
      </c>
      <c r="F4560" s="238" t="str">
        <f>IFERROR(__xludf.DUMMYFUNCTION("""COMPUTED_VALUE"""),"FIL1H94,DPF0820")</f>
        <v>FIL1H94,DPF0820</v>
      </c>
      <c r="G4560" s="238">
        <f>IFERROR(__xludf.DUMMYFUNCTION("""COMPUTED_VALUE"""),46034.91666666667)</f>
        <v>46034.91667</v>
      </c>
      <c r="H4560" s="238">
        <f>IFERROR(__xludf.DUMMYFUNCTION("""COMPUTED_VALUE"""),46035.29166666667)</f>
        <v>46035.29167</v>
      </c>
      <c r="I4560" s="237" t="str">
        <f t="shared" si="1"/>
        <v>Fora</v>
      </c>
      <c r="J4560" s="239">
        <v>540.0</v>
      </c>
    </row>
    <row r="4561">
      <c r="A4561" s="234" t="s">
        <v>819</v>
      </c>
      <c r="B4561" s="234" t="str">
        <f>IFERROR(__xludf.DUMMYFUNCTION("""COMPUTED_VALUE"""),"SoC_RS_Gravataí_02")</f>
        <v>SoC_RS_Gravataí_02</v>
      </c>
      <c r="C4561" s="234" t="str">
        <f>IFERROR(__xludf.DUMMYFUNCTION("""COMPUTED_VALUE"""),"SOC-RS2")</f>
        <v>SOC-RS2</v>
      </c>
      <c r="D4561" s="234">
        <f>IFERROR(__xludf.DUMMYFUNCTION("""COMPUTED_VALUE"""),102.0)</f>
        <v>102</v>
      </c>
      <c r="E4561" s="237" t="str">
        <f>IFERROR(__xludf.DUMMYFUNCTION("""COMPUTED_VALUE"""),"LT0Q1C01WF8B1")</f>
        <v>LT0Q1C01WF8B1</v>
      </c>
      <c r="F4561" s="238" t="str">
        <f>IFERROR(__xludf.DUMMYFUNCTION("""COMPUTED_VALUE"""),"EZU3G84,SRI4I90")</f>
        <v>EZU3G84,SRI4I90</v>
      </c>
      <c r="G4561" s="238">
        <f>IFERROR(__xludf.DUMMYFUNCTION("""COMPUTED_VALUE"""),46034.91666666667)</f>
        <v>46034.91667</v>
      </c>
      <c r="H4561" s="238">
        <f>IFERROR(__xludf.DUMMYFUNCTION("""COMPUTED_VALUE"""),46035.29166666667)</f>
        <v>46035.29167</v>
      </c>
      <c r="I4561" s="237" t="str">
        <f t="shared" si="1"/>
        <v>Fora</v>
      </c>
      <c r="J4561" s="239">
        <v>540.0</v>
      </c>
    </row>
    <row r="4562">
      <c r="A4562" s="234" t="s">
        <v>5621</v>
      </c>
      <c r="B4562" s="234" t="str">
        <f>IFERROR(__xludf.DUMMYFUNCTION("""COMPUTED_VALUE"""),"SoC_SC_Itajaí")</f>
        <v>SoC_SC_Itajaí</v>
      </c>
      <c r="C4562" s="234" t="str">
        <f>IFERROR(__xludf.DUMMYFUNCTION("""COMPUTED_VALUE"""),"SOC-SC1")</f>
        <v>SOC-SC1</v>
      </c>
      <c r="D4562" s="234"/>
      <c r="E4562" s="237" t="str">
        <f>IFERROR(__xludf.DUMMYFUNCTION("""COMPUTED_VALUE"""),"LT0Q1C01WDUK1")</f>
        <v>LT0Q1C01WDUK1</v>
      </c>
      <c r="F4562" s="238" t="str">
        <f>IFERROR(__xludf.DUMMYFUNCTION("""COMPUTED_VALUE"""),"RYO6H38,SXW5C21")</f>
        <v>RYO6H38,SXW5C21</v>
      </c>
      <c r="G4562" s="238">
        <f>IFERROR(__xludf.DUMMYFUNCTION("""COMPUTED_VALUE"""),46034.91666666667)</f>
        <v>46034.91667</v>
      </c>
      <c r="H4562" s="238">
        <f>IFERROR(__xludf.DUMMYFUNCTION("""COMPUTED_VALUE"""),46035.29166666667)</f>
        <v>46035.29167</v>
      </c>
      <c r="I4562" s="237" t="str">
        <f t="shared" si="1"/>
        <v>Fora</v>
      </c>
      <c r="J4562" s="239">
        <v>540.0</v>
      </c>
    </row>
    <row r="4563">
      <c r="A4563" s="234" t="s">
        <v>825</v>
      </c>
      <c r="B4563" s="234" t="str">
        <f>IFERROR(__xludf.DUMMYFUNCTION("""COMPUTED_VALUE"""),"SoC_SP_Cravinhos")</f>
        <v>SoC_SP_Cravinhos</v>
      </c>
      <c r="C4563" s="234" t="str">
        <f>IFERROR(__xludf.DUMMYFUNCTION("""COMPUTED_VALUE"""),"SOC-SP5")</f>
        <v>SOC-SP5</v>
      </c>
      <c r="D4563" s="234">
        <f>IFERROR(__xludf.DUMMYFUNCTION("""COMPUTED_VALUE"""),94.0)</f>
        <v>94</v>
      </c>
      <c r="E4563" s="237" t="str">
        <f>IFERROR(__xludf.DUMMYFUNCTION("""COMPUTED_VALUE"""),"LT0Q1C01W9521")</f>
        <v>LT0Q1C01W9521</v>
      </c>
      <c r="F4563" s="238" t="str">
        <f>IFERROR(__xludf.DUMMYFUNCTION("""COMPUTED_VALUE"""),"EPU5B08,DBC5I22")</f>
        <v>EPU5B08,DBC5I22</v>
      </c>
      <c r="G4563" s="238">
        <f>IFERROR(__xludf.DUMMYFUNCTION("""COMPUTED_VALUE"""),46034.91666666667)</f>
        <v>46034.91667</v>
      </c>
      <c r="H4563" s="238">
        <f>IFERROR(__xludf.DUMMYFUNCTION("""COMPUTED_VALUE"""),46035.29166666667)</f>
        <v>46035.29167</v>
      </c>
      <c r="I4563" s="237" t="str">
        <f t="shared" si="1"/>
        <v>Fora</v>
      </c>
      <c r="J4563" s="239">
        <v>539.0000000072177</v>
      </c>
    </row>
    <row r="4564">
      <c r="A4564" s="234" t="s">
        <v>5622</v>
      </c>
      <c r="B4564" s="234" t="str">
        <f>IFERROR(__xludf.DUMMYFUNCTION("""COMPUTED_VALUE"""),"SoC_BA_Simoes Filho")</f>
        <v>SoC_BA_Simoes Filho</v>
      </c>
      <c r="C4564" s="234" t="str">
        <f>IFERROR(__xludf.DUMMYFUNCTION("""COMPUTED_VALUE"""),"SOC-BA2")</f>
        <v>SOC-BA2</v>
      </c>
      <c r="D4564" s="234" t="str">
        <f>IFERROR(__xludf.DUMMYFUNCTION("""COMPUTED_VALUE"""),"89/114")</f>
        <v>89/114</v>
      </c>
      <c r="E4564" s="237" t="str">
        <f>IFERROR(__xludf.DUMMYFUNCTION("""COMPUTED_VALUE"""),"LT0Q1C01WEUD1")</f>
        <v>LT0Q1C01WEUD1</v>
      </c>
      <c r="F4564" s="238" t="str">
        <f>IFERROR(__xludf.DUMMYFUNCTION("""COMPUTED_VALUE"""),"STT0I32,TDI4I62")</f>
        <v>STT0I32,TDI4I62</v>
      </c>
      <c r="G4564" s="238">
        <f>IFERROR(__xludf.DUMMYFUNCTION("""COMPUTED_VALUE"""),46034.91736111111)</f>
        <v>46034.91736</v>
      </c>
      <c r="H4564" s="238">
        <f>IFERROR(__xludf.DUMMYFUNCTION("""COMPUTED_VALUE"""),46035.29166666667)</f>
        <v>46035.29167</v>
      </c>
      <c r="I4564" s="237" t="str">
        <f t="shared" si="1"/>
        <v>Fora</v>
      </c>
      <c r="J4564" s="239">
        <v>539.0000000072177</v>
      </c>
    </row>
    <row r="4565">
      <c r="A4565" s="234" t="s">
        <v>5623</v>
      </c>
      <c r="B4565" s="234" t="str">
        <f>IFERROR(__xludf.DUMMYFUNCTION("""COMPUTED_VALUE"""),"SoC_BA_Simoes Filho")</f>
        <v>SoC_BA_Simoes Filho</v>
      </c>
      <c r="C4565" s="234" t="str">
        <f>IFERROR(__xludf.DUMMYFUNCTION("""COMPUTED_VALUE"""),"SOC-BA2")</f>
        <v>SOC-BA2</v>
      </c>
      <c r="D4565" s="234">
        <f>IFERROR(__xludf.DUMMYFUNCTION("""COMPUTED_VALUE"""),89.0)</f>
        <v>89</v>
      </c>
      <c r="E4565" s="237" t="str">
        <f>IFERROR(__xludf.DUMMYFUNCTION("""COMPUTED_VALUE"""),"LT0Q1C01WEUF2")</f>
        <v>LT0Q1C01WEUF2</v>
      </c>
      <c r="F4565" s="238" t="str">
        <f>IFERROR(__xludf.DUMMYFUNCTION("""COMPUTED_VALUE"""),"OKZ7J90,OLT9D98")</f>
        <v>OKZ7J90,OLT9D98</v>
      </c>
      <c r="G4565" s="238">
        <f>IFERROR(__xludf.DUMMYFUNCTION("""COMPUTED_VALUE"""),46034.91736111111)</f>
        <v>46034.91736</v>
      </c>
      <c r="H4565" s="238">
        <f>IFERROR(__xludf.DUMMYFUNCTION("""COMPUTED_VALUE"""),46035.29166666667)</f>
        <v>46035.29167</v>
      </c>
      <c r="I4565" s="237" t="str">
        <f t="shared" si="1"/>
        <v>Fora</v>
      </c>
      <c r="J4565" s="239">
        <v>539.0000000072177</v>
      </c>
    </row>
    <row r="4566">
      <c r="A4566" s="234" t="s">
        <v>5624</v>
      </c>
      <c r="B4566" s="234" t="str">
        <f>IFERROR(__xludf.DUMMYFUNCTION("""COMPUTED_VALUE"""),"SoC_RJ_Duque de Caxias")</f>
        <v>SoC_RJ_Duque de Caxias</v>
      </c>
      <c r="C4566" s="234" t="str">
        <f>IFERROR(__xludf.DUMMYFUNCTION("""COMPUTED_VALUE"""),"SOC-RJ2")</f>
        <v>SOC-RJ2</v>
      </c>
      <c r="D4566" s="234">
        <f>IFERROR(__xludf.DUMMYFUNCTION("""COMPUTED_VALUE"""),96.0)</f>
        <v>96</v>
      </c>
      <c r="E4566" s="237" t="str">
        <f>IFERROR(__xludf.DUMMYFUNCTION("""COMPUTED_VALUE"""),"LT0Q1C01WBFF1")</f>
        <v>LT0Q1C01WBFF1</v>
      </c>
      <c r="F4566" s="238" t="str">
        <f>IFERROR(__xludf.DUMMYFUNCTION("""COMPUTED_VALUE"""),"OVB9B40,EFW2H14")</f>
        <v>OVB9B40,EFW2H14</v>
      </c>
      <c r="G4566" s="238">
        <f>IFERROR(__xludf.DUMMYFUNCTION("""COMPUTED_VALUE"""),46034.91736111111)</f>
        <v>46034.91736</v>
      </c>
      <c r="H4566" s="238">
        <f>IFERROR(__xludf.DUMMYFUNCTION("""COMPUTED_VALUE"""),46035.29166666667)</f>
        <v>46035.29167</v>
      </c>
      <c r="I4566" s="237" t="str">
        <f t="shared" si="1"/>
        <v>Fora</v>
      </c>
      <c r="J4566" s="239">
        <v>120.00000001396984</v>
      </c>
    </row>
    <row r="4567">
      <c r="A4567" s="234" t="s">
        <v>828</v>
      </c>
      <c r="B4567" s="234" t="str">
        <f>IFERROR(__xludf.DUMMYFUNCTION("""COMPUTED_VALUE"""),"LM Hub_SP_Barueri_01")</f>
        <v>LM Hub_SP_Barueri_01</v>
      </c>
      <c r="C4567" s="234" t="str">
        <f>IFERROR(__xludf.DUMMYFUNCTION("""COMPUTED_VALUE"""),"HUB-LSP-81")</f>
        <v>HUB-LSP-81</v>
      </c>
      <c r="D4567" s="234">
        <f>IFERROR(__xludf.DUMMYFUNCTION("""COMPUTED_VALUE"""),28.0)</f>
        <v>28</v>
      </c>
      <c r="E4567" s="237" t="str">
        <f>IFERROR(__xludf.DUMMYFUNCTION("""COMPUTED_VALUE"""),"LT0Q1D01WEHA1")</f>
        <v>LT0Q1D01WEHA1</v>
      </c>
      <c r="F4567" s="238" t="str">
        <f>IFERROR(__xludf.DUMMYFUNCTION("""COMPUTED_VALUE"""),"BVT4B34")</f>
        <v>BVT4B34</v>
      </c>
      <c r="G4567" s="238">
        <f>IFERROR(__xludf.DUMMYFUNCTION("""COMPUTED_VALUE"""),46035.20833333333)</f>
        <v>46035.20833</v>
      </c>
      <c r="H4567" s="238">
        <f>IFERROR(__xludf.DUMMYFUNCTION("""COMPUTED_VALUE"""),46035.29166666667)</f>
        <v>46035.29167</v>
      </c>
      <c r="I4567" s="237" t="str">
        <f t="shared" si="1"/>
        <v>Fora</v>
      </c>
      <c r="J4567" s="239">
        <v>120.00000001396984</v>
      </c>
    </row>
    <row r="4568">
      <c r="A4568" s="234" t="s">
        <v>829</v>
      </c>
      <c r="B4568" s="234" t="str">
        <f>IFERROR(__xludf.DUMMYFUNCTION("""COMPUTED_VALUE"""),"LM Hub_SP_Jundiaí")</f>
        <v>LM Hub_SP_Jundiaí</v>
      </c>
      <c r="C4568" s="234" t="str">
        <f>IFERROR(__xludf.DUMMYFUNCTION("""COMPUTED_VALUE"""),"HUB-LSP-100")</f>
        <v>HUB-LSP-100</v>
      </c>
      <c r="D4568" s="234">
        <f>IFERROR(__xludf.DUMMYFUNCTION("""COMPUTED_VALUE"""),23.0)</f>
        <v>23</v>
      </c>
      <c r="E4568" s="237" t="str">
        <f>IFERROR(__xludf.DUMMYFUNCTION("""COMPUTED_VALUE"""),"LT0Q1D01WFXM1")</f>
        <v>LT0Q1D01WFXM1</v>
      </c>
      <c r="F4568" s="238" t="str">
        <f>IFERROR(__xludf.DUMMYFUNCTION("""COMPUTED_VALUE"""),"TMH3A56")</f>
        <v>TMH3A56</v>
      </c>
      <c r="G4568" s="238">
        <f>IFERROR(__xludf.DUMMYFUNCTION("""COMPUTED_VALUE"""),46035.20833333333)</f>
        <v>46035.20833</v>
      </c>
      <c r="H4568" s="238">
        <f>IFERROR(__xludf.DUMMYFUNCTION("""COMPUTED_VALUE"""),46035.29166666667)</f>
        <v>46035.29167</v>
      </c>
      <c r="I4568" s="237" t="str">
        <f t="shared" si="1"/>
        <v>Fora</v>
      </c>
      <c r="J4568" s="239">
        <v>120.00000001396984</v>
      </c>
    </row>
    <row r="4569">
      <c r="A4569" s="234" t="s">
        <v>830</v>
      </c>
      <c r="B4569" s="234" t="str">
        <f>IFERROR(__xludf.DUMMYFUNCTION("""COMPUTED_VALUE"""),"LM Hub_SP_Jurubatuba")</f>
        <v>LM Hub_SP_Jurubatuba</v>
      </c>
      <c r="C4569" s="234" t="str">
        <f>IFERROR(__xludf.DUMMYFUNCTION("""COMPUTED_VALUE"""),"HUB-LSP-16")</f>
        <v>HUB-LSP-16</v>
      </c>
      <c r="D4569" s="234">
        <f>IFERROR(__xludf.DUMMYFUNCTION("""COMPUTED_VALUE"""),15.0)</f>
        <v>15</v>
      </c>
      <c r="E4569" s="237" t="str">
        <f>IFERROR(__xludf.DUMMYFUNCTION("""COMPUTED_VALUE"""),"LT0Q1D01WACF1")</f>
        <v>LT0Q1D01WACF1</v>
      </c>
      <c r="F4569" s="238" t="str">
        <f>IFERROR(__xludf.DUMMYFUNCTION("""COMPUTED_VALUE"""),"MQV9D62,BVT6J01")</f>
        <v>MQV9D62,BVT6J01</v>
      </c>
      <c r="G4569" s="238">
        <f>IFERROR(__xludf.DUMMYFUNCTION("""COMPUTED_VALUE"""),46035.20833333333)</f>
        <v>46035.20833</v>
      </c>
      <c r="H4569" s="238">
        <f>IFERROR(__xludf.DUMMYFUNCTION("""COMPUTED_VALUE"""),46035.29166666667)</f>
        <v>46035.29167</v>
      </c>
      <c r="I4569" s="237" t="str">
        <f t="shared" si="1"/>
        <v>Fora</v>
      </c>
      <c r="J4569" s="239">
        <v>120.00000001396984</v>
      </c>
    </row>
    <row r="4570">
      <c r="A4570" s="234" t="s">
        <v>831</v>
      </c>
      <c r="B4570" s="234" t="str">
        <f>IFERROR(__xludf.DUMMYFUNCTION("""COMPUTED_VALUE"""),"LM Hub_SP_Jurubatuba")</f>
        <v>LM Hub_SP_Jurubatuba</v>
      </c>
      <c r="C4570" s="234" t="str">
        <f>IFERROR(__xludf.DUMMYFUNCTION("""COMPUTED_VALUE"""),"HUB-LSP-16")</f>
        <v>HUB-LSP-16</v>
      </c>
      <c r="D4570" s="234">
        <f>IFERROR(__xludf.DUMMYFUNCTION("""COMPUTED_VALUE"""),18.0)</f>
        <v>18</v>
      </c>
      <c r="E4570" s="237" t="str">
        <f>IFERROR(__xludf.DUMMYFUNCTION("""COMPUTED_VALUE"""),"LT0Q1D01WACG2")</f>
        <v>LT0Q1D01WACG2</v>
      </c>
      <c r="F4570" s="238" t="str">
        <f>IFERROR(__xludf.DUMMYFUNCTION("""COMPUTED_VALUE"""),"MQM6I27,FXB7G01")</f>
        <v>MQM6I27,FXB7G01</v>
      </c>
      <c r="G4570" s="238">
        <f>IFERROR(__xludf.DUMMYFUNCTION("""COMPUTED_VALUE"""),46035.20833333333)</f>
        <v>46035.20833</v>
      </c>
      <c r="H4570" s="238">
        <f>IFERROR(__xludf.DUMMYFUNCTION("""COMPUTED_VALUE"""),46035.29166666667)</f>
        <v>46035.29167</v>
      </c>
      <c r="I4570" s="237" t="str">
        <f t="shared" si="1"/>
        <v>Fora</v>
      </c>
      <c r="J4570" s="239">
        <v>120.00000001396984</v>
      </c>
    </row>
    <row r="4571">
      <c r="A4571" s="234" t="s">
        <v>832</v>
      </c>
      <c r="B4571" s="234" t="str">
        <f>IFERROR(__xludf.DUMMYFUNCTION("""COMPUTED_VALUE"""),"LM Hub_SP_Piracicaba")</f>
        <v>LM Hub_SP_Piracicaba</v>
      </c>
      <c r="C4571" s="234" t="str">
        <f>IFERROR(__xludf.DUMMYFUNCTION("""COMPUTED_VALUE"""),"HUB-LSP-62")</f>
        <v>HUB-LSP-62</v>
      </c>
      <c r="D4571" s="234">
        <f>IFERROR(__xludf.DUMMYFUNCTION("""COMPUTED_VALUE"""),14.0)</f>
        <v>14</v>
      </c>
      <c r="E4571" s="237" t="str">
        <f>IFERROR(__xludf.DUMMYFUNCTION("""COMPUTED_VALUE"""),"LT0Q1D01W9X11")</f>
        <v>LT0Q1D01W9X11</v>
      </c>
      <c r="F4571" s="238" t="str">
        <f>IFERROR(__xludf.DUMMYFUNCTION("""COMPUTED_VALUE"""),"OMY3I62")</f>
        <v>OMY3I62</v>
      </c>
      <c r="G4571" s="238">
        <f>IFERROR(__xludf.DUMMYFUNCTION("""COMPUTED_VALUE"""),46035.20833333333)</f>
        <v>46035.20833</v>
      </c>
      <c r="H4571" s="238">
        <f>IFERROR(__xludf.DUMMYFUNCTION("""COMPUTED_VALUE"""),46035.29166666667)</f>
        <v>46035.29167</v>
      </c>
      <c r="I4571" s="237" t="str">
        <f t="shared" si="1"/>
        <v>Fora</v>
      </c>
      <c r="J4571" s="239">
        <v>120.00000001396984</v>
      </c>
    </row>
    <row r="4572">
      <c r="A4572" s="234" t="s">
        <v>833</v>
      </c>
      <c r="B4572" s="234" t="str">
        <f>IFERROR(__xludf.DUMMYFUNCTION("""COMPUTED_VALUE"""),"LM Hub_SP_Santos_PraiaGrande_02")</f>
        <v>LM Hub_SP_Santos_PraiaGrande_02</v>
      </c>
      <c r="C4572" s="234" t="str">
        <f>IFERROR(__xludf.DUMMYFUNCTION("""COMPUTED_VALUE"""),"HUB-LSP-63")</f>
        <v>HUB-LSP-63</v>
      </c>
      <c r="D4572" s="234">
        <f>IFERROR(__xludf.DUMMYFUNCTION("""COMPUTED_VALUE"""),29.0)</f>
        <v>29</v>
      </c>
      <c r="E4572" s="237" t="str">
        <f>IFERROR(__xludf.DUMMYFUNCTION("""COMPUTED_VALUE"""),"LT0Q1D01WADR1")</f>
        <v>LT0Q1D01WADR1</v>
      </c>
      <c r="F4572" s="238" t="str">
        <f>IFERROR(__xludf.DUMMYFUNCTION("""COMPUTED_VALUE"""),"GEJ6E62,TLV2A95")</f>
        <v>GEJ6E62,TLV2A95</v>
      </c>
      <c r="G4572" s="238">
        <f>IFERROR(__xludf.DUMMYFUNCTION("""COMPUTED_VALUE"""),46035.20833333333)</f>
        <v>46035.20833</v>
      </c>
      <c r="H4572" s="238">
        <f>IFERROR(__xludf.DUMMYFUNCTION("""COMPUTED_VALUE"""),46035.29166666667)</f>
        <v>46035.29167</v>
      </c>
      <c r="I4572" s="237" t="str">
        <f t="shared" si="1"/>
        <v>Fora</v>
      </c>
      <c r="J4572" s="239">
        <v>119.99999999301508</v>
      </c>
    </row>
    <row r="4573">
      <c r="A4573" s="234" t="s">
        <v>834</v>
      </c>
      <c r="B4573" s="234" t="str">
        <f>IFERROR(__xludf.DUMMYFUNCTION("""COMPUTED_VALUE"""),"LM Hub_SP_Guarujá")</f>
        <v>LM Hub_SP_Guarujá</v>
      </c>
      <c r="C4573" s="234" t="str">
        <f>IFERROR(__xludf.DUMMYFUNCTION("""COMPUTED_VALUE"""),"HUB-LSP-06")</f>
        <v>HUB-LSP-06</v>
      </c>
      <c r="D4573" s="234">
        <f>IFERROR(__xludf.DUMMYFUNCTION("""COMPUTED_VALUE"""),13.0)</f>
        <v>13</v>
      </c>
      <c r="E4573" s="237" t="str">
        <f>IFERROR(__xludf.DUMMYFUNCTION("""COMPUTED_VALUE"""),"LT0Q1D01WAD51")</f>
        <v>LT0Q1D01WAD51</v>
      </c>
      <c r="F4573" s="238" t="str">
        <f>IFERROR(__xludf.DUMMYFUNCTION("""COMPUTED_VALUE"""),"DIK3532")</f>
        <v>DIK3532</v>
      </c>
      <c r="G4573" s="238">
        <f>IFERROR(__xludf.DUMMYFUNCTION("""COMPUTED_VALUE"""),46035.22916666667)</f>
        <v>46035.22917</v>
      </c>
      <c r="H4573" s="238">
        <f>IFERROR(__xludf.DUMMYFUNCTION("""COMPUTED_VALUE"""),46035.3125)</f>
        <v>46035.3125</v>
      </c>
      <c r="I4573" s="237" t="str">
        <f t="shared" si="1"/>
        <v>Fora</v>
      </c>
      <c r="J4573" s="239">
        <v>119.99999999301508</v>
      </c>
    </row>
    <row r="4574">
      <c r="A4574" s="234" t="s">
        <v>835</v>
      </c>
      <c r="B4574" s="234" t="str">
        <f>IFERROR(__xludf.DUMMYFUNCTION("""COMPUTED_VALUE"""),"LM Hub_SP_Itapevi")</f>
        <v>LM Hub_SP_Itapevi</v>
      </c>
      <c r="C4574" s="234" t="str">
        <f>IFERROR(__xludf.DUMMYFUNCTION("""COMPUTED_VALUE"""),"HUB-LSP-41")</f>
        <v>HUB-LSP-41</v>
      </c>
      <c r="D4574" s="234">
        <f>IFERROR(__xludf.DUMMYFUNCTION("""COMPUTED_VALUE"""),38.0)</f>
        <v>38</v>
      </c>
      <c r="E4574" s="237" t="str">
        <f>IFERROR(__xludf.DUMMYFUNCTION("""COMPUTED_VALUE"""),"LT0Q1D01WIBW1")</f>
        <v>LT0Q1D01WIBW1</v>
      </c>
      <c r="F4574" s="238" t="str">
        <f>IFERROR(__xludf.DUMMYFUNCTION("""COMPUTED_VALUE"""),"FYQ5533")</f>
        <v>FYQ5533</v>
      </c>
      <c r="G4574" s="238">
        <f>IFERROR(__xludf.DUMMYFUNCTION("""COMPUTED_VALUE"""),46035.22916666667)</f>
        <v>46035.22917</v>
      </c>
      <c r="H4574" s="238">
        <f>IFERROR(__xludf.DUMMYFUNCTION("""COMPUTED_VALUE"""),46035.3125)</f>
        <v>46035.3125</v>
      </c>
      <c r="I4574" s="237" t="str">
        <f t="shared" si="1"/>
        <v>Fora</v>
      </c>
      <c r="J4574" s="239">
        <v>119.99999999301508</v>
      </c>
    </row>
    <row r="4575">
      <c r="A4575" s="234" t="s">
        <v>5625</v>
      </c>
      <c r="B4575" s="234" t="str">
        <f>IFERROR(__xludf.DUMMYFUNCTION("""COMPUTED_VALUE"""),"LM Hub_SP_Itaqua_Zimba")</f>
        <v>LM Hub_SP_Itaqua_Zimba</v>
      </c>
      <c r="C4575" s="234" t="str">
        <f>IFERROR(__xludf.DUMMYFUNCTION("""COMPUTED_VALUE"""),"HUB-LSP-74")</f>
        <v>HUB-LSP-74</v>
      </c>
      <c r="D4575" s="234">
        <f>IFERROR(__xludf.DUMMYFUNCTION("""COMPUTED_VALUE"""),36.0)</f>
        <v>36</v>
      </c>
      <c r="E4575" s="237" t="str">
        <f>IFERROR(__xludf.DUMMYFUNCTION("""COMPUTED_VALUE"""),"LT0Q1D01WAD01")</f>
        <v>LT0Q1D01WAD01</v>
      </c>
      <c r="F4575" s="238" t="str">
        <f>IFERROR(__xludf.DUMMYFUNCTION("""COMPUTED_VALUE"""),"FLJ6920")</f>
        <v>FLJ6920</v>
      </c>
      <c r="G4575" s="238">
        <f>IFERROR(__xludf.DUMMYFUNCTION("""COMPUTED_VALUE"""),46035.22916666667)</f>
        <v>46035.22917</v>
      </c>
      <c r="H4575" s="238">
        <f>IFERROR(__xludf.DUMMYFUNCTION("""COMPUTED_VALUE"""),46035.3125)</f>
        <v>46035.3125</v>
      </c>
      <c r="I4575" s="237" t="str">
        <f t="shared" si="1"/>
        <v>Fora</v>
      </c>
      <c r="J4575" s="239">
        <v>119.99999999301508</v>
      </c>
    </row>
    <row r="4576">
      <c r="A4576" s="234" t="s">
        <v>836</v>
      </c>
      <c r="B4576" s="234" t="str">
        <f>IFERROR(__xludf.DUMMYFUNCTION("""COMPUTED_VALUE"""),"LM Hub_SP_Santos_Praia Grande")</f>
        <v>LM Hub_SP_Santos_Praia Grande</v>
      </c>
      <c r="C4576" s="234" t="str">
        <f>IFERROR(__xludf.DUMMYFUNCTION("""COMPUTED_VALUE"""),"HUB-LSP-09")</f>
        <v>HUB-LSP-09</v>
      </c>
      <c r="D4576" s="234">
        <f>IFERROR(__xludf.DUMMYFUNCTION("""COMPUTED_VALUE"""),39.0)</f>
        <v>39</v>
      </c>
      <c r="E4576" s="237" t="str">
        <f>IFERROR(__xludf.DUMMYFUNCTION("""COMPUTED_VALUE"""),"LT0Q1D01WADA1")</f>
        <v>LT0Q1D01WADA1</v>
      </c>
      <c r="F4576" s="238" t="str">
        <f>IFERROR(__xludf.DUMMYFUNCTION("""COMPUTED_VALUE"""),"SVL5H32")</f>
        <v>SVL5H32</v>
      </c>
      <c r="G4576" s="238">
        <f>IFERROR(__xludf.DUMMYFUNCTION("""COMPUTED_VALUE"""),46035.22916666667)</f>
        <v>46035.22917</v>
      </c>
      <c r="H4576" s="238">
        <f>IFERROR(__xludf.DUMMYFUNCTION("""COMPUTED_VALUE"""),46035.3125)</f>
        <v>46035.3125</v>
      </c>
      <c r="I4576" s="237" t="str">
        <f t="shared" si="1"/>
        <v>Fora</v>
      </c>
      <c r="J4576" s="239">
        <v>119.99999999301508</v>
      </c>
    </row>
    <row r="4577">
      <c r="A4577" s="234" t="s">
        <v>838</v>
      </c>
      <c r="B4577" s="234" t="str">
        <f>IFERROR(__xludf.DUMMYFUNCTION("""COMPUTED_VALUE"""),"LM Hub_SP_Várzea Paulista")</f>
        <v>LM Hub_SP_Várzea Paulista</v>
      </c>
      <c r="C4577" s="234" t="str">
        <f>IFERROR(__xludf.DUMMYFUNCTION("""COMPUTED_VALUE"""),"HUB-LSP-20")</f>
        <v>HUB-LSP-20</v>
      </c>
      <c r="D4577" s="234">
        <f>IFERROR(__xludf.DUMMYFUNCTION("""COMPUTED_VALUE"""),16.0)</f>
        <v>16</v>
      </c>
      <c r="E4577" s="237" t="str">
        <f>IFERROR(__xludf.DUMMYFUNCTION("""COMPUTED_VALUE"""),"LT0Q1D01W9CG1")</f>
        <v>LT0Q1D01W9CG1</v>
      </c>
      <c r="F4577" s="238" t="str">
        <f>IFERROR(__xludf.DUMMYFUNCTION("""COMPUTED_VALUE"""),"RJG8E37")</f>
        <v>RJG8E37</v>
      </c>
      <c r="G4577" s="238">
        <f>IFERROR(__xludf.DUMMYFUNCTION("""COMPUTED_VALUE"""),46035.22916666667)</f>
        <v>46035.22917</v>
      </c>
      <c r="H4577" s="238">
        <f>IFERROR(__xludf.DUMMYFUNCTION("""COMPUTED_VALUE"""),46035.3125)</f>
        <v>46035.3125</v>
      </c>
      <c r="I4577" s="237" t="str">
        <f t="shared" si="1"/>
        <v>Fora</v>
      </c>
      <c r="J4577" s="239">
        <v>659.9999999930151</v>
      </c>
    </row>
    <row r="4578">
      <c r="A4578" s="234" t="s">
        <v>5626</v>
      </c>
      <c r="B4578" s="234" t="str">
        <f>IFERROR(__xludf.DUMMYFUNCTION("""COMPUTED_VALUE"""),"SoC_RJ_Duque de Caxias")</f>
        <v>SoC_RJ_Duque de Caxias</v>
      </c>
      <c r="C4578" s="234" t="str">
        <f>IFERROR(__xludf.DUMMYFUNCTION("""COMPUTED_VALUE"""),"SOC-RJ2")</f>
        <v>SOC-RJ2</v>
      </c>
      <c r="D4578" s="234">
        <f>IFERROR(__xludf.DUMMYFUNCTION("""COMPUTED_VALUE"""),96.0)</f>
        <v>96</v>
      </c>
      <c r="E4578" s="237" t="str">
        <f>IFERROR(__xludf.DUMMYFUNCTION("""COMPUTED_VALUE"""),"LT1Q1C01WNDJ1")</f>
        <v>LT1Q1C01WNDJ1</v>
      </c>
      <c r="F4578" s="238" t="str">
        <f>IFERROR(__xludf.DUMMYFUNCTION("""COMPUTED_VALUE"""),"CVN5H75,APK3F13")</f>
        <v>CVN5H75,APK3F13</v>
      </c>
      <c r="G4578" s="238">
        <f>IFERROR(__xludf.DUMMYFUNCTION("""COMPUTED_VALUE"""),46034.875)</f>
        <v>46034.875</v>
      </c>
      <c r="H4578" s="238">
        <f>IFERROR(__xludf.DUMMYFUNCTION("""COMPUTED_VALUE"""),46035.33333333333)</f>
        <v>46035.33333</v>
      </c>
      <c r="I4578" s="237" t="str">
        <f t="shared" si="1"/>
        <v>Fora</v>
      </c>
      <c r="J4578" s="239">
        <v>540.0</v>
      </c>
    </row>
    <row r="4579">
      <c r="A4579" s="234" t="s">
        <v>5627</v>
      </c>
      <c r="B4579" s="234" t="str">
        <f>IFERROR(__xludf.DUMMYFUNCTION("""COMPUTED_VALUE"""),"SoC_PE_Jaboatão dos Guararapes")</f>
        <v>SoC_PE_Jaboatão dos Guararapes</v>
      </c>
      <c r="C4579" s="234" t="str">
        <f>IFERROR(__xludf.DUMMYFUNCTION("""COMPUTED_VALUE"""),"SOC-PE2")</f>
        <v>SOC-PE2</v>
      </c>
      <c r="D4579" s="234"/>
      <c r="E4579" s="237" t="str">
        <f>IFERROR(__xludf.DUMMYFUNCTION("""COMPUTED_VALUE"""),"LT0Q1C01WEQU1")</f>
        <v>LT0Q1C01WEQU1</v>
      </c>
      <c r="F4579" s="238" t="str">
        <f>IFERROR(__xludf.DUMMYFUNCTION("""COMPUTED_VALUE"""),"AXC5D46,RDV9A59")</f>
        <v>AXC5D46,RDV9A59</v>
      </c>
      <c r="G4579" s="238">
        <f>IFERROR(__xludf.DUMMYFUNCTION("""COMPUTED_VALUE"""),46035.08333333333)</f>
        <v>46035.08333</v>
      </c>
      <c r="H4579" s="238">
        <f>IFERROR(__xludf.DUMMYFUNCTION("""COMPUTED_VALUE"""),46035.45833333333)</f>
        <v>46035.45833</v>
      </c>
      <c r="I4579" s="237" t="str">
        <f t="shared" si="1"/>
        <v>Fora</v>
      </c>
      <c r="J4579" s="239">
        <v>600.0000000069849</v>
      </c>
    </row>
    <row r="4580">
      <c r="A4580" s="234" t="s">
        <v>5628</v>
      </c>
      <c r="B4580" s="234" t="str">
        <f>IFERROR(__xludf.DUMMYFUNCTION("""COMPUTED_VALUE"""),"SoC_GO_Goiânia_02")</f>
        <v>SoC_GO_Goiânia_02</v>
      </c>
      <c r="C4580" s="234" t="str">
        <f>IFERROR(__xludf.DUMMYFUNCTION("""COMPUTED_VALUE"""),"SOC-GO2")</f>
        <v>SOC-GO2</v>
      </c>
      <c r="D4580" s="234">
        <f>IFERROR(__xludf.DUMMYFUNCTION("""COMPUTED_VALUE"""),87.0)</f>
        <v>87</v>
      </c>
      <c r="E4580" s="237" t="str">
        <f>IFERROR(__xludf.DUMMYFUNCTION("""COMPUTED_VALUE"""),"LT0Q1C01WF6A1")</f>
        <v>LT0Q1C01WF6A1</v>
      </c>
      <c r="F4580" s="238" t="str">
        <f>IFERROR(__xludf.DUMMYFUNCTION("""COMPUTED_VALUE"""),"EFW3I46,FTZ0F10")</f>
        <v>EFW3I46,FTZ0F10</v>
      </c>
      <c r="G4580" s="238">
        <f>IFERROR(__xludf.DUMMYFUNCTION("""COMPUTED_VALUE"""),46035.08333333333)</f>
        <v>46035.08333</v>
      </c>
      <c r="H4580" s="238">
        <f>IFERROR(__xludf.DUMMYFUNCTION("""COMPUTED_VALUE"""),46035.5)</f>
        <v>46035.5</v>
      </c>
      <c r="I4580" s="237" t="str">
        <f t="shared" si="1"/>
        <v>Fora</v>
      </c>
      <c r="J4580" s="239">
        <v>600.0000000069849</v>
      </c>
    </row>
    <row r="4581">
      <c r="A4581" s="234" t="s">
        <v>841</v>
      </c>
      <c r="B4581" s="234" t="str">
        <f>IFERROR(__xludf.DUMMYFUNCTION("""COMPUTED_VALUE"""),"SoC_GO_Goiânia_02")</f>
        <v>SoC_GO_Goiânia_02</v>
      </c>
      <c r="C4581" s="234" t="str">
        <f>IFERROR(__xludf.DUMMYFUNCTION("""COMPUTED_VALUE"""),"SOC-GO2")</f>
        <v>SOC-GO2</v>
      </c>
      <c r="D4581" s="234">
        <f>IFERROR(__xludf.DUMMYFUNCTION("""COMPUTED_VALUE"""),46.0)</f>
        <v>46</v>
      </c>
      <c r="E4581" s="237" t="str">
        <f>IFERROR(__xludf.DUMMYFUNCTION("""COMPUTED_VALUE"""),"LT1Q1C01WNE21")</f>
        <v>LT1Q1C01WNE21</v>
      </c>
      <c r="F4581" s="238" t="str">
        <f>IFERROR(__xludf.DUMMYFUNCTION("""COMPUTED_VALUE"""),"DKI3H23,EFW5282")</f>
        <v>DKI3H23,EFW5282</v>
      </c>
      <c r="G4581" s="238">
        <f>IFERROR(__xludf.DUMMYFUNCTION("""COMPUTED_VALUE"""),46035.20833333333)</f>
        <v>46035.20833</v>
      </c>
      <c r="H4581" s="238">
        <f>IFERROR(__xludf.DUMMYFUNCTION("""COMPUTED_VALUE"""),46035.625)</f>
        <v>46035.625</v>
      </c>
      <c r="I4581" s="237" t="str">
        <f t="shared" si="1"/>
        <v>Fora</v>
      </c>
      <c r="J4581" s="239">
        <v>598.0000000004657</v>
      </c>
    </row>
    <row r="4582">
      <c r="A4582" s="234" t="s">
        <v>842</v>
      </c>
      <c r="B4582" s="234" t="str">
        <f>IFERROR(__xludf.DUMMYFUNCTION("""COMPUTED_VALUE"""),"SoC_SP_Cravinhos")</f>
        <v>SoC_SP_Cravinhos</v>
      </c>
      <c r="C4582" s="234" t="str">
        <f>IFERROR(__xludf.DUMMYFUNCTION("""COMPUTED_VALUE"""),"SOC-SP5")</f>
        <v>SOC-SP5</v>
      </c>
      <c r="D4582" s="234">
        <f>IFERROR(__xludf.DUMMYFUNCTION("""COMPUTED_VALUE"""),94.0)</f>
        <v>94</v>
      </c>
      <c r="E4582" s="237" t="str">
        <f>IFERROR(__xludf.DUMMYFUNCTION("""COMPUTED_VALUE"""),"LT0Q1D01W94H1")</f>
        <v>LT0Q1D01W94H1</v>
      </c>
      <c r="F4582" s="238" t="str">
        <f>IFERROR(__xludf.DUMMYFUNCTION("""COMPUTED_VALUE"""),"NWP7A07,LOX8J40")</f>
        <v>NWP7A07,LOX8J40</v>
      </c>
      <c r="G4582" s="238">
        <f>IFERROR(__xludf.DUMMYFUNCTION("""COMPUTED_VALUE"""),46035.25138888889)</f>
        <v>46035.25139</v>
      </c>
      <c r="H4582" s="238">
        <f>IFERROR(__xludf.DUMMYFUNCTION("""COMPUTED_VALUE"""),46035.66666666667)</f>
        <v>46035.66667</v>
      </c>
      <c r="I4582" s="237" t="str">
        <f t="shared" si="1"/>
        <v>Fora</v>
      </c>
      <c r="J4582" s="239">
        <v>119.99999999301508</v>
      </c>
    </row>
    <row r="4583">
      <c r="A4583" s="234" t="s">
        <v>844</v>
      </c>
      <c r="B4583" s="234" t="str">
        <f>IFERROR(__xludf.DUMMYFUNCTION("""COMPUTED_VALUE"""),"LM Hub_SP_São Paulo_Lapa")</f>
        <v>LM Hub_SP_São Paulo_Lapa</v>
      </c>
      <c r="C4583" s="234" t="str">
        <f>IFERROR(__xludf.DUMMYFUNCTION("""COMPUTED_VALUE"""),"HUB-LSP-15")</f>
        <v>HUB-LSP-15</v>
      </c>
      <c r="D4583" s="234">
        <f>IFERROR(__xludf.DUMMYFUNCTION("""COMPUTED_VALUE"""),49.0)</f>
        <v>49</v>
      </c>
      <c r="E4583" s="237" t="str">
        <f>IFERROR(__xludf.DUMMYFUNCTION("""COMPUTED_VALUE"""),"LT0Q1D01WACA1")</f>
        <v>LT0Q1D01WACA1</v>
      </c>
      <c r="F4583" s="238" t="str">
        <f>IFERROR(__xludf.DUMMYFUNCTION("""COMPUTED_VALUE"""),"EBS3J90,JXA3594")</f>
        <v>EBS3J90,JXA3594</v>
      </c>
      <c r="G4583" s="238">
        <f>IFERROR(__xludf.DUMMYFUNCTION("""COMPUTED_VALUE"""),46035.25)</f>
        <v>46035.25</v>
      </c>
      <c r="H4583" s="238">
        <f>IFERROR(__xludf.DUMMYFUNCTION("""COMPUTED_VALUE"""),46035.33333333333)</f>
        <v>46035.33333</v>
      </c>
      <c r="I4583" s="237" t="str">
        <f t="shared" si="1"/>
        <v>Fora</v>
      </c>
      <c r="J4583" s="239">
        <v>119.99999999301508</v>
      </c>
    </row>
    <row r="4584">
      <c r="A4584" s="234" t="s">
        <v>847</v>
      </c>
      <c r="B4584" s="234" t="str">
        <f>IFERROR(__xludf.DUMMYFUNCTION("""COMPUTED_VALUE"""),"SoC_SP_Louveira")</f>
        <v>SoC_SP_Louveira</v>
      </c>
      <c r="C4584" s="234" t="str">
        <f>IFERROR(__xludf.DUMMYFUNCTION("""COMPUTED_VALUE"""),"SOC-SP7")</f>
        <v>SOC-SP7</v>
      </c>
      <c r="D4584" s="234">
        <f>IFERROR(__xludf.DUMMYFUNCTION("""COMPUTED_VALUE"""),44.0)</f>
        <v>44</v>
      </c>
      <c r="E4584" s="237" t="str">
        <f>IFERROR(__xludf.DUMMYFUNCTION("""COMPUTED_VALUE"""),"LT1Q1D01WNY71")</f>
        <v>LT1Q1D01WNY71</v>
      </c>
      <c r="F4584" s="238" t="str">
        <f>IFERROR(__xludf.DUMMYFUNCTION("""COMPUTED_VALUE"""),"FSH2H40,RBA0G01")</f>
        <v>FSH2H40,RBA0G01</v>
      </c>
      <c r="G4584" s="238">
        <f>IFERROR(__xludf.DUMMYFUNCTION("""COMPUTED_VALUE"""),46035.25)</f>
        <v>46035.25</v>
      </c>
      <c r="H4584" s="238">
        <f>IFERROR(__xludf.DUMMYFUNCTION("""COMPUTED_VALUE"""),46035.33333333333)</f>
        <v>46035.33333</v>
      </c>
      <c r="I4584" s="237" t="str">
        <f t="shared" si="1"/>
        <v>Fora</v>
      </c>
      <c r="J4584" s="239">
        <v>120.00000001396984</v>
      </c>
    </row>
    <row r="4585">
      <c r="A4585" s="234" t="s">
        <v>5629</v>
      </c>
      <c r="B4585" s="234" t="str">
        <f>IFERROR(__xludf.DUMMYFUNCTION("""COMPUTED_VALUE"""),"LM Hub_RJ_Jacarepaguá")</f>
        <v>LM Hub_RJ_Jacarepaguá</v>
      </c>
      <c r="C4585" s="234" t="str">
        <f>IFERROR(__xludf.DUMMYFUNCTION("""COMPUTED_VALUE"""),"HUB-LRJ-29")</f>
        <v>HUB-LRJ-29</v>
      </c>
      <c r="D4585" s="234">
        <f>IFERROR(__xludf.DUMMYFUNCTION("""COMPUTED_VALUE"""),7.0)</f>
        <v>7</v>
      </c>
      <c r="E4585" s="237" t="str">
        <f>IFERROR(__xludf.DUMMYFUNCTION("""COMPUTED_VALUE"""),"LT0Q1D01WF2O1")</f>
        <v>LT0Q1D01WF2O1</v>
      </c>
      <c r="F4585" s="238" t="str">
        <f>IFERROR(__xludf.DUMMYFUNCTION("""COMPUTED_VALUE"""),"JBJ0I18")</f>
        <v>JBJ0I18</v>
      </c>
      <c r="G4585" s="238">
        <f>IFERROR(__xludf.DUMMYFUNCTION("""COMPUTED_VALUE"""),46035.89583333333)</f>
        <v>46035.89583</v>
      </c>
      <c r="H4585" s="238">
        <f>IFERROR(__xludf.DUMMYFUNCTION("""COMPUTED_VALUE"""),46035.97916666667)</f>
        <v>46035.97917</v>
      </c>
      <c r="I4585" s="237" t="str">
        <f t="shared" si="1"/>
        <v>Fora</v>
      </c>
      <c r="J4585" s="239">
        <v>119.00000001071021</v>
      </c>
    </row>
    <row r="4586">
      <c r="A4586" s="234" t="s">
        <v>5630</v>
      </c>
      <c r="B4586" s="234" t="str">
        <f>IFERROR(__xludf.DUMMYFUNCTION("""COMPUTED_VALUE"""),"LM Hub_SP_Itaqua_Zimba")</f>
        <v>LM Hub_SP_Itaqua_Zimba</v>
      </c>
      <c r="C4586" s="234" t="str">
        <f>IFERROR(__xludf.DUMMYFUNCTION("""COMPUTED_VALUE"""),"HUB-LSP-74")</f>
        <v>HUB-LSP-74</v>
      </c>
      <c r="D4586" s="234">
        <f>IFERROR(__xludf.DUMMYFUNCTION("""COMPUTED_VALUE"""),6.0)</f>
        <v>6</v>
      </c>
      <c r="E4586" s="237" t="str">
        <f>IFERROR(__xludf.DUMMYFUNCTION("""COMPUTED_VALUE"""),"LT0Q1D01W98T1")</f>
        <v>LT0Q1D01W98T1</v>
      </c>
      <c r="F4586" s="238" t="str">
        <f>IFERROR(__xludf.DUMMYFUNCTION("""COMPUTED_VALUE"""),"GDB4E59")</f>
        <v>GDB4E59</v>
      </c>
      <c r="G4586" s="238">
        <f>IFERROR(__xludf.DUMMYFUNCTION("""COMPUTED_VALUE"""),46035.896527777775)</f>
        <v>46035.89653</v>
      </c>
      <c r="H4586" s="238">
        <f>IFERROR(__xludf.DUMMYFUNCTION("""COMPUTED_VALUE"""),46035.97916666667)</f>
        <v>46035.97917</v>
      </c>
      <c r="I4586" s="237" t="str">
        <f t="shared" si="1"/>
        <v>Fora</v>
      </c>
      <c r="J4586" s="239">
        <v>118.00000000745058</v>
      </c>
    </row>
    <row r="4587">
      <c r="A4587" s="234" t="s">
        <v>5631</v>
      </c>
      <c r="B4587" s="234" t="str">
        <f>IFERROR(__xludf.DUMMYFUNCTION("""COMPUTED_VALUE"""),"LM Hub_SP_Jurubatuba")</f>
        <v>LM Hub_SP_Jurubatuba</v>
      </c>
      <c r="C4587" s="234" t="str">
        <f>IFERROR(__xludf.DUMMYFUNCTION("""COMPUTED_VALUE"""),"HUB-LSP-16")</f>
        <v>HUB-LSP-16</v>
      </c>
      <c r="D4587" s="234">
        <f>IFERROR(__xludf.DUMMYFUNCTION("""COMPUTED_VALUE"""),38.0)</f>
        <v>38</v>
      </c>
      <c r="E4587" s="237" t="str">
        <f>IFERROR(__xludf.DUMMYFUNCTION("""COMPUTED_VALUE"""),"LT0Q1D01W9781")</f>
        <v>LT0Q1D01W9781</v>
      </c>
      <c r="F4587" s="238" t="str">
        <f>IFERROR(__xludf.DUMMYFUNCTION("""COMPUTED_VALUE"""),"FFZ6879")</f>
        <v>FFZ6879</v>
      </c>
      <c r="G4587" s="238">
        <f>IFERROR(__xludf.DUMMYFUNCTION("""COMPUTED_VALUE"""),46035.89722222222)</f>
        <v>46035.89722</v>
      </c>
      <c r="H4587" s="238">
        <f>IFERROR(__xludf.DUMMYFUNCTION("""COMPUTED_VALUE"""),46035.97916666667)</f>
        <v>46035.97917</v>
      </c>
      <c r="I4587" s="237" t="str">
        <f t="shared" si="1"/>
        <v>Fora</v>
      </c>
      <c r="J4587" s="239">
        <v>118.99999998975545</v>
      </c>
    </row>
    <row r="4588">
      <c r="A4588" s="234" t="s">
        <v>5632</v>
      </c>
      <c r="B4588" s="234" t="str">
        <f>IFERROR(__xludf.DUMMYFUNCTION("""COMPUTED_VALUE"""),"LM Hub_SP_Guarujá")</f>
        <v>LM Hub_SP_Guarujá</v>
      </c>
      <c r="C4588" s="234" t="str">
        <f>IFERROR(__xludf.DUMMYFUNCTION("""COMPUTED_VALUE"""),"HUB-LSP-06")</f>
        <v>HUB-LSP-06</v>
      </c>
      <c r="D4588" s="234">
        <f>IFERROR(__xludf.DUMMYFUNCTION("""COMPUTED_VALUE"""),35.0)</f>
        <v>35</v>
      </c>
      <c r="E4588" s="237" t="str">
        <f>IFERROR(__xludf.DUMMYFUNCTION("""COMPUTED_VALUE"""),"LT0Q1D01W99N1")</f>
        <v>LT0Q1D01W99N1</v>
      </c>
      <c r="F4588" s="238" t="str">
        <f>IFERROR(__xludf.DUMMYFUNCTION("""COMPUTED_VALUE"""),"TJN5H17")</f>
        <v>TJN5H17</v>
      </c>
      <c r="G4588" s="238">
        <f>IFERROR(__xludf.DUMMYFUNCTION("""COMPUTED_VALUE"""),46035.91666666667)</f>
        <v>46035.91667</v>
      </c>
      <c r="H4588" s="238">
        <f>IFERROR(__xludf.DUMMYFUNCTION("""COMPUTED_VALUE"""),46035.99930555555)</f>
        <v>46035.99931</v>
      </c>
      <c r="I4588" s="237" t="str">
        <f t="shared" si="1"/>
        <v>Fora</v>
      </c>
      <c r="J4588" s="239">
        <v>119.99999999301508</v>
      </c>
    </row>
    <row r="4589">
      <c r="A4589" s="234" t="s">
        <v>5633</v>
      </c>
      <c r="B4589" s="234" t="str">
        <f>IFERROR(__xludf.DUMMYFUNCTION("""COMPUTED_VALUE"""),"LM Hub_RS_Porto Alegre_Floresta")</f>
        <v>LM Hub_RS_Porto Alegre_Floresta</v>
      </c>
      <c r="C4589" s="234" t="str">
        <f>IFERROR(__xludf.DUMMYFUNCTION("""COMPUTED_VALUE"""),"HUB-LRS-03")</f>
        <v>HUB-LRS-03</v>
      </c>
      <c r="D4589" s="234"/>
      <c r="E4589" s="237" t="str">
        <f>IFERROR(__xludf.DUMMYFUNCTION("""COMPUTED_VALUE"""),"LT0Q1D01WFN11")</f>
        <v>LT0Q1D01WFN11</v>
      </c>
      <c r="F4589" s="238" t="str">
        <f>IFERROR(__xludf.DUMMYFUNCTION("""COMPUTED_VALUE"""),"BCU4D79")</f>
        <v>BCU4D79</v>
      </c>
      <c r="G4589" s="238">
        <f>IFERROR(__xludf.DUMMYFUNCTION("""COMPUTED_VALUE"""),46035.91666666667)</f>
        <v>46035.91667</v>
      </c>
      <c r="H4589" s="238">
        <f>IFERROR(__xludf.DUMMYFUNCTION("""COMPUTED_VALUE"""),46036.0)</f>
        <v>46036</v>
      </c>
      <c r="I4589" s="237" t="str">
        <f t="shared" si="1"/>
        <v>Fora</v>
      </c>
      <c r="J4589" s="239">
        <v>119.99999999301508</v>
      </c>
    </row>
    <row r="4590">
      <c r="A4590" s="234" t="s">
        <v>5634</v>
      </c>
      <c r="B4590" s="234" t="str">
        <f>IFERROR(__xludf.DUMMYFUNCTION("""COMPUTED_VALUE"""),"LM Hub_SP_Artur Alvim")</f>
        <v>LM Hub_SP_Artur Alvim</v>
      </c>
      <c r="C4590" s="234" t="str">
        <f>IFERROR(__xludf.DUMMYFUNCTION("""COMPUTED_VALUE"""),"HUB-LSP-07")</f>
        <v>HUB-LSP-07</v>
      </c>
      <c r="D4590" s="234"/>
      <c r="E4590" s="237" t="str">
        <f>IFERROR(__xludf.DUMMYFUNCTION("""COMPUTED_VALUE"""),"LT0Q1D01W96B1")</f>
        <v>LT0Q1D01W96B1</v>
      </c>
      <c r="F4590" s="238" t="str">
        <f>IFERROR(__xludf.DUMMYFUNCTION("""COMPUTED_VALUE"""),"EPU4G01")</f>
        <v>EPU4G01</v>
      </c>
      <c r="G4590" s="238">
        <f>IFERROR(__xludf.DUMMYFUNCTION("""COMPUTED_VALUE"""),46035.91666666667)</f>
        <v>46035.91667</v>
      </c>
      <c r="H4590" s="238">
        <f>IFERROR(__xludf.DUMMYFUNCTION("""COMPUTED_VALUE"""),46036.0)</f>
        <v>46036</v>
      </c>
      <c r="I4590" s="237" t="str">
        <f t="shared" si="1"/>
        <v>Fora</v>
      </c>
      <c r="J4590" s="239">
        <v>119.99999999301508</v>
      </c>
    </row>
    <row r="4591">
      <c r="A4591" s="234" t="s">
        <v>5635</v>
      </c>
      <c r="B4591" s="234" t="str">
        <f>IFERROR(__xludf.DUMMYFUNCTION("""COMPUTED_VALUE"""),"LM Hub_SP_Guarulhos")</f>
        <v>LM Hub_SP_Guarulhos</v>
      </c>
      <c r="C4591" s="234" t="str">
        <f>IFERROR(__xludf.DUMMYFUNCTION("""COMPUTED_VALUE"""),"HUB-LSP-77")</f>
        <v>HUB-LSP-77</v>
      </c>
      <c r="D4591" s="234">
        <f>IFERROR(__xludf.DUMMYFUNCTION("""COMPUTED_VALUE"""),29.0)</f>
        <v>29</v>
      </c>
      <c r="E4591" s="237" t="str">
        <f>IFERROR(__xludf.DUMMYFUNCTION("""COMPUTED_VALUE"""),"LT0Q1D01W9WX1")</f>
        <v>LT0Q1D01W9WX1</v>
      </c>
      <c r="F4591" s="238" t="str">
        <f>IFERROR(__xludf.DUMMYFUNCTION("""COMPUTED_VALUE"""),"CUA4J46")</f>
        <v>CUA4J46</v>
      </c>
      <c r="G4591" s="238">
        <f>IFERROR(__xludf.DUMMYFUNCTION("""COMPUTED_VALUE"""),46035.91666666667)</f>
        <v>46035.91667</v>
      </c>
      <c r="H4591" s="238">
        <f>IFERROR(__xludf.DUMMYFUNCTION("""COMPUTED_VALUE"""),46036.0)</f>
        <v>46036</v>
      </c>
      <c r="I4591" s="237" t="str">
        <f t="shared" si="1"/>
        <v>Fora</v>
      </c>
      <c r="J4591" s="239">
        <v>119.99999999301508</v>
      </c>
    </row>
    <row r="4592">
      <c r="A4592" s="234" t="s">
        <v>5636</v>
      </c>
      <c r="B4592" s="234" t="str">
        <f>IFERROR(__xludf.DUMMYFUNCTION("""COMPUTED_VALUE"""),"LM Hub_SP_Jurubatuba")</f>
        <v>LM Hub_SP_Jurubatuba</v>
      </c>
      <c r="C4592" s="234" t="str">
        <f>IFERROR(__xludf.DUMMYFUNCTION("""COMPUTED_VALUE"""),"HUB-LSP-16")</f>
        <v>HUB-LSP-16</v>
      </c>
      <c r="D4592" s="234">
        <f>IFERROR(__xludf.DUMMYFUNCTION("""COMPUTED_VALUE"""),38.0)</f>
        <v>38</v>
      </c>
      <c r="E4592" s="237" t="str">
        <f>IFERROR(__xludf.DUMMYFUNCTION("""COMPUTED_VALUE"""),"LT1Q1D01WOS31")</f>
        <v>LT1Q1D01WOS31</v>
      </c>
      <c r="F4592" s="238" t="str">
        <f>IFERROR(__xludf.DUMMYFUNCTION("""COMPUTED_VALUE"""),"DVA3A62,DBC7D61")</f>
        <v>DVA3A62,DBC7D61</v>
      </c>
      <c r="G4592" s="238">
        <f>IFERROR(__xludf.DUMMYFUNCTION("""COMPUTED_VALUE"""),46035.91666666667)</f>
        <v>46035.91667</v>
      </c>
      <c r="H4592" s="238">
        <f>IFERROR(__xludf.DUMMYFUNCTION("""COMPUTED_VALUE"""),46036.0)</f>
        <v>46036</v>
      </c>
      <c r="I4592" s="237" t="str">
        <f t="shared" si="1"/>
        <v>Fora</v>
      </c>
      <c r="J4592" s="239">
        <v>119.99999999301508</v>
      </c>
    </row>
    <row r="4593">
      <c r="A4593" s="234" t="s">
        <v>5637</v>
      </c>
      <c r="B4593" s="234" t="str">
        <f>IFERROR(__xludf.DUMMYFUNCTION("""COMPUTED_VALUE"""),"LM Hub_SP_Limeira_Campo Belo")</f>
        <v>LM Hub_SP_Limeira_Campo Belo</v>
      </c>
      <c r="C4593" s="234" t="str">
        <f>IFERROR(__xludf.DUMMYFUNCTION("""COMPUTED_VALUE"""),"HUB-LSP-24")</f>
        <v>HUB-LSP-24</v>
      </c>
      <c r="D4593" s="234">
        <f>IFERROR(__xludf.DUMMYFUNCTION("""COMPUTED_VALUE"""),28.0)</f>
        <v>28</v>
      </c>
      <c r="E4593" s="237" t="str">
        <f>IFERROR(__xludf.DUMMYFUNCTION("""COMPUTED_VALUE"""),"LT0Q1D01W9BD1")</f>
        <v>LT0Q1D01W9BD1</v>
      </c>
      <c r="F4593" s="238" t="str">
        <f>IFERROR(__xludf.DUMMYFUNCTION("""COMPUTED_VALUE"""),"GHB5H18,FZB6G45")</f>
        <v>GHB5H18,FZB6G45</v>
      </c>
      <c r="G4593" s="238">
        <f>IFERROR(__xludf.DUMMYFUNCTION("""COMPUTED_VALUE"""),46035.91666666667)</f>
        <v>46035.91667</v>
      </c>
      <c r="H4593" s="238">
        <f>IFERROR(__xludf.DUMMYFUNCTION("""COMPUTED_VALUE"""),46036.0)</f>
        <v>46036</v>
      </c>
      <c r="I4593" s="237" t="str">
        <f t="shared" si="1"/>
        <v>Fora</v>
      </c>
      <c r="J4593" s="239">
        <v>119.99999999301508</v>
      </c>
    </row>
    <row r="4594">
      <c r="A4594" s="234" t="s">
        <v>5638</v>
      </c>
      <c r="B4594" s="234" t="str">
        <f>IFERROR(__xludf.DUMMYFUNCTION("""COMPUTED_VALUE"""),"LM Hub_SP_Osasco_02")</f>
        <v>LM Hub_SP_Osasco_02</v>
      </c>
      <c r="C4594" s="234" t="str">
        <f>IFERROR(__xludf.DUMMYFUNCTION("""COMPUTED_VALUE"""),"HUB-LSP-60")</f>
        <v>HUB-LSP-60</v>
      </c>
      <c r="D4594" s="234">
        <f>IFERROR(__xludf.DUMMYFUNCTION("""COMPUTED_VALUE"""),5.0)</f>
        <v>5</v>
      </c>
      <c r="E4594" s="237" t="str">
        <f>IFERROR(__xludf.DUMMYFUNCTION("""COMPUTED_VALUE"""),"LT0Q1D01W9861")</f>
        <v>LT0Q1D01W9861</v>
      </c>
      <c r="F4594" s="238" t="str">
        <f>IFERROR(__xludf.DUMMYFUNCTION("""COMPUTED_VALUE"""),"FUZ6B23,FUA8006")</f>
        <v>FUZ6B23,FUA8006</v>
      </c>
      <c r="G4594" s="238">
        <f>IFERROR(__xludf.DUMMYFUNCTION("""COMPUTED_VALUE"""),46035.91666666667)</f>
        <v>46035.91667</v>
      </c>
      <c r="H4594" s="238">
        <f>IFERROR(__xludf.DUMMYFUNCTION("""COMPUTED_VALUE"""),46036.0)</f>
        <v>46036</v>
      </c>
      <c r="I4594" s="237" t="str">
        <f t="shared" si="1"/>
        <v>Fora</v>
      </c>
      <c r="J4594" s="239">
        <v>119.99999999301508</v>
      </c>
    </row>
    <row r="4595">
      <c r="A4595" s="234" t="s">
        <v>5639</v>
      </c>
      <c r="B4595" s="234" t="str">
        <f>IFERROR(__xludf.DUMMYFUNCTION("""COMPUTED_VALUE"""),"LM Hub_SP_São José do Rio P")</f>
        <v>LM Hub_SP_São José do Rio P</v>
      </c>
      <c r="C4595" s="234" t="str">
        <f>IFERROR(__xludf.DUMMYFUNCTION("""COMPUTED_VALUE"""),"HUB-LSP-27")</f>
        <v>HUB-LSP-27</v>
      </c>
      <c r="D4595" s="234">
        <f>IFERROR(__xludf.DUMMYFUNCTION("""COMPUTED_VALUE"""),12.0)</f>
        <v>12</v>
      </c>
      <c r="E4595" s="237" t="str">
        <f>IFERROR(__xludf.DUMMYFUNCTION("""COMPUTED_VALUE"""),"LT0Q1D01WDAC1")</f>
        <v>LT0Q1D01WDAC1</v>
      </c>
      <c r="F4595" s="238" t="str">
        <f>IFERROR(__xludf.DUMMYFUNCTION("""COMPUTED_VALUE"""),"FRM9I93")</f>
        <v>FRM9I93</v>
      </c>
      <c r="G4595" s="238">
        <f>IFERROR(__xludf.DUMMYFUNCTION("""COMPUTED_VALUE"""),46035.91666666667)</f>
        <v>46035.91667</v>
      </c>
      <c r="H4595" s="238">
        <f>IFERROR(__xludf.DUMMYFUNCTION("""COMPUTED_VALUE"""),46036.0)</f>
        <v>46036</v>
      </c>
      <c r="I4595" s="237" t="str">
        <f t="shared" si="1"/>
        <v>Fora</v>
      </c>
      <c r="J4595" s="239">
        <v>119.99999999301508</v>
      </c>
    </row>
    <row r="4596">
      <c r="A4596" s="234" t="s">
        <v>5640</v>
      </c>
      <c r="B4596" s="234" t="str">
        <f>IFERROR(__xludf.DUMMYFUNCTION("""COMPUTED_VALUE"""),"SoC_PR_Curitiba")</f>
        <v>SoC_PR_Curitiba</v>
      </c>
      <c r="C4596" s="234" t="str">
        <f>IFERROR(__xludf.DUMMYFUNCTION("""COMPUTED_VALUE"""),"SOC-PR1")</f>
        <v>SOC-PR1</v>
      </c>
      <c r="D4596" s="234"/>
      <c r="E4596" s="237" t="str">
        <f>IFERROR(__xludf.DUMMYFUNCTION("""COMPUTED_VALUE"""),"LT1Q1D01WNQF1")</f>
        <v>LT1Q1D01WNQF1</v>
      </c>
      <c r="F4596" s="238" t="str">
        <f>IFERROR(__xludf.DUMMYFUNCTION("""COMPUTED_VALUE"""),"RYP9H63,QIV7C05")</f>
        <v>RYP9H63,QIV7C05</v>
      </c>
      <c r="G4596" s="238">
        <f>IFERROR(__xludf.DUMMYFUNCTION("""COMPUTED_VALUE"""),46035.91666666667)</f>
        <v>46035.91667</v>
      </c>
      <c r="H4596" s="238">
        <f>IFERROR(__xludf.DUMMYFUNCTION("""COMPUTED_VALUE"""),46036.0)</f>
        <v>46036</v>
      </c>
      <c r="I4596" s="237" t="str">
        <f t="shared" si="1"/>
        <v>Fora</v>
      </c>
      <c r="J4596" s="239">
        <v>119.00000000023283</v>
      </c>
    </row>
    <row r="4597">
      <c r="A4597" s="234" t="s">
        <v>5641</v>
      </c>
      <c r="B4597" s="234" t="str">
        <f>IFERROR(__xludf.DUMMYFUNCTION("""COMPUTED_VALUE"""),"LM Hub_SP_Itapevi")</f>
        <v>LM Hub_SP_Itapevi</v>
      </c>
      <c r="C4597" s="234" t="str">
        <f>IFERROR(__xludf.DUMMYFUNCTION("""COMPUTED_VALUE"""),"HUB-LSP-41")</f>
        <v>HUB-LSP-41</v>
      </c>
      <c r="D4597" s="234"/>
      <c r="E4597" s="237" t="str">
        <f>IFERROR(__xludf.DUMMYFUNCTION("""COMPUTED_VALUE"""),"LT0Q1D01WIC01")</f>
        <v>LT0Q1D01WIC01</v>
      </c>
      <c r="F4597" s="238" t="str">
        <f>IFERROR(__xludf.DUMMYFUNCTION("""COMPUTED_VALUE"""),"FYQ5533")</f>
        <v>FYQ5533</v>
      </c>
      <c r="G4597" s="238">
        <f>IFERROR(__xludf.DUMMYFUNCTION("""COMPUTED_VALUE"""),46035.91736111111)</f>
        <v>46035.91736</v>
      </c>
      <c r="H4597" s="238">
        <f>IFERROR(__xludf.DUMMYFUNCTION("""COMPUTED_VALUE"""),46036.0)</f>
        <v>46036</v>
      </c>
      <c r="I4597" s="237" t="str">
        <f t="shared" si="1"/>
        <v>Fora</v>
      </c>
      <c r="J4597" s="239">
        <v>119.00000000023283</v>
      </c>
    </row>
    <row r="4598">
      <c r="A4598" s="234" t="s">
        <v>5642</v>
      </c>
      <c r="B4598" s="234" t="str">
        <f>IFERROR(__xludf.DUMMYFUNCTION("""COMPUTED_VALUE"""),"LM Hub_SP_Mauá")</f>
        <v>LM Hub_SP_Mauá</v>
      </c>
      <c r="C4598" s="234" t="str">
        <f>IFERROR(__xludf.DUMMYFUNCTION("""COMPUTED_VALUE"""),"HUB-LSP-64")</f>
        <v>HUB-LSP-64</v>
      </c>
      <c r="D4598" s="234">
        <f>IFERROR(__xludf.DUMMYFUNCTION("""COMPUTED_VALUE"""),25.0)</f>
        <v>25</v>
      </c>
      <c r="E4598" s="237" t="str">
        <f>IFERROR(__xludf.DUMMYFUNCTION("""COMPUTED_VALUE"""),"LT0Q1D01W98I1")</f>
        <v>LT0Q1D01W98I1</v>
      </c>
      <c r="F4598" s="238" t="str">
        <f>IFERROR(__xludf.DUMMYFUNCTION("""COMPUTED_VALUE"""),"AXH9D10")</f>
        <v>AXH9D10</v>
      </c>
      <c r="G4598" s="238">
        <f>IFERROR(__xludf.DUMMYFUNCTION("""COMPUTED_VALUE"""),46035.91736111111)</f>
        <v>46035.91736</v>
      </c>
      <c r="H4598" s="238">
        <f>IFERROR(__xludf.DUMMYFUNCTION("""COMPUTED_VALUE"""),46036.0)</f>
        <v>46036</v>
      </c>
      <c r="I4598" s="237" t="str">
        <f t="shared" si="1"/>
        <v>Fora</v>
      </c>
      <c r="J4598" s="239">
        <v>119.00000000023283</v>
      </c>
    </row>
    <row r="4599">
      <c r="A4599" s="234" t="s">
        <v>5643</v>
      </c>
      <c r="B4599" s="234" t="str">
        <f>IFERROR(__xludf.DUMMYFUNCTION("""COMPUTED_VALUE"""),"LM Hub_SP_Santo André")</f>
        <v>LM Hub_SP_Santo André</v>
      </c>
      <c r="C4599" s="234" t="str">
        <f>IFERROR(__xludf.DUMMYFUNCTION("""COMPUTED_VALUE"""),"HUB-LSP-93")</f>
        <v>HUB-LSP-93</v>
      </c>
      <c r="D4599" s="234"/>
      <c r="E4599" s="237" t="str">
        <f>IFERROR(__xludf.DUMMYFUNCTION("""COMPUTED_VALUE"""),"LT0Q1D01WBXI1")</f>
        <v>LT0Q1D01WBXI1</v>
      </c>
      <c r="F4599" s="238" t="str">
        <f>IFERROR(__xludf.DUMMYFUNCTION("""COMPUTED_VALUE"""),"SUI1E62,FUW8B63")</f>
        <v>SUI1E62,FUW8B63</v>
      </c>
      <c r="G4599" s="238">
        <f>IFERROR(__xludf.DUMMYFUNCTION("""COMPUTED_VALUE"""),46035.91736111111)</f>
        <v>46035.91736</v>
      </c>
      <c r="H4599" s="238">
        <f>IFERROR(__xludf.DUMMYFUNCTION("""COMPUTED_VALUE"""),46036.0)</f>
        <v>46036</v>
      </c>
      <c r="I4599" s="237" t="str">
        <f t="shared" si="1"/>
        <v>Fora</v>
      </c>
      <c r="J4599" s="239">
        <v>119.00000000023283</v>
      </c>
    </row>
    <row r="4600">
      <c r="A4600" s="234" t="s">
        <v>5644</v>
      </c>
      <c r="B4600" s="234" t="str">
        <f>IFERROR(__xludf.DUMMYFUNCTION("""COMPUTED_VALUE"""),"LM Hub_SP_Santo André")</f>
        <v>LM Hub_SP_Santo André</v>
      </c>
      <c r="C4600" s="234" t="str">
        <f>IFERROR(__xludf.DUMMYFUNCTION("""COMPUTED_VALUE"""),"HUB-LSP-93")</f>
        <v>HUB-LSP-93</v>
      </c>
      <c r="D4600" s="234">
        <f>IFERROR(__xludf.DUMMYFUNCTION("""COMPUTED_VALUE"""),40.0)</f>
        <v>40</v>
      </c>
      <c r="E4600" s="237" t="str">
        <f>IFERROR(__xludf.DUMMYFUNCTION("""COMPUTED_VALUE"""),"LT0Q1D01WBXK2")</f>
        <v>LT0Q1D01WBXK2</v>
      </c>
      <c r="F4600" s="238" t="str">
        <f>IFERROR(__xludf.DUMMYFUNCTION("""COMPUTED_VALUE"""),"FTZ1D15,EZL7J23")</f>
        <v>FTZ1D15,EZL7J23</v>
      </c>
      <c r="G4600" s="238">
        <f>IFERROR(__xludf.DUMMYFUNCTION("""COMPUTED_VALUE"""),46035.91736111111)</f>
        <v>46035.91736</v>
      </c>
      <c r="H4600" s="238">
        <f>IFERROR(__xludf.DUMMYFUNCTION("""COMPUTED_VALUE"""),46036.0)</f>
        <v>46036</v>
      </c>
      <c r="I4600" s="237" t="str">
        <f t="shared" si="1"/>
        <v>Fora</v>
      </c>
      <c r="J4600" s="239">
        <v>119.99999999301508</v>
      </c>
    </row>
    <row r="4601">
      <c r="A4601" s="234" t="s">
        <v>5645</v>
      </c>
      <c r="B4601" s="234" t="str">
        <f>IFERROR(__xludf.DUMMYFUNCTION("""COMPUTED_VALUE"""),"LM Hub_SP_Parque Novo Mundo")</f>
        <v>LM Hub_SP_Parque Novo Mundo</v>
      </c>
      <c r="C4601" s="234" t="str">
        <f>IFERROR(__xludf.DUMMYFUNCTION("""COMPUTED_VALUE"""),"HUB-LSP-89")</f>
        <v>HUB-LSP-89</v>
      </c>
      <c r="D4601" s="234"/>
      <c r="E4601" s="237" t="str">
        <f>IFERROR(__xludf.DUMMYFUNCTION("""COMPUTED_VALUE"""),"LT0Q1D01WA4N1")</f>
        <v>LT0Q1D01WA4N1</v>
      </c>
      <c r="F4601" s="238" t="str">
        <f>IFERROR(__xludf.DUMMYFUNCTION("""COMPUTED_VALUE"""),"GIQ1C13,AKZ0B43")</f>
        <v>GIQ1C13,AKZ0B43</v>
      </c>
      <c r="G4601" s="238">
        <f>IFERROR(__xludf.DUMMYFUNCTION("""COMPUTED_VALUE"""),46035.9375)</f>
        <v>46035.9375</v>
      </c>
      <c r="H4601" s="238">
        <f>IFERROR(__xludf.DUMMYFUNCTION("""COMPUTED_VALUE"""),46036.02083333333)</f>
        <v>46036.02083</v>
      </c>
      <c r="I4601" s="237" t="str">
        <f t="shared" si="1"/>
        <v>Fora</v>
      </c>
      <c r="J4601" s="239">
        <v>119.99999999301508</v>
      </c>
    </row>
    <row r="4602">
      <c r="A4602" s="234" t="s">
        <v>5646</v>
      </c>
      <c r="B4602" s="234" t="str">
        <f>IFERROR(__xludf.DUMMYFUNCTION("""COMPUTED_VALUE"""),"LM Hub_SP_Piracicaba")</f>
        <v>LM Hub_SP_Piracicaba</v>
      </c>
      <c r="C4602" s="234" t="str">
        <f>IFERROR(__xludf.DUMMYFUNCTION("""COMPUTED_VALUE"""),"HUB-LSP-62")</f>
        <v>HUB-LSP-62</v>
      </c>
      <c r="D4602" s="234">
        <f>IFERROR(__xludf.DUMMYFUNCTION("""COMPUTED_VALUE"""),7.0)</f>
        <v>7</v>
      </c>
      <c r="E4602" s="237" t="str">
        <f>IFERROR(__xludf.DUMMYFUNCTION("""COMPUTED_VALUE"""),"LT0Q1D01W9X71")</f>
        <v>LT0Q1D01W9X71</v>
      </c>
      <c r="F4602" s="238" t="str">
        <f>IFERROR(__xludf.DUMMYFUNCTION("""COMPUTED_VALUE"""),"EOF4D32,EOF4D30")</f>
        <v>EOF4D32,EOF4D30</v>
      </c>
      <c r="G4602" s="238">
        <f>IFERROR(__xludf.DUMMYFUNCTION("""COMPUTED_VALUE"""),46035.9375)</f>
        <v>46035.9375</v>
      </c>
      <c r="H4602" s="238">
        <f>IFERROR(__xludf.DUMMYFUNCTION("""COMPUTED_VALUE"""),46036.02083333333)</f>
        <v>46036.02083</v>
      </c>
      <c r="I4602" s="237" t="str">
        <f t="shared" si="1"/>
        <v>Fora</v>
      </c>
      <c r="J4602" s="239">
        <v>118.99999998975545</v>
      </c>
    </row>
    <row r="4603">
      <c r="A4603" s="234" t="s">
        <v>5647</v>
      </c>
      <c r="B4603" s="234" t="str">
        <f>IFERROR(__xludf.DUMMYFUNCTION("""COMPUTED_VALUE"""),"LM Hub_SP_São Paulo_Carandiru")</f>
        <v>LM Hub_SP_São Paulo_Carandiru</v>
      </c>
      <c r="C4603" s="234" t="str">
        <f>IFERROR(__xludf.DUMMYFUNCTION("""COMPUTED_VALUE"""),"HUB-LSP-18")</f>
        <v>HUB-LSP-18</v>
      </c>
      <c r="D4603" s="234">
        <f>IFERROR(__xludf.DUMMYFUNCTION("""COMPUTED_VALUE"""),36.0)</f>
        <v>36</v>
      </c>
      <c r="E4603" s="237" t="str">
        <f>IFERROR(__xludf.DUMMYFUNCTION("""COMPUTED_VALUE"""),"LT0Q1D01W97I1")</f>
        <v>LT0Q1D01W97I1</v>
      </c>
      <c r="F4603" s="238" t="str">
        <f>IFERROR(__xludf.DUMMYFUNCTION("""COMPUTED_VALUE"""),"DZD3C02")</f>
        <v>DZD3C02</v>
      </c>
      <c r="G4603" s="238">
        <f>IFERROR(__xludf.DUMMYFUNCTION("""COMPUTED_VALUE"""),46035.93819444445)</f>
        <v>46035.93819</v>
      </c>
      <c r="H4603" s="238">
        <f>IFERROR(__xludf.DUMMYFUNCTION("""COMPUTED_VALUE"""),46036.02083333333)</f>
        <v>46036.02083</v>
      </c>
      <c r="I4603" s="237" t="str">
        <f t="shared" si="1"/>
        <v>Fora</v>
      </c>
      <c r="J4603" s="239">
        <v>118.99999998975545</v>
      </c>
    </row>
    <row r="4604">
      <c r="A4604" s="234" t="s">
        <v>5648</v>
      </c>
      <c r="B4604" s="234" t="str">
        <f>IFERROR(__xludf.DUMMYFUNCTION("""COMPUTED_VALUE"""),"LM Hub_SP_VilaGuilherme")</f>
        <v>LM Hub_SP_VilaGuilherme</v>
      </c>
      <c r="C4604" s="234" t="str">
        <f>IFERROR(__xludf.DUMMYFUNCTION("""COMPUTED_VALUE"""),"HUB-LSP-68")</f>
        <v>HUB-LSP-68</v>
      </c>
      <c r="D4604" s="234"/>
      <c r="E4604" s="237" t="str">
        <f>IFERROR(__xludf.DUMMYFUNCTION("""COMPUTED_VALUE"""),"LT0Q1D01W98L1")</f>
        <v>LT0Q1D01W98L1</v>
      </c>
      <c r="F4604" s="238" t="str">
        <f>IFERROR(__xludf.DUMMYFUNCTION("""COMPUTED_VALUE"""),"DAJ3E28")</f>
        <v>DAJ3E28</v>
      </c>
      <c r="G4604" s="238">
        <f>IFERROR(__xludf.DUMMYFUNCTION("""COMPUTED_VALUE"""),46035.93819444445)</f>
        <v>46035.93819</v>
      </c>
      <c r="H4604" s="238">
        <f>IFERROR(__xludf.DUMMYFUNCTION("""COMPUTED_VALUE"""),46036.02083333333)</f>
        <v>46036.02083</v>
      </c>
      <c r="I4604" s="237" t="str">
        <f t="shared" si="1"/>
        <v>Fora</v>
      </c>
      <c r="J4604" s="239">
        <v>117.99999998649582</v>
      </c>
    </row>
    <row r="4605">
      <c r="A4605" s="234" t="s">
        <v>5649</v>
      </c>
      <c r="B4605" s="234" t="str">
        <f>IFERROR(__xludf.DUMMYFUNCTION("""COMPUTED_VALUE"""),"LM Hub_SP_Suzano_Baruel")</f>
        <v>LM Hub_SP_Suzano_Baruel</v>
      </c>
      <c r="C4605" s="234" t="str">
        <f>IFERROR(__xludf.DUMMYFUNCTION("""COMPUTED_VALUE"""),"HUB-LSP-97")</f>
        <v>HUB-LSP-97</v>
      </c>
      <c r="D4605" s="234"/>
      <c r="E4605" s="237" t="str">
        <f>IFERROR(__xludf.DUMMYFUNCTION("""COMPUTED_VALUE"""),"LT0Q1D01WGBI1")</f>
        <v>LT0Q1D01WGBI1</v>
      </c>
      <c r="F4605" s="238" t="str">
        <f>IFERROR(__xludf.DUMMYFUNCTION("""COMPUTED_VALUE"""),"EGJ9547")</f>
        <v>EGJ9547</v>
      </c>
      <c r="G4605" s="238">
        <f>IFERROR(__xludf.DUMMYFUNCTION("""COMPUTED_VALUE"""),46035.93888888889)</f>
        <v>46035.93889</v>
      </c>
      <c r="H4605" s="238">
        <f>IFERROR(__xludf.DUMMYFUNCTION("""COMPUTED_VALUE"""),46036.02083333333)</f>
        <v>46036.02083</v>
      </c>
      <c r="I4605" s="237" t="str">
        <f t="shared" si="1"/>
        <v>Fora</v>
      </c>
      <c r="J4605" s="239">
        <v>120.00000001396984</v>
      </c>
    </row>
    <row r="4606">
      <c r="A4606" s="234" t="s">
        <v>5650</v>
      </c>
      <c r="B4606" s="234" t="str">
        <f>IFERROR(__xludf.DUMMYFUNCTION("""COMPUTED_VALUE"""),"LM Hub_RJ_Nova Iguaçu")</f>
        <v>LM Hub_RJ_Nova Iguaçu</v>
      </c>
      <c r="C4606" s="234" t="str">
        <f>IFERROR(__xludf.DUMMYFUNCTION("""COMPUTED_VALUE"""),"HUB-LRJ-27")</f>
        <v>HUB-LRJ-27</v>
      </c>
      <c r="D4606" s="234">
        <f>IFERROR(__xludf.DUMMYFUNCTION("""COMPUTED_VALUE"""),6.0)</f>
        <v>6</v>
      </c>
      <c r="E4606" s="237" t="str">
        <f>IFERROR(__xludf.DUMMYFUNCTION("""COMPUTED_VALUE"""),"LT0Q1D01WF301")</f>
        <v>LT0Q1D01WF301</v>
      </c>
      <c r="F4606" s="238" t="str">
        <f>IFERROR(__xludf.DUMMYFUNCTION("""COMPUTED_VALUE"""),"SUI1E62")</f>
        <v>SUI1E62</v>
      </c>
      <c r="G4606" s="238">
        <f>IFERROR(__xludf.DUMMYFUNCTION("""COMPUTED_VALUE"""),46035.95833333333)</f>
        <v>46035.95833</v>
      </c>
      <c r="H4606" s="238">
        <f>IFERROR(__xludf.DUMMYFUNCTION("""COMPUTED_VALUE"""),46036.04166666667)</f>
        <v>46036.04167</v>
      </c>
      <c r="I4606" s="237" t="str">
        <f t="shared" si="1"/>
        <v>Fora</v>
      </c>
      <c r="J4606" s="239">
        <v>120.00000001396984</v>
      </c>
    </row>
    <row r="4607">
      <c r="A4607" s="234" t="s">
        <v>5651</v>
      </c>
      <c r="B4607" s="234" t="str">
        <f>IFERROR(__xludf.DUMMYFUNCTION("""COMPUTED_VALUE"""),"LM Hub_RJ_Rio de Janeiro_Campo G")</f>
        <v>LM Hub_RJ_Rio de Janeiro_Campo G</v>
      </c>
      <c r="C4607" s="234" t="str">
        <f>IFERROR(__xludf.DUMMYFUNCTION("""COMPUTED_VALUE"""),"HUB-LRJ-04")</f>
        <v>HUB-LRJ-04</v>
      </c>
      <c r="D4607" s="234">
        <f>IFERROR(__xludf.DUMMYFUNCTION("""COMPUTED_VALUE"""),8.0)</f>
        <v>8</v>
      </c>
      <c r="E4607" s="237" t="str">
        <f>IFERROR(__xludf.DUMMYFUNCTION("""COMPUTED_VALUE"""),"LT0Q1D01W9DK1")</f>
        <v>LT0Q1D01W9DK1</v>
      </c>
      <c r="F4607" s="238" t="str">
        <f>IFERROR(__xludf.DUMMYFUNCTION("""COMPUTED_VALUE"""),"UBA1H99")</f>
        <v>UBA1H99</v>
      </c>
      <c r="G4607" s="238">
        <f>IFERROR(__xludf.DUMMYFUNCTION("""COMPUTED_VALUE"""),46035.95833333333)</f>
        <v>46035.95833</v>
      </c>
      <c r="H4607" s="238">
        <f>IFERROR(__xludf.DUMMYFUNCTION("""COMPUTED_VALUE"""),46036.04166666667)</f>
        <v>46036.04167</v>
      </c>
      <c r="I4607" s="237" t="str">
        <f t="shared" si="1"/>
        <v>Fora</v>
      </c>
      <c r="J4607" s="239">
        <v>120.00000001396984</v>
      </c>
    </row>
    <row r="4608">
      <c r="A4608" s="234" t="s">
        <v>5652</v>
      </c>
      <c r="B4608" s="234" t="str">
        <f>IFERROR(__xludf.DUMMYFUNCTION("""COMPUTED_VALUE"""),"LM Hub_RJ_São João do Meriti")</f>
        <v>LM Hub_RJ_São João do Meriti</v>
      </c>
      <c r="C4608" s="234" t="str">
        <f>IFERROR(__xludf.DUMMYFUNCTION("""COMPUTED_VALUE"""),"HUB-LRJ-01")</f>
        <v>HUB-LRJ-01</v>
      </c>
      <c r="D4608" s="234">
        <f>IFERROR(__xludf.DUMMYFUNCTION("""COMPUTED_VALUE"""),9.0)</f>
        <v>9</v>
      </c>
      <c r="E4608" s="237" t="str">
        <f>IFERROR(__xludf.DUMMYFUNCTION("""COMPUTED_VALUE"""),"LT0Q1D01WF3W1")</f>
        <v>LT0Q1D01WF3W1</v>
      </c>
      <c r="F4608" s="238" t="str">
        <f>IFERROR(__xludf.DUMMYFUNCTION("""COMPUTED_VALUE"""),"FPO2A72")</f>
        <v>FPO2A72</v>
      </c>
      <c r="G4608" s="238">
        <f>IFERROR(__xludf.DUMMYFUNCTION("""COMPUTED_VALUE"""),46035.95833333333)</f>
        <v>46035.95833</v>
      </c>
      <c r="H4608" s="238">
        <f>IFERROR(__xludf.DUMMYFUNCTION("""COMPUTED_VALUE"""),46036.04166666667)</f>
        <v>46036.04167</v>
      </c>
      <c r="I4608" s="237" t="str">
        <f t="shared" si="1"/>
        <v>Fora</v>
      </c>
      <c r="J4608" s="239">
        <v>120.00000001396984</v>
      </c>
    </row>
    <row r="4609">
      <c r="A4609" s="234" t="s">
        <v>5653</v>
      </c>
      <c r="B4609" s="234" t="str">
        <f>IFERROR(__xludf.DUMMYFUNCTION("""COMPUTED_VALUE"""),"LM Hub_SP_Jundiaí")</f>
        <v>LM Hub_SP_Jundiaí</v>
      </c>
      <c r="C4609" s="234" t="str">
        <f>IFERROR(__xludf.DUMMYFUNCTION("""COMPUTED_VALUE"""),"HUB-LSP-100")</f>
        <v>HUB-LSP-100</v>
      </c>
      <c r="D4609" s="234">
        <f>IFERROR(__xludf.DUMMYFUNCTION("""COMPUTED_VALUE"""),26.0)</f>
        <v>26</v>
      </c>
      <c r="E4609" s="237" t="str">
        <f>IFERROR(__xludf.DUMMYFUNCTION("""COMPUTED_VALUE"""),"LT0Q1D01WFXS1")</f>
        <v>LT0Q1D01WFXS1</v>
      </c>
      <c r="F4609" s="238" t="str">
        <f>IFERROR(__xludf.DUMMYFUNCTION("""COMPUTED_VALUE"""),"TMH3A56,FUK4B71")</f>
        <v>TMH3A56,FUK4B71</v>
      </c>
      <c r="G4609" s="238">
        <f>IFERROR(__xludf.DUMMYFUNCTION("""COMPUTED_VALUE"""),46035.95833333333)</f>
        <v>46035.95833</v>
      </c>
      <c r="H4609" s="238">
        <f>IFERROR(__xludf.DUMMYFUNCTION("""COMPUTED_VALUE"""),46036.04166666667)</f>
        <v>46036.04167</v>
      </c>
      <c r="I4609" s="237" t="str">
        <f t="shared" si="1"/>
        <v>Fora</v>
      </c>
      <c r="J4609" s="239">
        <v>120.00000001396984</v>
      </c>
    </row>
    <row r="4610">
      <c r="A4610" s="234" t="s">
        <v>5654</v>
      </c>
      <c r="B4610" s="234" t="str">
        <f>IFERROR(__xludf.DUMMYFUNCTION("""COMPUTED_VALUE"""),"LM Hub_SP_Mogi Mirim")</f>
        <v>LM Hub_SP_Mogi Mirim</v>
      </c>
      <c r="C4610" s="234" t="str">
        <f>IFERROR(__xludf.DUMMYFUNCTION("""COMPUTED_VALUE"""),"HUB-LSP-37")</f>
        <v>HUB-LSP-37</v>
      </c>
      <c r="D4610" s="234">
        <f>IFERROR(__xludf.DUMMYFUNCTION("""COMPUTED_VALUE"""),41.0)</f>
        <v>41</v>
      </c>
      <c r="E4610" s="237" t="str">
        <f>IFERROR(__xludf.DUMMYFUNCTION("""COMPUTED_VALUE"""),"LT0Q1D01W9C61")</f>
        <v>LT0Q1D01W9C61</v>
      </c>
      <c r="F4610" s="238" t="str">
        <f>IFERROR(__xludf.DUMMYFUNCTION("""COMPUTED_VALUE"""),"SVC6I57,SWO1G45")</f>
        <v>SVC6I57,SWO1G45</v>
      </c>
      <c r="G4610" s="238">
        <f>IFERROR(__xludf.DUMMYFUNCTION("""COMPUTED_VALUE"""),46035.95833333333)</f>
        <v>46035.95833</v>
      </c>
      <c r="H4610" s="238">
        <f>IFERROR(__xludf.DUMMYFUNCTION("""COMPUTED_VALUE"""),46036.04166666667)</f>
        <v>46036.04167</v>
      </c>
      <c r="I4610" s="237" t="str">
        <f t="shared" si="1"/>
        <v>Fora</v>
      </c>
      <c r="J4610" s="239">
        <v>120.00000001396984</v>
      </c>
    </row>
    <row r="4611">
      <c r="A4611" s="234" t="s">
        <v>5655</v>
      </c>
      <c r="B4611" s="234" t="str">
        <f>IFERROR(__xludf.DUMMYFUNCTION("""COMPUTED_VALUE"""),"SoC_PR_Curitiba")</f>
        <v>SoC_PR_Curitiba</v>
      </c>
      <c r="C4611" s="234" t="str">
        <f>IFERROR(__xludf.DUMMYFUNCTION("""COMPUTED_VALUE"""),"SOC-PR1")</f>
        <v>SOC-PR1</v>
      </c>
      <c r="D4611" s="234">
        <f>IFERROR(__xludf.DUMMYFUNCTION("""COMPUTED_VALUE"""),42.0)</f>
        <v>42</v>
      </c>
      <c r="E4611" s="237" t="str">
        <f>IFERROR(__xludf.DUMMYFUNCTION("""COMPUTED_VALUE"""),"LT1Q1D01WNQE1")</f>
        <v>LT1Q1D01WNQE1</v>
      </c>
      <c r="F4611" s="238" t="str">
        <f>IFERROR(__xludf.DUMMYFUNCTION("""COMPUTED_VALUE"""),"HKE4H07,EGJ8G34")</f>
        <v>HKE4H07,EGJ8G34</v>
      </c>
      <c r="G4611" s="238">
        <f>IFERROR(__xludf.DUMMYFUNCTION("""COMPUTED_VALUE"""),46035.95833333333)</f>
        <v>46035.95833</v>
      </c>
      <c r="H4611" s="238">
        <f>IFERROR(__xludf.DUMMYFUNCTION("""COMPUTED_VALUE"""),46036.04166666667)</f>
        <v>46036.04167</v>
      </c>
      <c r="I4611" s="237" t="str">
        <f t="shared" si="1"/>
        <v>Fora</v>
      </c>
      <c r="J4611" s="239">
        <v>119.99999999301508</v>
      </c>
    </row>
    <row r="4612">
      <c r="A4612" s="234" t="s">
        <v>5656</v>
      </c>
      <c r="B4612" s="234" t="str">
        <f>IFERROR(__xludf.DUMMYFUNCTION("""COMPUTED_VALUE"""),"LM Hub_SP_Araraquara")</f>
        <v>LM Hub_SP_Araraquara</v>
      </c>
      <c r="C4612" s="234" t="str">
        <f>IFERROR(__xludf.DUMMYFUNCTION("""COMPUTED_VALUE"""),"HUB-LSP-29")</f>
        <v>HUB-LSP-29</v>
      </c>
      <c r="D4612" s="234">
        <f>IFERROR(__xludf.DUMMYFUNCTION("""COMPUTED_VALUE"""),32.0)</f>
        <v>32</v>
      </c>
      <c r="E4612" s="237" t="str">
        <f>IFERROR(__xludf.DUMMYFUNCTION("""COMPUTED_VALUE"""),"LT0Q1D01W9CB1")</f>
        <v>LT0Q1D01W9CB1</v>
      </c>
      <c r="F4612" s="238" t="str">
        <f>IFERROR(__xludf.DUMMYFUNCTION("""COMPUTED_VALUE"""),"DVS7G78,DJE5J16")</f>
        <v>DVS7G78,DJE5J16</v>
      </c>
      <c r="G4612" s="238">
        <f>IFERROR(__xludf.DUMMYFUNCTION("""COMPUTED_VALUE"""),46035.97916666667)</f>
        <v>46035.97917</v>
      </c>
      <c r="H4612" s="238">
        <f>IFERROR(__xludf.DUMMYFUNCTION("""COMPUTED_VALUE"""),46036.0625)</f>
        <v>46036.0625</v>
      </c>
      <c r="I4612" s="237" t="str">
        <f t="shared" si="1"/>
        <v>Fora</v>
      </c>
      <c r="J4612" s="239">
        <v>119.99999999301508</v>
      </c>
    </row>
    <row r="4613">
      <c r="A4613" s="234" t="s">
        <v>5657</v>
      </c>
      <c r="B4613" s="234" t="str">
        <f>IFERROR(__xludf.DUMMYFUNCTION("""COMPUTED_VALUE"""),"LM Hub_SP_Atibaia_Ponte_Alta")</f>
        <v>LM Hub_SP_Atibaia_Ponte_Alta</v>
      </c>
      <c r="C4613" s="234" t="str">
        <f>IFERROR(__xludf.DUMMYFUNCTION("""COMPUTED_VALUE"""),"HUB-LSP-87")</f>
        <v>HUB-LSP-87</v>
      </c>
      <c r="D4613" s="234">
        <f>IFERROR(__xludf.DUMMYFUNCTION("""COMPUTED_VALUE"""),24.0)</f>
        <v>24</v>
      </c>
      <c r="E4613" s="237" t="str">
        <f>IFERROR(__xludf.DUMMYFUNCTION("""COMPUTED_VALUE"""),"LT0Q1D01WD651")</f>
        <v>LT0Q1D01WD651</v>
      </c>
      <c r="F4613" s="238" t="str">
        <f>IFERROR(__xludf.DUMMYFUNCTION("""COMPUTED_VALUE"""),"STP4D48,GEN6I73")</f>
        <v>STP4D48,GEN6I73</v>
      </c>
      <c r="G4613" s="238">
        <f>IFERROR(__xludf.DUMMYFUNCTION("""COMPUTED_VALUE"""),46035.97916666667)</f>
        <v>46035.97917</v>
      </c>
      <c r="H4613" s="238">
        <f>IFERROR(__xludf.DUMMYFUNCTION("""COMPUTED_VALUE"""),46036.0625)</f>
        <v>46036.0625</v>
      </c>
      <c r="I4613" s="237" t="str">
        <f t="shared" si="1"/>
        <v>Fora</v>
      </c>
      <c r="J4613" s="239">
        <v>119.99999999301508</v>
      </c>
    </row>
    <row r="4614">
      <c r="A4614" s="234" t="s">
        <v>5658</v>
      </c>
      <c r="B4614" s="234" t="str">
        <f>IFERROR(__xludf.DUMMYFUNCTION("""COMPUTED_VALUE"""),"LM Hub_SP_Várzea Paulista")</f>
        <v>LM Hub_SP_Várzea Paulista</v>
      </c>
      <c r="C4614" s="234" t="str">
        <f>IFERROR(__xludf.DUMMYFUNCTION("""COMPUTED_VALUE"""),"HUB-LSP-20")</f>
        <v>HUB-LSP-20</v>
      </c>
      <c r="D4614" s="234">
        <f>IFERROR(__xludf.DUMMYFUNCTION("""COMPUTED_VALUE"""),27.0)</f>
        <v>27</v>
      </c>
      <c r="E4614" s="237" t="str">
        <f>IFERROR(__xludf.DUMMYFUNCTION("""COMPUTED_VALUE"""),"LT0Q1D01W9CT1")</f>
        <v>LT0Q1D01W9CT1</v>
      </c>
      <c r="F4614" s="238" t="str">
        <f>IFERROR(__xludf.DUMMYFUNCTION("""COMPUTED_VALUE"""),"GDC9B69")</f>
        <v>GDC9B69</v>
      </c>
      <c r="G4614" s="238">
        <f>IFERROR(__xludf.DUMMYFUNCTION("""COMPUTED_VALUE"""),46035.97916666667)</f>
        <v>46035.97917</v>
      </c>
      <c r="H4614" s="238">
        <f>IFERROR(__xludf.DUMMYFUNCTION("""COMPUTED_VALUE"""),46036.0625)</f>
        <v>46036.0625</v>
      </c>
      <c r="I4614" s="237" t="str">
        <f t="shared" si="1"/>
        <v>Fora</v>
      </c>
      <c r="J4614" s="239">
        <v>119.99999999301508</v>
      </c>
    </row>
    <row r="4615">
      <c r="A4615" s="234" t="s">
        <v>5659</v>
      </c>
      <c r="B4615" s="234" t="str">
        <f>IFERROR(__xludf.DUMMYFUNCTION("""COMPUTED_VALUE"""),"LM Hub_RJ_Ilha do Governador")</f>
        <v>LM Hub_RJ_Ilha do Governador</v>
      </c>
      <c r="C4615" s="234" t="str">
        <f>IFERROR(__xludf.DUMMYFUNCTION("""COMPUTED_VALUE"""),"HUB-LRJ-32")</f>
        <v>HUB-LRJ-32</v>
      </c>
      <c r="D4615" s="234">
        <f>IFERROR(__xludf.DUMMYFUNCTION("""COMPUTED_VALUE"""),13.0)</f>
        <v>13</v>
      </c>
      <c r="E4615" s="237" t="str">
        <f>IFERROR(__xludf.DUMMYFUNCTION("""COMPUTED_VALUE"""),"LT0Q1E01WF3C1")</f>
        <v>LT0Q1E01WF3C1</v>
      </c>
      <c r="F4615" s="238" t="str">
        <f>IFERROR(__xludf.DUMMYFUNCTION("""COMPUTED_VALUE"""),"CSK6J01")</f>
        <v>CSK6J01</v>
      </c>
      <c r="G4615" s="238">
        <f>IFERROR(__xludf.DUMMYFUNCTION("""COMPUTED_VALUE"""),46036.0)</f>
        <v>46036</v>
      </c>
      <c r="H4615" s="238">
        <f>IFERROR(__xludf.DUMMYFUNCTION("""COMPUTED_VALUE"""),46036.08333333333)</f>
        <v>46036.08333</v>
      </c>
      <c r="I4615" s="237" t="str">
        <f t="shared" si="1"/>
        <v>Fora</v>
      </c>
      <c r="J4615" s="239">
        <v>119.99999999301508</v>
      </c>
    </row>
    <row r="4616">
      <c r="A4616" s="234" t="s">
        <v>5660</v>
      </c>
      <c r="B4616" s="234" t="str">
        <f>IFERROR(__xludf.DUMMYFUNCTION("""COMPUTED_VALUE"""),"LM Hub_SP_Tatuí")</f>
        <v>LM Hub_SP_Tatuí</v>
      </c>
      <c r="C4616" s="234" t="str">
        <f>IFERROR(__xludf.DUMMYFUNCTION("""COMPUTED_VALUE"""),"HUB-LSP-51")</f>
        <v>HUB-LSP-51</v>
      </c>
      <c r="D4616" s="234">
        <f>IFERROR(__xludf.DUMMYFUNCTION("""COMPUTED_VALUE"""),14.0)</f>
        <v>14</v>
      </c>
      <c r="E4616" s="237" t="str">
        <f>IFERROR(__xludf.DUMMYFUNCTION("""COMPUTED_VALUE"""),"LT0Q1E01W9911")</f>
        <v>LT0Q1E01W9911</v>
      </c>
      <c r="F4616" s="238" t="str">
        <f>IFERROR(__xludf.DUMMYFUNCTION("""COMPUTED_VALUE"""),"TME3B67,GBH5G53")</f>
        <v>TME3B67,GBH5G53</v>
      </c>
      <c r="G4616" s="238">
        <f>IFERROR(__xludf.DUMMYFUNCTION("""COMPUTED_VALUE"""),46036.0)</f>
        <v>46036</v>
      </c>
      <c r="H4616" s="238">
        <f>IFERROR(__xludf.DUMMYFUNCTION("""COMPUTED_VALUE"""),46036.08333333333)</f>
        <v>46036.08333</v>
      </c>
      <c r="I4616" s="237" t="str">
        <f t="shared" si="1"/>
        <v>Fora</v>
      </c>
      <c r="J4616" s="239">
        <v>119.99999999301508</v>
      </c>
    </row>
    <row r="4617">
      <c r="A4617" s="234" t="s">
        <v>5661</v>
      </c>
      <c r="B4617" s="234" t="str">
        <f>IFERROR(__xludf.DUMMYFUNCTION("""COMPUTED_VALUE"""),"SoC_SP_Louveira")</f>
        <v>SoC_SP_Louveira</v>
      </c>
      <c r="C4617" s="234" t="str">
        <f>IFERROR(__xludf.DUMMYFUNCTION("""COMPUTED_VALUE"""),"SOC-SP7")</f>
        <v>SOC-SP7</v>
      </c>
      <c r="D4617" s="234">
        <f>IFERROR(__xludf.DUMMYFUNCTION("""COMPUTED_VALUE"""),114.0)</f>
        <v>114</v>
      </c>
      <c r="E4617" s="237" t="str">
        <f>IFERROR(__xludf.DUMMYFUNCTION("""COMPUTED_VALUE"""),"LT0Q1E01W95F1")</f>
        <v>LT0Q1E01W95F1</v>
      </c>
      <c r="F4617" s="238" t="str">
        <f>IFERROR(__xludf.DUMMYFUNCTION("""COMPUTED_VALUE"""),"FPP5F94,UEZ0D37")</f>
        <v>FPP5F94,UEZ0D37</v>
      </c>
      <c r="G4617" s="238">
        <f>IFERROR(__xludf.DUMMYFUNCTION("""COMPUTED_VALUE"""),46036.0)</f>
        <v>46036</v>
      </c>
      <c r="H4617" s="238">
        <f>IFERROR(__xludf.DUMMYFUNCTION("""COMPUTED_VALUE"""),46036.08333333333)</f>
        <v>46036.08333</v>
      </c>
      <c r="I4617" s="237" t="str">
        <f t="shared" si="1"/>
        <v>Fora</v>
      </c>
      <c r="J4617" s="239">
        <v>118.99999998975545</v>
      </c>
    </row>
    <row r="4618">
      <c r="A4618" s="234" t="s">
        <v>5662</v>
      </c>
      <c r="B4618" s="234" t="str">
        <f>IFERROR(__xludf.DUMMYFUNCTION("""COMPUTED_VALUE"""),"LM Hub_SP_Tatuí")</f>
        <v>LM Hub_SP_Tatuí</v>
      </c>
      <c r="C4618" s="234" t="str">
        <f>IFERROR(__xludf.DUMMYFUNCTION("""COMPUTED_VALUE"""),"HUB-LSP-51")</f>
        <v>HUB-LSP-51</v>
      </c>
      <c r="D4618" s="234">
        <f>IFERROR(__xludf.DUMMYFUNCTION("""COMPUTED_VALUE"""),5.0)</f>
        <v>5</v>
      </c>
      <c r="E4618" s="237" t="str">
        <f>IFERROR(__xludf.DUMMYFUNCTION("""COMPUTED_VALUE"""),"LT0Q1E01W9951")</f>
        <v>LT0Q1E01W9951</v>
      </c>
      <c r="F4618" s="238" t="str">
        <f>IFERROR(__xludf.DUMMYFUNCTION("""COMPUTED_VALUE"""),"FLO1G76")</f>
        <v>FLO1G76</v>
      </c>
      <c r="G4618" s="238">
        <f>IFERROR(__xludf.DUMMYFUNCTION("""COMPUTED_VALUE"""),46036.00069444445)</f>
        <v>46036.00069</v>
      </c>
      <c r="H4618" s="238">
        <f>IFERROR(__xludf.DUMMYFUNCTION("""COMPUTED_VALUE"""),46036.08333333333)</f>
        <v>46036.08333</v>
      </c>
      <c r="I4618" s="237" t="str">
        <f t="shared" si="1"/>
        <v>Fora</v>
      </c>
      <c r="J4618" s="239">
        <v>120.00000001396984</v>
      </c>
    </row>
    <row r="4619">
      <c r="A4619" s="234" t="s">
        <v>5663</v>
      </c>
      <c r="B4619" s="234" t="str">
        <f>IFERROR(__xludf.DUMMYFUNCTION("""COMPUTED_VALUE"""),"LM Hub_MG_Varginha_Fausto")</f>
        <v>LM Hub_MG_Varginha_Fausto</v>
      </c>
      <c r="C4619" s="234" t="str">
        <f>IFERROR(__xludf.DUMMYFUNCTION("""COMPUTED_VALUE"""),"HUB-LMG-45")</f>
        <v>HUB-LMG-45</v>
      </c>
      <c r="D4619" s="234">
        <f>IFERROR(__xludf.DUMMYFUNCTION("""COMPUTED_VALUE"""),46.0)</f>
        <v>46</v>
      </c>
      <c r="E4619" s="237" t="str">
        <f>IFERROR(__xludf.DUMMYFUNCTION("""COMPUTED_VALUE"""),"LT0Q1E01WEH01")</f>
        <v>LT0Q1E01WEH01</v>
      </c>
      <c r="F4619" s="238" t="str">
        <f>IFERROR(__xludf.DUMMYFUNCTION("""COMPUTED_VALUE"""),"SXA1H09")</f>
        <v>SXA1H09</v>
      </c>
      <c r="G4619" s="238">
        <f>IFERROR(__xludf.DUMMYFUNCTION("""COMPUTED_VALUE"""),46036.02083333333)</f>
        <v>46036.02083</v>
      </c>
      <c r="H4619" s="238">
        <f>IFERROR(__xludf.DUMMYFUNCTION("""COMPUTED_VALUE"""),46036.10416666667)</f>
        <v>46036.10417</v>
      </c>
      <c r="I4619" s="237" t="str">
        <f t="shared" si="1"/>
        <v>Fora</v>
      </c>
      <c r="J4619" s="239">
        <v>120.00000001396984</v>
      </c>
    </row>
    <row r="4620">
      <c r="A4620" s="234" t="s">
        <v>5664</v>
      </c>
      <c r="B4620" s="234" t="str">
        <f>IFERROR(__xludf.DUMMYFUNCTION("""COMPUTED_VALUE"""),"LM Hub_SP_São Carlos")</f>
        <v>LM Hub_SP_São Carlos</v>
      </c>
      <c r="C4620" s="234" t="str">
        <f>IFERROR(__xludf.DUMMYFUNCTION("""COMPUTED_VALUE"""),"HUB-LSP-31")</f>
        <v>HUB-LSP-31</v>
      </c>
      <c r="D4620" s="234">
        <f>IFERROR(__xludf.DUMMYFUNCTION("""COMPUTED_VALUE"""),34.0)</f>
        <v>34</v>
      </c>
      <c r="E4620" s="237" t="str">
        <f>IFERROR(__xludf.DUMMYFUNCTION("""COMPUTED_VALUE"""),"LT1Q1E01WOTU1")</f>
        <v>LT1Q1E01WOTU1</v>
      </c>
      <c r="F4620" s="238" t="str">
        <f>IFERROR(__xludf.DUMMYFUNCTION("""COMPUTED_VALUE"""),"EFO6B06,MJH0C66")</f>
        <v>EFO6B06,MJH0C66</v>
      </c>
      <c r="G4620" s="238">
        <f>IFERROR(__xludf.DUMMYFUNCTION("""COMPUTED_VALUE"""),46036.02083333333)</f>
        <v>46036.02083</v>
      </c>
      <c r="H4620" s="238">
        <f>IFERROR(__xludf.DUMMYFUNCTION("""COMPUTED_VALUE"""),46036.10416666667)</f>
        <v>46036.10417</v>
      </c>
      <c r="I4620" s="237" t="str">
        <f t="shared" si="1"/>
        <v>Fora</v>
      </c>
      <c r="J4620" s="239">
        <v>119.99999999301508</v>
      </c>
    </row>
    <row r="4621">
      <c r="A4621" s="234" t="s">
        <v>5665</v>
      </c>
      <c r="B4621" s="234" t="str">
        <f>IFERROR(__xludf.DUMMYFUNCTION("""COMPUTED_VALUE"""),"SoC_PR_Curitiba")</f>
        <v>SoC_PR_Curitiba</v>
      </c>
      <c r="C4621" s="234" t="str">
        <f>IFERROR(__xludf.DUMMYFUNCTION("""COMPUTED_VALUE"""),"SOC-PR1")</f>
        <v>SOC-PR1</v>
      </c>
      <c r="D4621" s="234">
        <f>IFERROR(__xludf.DUMMYFUNCTION("""COMPUTED_VALUE"""),7.0)</f>
        <v>7</v>
      </c>
      <c r="E4621" s="237" t="str">
        <f>IFERROR(__xludf.DUMMYFUNCTION("""COMPUTED_VALUE"""),"LT1Q1E01WO9C1")</f>
        <v>LT1Q1E01WO9C1</v>
      </c>
      <c r="F4621" s="238" t="str">
        <f>IFERROR(__xludf.DUMMYFUNCTION("""COMPUTED_VALUE"""),"RAG7228,RYZ0F99")</f>
        <v>RAG7228,RYZ0F99</v>
      </c>
      <c r="G4621" s="238">
        <f>IFERROR(__xludf.DUMMYFUNCTION("""COMPUTED_VALUE"""),46036.04166666667)</f>
        <v>46036.04167</v>
      </c>
      <c r="H4621" s="238">
        <f>IFERROR(__xludf.DUMMYFUNCTION("""COMPUTED_VALUE"""),46036.125)</f>
        <v>46036.125</v>
      </c>
      <c r="I4621" s="237" t="str">
        <f t="shared" si="1"/>
        <v>Fora</v>
      </c>
      <c r="J4621" s="239">
        <v>119.99999999301508</v>
      </c>
    </row>
    <row r="4622">
      <c r="A4622" s="234" t="s">
        <v>5666</v>
      </c>
      <c r="B4622" s="234" t="str">
        <f>IFERROR(__xludf.DUMMYFUNCTION("""COMPUTED_VALUE"""),"SoC_SP_Santana")</f>
        <v>SoC_SP_Santana</v>
      </c>
      <c r="C4622" s="234" t="str">
        <f>IFERROR(__xludf.DUMMYFUNCTION("""COMPUTED_VALUE"""),"SOC-SP2")</f>
        <v>SOC-SP2</v>
      </c>
      <c r="D4622" s="234"/>
      <c r="E4622" s="237" t="str">
        <f>IFERROR(__xludf.DUMMYFUNCTION("""COMPUTED_VALUE"""),"LT0Q1D01WIG21")</f>
        <v>LT0Q1D01WIG21</v>
      </c>
      <c r="F4622" s="238" t="str">
        <f>IFERROR(__xludf.DUMMYFUNCTION("""COMPUTED_VALUE"""),"EFU9C99")</f>
        <v>EFU9C99</v>
      </c>
      <c r="G4622" s="238">
        <f>IFERROR(__xludf.DUMMYFUNCTION("""COMPUTED_VALUE"""),46035.875)</f>
        <v>46035.875</v>
      </c>
      <c r="H4622" s="238">
        <f>IFERROR(__xludf.DUMMYFUNCTION("""COMPUTED_VALUE"""),46035.95833333333)</f>
        <v>46035.95833</v>
      </c>
      <c r="I4622" s="237" t="str">
        <f t="shared" si="1"/>
        <v>Fora</v>
      </c>
      <c r="J4622" s="239">
        <v>540.0</v>
      </c>
    </row>
    <row r="4623">
      <c r="A4623" s="234" t="s">
        <v>5667</v>
      </c>
      <c r="B4623" s="234" t="str">
        <f>IFERROR(__xludf.DUMMYFUNCTION("""COMPUTED_VALUE"""),"SoC_BA_Simoes Filho")</f>
        <v>SoC_BA_Simoes Filho</v>
      </c>
      <c r="C4623" s="234" t="str">
        <f>IFERROR(__xludf.DUMMYFUNCTION("""COMPUTED_VALUE"""),"SOC-BA2")</f>
        <v>SOC-BA2</v>
      </c>
      <c r="D4623" s="234">
        <f>IFERROR(__xludf.DUMMYFUNCTION("""COMPUTED_VALUE"""),89.0)</f>
        <v>89</v>
      </c>
      <c r="E4623" s="237" t="str">
        <f>IFERROR(__xludf.DUMMYFUNCTION("""COMPUTED_VALUE"""),"LT0Q1D01WEU42")</f>
        <v>LT0Q1D01WEU42</v>
      </c>
      <c r="F4623" s="238" t="str">
        <f>IFERROR(__xludf.DUMMYFUNCTION("""COMPUTED_VALUE"""),"STK2F14,TKN9E52")</f>
        <v>STK2F14,TKN9E52</v>
      </c>
      <c r="G4623" s="238">
        <f>IFERROR(__xludf.DUMMYFUNCTION("""COMPUTED_VALUE"""),46035.79166666667)</f>
        <v>46035.79167</v>
      </c>
      <c r="H4623" s="238">
        <f>IFERROR(__xludf.DUMMYFUNCTION("""COMPUTED_VALUE"""),46036.16666666667)</f>
        <v>46036.16667</v>
      </c>
      <c r="I4623" s="237" t="str">
        <f t="shared" si="1"/>
        <v>Fora</v>
      </c>
      <c r="J4623" s="239">
        <v>540.0</v>
      </c>
    </row>
    <row r="4624">
      <c r="A4624" s="234" t="s">
        <v>5668</v>
      </c>
      <c r="B4624" s="234" t="str">
        <f>IFERROR(__xludf.DUMMYFUNCTION("""COMPUTED_VALUE"""),"SoC_GO_Goiânia_02")</f>
        <v>SoC_GO_Goiânia_02</v>
      </c>
      <c r="C4624" s="234" t="str">
        <f>IFERROR(__xludf.DUMMYFUNCTION("""COMPUTED_VALUE"""),"SOC-GO2")</f>
        <v>SOC-GO2</v>
      </c>
      <c r="D4624" s="234">
        <f>IFERROR(__xludf.DUMMYFUNCTION("""COMPUTED_VALUE"""),87.0)</f>
        <v>87</v>
      </c>
      <c r="E4624" s="237" t="str">
        <f>IFERROR(__xludf.DUMMYFUNCTION("""COMPUTED_VALUE"""),"LT0Q1D01WF662")</f>
        <v>LT0Q1D01WF662</v>
      </c>
      <c r="F4624" s="238" t="str">
        <f>IFERROR(__xludf.DUMMYFUNCTION("""COMPUTED_VALUE"""),"BCO2J54,MFA2C43")</f>
        <v>BCO2J54,MFA2C43</v>
      </c>
      <c r="G4624" s="238">
        <f>IFERROR(__xludf.DUMMYFUNCTION("""COMPUTED_VALUE"""),46035.79166666667)</f>
        <v>46035.79167</v>
      </c>
      <c r="H4624" s="238">
        <f>IFERROR(__xludf.DUMMYFUNCTION("""COMPUTED_VALUE"""),46036.16666666667)</f>
        <v>46036.16667</v>
      </c>
      <c r="I4624" s="237" t="str">
        <f t="shared" si="1"/>
        <v>Fora</v>
      </c>
      <c r="J4624" s="239">
        <v>119.99999999301508</v>
      </c>
    </row>
    <row r="4625">
      <c r="A4625" s="234" t="s">
        <v>5669</v>
      </c>
      <c r="B4625" s="234" t="str">
        <f>IFERROR(__xludf.DUMMYFUNCTION("""COMPUTED_VALUE"""),"SoC_PR_Curitiba")</f>
        <v>SoC_PR_Curitiba</v>
      </c>
      <c r="C4625" s="234" t="str">
        <f>IFERROR(__xludf.DUMMYFUNCTION("""COMPUTED_VALUE"""),"SOC-PR1")</f>
        <v>SOC-PR1</v>
      </c>
      <c r="D4625" s="234"/>
      <c r="E4625" s="237" t="str">
        <f>IFERROR(__xludf.DUMMYFUNCTION("""COMPUTED_VALUE"""),"LT0Q1E01W93R1")</f>
        <v>LT0Q1E01W93R1</v>
      </c>
      <c r="F4625" s="238" t="str">
        <f>IFERROR(__xludf.DUMMYFUNCTION("""COMPUTED_VALUE"""),"FQJ8B01")</f>
        <v>FQJ8B01</v>
      </c>
      <c r="G4625" s="238">
        <f>IFERROR(__xludf.DUMMYFUNCTION("""COMPUTED_VALUE"""),46036.0)</f>
        <v>46036</v>
      </c>
      <c r="H4625" s="238">
        <f>IFERROR(__xludf.DUMMYFUNCTION("""COMPUTED_VALUE"""),46036.08333333333)</f>
        <v>46036.08333</v>
      </c>
      <c r="I4625" s="237" t="str">
        <f t="shared" si="1"/>
        <v>Fora</v>
      </c>
      <c r="J4625" s="239">
        <v>119.99999999301508</v>
      </c>
    </row>
    <row r="4626">
      <c r="A4626" s="234" t="s">
        <v>5669</v>
      </c>
      <c r="B4626" s="234" t="str">
        <f>IFERROR(__xludf.DUMMYFUNCTION("""COMPUTED_VALUE"""),"SoC_PR_Curitiba")</f>
        <v>SoC_PR_Curitiba</v>
      </c>
      <c r="C4626" s="234" t="str">
        <f>IFERROR(__xludf.DUMMYFUNCTION("""COMPUTED_VALUE"""),"SOC-PR1")</f>
        <v>SOC-PR1</v>
      </c>
      <c r="D4626" s="234">
        <f>IFERROR(__xludf.DUMMYFUNCTION("""COMPUTED_VALUE"""),88.0)</f>
        <v>88</v>
      </c>
      <c r="E4626" s="237" t="str">
        <f>IFERROR(__xludf.DUMMYFUNCTION("""COMPUTED_VALUE"""),"LT0Q1E01W93R1")</f>
        <v>LT0Q1E01W93R1</v>
      </c>
      <c r="F4626" s="238" t="str">
        <f>IFERROR(__xludf.DUMMYFUNCTION("""COMPUTED_VALUE"""),"FQJ8B01")</f>
        <v>FQJ8B01</v>
      </c>
      <c r="G4626" s="238">
        <f>IFERROR(__xludf.DUMMYFUNCTION("""COMPUTED_VALUE"""),46036.0)</f>
        <v>46036</v>
      </c>
      <c r="H4626" s="238">
        <f>IFERROR(__xludf.DUMMYFUNCTION("""COMPUTED_VALUE"""),46036.08333333333)</f>
        <v>46036.08333</v>
      </c>
      <c r="I4626" s="237" t="str">
        <f t="shared" si="1"/>
        <v>Fora</v>
      </c>
      <c r="J4626" s="239">
        <v>120.00000001396984</v>
      </c>
    </row>
    <row r="4627">
      <c r="A4627" s="234" t="s">
        <v>5670</v>
      </c>
      <c r="B4627" s="234" t="str">
        <f>IFERROR(__xludf.DUMMYFUNCTION("""COMPUTED_VALUE"""),"SoC_PR_Curitiba")</f>
        <v>SoC_PR_Curitiba</v>
      </c>
      <c r="C4627" s="234" t="str">
        <f>IFERROR(__xludf.DUMMYFUNCTION("""COMPUTED_VALUE"""),"SOC-PR1")</f>
        <v>SOC-PR1</v>
      </c>
      <c r="D4627" s="234">
        <f>IFERROR(__xludf.DUMMYFUNCTION("""COMPUTED_VALUE"""),15.0)</f>
        <v>15</v>
      </c>
      <c r="E4627" s="237" t="str">
        <f>IFERROR(__xludf.DUMMYFUNCTION("""COMPUTED_VALUE"""),"LT0Q1D01W94C1")</f>
        <v>LT0Q1D01W94C1</v>
      </c>
      <c r="F4627" s="238" t="str">
        <f>IFERROR(__xludf.DUMMYFUNCTION("""COMPUTED_VALUE"""),"TAO4G31,RXU1C83")</f>
        <v>TAO4G31,RXU1C83</v>
      </c>
      <c r="G4627" s="238">
        <f>IFERROR(__xludf.DUMMYFUNCTION("""COMPUTED_VALUE"""),46036.08333333333)</f>
        <v>46036.08333</v>
      </c>
      <c r="H4627" s="238">
        <f>IFERROR(__xludf.DUMMYFUNCTION("""COMPUTED_VALUE"""),46036.16666666667)</f>
        <v>46036.16667</v>
      </c>
      <c r="I4627" s="237" t="str">
        <f t="shared" si="1"/>
        <v>Fora</v>
      </c>
      <c r="J4627" s="239">
        <v>120.00000001396984</v>
      </c>
    </row>
    <row r="4628">
      <c r="A4628" s="234" t="s">
        <v>5671</v>
      </c>
      <c r="B4628" s="234" t="str">
        <f>IFERROR(__xludf.DUMMYFUNCTION("""COMPUTED_VALUE"""),"SoC_RJ_Duque de Caxias")</f>
        <v>SoC_RJ_Duque de Caxias</v>
      </c>
      <c r="C4628" s="234" t="str">
        <f>IFERROR(__xludf.DUMMYFUNCTION("""COMPUTED_VALUE"""),"SOC-RJ2")</f>
        <v>SOC-RJ2</v>
      </c>
      <c r="D4628" s="234">
        <f>IFERROR(__xludf.DUMMYFUNCTION("""COMPUTED_VALUE"""),110.0)</f>
        <v>110</v>
      </c>
      <c r="E4628" s="237" t="str">
        <f>IFERROR(__xludf.DUMMYFUNCTION("""COMPUTED_VALUE"""),"LT1Q1E01WO971")</f>
        <v>LT1Q1E01WO971</v>
      </c>
      <c r="F4628" s="238" t="str">
        <f>IFERROR(__xludf.DUMMYFUNCTION("""COMPUTED_VALUE"""),"EJW5F77,MQF1293")</f>
        <v>EJW5F77,MQF1293</v>
      </c>
      <c r="G4628" s="238">
        <f>IFERROR(__xludf.DUMMYFUNCTION("""COMPUTED_VALUE"""),46036.08333333333)</f>
        <v>46036.08333</v>
      </c>
      <c r="H4628" s="238">
        <f>IFERROR(__xludf.DUMMYFUNCTION("""COMPUTED_VALUE"""),46036.16666666667)</f>
        <v>46036.16667</v>
      </c>
      <c r="I4628" s="237" t="str">
        <f t="shared" si="1"/>
        <v>Fora</v>
      </c>
      <c r="J4628" s="239">
        <v>120.00000001396984</v>
      </c>
    </row>
    <row r="4629">
      <c r="A4629" s="234" t="s">
        <v>5672</v>
      </c>
      <c r="B4629" s="234" t="str">
        <f>IFERROR(__xludf.DUMMYFUNCTION("""COMPUTED_VALUE"""),"SoC_RS_Gravataí_02")</f>
        <v>SoC_RS_Gravataí_02</v>
      </c>
      <c r="C4629" s="234" t="str">
        <f>IFERROR(__xludf.DUMMYFUNCTION("""COMPUTED_VALUE"""),"SOC-RS2")</f>
        <v>SOC-RS2</v>
      </c>
      <c r="D4629" s="234">
        <f>IFERROR(__xludf.DUMMYFUNCTION("""COMPUTED_VALUE"""),111.0)</f>
        <v>111</v>
      </c>
      <c r="E4629" s="237" t="str">
        <f>IFERROR(__xludf.DUMMYFUNCTION("""COMPUTED_VALUE"""),"LT1Q1E01WO9K1")</f>
        <v>LT1Q1E01WO9K1</v>
      </c>
      <c r="F4629" s="238" t="str">
        <f>IFERROR(__xludf.DUMMYFUNCTION("""COMPUTED_VALUE"""),"GCV0B16,SXA7A63")</f>
        <v>GCV0B16,SXA7A63</v>
      </c>
      <c r="G4629" s="238">
        <f>IFERROR(__xludf.DUMMYFUNCTION("""COMPUTED_VALUE"""),46036.08333333333)</f>
        <v>46036.08333</v>
      </c>
      <c r="H4629" s="238">
        <f>IFERROR(__xludf.DUMMYFUNCTION("""COMPUTED_VALUE"""),46036.16666666667)</f>
        <v>46036.16667</v>
      </c>
      <c r="I4629" s="237" t="str">
        <f t="shared" si="1"/>
        <v>Fora</v>
      </c>
      <c r="J4629" s="239">
        <v>120.00000001396984</v>
      </c>
    </row>
    <row r="4630">
      <c r="A4630" s="234" t="s">
        <v>5673</v>
      </c>
      <c r="B4630" s="234" t="str">
        <f>IFERROR(__xludf.DUMMYFUNCTION("""COMPUTED_VALUE"""),"SoC_SC_Itajaí")</f>
        <v>SoC_SC_Itajaí</v>
      </c>
      <c r="C4630" s="234" t="str">
        <f>IFERROR(__xludf.DUMMYFUNCTION("""COMPUTED_VALUE"""),"SOC-SC1")</f>
        <v>SOC-SC1</v>
      </c>
      <c r="D4630" s="234">
        <f>IFERROR(__xludf.DUMMYFUNCTION("""COMPUTED_VALUE"""),5.0)</f>
        <v>5</v>
      </c>
      <c r="E4630" s="237" t="str">
        <f>IFERROR(__xludf.DUMMYFUNCTION("""COMPUTED_VALUE"""),"LT1Q1E01WO9M1")</f>
        <v>LT1Q1E01WO9M1</v>
      </c>
      <c r="F4630" s="238" t="str">
        <f>IFERROR(__xludf.DUMMYFUNCTION("""COMPUTED_VALUE"""),"REB1H34")</f>
        <v>REB1H34</v>
      </c>
      <c r="G4630" s="238">
        <f>IFERROR(__xludf.DUMMYFUNCTION("""COMPUTED_VALUE"""),46036.08333333333)</f>
        <v>46036.08333</v>
      </c>
      <c r="H4630" s="238">
        <f>IFERROR(__xludf.DUMMYFUNCTION("""COMPUTED_VALUE"""),46036.16666666667)</f>
        <v>46036.16667</v>
      </c>
      <c r="I4630" s="237" t="str">
        <f t="shared" si="1"/>
        <v>Fora</v>
      </c>
      <c r="J4630" s="239">
        <v>119.00000001071021</v>
      </c>
    </row>
    <row r="4631">
      <c r="A4631" s="234" t="s">
        <v>5674</v>
      </c>
      <c r="B4631" s="234" t="str">
        <f>IFERROR(__xludf.DUMMYFUNCTION("""COMPUTED_VALUE"""),"SoC_SP_Guarulhos")</f>
        <v>SoC_SP_Guarulhos</v>
      </c>
      <c r="C4631" s="234" t="str">
        <f>IFERROR(__xludf.DUMMYFUNCTION("""COMPUTED_VALUE"""),"SOC-SP6")</f>
        <v>SOC-SP6</v>
      </c>
      <c r="D4631" s="234">
        <f>IFERROR(__xludf.DUMMYFUNCTION("""COMPUTED_VALUE"""),45.0)</f>
        <v>45</v>
      </c>
      <c r="E4631" s="237" t="str">
        <f>IFERROR(__xludf.DUMMYFUNCTION("""COMPUTED_VALUE"""),"LT0Q1E01WA691")</f>
        <v>LT0Q1E01WA691</v>
      </c>
      <c r="F4631" s="238" t="str">
        <f>IFERROR(__xludf.DUMMYFUNCTION("""COMPUTED_VALUE"""),"GBZ3E18,FVZ1I26")</f>
        <v>GBZ3E18,FVZ1I26</v>
      </c>
      <c r="G4631" s="238">
        <f>IFERROR(__xludf.DUMMYFUNCTION("""COMPUTED_VALUE"""),46036.084027777775)</f>
        <v>46036.08403</v>
      </c>
      <c r="H4631" s="238">
        <f>IFERROR(__xludf.DUMMYFUNCTION("""COMPUTED_VALUE"""),46036.16666666667)</f>
        <v>46036.16667</v>
      </c>
      <c r="I4631" s="237" t="str">
        <f t="shared" si="1"/>
        <v>Fora</v>
      </c>
      <c r="J4631" s="239">
        <v>119.99999999301508</v>
      </c>
    </row>
    <row r="4632">
      <c r="A4632" s="234" t="s">
        <v>5675</v>
      </c>
      <c r="B4632" s="234" t="str">
        <f>IFERROR(__xludf.DUMMYFUNCTION("""COMPUTED_VALUE"""),"LM Hub_SP_Itapetininga")</f>
        <v>LM Hub_SP_Itapetininga</v>
      </c>
      <c r="C4632" s="234" t="str">
        <f>IFERROR(__xludf.DUMMYFUNCTION("""COMPUTED_VALUE"""),"HUB-LSP-53")</f>
        <v>HUB-LSP-53</v>
      </c>
      <c r="D4632" s="234">
        <f>IFERROR(__xludf.DUMMYFUNCTION("""COMPUTED_VALUE"""),36.0)</f>
        <v>36</v>
      </c>
      <c r="E4632" s="237" t="str">
        <f>IFERROR(__xludf.DUMMYFUNCTION("""COMPUTED_VALUE"""),"LT0Q1E01W98W1")</f>
        <v>LT0Q1E01W98W1</v>
      </c>
      <c r="F4632" s="238" t="str">
        <f>IFERROR(__xludf.DUMMYFUNCTION("""COMPUTED_VALUE"""),"FLQ1E34,FLQ1E30")</f>
        <v>FLQ1E34,FLQ1E30</v>
      </c>
      <c r="G4632" s="238">
        <f>IFERROR(__xludf.DUMMYFUNCTION("""COMPUTED_VALUE"""),46036.10416666667)</f>
        <v>46036.10417</v>
      </c>
      <c r="H4632" s="238">
        <f>IFERROR(__xludf.DUMMYFUNCTION("""COMPUTED_VALUE"""),46036.1875)</f>
        <v>46036.1875</v>
      </c>
      <c r="I4632" s="237" t="str">
        <f t="shared" si="1"/>
        <v>Fora</v>
      </c>
      <c r="J4632" s="239">
        <v>119.99999999301508</v>
      </c>
    </row>
    <row r="4633">
      <c r="A4633" s="234" t="s">
        <v>5676</v>
      </c>
      <c r="B4633" s="234" t="str">
        <f>IFERROR(__xludf.DUMMYFUNCTION("""COMPUTED_VALUE"""),"LM Hub_SP_São Carlos")</f>
        <v>LM Hub_SP_São Carlos</v>
      </c>
      <c r="C4633" s="234" t="str">
        <f>IFERROR(__xludf.DUMMYFUNCTION("""COMPUTED_VALUE"""),"HUB-LSP-31")</f>
        <v>HUB-LSP-31</v>
      </c>
      <c r="D4633" s="234">
        <f>IFERROR(__xludf.DUMMYFUNCTION("""COMPUTED_VALUE"""),35.0)</f>
        <v>35</v>
      </c>
      <c r="E4633" s="237" t="str">
        <f>IFERROR(__xludf.DUMMYFUNCTION("""COMPUTED_VALUE"""),"LT0Q1E01W9BQ1")</f>
        <v>LT0Q1E01W9BQ1</v>
      </c>
      <c r="F4633" s="238" t="str">
        <f>IFERROR(__xludf.DUMMYFUNCTION("""COMPUTED_VALUE"""),"DYL0G56")</f>
        <v>DYL0G56</v>
      </c>
      <c r="G4633" s="238">
        <f>IFERROR(__xludf.DUMMYFUNCTION("""COMPUTED_VALUE"""),46036.10416666667)</f>
        <v>46036.10417</v>
      </c>
      <c r="H4633" s="238">
        <f>IFERROR(__xludf.DUMMYFUNCTION("""COMPUTED_VALUE"""),46036.1875)</f>
        <v>46036.1875</v>
      </c>
      <c r="I4633" s="237" t="str">
        <f t="shared" si="1"/>
        <v>Fora</v>
      </c>
      <c r="J4633" s="239">
        <v>540.0</v>
      </c>
    </row>
    <row r="4634">
      <c r="A4634" s="234" t="s">
        <v>5677</v>
      </c>
      <c r="B4634" s="234" t="str">
        <f>IFERROR(__xludf.DUMMYFUNCTION("""COMPUTED_VALUE"""),"SoC_GO_Goiânia_02")</f>
        <v>SoC_GO_Goiânia_02</v>
      </c>
      <c r="C4634" s="234" t="str">
        <f>IFERROR(__xludf.DUMMYFUNCTION("""COMPUTED_VALUE"""),"SOC-GO2")</f>
        <v>SOC-GO2</v>
      </c>
      <c r="D4634" s="234">
        <f>IFERROR(__xludf.DUMMYFUNCTION("""COMPUTED_VALUE"""),86.0)</f>
        <v>86</v>
      </c>
      <c r="E4634" s="237" t="str">
        <f>IFERROR(__xludf.DUMMYFUNCTION("""COMPUTED_VALUE"""),"LT0Q1D01WF683")</f>
        <v>LT0Q1D01WF683</v>
      </c>
      <c r="F4634" s="238" t="str">
        <f>IFERROR(__xludf.DUMMYFUNCTION("""COMPUTED_VALUE"""),"FOK9H31,FDZ1C09")</f>
        <v>FOK9H31,FDZ1C09</v>
      </c>
      <c r="G4634" s="238">
        <f>IFERROR(__xludf.DUMMYFUNCTION("""COMPUTED_VALUE"""),46035.83333333333)</f>
        <v>46035.83333</v>
      </c>
      <c r="H4634" s="238">
        <f>IFERROR(__xludf.DUMMYFUNCTION("""COMPUTED_VALUE"""),46036.20833333333)</f>
        <v>46036.20833</v>
      </c>
      <c r="I4634" s="237" t="str">
        <f t="shared" si="1"/>
        <v>Fora</v>
      </c>
      <c r="J4634" s="239">
        <v>540.0</v>
      </c>
    </row>
    <row r="4635">
      <c r="A4635" s="234" t="s">
        <v>5678</v>
      </c>
      <c r="B4635" s="234" t="str">
        <f>IFERROR(__xludf.DUMMYFUNCTION("""COMPUTED_VALUE"""),"SoC_PE_Jaboatão dos Guararapes")</f>
        <v>SoC_PE_Jaboatão dos Guararapes</v>
      </c>
      <c r="C4635" s="234" t="str">
        <f>IFERROR(__xludf.DUMMYFUNCTION("""COMPUTED_VALUE"""),"SOC-PE2")</f>
        <v>SOC-PE2</v>
      </c>
      <c r="D4635" s="234">
        <f>IFERROR(__xludf.DUMMYFUNCTION("""COMPUTED_VALUE"""),113.0)</f>
        <v>113</v>
      </c>
      <c r="E4635" s="237" t="str">
        <f>IFERROR(__xludf.DUMMYFUNCTION("""COMPUTED_VALUE"""),"LT1Q1D01WO9F1")</f>
        <v>LT1Q1D01WO9F1</v>
      </c>
      <c r="F4635" s="238" t="str">
        <f>IFERROR(__xludf.DUMMYFUNCTION("""COMPUTED_VALUE"""),"EFV0D12,SUY0H57")</f>
        <v>EFV0D12,SUY0H57</v>
      </c>
      <c r="G4635" s="238">
        <f>IFERROR(__xludf.DUMMYFUNCTION("""COMPUTED_VALUE"""),46035.83333333333)</f>
        <v>46035.83333</v>
      </c>
      <c r="H4635" s="238">
        <f>IFERROR(__xludf.DUMMYFUNCTION("""COMPUTED_VALUE"""),46036.20833333333)</f>
        <v>46036.20833</v>
      </c>
      <c r="I4635" s="237" t="str">
        <f t="shared" si="1"/>
        <v>Fora</v>
      </c>
      <c r="J4635" s="239">
        <v>540.0</v>
      </c>
    </row>
    <row r="4636">
      <c r="A4636" s="234" t="s">
        <v>843</v>
      </c>
      <c r="B4636" s="234" t="str">
        <f>IFERROR(__xludf.DUMMYFUNCTION("""COMPUTED_VALUE"""),"SoC_RJ_Duque de Caxias")</f>
        <v>SoC_RJ_Duque de Caxias</v>
      </c>
      <c r="C4636" s="234" t="str">
        <f>IFERROR(__xludf.DUMMYFUNCTION("""COMPUTED_VALUE"""),"SOC-RJ2")</f>
        <v>SOC-RJ2</v>
      </c>
      <c r="D4636" s="234">
        <f>IFERROR(__xludf.DUMMYFUNCTION("""COMPUTED_VALUE"""),96.0)</f>
        <v>96</v>
      </c>
      <c r="E4636" s="237" t="str">
        <f>IFERROR(__xludf.DUMMYFUNCTION("""COMPUTED_VALUE"""),"LT1Q1D01WNQ41")</f>
        <v>LT1Q1D01WNQ41</v>
      </c>
      <c r="F4636" s="238" t="str">
        <f>IFERROR(__xludf.DUMMYFUNCTION("""COMPUTED_VALUE"""),"EMT1J42,ETM7J23")</f>
        <v>EMT1J42,ETM7J23</v>
      </c>
      <c r="G4636" s="238">
        <f>IFERROR(__xludf.DUMMYFUNCTION("""COMPUTED_VALUE"""),46035.83333333333)</f>
        <v>46035.83333</v>
      </c>
      <c r="H4636" s="238">
        <f>IFERROR(__xludf.DUMMYFUNCTION("""COMPUTED_VALUE"""),46036.20833333333)</f>
        <v>46036.20833</v>
      </c>
      <c r="I4636" s="237" t="str">
        <f t="shared" si="1"/>
        <v>Fora</v>
      </c>
      <c r="J4636" s="239">
        <v>180.0</v>
      </c>
    </row>
    <row r="4637">
      <c r="A4637" s="234" t="s">
        <v>5679</v>
      </c>
      <c r="B4637" s="234" t="str">
        <f>IFERROR(__xludf.DUMMYFUNCTION("""COMPUTED_VALUE"""),"SoC_SP_Santana")</f>
        <v>SoC_SP_Santana</v>
      </c>
      <c r="C4637" s="234" t="str">
        <f>IFERROR(__xludf.DUMMYFUNCTION("""COMPUTED_VALUE"""),"SOC-SP2")</f>
        <v>SOC-SP2</v>
      </c>
      <c r="D4637" s="234"/>
      <c r="E4637" s="237" t="str">
        <f>IFERROR(__xludf.DUMMYFUNCTION("""COMPUTED_VALUE"""),"LT0Q1E01W9OQ1")</f>
        <v>LT0Q1E01W9OQ1</v>
      </c>
      <c r="F4637" s="238" t="str">
        <f>IFERROR(__xludf.DUMMYFUNCTION("""COMPUTED_VALUE"""),"SUZ0A03,DAE3D51,DAE2I71")</f>
        <v>SUZ0A03,DAE3D51,DAE2I71</v>
      </c>
      <c r="G4637" s="238">
        <f>IFERROR(__xludf.DUMMYFUNCTION("""COMPUTED_VALUE"""),46036.08333333333)</f>
        <v>46036.08333</v>
      </c>
      <c r="H4637" s="238">
        <f>IFERROR(__xludf.DUMMYFUNCTION("""COMPUTED_VALUE"""),46036.20833333333)</f>
        <v>46036.20833</v>
      </c>
      <c r="I4637" s="237" t="str">
        <f t="shared" si="1"/>
        <v>Fora</v>
      </c>
      <c r="J4637" s="239">
        <v>119.99999999301508</v>
      </c>
    </row>
    <row r="4638">
      <c r="A4638" s="234" t="s">
        <v>5680</v>
      </c>
      <c r="B4638" s="234" t="str">
        <f>IFERROR(__xludf.DUMMYFUNCTION("""COMPUTED_VALUE"""),"LM Hub_SP_Itapeva")</f>
        <v>LM Hub_SP_Itapeva</v>
      </c>
      <c r="C4638" s="234" t="str">
        <f>IFERROR(__xludf.DUMMYFUNCTION("""COMPUTED_VALUE"""),"HUB-LSP-39")</f>
        <v>HUB-LSP-39</v>
      </c>
      <c r="D4638" s="234">
        <f>IFERROR(__xludf.DUMMYFUNCTION("""COMPUTED_VALUE"""),12.0)</f>
        <v>12</v>
      </c>
      <c r="E4638" s="237" t="str">
        <f>IFERROR(__xludf.DUMMYFUNCTION("""COMPUTED_VALUE"""),"LT0Q1E01W9981")</f>
        <v>LT0Q1E01W9981</v>
      </c>
      <c r="F4638" s="238" t="str">
        <f>IFERROR(__xludf.DUMMYFUNCTION("""COMPUTED_VALUE"""),"FCT0F31")</f>
        <v>FCT0F31</v>
      </c>
      <c r="G4638" s="238">
        <f>IFERROR(__xludf.DUMMYFUNCTION("""COMPUTED_VALUE"""),46036.125)</f>
        <v>46036.125</v>
      </c>
      <c r="H4638" s="238">
        <f>IFERROR(__xludf.DUMMYFUNCTION("""COMPUTED_VALUE"""),46036.20833333333)</f>
        <v>46036.20833</v>
      </c>
      <c r="I4638" s="237" t="str">
        <f t="shared" si="1"/>
        <v>Fora</v>
      </c>
      <c r="J4638" s="239">
        <v>119.99999999301508</v>
      </c>
    </row>
    <row r="4639">
      <c r="A4639" s="234" t="s">
        <v>5681</v>
      </c>
      <c r="B4639" s="234" t="str">
        <f>IFERROR(__xludf.DUMMYFUNCTION("""COMPUTED_VALUE"""),"LM Hub_SP_Sumaré_Nova Veneza_1")</f>
        <v>LM Hub_SP_Sumaré_Nova Veneza_1</v>
      </c>
      <c r="C4639" s="234" t="str">
        <f>IFERROR(__xludf.DUMMYFUNCTION("""COMPUTED_VALUE"""),"HUB-LSP-88")</f>
        <v>HUB-LSP-88</v>
      </c>
      <c r="D4639" s="234">
        <f>IFERROR(__xludf.DUMMYFUNCTION("""COMPUTED_VALUE"""),48.0)</f>
        <v>48</v>
      </c>
      <c r="E4639" s="237" t="str">
        <f>IFERROR(__xludf.DUMMYFUNCTION("""COMPUTED_VALUE"""),"LT0Q1E01WEDN1")</f>
        <v>LT0Q1E01WEDN1</v>
      </c>
      <c r="F4639" s="238" t="str">
        <f>IFERROR(__xludf.DUMMYFUNCTION("""COMPUTED_VALUE"""),"CDX0A62")</f>
        <v>CDX0A62</v>
      </c>
      <c r="G4639" s="238">
        <f>IFERROR(__xludf.DUMMYFUNCTION("""COMPUTED_VALUE"""),46036.125)</f>
        <v>46036.125</v>
      </c>
      <c r="H4639" s="238">
        <f>IFERROR(__xludf.DUMMYFUNCTION("""COMPUTED_VALUE"""),46036.20833333333)</f>
        <v>46036.20833</v>
      </c>
      <c r="I4639" s="237" t="str">
        <f t="shared" si="1"/>
        <v>Fora</v>
      </c>
      <c r="J4639" s="239">
        <v>119.99999999301508</v>
      </c>
    </row>
    <row r="4640">
      <c r="A4640" s="234" t="s">
        <v>5682</v>
      </c>
      <c r="B4640" s="234" t="str">
        <f>IFERROR(__xludf.DUMMYFUNCTION("""COMPUTED_VALUE"""),"SoC_GO_Goiânia_02")</f>
        <v>SoC_GO_Goiânia_02</v>
      </c>
      <c r="C4640" s="234" t="str">
        <f>IFERROR(__xludf.DUMMYFUNCTION("""COMPUTED_VALUE"""),"SOC-GO2")</f>
        <v>SOC-GO2</v>
      </c>
      <c r="D4640" s="234"/>
      <c r="E4640" s="237" t="str">
        <f>IFERROR(__xludf.DUMMYFUNCTION("""COMPUTED_VALUE"""),"LT1Q1E01WO9J1")</f>
        <v>LT1Q1E01WO9J1</v>
      </c>
      <c r="F4640" s="238" t="str">
        <f>IFERROR(__xludf.DUMMYFUNCTION("""COMPUTED_VALUE"""),"CUB4G63,FJP9A82")</f>
        <v>CUB4G63,FJP9A82</v>
      </c>
      <c r="G4640" s="238">
        <f>IFERROR(__xludf.DUMMYFUNCTION("""COMPUTED_VALUE"""),46036.125)</f>
        <v>46036.125</v>
      </c>
      <c r="H4640" s="238">
        <f>IFERROR(__xludf.DUMMYFUNCTION("""COMPUTED_VALUE"""),46036.20833333333)</f>
        <v>46036.20833</v>
      </c>
      <c r="I4640" s="237" t="str">
        <f t="shared" si="1"/>
        <v>Fora</v>
      </c>
      <c r="J4640" s="239">
        <v>119.99999999301508</v>
      </c>
    </row>
    <row r="4641">
      <c r="A4641" s="234" t="s">
        <v>852</v>
      </c>
      <c r="B4641" s="234" t="str">
        <f>IFERROR(__xludf.DUMMYFUNCTION("""COMPUTED_VALUE"""),"SoC_PE_Jaboatão dos Guararapes")</f>
        <v>SoC_PE_Jaboatão dos Guararapes</v>
      </c>
      <c r="C4641" s="234" t="str">
        <f>IFERROR(__xludf.DUMMYFUNCTION("""COMPUTED_VALUE"""),"SOC-PE2")</f>
        <v>SOC-PE2</v>
      </c>
      <c r="D4641" s="234">
        <f>IFERROR(__xludf.DUMMYFUNCTION("""COMPUTED_VALUE"""),47.0)</f>
        <v>47</v>
      </c>
      <c r="E4641" s="237" t="str">
        <f>IFERROR(__xludf.DUMMYFUNCTION("""COMPUTED_VALUE"""),"LT1Q1E01WO9G1")</f>
        <v>LT1Q1E01WO9G1</v>
      </c>
      <c r="F4641" s="238" t="str">
        <f>IFERROR(__xludf.DUMMYFUNCTION("""COMPUTED_VALUE"""),"HJF7E02,HID8I58")</f>
        <v>HJF7E02,HID8I58</v>
      </c>
      <c r="G4641" s="238">
        <f>IFERROR(__xludf.DUMMYFUNCTION("""COMPUTED_VALUE"""),46036.125)</f>
        <v>46036.125</v>
      </c>
      <c r="H4641" s="238">
        <f>IFERROR(__xludf.DUMMYFUNCTION("""COMPUTED_VALUE"""),46036.20833333333)</f>
        <v>46036.20833</v>
      </c>
      <c r="I4641" s="237" t="str">
        <f t="shared" si="1"/>
        <v>Fora</v>
      </c>
      <c r="J4641" s="239">
        <v>119.99999999301508</v>
      </c>
    </row>
    <row r="4642">
      <c r="A4642" s="234" t="s">
        <v>5683</v>
      </c>
      <c r="B4642" s="234" t="str">
        <f>IFERROR(__xludf.DUMMYFUNCTION("""COMPUTED_VALUE"""),"SoC_PE_Jaboatão dos Guararapes")</f>
        <v>SoC_PE_Jaboatão dos Guararapes</v>
      </c>
      <c r="C4642" s="234" t="str">
        <f>IFERROR(__xludf.DUMMYFUNCTION("""COMPUTED_VALUE"""),"SOC-PE2")</f>
        <v>SOC-PE2</v>
      </c>
      <c r="D4642" s="234"/>
      <c r="E4642" s="237" t="str">
        <f>IFERROR(__xludf.DUMMYFUNCTION("""COMPUTED_VALUE"""),"LT1Q1E01WO9H1")</f>
        <v>LT1Q1E01WO9H1</v>
      </c>
      <c r="F4642" s="238" t="str">
        <f>IFERROR(__xludf.DUMMYFUNCTION("""COMPUTED_VALUE"""),"OBB6B33,MLC7B26")</f>
        <v>OBB6B33,MLC7B26</v>
      </c>
      <c r="G4642" s="238">
        <f>IFERROR(__xludf.DUMMYFUNCTION("""COMPUTED_VALUE"""),46036.125)</f>
        <v>46036.125</v>
      </c>
      <c r="H4642" s="238">
        <f>IFERROR(__xludf.DUMMYFUNCTION("""COMPUTED_VALUE"""),46036.20833333333)</f>
        <v>46036.20833</v>
      </c>
      <c r="I4642" s="237" t="str">
        <f t="shared" si="1"/>
        <v>Fora</v>
      </c>
      <c r="J4642" s="239">
        <v>119.99999999301508</v>
      </c>
    </row>
    <row r="4643">
      <c r="A4643" s="234" t="s">
        <v>5684</v>
      </c>
      <c r="B4643" s="234" t="str">
        <f>IFERROR(__xludf.DUMMYFUNCTION("""COMPUTED_VALUE"""),"SoC_PR_Curitiba")</f>
        <v>SoC_PR_Curitiba</v>
      </c>
      <c r="C4643" s="234" t="str">
        <f>IFERROR(__xludf.DUMMYFUNCTION("""COMPUTED_VALUE"""),"SOC-PR1")</f>
        <v>SOC-PR1</v>
      </c>
      <c r="D4643" s="234">
        <f>IFERROR(__xludf.DUMMYFUNCTION("""COMPUTED_VALUE"""),16.0)</f>
        <v>16</v>
      </c>
      <c r="E4643" s="237" t="str">
        <f>IFERROR(__xludf.DUMMYFUNCTION("""COMPUTED_VALUE"""),"LT1Q1E01WO9D1")</f>
        <v>LT1Q1E01WO9D1</v>
      </c>
      <c r="F4643" s="238" t="str">
        <f>IFERROR(__xludf.DUMMYFUNCTION("""COMPUTED_VALUE"""),"SFM8G78,RLM0D83")</f>
        <v>SFM8G78,RLM0D83</v>
      </c>
      <c r="G4643" s="238">
        <f>IFERROR(__xludf.DUMMYFUNCTION("""COMPUTED_VALUE"""),46036.125)</f>
        <v>46036.125</v>
      </c>
      <c r="H4643" s="238">
        <f>IFERROR(__xludf.DUMMYFUNCTION("""COMPUTED_VALUE"""),46036.20833333333)</f>
        <v>46036.20833</v>
      </c>
      <c r="I4643" s="237" t="str">
        <f t="shared" si="1"/>
        <v>Fora</v>
      </c>
      <c r="J4643" s="239">
        <v>119.99999999301508</v>
      </c>
    </row>
    <row r="4644">
      <c r="A4644" s="234" t="s">
        <v>5685</v>
      </c>
      <c r="B4644" s="234" t="str">
        <f>IFERROR(__xludf.DUMMYFUNCTION("""COMPUTED_VALUE"""),"SoC_RJ_Duque de Caxias")</f>
        <v>SoC_RJ_Duque de Caxias</v>
      </c>
      <c r="C4644" s="234" t="str">
        <f>IFERROR(__xludf.DUMMYFUNCTION("""COMPUTED_VALUE"""),"SOC-RJ2")</f>
        <v>SOC-RJ2</v>
      </c>
      <c r="D4644" s="234">
        <f>IFERROR(__xludf.DUMMYFUNCTION("""COMPUTED_VALUE"""),113.0)</f>
        <v>113</v>
      </c>
      <c r="E4644" s="237" t="str">
        <f>IFERROR(__xludf.DUMMYFUNCTION("""COMPUTED_VALUE"""),"LT1Q1D01WNY01")</f>
        <v>LT1Q1D01WNY01</v>
      </c>
      <c r="F4644" s="238" t="str">
        <f>IFERROR(__xludf.DUMMYFUNCTION("""COMPUTED_VALUE"""),"EWU8G43,NST0E38")</f>
        <v>EWU8G43,NST0E38</v>
      </c>
      <c r="G4644" s="238">
        <f>IFERROR(__xludf.DUMMYFUNCTION("""COMPUTED_VALUE"""),46036.125)</f>
        <v>46036.125</v>
      </c>
      <c r="H4644" s="238">
        <f>IFERROR(__xludf.DUMMYFUNCTION("""COMPUTED_VALUE"""),46036.20833333333)</f>
        <v>46036.20833</v>
      </c>
      <c r="I4644" s="237" t="str">
        <f t="shared" si="1"/>
        <v>Fora</v>
      </c>
      <c r="J4644" s="239">
        <v>120.00000001396984</v>
      </c>
    </row>
    <row r="4645">
      <c r="A4645" s="234" t="s">
        <v>5686</v>
      </c>
      <c r="B4645" s="234" t="str">
        <f>IFERROR(__xludf.DUMMYFUNCTION("""COMPUTED_VALUE"""),"LM Hub_SP_Mogi Mirim")</f>
        <v>LM Hub_SP_Mogi Mirim</v>
      </c>
      <c r="C4645" s="234" t="str">
        <f>IFERROR(__xludf.DUMMYFUNCTION("""COMPUTED_VALUE"""),"HUB-LSP-37")</f>
        <v>HUB-LSP-37</v>
      </c>
      <c r="D4645" s="234">
        <f>IFERROR(__xludf.DUMMYFUNCTION("""COMPUTED_VALUE"""),33.0)</f>
        <v>33</v>
      </c>
      <c r="E4645" s="237" t="str">
        <f>IFERROR(__xludf.DUMMYFUNCTION("""COMPUTED_VALUE"""),"LT0Q1E01W9C11")</f>
        <v>LT0Q1E01W9C11</v>
      </c>
      <c r="F4645" s="238" t="str">
        <f>IFERROR(__xludf.DUMMYFUNCTION("""COMPUTED_VALUE"""),"RYF7D49")</f>
        <v>RYF7D49</v>
      </c>
      <c r="G4645" s="238">
        <f>IFERROR(__xludf.DUMMYFUNCTION("""COMPUTED_VALUE"""),46036.14583333333)</f>
        <v>46036.14583</v>
      </c>
      <c r="H4645" s="238">
        <f>IFERROR(__xludf.DUMMYFUNCTION("""COMPUTED_VALUE"""),46036.22916666667)</f>
        <v>46036.22917</v>
      </c>
      <c r="I4645" s="237" t="str">
        <f t="shared" si="1"/>
        <v>Fora</v>
      </c>
      <c r="J4645" s="239">
        <v>120.00000001396984</v>
      </c>
    </row>
    <row r="4646">
      <c r="A4646" s="234" t="s">
        <v>5687</v>
      </c>
      <c r="B4646" s="234" t="str">
        <f>IFERROR(__xludf.DUMMYFUNCTION("""COMPUTED_VALUE"""),"LM Hub_SP_Osasco_02")</f>
        <v>LM Hub_SP_Osasco_02</v>
      </c>
      <c r="C4646" s="234" t="str">
        <f>IFERROR(__xludf.DUMMYFUNCTION("""COMPUTED_VALUE"""),"HUB-LSP-60")</f>
        <v>HUB-LSP-60</v>
      </c>
      <c r="D4646" s="234">
        <f>IFERROR(__xludf.DUMMYFUNCTION("""COMPUTED_VALUE"""),6.0)</f>
        <v>6</v>
      </c>
      <c r="E4646" s="237" t="str">
        <f>IFERROR(__xludf.DUMMYFUNCTION("""COMPUTED_VALUE"""),"LT0Q1E01WACU1")</f>
        <v>LT0Q1E01WACU1</v>
      </c>
      <c r="F4646" s="238" t="str">
        <f>IFERROR(__xludf.DUMMYFUNCTION("""COMPUTED_VALUE"""),"FEU6H63")</f>
        <v>FEU6H63</v>
      </c>
      <c r="G4646" s="238">
        <f>IFERROR(__xludf.DUMMYFUNCTION("""COMPUTED_VALUE"""),46036.14583333333)</f>
        <v>46036.14583</v>
      </c>
      <c r="H4646" s="238">
        <f>IFERROR(__xludf.DUMMYFUNCTION("""COMPUTED_VALUE"""),46036.22916666667)</f>
        <v>46036.22917</v>
      </c>
      <c r="I4646" s="237" t="str">
        <f t="shared" si="1"/>
        <v>Fora</v>
      </c>
      <c r="J4646" s="239">
        <v>119.00000001071021</v>
      </c>
    </row>
    <row r="4647">
      <c r="A4647" s="234" t="s">
        <v>5688</v>
      </c>
      <c r="B4647" s="234" t="str">
        <f>IFERROR(__xludf.DUMMYFUNCTION("""COMPUTED_VALUE"""),"LM Hub_SP_Sorocaba_Região Norte")</f>
        <v>LM Hub_SP_Sorocaba_Região Norte</v>
      </c>
      <c r="C4647" s="234" t="str">
        <f>IFERROR(__xludf.DUMMYFUNCTION("""COMPUTED_VALUE"""),"HUB-LSP-10")</f>
        <v>HUB-LSP-10</v>
      </c>
      <c r="D4647" s="234">
        <f>IFERROR(__xludf.DUMMYFUNCTION("""COMPUTED_VALUE"""),9.0)</f>
        <v>9</v>
      </c>
      <c r="E4647" s="237" t="str">
        <f>IFERROR(__xludf.DUMMYFUNCTION("""COMPUTED_VALUE"""),"LT0Q1E01W9AV1")</f>
        <v>LT0Q1E01W9AV1</v>
      </c>
      <c r="F4647" s="238" t="str">
        <f>IFERROR(__xludf.DUMMYFUNCTION("""COMPUTED_VALUE"""),"GHJ3E37,OUU8J45")</f>
        <v>GHJ3E37,OUU8J45</v>
      </c>
      <c r="G4647" s="238">
        <f>IFERROR(__xludf.DUMMYFUNCTION("""COMPUTED_VALUE"""),46036.146527777775)</f>
        <v>46036.14653</v>
      </c>
      <c r="H4647" s="238">
        <f>IFERROR(__xludf.DUMMYFUNCTION("""COMPUTED_VALUE"""),46036.22916666667)</f>
        <v>46036.22917</v>
      </c>
      <c r="I4647" s="237" t="str">
        <f t="shared" si="1"/>
        <v>Fora</v>
      </c>
      <c r="J4647" s="239">
        <v>118.00000000745058</v>
      </c>
    </row>
    <row r="4648">
      <c r="A4648" s="234" t="s">
        <v>5689</v>
      </c>
      <c r="B4648" s="234" t="str">
        <f>IFERROR(__xludf.DUMMYFUNCTION("""COMPUTED_VALUE"""),"LM Hub_SP_Campinas_São Martinho")</f>
        <v>LM Hub_SP_Campinas_São Martinho</v>
      </c>
      <c r="C4648" s="234" t="str">
        <f>IFERROR(__xludf.DUMMYFUNCTION("""COMPUTED_VALUE"""),"HUB-LSP-19")</f>
        <v>HUB-LSP-19</v>
      </c>
      <c r="D4648" s="234">
        <f>IFERROR(__xludf.DUMMYFUNCTION("""COMPUTED_VALUE"""),24.0)</f>
        <v>24</v>
      </c>
      <c r="E4648" s="237" t="str">
        <f>IFERROR(__xludf.DUMMYFUNCTION("""COMPUTED_VALUE"""),"LT0Q1E01W9DQ1")</f>
        <v>LT0Q1E01W9DQ1</v>
      </c>
      <c r="F4648" s="238" t="str">
        <f>IFERROR(__xludf.DUMMYFUNCTION("""COMPUTED_VALUE"""),"GCJ6G71")</f>
        <v>GCJ6G71</v>
      </c>
      <c r="G4648" s="238">
        <f>IFERROR(__xludf.DUMMYFUNCTION("""COMPUTED_VALUE"""),46036.14722222222)</f>
        <v>46036.14722</v>
      </c>
      <c r="H4648" s="238">
        <f>IFERROR(__xludf.DUMMYFUNCTION("""COMPUTED_VALUE"""),46036.22916666667)</f>
        <v>46036.22917</v>
      </c>
      <c r="I4648" s="237" t="str">
        <f t="shared" si="1"/>
        <v>Fora</v>
      </c>
      <c r="J4648" s="239">
        <v>540.0</v>
      </c>
    </row>
    <row r="4649">
      <c r="A4649" s="234" t="s">
        <v>5690</v>
      </c>
      <c r="B4649" s="234" t="str">
        <f>IFERROR(__xludf.DUMMYFUNCTION("""COMPUTED_VALUE"""),"SoC_GO_Goiânia_02")</f>
        <v>SoC_GO_Goiânia_02</v>
      </c>
      <c r="C4649" s="234" t="str">
        <f>IFERROR(__xludf.DUMMYFUNCTION("""COMPUTED_VALUE"""),"SOC-GO2")</f>
        <v>SOC-GO2</v>
      </c>
      <c r="D4649" s="234">
        <f>IFERROR(__xludf.DUMMYFUNCTION("""COMPUTED_VALUE"""),111.0)</f>
        <v>111</v>
      </c>
      <c r="E4649" s="237" t="str">
        <f>IFERROR(__xludf.DUMMYFUNCTION("""COMPUTED_VALUE"""),"LT0Q1D01WF641")</f>
        <v>LT0Q1D01WF641</v>
      </c>
      <c r="F4649" s="238" t="str">
        <f>IFERROR(__xludf.DUMMYFUNCTION("""COMPUTED_VALUE"""),"RXQ7G68,REW0A97")</f>
        <v>RXQ7G68,REW0A97</v>
      </c>
      <c r="G4649" s="238">
        <f>IFERROR(__xludf.DUMMYFUNCTION("""COMPUTED_VALUE"""),46035.875)</f>
        <v>46035.875</v>
      </c>
      <c r="H4649" s="238">
        <f>IFERROR(__xludf.DUMMYFUNCTION("""COMPUTED_VALUE"""),46036.25)</f>
        <v>46036.25</v>
      </c>
      <c r="I4649" s="237" t="str">
        <f t="shared" si="1"/>
        <v>Fora</v>
      </c>
      <c r="J4649" s="239">
        <v>479.9999999930151</v>
      </c>
    </row>
    <row r="4650">
      <c r="A4650" s="234" t="s">
        <v>5691</v>
      </c>
      <c r="B4650" s="234" t="str">
        <f>IFERROR(__xludf.DUMMYFUNCTION("""COMPUTED_VALUE"""),"SoC_BA_Simoes Filho")</f>
        <v>SoC_BA_Simoes Filho</v>
      </c>
      <c r="C4650" s="234" t="str">
        <f>IFERROR(__xludf.DUMMYFUNCTION("""COMPUTED_VALUE"""),"SOC-BA2")</f>
        <v>SOC-BA2</v>
      </c>
      <c r="D4650" s="234">
        <f>IFERROR(__xludf.DUMMYFUNCTION("""COMPUTED_VALUE"""),89.0)</f>
        <v>89</v>
      </c>
      <c r="E4650" s="237" t="str">
        <f>IFERROR(__xludf.DUMMYFUNCTION("""COMPUTED_VALUE"""),"LT0Q1D01WEU21")</f>
        <v>LT0Q1D01WEU21</v>
      </c>
      <c r="F4650" s="238" t="str">
        <f>IFERROR(__xludf.DUMMYFUNCTION("""COMPUTED_VALUE"""),"TDO1D68,TCS7D80")</f>
        <v>TDO1D68,TCS7D80</v>
      </c>
      <c r="G4650" s="238">
        <f>IFERROR(__xludf.DUMMYFUNCTION("""COMPUTED_VALUE"""),46035.91666666667)</f>
        <v>46035.91667</v>
      </c>
      <c r="H4650" s="238">
        <f>IFERROR(__xludf.DUMMYFUNCTION("""COMPUTED_VALUE"""),46036.25)</f>
        <v>46036.25</v>
      </c>
      <c r="I4650" s="237" t="str">
        <f t="shared" si="1"/>
        <v>Fora</v>
      </c>
      <c r="J4650" s="239">
        <v>479.9999999930151</v>
      </c>
    </row>
    <row r="4651">
      <c r="A4651" s="234" t="s">
        <v>853</v>
      </c>
      <c r="B4651" s="234" t="str">
        <f>IFERROR(__xludf.DUMMYFUNCTION("""COMPUTED_VALUE"""),"SoC_RJ_Duque de Caxias")</f>
        <v>SoC_RJ_Duque de Caxias</v>
      </c>
      <c r="C4651" s="234" t="str">
        <f>IFERROR(__xludf.DUMMYFUNCTION("""COMPUTED_VALUE"""),"SOC-RJ2")</f>
        <v>SOC-RJ2</v>
      </c>
      <c r="D4651" s="234">
        <f>IFERROR(__xludf.DUMMYFUNCTION("""COMPUTED_VALUE"""),110.0)</f>
        <v>110</v>
      </c>
      <c r="E4651" s="237" t="str">
        <f>IFERROR(__xludf.DUMMYFUNCTION("""COMPUTED_VALUE"""),"LT1Q1D01WOHH1")</f>
        <v>LT1Q1D01WOHH1</v>
      </c>
      <c r="F4651" s="238" t="str">
        <f>IFERROR(__xludf.DUMMYFUNCTION("""COMPUTED_VALUE"""),"EJX4F45,GKG2D25")</f>
        <v>EJX4F45,GKG2D25</v>
      </c>
      <c r="G4651" s="238">
        <f>IFERROR(__xludf.DUMMYFUNCTION("""COMPUTED_VALUE"""),46035.91666666667)</f>
        <v>46035.91667</v>
      </c>
      <c r="H4651" s="238">
        <f>IFERROR(__xludf.DUMMYFUNCTION("""COMPUTED_VALUE"""),46036.25)</f>
        <v>46036.25</v>
      </c>
      <c r="I4651" s="237" t="str">
        <f t="shared" si="1"/>
        <v>Fora</v>
      </c>
      <c r="J4651" s="239">
        <v>479.9999999930151</v>
      </c>
    </row>
    <row r="4652">
      <c r="A4652" s="234" t="s">
        <v>5692</v>
      </c>
      <c r="B4652" s="234" t="str">
        <f>IFERROR(__xludf.DUMMYFUNCTION("""COMPUTED_VALUE"""),"SoC_RJ_Duque de Caxias")</f>
        <v>SoC_RJ_Duque de Caxias</v>
      </c>
      <c r="C4652" s="234" t="str">
        <f>IFERROR(__xludf.DUMMYFUNCTION("""COMPUTED_VALUE"""),"SOC-RJ2")</f>
        <v>SOC-RJ2</v>
      </c>
      <c r="D4652" s="234">
        <f>IFERROR(__xludf.DUMMYFUNCTION("""COMPUTED_VALUE"""),96.0)</f>
        <v>96</v>
      </c>
      <c r="E4652" s="237" t="str">
        <f>IFERROR(__xludf.DUMMYFUNCTION("""COMPUTED_VALUE"""),"LT1Q1D01WOHJ1")</f>
        <v>LT1Q1D01WOHJ1</v>
      </c>
      <c r="F4652" s="238" t="str">
        <f>IFERROR(__xludf.DUMMYFUNCTION("""COMPUTED_VALUE"""),"HJF7D29,GVH0115")</f>
        <v>HJF7D29,GVH0115</v>
      </c>
      <c r="G4652" s="238">
        <f>IFERROR(__xludf.DUMMYFUNCTION("""COMPUTED_VALUE"""),46035.91666666667)</f>
        <v>46035.91667</v>
      </c>
      <c r="H4652" s="238">
        <f>IFERROR(__xludf.DUMMYFUNCTION("""COMPUTED_VALUE"""),46036.25)</f>
        <v>46036.25</v>
      </c>
      <c r="I4652" s="237" t="str">
        <f t="shared" si="1"/>
        <v>Fora</v>
      </c>
      <c r="J4652" s="239">
        <v>119.99999999301508</v>
      </c>
    </row>
    <row r="4653">
      <c r="A4653" s="234" t="s">
        <v>854</v>
      </c>
      <c r="B4653" s="234" t="str">
        <f>IFERROR(__xludf.DUMMYFUNCTION("""COMPUTED_VALUE"""),"LM Hub_SP_Limeira_Campo Belo")</f>
        <v>LM Hub_SP_Limeira_Campo Belo</v>
      </c>
      <c r="C4653" s="234" t="str">
        <f>IFERROR(__xludf.DUMMYFUNCTION("""COMPUTED_VALUE"""),"HUB-LSP-24")</f>
        <v>HUB-LSP-24</v>
      </c>
      <c r="D4653" s="234">
        <f>IFERROR(__xludf.DUMMYFUNCTION("""COMPUTED_VALUE"""),23.0)</f>
        <v>23</v>
      </c>
      <c r="E4653" s="237" t="str">
        <f>IFERROR(__xludf.DUMMYFUNCTION("""COMPUTED_VALUE"""),"LT0Q1E01W9B81")</f>
        <v>LT0Q1E01W9B81</v>
      </c>
      <c r="F4653" s="238" t="str">
        <f>IFERROR(__xludf.DUMMYFUNCTION("""COMPUTED_VALUE"""),"TAJ5D50")</f>
        <v>TAJ5D50</v>
      </c>
      <c r="G4653" s="238">
        <f>IFERROR(__xludf.DUMMYFUNCTION("""COMPUTED_VALUE"""),46036.16666666667)</f>
        <v>46036.16667</v>
      </c>
      <c r="H4653" s="238">
        <f>IFERROR(__xludf.DUMMYFUNCTION("""COMPUTED_VALUE"""),46036.25)</f>
        <v>46036.25</v>
      </c>
      <c r="I4653" s="237" t="str">
        <f t="shared" si="1"/>
        <v>Fora</v>
      </c>
      <c r="J4653" s="239">
        <v>119.99999999301508</v>
      </c>
    </row>
    <row r="4654">
      <c r="A4654" s="234" t="s">
        <v>5693</v>
      </c>
      <c r="B4654" s="234" t="str">
        <f>IFERROR(__xludf.DUMMYFUNCTION("""COMPUTED_VALUE"""),"LM Hub_SP_Registro")</f>
        <v>LM Hub_SP_Registro</v>
      </c>
      <c r="C4654" s="234" t="str">
        <f>IFERROR(__xludf.DUMMYFUNCTION("""COMPUTED_VALUE"""),"HUB-LSP-40")</f>
        <v>HUB-LSP-40</v>
      </c>
      <c r="D4654" s="234">
        <f>IFERROR(__xludf.DUMMYFUNCTION("""COMPUTED_VALUE"""),29.0)</f>
        <v>29</v>
      </c>
      <c r="E4654" s="237" t="str">
        <f>IFERROR(__xludf.DUMMYFUNCTION("""COMPUTED_VALUE"""),"LT0Q1E01W99T1")</f>
        <v>LT0Q1E01W99T1</v>
      </c>
      <c r="F4654" s="238" t="str">
        <f>IFERROR(__xludf.DUMMYFUNCTION("""COMPUTED_VALUE"""),"OGD9J54")</f>
        <v>OGD9J54</v>
      </c>
      <c r="G4654" s="238">
        <f>IFERROR(__xludf.DUMMYFUNCTION("""COMPUTED_VALUE"""),46036.16666666667)</f>
        <v>46036.16667</v>
      </c>
      <c r="H4654" s="238">
        <f>IFERROR(__xludf.DUMMYFUNCTION("""COMPUTED_VALUE"""),46036.25)</f>
        <v>46036.25</v>
      </c>
      <c r="I4654" s="237" t="str">
        <f t="shared" si="1"/>
        <v>Fora</v>
      </c>
      <c r="J4654" s="239">
        <v>119.99999999301508</v>
      </c>
    </row>
    <row r="4655">
      <c r="A4655" s="234" t="s">
        <v>856</v>
      </c>
      <c r="B4655" s="234" t="str">
        <f>IFERROR(__xludf.DUMMYFUNCTION("""COMPUTED_VALUE"""),"LM Hub_SP_São Bernardo do Campo")</f>
        <v>LM Hub_SP_São Bernardo do Campo</v>
      </c>
      <c r="C4655" s="234" t="str">
        <f>IFERROR(__xludf.DUMMYFUNCTION("""COMPUTED_VALUE"""),"HUB-LSP-79")</f>
        <v>HUB-LSP-79</v>
      </c>
      <c r="D4655" s="234">
        <f>IFERROR(__xludf.DUMMYFUNCTION("""COMPUTED_VALUE"""),7.0)</f>
        <v>7</v>
      </c>
      <c r="E4655" s="237" t="str">
        <f>IFERROR(__xludf.DUMMYFUNCTION("""COMPUTED_VALUE"""),"LT0Q1E01W9TB1")</f>
        <v>LT0Q1E01W9TB1</v>
      </c>
      <c r="F4655" s="238" t="str">
        <f>IFERROR(__xludf.DUMMYFUNCTION("""COMPUTED_VALUE"""),"DVS4I95")</f>
        <v>DVS4I95</v>
      </c>
      <c r="G4655" s="238">
        <f>IFERROR(__xludf.DUMMYFUNCTION("""COMPUTED_VALUE"""),46036.16666666667)</f>
        <v>46036.16667</v>
      </c>
      <c r="H4655" s="238">
        <f>IFERROR(__xludf.DUMMYFUNCTION("""COMPUTED_VALUE"""),46036.25)</f>
        <v>46036.25</v>
      </c>
      <c r="I4655" s="237" t="str">
        <f t="shared" si="1"/>
        <v>Fora</v>
      </c>
      <c r="J4655" s="239">
        <v>119.99999999301508</v>
      </c>
    </row>
    <row r="4656">
      <c r="A4656" s="234" t="s">
        <v>5694</v>
      </c>
      <c r="B4656" s="234" t="str">
        <f>IFERROR(__xludf.DUMMYFUNCTION("""COMPUTED_VALUE"""),"SoC_BA_Simoes Filho")</f>
        <v>SoC_BA_Simoes Filho</v>
      </c>
      <c r="C4656" s="234" t="str">
        <f>IFERROR(__xludf.DUMMYFUNCTION("""COMPUTED_VALUE"""),"SOC-BA2")</f>
        <v>SOC-BA2</v>
      </c>
      <c r="D4656" s="234">
        <f>IFERROR(__xludf.DUMMYFUNCTION("""COMPUTED_VALUE"""),113.0)</f>
        <v>113</v>
      </c>
      <c r="E4656" s="237" t="str">
        <f>IFERROR(__xludf.DUMMYFUNCTION("""COMPUTED_VALUE"""),"LT1Q1E01WO9I1")</f>
        <v>LT1Q1E01WO9I1</v>
      </c>
      <c r="F4656" s="238" t="str">
        <f>IFERROR(__xludf.DUMMYFUNCTION("""COMPUTED_VALUE"""),"EWU8G27,RHD0J54")</f>
        <v>EWU8G27,RHD0J54</v>
      </c>
      <c r="G4656" s="238">
        <f>IFERROR(__xludf.DUMMYFUNCTION("""COMPUTED_VALUE"""),46036.16666666667)</f>
        <v>46036.16667</v>
      </c>
      <c r="H4656" s="238">
        <f>IFERROR(__xludf.DUMMYFUNCTION("""COMPUTED_VALUE"""),46036.25)</f>
        <v>46036.25</v>
      </c>
      <c r="I4656" s="237" t="str">
        <f t="shared" si="1"/>
        <v>Fora</v>
      </c>
      <c r="J4656" s="239">
        <v>119.99999999301508</v>
      </c>
    </row>
    <row r="4657">
      <c r="A4657" s="234" t="s">
        <v>5695</v>
      </c>
      <c r="B4657" s="234" t="str">
        <f>IFERROR(__xludf.DUMMYFUNCTION("""COMPUTED_VALUE"""),"SoC_MG_Betim")</f>
        <v>SoC_MG_Betim</v>
      </c>
      <c r="C4657" s="234" t="str">
        <f>IFERROR(__xludf.DUMMYFUNCTION("""COMPUTED_VALUE"""),"SOC-MG2")</f>
        <v>SOC-MG2</v>
      </c>
      <c r="D4657" s="234">
        <f>IFERROR(__xludf.DUMMYFUNCTION("""COMPUTED_VALUE"""),111.0)</f>
        <v>111</v>
      </c>
      <c r="E4657" s="237" t="str">
        <f>IFERROR(__xludf.DUMMYFUNCTION("""COMPUTED_VALUE"""),"LT1Q1E01WO991")</f>
        <v>LT1Q1E01WO991</v>
      </c>
      <c r="F4657" s="238" t="str">
        <f>IFERROR(__xludf.DUMMYFUNCTION("""COMPUTED_VALUE"""),"ADO8A05,GHE1889")</f>
        <v>ADO8A05,GHE1889</v>
      </c>
      <c r="G4657" s="238">
        <f>IFERROR(__xludf.DUMMYFUNCTION("""COMPUTED_VALUE"""),46036.16666666667)</f>
        <v>46036.16667</v>
      </c>
      <c r="H4657" s="238">
        <f>IFERROR(__xludf.DUMMYFUNCTION("""COMPUTED_VALUE"""),46036.25)</f>
        <v>46036.25</v>
      </c>
      <c r="I4657" s="237" t="str">
        <f t="shared" si="1"/>
        <v>Fora</v>
      </c>
      <c r="J4657" s="239">
        <v>119.99999999301508</v>
      </c>
    </row>
    <row r="4658">
      <c r="A4658" s="234" t="s">
        <v>855</v>
      </c>
      <c r="B4658" s="234" t="str">
        <f>IFERROR(__xludf.DUMMYFUNCTION("""COMPUTED_VALUE"""),"SoC_PR_Curitiba")</f>
        <v>SoC_PR_Curitiba</v>
      </c>
      <c r="C4658" s="234" t="str">
        <f>IFERROR(__xludf.DUMMYFUNCTION("""COMPUTED_VALUE"""),"SOC-PR1")</f>
        <v>SOC-PR1</v>
      </c>
      <c r="D4658" s="234">
        <f>IFERROR(__xludf.DUMMYFUNCTION("""COMPUTED_VALUE"""),16.0)</f>
        <v>16</v>
      </c>
      <c r="E4658" s="237" t="str">
        <f>IFERROR(__xludf.DUMMYFUNCTION("""COMPUTED_VALUE"""),"LT0Q1E01W93W1")</f>
        <v>LT0Q1E01W93W1</v>
      </c>
      <c r="F4658" s="238" t="str">
        <f>IFERROR(__xludf.DUMMYFUNCTION("""COMPUTED_VALUE"""),"UAW6H39,TJR6H37")</f>
        <v>UAW6H39,TJR6H37</v>
      </c>
      <c r="G4658" s="238">
        <f>IFERROR(__xludf.DUMMYFUNCTION("""COMPUTED_VALUE"""),46036.16666666667)</f>
        <v>46036.16667</v>
      </c>
      <c r="H4658" s="238">
        <f>IFERROR(__xludf.DUMMYFUNCTION("""COMPUTED_VALUE"""),46036.25)</f>
        <v>46036.25</v>
      </c>
      <c r="I4658" s="237" t="str">
        <f t="shared" si="1"/>
        <v>Fora</v>
      </c>
      <c r="J4658" s="239">
        <v>119.99999999301508</v>
      </c>
    </row>
    <row r="4659">
      <c r="A4659" s="234" t="s">
        <v>5696</v>
      </c>
      <c r="B4659" s="234" t="str">
        <f>IFERROR(__xludf.DUMMYFUNCTION("""COMPUTED_VALUE"""),"SoC_RJ_Duque de Caxias")</f>
        <v>SoC_RJ_Duque de Caxias</v>
      </c>
      <c r="C4659" s="234" t="str">
        <f>IFERROR(__xludf.DUMMYFUNCTION("""COMPUTED_VALUE"""),"SOC-RJ2")</f>
        <v>SOC-RJ2</v>
      </c>
      <c r="D4659" s="234">
        <f>IFERROR(__xludf.DUMMYFUNCTION("""COMPUTED_VALUE"""),114.0)</f>
        <v>114</v>
      </c>
      <c r="E4659" s="237" t="str">
        <f>IFERROR(__xludf.DUMMYFUNCTION("""COMPUTED_VALUE"""),"LT1Q1E01WO981")</f>
        <v>LT1Q1E01WO981</v>
      </c>
      <c r="F4659" s="238" t="str">
        <f>IFERROR(__xludf.DUMMYFUNCTION("""COMPUTED_VALUE"""),"ARW6H90,DBL9F03")</f>
        <v>ARW6H90,DBL9F03</v>
      </c>
      <c r="G4659" s="238">
        <f>IFERROR(__xludf.DUMMYFUNCTION("""COMPUTED_VALUE"""),46036.16666666667)</f>
        <v>46036.16667</v>
      </c>
      <c r="H4659" s="238">
        <f>IFERROR(__xludf.DUMMYFUNCTION("""COMPUTED_VALUE"""),46036.25)</f>
        <v>46036.25</v>
      </c>
      <c r="I4659" s="237" t="str">
        <f t="shared" si="1"/>
        <v>Fora</v>
      </c>
      <c r="J4659" s="239">
        <v>119.99999999301508</v>
      </c>
    </row>
    <row r="4660">
      <c r="A4660" s="234" t="s">
        <v>5697</v>
      </c>
      <c r="B4660" s="234" t="str">
        <f>IFERROR(__xludf.DUMMYFUNCTION("""COMPUTED_VALUE"""),"SoC_RS_Gravataí_02")</f>
        <v>SoC_RS_Gravataí_02</v>
      </c>
      <c r="C4660" s="234" t="str">
        <f>IFERROR(__xludf.DUMMYFUNCTION("""COMPUTED_VALUE"""),"SOC-RS2")</f>
        <v>SOC-RS2</v>
      </c>
      <c r="D4660" s="234" t="str">
        <f>IFERROR(__xludf.DUMMYFUNCTION("""COMPUTED_VALUE"""),"103/26")</f>
        <v>103/26</v>
      </c>
      <c r="E4660" s="237" t="str">
        <f>IFERROR(__xludf.DUMMYFUNCTION("""COMPUTED_VALUE"""),"LT1Q1E01WO9L1")</f>
        <v>LT1Q1E01WO9L1</v>
      </c>
      <c r="F4660" s="238" t="str">
        <f>IFERROR(__xludf.DUMMYFUNCTION("""COMPUTED_VALUE"""),"BSX3G15,BYI3D82")</f>
        <v>BSX3G15,BYI3D82</v>
      </c>
      <c r="G4660" s="238">
        <f>IFERROR(__xludf.DUMMYFUNCTION("""COMPUTED_VALUE"""),46036.16666666667)</f>
        <v>46036.16667</v>
      </c>
      <c r="H4660" s="238">
        <f>IFERROR(__xludf.DUMMYFUNCTION("""COMPUTED_VALUE"""),46036.25)</f>
        <v>46036.25</v>
      </c>
      <c r="I4660" s="237" t="str">
        <f t="shared" si="1"/>
        <v>Fora</v>
      </c>
      <c r="J4660" s="239">
        <v>119.99999999301508</v>
      </c>
    </row>
    <row r="4661">
      <c r="A4661" s="234" t="s">
        <v>5698</v>
      </c>
      <c r="B4661" s="234" t="str">
        <f>IFERROR(__xludf.DUMMYFUNCTION("""COMPUTED_VALUE"""),"SoC_SC_Itajaí")</f>
        <v>SoC_SC_Itajaí</v>
      </c>
      <c r="C4661" s="234" t="str">
        <f>IFERROR(__xludf.DUMMYFUNCTION("""COMPUTED_VALUE"""),"SOC-SC1")</f>
        <v>SOC-SC1</v>
      </c>
      <c r="D4661" s="234">
        <f>IFERROR(__xludf.DUMMYFUNCTION("""COMPUTED_VALUE"""),8.0)</f>
        <v>8</v>
      </c>
      <c r="E4661" s="237" t="str">
        <f>IFERROR(__xludf.DUMMYFUNCTION("""COMPUTED_VALUE"""),"LT1Q1E01WO9N1")</f>
        <v>LT1Q1E01WO9N1</v>
      </c>
      <c r="F4661" s="238" t="str">
        <f>IFERROR(__xludf.DUMMYFUNCTION("""COMPUTED_VALUE"""),"SXU1H29,SXU1E29")</f>
        <v>SXU1H29,SXU1E29</v>
      </c>
      <c r="G4661" s="238">
        <f>IFERROR(__xludf.DUMMYFUNCTION("""COMPUTED_VALUE"""),46036.16666666667)</f>
        <v>46036.16667</v>
      </c>
      <c r="H4661" s="238">
        <f>IFERROR(__xludf.DUMMYFUNCTION("""COMPUTED_VALUE"""),46036.25)</f>
        <v>46036.25</v>
      </c>
      <c r="I4661" s="237" t="str">
        <f t="shared" si="1"/>
        <v>Fora</v>
      </c>
      <c r="J4661" s="239">
        <v>119.99999999301508</v>
      </c>
    </row>
    <row r="4662">
      <c r="A4662" s="234" t="s">
        <v>5699</v>
      </c>
      <c r="B4662" s="234" t="str">
        <f>IFERROR(__xludf.DUMMYFUNCTION("""COMPUTED_VALUE"""),"SoC_SP_Louveira")</f>
        <v>SoC_SP_Louveira</v>
      </c>
      <c r="C4662" s="234" t="str">
        <f>IFERROR(__xludf.DUMMYFUNCTION("""COMPUTED_VALUE"""),"SOC-SP7")</f>
        <v>SOC-SP7</v>
      </c>
      <c r="D4662" s="234"/>
      <c r="E4662" s="237" t="str">
        <f>IFERROR(__xludf.DUMMYFUNCTION("""COMPUTED_VALUE"""),"LT0Q1E01W95K1")</f>
        <v>LT0Q1E01W95K1</v>
      </c>
      <c r="F4662" s="238" t="str">
        <f>IFERROR(__xludf.DUMMYFUNCTION("""COMPUTED_VALUE"""),"SVM9H44,GDU4H95")</f>
        <v>SVM9H44,GDU4H95</v>
      </c>
      <c r="G4662" s="238">
        <f>IFERROR(__xludf.DUMMYFUNCTION("""COMPUTED_VALUE"""),46036.16666666667)</f>
        <v>46036.16667</v>
      </c>
      <c r="H4662" s="238">
        <f>IFERROR(__xludf.DUMMYFUNCTION("""COMPUTED_VALUE"""),46036.25)</f>
        <v>46036.25</v>
      </c>
      <c r="I4662" s="237" t="str">
        <f t="shared" si="1"/>
        <v>Fora</v>
      </c>
      <c r="J4662" s="239">
        <v>119.00000000023283</v>
      </c>
    </row>
    <row r="4663">
      <c r="A4663" s="234" t="s">
        <v>857</v>
      </c>
      <c r="B4663" s="234" t="str">
        <f>IFERROR(__xludf.DUMMYFUNCTION("""COMPUTED_VALUE"""),"LM Hub_SP_Guaratinguetá")</f>
        <v>LM Hub_SP_Guaratinguetá</v>
      </c>
      <c r="C4663" s="234" t="str">
        <f>IFERROR(__xludf.DUMMYFUNCTION("""COMPUTED_VALUE"""),"HUB-LSP-33")</f>
        <v>HUB-LSP-33</v>
      </c>
      <c r="D4663" s="234">
        <f>IFERROR(__xludf.DUMMYFUNCTION("""COMPUTED_VALUE"""),17.0)</f>
        <v>17</v>
      </c>
      <c r="E4663" s="237" t="str">
        <f>IFERROR(__xludf.DUMMYFUNCTION("""COMPUTED_VALUE"""),"LT0Q1E01WIC61")</f>
        <v>LT0Q1E01WIC61</v>
      </c>
      <c r="F4663" s="238" t="str">
        <f>IFERROR(__xludf.DUMMYFUNCTION("""COMPUTED_VALUE"""),"FZN4I48,NCO3D48")</f>
        <v>FZN4I48,NCO3D48</v>
      </c>
      <c r="G4663" s="238">
        <f>IFERROR(__xludf.DUMMYFUNCTION("""COMPUTED_VALUE"""),46036.16736111111)</f>
        <v>46036.16736</v>
      </c>
      <c r="H4663" s="238">
        <f>IFERROR(__xludf.DUMMYFUNCTION("""COMPUTED_VALUE"""),46036.25)</f>
        <v>46036.25</v>
      </c>
      <c r="I4663" s="237" t="str">
        <f t="shared" si="1"/>
        <v>Fora</v>
      </c>
      <c r="J4663" s="239">
        <v>119.99999999301508</v>
      </c>
    </row>
    <row r="4664">
      <c r="A4664" s="234" t="s">
        <v>858</v>
      </c>
      <c r="B4664" s="234" t="str">
        <f>IFERROR(__xludf.DUMMYFUNCTION("""COMPUTED_VALUE"""),"LM Hub_SP_Atibaia_Ponte_Alta")</f>
        <v>LM Hub_SP_Atibaia_Ponte_Alta</v>
      </c>
      <c r="C4664" s="234" t="str">
        <f>IFERROR(__xludf.DUMMYFUNCTION("""COMPUTED_VALUE"""),"HUB-LSP-87")</f>
        <v>HUB-LSP-87</v>
      </c>
      <c r="D4664" s="234"/>
      <c r="E4664" s="237" t="str">
        <f>IFERROR(__xludf.DUMMYFUNCTION("""COMPUTED_VALUE"""),"LT0Q1E01WD601")</f>
        <v>LT0Q1E01WD601</v>
      </c>
      <c r="F4664" s="238" t="str">
        <f>IFERROR(__xludf.DUMMYFUNCTION("""COMPUTED_VALUE"""),"JBJ0I18")</f>
        <v>JBJ0I18</v>
      </c>
      <c r="G4664" s="238">
        <f>IFERROR(__xludf.DUMMYFUNCTION("""COMPUTED_VALUE"""),46036.1875)</f>
        <v>46036.1875</v>
      </c>
      <c r="H4664" s="238">
        <f>IFERROR(__xludf.DUMMYFUNCTION("""COMPUTED_VALUE"""),46036.27083333333)</f>
        <v>46036.27083</v>
      </c>
      <c r="I4664" s="237" t="str">
        <f t="shared" si="1"/>
        <v>Fora</v>
      </c>
      <c r="J4664" s="239">
        <v>119.99999999301508</v>
      </c>
    </row>
    <row r="4665">
      <c r="A4665" s="234" t="s">
        <v>859</v>
      </c>
      <c r="B4665" s="234" t="str">
        <f>IFERROR(__xludf.DUMMYFUNCTION("""COMPUTED_VALUE"""),"LM Hub_SP_Embu das Artes")</f>
        <v>LM Hub_SP_Embu das Artes</v>
      </c>
      <c r="C4665" s="234" t="str">
        <f>IFERROR(__xludf.DUMMYFUNCTION("""COMPUTED_VALUE"""),"HUB-LSP-36")</f>
        <v>HUB-LSP-36</v>
      </c>
      <c r="D4665" s="234">
        <f>IFERROR(__xludf.DUMMYFUNCTION("""COMPUTED_VALUE"""),19.0)</f>
        <v>19</v>
      </c>
      <c r="E4665" s="237" t="str">
        <f>IFERROR(__xludf.DUMMYFUNCTION("""COMPUTED_VALUE"""),"LT0Q1E01WADX1")</f>
        <v>LT0Q1E01WADX1</v>
      </c>
      <c r="F4665" s="238" t="str">
        <f>IFERROR(__xludf.DUMMYFUNCTION("""COMPUTED_VALUE"""),"FWF3044")</f>
        <v>FWF3044</v>
      </c>
      <c r="G4665" s="238">
        <f>IFERROR(__xludf.DUMMYFUNCTION("""COMPUTED_VALUE"""),46036.1875)</f>
        <v>46036.1875</v>
      </c>
      <c r="H4665" s="238">
        <f>IFERROR(__xludf.DUMMYFUNCTION("""COMPUTED_VALUE"""),46036.27083333333)</f>
        <v>46036.27083</v>
      </c>
      <c r="I4665" s="237" t="str">
        <f t="shared" si="1"/>
        <v>Fora</v>
      </c>
      <c r="J4665" s="239">
        <v>119.99999999301508</v>
      </c>
    </row>
    <row r="4666">
      <c r="A4666" s="234" t="s">
        <v>860</v>
      </c>
      <c r="B4666" s="234" t="str">
        <f>IFERROR(__xludf.DUMMYFUNCTION("""COMPUTED_VALUE"""),"LM Hub_SP_Taubaté")</f>
        <v>LM Hub_SP_Taubaté</v>
      </c>
      <c r="C4666" s="234" t="str">
        <f>IFERROR(__xludf.DUMMYFUNCTION("""COMPUTED_VALUE"""),"HUB-LSP-08")</f>
        <v>HUB-LSP-08</v>
      </c>
      <c r="D4666" s="234">
        <f>IFERROR(__xludf.DUMMYFUNCTION("""COMPUTED_VALUE"""),13.0)</f>
        <v>13</v>
      </c>
      <c r="E4666" s="237" t="str">
        <f>IFERROR(__xludf.DUMMYFUNCTION("""COMPUTED_VALUE"""),"LT0Q1E01W9AD1")</f>
        <v>LT0Q1E01W9AD1</v>
      </c>
      <c r="F4666" s="238" t="str">
        <f>IFERROR(__xludf.DUMMYFUNCTION("""COMPUTED_VALUE"""),"FBQ6A90")</f>
        <v>FBQ6A90</v>
      </c>
      <c r="G4666" s="238">
        <f>IFERROR(__xludf.DUMMYFUNCTION("""COMPUTED_VALUE"""),46036.1875)</f>
        <v>46036.1875</v>
      </c>
      <c r="H4666" s="238">
        <f>IFERROR(__xludf.DUMMYFUNCTION("""COMPUTED_VALUE"""),46036.27083333333)</f>
        <v>46036.27083</v>
      </c>
      <c r="I4666" s="237" t="str">
        <f t="shared" si="1"/>
        <v>Fora</v>
      </c>
      <c r="J4666" s="239">
        <v>540.0</v>
      </c>
    </row>
    <row r="4667">
      <c r="A4667" s="234" t="s">
        <v>5700</v>
      </c>
      <c r="B4667" s="234" t="str">
        <f>IFERROR(__xludf.DUMMYFUNCTION("""COMPUTED_VALUE"""),"SoC_MG_Betim")</f>
        <v>SoC_MG_Betim</v>
      </c>
      <c r="C4667" s="234" t="str">
        <f>IFERROR(__xludf.DUMMYFUNCTION("""COMPUTED_VALUE"""),"SOC-MG2")</f>
        <v>SOC-MG2</v>
      </c>
      <c r="D4667" s="234">
        <f>IFERROR(__xludf.DUMMYFUNCTION("""COMPUTED_VALUE"""),91.0)</f>
        <v>91</v>
      </c>
      <c r="E4667" s="237" t="str">
        <f>IFERROR(__xludf.DUMMYFUNCTION("""COMPUTED_VALUE"""),"LT0Q1D01W9371")</f>
        <v>LT0Q1D01W9371</v>
      </c>
      <c r="F4667" s="238" t="str">
        <f>IFERROR(__xludf.DUMMYFUNCTION("""COMPUTED_VALUE"""),"FIL1H94,STT6A31")</f>
        <v>FIL1H94,STT6A31</v>
      </c>
      <c r="G4667" s="238">
        <f>IFERROR(__xludf.DUMMYFUNCTION("""COMPUTED_VALUE"""),46035.91666666667)</f>
        <v>46035.91667</v>
      </c>
      <c r="H4667" s="238">
        <f>IFERROR(__xludf.DUMMYFUNCTION("""COMPUTED_VALUE"""),46036.29166666667)</f>
        <v>46036.29167</v>
      </c>
      <c r="I4667" s="237" t="str">
        <f t="shared" si="1"/>
        <v>Fora</v>
      </c>
      <c r="J4667" s="239">
        <v>540.0</v>
      </c>
    </row>
    <row r="4668">
      <c r="A4668" s="234" t="s">
        <v>5701</v>
      </c>
      <c r="B4668" s="234" t="str">
        <f>IFERROR(__xludf.DUMMYFUNCTION("""COMPUTED_VALUE"""),"SoC_MG_Betim")</f>
        <v>SoC_MG_Betim</v>
      </c>
      <c r="C4668" s="234" t="str">
        <f>IFERROR(__xludf.DUMMYFUNCTION("""COMPUTED_VALUE"""),"SOC-MG2")</f>
        <v>SOC-MG2</v>
      </c>
      <c r="D4668" s="234">
        <f>IFERROR(__xludf.DUMMYFUNCTION("""COMPUTED_VALUE"""),90.0)</f>
        <v>90</v>
      </c>
      <c r="E4668" s="237" t="str">
        <f>IFERROR(__xludf.DUMMYFUNCTION("""COMPUTED_VALUE"""),"LT1Q1D01WNQC1")</f>
        <v>LT1Q1D01WNQC1</v>
      </c>
      <c r="F4668" s="238" t="str">
        <f>IFERROR(__xludf.DUMMYFUNCTION("""COMPUTED_VALUE"""),"GDW2C67,GBK8389")</f>
        <v>GDW2C67,GBK8389</v>
      </c>
      <c r="G4668" s="238">
        <f>IFERROR(__xludf.DUMMYFUNCTION("""COMPUTED_VALUE"""),46035.91666666667)</f>
        <v>46035.91667</v>
      </c>
      <c r="H4668" s="238">
        <f>IFERROR(__xludf.DUMMYFUNCTION("""COMPUTED_VALUE"""),46036.29166666667)</f>
        <v>46036.29167</v>
      </c>
      <c r="I4668" s="237" t="str">
        <f t="shared" si="1"/>
        <v>Fora</v>
      </c>
      <c r="J4668" s="239">
        <v>540.0</v>
      </c>
    </row>
    <row r="4669">
      <c r="A4669" s="234" t="s">
        <v>5702</v>
      </c>
      <c r="B4669" s="234" t="str">
        <f>IFERROR(__xludf.DUMMYFUNCTION("""COMPUTED_VALUE"""),"SoC_SC_Itajaí")</f>
        <v>SoC_SC_Itajaí</v>
      </c>
      <c r="C4669" s="234" t="str">
        <f>IFERROR(__xludf.DUMMYFUNCTION("""COMPUTED_VALUE"""),"SOC-SC1")</f>
        <v>SOC-SC1</v>
      </c>
      <c r="D4669" s="234">
        <f>IFERROR(__xludf.DUMMYFUNCTION("""COMPUTED_VALUE"""),101.0)</f>
        <v>101</v>
      </c>
      <c r="E4669" s="237" t="str">
        <f>IFERROR(__xludf.DUMMYFUNCTION("""COMPUTED_VALUE"""),"LT0Q1D01WDUM1")</f>
        <v>LT0Q1D01WDUM1</v>
      </c>
      <c r="F4669" s="238" t="str">
        <f>IFERROR(__xludf.DUMMYFUNCTION("""COMPUTED_VALUE"""),"AXN2G91,PQT1A41")</f>
        <v>AXN2G91,PQT1A41</v>
      </c>
      <c r="G4669" s="238">
        <f>IFERROR(__xludf.DUMMYFUNCTION("""COMPUTED_VALUE"""),46035.91666666667)</f>
        <v>46035.91667</v>
      </c>
      <c r="H4669" s="238">
        <f>IFERROR(__xludf.DUMMYFUNCTION("""COMPUTED_VALUE"""),46036.29166666667)</f>
        <v>46036.29167</v>
      </c>
      <c r="I4669" s="237" t="str">
        <f t="shared" si="1"/>
        <v>Fora</v>
      </c>
      <c r="J4669" s="239">
        <v>540.0</v>
      </c>
    </row>
    <row r="4670">
      <c r="A4670" s="234" t="s">
        <v>824</v>
      </c>
      <c r="B4670" s="234" t="str">
        <f>IFERROR(__xludf.DUMMYFUNCTION("""COMPUTED_VALUE"""),"SoC_SC_Itajaí")</f>
        <v>SoC_SC_Itajaí</v>
      </c>
      <c r="C4670" s="234" t="str">
        <f>IFERROR(__xludf.DUMMYFUNCTION("""COMPUTED_VALUE"""),"SOC-SC1")</f>
        <v>SOC-SC1</v>
      </c>
      <c r="D4670" s="234">
        <f>IFERROR(__xludf.DUMMYFUNCTION("""COMPUTED_VALUE"""),100.0)</f>
        <v>100</v>
      </c>
      <c r="E4670" s="237" t="str">
        <f>IFERROR(__xludf.DUMMYFUNCTION("""COMPUTED_VALUE"""),"LT1Q1D01WOHA1")</f>
        <v>LT1Q1D01WOHA1</v>
      </c>
      <c r="F4670" s="238" t="str">
        <f>IFERROR(__xludf.DUMMYFUNCTION("""COMPUTED_VALUE"""),"SXE7E67,SXN1H17")</f>
        <v>SXE7E67,SXN1H17</v>
      </c>
      <c r="G4670" s="238">
        <f>IFERROR(__xludf.DUMMYFUNCTION("""COMPUTED_VALUE"""),46035.91666666667)</f>
        <v>46035.91667</v>
      </c>
      <c r="H4670" s="238">
        <f>IFERROR(__xludf.DUMMYFUNCTION("""COMPUTED_VALUE"""),46036.29166666667)</f>
        <v>46036.29167</v>
      </c>
      <c r="I4670" s="237" t="str">
        <f t="shared" si="1"/>
        <v>Fora</v>
      </c>
      <c r="J4670" s="239">
        <v>539.0000000072177</v>
      </c>
    </row>
    <row r="4671">
      <c r="A4671" s="234" t="s">
        <v>823</v>
      </c>
      <c r="B4671" s="234" t="str">
        <f>IFERROR(__xludf.DUMMYFUNCTION("""COMPUTED_VALUE"""),"SoC_BA_Simoes Filho")</f>
        <v>SoC_BA_Simoes Filho</v>
      </c>
      <c r="C4671" s="234" t="str">
        <f>IFERROR(__xludf.DUMMYFUNCTION("""COMPUTED_VALUE"""),"SOC-BA2")</f>
        <v>SOC-BA2</v>
      </c>
      <c r="D4671" s="234">
        <f>IFERROR(__xludf.DUMMYFUNCTION("""COMPUTED_VALUE"""),88.0)</f>
        <v>88</v>
      </c>
      <c r="E4671" s="237" t="str">
        <f>IFERROR(__xludf.DUMMYFUNCTION("""COMPUTED_VALUE"""),"LT0Q1D01WEUE1")</f>
        <v>LT0Q1D01WEUE1</v>
      </c>
      <c r="F4671" s="238" t="str">
        <f>IFERROR(__xludf.DUMMYFUNCTION("""COMPUTED_VALUE"""),"QXM0F88,HMM4E77")</f>
        <v>QXM0F88,HMM4E77</v>
      </c>
      <c r="G4671" s="238">
        <f>IFERROR(__xludf.DUMMYFUNCTION("""COMPUTED_VALUE"""),46035.91736111111)</f>
        <v>46035.91736</v>
      </c>
      <c r="H4671" s="238">
        <f>IFERROR(__xludf.DUMMYFUNCTION("""COMPUTED_VALUE"""),46036.29166666667)</f>
        <v>46036.29167</v>
      </c>
      <c r="I4671" s="237" t="str">
        <f t="shared" si="1"/>
        <v>Fora</v>
      </c>
      <c r="J4671" s="239">
        <v>539.0000000072177</v>
      </c>
    </row>
    <row r="4672">
      <c r="A4672" s="234" t="s">
        <v>826</v>
      </c>
      <c r="B4672" s="234" t="str">
        <f>IFERROR(__xludf.DUMMYFUNCTION("""COMPUTED_VALUE"""),"SoC_GO_Goiânia_02")</f>
        <v>SoC_GO_Goiânia_02</v>
      </c>
      <c r="C4672" s="234" t="str">
        <f>IFERROR(__xludf.DUMMYFUNCTION("""COMPUTED_VALUE"""),"SOC-GO2")</f>
        <v>SOC-GO2</v>
      </c>
      <c r="D4672" s="234">
        <f>IFERROR(__xludf.DUMMYFUNCTION("""COMPUTED_VALUE"""),87.0)</f>
        <v>87</v>
      </c>
      <c r="E4672" s="237" t="str">
        <f>IFERROR(__xludf.DUMMYFUNCTION("""COMPUTED_VALUE"""),"LT0Q1D01WF6B1")</f>
        <v>LT0Q1D01WF6B1</v>
      </c>
      <c r="F4672" s="238" t="str">
        <f>IFERROR(__xludf.DUMMYFUNCTION("""COMPUTED_VALUE"""),"DPC3D82,MFJ7E04")</f>
        <v>DPC3D82,MFJ7E04</v>
      </c>
      <c r="G4672" s="238">
        <f>IFERROR(__xludf.DUMMYFUNCTION("""COMPUTED_VALUE"""),46035.91736111111)</f>
        <v>46035.91736</v>
      </c>
      <c r="H4672" s="238">
        <f>IFERROR(__xludf.DUMMYFUNCTION("""COMPUTED_VALUE"""),46036.29166666667)</f>
        <v>46036.29167</v>
      </c>
      <c r="I4672" s="237" t="str">
        <f t="shared" si="1"/>
        <v>Fora</v>
      </c>
      <c r="J4672" s="239">
        <v>539.0000000072177</v>
      </c>
    </row>
    <row r="4673">
      <c r="A4673" s="234" t="s">
        <v>5703</v>
      </c>
      <c r="B4673" s="234" t="str">
        <f>IFERROR(__xludf.DUMMYFUNCTION("""COMPUTED_VALUE"""),"SoC_GO_Goiânia_02")</f>
        <v>SoC_GO_Goiânia_02</v>
      </c>
      <c r="C4673" s="234" t="str">
        <f>IFERROR(__xludf.DUMMYFUNCTION("""COMPUTED_VALUE"""),"SOC-GO2")</f>
        <v>SOC-GO2</v>
      </c>
      <c r="D4673" s="234" t="str">
        <f>IFERROR(__xludf.DUMMYFUNCTION("""COMPUTED_VALUE"""),"45/114")</f>
        <v>45/114</v>
      </c>
      <c r="E4673" s="237" t="str">
        <f>IFERROR(__xludf.DUMMYFUNCTION("""COMPUTED_VALUE"""),"LT0Q1D01WF6D2")</f>
        <v>LT0Q1D01WF6D2</v>
      </c>
      <c r="F4673" s="238" t="str">
        <f>IFERROR(__xludf.DUMMYFUNCTION("""COMPUTED_VALUE"""),"SXK5J24,SXK6B14")</f>
        <v>SXK5J24,SXK6B14</v>
      </c>
      <c r="G4673" s="238">
        <f>IFERROR(__xludf.DUMMYFUNCTION("""COMPUTED_VALUE"""),46035.91736111111)</f>
        <v>46035.91736</v>
      </c>
      <c r="H4673" s="238">
        <f>IFERROR(__xludf.DUMMYFUNCTION("""COMPUTED_VALUE"""),46036.29166666667)</f>
        <v>46036.29167</v>
      </c>
      <c r="I4673" s="237" t="str">
        <f t="shared" si="1"/>
        <v>Fora</v>
      </c>
      <c r="J4673" s="239">
        <v>539.0000000072177</v>
      </c>
    </row>
    <row r="4674">
      <c r="A4674" s="234" t="s">
        <v>5704</v>
      </c>
      <c r="B4674" s="234" t="str">
        <f>IFERROR(__xludf.DUMMYFUNCTION("""COMPUTED_VALUE"""),"SoC_MG_Betim")</f>
        <v>SoC_MG_Betim</v>
      </c>
      <c r="C4674" s="234" t="str">
        <f>IFERROR(__xludf.DUMMYFUNCTION("""COMPUTED_VALUE"""),"SOC-MG2")</f>
        <v>SOC-MG2</v>
      </c>
      <c r="D4674" s="234">
        <f>IFERROR(__xludf.DUMMYFUNCTION("""COMPUTED_VALUE"""),91.0)</f>
        <v>91</v>
      </c>
      <c r="E4674" s="237" t="str">
        <f>IFERROR(__xludf.DUMMYFUNCTION("""COMPUTED_VALUE"""),"LT0Q1D01W93G1")</f>
        <v>LT0Q1D01W93G1</v>
      </c>
      <c r="F4674" s="238" t="str">
        <f>IFERROR(__xludf.DUMMYFUNCTION("""COMPUTED_VALUE"""),"ECZ9A86,TLK2F94")</f>
        <v>ECZ9A86,TLK2F94</v>
      </c>
      <c r="G4674" s="238">
        <f>IFERROR(__xludf.DUMMYFUNCTION("""COMPUTED_VALUE"""),46035.91736111111)</f>
        <v>46035.91736</v>
      </c>
      <c r="H4674" s="238">
        <f>IFERROR(__xludf.DUMMYFUNCTION("""COMPUTED_VALUE"""),46036.29166666667)</f>
        <v>46036.29167</v>
      </c>
      <c r="I4674" s="237" t="str">
        <f t="shared" si="1"/>
        <v>Fora</v>
      </c>
      <c r="J4674" s="239">
        <v>539.0000000072177</v>
      </c>
    </row>
    <row r="4675">
      <c r="A4675" s="234" t="s">
        <v>5705</v>
      </c>
      <c r="B4675" s="234" t="str">
        <f>IFERROR(__xludf.DUMMYFUNCTION("""COMPUTED_VALUE"""),"SoC_MG_Betim")</f>
        <v>SoC_MG_Betim</v>
      </c>
      <c r="C4675" s="234" t="str">
        <f>IFERROR(__xludf.DUMMYFUNCTION("""COMPUTED_VALUE"""),"SOC-MG2")</f>
        <v>SOC-MG2</v>
      </c>
      <c r="D4675" s="234" t="str">
        <f>IFERROR(__xludf.DUMMYFUNCTION("""COMPUTED_VALUE"""),"44/112")</f>
        <v>44/112</v>
      </c>
      <c r="E4675" s="237" t="str">
        <f>IFERROR(__xludf.DUMMYFUNCTION("""COMPUTED_VALUE"""),"LT0Q1D01W93I2")</f>
        <v>LT0Q1D01W93I2</v>
      </c>
      <c r="F4675" s="238" t="str">
        <f>IFERROR(__xludf.DUMMYFUNCTION("""COMPUTED_VALUE"""),"FUP8I17,FXE2B95")</f>
        <v>FUP8I17,FXE2B95</v>
      </c>
      <c r="G4675" s="238">
        <f>IFERROR(__xludf.DUMMYFUNCTION("""COMPUTED_VALUE"""),46035.91736111111)</f>
        <v>46035.91736</v>
      </c>
      <c r="H4675" s="238">
        <f>IFERROR(__xludf.DUMMYFUNCTION("""COMPUTED_VALUE"""),46036.29166666667)</f>
        <v>46036.29167</v>
      </c>
      <c r="I4675" s="237" t="str">
        <f t="shared" si="1"/>
        <v>Fora</v>
      </c>
      <c r="J4675" s="239">
        <v>539.0000000072177</v>
      </c>
    </row>
    <row r="4676">
      <c r="A4676" s="234" t="s">
        <v>5706</v>
      </c>
      <c r="B4676" s="234" t="str">
        <f>IFERROR(__xludf.DUMMYFUNCTION("""COMPUTED_VALUE"""),"SoC_MG_Betim")</f>
        <v>SoC_MG_Betim</v>
      </c>
      <c r="C4676" s="234" t="str">
        <f>IFERROR(__xludf.DUMMYFUNCTION("""COMPUTED_VALUE"""),"SOC-MG2")</f>
        <v>SOC-MG2</v>
      </c>
      <c r="D4676" s="234">
        <f>IFERROR(__xludf.DUMMYFUNCTION("""COMPUTED_VALUE"""),91.0)</f>
        <v>91</v>
      </c>
      <c r="E4676" s="237" t="str">
        <f>IFERROR(__xludf.DUMMYFUNCTION("""COMPUTED_VALUE"""),"LT0Q1D01W93M4")</f>
        <v>LT0Q1D01W93M4</v>
      </c>
      <c r="F4676" s="238" t="str">
        <f>IFERROR(__xludf.DUMMYFUNCTION("""COMPUTED_VALUE"""),"TJU6D89,TAX1I65")</f>
        <v>TJU6D89,TAX1I65</v>
      </c>
      <c r="G4676" s="238">
        <f>IFERROR(__xludf.DUMMYFUNCTION("""COMPUTED_VALUE"""),46035.91736111111)</f>
        <v>46035.91736</v>
      </c>
      <c r="H4676" s="238">
        <f>IFERROR(__xludf.DUMMYFUNCTION("""COMPUTED_VALUE"""),46036.29166666667)</f>
        <v>46036.29167</v>
      </c>
      <c r="I4676" s="237" t="str">
        <f t="shared" si="1"/>
        <v>Fora</v>
      </c>
      <c r="J4676" s="239">
        <v>539.0000000072177</v>
      </c>
    </row>
    <row r="4677">
      <c r="A4677" s="234" t="s">
        <v>5707</v>
      </c>
      <c r="B4677" s="234" t="str">
        <f>IFERROR(__xludf.DUMMYFUNCTION("""COMPUTED_VALUE"""),"SoC_PE_Jaboatão dos Guararapes")</f>
        <v>SoC_PE_Jaboatão dos Guararapes</v>
      </c>
      <c r="C4677" s="234" t="str">
        <f>IFERROR(__xludf.DUMMYFUNCTION("""COMPUTED_VALUE"""),"SOC-PE2")</f>
        <v>SOC-PE2</v>
      </c>
      <c r="D4677" s="234">
        <f>IFERROR(__xludf.DUMMYFUNCTION("""COMPUTED_VALUE"""),98.0)</f>
        <v>98</v>
      </c>
      <c r="E4677" s="237" t="str">
        <f>IFERROR(__xludf.DUMMYFUNCTION("""COMPUTED_VALUE"""),"LT0Q1D01WEQW1")</f>
        <v>LT0Q1D01WEQW1</v>
      </c>
      <c r="F4677" s="238" t="str">
        <f>IFERROR(__xludf.DUMMYFUNCTION("""COMPUTED_VALUE"""),"CNR7743,PZK6I60")</f>
        <v>CNR7743,PZK6I60</v>
      </c>
      <c r="G4677" s="238">
        <f>IFERROR(__xludf.DUMMYFUNCTION("""COMPUTED_VALUE"""),46035.91736111111)</f>
        <v>46035.91736</v>
      </c>
      <c r="H4677" s="238">
        <f>IFERROR(__xludf.DUMMYFUNCTION("""COMPUTED_VALUE"""),46036.29166666667)</f>
        <v>46036.29167</v>
      </c>
      <c r="I4677" s="237" t="str">
        <f t="shared" si="1"/>
        <v>Fora</v>
      </c>
      <c r="J4677" s="239">
        <v>539.0000000072177</v>
      </c>
    </row>
    <row r="4678">
      <c r="A4678" s="234" t="s">
        <v>861</v>
      </c>
      <c r="B4678" s="234" t="str">
        <f>IFERROR(__xludf.DUMMYFUNCTION("""COMPUTED_VALUE"""),"SoC_PE_Jaboatão dos Guararapes")</f>
        <v>SoC_PE_Jaboatão dos Guararapes</v>
      </c>
      <c r="C4678" s="234" t="str">
        <f>IFERROR(__xludf.DUMMYFUNCTION("""COMPUTED_VALUE"""),"SOC-PE2")</f>
        <v>SOC-PE2</v>
      </c>
      <c r="D4678" s="234">
        <f>IFERROR(__xludf.DUMMYFUNCTION("""COMPUTED_VALUE"""),98.0)</f>
        <v>98</v>
      </c>
      <c r="E4678" s="237" t="str">
        <f>IFERROR(__xludf.DUMMYFUNCTION("""COMPUTED_VALUE"""),"LT0Q1D01WEQY2")</f>
        <v>LT0Q1D01WEQY2</v>
      </c>
      <c r="F4678" s="238" t="str">
        <f>IFERROR(__xludf.DUMMYFUNCTION("""COMPUTED_VALUE"""),"EFU2E27,EWU4A00")</f>
        <v>EFU2E27,EWU4A00</v>
      </c>
      <c r="G4678" s="238">
        <f>IFERROR(__xludf.DUMMYFUNCTION("""COMPUTED_VALUE"""),46035.91736111111)</f>
        <v>46035.91736</v>
      </c>
      <c r="H4678" s="238">
        <f>IFERROR(__xludf.DUMMYFUNCTION("""COMPUTED_VALUE"""),46036.29166666667)</f>
        <v>46036.29167</v>
      </c>
      <c r="I4678" s="237" t="str">
        <f t="shared" si="1"/>
        <v>Fora</v>
      </c>
      <c r="J4678" s="239">
        <v>539.0000000072177</v>
      </c>
    </row>
    <row r="4679">
      <c r="A4679" s="234" t="s">
        <v>5708</v>
      </c>
      <c r="B4679" s="234" t="str">
        <f>IFERROR(__xludf.DUMMYFUNCTION("""COMPUTED_VALUE"""),"SoC_RJ_Duque de Caxias")</f>
        <v>SoC_RJ_Duque de Caxias</v>
      </c>
      <c r="C4679" s="234" t="str">
        <f>IFERROR(__xludf.DUMMYFUNCTION("""COMPUTED_VALUE"""),"SOC-RJ2")</f>
        <v>SOC-RJ2</v>
      </c>
      <c r="D4679" s="234">
        <f>IFERROR(__xludf.DUMMYFUNCTION("""COMPUTED_VALUE"""),96.0)</f>
        <v>96</v>
      </c>
      <c r="E4679" s="237" t="str">
        <f>IFERROR(__xludf.DUMMYFUNCTION("""COMPUTED_VALUE"""),"LT0Q1D01WBFG1")</f>
        <v>LT0Q1D01WBFG1</v>
      </c>
      <c r="F4679" s="238" t="str">
        <f>IFERROR(__xludf.DUMMYFUNCTION("""COMPUTED_VALUE"""),"KWI9H23,BWV6I82")</f>
        <v>KWI9H23,BWV6I82</v>
      </c>
      <c r="G4679" s="238">
        <f>IFERROR(__xludf.DUMMYFUNCTION("""COMPUTED_VALUE"""),46035.91736111111)</f>
        <v>46035.91736</v>
      </c>
      <c r="H4679" s="238">
        <f>IFERROR(__xludf.DUMMYFUNCTION("""COMPUTED_VALUE"""),46036.29166666667)</f>
        <v>46036.29167</v>
      </c>
      <c r="I4679" s="237" t="str">
        <f t="shared" si="1"/>
        <v>Fora</v>
      </c>
      <c r="J4679" s="239">
        <v>539.0000000072177</v>
      </c>
    </row>
    <row r="4680">
      <c r="A4680" s="234" t="s">
        <v>822</v>
      </c>
      <c r="B4680" s="234" t="str">
        <f>IFERROR(__xludf.DUMMYFUNCTION("""COMPUTED_VALUE"""),"SoC_RS_Gravataí_02")</f>
        <v>SoC_RS_Gravataí_02</v>
      </c>
      <c r="C4680" s="234" t="str">
        <f>IFERROR(__xludf.DUMMYFUNCTION("""COMPUTED_VALUE"""),"SOC-RS2")</f>
        <v>SOC-RS2</v>
      </c>
      <c r="D4680" s="234">
        <f>IFERROR(__xludf.DUMMYFUNCTION("""COMPUTED_VALUE"""),102.0)</f>
        <v>102</v>
      </c>
      <c r="E4680" s="237" t="str">
        <f>IFERROR(__xludf.DUMMYFUNCTION("""COMPUTED_VALUE"""),"LT0Q1D01WF8G1")</f>
        <v>LT0Q1D01WF8G1</v>
      </c>
      <c r="F4680" s="238" t="str">
        <f>IFERROR(__xludf.DUMMYFUNCTION("""COMPUTED_VALUE"""),"GGH3F77,FVW5H21")</f>
        <v>GGH3F77,FVW5H21</v>
      </c>
      <c r="G4680" s="238">
        <f>IFERROR(__xludf.DUMMYFUNCTION("""COMPUTED_VALUE"""),46035.91736111111)</f>
        <v>46035.91736</v>
      </c>
      <c r="H4680" s="238">
        <f>IFERROR(__xludf.DUMMYFUNCTION("""COMPUTED_VALUE"""),46036.29166666667)</f>
        <v>46036.29167</v>
      </c>
      <c r="I4680" s="237" t="str">
        <f t="shared" si="1"/>
        <v>Fora</v>
      </c>
      <c r="J4680" s="239">
        <v>538.0000000144355</v>
      </c>
    </row>
    <row r="4681">
      <c r="A4681" s="234" t="s">
        <v>5709</v>
      </c>
      <c r="B4681" s="234" t="str">
        <f>IFERROR(__xludf.DUMMYFUNCTION("""COMPUTED_VALUE"""),"SoC_SP_Cravinhos")</f>
        <v>SoC_SP_Cravinhos</v>
      </c>
      <c r="C4681" s="234" t="str">
        <f>IFERROR(__xludf.DUMMYFUNCTION("""COMPUTED_VALUE"""),"SOC-SP5")</f>
        <v>SOC-SP5</v>
      </c>
      <c r="D4681" s="234">
        <f>IFERROR(__xludf.DUMMYFUNCTION("""COMPUTED_VALUE"""),94.0)</f>
        <v>94</v>
      </c>
      <c r="E4681" s="237" t="str">
        <f>IFERROR(__xludf.DUMMYFUNCTION("""COMPUTED_VALUE"""),"LT0Q1D01W9551")</f>
        <v>LT0Q1D01W9551</v>
      </c>
      <c r="F4681" s="238" t="str">
        <f>IFERROR(__xludf.DUMMYFUNCTION("""COMPUTED_VALUE"""),"MFG0E02,DJC9C27")</f>
        <v>MFG0E02,DJC9C27</v>
      </c>
      <c r="G4681" s="238">
        <f>IFERROR(__xludf.DUMMYFUNCTION("""COMPUTED_VALUE"""),46035.91805555555)</f>
        <v>46035.91806</v>
      </c>
      <c r="H4681" s="238">
        <f>IFERROR(__xludf.DUMMYFUNCTION("""COMPUTED_VALUE"""),46036.29166666667)</f>
        <v>46036.29167</v>
      </c>
      <c r="I4681" s="237" t="str">
        <f t="shared" si="1"/>
        <v>Fora</v>
      </c>
      <c r="J4681" s="239">
        <v>538.0000000144355</v>
      </c>
    </row>
    <row r="4682">
      <c r="A4682" s="234" t="s">
        <v>5710</v>
      </c>
      <c r="B4682" s="234" t="str">
        <f>IFERROR(__xludf.DUMMYFUNCTION("""COMPUTED_VALUE"""),"SoC_SP_Cravinhos")</f>
        <v>SoC_SP_Cravinhos</v>
      </c>
      <c r="C4682" s="234" t="str">
        <f>IFERROR(__xludf.DUMMYFUNCTION("""COMPUTED_VALUE"""),"SOC-SP5")</f>
        <v>SOC-SP5</v>
      </c>
      <c r="D4682" s="234">
        <f>IFERROR(__xludf.DUMMYFUNCTION("""COMPUTED_VALUE"""),94.0)</f>
        <v>94</v>
      </c>
      <c r="E4682" s="237" t="str">
        <f>IFERROR(__xludf.DUMMYFUNCTION("""COMPUTED_VALUE"""),"LT0Q1D01W9572")</f>
        <v>LT0Q1D01W9572</v>
      </c>
      <c r="F4682" s="238" t="str">
        <f>IFERROR(__xludf.DUMMYFUNCTION("""COMPUTED_VALUE"""),"MKG9D89,EQM4D52")</f>
        <v>MKG9D89,EQM4D52</v>
      </c>
      <c r="G4682" s="238">
        <f>IFERROR(__xludf.DUMMYFUNCTION("""COMPUTED_VALUE"""),46035.91805555555)</f>
        <v>46035.91806</v>
      </c>
      <c r="H4682" s="238">
        <f>IFERROR(__xludf.DUMMYFUNCTION("""COMPUTED_VALUE"""),46036.29166666667)</f>
        <v>46036.29167</v>
      </c>
      <c r="I4682" s="237" t="str">
        <f t="shared" si="1"/>
        <v>Fora</v>
      </c>
      <c r="J4682" s="239">
        <v>538.0000000144355</v>
      </c>
    </row>
    <row r="4683">
      <c r="A4683" s="234" t="s">
        <v>5711</v>
      </c>
      <c r="B4683" s="234" t="str">
        <f>IFERROR(__xludf.DUMMYFUNCTION("""COMPUTED_VALUE"""),"SoC_SP_Cravinhos")</f>
        <v>SoC_SP_Cravinhos</v>
      </c>
      <c r="C4683" s="234" t="str">
        <f>IFERROR(__xludf.DUMMYFUNCTION("""COMPUTED_VALUE"""),"SOC-SP5")</f>
        <v>SOC-SP5</v>
      </c>
      <c r="D4683" s="234">
        <f>IFERROR(__xludf.DUMMYFUNCTION("""COMPUTED_VALUE"""),95.0)</f>
        <v>95</v>
      </c>
      <c r="E4683" s="237" t="str">
        <f>IFERROR(__xludf.DUMMYFUNCTION("""COMPUTED_VALUE"""),"LT0Q1D01W9593")</f>
        <v>LT0Q1D01W9593</v>
      </c>
      <c r="F4683" s="238" t="str">
        <f>IFERROR(__xludf.DUMMYFUNCTION("""COMPUTED_VALUE"""),"EQN2H35,ERS9J88")</f>
        <v>EQN2H35,ERS9J88</v>
      </c>
      <c r="G4683" s="238">
        <f>IFERROR(__xludf.DUMMYFUNCTION("""COMPUTED_VALUE"""),46035.91805555555)</f>
        <v>46035.91806</v>
      </c>
      <c r="H4683" s="238">
        <f>IFERROR(__xludf.DUMMYFUNCTION("""COMPUTED_VALUE"""),46036.29166666667)</f>
        <v>46036.29167</v>
      </c>
      <c r="I4683" s="237" t="str">
        <f t="shared" si="1"/>
        <v>Fora</v>
      </c>
      <c r="J4683" s="239">
        <v>537.0000000111759</v>
      </c>
    </row>
    <row r="4684">
      <c r="A4684" s="234" t="s">
        <v>5712</v>
      </c>
      <c r="B4684" s="234" t="str">
        <f>IFERROR(__xludf.DUMMYFUNCTION("""COMPUTED_VALUE"""),"SoC_RJ_Duque de Caxias")</f>
        <v>SoC_RJ_Duque de Caxias</v>
      </c>
      <c r="C4684" s="234" t="str">
        <f>IFERROR(__xludf.DUMMYFUNCTION("""COMPUTED_VALUE"""),"SOC-RJ2")</f>
        <v>SOC-RJ2</v>
      </c>
      <c r="D4684" s="234">
        <f>IFERROR(__xludf.DUMMYFUNCTION("""COMPUTED_VALUE"""),87.0)</f>
        <v>87</v>
      </c>
      <c r="E4684" s="237" t="str">
        <f>IFERROR(__xludf.DUMMYFUNCTION("""COMPUTED_VALUE"""),"LT0Q1D01WIRU1")</f>
        <v>LT0Q1D01WIRU1</v>
      </c>
      <c r="F4684" s="238" t="str">
        <f>IFERROR(__xludf.DUMMYFUNCTION("""COMPUTED_VALUE"""),"IYX1J37,ODH9G75")</f>
        <v>IYX1J37,ODH9G75</v>
      </c>
      <c r="G4684" s="238">
        <f>IFERROR(__xludf.DUMMYFUNCTION("""COMPUTED_VALUE"""),46035.91875)</f>
        <v>46035.91875</v>
      </c>
      <c r="H4684" s="238">
        <f>IFERROR(__xludf.DUMMYFUNCTION("""COMPUTED_VALUE"""),46036.29166666667)</f>
        <v>46036.29167</v>
      </c>
      <c r="I4684" s="237" t="str">
        <f t="shared" si="1"/>
        <v>Fora</v>
      </c>
      <c r="J4684" s="239">
        <v>120.00000001396984</v>
      </c>
    </row>
    <row r="4685">
      <c r="A4685" s="234" t="s">
        <v>862</v>
      </c>
      <c r="B4685" s="234" t="str">
        <f>IFERROR(__xludf.DUMMYFUNCTION("""COMPUTED_VALUE"""),"LM Hub_SP_Barueri_01")</f>
        <v>LM Hub_SP_Barueri_01</v>
      </c>
      <c r="C4685" s="234" t="str">
        <f>IFERROR(__xludf.DUMMYFUNCTION("""COMPUTED_VALUE"""),"HUB-LSP-81")</f>
        <v>HUB-LSP-81</v>
      </c>
      <c r="D4685" s="234">
        <f>IFERROR(__xludf.DUMMYFUNCTION("""COMPUTED_VALUE"""),25.0)</f>
        <v>25</v>
      </c>
      <c r="E4685" s="237" t="str">
        <f>IFERROR(__xludf.DUMMYFUNCTION("""COMPUTED_VALUE"""),"LT0Q1E01WEHB1")</f>
        <v>LT0Q1E01WEHB1</v>
      </c>
      <c r="F4685" s="238" t="str">
        <f>IFERROR(__xludf.DUMMYFUNCTION("""COMPUTED_VALUE"""),"CYT4D62,TLF5G42")</f>
        <v>CYT4D62,TLF5G42</v>
      </c>
      <c r="G4685" s="238">
        <f>IFERROR(__xludf.DUMMYFUNCTION("""COMPUTED_VALUE"""),46036.20833333333)</f>
        <v>46036.20833</v>
      </c>
      <c r="H4685" s="238">
        <f>IFERROR(__xludf.DUMMYFUNCTION("""COMPUTED_VALUE"""),46036.29166666667)</f>
        <v>46036.29167</v>
      </c>
      <c r="I4685" s="237" t="str">
        <f t="shared" si="1"/>
        <v>Fora</v>
      </c>
      <c r="J4685" s="239">
        <v>120.00000001396984</v>
      </c>
    </row>
    <row r="4686">
      <c r="A4686" s="234" t="s">
        <v>863</v>
      </c>
      <c r="B4686" s="234" t="str">
        <f>IFERROR(__xludf.DUMMYFUNCTION("""COMPUTED_VALUE"""),"LM Hub_SP_Jundiaí")</f>
        <v>LM Hub_SP_Jundiaí</v>
      </c>
      <c r="C4686" s="234" t="str">
        <f>IFERROR(__xludf.DUMMYFUNCTION("""COMPUTED_VALUE"""),"HUB-LSP-100")</f>
        <v>HUB-LSP-100</v>
      </c>
      <c r="D4686" s="234"/>
      <c r="E4686" s="237" t="str">
        <f>IFERROR(__xludf.DUMMYFUNCTION("""COMPUTED_VALUE"""),"LT0Q1E01WFXN1")</f>
        <v>LT0Q1E01WFXN1</v>
      </c>
      <c r="F4686" s="238" t="str">
        <f>IFERROR(__xludf.DUMMYFUNCTION("""COMPUTED_VALUE"""),"ECU7G16")</f>
        <v>ECU7G16</v>
      </c>
      <c r="G4686" s="238">
        <f>IFERROR(__xludf.DUMMYFUNCTION("""COMPUTED_VALUE"""),46036.20833333333)</f>
        <v>46036.20833</v>
      </c>
      <c r="H4686" s="238">
        <f>IFERROR(__xludf.DUMMYFUNCTION("""COMPUTED_VALUE"""),46036.29166666667)</f>
        <v>46036.29167</v>
      </c>
      <c r="I4686" s="237" t="str">
        <f t="shared" si="1"/>
        <v>Fora</v>
      </c>
      <c r="J4686" s="239">
        <v>120.00000001396984</v>
      </c>
    </row>
    <row r="4687">
      <c r="A4687" s="234" t="s">
        <v>864</v>
      </c>
      <c r="B4687" s="234" t="str">
        <f>IFERROR(__xludf.DUMMYFUNCTION("""COMPUTED_VALUE"""),"LM Hub_SP_Piracicaba")</f>
        <v>LM Hub_SP_Piracicaba</v>
      </c>
      <c r="C4687" s="234" t="str">
        <f>IFERROR(__xludf.DUMMYFUNCTION("""COMPUTED_VALUE"""),"HUB-LSP-62")</f>
        <v>HUB-LSP-62</v>
      </c>
      <c r="D4687" s="234"/>
      <c r="E4687" s="237" t="str">
        <f>IFERROR(__xludf.DUMMYFUNCTION("""COMPUTED_VALUE"""),"LT0Q1E01W9X21")</f>
        <v>LT0Q1E01W9X21</v>
      </c>
      <c r="F4687" s="238" t="str">
        <f>IFERROR(__xludf.DUMMYFUNCTION("""COMPUTED_VALUE"""),"EOF4D32")</f>
        <v>EOF4D32</v>
      </c>
      <c r="G4687" s="238">
        <f>IFERROR(__xludf.DUMMYFUNCTION("""COMPUTED_VALUE"""),46036.20833333333)</f>
        <v>46036.20833</v>
      </c>
      <c r="H4687" s="238">
        <f>IFERROR(__xludf.DUMMYFUNCTION("""COMPUTED_VALUE"""),46036.29166666667)</f>
        <v>46036.29167</v>
      </c>
      <c r="I4687" s="237" t="str">
        <f t="shared" si="1"/>
        <v>Fora</v>
      </c>
      <c r="J4687" s="239">
        <v>120.00000001396984</v>
      </c>
    </row>
    <row r="4688">
      <c r="A4688" s="234" t="s">
        <v>865</v>
      </c>
      <c r="B4688" s="234" t="str">
        <f>IFERROR(__xludf.DUMMYFUNCTION("""COMPUTED_VALUE"""),"LM Hub_SP_Santos_PraiaGrande_02")</f>
        <v>LM Hub_SP_Santos_PraiaGrande_02</v>
      </c>
      <c r="C4688" s="234" t="str">
        <f>IFERROR(__xludf.DUMMYFUNCTION("""COMPUTED_VALUE"""),"HUB-LSP-63")</f>
        <v>HUB-LSP-63</v>
      </c>
      <c r="D4688" s="234">
        <f>IFERROR(__xludf.DUMMYFUNCTION("""COMPUTED_VALUE"""),14.0)</f>
        <v>14</v>
      </c>
      <c r="E4688" s="237" t="str">
        <f>IFERROR(__xludf.DUMMYFUNCTION("""COMPUTED_VALUE"""),"LT0Q1E01WADS1")</f>
        <v>LT0Q1E01WADS1</v>
      </c>
      <c r="F4688" s="238" t="str">
        <f>IFERROR(__xludf.DUMMYFUNCTION("""COMPUTED_VALUE"""),"GFT2A57,FIL6166")</f>
        <v>GFT2A57,FIL6166</v>
      </c>
      <c r="G4688" s="238">
        <f>IFERROR(__xludf.DUMMYFUNCTION("""COMPUTED_VALUE"""),46036.20833333333)</f>
        <v>46036.20833</v>
      </c>
      <c r="H4688" s="238">
        <f>IFERROR(__xludf.DUMMYFUNCTION("""COMPUTED_VALUE"""),46036.29166666667)</f>
        <v>46036.29167</v>
      </c>
      <c r="I4688" s="237" t="str">
        <f t="shared" si="1"/>
        <v>Fora</v>
      </c>
      <c r="J4688" s="239">
        <v>119.00000001071021</v>
      </c>
    </row>
    <row r="4689">
      <c r="A4689" s="234" t="s">
        <v>866</v>
      </c>
      <c r="B4689" s="234" t="str">
        <f>IFERROR(__xludf.DUMMYFUNCTION("""COMPUTED_VALUE"""),"LM Hub_SP_Jurubatuba")</f>
        <v>LM Hub_SP_Jurubatuba</v>
      </c>
      <c r="C4689" s="234" t="str">
        <f>IFERROR(__xludf.DUMMYFUNCTION("""COMPUTED_VALUE"""),"HUB-LSP-16")</f>
        <v>HUB-LSP-16</v>
      </c>
      <c r="D4689" s="234"/>
      <c r="E4689" s="237" t="str">
        <f>IFERROR(__xludf.DUMMYFUNCTION("""COMPUTED_VALUE"""),"LT0Q1E01WACL1")</f>
        <v>LT0Q1E01WACL1</v>
      </c>
      <c r="F4689" s="238" t="str">
        <f>IFERROR(__xludf.DUMMYFUNCTION("""COMPUTED_VALUE"""),"EMN6E91")</f>
        <v>EMN6E91</v>
      </c>
      <c r="G4689" s="238">
        <f>IFERROR(__xludf.DUMMYFUNCTION("""COMPUTED_VALUE"""),46036.209027777775)</f>
        <v>46036.20903</v>
      </c>
      <c r="H4689" s="238">
        <f>IFERROR(__xludf.DUMMYFUNCTION("""COMPUTED_VALUE"""),46036.29166666667)</f>
        <v>46036.29167</v>
      </c>
      <c r="I4689" s="237" t="str">
        <f t="shared" si="1"/>
        <v>Fora</v>
      </c>
      <c r="J4689" s="239">
        <v>118.00000000745058</v>
      </c>
    </row>
    <row r="4690">
      <c r="A4690" s="234" t="s">
        <v>867</v>
      </c>
      <c r="B4690" s="234" t="str">
        <f>IFERROR(__xludf.DUMMYFUNCTION("""COMPUTED_VALUE"""),"LM Hub_SP_Jurubatuba")</f>
        <v>LM Hub_SP_Jurubatuba</v>
      </c>
      <c r="C4690" s="234" t="str">
        <f>IFERROR(__xludf.DUMMYFUNCTION("""COMPUTED_VALUE"""),"HUB-LSP-16")</f>
        <v>HUB-LSP-16</v>
      </c>
      <c r="D4690" s="234">
        <f>IFERROR(__xludf.DUMMYFUNCTION("""COMPUTED_VALUE"""),35.0)</f>
        <v>35</v>
      </c>
      <c r="E4690" s="237" t="str">
        <f>IFERROR(__xludf.DUMMYFUNCTION("""COMPUTED_VALUE"""),"LT0Q1E01WACH1")</f>
        <v>LT0Q1E01WACH1</v>
      </c>
      <c r="F4690" s="238" t="str">
        <f>IFERROR(__xludf.DUMMYFUNCTION("""COMPUTED_VALUE"""),"MQV9D62,BVT6J01")</f>
        <v>MQV9D62,BVT6J01</v>
      </c>
      <c r="G4690" s="238">
        <f>IFERROR(__xludf.DUMMYFUNCTION("""COMPUTED_VALUE"""),46036.20972222222)</f>
        <v>46036.20972</v>
      </c>
      <c r="H4690" s="238">
        <f>IFERROR(__xludf.DUMMYFUNCTION("""COMPUTED_VALUE"""),46036.29166666667)</f>
        <v>46036.29167</v>
      </c>
      <c r="I4690" s="237" t="str">
        <f t="shared" si="1"/>
        <v>Fora</v>
      </c>
      <c r="J4690" s="239">
        <v>119.99999999301508</v>
      </c>
    </row>
    <row r="4691">
      <c r="A4691" s="234" t="s">
        <v>868</v>
      </c>
      <c r="B4691" s="234" t="str">
        <f>IFERROR(__xludf.DUMMYFUNCTION("""COMPUTED_VALUE"""),"LM Hub_SP_Guarujá")</f>
        <v>LM Hub_SP_Guarujá</v>
      </c>
      <c r="C4691" s="234" t="str">
        <f>IFERROR(__xludf.DUMMYFUNCTION("""COMPUTED_VALUE"""),"HUB-LSP-06")</f>
        <v>HUB-LSP-06</v>
      </c>
      <c r="D4691" s="234">
        <f>IFERROR(__xludf.DUMMYFUNCTION("""COMPUTED_VALUE"""),34.0)</f>
        <v>34</v>
      </c>
      <c r="E4691" s="237" t="str">
        <f>IFERROR(__xludf.DUMMYFUNCTION("""COMPUTED_VALUE"""),"LT0Q1E01WAD61")</f>
        <v>LT0Q1E01WAD61</v>
      </c>
      <c r="F4691" s="238" t="str">
        <f>IFERROR(__xludf.DUMMYFUNCTION("""COMPUTED_VALUE"""),"GFQ6J64")</f>
        <v>GFQ6J64</v>
      </c>
      <c r="G4691" s="238">
        <f>IFERROR(__xludf.DUMMYFUNCTION("""COMPUTED_VALUE"""),46036.22916666667)</f>
        <v>46036.22917</v>
      </c>
      <c r="H4691" s="238">
        <f>IFERROR(__xludf.DUMMYFUNCTION("""COMPUTED_VALUE"""),46036.3125)</f>
        <v>46036.3125</v>
      </c>
      <c r="I4691" s="237" t="str">
        <f t="shared" si="1"/>
        <v>Fora</v>
      </c>
      <c r="J4691" s="239">
        <v>119.99999999301508</v>
      </c>
    </row>
    <row r="4692">
      <c r="A4692" s="234" t="s">
        <v>869</v>
      </c>
      <c r="B4692" s="234" t="str">
        <f>IFERROR(__xludf.DUMMYFUNCTION("""COMPUTED_VALUE"""),"LM Hub_SP_Itaqua_Zimba")</f>
        <v>LM Hub_SP_Itaqua_Zimba</v>
      </c>
      <c r="C4692" s="234" t="str">
        <f>IFERROR(__xludf.DUMMYFUNCTION("""COMPUTED_VALUE"""),"HUB-LSP-74")</f>
        <v>HUB-LSP-74</v>
      </c>
      <c r="D4692" s="234">
        <f>IFERROR(__xludf.DUMMYFUNCTION("""COMPUTED_VALUE"""),37.0)</f>
        <v>37</v>
      </c>
      <c r="E4692" s="237" t="str">
        <f>IFERROR(__xludf.DUMMYFUNCTION("""COMPUTED_VALUE"""),"LT0Q1E01WAD11")</f>
        <v>LT0Q1E01WAD11</v>
      </c>
      <c r="F4692" s="238" t="str">
        <f>IFERROR(__xludf.DUMMYFUNCTION("""COMPUTED_VALUE"""),"OPY9J66")</f>
        <v>OPY9J66</v>
      </c>
      <c r="G4692" s="238">
        <f>IFERROR(__xludf.DUMMYFUNCTION("""COMPUTED_VALUE"""),46036.22916666667)</f>
        <v>46036.22917</v>
      </c>
      <c r="H4692" s="238">
        <f>IFERROR(__xludf.DUMMYFUNCTION("""COMPUTED_VALUE"""),46036.3125)</f>
        <v>46036.3125</v>
      </c>
      <c r="I4692" s="237" t="str">
        <f t="shared" si="1"/>
        <v>Fora</v>
      </c>
      <c r="J4692" s="239">
        <v>119.99999999301508</v>
      </c>
    </row>
    <row r="4693">
      <c r="A4693" s="234" t="s">
        <v>870</v>
      </c>
      <c r="B4693" s="234" t="str">
        <f>IFERROR(__xludf.DUMMYFUNCTION("""COMPUTED_VALUE"""),"LM Hub_SP_Santos_Praia Grande")</f>
        <v>LM Hub_SP_Santos_Praia Grande</v>
      </c>
      <c r="C4693" s="234" t="str">
        <f>IFERROR(__xludf.DUMMYFUNCTION("""COMPUTED_VALUE"""),"HUB-LSP-09")</f>
        <v>HUB-LSP-09</v>
      </c>
      <c r="D4693" s="234">
        <f>IFERROR(__xludf.DUMMYFUNCTION("""COMPUTED_VALUE"""),32.0)</f>
        <v>32</v>
      </c>
      <c r="E4693" s="237" t="str">
        <f>IFERROR(__xludf.DUMMYFUNCTION("""COMPUTED_VALUE"""),"LT0Q1E01WADB1")</f>
        <v>LT0Q1E01WADB1</v>
      </c>
      <c r="F4693" s="238" t="str">
        <f>IFERROR(__xludf.DUMMYFUNCTION("""COMPUTED_VALUE"""),"SVL5H32")</f>
        <v>SVL5H32</v>
      </c>
      <c r="G4693" s="238">
        <f>IFERROR(__xludf.DUMMYFUNCTION("""COMPUTED_VALUE"""),46036.22916666667)</f>
        <v>46036.22917</v>
      </c>
      <c r="H4693" s="238">
        <f>IFERROR(__xludf.DUMMYFUNCTION("""COMPUTED_VALUE"""),46036.3125)</f>
        <v>46036.3125</v>
      </c>
      <c r="I4693" s="237" t="str">
        <f t="shared" si="1"/>
        <v>Fora</v>
      </c>
      <c r="J4693" s="239">
        <v>119.99999999301508</v>
      </c>
    </row>
    <row r="4694">
      <c r="A4694" s="234" t="s">
        <v>871</v>
      </c>
      <c r="B4694" s="234" t="str">
        <f>IFERROR(__xludf.DUMMYFUNCTION("""COMPUTED_VALUE"""),"LM Hub_SP_Várzea Paulista")</f>
        <v>LM Hub_SP_Várzea Paulista</v>
      </c>
      <c r="C4694" s="234" t="str">
        <f>IFERROR(__xludf.DUMMYFUNCTION("""COMPUTED_VALUE"""),"HUB-LSP-20")</f>
        <v>HUB-LSP-20</v>
      </c>
      <c r="D4694" s="234">
        <f>IFERROR(__xludf.DUMMYFUNCTION("""COMPUTED_VALUE"""),27.0)</f>
        <v>27</v>
      </c>
      <c r="E4694" s="237" t="str">
        <f>IFERROR(__xludf.DUMMYFUNCTION("""COMPUTED_VALUE"""),"LT0Q1E01W9CH1")</f>
        <v>LT0Q1E01W9CH1</v>
      </c>
      <c r="F4694" s="238" t="str">
        <f>IFERROR(__xludf.DUMMYFUNCTION("""COMPUTED_VALUE"""),"EWJ2F50")</f>
        <v>EWJ2F50</v>
      </c>
      <c r="G4694" s="238">
        <f>IFERROR(__xludf.DUMMYFUNCTION("""COMPUTED_VALUE"""),46036.22916666667)</f>
        <v>46036.22917</v>
      </c>
      <c r="H4694" s="238">
        <f>IFERROR(__xludf.DUMMYFUNCTION("""COMPUTED_VALUE"""),46036.3125)</f>
        <v>46036.3125</v>
      </c>
      <c r="I4694" s="237" t="str">
        <f t="shared" si="1"/>
        <v>Fora</v>
      </c>
      <c r="J4694" s="239">
        <v>119.00000000023283</v>
      </c>
    </row>
    <row r="4695">
      <c r="A4695" s="234" t="s">
        <v>872</v>
      </c>
      <c r="B4695" s="234" t="str">
        <f>IFERROR(__xludf.DUMMYFUNCTION("""COMPUTED_VALUE"""),"LM Hub_SP_Itapevi")</f>
        <v>LM Hub_SP_Itapevi</v>
      </c>
      <c r="C4695" s="234" t="str">
        <f>IFERROR(__xludf.DUMMYFUNCTION("""COMPUTED_VALUE"""),"HUB-LSP-41")</f>
        <v>HUB-LSP-41</v>
      </c>
      <c r="D4695" s="234">
        <f>IFERROR(__xludf.DUMMYFUNCTION("""COMPUTED_VALUE"""),46.0)</f>
        <v>46</v>
      </c>
      <c r="E4695" s="237" t="str">
        <f>IFERROR(__xludf.DUMMYFUNCTION("""COMPUTED_VALUE"""),"LT0Q1E01W97X1")</f>
        <v>LT0Q1E01W97X1</v>
      </c>
      <c r="F4695" s="238" t="str">
        <f>IFERROR(__xludf.DUMMYFUNCTION("""COMPUTED_VALUE"""),"GHO7G61")</f>
        <v>GHO7G61</v>
      </c>
      <c r="G4695" s="238">
        <f>IFERROR(__xludf.DUMMYFUNCTION("""COMPUTED_VALUE"""),46036.22986111111)</f>
        <v>46036.22986</v>
      </c>
      <c r="H4695" s="238">
        <f>IFERROR(__xludf.DUMMYFUNCTION("""COMPUTED_VALUE"""),46036.3125)</f>
        <v>46036.3125</v>
      </c>
      <c r="I4695" s="237" t="str">
        <f t="shared" si="1"/>
        <v>Fora</v>
      </c>
      <c r="J4695" s="239">
        <v>119.00000000023283</v>
      </c>
    </row>
    <row r="4696">
      <c r="A4696" s="234" t="s">
        <v>5713</v>
      </c>
      <c r="B4696" s="234" t="str">
        <f>IFERROR(__xludf.DUMMYFUNCTION("""COMPUTED_VALUE"""),"LM Hub_SP_São José dos Campos")</f>
        <v>LM Hub_SP_São José dos Campos</v>
      </c>
      <c r="C4696" s="234" t="str">
        <f>IFERROR(__xludf.DUMMYFUNCTION("""COMPUTED_VALUE"""),"HUB-LSP-04")</f>
        <v>HUB-LSP-04</v>
      </c>
      <c r="D4696" s="234">
        <f>IFERROR(__xludf.DUMMYFUNCTION("""COMPUTED_VALUE"""),15.0)</f>
        <v>15</v>
      </c>
      <c r="E4696" s="237" t="str">
        <f>IFERROR(__xludf.DUMMYFUNCTION("""COMPUTED_VALUE"""),"LT0Q1E01WADJ1")</f>
        <v>LT0Q1E01WADJ1</v>
      </c>
      <c r="F4696" s="238" t="str">
        <f>IFERROR(__xludf.DUMMYFUNCTION("""COMPUTED_VALUE"""),"FJY9C15")</f>
        <v>FJY9C15</v>
      </c>
      <c r="G4696" s="238">
        <f>IFERROR(__xludf.DUMMYFUNCTION("""COMPUTED_VALUE"""),46036.22986111111)</f>
        <v>46036.22986</v>
      </c>
      <c r="H4696" s="238">
        <f>IFERROR(__xludf.DUMMYFUNCTION("""COMPUTED_VALUE"""),46036.3125)</f>
        <v>46036.3125</v>
      </c>
      <c r="I4696" s="237" t="str">
        <f t="shared" si="1"/>
        <v>Fora</v>
      </c>
      <c r="J4696" s="239">
        <v>119.00000000023283</v>
      </c>
    </row>
    <row r="4697">
      <c r="A4697" s="234" t="s">
        <v>873</v>
      </c>
      <c r="B4697" s="234" t="str">
        <f>IFERROR(__xludf.DUMMYFUNCTION("""COMPUTED_VALUE"""),"LM Hub_SP_São José dos Campos")</f>
        <v>LM Hub_SP_São José dos Campos</v>
      </c>
      <c r="C4697" s="234" t="str">
        <f>IFERROR(__xludf.DUMMYFUNCTION("""COMPUTED_VALUE"""),"HUB-LSP-04")</f>
        <v>HUB-LSP-04</v>
      </c>
      <c r="D4697" s="234"/>
      <c r="E4697" s="237" t="str">
        <f>IFERROR(__xludf.DUMMYFUNCTION("""COMPUTED_VALUE"""),"LT0Q1E01WADK2")</f>
        <v>LT0Q1E01WADK2</v>
      </c>
      <c r="F4697" s="238" t="str">
        <f>IFERROR(__xludf.DUMMYFUNCTION("""COMPUTED_VALUE"""),"PRI3H29")</f>
        <v>PRI3H29</v>
      </c>
      <c r="G4697" s="238">
        <f>IFERROR(__xludf.DUMMYFUNCTION("""COMPUTED_VALUE"""),46036.22986111111)</f>
        <v>46036.22986</v>
      </c>
      <c r="H4697" s="238">
        <f>IFERROR(__xludf.DUMMYFUNCTION("""COMPUTED_VALUE"""),46036.3125)</f>
        <v>46036.3125</v>
      </c>
      <c r="I4697" s="237" t="str">
        <f t="shared" si="1"/>
        <v>Fora</v>
      </c>
      <c r="J4697" s="239">
        <v>119.00000000023283</v>
      </c>
    </row>
    <row r="4698">
      <c r="A4698" s="234" t="s">
        <v>874</v>
      </c>
      <c r="B4698" s="234" t="str">
        <f>IFERROR(__xludf.DUMMYFUNCTION("""COMPUTED_VALUE"""),"LM Hub_SP_São Paulo_Mooca")</f>
        <v>LM Hub_SP_São Paulo_Mooca</v>
      </c>
      <c r="C4698" s="234" t="str">
        <f>IFERROR(__xludf.DUMMYFUNCTION("""COMPUTED_VALUE"""),"HUB-LSP-13")</f>
        <v>HUB-LSP-13</v>
      </c>
      <c r="D4698" s="234">
        <f>IFERROR(__xludf.DUMMYFUNCTION("""COMPUTED_VALUE"""),49.0)</f>
        <v>49</v>
      </c>
      <c r="E4698" s="237" t="str">
        <f>IFERROR(__xludf.DUMMYFUNCTION("""COMPUTED_VALUE"""),"LT0Q1E01WIKG1")</f>
        <v>LT0Q1E01WIKG1</v>
      </c>
      <c r="F4698" s="238" t="str">
        <f>IFERROR(__xludf.DUMMYFUNCTION("""COMPUTED_VALUE"""),"PEP9J38")</f>
        <v>PEP9J38</v>
      </c>
      <c r="G4698" s="238">
        <f>IFERROR(__xludf.DUMMYFUNCTION("""COMPUTED_VALUE"""),46036.22986111111)</f>
        <v>46036.22986</v>
      </c>
      <c r="H4698" s="238">
        <f>IFERROR(__xludf.DUMMYFUNCTION("""COMPUTED_VALUE"""),46036.3125)</f>
        <v>46036.3125</v>
      </c>
      <c r="I4698" s="237" t="str">
        <f t="shared" si="1"/>
        <v>Fora</v>
      </c>
      <c r="J4698" s="239">
        <v>540.0</v>
      </c>
    </row>
    <row r="4699">
      <c r="A4699" s="234" t="s">
        <v>875</v>
      </c>
      <c r="B4699" s="234" t="str">
        <f>IFERROR(__xludf.DUMMYFUNCTION("""COMPUTED_VALUE"""),"SoC_MG_Betim")</f>
        <v>SoC_MG_Betim</v>
      </c>
      <c r="C4699" s="234" t="str">
        <f>IFERROR(__xludf.DUMMYFUNCTION("""COMPUTED_VALUE"""),"SOC-MG2")</f>
        <v>SOC-MG2</v>
      </c>
      <c r="D4699" s="234">
        <f>IFERROR(__xludf.DUMMYFUNCTION("""COMPUTED_VALUE"""),90.0)</f>
        <v>90</v>
      </c>
      <c r="E4699" s="237" t="str">
        <f>IFERROR(__xludf.DUMMYFUNCTION("""COMPUTED_VALUE"""),"LT1Q1D01WNQD1")</f>
        <v>LT1Q1D01WNQD1</v>
      </c>
      <c r="F4699" s="238" t="str">
        <f>IFERROR(__xludf.DUMMYFUNCTION("""COMPUTED_VALUE"""),"QJM7652,RXZ3G44")</f>
        <v>QJM7652,RXZ3G44</v>
      </c>
      <c r="G4699" s="238">
        <f>IFERROR(__xludf.DUMMYFUNCTION("""COMPUTED_VALUE"""),46035.95833333333)</f>
        <v>46035.95833</v>
      </c>
      <c r="H4699" s="238">
        <f>IFERROR(__xludf.DUMMYFUNCTION("""COMPUTED_VALUE"""),46036.33333333333)</f>
        <v>46036.33333</v>
      </c>
      <c r="I4699" s="237" t="str">
        <f t="shared" si="1"/>
        <v>Fora</v>
      </c>
      <c r="J4699" s="239">
        <v>540.0</v>
      </c>
    </row>
    <row r="4700">
      <c r="A4700" s="234" t="s">
        <v>5714</v>
      </c>
      <c r="B4700" s="234" t="str">
        <f>IFERROR(__xludf.DUMMYFUNCTION("""COMPUTED_VALUE"""),"SoC_PE_Jaboatão dos Guararapes")</f>
        <v>SoC_PE_Jaboatão dos Guararapes</v>
      </c>
      <c r="C4700" s="234" t="str">
        <f>IFERROR(__xludf.DUMMYFUNCTION("""COMPUTED_VALUE"""),"SOC-PE2")</f>
        <v>SOC-PE2</v>
      </c>
      <c r="D4700" s="234">
        <f>IFERROR(__xludf.DUMMYFUNCTION("""COMPUTED_VALUE"""),99.0)</f>
        <v>99</v>
      </c>
      <c r="E4700" s="237" t="str">
        <f>IFERROR(__xludf.DUMMYFUNCTION("""COMPUTED_VALUE"""),"LT1Q1D01WO9E1")</f>
        <v>LT1Q1D01WO9E1</v>
      </c>
      <c r="F4700" s="238" t="str">
        <f>IFERROR(__xludf.DUMMYFUNCTION("""COMPUTED_VALUE"""),"AZF8I26,TCH3I12")</f>
        <v>AZF8I26,TCH3I12</v>
      </c>
      <c r="G4700" s="238">
        <f>IFERROR(__xludf.DUMMYFUNCTION("""COMPUTED_VALUE"""),46035.95833333333)</f>
        <v>46035.95833</v>
      </c>
      <c r="H4700" s="238">
        <f>IFERROR(__xludf.DUMMYFUNCTION("""COMPUTED_VALUE"""),46036.33333333333)</f>
        <v>46036.33333</v>
      </c>
      <c r="I4700" s="237" t="str">
        <f t="shared" si="1"/>
        <v>Fora</v>
      </c>
      <c r="J4700" s="239">
        <v>540.0</v>
      </c>
    </row>
    <row r="4701">
      <c r="A4701" s="234" t="s">
        <v>876</v>
      </c>
      <c r="B4701" s="234" t="str">
        <f>IFERROR(__xludf.DUMMYFUNCTION("""COMPUTED_VALUE"""),"SoC_RJ_Duque de Caxias")</f>
        <v>SoC_RJ_Duque de Caxias</v>
      </c>
      <c r="C4701" s="234" t="str">
        <f>IFERROR(__xludf.DUMMYFUNCTION("""COMPUTED_VALUE"""),"SOC-RJ2")</f>
        <v>SOC-RJ2</v>
      </c>
      <c r="D4701" s="234">
        <f>IFERROR(__xludf.DUMMYFUNCTION("""COMPUTED_VALUE"""),97.0)</f>
        <v>97</v>
      </c>
      <c r="E4701" s="237" t="str">
        <f>IFERROR(__xludf.DUMMYFUNCTION("""COMPUTED_VALUE"""),"LT1Q1D01WNQ91")</f>
        <v>LT1Q1D01WNQ91</v>
      </c>
      <c r="F4701" s="238" t="str">
        <f>IFERROR(__xludf.DUMMYFUNCTION("""COMPUTED_VALUE"""),"BTB8F43,EQH3A48")</f>
        <v>BTB8F43,EQH3A48</v>
      </c>
      <c r="G4701" s="238">
        <f>IFERROR(__xludf.DUMMYFUNCTION("""COMPUTED_VALUE"""),46035.95833333333)</f>
        <v>46035.95833</v>
      </c>
      <c r="H4701" s="238">
        <f>IFERROR(__xludf.DUMMYFUNCTION("""COMPUTED_VALUE"""),46036.33333333333)</f>
        <v>46036.33333</v>
      </c>
      <c r="I4701" s="237" t="str">
        <f t="shared" si="1"/>
        <v>Fora</v>
      </c>
      <c r="J4701" s="239">
        <v>478.99999998975545</v>
      </c>
    </row>
    <row r="4702">
      <c r="A4702" s="234" t="s">
        <v>827</v>
      </c>
      <c r="B4702" s="234" t="str">
        <f>IFERROR(__xludf.DUMMYFUNCTION("""COMPUTED_VALUE"""),"SoC_BA_Simoes Filho")</f>
        <v>SoC_BA_Simoes Filho</v>
      </c>
      <c r="C4702" s="234" t="str">
        <f>IFERROR(__xludf.DUMMYFUNCTION("""COMPUTED_VALUE"""),"SOC-BA2")</f>
        <v>SOC-BA2</v>
      </c>
      <c r="D4702" s="234">
        <f>IFERROR(__xludf.DUMMYFUNCTION("""COMPUTED_VALUE"""),89.0)</f>
        <v>89</v>
      </c>
      <c r="E4702" s="237" t="str">
        <f>IFERROR(__xludf.DUMMYFUNCTION("""COMPUTED_VALUE"""),"LT0Q1D01WEUG2")</f>
        <v>LT0Q1D01WEUG2</v>
      </c>
      <c r="F4702" s="238" t="str">
        <f>IFERROR(__xludf.DUMMYFUNCTION("""COMPUTED_VALUE"""),"FFE1G68,QQT0J41")</f>
        <v>FFE1G68,QQT0J41</v>
      </c>
      <c r="G4702" s="238">
        <f>IFERROR(__xludf.DUMMYFUNCTION("""COMPUTED_VALUE"""),46036.00069444445)</f>
        <v>46036.00069</v>
      </c>
      <c r="H4702" s="238">
        <f>IFERROR(__xludf.DUMMYFUNCTION("""COMPUTED_VALUE"""),46036.33333333333)</f>
        <v>46036.33333</v>
      </c>
      <c r="I4702" s="237" t="str">
        <f t="shared" si="1"/>
        <v>Fora</v>
      </c>
      <c r="J4702" s="239">
        <v>419.0000000037253</v>
      </c>
    </row>
    <row r="4703">
      <c r="A4703" s="234" t="s">
        <v>5715</v>
      </c>
      <c r="B4703" s="234" t="str">
        <f>IFERROR(__xludf.DUMMYFUNCTION("""COMPUTED_VALUE"""),"SoC_MG_Betim")</f>
        <v>SoC_MG_Betim</v>
      </c>
      <c r="C4703" s="234" t="str">
        <f>IFERROR(__xludf.DUMMYFUNCTION("""COMPUTED_VALUE"""),"SOC-MG2")</f>
        <v>SOC-MG2</v>
      </c>
      <c r="D4703" s="234">
        <f>IFERROR(__xludf.DUMMYFUNCTION("""COMPUTED_VALUE"""),111.0)</f>
        <v>111</v>
      </c>
      <c r="E4703" s="237" t="str">
        <f>IFERROR(__xludf.DUMMYFUNCTION("""COMPUTED_VALUE"""),"LT0Q1D01W93K3")</f>
        <v>LT0Q1D01W93K3</v>
      </c>
      <c r="F4703" s="238" t="str">
        <f>IFERROR(__xludf.DUMMYFUNCTION("""COMPUTED_VALUE"""),"EKU0C05,FXE2B95")</f>
        <v>EKU0C05,FXE2B95</v>
      </c>
      <c r="G4703" s="238">
        <f>IFERROR(__xludf.DUMMYFUNCTION("""COMPUTED_VALUE"""),46036.12569444445)</f>
        <v>46036.12569</v>
      </c>
      <c r="H4703" s="238">
        <f>IFERROR(__xludf.DUMMYFUNCTION("""COMPUTED_VALUE"""),46036.41666666667)</f>
        <v>46036.41667</v>
      </c>
      <c r="I4703" s="237" t="str">
        <f t="shared" si="1"/>
        <v>Fora</v>
      </c>
      <c r="J4703" s="239">
        <v>589.9999999953434</v>
      </c>
    </row>
    <row r="4704">
      <c r="A4704" s="234" t="s">
        <v>5716</v>
      </c>
      <c r="B4704" s="234" t="str">
        <f>IFERROR(__xludf.DUMMYFUNCTION("""COMPUTED_VALUE"""),"SoC_MG_Betim")</f>
        <v>SoC_MG_Betim</v>
      </c>
      <c r="C4704" s="234" t="str">
        <f>IFERROR(__xludf.DUMMYFUNCTION("""COMPUTED_VALUE"""),"SOC-MG2")</f>
        <v>SOC-MG2</v>
      </c>
      <c r="D4704" s="234"/>
      <c r="E4704" s="237" t="str">
        <f>IFERROR(__xludf.DUMMYFUNCTION("""COMPUTED_VALUE"""),"LT1Q1E01WO9A1")</f>
        <v>LT1Q1E01WO9A1</v>
      </c>
      <c r="F4704" s="238" t="str">
        <f>IFERROR(__xludf.DUMMYFUNCTION("""COMPUTED_VALUE"""),"SKL6A10,FWC2F97")</f>
        <v>SKL6A10,FWC2F97</v>
      </c>
      <c r="G4704" s="238">
        <f>IFERROR(__xludf.DUMMYFUNCTION("""COMPUTED_VALUE"""),46036.23611111111)</f>
        <v>46036.23611</v>
      </c>
      <c r="H4704" s="238">
        <f>IFERROR(__xludf.DUMMYFUNCTION("""COMPUTED_VALUE"""),46036.64583333333)</f>
        <v>46036.64583</v>
      </c>
      <c r="I4704" s="237" t="str">
        <f t="shared" si="1"/>
        <v>Fora</v>
      </c>
      <c r="J4704" s="239">
        <v>597.0000000076834</v>
      </c>
    </row>
    <row r="4705">
      <c r="A4705" s="234" t="s">
        <v>878</v>
      </c>
      <c r="B4705" s="234" t="str">
        <f>IFERROR(__xludf.DUMMYFUNCTION("""COMPUTED_VALUE"""),"SoC_SP_Cravinhos")</f>
        <v>SoC_SP_Cravinhos</v>
      </c>
      <c r="C4705" s="234" t="str">
        <f>IFERROR(__xludf.DUMMYFUNCTION("""COMPUTED_VALUE"""),"SOC-SP5")</f>
        <v>SOC-SP5</v>
      </c>
      <c r="D4705" s="234">
        <f>IFERROR(__xludf.DUMMYFUNCTION("""COMPUTED_VALUE"""),94.0)</f>
        <v>94</v>
      </c>
      <c r="E4705" s="237" t="str">
        <f>IFERROR(__xludf.DUMMYFUNCTION("""COMPUTED_VALUE"""),"LT0Q1E01W94K2")</f>
        <v>LT0Q1E01W94K2</v>
      </c>
      <c r="F4705" s="238" t="str">
        <f>IFERROR(__xludf.DUMMYFUNCTION("""COMPUTED_VALUE"""),"FDB7E79,IRG8J25")</f>
        <v>FDB7E79,IRG8J25</v>
      </c>
      <c r="G4705" s="238">
        <f>IFERROR(__xludf.DUMMYFUNCTION("""COMPUTED_VALUE"""),46036.25208333333)</f>
        <v>46036.25208</v>
      </c>
      <c r="H4705" s="238">
        <f>IFERROR(__xludf.DUMMYFUNCTION("""COMPUTED_VALUE"""),46036.66666666667)</f>
        <v>46036.66667</v>
      </c>
      <c r="I4705" s="237" t="str">
        <f t="shared" si="1"/>
        <v>Fora</v>
      </c>
      <c r="J4705" s="239">
        <v>597.0000000076834</v>
      </c>
    </row>
    <row r="4706">
      <c r="A4706" s="234" t="s">
        <v>879</v>
      </c>
      <c r="B4706" s="234" t="str">
        <f>IFERROR(__xludf.DUMMYFUNCTION("""COMPUTED_VALUE"""),"SoC_GO_Goiânia_02")</f>
        <v>SoC_GO_Goiânia_02</v>
      </c>
      <c r="C4706" s="234" t="str">
        <f>IFERROR(__xludf.DUMMYFUNCTION("""COMPUTED_VALUE"""),"SOC-GO2")</f>
        <v>SOC-GO2</v>
      </c>
      <c r="D4706" s="234">
        <f>IFERROR(__xludf.DUMMYFUNCTION("""COMPUTED_VALUE"""),87.0)</f>
        <v>87</v>
      </c>
      <c r="E4706" s="237" t="str">
        <f>IFERROR(__xludf.DUMMYFUNCTION("""COMPUTED_VALUE"""),"LT0Q1E01WF5U1")</f>
        <v>LT0Q1E01WF5U1</v>
      </c>
      <c r="F4706" s="238" t="str">
        <f>IFERROR(__xludf.DUMMYFUNCTION("""COMPUTED_VALUE"""),"TBG4B93,GHK3413")</f>
        <v>TBG4B93,GHK3413</v>
      </c>
      <c r="G4706" s="238">
        <f>IFERROR(__xludf.DUMMYFUNCTION("""COMPUTED_VALUE"""),46036.25208333333)</f>
        <v>46036.25208</v>
      </c>
      <c r="H4706" s="238">
        <f>IFERROR(__xludf.DUMMYFUNCTION("""COMPUTED_VALUE"""),46036.66666666667)</f>
        <v>46036.66667</v>
      </c>
      <c r="I4706" s="237" t="str">
        <f t="shared" si="1"/>
        <v>Fora</v>
      </c>
      <c r="J4706" s="239">
        <v>597.0000000076834</v>
      </c>
    </row>
    <row r="4707">
      <c r="A4707" s="234" t="s">
        <v>880</v>
      </c>
      <c r="B4707" s="234" t="str">
        <f>IFERROR(__xludf.DUMMYFUNCTION("""COMPUTED_VALUE"""),"SoC_SP_Cravinhos")</f>
        <v>SoC_SP_Cravinhos</v>
      </c>
      <c r="C4707" s="234" t="str">
        <f>IFERROR(__xludf.DUMMYFUNCTION("""COMPUTED_VALUE"""),"SOC-SP5")</f>
        <v>SOC-SP5</v>
      </c>
      <c r="D4707" s="234" t="str">
        <f>IFERROR(__xludf.DUMMYFUNCTION("""COMPUTED_VALUE"""),"95/12")</f>
        <v>95/12</v>
      </c>
      <c r="E4707" s="237" t="str">
        <f>IFERROR(__xludf.DUMMYFUNCTION("""COMPUTED_VALUE"""),"LT0Q1E01W94I1")</f>
        <v>LT0Q1E01W94I1</v>
      </c>
      <c r="F4707" s="238" t="str">
        <f>IFERROR(__xludf.DUMMYFUNCTION("""COMPUTED_VALUE"""),"FOT0I16,UFH9F90")</f>
        <v>FOT0I16,UFH9F90</v>
      </c>
      <c r="G4707" s="238">
        <f>IFERROR(__xludf.DUMMYFUNCTION("""COMPUTED_VALUE"""),46036.25208333333)</f>
        <v>46036.25208</v>
      </c>
      <c r="H4707" s="238">
        <f>IFERROR(__xludf.DUMMYFUNCTION("""COMPUTED_VALUE"""),46036.66666666667)</f>
        <v>46036.66667</v>
      </c>
      <c r="I4707" s="237" t="str">
        <f t="shared" si="1"/>
        <v>Fora</v>
      </c>
      <c r="J4707" s="239">
        <v>599.0000000037253</v>
      </c>
    </row>
    <row r="4708">
      <c r="A4708" s="234" t="s">
        <v>5717</v>
      </c>
      <c r="B4708" s="234" t="str">
        <f>IFERROR(__xludf.DUMMYFUNCTION("""COMPUTED_VALUE"""),"SoC_BA_Simoes Filho")</f>
        <v>SoC_BA_Simoes Filho</v>
      </c>
      <c r="C4708" s="234" t="str">
        <f>IFERROR(__xludf.DUMMYFUNCTION("""COMPUTED_VALUE"""),"SOC-BA2")</f>
        <v>SOC-BA2</v>
      </c>
      <c r="D4708" s="234">
        <f>IFERROR(__xludf.DUMMYFUNCTION("""COMPUTED_VALUE"""),112.0)</f>
        <v>112</v>
      </c>
      <c r="E4708" s="237" t="str">
        <f>IFERROR(__xludf.DUMMYFUNCTION("""COMPUTED_VALUE"""),"LT0Q1E01WETU2")</f>
        <v>LT0Q1E01WETU2</v>
      </c>
      <c r="F4708" s="238" t="str">
        <f>IFERROR(__xludf.DUMMYFUNCTION("""COMPUTED_VALUE"""),"FFN1E42,SXV1D62")</f>
        <v>FFN1E42,SXV1D62</v>
      </c>
      <c r="G4708" s="238">
        <f>IFERROR(__xludf.DUMMYFUNCTION("""COMPUTED_VALUE"""),46036.25069444445)</f>
        <v>46036.25069</v>
      </c>
      <c r="H4708" s="238">
        <f>IFERROR(__xludf.DUMMYFUNCTION("""COMPUTED_VALUE"""),46036.66666666667)</f>
        <v>46036.66667</v>
      </c>
      <c r="I4708" s="237" t="str">
        <f t="shared" si="1"/>
        <v>Fora</v>
      </c>
      <c r="J4708" s="239">
        <v>119.99999999301508</v>
      </c>
    </row>
    <row r="4709">
      <c r="A4709" s="234" t="s">
        <v>5718</v>
      </c>
      <c r="B4709" s="234" t="str">
        <f>IFERROR(__xludf.DUMMYFUNCTION("""COMPUTED_VALUE"""),"SoC_RJ_Duque de Caxias")</f>
        <v>SoC_RJ_Duque de Caxias</v>
      </c>
      <c r="C4709" s="234" t="str">
        <f>IFERROR(__xludf.DUMMYFUNCTION("""COMPUTED_VALUE"""),"SOC-RJ2")</f>
        <v>SOC-RJ2</v>
      </c>
      <c r="D4709" s="234">
        <f>IFERROR(__xludf.DUMMYFUNCTION("""COMPUTED_VALUE"""),111.0)</f>
        <v>111</v>
      </c>
      <c r="E4709" s="237" t="str">
        <f>IFERROR(__xludf.DUMMYFUNCTION("""COMPUTED_VALUE"""),"LT1Q1E01WOKY1")</f>
        <v>LT1Q1E01WOKY1</v>
      </c>
      <c r="F4709" s="238" t="str">
        <f>IFERROR(__xludf.DUMMYFUNCTION("""COMPUTED_VALUE"""),"UGJ0F16,UDJ0C51")</f>
        <v>UGJ0F16,UDJ0C51</v>
      </c>
      <c r="G4709" s="238">
        <f>IFERROR(__xludf.DUMMYFUNCTION("""COMPUTED_VALUE"""),46036.75)</f>
        <v>46036.75</v>
      </c>
      <c r="H4709" s="238">
        <f>IFERROR(__xludf.DUMMYFUNCTION("""COMPUTED_VALUE"""),46036.83333333333)</f>
        <v>46036.83333</v>
      </c>
      <c r="I4709" s="237" t="str">
        <f t="shared" si="1"/>
        <v>Fora</v>
      </c>
      <c r="J4709" s="239">
        <v>120.00000001396984</v>
      </c>
    </row>
    <row r="4710">
      <c r="A4710" s="234" t="s">
        <v>5719</v>
      </c>
      <c r="B4710" s="234" t="str">
        <f>IFERROR(__xludf.DUMMYFUNCTION("""COMPUTED_VALUE"""),"SoC_SC_Itajaí")</f>
        <v>SoC_SC_Itajaí</v>
      </c>
      <c r="C4710" s="234" t="str">
        <f>IFERROR(__xludf.DUMMYFUNCTION("""COMPUTED_VALUE"""),"SOC-SC1")</f>
        <v>SOC-SC1</v>
      </c>
      <c r="D4710" s="234">
        <f>IFERROR(__xludf.DUMMYFUNCTION("""COMPUTED_VALUE"""),100.0)</f>
        <v>100</v>
      </c>
      <c r="E4710" s="237" t="str">
        <f>IFERROR(__xludf.DUMMYFUNCTION("""COMPUTED_VALUE"""),"LT1Q1E01WP2R1")</f>
        <v>LT1Q1E01WP2R1</v>
      </c>
      <c r="F4710" s="238" t="str">
        <f>IFERROR(__xludf.DUMMYFUNCTION("""COMPUTED_VALUE"""),"RAE0022,RXX1E04")</f>
        <v>RAE0022,RXX1E04</v>
      </c>
      <c r="G4710" s="238">
        <f>IFERROR(__xludf.DUMMYFUNCTION("""COMPUTED_VALUE"""),46036.83333333333)</f>
        <v>46036.83333</v>
      </c>
      <c r="H4710" s="238">
        <f>IFERROR(__xludf.DUMMYFUNCTION("""COMPUTED_VALUE"""),46036.91666666667)</f>
        <v>46036.91667</v>
      </c>
      <c r="I4710" s="237" t="str">
        <f t="shared" si="1"/>
        <v>Fora</v>
      </c>
      <c r="J4710" s="239">
        <v>537.9999999934807</v>
      </c>
    </row>
    <row r="4711">
      <c r="A4711" s="234" t="s">
        <v>5720</v>
      </c>
      <c r="B4711" s="234" t="str">
        <f>IFERROR(__xludf.DUMMYFUNCTION("""COMPUTED_VALUE"""),"SoC_GO_Goiânia_02")</f>
        <v>SoC_GO_Goiânia_02</v>
      </c>
      <c r="C4711" s="234" t="str">
        <f>IFERROR(__xludf.DUMMYFUNCTION("""COMPUTED_VALUE"""),"SOC-GO2")</f>
        <v>SOC-GO2</v>
      </c>
      <c r="D4711" s="234">
        <f>IFERROR(__xludf.DUMMYFUNCTION("""COMPUTED_VALUE"""),114.0)</f>
        <v>114</v>
      </c>
      <c r="E4711" s="237" t="str">
        <f>IFERROR(__xludf.DUMMYFUNCTION("""COMPUTED_VALUE"""),"LT0Q1E01WF672")</f>
        <v>LT0Q1E01WF672</v>
      </c>
      <c r="F4711" s="238" t="str">
        <f>IFERROR(__xludf.DUMMYFUNCTION("""COMPUTED_VALUE"""),"TLN8C37,AXI9D02")</f>
        <v>TLN8C37,AXI9D02</v>
      </c>
      <c r="G4711" s="238">
        <f>IFERROR(__xludf.DUMMYFUNCTION("""COMPUTED_VALUE"""),46036.58472222222)</f>
        <v>46036.58472</v>
      </c>
      <c r="H4711" s="238">
        <f>IFERROR(__xludf.DUMMYFUNCTION("""COMPUTED_VALUE"""),46036.95833333333)</f>
        <v>46036.95833</v>
      </c>
      <c r="I4711" s="237" t="str">
        <f t="shared" si="1"/>
        <v>Fora</v>
      </c>
      <c r="J4711" s="239">
        <v>537.9999999934807</v>
      </c>
    </row>
    <row r="4712">
      <c r="A4712" s="234" t="s">
        <v>5721</v>
      </c>
      <c r="B4712" s="234" t="str">
        <f>IFERROR(__xludf.DUMMYFUNCTION("""COMPUTED_VALUE"""),"SoC_PE_Jaboatão dos Guararapes")</f>
        <v>SoC_PE_Jaboatão dos Guararapes</v>
      </c>
      <c r="C4712" s="234" t="str">
        <f>IFERROR(__xludf.DUMMYFUNCTION("""COMPUTED_VALUE"""),"SOC-PE2")</f>
        <v>SOC-PE2</v>
      </c>
      <c r="D4712" s="234">
        <f>IFERROR(__xludf.DUMMYFUNCTION("""COMPUTED_VALUE"""),98.0)</f>
        <v>98</v>
      </c>
      <c r="E4712" s="237" t="str">
        <f>IFERROR(__xludf.DUMMYFUNCTION("""COMPUTED_VALUE"""),"LT0Q1E01WEQS2")</f>
        <v>LT0Q1E01WEQS2</v>
      </c>
      <c r="F4712" s="238" t="str">
        <f>IFERROR(__xludf.DUMMYFUNCTION("""COMPUTED_VALUE"""),"FCB4C91,EFW2G89")</f>
        <v>FCB4C91,EFW2G89</v>
      </c>
      <c r="G4712" s="238">
        <f>IFERROR(__xludf.DUMMYFUNCTION("""COMPUTED_VALUE"""),46036.58472222222)</f>
        <v>46036.58472</v>
      </c>
      <c r="H4712" s="238">
        <f>IFERROR(__xludf.DUMMYFUNCTION("""COMPUTED_VALUE"""),46036.95833333333)</f>
        <v>46036.95833</v>
      </c>
      <c r="I4712" s="237" t="str">
        <f t="shared" si="1"/>
        <v>Fora</v>
      </c>
      <c r="J4712" s="239">
        <v>537.9999999934807</v>
      </c>
    </row>
    <row r="4713">
      <c r="A4713" s="234" t="s">
        <v>881</v>
      </c>
      <c r="B4713" s="234" t="str">
        <f>IFERROR(__xludf.DUMMYFUNCTION("""COMPUTED_VALUE"""),"SoC_PE_Jaboatão dos Guararapes")</f>
        <v>SoC_PE_Jaboatão dos Guararapes</v>
      </c>
      <c r="C4713" s="234" t="str">
        <f>IFERROR(__xludf.DUMMYFUNCTION("""COMPUTED_VALUE"""),"SOC-PE2")</f>
        <v>SOC-PE2</v>
      </c>
      <c r="D4713" s="234">
        <f>IFERROR(__xludf.DUMMYFUNCTION("""COMPUTED_VALUE"""),111.0)</f>
        <v>111</v>
      </c>
      <c r="E4713" s="237" t="str">
        <f>IFERROR(__xludf.DUMMYFUNCTION("""COMPUTED_VALUE"""),"LT0Q1E01WEQT3")</f>
        <v>LT0Q1E01WEQT3</v>
      </c>
      <c r="F4713" s="238" t="str">
        <f>IFERROR(__xludf.DUMMYFUNCTION("""COMPUTED_VALUE"""),"RDZ9H48,UGI3C30")</f>
        <v>RDZ9H48,UGI3C30</v>
      </c>
      <c r="G4713" s="238">
        <f>IFERROR(__xludf.DUMMYFUNCTION("""COMPUTED_VALUE"""),46036.58472222222)</f>
        <v>46036.58472</v>
      </c>
      <c r="H4713" s="238">
        <f>IFERROR(__xludf.DUMMYFUNCTION("""COMPUTED_VALUE"""),46036.95833333333)</f>
        <v>46036.95833</v>
      </c>
      <c r="I4713" s="237" t="str">
        <f t="shared" si="1"/>
        <v>Fora</v>
      </c>
      <c r="J4713" s="239">
        <v>536.9999999902211</v>
      </c>
    </row>
    <row r="4714">
      <c r="A4714" s="234" t="s">
        <v>5722</v>
      </c>
      <c r="B4714" s="234" t="str">
        <f>IFERROR(__xludf.DUMMYFUNCTION("""COMPUTED_VALUE"""),"SoC_RJ_Duque de Caxias")</f>
        <v>SoC_RJ_Duque de Caxias</v>
      </c>
      <c r="C4714" s="234" t="str">
        <f>IFERROR(__xludf.DUMMYFUNCTION("""COMPUTED_VALUE"""),"SOC-RJ2")</f>
        <v>SOC-RJ2</v>
      </c>
      <c r="D4714" s="234">
        <f>IFERROR(__xludf.DUMMYFUNCTION("""COMPUTED_VALUE"""),96.0)</f>
        <v>96</v>
      </c>
      <c r="E4714" s="237" t="str">
        <f>IFERROR(__xludf.DUMMYFUNCTION("""COMPUTED_VALUE"""),"LT0Q1E01WIRO2")</f>
        <v>LT0Q1E01WIRO2</v>
      </c>
      <c r="F4714" s="238" t="str">
        <f>IFERROR(__xludf.DUMMYFUNCTION("""COMPUTED_VALUE"""),"ESU8J46,LUD0197")</f>
        <v>ESU8J46,LUD0197</v>
      </c>
      <c r="G4714" s="238">
        <f>IFERROR(__xludf.DUMMYFUNCTION("""COMPUTED_VALUE"""),46036.58541666667)</f>
        <v>46036.58542</v>
      </c>
      <c r="H4714" s="238">
        <f>IFERROR(__xludf.DUMMYFUNCTION("""COMPUTED_VALUE"""),46036.95833333333)</f>
        <v>46036.95833</v>
      </c>
      <c r="I4714" s="237" t="str">
        <f t="shared" si="1"/>
        <v>Fora</v>
      </c>
      <c r="J4714" s="239">
        <v>533.9999999909196</v>
      </c>
    </row>
    <row r="4715">
      <c r="A4715" s="234" t="s">
        <v>5723</v>
      </c>
      <c r="B4715" s="234" t="str">
        <f>IFERROR(__xludf.DUMMYFUNCTION("""COMPUTED_VALUE"""),"SoC_MG_Betim")</f>
        <v>SoC_MG_Betim</v>
      </c>
      <c r="C4715" s="234" t="str">
        <f>IFERROR(__xludf.DUMMYFUNCTION("""COMPUTED_VALUE"""),"SOC-MG2")</f>
        <v>SOC-MG2</v>
      </c>
      <c r="D4715" s="234">
        <f>IFERROR(__xludf.DUMMYFUNCTION("""COMPUTED_VALUE"""),91.0)</f>
        <v>91</v>
      </c>
      <c r="E4715" s="237" t="str">
        <f>IFERROR(__xludf.DUMMYFUNCTION("""COMPUTED_VALUE"""),"LT0Q1E01W93B1")</f>
        <v>LT0Q1E01W93B1</v>
      </c>
      <c r="F4715" s="238" t="str">
        <f>IFERROR(__xludf.DUMMYFUNCTION("""COMPUTED_VALUE"""),"UDW5E79,TLL6F35")</f>
        <v>UDW5E79,TLL6F35</v>
      </c>
      <c r="G4715" s="238">
        <f>IFERROR(__xludf.DUMMYFUNCTION("""COMPUTED_VALUE"""),46036.5875)</f>
        <v>46036.5875</v>
      </c>
      <c r="H4715" s="238">
        <f>IFERROR(__xludf.DUMMYFUNCTION("""COMPUTED_VALUE"""),46036.95833333333)</f>
        <v>46036.95833</v>
      </c>
      <c r="I4715" s="237" t="str">
        <f t="shared" si="1"/>
        <v>Fora</v>
      </c>
      <c r="J4715" s="239">
        <v>533.9999999909196</v>
      </c>
    </row>
    <row r="4716">
      <c r="A4716" s="234" t="s">
        <v>5724</v>
      </c>
      <c r="B4716" s="234" t="str">
        <f>IFERROR(__xludf.DUMMYFUNCTION("""COMPUTED_VALUE"""),"SoC_MG_Betim")</f>
        <v>SoC_MG_Betim</v>
      </c>
      <c r="C4716" s="234" t="str">
        <f>IFERROR(__xludf.DUMMYFUNCTION("""COMPUTED_VALUE"""),"SOC-MG2")</f>
        <v>SOC-MG2</v>
      </c>
      <c r="D4716" s="234">
        <f>IFERROR(__xludf.DUMMYFUNCTION("""COMPUTED_VALUE"""),90.0)</f>
        <v>90</v>
      </c>
      <c r="E4716" s="237" t="str">
        <f>IFERROR(__xludf.DUMMYFUNCTION("""COMPUTED_VALUE"""),"LT0Q1E01W93D2")</f>
        <v>LT0Q1E01W93D2</v>
      </c>
      <c r="F4716" s="238" t="str">
        <f>IFERROR(__xludf.DUMMYFUNCTION("""COMPUTED_VALUE"""),"EXU6A75,DVS4C57")</f>
        <v>EXU6A75,DVS4C57</v>
      </c>
      <c r="G4716" s="238">
        <f>IFERROR(__xludf.DUMMYFUNCTION("""COMPUTED_VALUE"""),46036.5875)</f>
        <v>46036.5875</v>
      </c>
      <c r="H4716" s="238">
        <f>IFERROR(__xludf.DUMMYFUNCTION("""COMPUTED_VALUE"""),46036.95833333333)</f>
        <v>46036.95833</v>
      </c>
      <c r="I4716" s="237" t="str">
        <f t="shared" si="1"/>
        <v>Fora</v>
      </c>
      <c r="J4716" s="239">
        <v>119.99999999301508</v>
      </c>
    </row>
    <row r="4717">
      <c r="A4717" s="234" t="s">
        <v>5725</v>
      </c>
      <c r="B4717" s="234" t="str">
        <f>IFERROR(__xludf.DUMMYFUNCTION("""COMPUTED_VALUE"""),"SoC_SP_Cravinhos")</f>
        <v>SoC_SP_Cravinhos</v>
      </c>
      <c r="C4717" s="234" t="str">
        <f>IFERROR(__xludf.DUMMYFUNCTION("""COMPUTED_VALUE"""),"SOC-SP5")</f>
        <v>SOC-SP5</v>
      </c>
      <c r="D4717" s="234"/>
      <c r="E4717" s="237" t="str">
        <f>IFERROR(__xludf.DUMMYFUNCTION("""COMPUTED_VALUE"""),"LT1Q1F01WOLD1")</f>
        <v>LT1Q1F01WOLD1</v>
      </c>
      <c r="F4717" s="238" t="str">
        <f>IFERROR(__xludf.DUMMYFUNCTION("""COMPUTED_VALUE"""),"QJM7G92,QIV7B75")</f>
        <v>QJM7G92,QIV7B75</v>
      </c>
      <c r="G4717" s="238">
        <f>IFERROR(__xludf.DUMMYFUNCTION("""COMPUTED_VALUE"""),46036.875)</f>
        <v>46036.875</v>
      </c>
      <c r="H4717" s="238">
        <f>IFERROR(__xludf.DUMMYFUNCTION("""COMPUTED_VALUE"""),46036.95833333333)</f>
        <v>46036.95833</v>
      </c>
      <c r="I4717" s="237" t="str">
        <f t="shared" si="1"/>
        <v>Fora</v>
      </c>
      <c r="J4717" s="239">
        <v>119.99999999301508</v>
      </c>
    </row>
    <row r="4718">
      <c r="A4718" s="234" t="s">
        <v>5726</v>
      </c>
      <c r="B4718" s="234" t="str">
        <f>IFERROR(__xludf.DUMMYFUNCTION("""COMPUTED_VALUE"""),"LM Hub_RS_Porto Alegre_Floresta")</f>
        <v>LM Hub_RS_Porto Alegre_Floresta</v>
      </c>
      <c r="C4718" s="234" t="str">
        <f>IFERROR(__xludf.DUMMYFUNCTION("""COMPUTED_VALUE"""),"HUB-LRS-03")</f>
        <v>HUB-LRS-03</v>
      </c>
      <c r="D4718" s="234">
        <f>IFERROR(__xludf.DUMMYFUNCTION("""COMPUTED_VALUE"""),25.0)</f>
        <v>25</v>
      </c>
      <c r="E4718" s="237" t="str">
        <f>IFERROR(__xludf.DUMMYFUNCTION("""COMPUTED_VALUE"""),"LT0Q1E01WFN31")</f>
        <v>LT0Q1E01WFN31</v>
      </c>
      <c r="F4718" s="238" t="str">
        <f>IFERROR(__xludf.DUMMYFUNCTION("""COMPUTED_VALUE"""),"SGA1J98")</f>
        <v>SGA1J98</v>
      </c>
      <c r="G4718" s="238">
        <f>IFERROR(__xludf.DUMMYFUNCTION("""COMPUTED_VALUE"""),46036.91666666667)</f>
        <v>46036.91667</v>
      </c>
      <c r="H4718" s="238">
        <f>IFERROR(__xludf.DUMMYFUNCTION("""COMPUTED_VALUE"""),46037.0)</f>
        <v>46037</v>
      </c>
      <c r="I4718" s="237" t="str">
        <f t="shared" si="1"/>
        <v>Fora</v>
      </c>
      <c r="J4718" s="239">
        <v>119.99999999301508</v>
      </c>
    </row>
    <row r="4719">
      <c r="A4719" s="234" t="s">
        <v>5727</v>
      </c>
      <c r="B4719" s="234" t="str">
        <f>IFERROR(__xludf.DUMMYFUNCTION("""COMPUTED_VALUE"""),"LM Hub_SP_Itapevi")</f>
        <v>LM Hub_SP_Itapevi</v>
      </c>
      <c r="C4719" s="234" t="str">
        <f>IFERROR(__xludf.DUMMYFUNCTION("""COMPUTED_VALUE"""),"HUB-LSP-41")</f>
        <v>HUB-LSP-41</v>
      </c>
      <c r="D4719" s="234">
        <f>IFERROR(__xludf.DUMMYFUNCTION("""COMPUTED_VALUE"""),49.0)</f>
        <v>49</v>
      </c>
      <c r="E4719" s="237" t="str">
        <f>IFERROR(__xludf.DUMMYFUNCTION("""COMPUTED_VALUE"""),"LT0Q1E01W9821")</f>
        <v>LT0Q1E01W9821</v>
      </c>
      <c r="F4719" s="238" t="str">
        <f>IFERROR(__xludf.DUMMYFUNCTION("""COMPUTED_VALUE"""),"EMU5F62,FGK3A38")</f>
        <v>EMU5F62,FGK3A38</v>
      </c>
      <c r="G4719" s="238">
        <f>IFERROR(__xludf.DUMMYFUNCTION("""COMPUTED_VALUE"""),46036.91666666667)</f>
        <v>46036.91667</v>
      </c>
      <c r="H4719" s="238">
        <f>IFERROR(__xludf.DUMMYFUNCTION("""COMPUTED_VALUE"""),46037.0)</f>
        <v>46037</v>
      </c>
      <c r="I4719" s="237" t="str">
        <f t="shared" si="1"/>
        <v>Fora</v>
      </c>
      <c r="J4719" s="239">
        <v>119.99999999301508</v>
      </c>
    </row>
    <row r="4720">
      <c r="A4720" s="234" t="s">
        <v>5728</v>
      </c>
      <c r="B4720" s="234" t="str">
        <f>IFERROR(__xludf.DUMMYFUNCTION("""COMPUTED_VALUE"""),"LM Hub_SP_Limeira_Campo Belo")</f>
        <v>LM Hub_SP_Limeira_Campo Belo</v>
      </c>
      <c r="C4720" s="234" t="str">
        <f>IFERROR(__xludf.DUMMYFUNCTION("""COMPUTED_VALUE"""),"HUB-LSP-24")</f>
        <v>HUB-LSP-24</v>
      </c>
      <c r="D4720" s="234">
        <f>IFERROR(__xludf.DUMMYFUNCTION("""COMPUTED_VALUE"""),13.0)</f>
        <v>13</v>
      </c>
      <c r="E4720" s="237" t="str">
        <f>IFERROR(__xludf.DUMMYFUNCTION("""COMPUTED_VALUE"""),"LT0Q1E01W9BE1")</f>
        <v>LT0Q1E01W9BE1</v>
      </c>
      <c r="F4720" s="238" t="str">
        <f>IFERROR(__xludf.DUMMYFUNCTION("""COMPUTED_VALUE"""),"GHB5H18,FZB6G45")</f>
        <v>GHB5H18,FZB6G45</v>
      </c>
      <c r="G4720" s="238">
        <f>IFERROR(__xludf.DUMMYFUNCTION("""COMPUTED_VALUE"""),46036.91666666667)</f>
        <v>46036.91667</v>
      </c>
      <c r="H4720" s="238">
        <f>IFERROR(__xludf.DUMMYFUNCTION("""COMPUTED_VALUE"""),46037.0)</f>
        <v>46037</v>
      </c>
      <c r="I4720" s="237" t="str">
        <f t="shared" si="1"/>
        <v>Fora</v>
      </c>
      <c r="J4720" s="239">
        <v>119.99999999301508</v>
      </c>
    </row>
    <row r="4721">
      <c r="A4721" s="234" t="s">
        <v>5729</v>
      </c>
      <c r="B4721" s="234" t="str">
        <f>IFERROR(__xludf.DUMMYFUNCTION("""COMPUTED_VALUE"""),"LM Hub_SP_Mauá")</f>
        <v>LM Hub_SP_Mauá</v>
      </c>
      <c r="C4721" s="234" t="str">
        <f>IFERROR(__xludf.DUMMYFUNCTION("""COMPUTED_VALUE"""),"HUB-LSP-64")</f>
        <v>HUB-LSP-64</v>
      </c>
      <c r="D4721" s="234"/>
      <c r="E4721" s="237" t="str">
        <f>IFERROR(__xludf.DUMMYFUNCTION("""COMPUTED_VALUE"""),"LT0Q1E01W98E1")</f>
        <v>LT0Q1E01W98E1</v>
      </c>
      <c r="F4721" s="238" t="str">
        <f>IFERROR(__xludf.DUMMYFUNCTION("""COMPUTED_VALUE"""),"FQF6B98")</f>
        <v>FQF6B98</v>
      </c>
      <c r="G4721" s="238">
        <f>IFERROR(__xludf.DUMMYFUNCTION("""COMPUTED_VALUE"""),46036.91666666667)</f>
        <v>46036.91667</v>
      </c>
      <c r="H4721" s="238">
        <f>IFERROR(__xludf.DUMMYFUNCTION("""COMPUTED_VALUE"""),46037.0)</f>
        <v>46037</v>
      </c>
      <c r="I4721" s="237" t="str">
        <f t="shared" si="1"/>
        <v>Fora</v>
      </c>
      <c r="J4721" s="239">
        <v>119.99999999301508</v>
      </c>
    </row>
    <row r="4722">
      <c r="A4722" s="234" t="s">
        <v>5730</v>
      </c>
      <c r="B4722" s="234" t="str">
        <f>IFERROR(__xludf.DUMMYFUNCTION("""COMPUTED_VALUE"""),"LM Hub_SP_São José do Rio P")</f>
        <v>LM Hub_SP_São José do Rio P</v>
      </c>
      <c r="C4722" s="234" t="str">
        <f>IFERROR(__xludf.DUMMYFUNCTION("""COMPUTED_VALUE"""),"HUB-LSP-27")</f>
        <v>HUB-LSP-27</v>
      </c>
      <c r="D4722" s="234">
        <f>IFERROR(__xludf.DUMMYFUNCTION("""COMPUTED_VALUE"""),18.0)</f>
        <v>18</v>
      </c>
      <c r="E4722" s="237" t="str">
        <f>IFERROR(__xludf.DUMMYFUNCTION("""COMPUTED_VALUE"""),"LT0Q1E01WDAD1")</f>
        <v>LT0Q1E01WDAD1</v>
      </c>
      <c r="F4722" s="238" t="str">
        <f>IFERROR(__xludf.DUMMYFUNCTION("""COMPUTED_VALUE"""),"GAS3B82")</f>
        <v>GAS3B82</v>
      </c>
      <c r="G4722" s="238">
        <f>IFERROR(__xludf.DUMMYFUNCTION("""COMPUTED_VALUE"""),46036.91666666667)</f>
        <v>46036.91667</v>
      </c>
      <c r="H4722" s="238">
        <f>IFERROR(__xludf.DUMMYFUNCTION("""COMPUTED_VALUE"""),46037.0)</f>
        <v>46037</v>
      </c>
      <c r="I4722" s="237" t="str">
        <f t="shared" si="1"/>
        <v>Fora</v>
      </c>
      <c r="J4722" s="239">
        <v>119.99999999301508</v>
      </c>
    </row>
    <row r="4723">
      <c r="A4723" s="234" t="s">
        <v>5731</v>
      </c>
      <c r="B4723" s="234" t="str">
        <f>IFERROR(__xludf.DUMMYFUNCTION("""COMPUTED_VALUE"""),"SoC_SC_Itajaí")</f>
        <v>SoC_SC_Itajaí</v>
      </c>
      <c r="C4723" s="234" t="str">
        <f>IFERROR(__xludf.DUMMYFUNCTION("""COMPUTED_VALUE"""),"SOC-SC1")</f>
        <v>SOC-SC1</v>
      </c>
      <c r="D4723" s="234"/>
      <c r="E4723" s="237" t="str">
        <f>IFERROR(__xludf.DUMMYFUNCTION("""COMPUTED_VALUE"""),"LT1Q1D01WNDD1")</f>
        <v>LT1Q1D01WNDD1</v>
      </c>
      <c r="F4723" s="238" t="str">
        <f>IFERROR(__xludf.DUMMYFUNCTION("""COMPUTED_VALUE"""),"RLI9I48")</f>
        <v>RLI9I48</v>
      </c>
      <c r="G4723" s="238">
        <f>IFERROR(__xludf.DUMMYFUNCTION("""COMPUTED_VALUE"""),46036.91666666667)</f>
        <v>46036.91667</v>
      </c>
      <c r="H4723" s="238">
        <f>IFERROR(__xludf.DUMMYFUNCTION("""COMPUTED_VALUE"""),46037.0)</f>
        <v>46037</v>
      </c>
      <c r="I4723" s="237" t="str">
        <f t="shared" si="1"/>
        <v>Fora</v>
      </c>
      <c r="J4723" s="239">
        <v>119.00000000023283</v>
      </c>
    </row>
    <row r="4724">
      <c r="A4724" s="234" t="s">
        <v>5732</v>
      </c>
      <c r="B4724" s="234" t="str">
        <f>IFERROR(__xludf.DUMMYFUNCTION("""COMPUTED_VALUE"""),"LM Hub_SP_Barueri_01")</f>
        <v>LM Hub_SP_Barueri_01</v>
      </c>
      <c r="C4724" s="234" t="str">
        <f>IFERROR(__xludf.DUMMYFUNCTION("""COMPUTED_VALUE"""),"HUB-LSP-81")</f>
        <v>HUB-LSP-81</v>
      </c>
      <c r="D4724" s="234"/>
      <c r="E4724" s="237" t="str">
        <f>IFERROR(__xludf.DUMMYFUNCTION("""COMPUTED_VALUE"""),"LT0Q1E01WEHN1")</f>
        <v>LT0Q1E01WEHN1</v>
      </c>
      <c r="F4724" s="238" t="str">
        <f>IFERROR(__xludf.DUMMYFUNCTION("""COMPUTED_VALUE"""),"FLJ6920")</f>
        <v>FLJ6920</v>
      </c>
      <c r="G4724" s="238">
        <f>IFERROR(__xludf.DUMMYFUNCTION("""COMPUTED_VALUE"""),46036.91736111111)</f>
        <v>46036.91736</v>
      </c>
      <c r="H4724" s="238">
        <f>IFERROR(__xludf.DUMMYFUNCTION("""COMPUTED_VALUE"""),46037.0)</f>
        <v>46037</v>
      </c>
      <c r="I4724" s="237" t="str">
        <f t="shared" si="1"/>
        <v>Fora</v>
      </c>
      <c r="J4724" s="239">
        <v>118.00000000745058</v>
      </c>
    </row>
    <row r="4725">
      <c r="A4725" s="234" t="s">
        <v>5733</v>
      </c>
      <c r="B4725" s="234" t="str">
        <f>IFERROR(__xludf.DUMMYFUNCTION("""COMPUTED_VALUE"""),"LM Hub_SP_Guarulhos")</f>
        <v>LM Hub_SP_Guarulhos</v>
      </c>
      <c r="C4725" s="234" t="str">
        <f>IFERROR(__xludf.DUMMYFUNCTION("""COMPUTED_VALUE"""),"HUB-LSP-77")</f>
        <v>HUB-LSP-77</v>
      </c>
      <c r="D4725" s="234"/>
      <c r="E4725" s="237" t="str">
        <f>IFERROR(__xludf.DUMMYFUNCTION("""COMPUTED_VALUE"""),"LT0Q1E01W9X01")</f>
        <v>LT0Q1E01W9X01</v>
      </c>
      <c r="F4725" s="238" t="str">
        <f>IFERROR(__xludf.DUMMYFUNCTION("""COMPUTED_VALUE"""),"PRB0D29")</f>
        <v>PRB0D29</v>
      </c>
      <c r="G4725" s="238">
        <f>IFERROR(__xludf.DUMMYFUNCTION("""COMPUTED_VALUE"""),46036.91805555555)</f>
        <v>46036.91806</v>
      </c>
      <c r="H4725" s="238">
        <f>IFERROR(__xludf.DUMMYFUNCTION("""COMPUTED_VALUE"""),46037.0)</f>
        <v>46037</v>
      </c>
      <c r="I4725" s="237" t="str">
        <f t="shared" si="1"/>
        <v>Fora</v>
      </c>
      <c r="J4725" s="239">
        <v>119.99999999301508</v>
      </c>
    </row>
    <row r="4726">
      <c r="A4726" s="234" t="s">
        <v>5734</v>
      </c>
      <c r="B4726" s="234" t="str">
        <f>IFERROR(__xludf.DUMMYFUNCTION("""COMPUTED_VALUE"""),"LM Hub_SP_Jardim Adriana")</f>
        <v>LM Hub_SP_Jardim Adriana</v>
      </c>
      <c r="C4726" s="234" t="str">
        <f>IFERROR(__xludf.DUMMYFUNCTION("""COMPUTED_VALUE"""),"HUB-LSP-12")</f>
        <v>HUB-LSP-12</v>
      </c>
      <c r="D4726" s="234">
        <f>IFERROR(__xludf.DUMMYFUNCTION("""COMPUTED_VALUE"""),5.0)</f>
        <v>5</v>
      </c>
      <c r="E4726" s="237" t="str">
        <f>IFERROR(__xludf.DUMMYFUNCTION("""COMPUTED_VALUE"""),"LT0Q1E01W96L1")</f>
        <v>LT0Q1E01W96L1</v>
      </c>
      <c r="F4726" s="238" t="str">
        <f>IFERROR(__xludf.DUMMYFUNCTION("""COMPUTED_VALUE"""),"CUA4J46")</f>
        <v>CUA4J46</v>
      </c>
      <c r="G4726" s="238">
        <f>IFERROR(__xludf.DUMMYFUNCTION("""COMPUTED_VALUE"""),46036.9375)</f>
        <v>46036.9375</v>
      </c>
      <c r="H4726" s="238">
        <f>IFERROR(__xludf.DUMMYFUNCTION("""COMPUTED_VALUE"""),46037.02083333333)</f>
        <v>46037.02083</v>
      </c>
      <c r="I4726" s="237" t="str">
        <f t="shared" si="1"/>
        <v>Fora</v>
      </c>
      <c r="J4726" s="239">
        <v>119.99999999301508</v>
      </c>
    </row>
    <row r="4727">
      <c r="A4727" s="234" t="s">
        <v>5735</v>
      </c>
      <c r="B4727" s="234" t="str">
        <f>IFERROR(__xludf.DUMMYFUNCTION("""COMPUTED_VALUE"""),"LM Hub_SP_Piracicaba")</f>
        <v>LM Hub_SP_Piracicaba</v>
      </c>
      <c r="C4727" s="234" t="str">
        <f>IFERROR(__xludf.DUMMYFUNCTION("""COMPUTED_VALUE"""),"HUB-LSP-62")</f>
        <v>HUB-LSP-62</v>
      </c>
      <c r="D4727" s="234">
        <f>IFERROR(__xludf.DUMMYFUNCTION("""COMPUTED_VALUE"""),12.0)</f>
        <v>12</v>
      </c>
      <c r="E4727" s="237" t="str">
        <f>IFERROR(__xludf.DUMMYFUNCTION("""COMPUTED_VALUE"""),"LT0Q1E01W9X81")</f>
        <v>LT0Q1E01W9X81</v>
      </c>
      <c r="F4727" s="238" t="str">
        <f>IFERROR(__xludf.DUMMYFUNCTION("""COMPUTED_VALUE"""),"EOF4D32")</f>
        <v>EOF4D32</v>
      </c>
      <c r="G4727" s="238">
        <f>IFERROR(__xludf.DUMMYFUNCTION("""COMPUTED_VALUE"""),46036.9375)</f>
        <v>46036.9375</v>
      </c>
      <c r="H4727" s="238">
        <f>IFERROR(__xludf.DUMMYFUNCTION("""COMPUTED_VALUE"""),46037.02083333333)</f>
        <v>46037.02083</v>
      </c>
      <c r="I4727" s="237" t="str">
        <f t="shared" si="1"/>
        <v>Fora</v>
      </c>
      <c r="J4727" s="239">
        <v>119.99999999301508</v>
      </c>
    </row>
    <row r="4728">
      <c r="A4728" s="234" t="s">
        <v>5736</v>
      </c>
      <c r="B4728" s="234" t="str">
        <f>IFERROR(__xludf.DUMMYFUNCTION("""COMPUTED_VALUE"""),"LM Hub_SP_São Paulo_Carandiru")</f>
        <v>LM Hub_SP_São Paulo_Carandiru</v>
      </c>
      <c r="C4728" s="234" t="str">
        <f>IFERROR(__xludf.DUMMYFUNCTION("""COMPUTED_VALUE"""),"HUB-LSP-18")</f>
        <v>HUB-LSP-18</v>
      </c>
      <c r="D4728" s="234">
        <f>IFERROR(__xludf.DUMMYFUNCTION("""COMPUTED_VALUE"""),39.0)</f>
        <v>39</v>
      </c>
      <c r="E4728" s="237" t="str">
        <f>IFERROR(__xludf.DUMMYFUNCTION("""COMPUTED_VALUE"""),"LT0Q1E01W97G1")</f>
        <v>LT0Q1E01W97G1</v>
      </c>
      <c r="F4728" s="238" t="str">
        <f>IFERROR(__xludf.DUMMYFUNCTION("""COMPUTED_VALUE"""),"NVO0561")</f>
        <v>NVO0561</v>
      </c>
      <c r="G4728" s="238">
        <f>IFERROR(__xludf.DUMMYFUNCTION("""COMPUTED_VALUE"""),46036.9375)</f>
        <v>46036.9375</v>
      </c>
      <c r="H4728" s="238">
        <f>IFERROR(__xludf.DUMMYFUNCTION("""COMPUTED_VALUE"""),46037.02083333333)</f>
        <v>46037.02083</v>
      </c>
      <c r="I4728" s="237" t="str">
        <f t="shared" si="1"/>
        <v>Fora</v>
      </c>
      <c r="J4728" s="239">
        <v>118.99999998975545</v>
      </c>
    </row>
    <row r="4729">
      <c r="A4729" s="234" t="s">
        <v>5737</v>
      </c>
      <c r="B4729" s="234" t="str">
        <f>IFERROR(__xludf.DUMMYFUNCTION("""COMPUTED_VALUE"""),"LM Hub_SP_Parque Novo Mundo")</f>
        <v>LM Hub_SP_Parque Novo Mundo</v>
      </c>
      <c r="C4729" s="234" t="str">
        <f>IFERROR(__xludf.DUMMYFUNCTION("""COMPUTED_VALUE"""),"HUB-LSP-89")</f>
        <v>HUB-LSP-89</v>
      </c>
      <c r="D4729" s="234"/>
      <c r="E4729" s="237" t="str">
        <f>IFERROR(__xludf.DUMMYFUNCTION("""COMPUTED_VALUE"""),"LT0Q1E01WA4P1")</f>
        <v>LT0Q1E01WA4P1</v>
      </c>
      <c r="F4729" s="238" t="str">
        <f>IFERROR(__xludf.DUMMYFUNCTION("""COMPUTED_VALUE"""),"GIQ1C13")</f>
        <v>GIQ1C13</v>
      </c>
      <c r="G4729" s="238">
        <f>IFERROR(__xludf.DUMMYFUNCTION("""COMPUTED_VALUE"""),46036.93819444445)</f>
        <v>46036.93819</v>
      </c>
      <c r="H4729" s="238">
        <f>IFERROR(__xludf.DUMMYFUNCTION("""COMPUTED_VALUE"""),46037.02083333333)</f>
        <v>46037.02083</v>
      </c>
      <c r="I4729" s="237" t="str">
        <f t="shared" si="1"/>
        <v>Fora</v>
      </c>
      <c r="J4729" s="239">
        <v>117.99999998649582</v>
      </c>
    </row>
    <row r="4730">
      <c r="A4730" s="234" t="s">
        <v>5738</v>
      </c>
      <c r="B4730" s="234" t="str">
        <f>IFERROR(__xludf.DUMMYFUNCTION("""COMPUTED_VALUE"""),"LM Hub_SP_Suzano_Baruel")</f>
        <v>LM Hub_SP_Suzano_Baruel</v>
      </c>
      <c r="C4730" s="234" t="str">
        <f>IFERROR(__xludf.DUMMYFUNCTION("""COMPUTED_VALUE"""),"HUB-LSP-97")</f>
        <v>HUB-LSP-97</v>
      </c>
      <c r="D4730" s="234"/>
      <c r="E4730" s="237" t="str">
        <f>IFERROR(__xludf.DUMMYFUNCTION("""COMPUTED_VALUE"""),"LT0Q1E01WGBJ1")</f>
        <v>LT0Q1E01WGBJ1</v>
      </c>
      <c r="F4730" s="238" t="str">
        <f>IFERROR(__xludf.DUMMYFUNCTION("""COMPUTED_VALUE"""),"CSN7991")</f>
        <v>CSN7991</v>
      </c>
      <c r="G4730" s="238">
        <f>IFERROR(__xludf.DUMMYFUNCTION("""COMPUTED_VALUE"""),46036.93888888889)</f>
        <v>46036.93889</v>
      </c>
      <c r="H4730" s="238">
        <f>IFERROR(__xludf.DUMMYFUNCTION("""COMPUTED_VALUE"""),46037.02083333333)</f>
        <v>46037.02083</v>
      </c>
      <c r="I4730" s="237" t="str">
        <f t="shared" si="1"/>
        <v>Fora</v>
      </c>
      <c r="J4730" s="239">
        <v>117.99999998649582</v>
      </c>
    </row>
    <row r="4731">
      <c r="A4731" s="234" t="s">
        <v>5739</v>
      </c>
      <c r="B4731" s="234" t="str">
        <f>IFERROR(__xludf.DUMMYFUNCTION("""COMPUTED_VALUE"""),"LM Hub_SP_VilaGuilherme")</f>
        <v>LM Hub_SP_VilaGuilherme</v>
      </c>
      <c r="C4731" s="234" t="str">
        <f>IFERROR(__xludf.DUMMYFUNCTION("""COMPUTED_VALUE"""),"HUB-LSP-68")</f>
        <v>HUB-LSP-68</v>
      </c>
      <c r="D4731" s="234">
        <f>IFERROR(__xludf.DUMMYFUNCTION("""COMPUTED_VALUE"""),48.0)</f>
        <v>48</v>
      </c>
      <c r="E4731" s="237" t="str">
        <f>IFERROR(__xludf.DUMMYFUNCTION("""COMPUTED_VALUE"""),"LT0Q1E01WIC31")</f>
        <v>LT0Q1E01WIC31</v>
      </c>
      <c r="F4731" s="238" t="str">
        <f>IFERROR(__xludf.DUMMYFUNCTION("""COMPUTED_VALUE"""),"HFD4H27,JXG9745")</f>
        <v>HFD4H27,JXG9745</v>
      </c>
      <c r="G4731" s="238">
        <f>IFERROR(__xludf.DUMMYFUNCTION("""COMPUTED_VALUE"""),46036.93888888889)</f>
        <v>46036.93889</v>
      </c>
      <c r="H4731" s="238">
        <f>IFERROR(__xludf.DUMMYFUNCTION("""COMPUTED_VALUE"""),46037.02083333333)</f>
        <v>46037.02083</v>
      </c>
      <c r="I4731" s="237" t="str">
        <f t="shared" si="1"/>
        <v>Fora</v>
      </c>
      <c r="J4731" s="239">
        <v>120.00000001396984</v>
      </c>
    </row>
    <row r="4732">
      <c r="A4732" s="234" t="s">
        <v>5740</v>
      </c>
      <c r="B4732" s="234" t="str">
        <f>IFERROR(__xludf.DUMMYFUNCTION("""COMPUTED_VALUE"""),"LM Hub_RJ_Nova Iguaçu")</f>
        <v>LM Hub_RJ_Nova Iguaçu</v>
      </c>
      <c r="C4732" s="234" t="str">
        <f>IFERROR(__xludf.DUMMYFUNCTION("""COMPUTED_VALUE"""),"HUB-LRJ-27")</f>
        <v>HUB-LRJ-27</v>
      </c>
      <c r="D4732" s="234">
        <f>IFERROR(__xludf.DUMMYFUNCTION("""COMPUTED_VALUE"""),9.0)</f>
        <v>9</v>
      </c>
      <c r="E4732" s="237" t="str">
        <f>IFERROR(__xludf.DUMMYFUNCTION("""COMPUTED_VALUE"""),"LT0Q1E01WF311")</f>
        <v>LT0Q1E01WF311</v>
      </c>
      <c r="F4732" s="238" t="str">
        <f>IFERROR(__xludf.DUMMYFUNCTION("""COMPUTED_VALUE"""),"TAK9C48")</f>
        <v>TAK9C48</v>
      </c>
      <c r="G4732" s="238">
        <f>IFERROR(__xludf.DUMMYFUNCTION("""COMPUTED_VALUE"""),46036.95833333333)</f>
        <v>46036.95833</v>
      </c>
      <c r="H4732" s="238">
        <f>IFERROR(__xludf.DUMMYFUNCTION("""COMPUTED_VALUE"""),46037.04166666667)</f>
        <v>46037.04167</v>
      </c>
      <c r="I4732" s="237" t="str">
        <f t="shared" si="1"/>
        <v>Fora</v>
      </c>
      <c r="J4732" s="239">
        <v>120.00000001396984</v>
      </c>
    </row>
    <row r="4733">
      <c r="A4733" s="234" t="s">
        <v>5741</v>
      </c>
      <c r="B4733" s="234" t="str">
        <f>IFERROR(__xludf.DUMMYFUNCTION("""COMPUTED_VALUE"""),"LM Hub_RJ_Rio de Janeiro_Campo G")</f>
        <v>LM Hub_RJ_Rio de Janeiro_Campo G</v>
      </c>
      <c r="C4733" s="234" t="str">
        <f>IFERROR(__xludf.DUMMYFUNCTION("""COMPUTED_VALUE"""),"HUB-LRJ-04")</f>
        <v>HUB-LRJ-04</v>
      </c>
      <c r="D4733" s="234">
        <f>IFERROR(__xludf.DUMMYFUNCTION("""COMPUTED_VALUE"""),47.0)</f>
        <v>47</v>
      </c>
      <c r="E4733" s="237" t="str">
        <f>IFERROR(__xludf.DUMMYFUNCTION("""COMPUTED_VALUE"""),"LT0Q1E01W9DL1")</f>
        <v>LT0Q1E01W9DL1</v>
      </c>
      <c r="F4733" s="238" t="str">
        <f>IFERROR(__xludf.DUMMYFUNCTION("""COMPUTED_VALUE"""),"UBA1H99")</f>
        <v>UBA1H99</v>
      </c>
      <c r="G4733" s="238">
        <f>IFERROR(__xludf.DUMMYFUNCTION("""COMPUTED_VALUE"""),46036.95833333333)</f>
        <v>46036.95833</v>
      </c>
      <c r="H4733" s="238">
        <f>IFERROR(__xludf.DUMMYFUNCTION("""COMPUTED_VALUE"""),46037.04166666667)</f>
        <v>46037.04167</v>
      </c>
      <c r="I4733" s="237" t="str">
        <f t="shared" si="1"/>
        <v>Fora</v>
      </c>
      <c r="J4733" s="239">
        <v>120.00000001396984</v>
      </c>
    </row>
    <row r="4734">
      <c r="A4734" s="234" t="s">
        <v>5742</v>
      </c>
      <c r="B4734" s="234" t="str">
        <f>IFERROR(__xludf.DUMMYFUNCTION("""COMPUTED_VALUE"""),"LM Hub_RJ_São João do Meriti")</f>
        <v>LM Hub_RJ_São João do Meriti</v>
      </c>
      <c r="C4734" s="234" t="str">
        <f>IFERROR(__xludf.DUMMYFUNCTION("""COMPUTED_VALUE"""),"HUB-LRJ-01")</f>
        <v>HUB-LRJ-01</v>
      </c>
      <c r="D4734" s="234">
        <f>IFERROR(__xludf.DUMMYFUNCTION("""COMPUTED_VALUE"""),6.0)</f>
        <v>6</v>
      </c>
      <c r="E4734" s="237" t="str">
        <f>IFERROR(__xludf.DUMMYFUNCTION("""COMPUTED_VALUE"""),"LT0Q1E01WF3X1")</f>
        <v>LT0Q1E01WF3X1</v>
      </c>
      <c r="F4734" s="238" t="str">
        <f>IFERROR(__xludf.DUMMYFUNCTION("""COMPUTED_VALUE"""),"STT8D25")</f>
        <v>STT8D25</v>
      </c>
      <c r="G4734" s="238">
        <f>IFERROR(__xludf.DUMMYFUNCTION("""COMPUTED_VALUE"""),46036.95833333333)</f>
        <v>46036.95833</v>
      </c>
      <c r="H4734" s="238">
        <f>IFERROR(__xludf.DUMMYFUNCTION("""COMPUTED_VALUE"""),46037.04166666667)</f>
        <v>46037.04167</v>
      </c>
      <c r="I4734" s="237" t="str">
        <f t="shared" si="1"/>
        <v>Fora</v>
      </c>
      <c r="J4734" s="239">
        <v>120.00000001396984</v>
      </c>
    </row>
    <row r="4735">
      <c r="A4735" s="234" t="s">
        <v>5743</v>
      </c>
      <c r="B4735" s="234" t="str">
        <f>IFERROR(__xludf.DUMMYFUNCTION("""COMPUTED_VALUE"""),"LM Hub_SP_Jundiaí")</f>
        <v>LM Hub_SP_Jundiaí</v>
      </c>
      <c r="C4735" s="234" t="str">
        <f>IFERROR(__xludf.DUMMYFUNCTION("""COMPUTED_VALUE"""),"HUB-LSP-100")</f>
        <v>HUB-LSP-100</v>
      </c>
      <c r="D4735" s="234">
        <f>IFERROR(__xludf.DUMMYFUNCTION("""COMPUTED_VALUE"""),22.0)</f>
        <v>22</v>
      </c>
      <c r="E4735" s="237" t="str">
        <f>IFERROR(__xludf.DUMMYFUNCTION("""COMPUTED_VALUE"""),"LT0Q1E01WFXT1")</f>
        <v>LT0Q1E01WFXT1</v>
      </c>
      <c r="F4735" s="238" t="str">
        <f>IFERROR(__xludf.DUMMYFUNCTION("""COMPUTED_VALUE"""),"TKU9E90,TKO7E99")</f>
        <v>TKU9E90,TKO7E99</v>
      </c>
      <c r="G4735" s="238">
        <f>IFERROR(__xludf.DUMMYFUNCTION("""COMPUTED_VALUE"""),46036.95833333333)</f>
        <v>46036.95833</v>
      </c>
      <c r="H4735" s="238">
        <f>IFERROR(__xludf.DUMMYFUNCTION("""COMPUTED_VALUE"""),46037.04166666667)</f>
        <v>46037.04167</v>
      </c>
      <c r="I4735" s="237" t="str">
        <f t="shared" si="1"/>
        <v>Fora</v>
      </c>
      <c r="J4735" s="239">
        <v>120.00000001396984</v>
      </c>
    </row>
    <row r="4736">
      <c r="A4736" s="234" t="s">
        <v>5744</v>
      </c>
      <c r="B4736" s="234" t="str">
        <f>IFERROR(__xludf.DUMMYFUNCTION("""COMPUTED_VALUE"""),"LM Hub_SP_Mogi Mirim")</f>
        <v>LM Hub_SP_Mogi Mirim</v>
      </c>
      <c r="C4736" s="234" t="str">
        <f>IFERROR(__xludf.DUMMYFUNCTION("""COMPUTED_VALUE"""),"HUB-LSP-37")</f>
        <v>HUB-LSP-37</v>
      </c>
      <c r="D4736" s="234">
        <f>IFERROR(__xludf.DUMMYFUNCTION("""COMPUTED_VALUE"""),33.0)</f>
        <v>33</v>
      </c>
      <c r="E4736" s="237" t="str">
        <f>IFERROR(__xludf.DUMMYFUNCTION("""COMPUTED_VALUE"""),"LT0Q1E01W9C71")</f>
        <v>LT0Q1E01W9C71</v>
      </c>
      <c r="F4736" s="238" t="str">
        <f>IFERROR(__xludf.DUMMYFUNCTION("""COMPUTED_VALUE"""),"SVC6I57,SWO1G45")</f>
        <v>SVC6I57,SWO1G45</v>
      </c>
      <c r="G4736" s="238">
        <f>IFERROR(__xludf.DUMMYFUNCTION("""COMPUTED_VALUE"""),46036.95833333333)</f>
        <v>46036.95833</v>
      </c>
      <c r="H4736" s="238">
        <f>IFERROR(__xludf.DUMMYFUNCTION("""COMPUTED_VALUE"""),46037.04166666667)</f>
        <v>46037.04167</v>
      </c>
      <c r="I4736" s="237" t="str">
        <f t="shared" si="1"/>
        <v>Fora</v>
      </c>
      <c r="J4736" s="239">
        <v>120.00000001396984</v>
      </c>
    </row>
    <row r="4737">
      <c r="A4737" s="234" t="s">
        <v>5745</v>
      </c>
      <c r="B4737" s="234" t="str">
        <f>IFERROR(__xludf.DUMMYFUNCTION("""COMPUTED_VALUE"""),"SoC_PR_Curitiba")</f>
        <v>SoC_PR_Curitiba</v>
      </c>
      <c r="C4737" s="234" t="str">
        <f>IFERROR(__xludf.DUMMYFUNCTION("""COMPUTED_VALUE"""),"SOC-PR1")</f>
        <v>SOC-PR1</v>
      </c>
      <c r="D4737" s="234">
        <f>IFERROR(__xludf.DUMMYFUNCTION("""COMPUTED_VALUE"""),17.0)</f>
        <v>17</v>
      </c>
      <c r="E4737" s="237" t="str">
        <f>IFERROR(__xludf.DUMMYFUNCTION("""COMPUTED_VALUE"""),"LT1Q1E01WOMP1")</f>
        <v>LT1Q1E01WOMP1</v>
      </c>
      <c r="F4737" s="238" t="str">
        <f>IFERROR(__xludf.DUMMYFUNCTION("""COMPUTED_VALUE"""),"RXR7H65,RLM9B44")</f>
        <v>RXR7H65,RLM9B44</v>
      </c>
      <c r="G4737" s="238">
        <f>IFERROR(__xludf.DUMMYFUNCTION("""COMPUTED_VALUE"""),46036.95833333333)</f>
        <v>46036.95833</v>
      </c>
      <c r="H4737" s="238">
        <f>IFERROR(__xludf.DUMMYFUNCTION("""COMPUTED_VALUE"""),46037.04166666667)</f>
        <v>46037.04167</v>
      </c>
      <c r="I4737" s="237" t="str">
        <f t="shared" si="1"/>
        <v>Fora</v>
      </c>
      <c r="J4737" s="239">
        <v>119.99999999301508</v>
      </c>
    </row>
    <row r="4738">
      <c r="A4738" s="234" t="s">
        <v>5746</v>
      </c>
      <c r="B4738" s="234" t="str">
        <f>IFERROR(__xludf.DUMMYFUNCTION("""COMPUTED_VALUE"""),"LM Hub_SP_Araraquara")</f>
        <v>LM Hub_SP_Araraquara</v>
      </c>
      <c r="C4738" s="234" t="str">
        <f>IFERROR(__xludf.DUMMYFUNCTION("""COMPUTED_VALUE"""),"HUB-LSP-29")</f>
        <v>HUB-LSP-29</v>
      </c>
      <c r="D4738" s="234">
        <f>IFERROR(__xludf.DUMMYFUNCTION("""COMPUTED_VALUE"""),23.0)</f>
        <v>23</v>
      </c>
      <c r="E4738" s="237" t="str">
        <f>IFERROR(__xludf.DUMMYFUNCTION("""COMPUTED_VALUE"""),"LT0Q1E01W9CC1")</f>
        <v>LT0Q1E01W9CC1</v>
      </c>
      <c r="F4738" s="238" t="str">
        <f>IFERROR(__xludf.DUMMYFUNCTION("""COMPUTED_VALUE"""),"ISQ7F01,ANM9G89")</f>
        <v>ISQ7F01,ANM9G89</v>
      </c>
      <c r="G4738" s="238">
        <f>IFERROR(__xludf.DUMMYFUNCTION("""COMPUTED_VALUE"""),46036.97916666667)</f>
        <v>46036.97917</v>
      </c>
      <c r="H4738" s="238">
        <f>IFERROR(__xludf.DUMMYFUNCTION("""COMPUTED_VALUE"""),46037.0625)</f>
        <v>46037.0625</v>
      </c>
      <c r="I4738" s="237" t="str">
        <f t="shared" si="1"/>
        <v>Fora</v>
      </c>
      <c r="J4738" s="239">
        <v>119.99999999301508</v>
      </c>
    </row>
    <row r="4739">
      <c r="A4739" s="234" t="s">
        <v>5747</v>
      </c>
      <c r="B4739" s="234" t="str">
        <f>IFERROR(__xludf.DUMMYFUNCTION("""COMPUTED_VALUE"""),"LM Hub_SP_Atibaia_Ponte_Alta")</f>
        <v>LM Hub_SP_Atibaia_Ponte_Alta</v>
      </c>
      <c r="C4739" s="234" t="str">
        <f>IFERROR(__xludf.DUMMYFUNCTION("""COMPUTED_VALUE"""),"HUB-LSP-87")</f>
        <v>HUB-LSP-87</v>
      </c>
      <c r="D4739" s="234">
        <f>IFERROR(__xludf.DUMMYFUNCTION("""COMPUTED_VALUE"""),24.0)</f>
        <v>24</v>
      </c>
      <c r="E4739" s="237" t="str">
        <f>IFERROR(__xludf.DUMMYFUNCTION("""COMPUTED_VALUE"""),"LT0Q1E01WD661")</f>
        <v>LT0Q1E01WD661</v>
      </c>
      <c r="F4739" s="238" t="str">
        <f>IFERROR(__xludf.DUMMYFUNCTION("""COMPUTED_VALUE"""),"EDI6E81,GEU3A01")</f>
        <v>EDI6E81,GEU3A01</v>
      </c>
      <c r="G4739" s="238">
        <f>IFERROR(__xludf.DUMMYFUNCTION("""COMPUTED_VALUE"""),46036.97916666667)</f>
        <v>46036.97917</v>
      </c>
      <c r="H4739" s="238">
        <f>IFERROR(__xludf.DUMMYFUNCTION("""COMPUTED_VALUE"""),46037.0625)</f>
        <v>46037.0625</v>
      </c>
      <c r="I4739" s="237" t="str">
        <f t="shared" si="1"/>
        <v>Fora</v>
      </c>
      <c r="J4739" s="239">
        <v>540.0</v>
      </c>
    </row>
    <row r="4740">
      <c r="A4740" s="234" t="s">
        <v>5748</v>
      </c>
      <c r="B4740" s="234" t="str">
        <f>IFERROR(__xludf.DUMMYFUNCTION("""COMPUTED_VALUE"""),"SoC_RJ_Duque de Caxias")</f>
        <v>SoC_RJ_Duque de Caxias</v>
      </c>
      <c r="C4740" s="234" t="str">
        <f>IFERROR(__xludf.DUMMYFUNCTION("""COMPUTED_VALUE"""),"SOC-RJ2")</f>
        <v>SOC-RJ2</v>
      </c>
      <c r="D4740" s="234">
        <f>IFERROR(__xludf.DUMMYFUNCTION("""COMPUTED_VALUE"""),97.0)</f>
        <v>97</v>
      </c>
      <c r="E4740" s="237" t="str">
        <f>IFERROR(__xludf.DUMMYFUNCTION("""COMPUTED_VALUE"""),"LT1Q1E01WOL01")</f>
        <v>LT1Q1E01WOL01</v>
      </c>
      <c r="F4740" s="238" t="str">
        <f>IFERROR(__xludf.DUMMYFUNCTION("""COMPUTED_VALUE"""),"FST5E90,FFW3E68")</f>
        <v>FST5E90,FFW3E68</v>
      </c>
      <c r="G4740" s="238">
        <f>IFERROR(__xludf.DUMMYFUNCTION("""COMPUTED_VALUE"""),46036.70833333333)</f>
        <v>46036.70833</v>
      </c>
      <c r="H4740" s="238">
        <f>IFERROR(__xludf.DUMMYFUNCTION("""COMPUTED_VALUE"""),46037.08333333333)</f>
        <v>46037.08333</v>
      </c>
      <c r="I4740" s="237" t="str">
        <f t="shared" si="1"/>
        <v>Fora</v>
      </c>
      <c r="J4740" s="239">
        <v>119.99999999301508</v>
      </c>
    </row>
    <row r="4741">
      <c r="A4741" s="234" t="s">
        <v>5749</v>
      </c>
      <c r="B4741" s="234" t="str">
        <f>IFERROR(__xludf.DUMMYFUNCTION("""COMPUTED_VALUE"""),"LM Hub_RJ_Ilha do Governador")</f>
        <v>LM Hub_RJ_Ilha do Governador</v>
      </c>
      <c r="C4741" s="234" t="str">
        <f>IFERROR(__xludf.DUMMYFUNCTION("""COMPUTED_VALUE"""),"HUB-LRJ-32")</f>
        <v>HUB-LRJ-32</v>
      </c>
      <c r="D4741" s="234">
        <f>IFERROR(__xludf.DUMMYFUNCTION("""COMPUTED_VALUE"""),36.0)</f>
        <v>36</v>
      </c>
      <c r="E4741" s="237" t="str">
        <f>IFERROR(__xludf.DUMMYFUNCTION("""COMPUTED_VALUE"""),"LT0Q1F01WF3E1")</f>
        <v>LT0Q1F01WF3E1</v>
      </c>
      <c r="F4741" s="238" t="str">
        <f>IFERROR(__xludf.DUMMYFUNCTION("""COMPUTED_VALUE"""),"CUT5D37")</f>
        <v>CUT5D37</v>
      </c>
      <c r="G4741" s="238">
        <f>IFERROR(__xludf.DUMMYFUNCTION("""COMPUTED_VALUE"""),46037.0)</f>
        <v>46037</v>
      </c>
      <c r="H4741" s="238">
        <f>IFERROR(__xludf.DUMMYFUNCTION("""COMPUTED_VALUE"""),46037.08333333333)</f>
        <v>46037.08333</v>
      </c>
      <c r="I4741" s="237" t="str">
        <f t="shared" si="1"/>
        <v>Fora</v>
      </c>
      <c r="J4741" s="239">
        <v>119.99999999301508</v>
      </c>
    </row>
    <row r="4742">
      <c r="A4742" s="234" t="s">
        <v>5750</v>
      </c>
      <c r="B4742" s="234" t="str">
        <f>IFERROR(__xludf.DUMMYFUNCTION("""COMPUTED_VALUE"""),"LM Hub_SP_Tatuí")</f>
        <v>LM Hub_SP_Tatuí</v>
      </c>
      <c r="C4742" s="234" t="str">
        <f>IFERROR(__xludf.DUMMYFUNCTION("""COMPUTED_VALUE"""),"HUB-LSP-51")</f>
        <v>HUB-LSP-51</v>
      </c>
      <c r="D4742" s="234">
        <f>IFERROR(__xludf.DUMMYFUNCTION("""COMPUTED_VALUE"""),29.0)</f>
        <v>29</v>
      </c>
      <c r="E4742" s="237" t="str">
        <f>IFERROR(__xludf.DUMMYFUNCTION("""COMPUTED_VALUE"""),"LT0Q1F01W9921")</f>
        <v>LT0Q1F01W9921</v>
      </c>
      <c r="F4742" s="238" t="str">
        <f>IFERROR(__xludf.DUMMYFUNCTION("""COMPUTED_VALUE"""),"GFM6E44,AOF2G51")</f>
        <v>GFM6E44,AOF2G51</v>
      </c>
      <c r="G4742" s="238">
        <f>IFERROR(__xludf.DUMMYFUNCTION("""COMPUTED_VALUE"""),46037.0)</f>
        <v>46037</v>
      </c>
      <c r="H4742" s="238">
        <f>IFERROR(__xludf.DUMMYFUNCTION("""COMPUTED_VALUE"""),46037.08333333333)</f>
        <v>46037.08333</v>
      </c>
      <c r="I4742" s="237" t="str">
        <f t="shared" si="1"/>
        <v>Fora</v>
      </c>
      <c r="J4742" s="239">
        <v>119.99999999301508</v>
      </c>
    </row>
    <row r="4743">
      <c r="A4743" s="234" t="s">
        <v>5751</v>
      </c>
      <c r="B4743" s="234" t="str">
        <f>IFERROR(__xludf.DUMMYFUNCTION("""COMPUTED_VALUE"""),"SoC_MG_Betim")</f>
        <v>SoC_MG_Betim</v>
      </c>
      <c r="C4743" s="234" t="str">
        <f>IFERROR(__xludf.DUMMYFUNCTION("""COMPUTED_VALUE"""),"SOC-MG2")</f>
        <v>SOC-MG2</v>
      </c>
      <c r="D4743" s="234">
        <f>IFERROR(__xludf.DUMMYFUNCTION("""COMPUTED_VALUE"""),113.0)</f>
        <v>113</v>
      </c>
      <c r="E4743" s="237" t="str">
        <f>IFERROR(__xludf.DUMMYFUNCTION("""COMPUTED_VALUE"""),"LT1Q1E01WOKH1")</f>
        <v>LT1Q1E01WOKH1</v>
      </c>
      <c r="F4743" s="238" t="str">
        <f>IFERROR(__xludf.DUMMYFUNCTION("""COMPUTED_VALUE"""),"IZR0G89,JWK7540")</f>
        <v>IZR0G89,JWK7540</v>
      </c>
      <c r="G4743" s="238">
        <f>IFERROR(__xludf.DUMMYFUNCTION("""COMPUTED_VALUE"""),46037.0)</f>
        <v>46037</v>
      </c>
      <c r="H4743" s="238">
        <f>IFERROR(__xludf.DUMMYFUNCTION("""COMPUTED_VALUE"""),46037.08333333333)</f>
        <v>46037.08333</v>
      </c>
      <c r="I4743" s="237" t="str">
        <f t="shared" si="1"/>
        <v>Fora</v>
      </c>
      <c r="J4743" s="239">
        <v>119.99999999301508</v>
      </c>
    </row>
    <row r="4744">
      <c r="A4744" s="234" t="s">
        <v>883</v>
      </c>
      <c r="B4744" s="234" t="str">
        <f>IFERROR(__xludf.DUMMYFUNCTION("""COMPUTED_VALUE"""),"SoC_PE_Jaboatão dos Guararapes")</f>
        <v>SoC_PE_Jaboatão dos Guararapes</v>
      </c>
      <c r="C4744" s="234" t="str">
        <f>IFERROR(__xludf.DUMMYFUNCTION("""COMPUTED_VALUE"""),"SOC-PE2")</f>
        <v>SOC-PE2</v>
      </c>
      <c r="D4744" s="234"/>
      <c r="E4744" s="237" t="str">
        <f>IFERROR(__xludf.DUMMYFUNCTION("""COMPUTED_VALUE"""),"LT1Q1F01WOKP1")</f>
        <v>LT1Q1F01WOKP1</v>
      </c>
      <c r="F4744" s="238" t="str">
        <f>IFERROR(__xludf.DUMMYFUNCTION("""COMPUTED_VALUE"""),"FZC5G39,TDJ1H09")</f>
        <v>FZC5G39,TDJ1H09</v>
      </c>
      <c r="G4744" s="238">
        <f>IFERROR(__xludf.DUMMYFUNCTION("""COMPUTED_VALUE"""),46037.0)</f>
        <v>46037</v>
      </c>
      <c r="H4744" s="238">
        <f>IFERROR(__xludf.DUMMYFUNCTION("""COMPUTED_VALUE"""),46037.08333333333)</f>
        <v>46037.08333</v>
      </c>
      <c r="I4744" s="237" t="str">
        <f t="shared" si="1"/>
        <v>Fora</v>
      </c>
      <c r="J4744" s="239">
        <v>119.99999999301508</v>
      </c>
    </row>
    <row r="4745">
      <c r="A4745" s="234" t="s">
        <v>5752</v>
      </c>
      <c r="B4745" s="234" t="str">
        <f>IFERROR(__xludf.DUMMYFUNCTION("""COMPUTED_VALUE"""),"SoC_PR_Curitiba")</f>
        <v>SoC_PR_Curitiba</v>
      </c>
      <c r="C4745" s="234" t="str">
        <f>IFERROR(__xludf.DUMMYFUNCTION("""COMPUTED_VALUE"""),"SOC-PR1")</f>
        <v>SOC-PR1</v>
      </c>
      <c r="D4745" s="234">
        <f>IFERROR(__xludf.DUMMYFUNCTION("""COMPUTED_VALUE"""),19.0)</f>
        <v>19</v>
      </c>
      <c r="E4745" s="237" t="str">
        <f>IFERROR(__xludf.DUMMYFUNCTION("""COMPUTED_VALUE"""),"LT0Q1F01W93S1")</f>
        <v>LT0Q1F01W93S1</v>
      </c>
      <c r="F4745" s="238" t="str">
        <f>IFERROR(__xludf.DUMMYFUNCTION("""COMPUTED_VALUE"""),"FSZ3A57,RHV2I49")</f>
        <v>FSZ3A57,RHV2I49</v>
      </c>
      <c r="G4745" s="238">
        <f>IFERROR(__xludf.DUMMYFUNCTION("""COMPUTED_VALUE"""),46037.0)</f>
        <v>46037</v>
      </c>
      <c r="H4745" s="238">
        <f>IFERROR(__xludf.DUMMYFUNCTION("""COMPUTED_VALUE"""),46037.08333333333)</f>
        <v>46037.08333</v>
      </c>
      <c r="I4745" s="237" t="str">
        <f t="shared" si="1"/>
        <v>Fora</v>
      </c>
      <c r="J4745" s="239">
        <v>119.99999999301508</v>
      </c>
    </row>
    <row r="4746">
      <c r="A4746" s="234" t="s">
        <v>5753</v>
      </c>
      <c r="B4746" s="234" t="str">
        <f>IFERROR(__xludf.DUMMYFUNCTION("""COMPUTED_VALUE"""),"SoC_SP_Louveira")</f>
        <v>SoC_SP_Louveira</v>
      </c>
      <c r="C4746" s="234" t="str">
        <f>IFERROR(__xludf.DUMMYFUNCTION("""COMPUTED_VALUE"""),"SOC-SP7")</f>
        <v>SOC-SP7</v>
      </c>
      <c r="D4746" s="234">
        <f>IFERROR(__xludf.DUMMYFUNCTION("""COMPUTED_VALUE"""),15.0)</f>
        <v>15</v>
      </c>
      <c r="E4746" s="237" t="str">
        <f>IFERROR(__xludf.DUMMYFUNCTION("""COMPUTED_VALUE"""),"LT0Q1F01W95G1")</f>
        <v>LT0Q1F01W95G1</v>
      </c>
      <c r="F4746" s="238" t="str">
        <f>IFERROR(__xludf.DUMMYFUNCTION("""COMPUTED_VALUE"""),"BPQ9C21,RBE0I12")</f>
        <v>BPQ9C21,RBE0I12</v>
      </c>
      <c r="G4746" s="238">
        <f>IFERROR(__xludf.DUMMYFUNCTION("""COMPUTED_VALUE"""),46037.0)</f>
        <v>46037</v>
      </c>
      <c r="H4746" s="238">
        <f>IFERROR(__xludf.DUMMYFUNCTION("""COMPUTED_VALUE"""),46037.08333333333)</f>
        <v>46037.08333</v>
      </c>
      <c r="I4746" s="237" t="str">
        <f t="shared" si="1"/>
        <v>Fora</v>
      </c>
      <c r="J4746" s="239">
        <v>118.99999998975545</v>
      </c>
    </row>
    <row r="4747">
      <c r="A4747" s="234" t="s">
        <v>5754</v>
      </c>
      <c r="B4747" s="234" t="str">
        <f>IFERROR(__xludf.DUMMYFUNCTION("""COMPUTED_VALUE"""),"LM Hub_SP_Tatuí")</f>
        <v>LM Hub_SP_Tatuí</v>
      </c>
      <c r="C4747" s="234" t="str">
        <f>IFERROR(__xludf.DUMMYFUNCTION("""COMPUTED_VALUE"""),"HUB-LSP-51")</f>
        <v>HUB-LSP-51</v>
      </c>
      <c r="D4747" s="234"/>
      <c r="E4747" s="237" t="str">
        <f>IFERROR(__xludf.DUMMYFUNCTION("""COMPUTED_VALUE"""),"LT0Q1F01W9961")</f>
        <v>LT0Q1F01W9961</v>
      </c>
      <c r="F4747" s="238" t="str">
        <f>IFERROR(__xludf.DUMMYFUNCTION("""COMPUTED_VALUE"""),"FLO1G76")</f>
        <v>FLO1G76</v>
      </c>
      <c r="G4747" s="238">
        <f>IFERROR(__xludf.DUMMYFUNCTION("""COMPUTED_VALUE"""),46037.00069444445)</f>
        <v>46037.00069</v>
      </c>
      <c r="H4747" s="238">
        <f>IFERROR(__xludf.DUMMYFUNCTION("""COMPUTED_VALUE"""),46037.08333333333)</f>
        <v>46037.08333</v>
      </c>
      <c r="I4747" s="237" t="str">
        <f t="shared" si="1"/>
        <v>Fora</v>
      </c>
      <c r="J4747" s="239">
        <v>120.00000001396984</v>
      </c>
    </row>
    <row r="4748">
      <c r="A4748" s="234" t="s">
        <v>5755</v>
      </c>
      <c r="B4748" s="234" t="str">
        <f>IFERROR(__xludf.DUMMYFUNCTION("""COMPUTED_VALUE"""),"LM Hub_MG_Varginha_Fausto")</f>
        <v>LM Hub_MG_Varginha_Fausto</v>
      </c>
      <c r="C4748" s="234" t="str">
        <f>IFERROR(__xludf.DUMMYFUNCTION("""COMPUTED_VALUE"""),"HUB-LMG-45")</f>
        <v>HUB-LMG-45</v>
      </c>
      <c r="D4748" s="234">
        <f>IFERROR(__xludf.DUMMYFUNCTION("""COMPUTED_VALUE"""),45.0)</f>
        <v>45</v>
      </c>
      <c r="E4748" s="237" t="str">
        <f>IFERROR(__xludf.DUMMYFUNCTION("""COMPUTED_VALUE"""),"LT0Q1F01WEH11")</f>
        <v>LT0Q1F01WEH11</v>
      </c>
      <c r="F4748" s="238" t="str">
        <f>IFERROR(__xludf.DUMMYFUNCTION("""COMPUTED_VALUE"""),"QNC1G35")</f>
        <v>QNC1G35</v>
      </c>
      <c r="G4748" s="238">
        <f>IFERROR(__xludf.DUMMYFUNCTION("""COMPUTED_VALUE"""),46037.02083333333)</f>
        <v>46037.02083</v>
      </c>
      <c r="H4748" s="238">
        <f>IFERROR(__xludf.DUMMYFUNCTION("""COMPUTED_VALUE"""),46037.10416666667)</f>
        <v>46037.10417</v>
      </c>
      <c r="I4748" s="237" t="str">
        <f t="shared" si="1"/>
        <v>Fora</v>
      </c>
      <c r="J4748" s="239">
        <v>540.0</v>
      </c>
    </row>
    <row r="4749">
      <c r="A4749" s="234" t="s">
        <v>5756</v>
      </c>
      <c r="B4749" s="234" t="str">
        <f>IFERROR(__xludf.DUMMYFUNCTION("""COMPUTED_VALUE"""),"SoC_PE_Jaboatão dos Guararapes")</f>
        <v>SoC_PE_Jaboatão dos Guararapes</v>
      </c>
      <c r="C4749" s="234" t="str">
        <f>IFERROR(__xludf.DUMMYFUNCTION("""COMPUTED_VALUE"""),"SOC-PE2")</f>
        <v>SOC-PE2</v>
      </c>
      <c r="D4749" s="234">
        <f>IFERROR(__xludf.DUMMYFUNCTION("""COMPUTED_VALUE"""),98.0)</f>
        <v>98</v>
      </c>
      <c r="E4749" s="237" t="str">
        <f>IFERROR(__xludf.DUMMYFUNCTION("""COMPUTED_VALUE"""),"LT1Q1E01WOKO1")</f>
        <v>LT1Q1E01WOKO1</v>
      </c>
      <c r="F4749" s="238" t="str">
        <f>IFERROR(__xludf.DUMMYFUNCTION("""COMPUTED_VALUE"""),"OBB6B33,MLC7B26")</f>
        <v>OBB6B33,MLC7B26</v>
      </c>
      <c r="G4749" s="238">
        <f>IFERROR(__xludf.DUMMYFUNCTION("""COMPUTED_VALUE"""),46036.75)</f>
        <v>46036.75</v>
      </c>
      <c r="H4749" s="238">
        <f>IFERROR(__xludf.DUMMYFUNCTION("""COMPUTED_VALUE"""),46037.125)</f>
        <v>46037.125</v>
      </c>
      <c r="I4749" s="237" t="str">
        <f t="shared" si="1"/>
        <v>Fora</v>
      </c>
      <c r="J4749" s="239">
        <v>119.99999999301508</v>
      </c>
    </row>
    <row r="4750">
      <c r="A4750" s="234" t="s">
        <v>5757</v>
      </c>
      <c r="B4750" s="234" t="str">
        <f>IFERROR(__xludf.DUMMYFUNCTION("""COMPUTED_VALUE"""),"SoC_GO_Goiânia_02")</f>
        <v>SoC_GO_Goiânia_02</v>
      </c>
      <c r="C4750" s="234" t="str">
        <f>IFERROR(__xludf.DUMMYFUNCTION("""COMPUTED_VALUE"""),"SOC-GO2")</f>
        <v>SOC-GO2</v>
      </c>
      <c r="D4750" s="234"/>
      <c r="E4750" s="237" t="str">
        <f>IFERROR(__xludf.DUMMYFUNCTION("""COMPUTED_VALUE"""),"LT1Q1F01WP2T1")</f>
        <v>LT1Q1F01WP2T1</v>
      </c>
      <c r="F4750" s="238" t="str">
        <f>IFERROR(__xludf.DUMMYFUNCTION("""COMPUTED_VALUE"""),"TLN8C37")</f>
        <v>TLN8C37</v>
      </c>
      <c r="G4750" s="238">
        <f>IFERROR(__xludf.DUMMYFUNCTION("""COMPUTED_VALUE"""),46037.04166666667)</f>
        <v>46037.04167</v>
      </c>
      <c r="H4750" s="238">
        <f>IFERROR(__xludf.DUMMYFUNCTION("""COMPUTED_VALUE"""),46037.125)</f>
        <v>46037.125</v>
      </c>
      <c r="I4750" s="237" t="str">
        <f t="shared" si="1"/>
        <v>Fora</v>
      </c>
      <c r="J4750" s="239">
        <v>119.99999999301508</v>
      </c>
    </row>
    <row r="4751">
      <c r="A4751" s="234" t="s">
        <v>884</v>
      </c>
      <c r="B4751" s="234" t="str">
        <f>IFERROR(__xludf.DUMMYFUNCTION("""COMPUTED_VALUE"""),"SoC_MG_Betim")</f>
        <v>SoC_MG_Betim</v>
      </c>
      <c r="C4751" s="234" t="str">
        <f>IFERROR(__xludf.DUMMYFUNCTION("""COMPUTED_VALUE"""),"SOC-MG2")</f>
        <v>SOC-MG2</v>
      </c>
      <c r="D4751" s="234">
        <f>IFERROR(__xludf.DUMMYFUNCTION("""COMPUTED_VALUE"""),110.0)</f>
        <v>110</v>
      </c>
      <c r="E4751" s="237" t="str">
        <f>IFERROR(__xludf.DUMMYFUNCTION("""COMPUTED_VALUE"""),"LT1Q1E01WOMM1")</f>
        <v>LT1Q1E01WOMM1</v>
      </c>
      <c r="F4751" s="238" t="str">
        <f>IFERROR(__xludf.DUMMYFUNCTION("""COMPUTED_VALUE"""),"TKY1I89,TJC8C34")</f>
        <v>TKY1I89,TJC8C34</v>
      </c>
      <c r="G4751" s="238">
        <f>IFERROR(__xludf.DUMMYFUNCTION("""COMPUTED_VALUE"""),46037.04166666667)</f>
        <v>46037.04167</v>
      </c>
      <c r="H4751" s="238">
        <f>IFERROR(__xludf.DUMMYFUNCTION("""COMPUTED_VALUE"""),46037.125)</f>
        <v>46037.125</v>
      </c>
      <c r="I4751" s="237" t="str">
        <f t="shared" si="1"/>
        <v>Fora</v>
      </c>
      <c r="J4751" s="239">
        <v>119.99999999301508</v>
      </c>
    </row>
    <row r="4752">
      <c r="A4752" s="234" t="s">
        <v>5758</v>
      </c>
      <c r="B4752" s="234" t="str">
        <f>IFERROR(__xludf.DUMMYFUNCTION("""COMPUTED_VALUE"""),"SoC_PR_Curitiba")</f>
        <v>SoC_PR_Curitiba</v>
      </c>
      <c r="C4752" s="234" t="str">
        <f>IFERROR(__xludf.DUMMYFUNCTION("""COMPUTED_VALUE"""),"SOC-PR1")</f>
        <v>SOC-PR1</v>
      </c>
      <c r="D4752" s="234">
        <f>IFERROR(__xludf.DUMMYFUNCTION("""COMPUTED_VALUE"""),13.0)</f>
        <v>13</v>
      </c>
      <c r="E4752" s="237" t="str">
        <f>IFERROR(__xludf.DUMMYFUNCTION("""COMPUTED_VALUE"""),"LT1Q1E01WOMO1")</f>
        <v>LT1Q1E01WOMO1</v>
      </c>
      <c r="F4752" s="238" t="str">
        <f>IFERROR(__xludf.DUMMYFUNCTION("""COMPUTED_VALUE"""),"GIV3B36,QIU7735")</f>
        <v>GIV3B36,QIU7735</v>
      </c>
      <c r="G4752" s="238">
        <f>IFERROR(__xludf.DUMMYFUNCTION("""COMPUTED_VALUE"""),46037.04166666667)</f>
        <v>46037.04167</v>
      </c>
      <c r="H4752" s="238">
        <f>IFERROR(__xludf.DUMMYFUNCTION("""COMPUTED_VALUE"""),46037.125)</f>
        <v>46037.125</v>
      </c>
      <c r="I4752" s="237" t="str">
        <f t="shared" si="1"/>
        <v>Fora</v>
      </c>
      <c r="J4752" s="239">
        <v>119.99999999301508</v>
      </c>
    </row>
    <row r="4753">
      <c r="A4753" s="234" t="s">
        <v>5759</v>
      </c>
      <c r="B4753" s="234" t="str">
        <f>IFERROR(__xludf.DUMMYFUNCTION("""COMPUTED_VALUE"""),"SoC_RJ_Duque de Caxias")</f>
        <v>SoC_RJ_Duque de Caxias</v>
      </c>
      <c r="C4753" s="234" t="str">
        <f>IFERROR(__xludf.DUMMYFUNCTION("""COMPUTED_VALUE"""),"SOC-RJ2")</f>
        <v>SOC-RJ2</v>
      </c>
      <c r="D4753" s="234"/>
      <c r="E4753" s="237" t="str">
        <f>IFERROR(__xludf.DUMMYFUNCTION("""COMPUTED_VALUE"""),"LT1Q1E01WOMJ1")</f>
        <v>LT1Q1E01WOMJ1</v>
      </c>
      <c r="F4753" s="238" t="str">
        <f>IFERROR(__xludf.DUMMYFUNCTION("""COMPUTED_VALUE"""),"FLN3D82")</f>
        <v>FLN3D82</v>
      </c>
      <c r="G4753" s="238">
        <f>IFERROR(__xludf.DUMMYFUNCTION("""COMPUTED_VALUE"""),46037.04166666667)</f>
        <v>46037.04167</v>
      </c>
      <c r="H4753" s="238">
        <f>IFERROR(__xludf.DUMMYFUNCTION("""COMPUTED_VALUE"""),46037.125)</f>
        <v>46037.125</v>
      </c>
      <c r="I4753" s="237" t="str">
        <f t="shared" si="1"/>
        <v>Fora</v>
      </c>
      <c r="J4753" s="239">
        <v>119.99999999301508</v>
      </c>
    </row>
    <row r="4754">
      <c r="A4754" s="234" t="s">
        <v>5760</v>
      </c>
      <c r="B4754" s="234" t="str">
        <f>IFERROR(__xludf.DUMMYFUNCTION("""COMPUTED_VALUE"""),"SoC_RJ_Duque de Caxias")</f>
        <v>SoC_RJ_Duque de Caxias</v>
      </c>
      <c r="C4754" s="234" t="str">
        <f>IFERROR(__xludf.DUMMYFUNCTION("""COMPUTED_VALUE"""),"SOC-RJ2")</f>
        <v>SOC-RJ2</v>
      </c>
      <c r="D4754" s="234"/>
      <c r="E4754" s="237" t="str">
        <f>IFERROR(__xludf.DUMMYFUNCTION("""COMPUTED_VALUE"""),"LT1Q1E01WOMK1")</f>
        <v>LT1Q1E01WOMK1</v>
      </c>
      <c r="F4754" s="238" t="str">
        <f>IFERROR(__xludf.DUMMYFUNCTION("""COMPUTED_VALUE"""),"MLO0H90")</f>
        <v>MLO0H90</v>
      </c>
      <c r="G4754" s="238">
        <f>IFERROR(__xludf.DUMMYFUNCTION("""COMPUTED_VALUE"""),46037.04166666667)</f>
        <v>46037.04167</v>
      </c>
      <c r="H4754" s="238">
        <f>IFERROR(__xludf.DUMMYFUNCTION("""COMPUTED_VALUE"""),46037.125)</f>
        <v>46037.125</v>
      </c>
      <c r="I4754" s="237" t="str">
        <f t="shared" si="1"/>
        <v>Fora</v>
      </c>
      <c r="J4754" s="239">
        <v>600.0000000069849</v>
      </c>
    </row>
    <row r="4755">
      <c r="A4755" s="234" t="s">
        <v>5761</v>
      </c>
      <c r="B4755" s="234" t="str">
        <f>IFERROR(__xludf.DUMMYFUNCTION("""COMPUTED_VALUE"""),"SoC_BA_Simoes Filho")</f>
        <v>SoC_BA_Simoes Filho</v>
      </c>
      <c r="C4755" s="234" t="str">
        <f>IFERROR(__xludf.DUMMYFUNCTION("""COMPUTED_VALUE"""),"SOC-BA2")</f>
        <v>SOC-BA2</v>
      </c>
      <c r="D4755" s="234">
        <f>IFERROR(__xludf.DUMMYFUNCTION("""COMPUTED_VALUE"""),89.0)</f>
        <v>89</v>
      </c>
      <c r="E4755" s="237" t="str">
        <f>IFERROR(__xludf.DUMMYFUNCTION("""COMPUTED_VALUE"""),"LT0Q1E01WETS1")</f>
        <v>LT0Q1E01WETS1</v>
      </c>
      <c r="F4755" s="238" t="str">
        <f>IFERROR(__xludf.DUMMYFUNCTION("""COMPUTED_VALUE"""),"AYH3H43,MBD6E91")</f>
        <v>AYH3H43,MBD6E91</v>
      </c>
      <c r="G4755" s="238">
        <f>IFERROR(__xludf.DUMMYFUNCTION("""COMPUTED_VALUE"""),46036.75)</f>
        <v>46036.75</v>
      </c>
      <c r="H4755" s="238">
        <f>IFERROR(__xludf.DUMMYFUNCTION("""COMPUTED_VALUE"""),46037.16666666667)</f>
        <v>46037.16667</v>
      </c>
      <c r="I4755" s="237" t="str">
        <f t="shared" si="1"/>
        <v>Fora</v>
      </c>
      <c r="J4755" s="239">
        <v>600.0000000069849</v>
      </c>
    </row>
    <row r="4756">
      <c r="A4756" s="234" t="s">
        <v>5762</v>
      </c>
      <c r="B4756" s="234" t="str">
        <f>IFERROR(__xludf.DUMMYFUNCTION("""COMPUTED_VALUE"""),"SoC_MG_Betim")</f>
        <v>SoC_MG_Betim</v>
      </c>
      <c r="C4756" s="234" t="str">
        <f>IFERROR(__xludf.DUMMYFUNCTION("""COMPUTED_VALUE"""),"SOC-MG2")</f>
        <v>SOC-MG2</v>
      </c>
      <c r="D4756" s="234">
        <f>IFERROR(__xludf.DUMMYFUNCTION("""COMPUTED_VALUE"""),91.0)</f>
        <v>91</v>
      </c>
      <c r="E4756" s="237" t="str">
        <f>IFERROR(__xludf.DUMMYFUNCTION("""COMPUTED_VALUE"""),"LT0Q1E01W92T1")</f>
        <v>LT0Q1E01W92T1</v>
      </c>
      <c r="F4756" s="238" t="str">
        <f>IFERROR(__xludf.DUMMYFUNCTION("""COMPUTED_VALUE"""),"SWR6H23,FTZ4B35")</f>
        <v>SWR6H23,FTZ4B35</v>
      </c>
      <c r="G4756" s="238">
        <f>IFERROR(__xludf.DUMMYFUNCTION("""COMPUTED_VALUE"""),46036.75)</f>
        <v>46036.75</v>
      </c>
      <c r="H4756" s="238">
        <f>IFERROR(__xludf.DUMMYFUNCTION("""COMPUTED_VALUE"""),46037.16666666667)</f>
        <v>46037.16667</v>
      </c>
      <c r="I4756" s="237" t="str">
        <f t="shared" si="1"/>
        <v>Fora</v>
      </c>
      <c r="J4756" s="239">
        <v>540.0</v>
      </c>
    </row>
    <row r="4757">
      <c r="A4757" s="234" t="s">
        <v>5763</v>
      </c>
      <c r="B4757" s="234" t="str">
        <f>IFERROR(__xludf.DUMMYFUNCTION("""COMPUTED_VALUE"""),"SoC_MG_Betim")</f>
        <v>SoC_MG_Betim</v>
      </c>
      <c r="C4757" s="234" t="str">
        <f>IFERROR(__xludf.DUMMYFUNCTION("""COMPUTED_VALUE"""),"SOC-MG2")</f>
        <v>SOC-MG2</v>
      </c>
      <c r="D4757" s="234">
        <f>IFERROR(__xludf.DUMMYFUNCTION("""COMPUTED_VALUE"""),91.0)</f>
        <v>91</v>
      </c>
      <c r="E4757" s="237" t="str">
        <f>IFERROR(__xludf.DUMMYFUNCTION("""COMPUTED_VALUE"""),"LT1Q1E01WOML1")</f>
        <v>LT1Q1E01WOML1</v>
      </c>
      <c r="F4757" s="238" t="str">
        <f>IFERROR(__xludf.DUMMYFUNCTION("""COMPUTED_VALUE"""),"PLE2A87,FVP4B91")</f>
        <v>PLE2A87,FVP4B91</v>
      </c>
      <c r="G4757" s="238">
        <f>IFERROR(__xludf.DUMMYFUNCTION("""COMPUTED_VALUE"""),46036.79166666667)</f>
        <v>46036.79167</v>
      </c>
      <c r="H4757" s="238">
        <f>IFERROR(__xludf.DUMMYFUNCTION("""COMPUTED_VALUE"""),46037.16666666667)</f>
        <v>46037.16667</v>
      </c>
      <c r="I4757" s="237" t="str">
        <f t="shared" si="1"/>
        <v>Fora</v>
      </c>
      <c r="J4757" s="239">
        <v>540.0</v>
      </c>
    </row>
    <row r="4758">
      <c r="A4758" s="234" t="s">
        <v>5764</v>
      </c>
      <c r="B4758" s="234" t="str">
        <f>IFERROR(__xludf.DUMMYFUNCTION("""COMPUTED_VALUE"""),"SoC_PE_Jaboatão dos Guararapes")</f>
        <v>SoC_PE_Jaboatão dos Guararapes</v>
      </c>
      <c r="C4758" s="234" t="str">
        <f>IFERROR(__xludf.DUMMYFUNCTION("""COMPUTED_VALUE"""),"SOC-PE2")</f>
        <v>SOC-PE2</v>
      </c>
      <c r="D4758" s="234">
        <f>IFERROR(__xludf.DUMMYFUNCTION("""COMPUTED_VALUE"""),98.0)</f>
        <v>98</v>
      </c>
      <c r="E4758" s="237" t="str">
        <f>IFERROR(__xludf.DUMMYFUNCTION("""COMPUTED_VALUE"""),"LT1Q1E01WP5R1")</f>
        <v>LT1Q1E01WP5R1</v>
      </c>
      <c r="F4758" s="238" t="str">
        <f>IFERROR(__xludf.DUMMYFUNCTION("""COMPUTED_VALUE"""),"DPC5A32,ATR4J88")</f>
        <v>DPC5A32,ATR4J88</v>
      </c>
      <c r="G4758" s="238">
        <f>IFERROR(__xludf.DUMMYFUNCTION("""COMPUTED_VALUE"""),46036.79166666667)</f>
        <v>46036.79167</v>
      </c>
      <c r="H4758" s="238">
        <f>IFERROR(__xludf.DUMMYFUNCTION("""COMPUTED_VALUE"""),46037.16666666667)</f>
        <v>46037.16667</v>
      </c>
      <c r="I4758" s="237" t="str">
        <f t="shared" si="1"/>
        <v>Fora</v>
      </c>
      <c r="J4758" s="239">
        <v>540.0</v>
      </c>
    </row>
    <row r="4759">
      <c r="A4759" s="234" t="s">
        <v>5765</v>
      </c>
      <c r="B4759" s="234" t="str">
        <f>IFERROR(__xludf.DUMMYFUNCTION("""COMPUTED_VALUE"""),"SoC_RJ_Duque de Caxias")</f>
        <v>SoC_RJ_Duque de Caxias</v>
      </c>
      <c r="C4759" s="234" t="str">
        <f>IFERROR(__xludf.DUMMYFUNCTION("""COMPUTED_VALUE"""),"SOC-RJ2")</f>
        <v>SOC-RJ2</v>
      </c>
      <c r="D4759" s="234">
        <f>IFERROR(__xludf.DUMMYFUNCTION("""COMPUTED_VALUE"""),96.0)</f>
        <v>96</v>
      </c>
      <c r="E4759" s="237" t="str">
        <f>IFERROR(__xludf.DUMMYFUNCTION("""COMPUTED_VALUE"""),"LT1Q1E01WOKZ1")</f>
        <v>LT1Q1E01WOKZ1</v>
      </c>
      <c r="F4759" s="238" t="str">
        <f>IFERROR(__xludf.DUMMYFUNCTION("""COMPUTED_VALUE"""),"BZF4B42,ATP5H78")</f>
        <v>BZF4B42,ATP5H78</v>
      </c>
      <c r="G4759" s="238">
        <f>IFERROR(__xludf.DUMMYFUNCTION("""COMPUTED_VALUE"""),46036.79166666667)</f>
        <v>46036.79167</v>
      </c>
      <c r="H4759" s="238">
        <f>IFERROR(__xludf.DUMMYFUNCTION("""COMPUTED_VALUE"""),46037.16666666667)</f>
        <v>46037.16667</v>
      </c>
      <c r="I4759" s="237" t="str">
        <f t="shared" si="1"/>
        <v>Fora</v>
      </c>
      <c r="J4759" s="239">
        <v>120.00000001396984</v>
      </c>
    </row>
    <row r="4760">
      <c r="A4760" s="234" t="s">
        <v>5766</v>
      </c>
      <c r="B4760" s="234" t="str">
        <f>IFERROR(__xludf.DUMMYFUNCTION("""COMPUTED_VALUE"""),"SoC_PE_Jaboatão dos Guararapes")</f>
        <v>SoC_PE_Jaboatão dos Guararapes</v>
      </c>
      <c r="C4760" s="234" t="str">
        <f>IFERROR(__xludf.DUMMYFUNCTION("""COMPUTED_VALUE"""),"SOC-PE2")</f>
        <v>SOC-PE2</v>
      </c>
      <c r="D4760" s="234"/>
      <c r="E4760" s="237" t="str">
        <f>IFERROR(__xludf.DUMMYFUNCTION("""COMPUTED_VALUE"""),"LT1Q1F01WP2L1")</f>
        <v>LT1Q1F01WP2L1</v>
      </c>
      <c r="F4760" s="238" t="str">
        <f>IFERROR(__xludf.DUMMYFUNCTION("""COMPUTED_VALUE"""),"PLM7D91,OES4276")</f>
        <v>PLM7D91,OES4276</v>
      </c>
      <c r="G4760" s="238">
        <f>IFERROR(__xludf.DUMMYFUNCTION("""COMPUTED_VALUE"""),46037.08333333333)</f>
        <v>46037.08333</v>
      </c>
      <c r="H4760" s="238">
        <f>IFERROR(__xludf.DUMMYFUNCTION("""COMPUTED_VALUE"""),46037.16666666667)</f>
        <v>46037.16667</v>
      </c>
      <c r="I4760" s="237" t="str">
        <f t="shared" si="1"/>
        <v>Fora</v>
      </c>
      <c r="J4760" s="239">
        <v>120.00000001396984</v>
      </c>
    </row>
    <row r="4761">
      <c r="A4761" s="234" t="s">
        <v>5767</v>
      </c>
      <c r="B4761" s="234" t="str">
        <f>IFERROR(__xludf.DUMMYFUNCTION("""COMPUTED_VALUE"""),"SoC_RJ_Duque de Caxias")</f>
        <v>SoC_RJ_Duque de Caxias</v>
      </c>
      <c r="C4761" s="234" t="str">
        <f>IFERROR(__xludf.DUMMYFUNCTION("""COMPUTED_VALUE"""),"SOC-RJ2")</f>
        <v>SOC-RJ2</v>
      </c>
      <c r="D4761" s="234"/>
      <c r="E4761" s="237" t="str">
        <f>IFERROR(__xludf.DUMMYFUNCTION("""COMPUTED_VALUE"""),"LT1Q1F01WOL11")</f>
        <v>LT1Q1F01WOL11</v>
      </c>
      <c r="F4761" s="238" t="str">
        <f>IFERROR(__xludf.DUMMYFUNCTION("""COMPUTED_VALUE"""),"IQS6G15,CYB9F64")</f>
        <v>IQS6G15,CYB9F64</v>
      </c>
      <c r="G4761" s="238">
        <f>IFERROR(__xludf.DUMMYFUNCTION("""COMPUTED_VALUE"""),46037.08333333333)</f>
        <v>46037.08333</v>
      </c>
      <c r="H4761" s="238">
        <f>IFERROR(__xludf.DUMMYFUNCTION("""COMPUTED_VALUE"""),46037.16666666667)</f>
        <v>46037.16667</v>
      </c>
      <c r="I4761" s="237" t="str">
        <f t="shared" si="1"/>
        <v>Fora</v>
      </c>
      <c r="J4761" s="239">
        <v>120.00000001396984</v>
      </c>
    </row>
    <row r="4762">
      <c r="A4762" s="234" t="s">
        <v>5768</v>
      </c>
      <c r="B4762" s="234" t="str">
        <f>IFERROR(__xludf.DUMMYFUNCTION("""COMPUTED_VALUE"""),"SoC_RS_Gravataí_02")</f>
        <v>SoC_RS_Gravataí_02</v>
      </c>
      <c r="C4762" s="234" t="str">
        <f>IFERROR(__xludf.DUMMYFUNCTION("""COMPUTED_VALUE"""),"SOC-RS2")</f>
        <v>SOC-RS2</v>
      </c>
      <c r="D4762" s="234">
        <f>IFERROR(__xludf.DUMMYFUNCTION("""COMPUTED_VALUE"""),26.0)</f>
        <v>26</v>
      </c>
      <c r="E4762" s="237" t="str">
        <f>IFERROR(__xludf.DUMMYFUNCTION("""COMPUTED_VALUE"""),"LT1Q1F01WP2P1")</f>
        <v>LT1Q1F01WP2P1</v>
      </c>
      <c r="F4762" s="238" t="str">
        <f>IFERROR(__xludf.DUMMYFUNCTION("""COMPUTED_VALUE"""),"TQA3J98,EML4H02")</f>
        <v>TQA3J98,EML4H02</v>
      </c>
      <c r="G4762" s="238">
        <f>IFERROR(__xludf.DUMMYFUNCTION("""COMPUTED_VALUE"""),46037.08333333333)</f>
        <v>46037.08333</v>
      </c>
      <c r="H4762" s="238">
        <f>IFERROR(__xludf.DUMMYFUNCTION("""COMPUTED_VALUE"""),46037.16666666667)</f>
        <v>46037.16667</v>
      </c>
      <c r="I4762" s="237" t="str">
        <f t="shared" si="1"/>
        <v>Fora</v>
      </c>
      <c r="J4762" s="239">
        <v>120.00000001396984</v>
      </c>
    </row>
    <row r="4763">
      <c r="A4763" s="234" t="s">
        <v>5769</v>
      </c>
      <c r="B4763" s="234" t="str">
        <f>IFERROR(__xludf.DUMMYFUNCTION("""COMPUTED_VALUE"""),"SoC_SC_Itajaí")</f>
        <v>SoC_SC_Itajaí</v>
      </c>
      <c r="C4763" s="234" t="str">
        <f>IFERROR(__xludf.DUMMYFUNCTION("""COMPUTED_VALUE"""),"SOC-SC1")</f>
        <v>SOC-SC1</v>
      </c>
      <c r="D4763" s="234"/>
      <c r="E4763" s="237" t="str">
        <f>IFERROR(__xludf.DUMMYFUNCTION("""COMPUTED_VALUE"""),"LT1Q1F01WP5I1")</f>
        <v>LT1Q1F01WP5I1</v>
      </c>
      <c r="F4763" s="238" t="str">
        <f>IFERROR(__xludf.DUMMYFUNCTION("""COMPUTED_VALUE"""),"NEF7J67,FOJ7J76")</f>
        <v>NEF7J67,FOJ7J76</v>
      </c>
      <c r="G4763" s="238">
        <f>IFERROR(__xludf.DUMMYFUNCTION("""COMPUTED_VALUE"""),46037.08333333333)</f>
        <v>46037.08333</v>
      </c>
      <c r="H4763" s="238">
        <f>IFERROR(__xludf.DUMMYFUNCTION("""COMPUTED_VALUE"""),46037.16666666667)</f>
        <v>46037.16667</v>
      </c>
      <c r="I4763" s="237" t="str">
        <f t="shared" si="1"/>
        <v>Fora</v>
      </c>
      <c r="J4763" s="239">
        <v>119.00000001071021</v>
      </c>
    </row>
    <row r="4764">
      <c r="A4764" s="234" t="s">
        <v>5770</v>
      </c>
      <c r="B4764" s="234" t="str">
        <f>IFERROR(__xludf.DUMMYFUNCTION("""COMPUTED_VALUE"""),"SoC_SP_Guarulhos")</f>
        <v>SoC_SP_Guarulhos</v>
      </c>
      <c r="C4764" s="234" t="str">
        <f>IFERROR(__xludf.DUMMYFUNCTION("""COMPUTED_VALUE"""),"SOC-SP6")</f>
        <v>SOC-SP6</v>
      </c>
      <c r="D4764" s="234">
        <f>IFERROR(__xludf.DUMMYFUNCTION("""COMPUTED_VALUE"""),44.0)</f>
        <v>44</v>
      </c>
      <c r="E4764" s="237" t="str">
        <f>IFERROR(__xludf.DUMMYFUNCTION("""COMPUTED_VALUE"""),"LT0Q1F01WA6A1")</f>
        <v>LT0Q1F01WA6A1</v>
      </c>
      <c r="F4764" s="238" t="str">
        <f>IFERROR(__xludf.DUMMYFUNCTION("""COMPUTED_VALUE"""),"DPR5J10,TJX9B42")</f>
        <v>DPR5J10,TJX9B42</v>
      </c>
      <c r="G4764" s="238">
        <f>IFERROR(__xludf.DUMMYFUNCTION("""COMPUTED_VALUE"""),46037.084027777775)</f>
        <v>46037.08403</v>
      </c>
      <c r="H4764" s="238">
        <f>IFERROR(__xludf.DUMMYFUNCTION("""COMPUTED_VALUE"""),46037.16666666667)</f>
        <v>46037.16667</v>
      </c>
      <c r="I4764" s="237" t="str">
        <f t="shared" si="1"/>
        <v>Fora</v>
      </c>
      <c r="J4764" s="239">
        <v>119.99999999301508</v>
      </c>
    </row>
    <row r="4765">
      <c r="A4765" s="234" t="s">
        <v>5771</v>
      </c>
      <c r="B4765" s="234" t="str">
        <f>IFERROR(__xludf.DUMMYFUNCTION("""COMPUTED_VALUE"""),"LM Hub_SP_Itapetininga")</f>
        <v>LM Hub_SP_Itapetininga</v>
      </c>
      <c r="C4765" s="234" t="str">
        <f>IFERROR(__xludf.DUMMYFUNCTION("""COMPUTED_VALUE"""),"HUB-LSP-53")</f>
        <v>HUB-LSP-53</v>
      </c>
      <c r="D4765" s="234">
        <f>IFERROR(__xludf.DUMMYFUNCTION("""COMPUTED_VALUE"""),38.0)</f>
        <v>38</v>
      </c>
      <c r="E4765" s="237" t="str">
        <f>IFERROR(__xludf.DUMMYFUNCTION("""COMPUTED_VALUE"""),"LT0Q1F01W98X1")</f>
        <v>LT0Q1F01W98X1</v>
      </c>
      <c r="F4765" s="238" t="str">
        <f>IFERROR(__xludf.DUMMYFUNCTION("""COMPUTED_VALUE"""),"FLQ1E34,FLQ1E30")</f>
        <v>FLQ1E34,FLQ1E30</v>
      </c>
      <c r="G4765" s="238">
        <f>IFERROR(__xludf.DUMMYFUNCTION("""COMPUTED_VALUE"""),46037.10416666667)</f>
        <v>46037.10417</v>
      </c>
      <c r="H4765" s="238">
        <f>IFERROR(__xludf.DUMMYFUNCTION("""COMPUTED_VALUE"""),46037.1875)</f>
        <v>46037.1875</v>
      </c>
      <c r="I4765" s="237" t="str">
        <f t="shared" si="1"/>
        <v>Fora</v>
      </c>
      <c r="J4765" s="239">
        <v>119.99999999301508</v>
      </c>
    </row>
    <row r="4766">
      <c r="A4766" s="234" t="s">
        <v>5772</v>
      </c>
      <c r="B4766" s="234" t="str">
        <f>IFERROR(__xludf.DUMMYFUNCTION("""COMPUTED_VALUE"""),"LM Hub_SP_São Carlos")</f>
        <v>LM Hub_SP_São Carlos</v>
      </c>
      <c r="C4766" s="234" t="str">
        <f>IFERROR(__xludf.DUMMYFUNCTION("""COMPUTED_VALUE"""),"HUB-LSP-31")</f>
        <v>HUB-LSP-31</v>
      </c>
      <c r="D4766" s="234">
        <f>IFERROR(__xludf.DUMMYFUNCTION("""COMPUTED_VALUE"""),34.0)</f>
        <v>34</v>
      </c>
      <c r="E4766" s="237" t="str">
        <f>IFERROR(__xludf.DUMMYFUNCTION("""COMPUTED_VALUE"""),"LT0Q1F01W9BR1")</f>
        <v>LT0Q1F01W9BR1</v>
      </c>
      <c r="F4766" s="238" t="str">
        <f>IFERROR(__xludf.DUMMYFUNCTION("""COMPUTED_VALUE"""),"DYL0G56")</f>
        <v>DYL0G56</v>
      </c>
      <c r="G4766" s="238">
        <f>IFERROR(__xludf.DUMMYFUNCTION("""COMPUTED_VALUE"""),46037.10416666667)</f>
        <v>46037.10417</v>
      </c>
      <c r="H4766" s="238">
        <f>IFERROR(__xludf.DUMMYFUNCTION("""COMPUTED_VALUE"""),46037.1875)</f>
        <v>46037.1875</v>
      </c>
      <c r="I4766" s="237" t="str">
        <f t="shared" si="1"/>
        <v>Fora</v>
      </c>
      <c r="J4766" s="239">
        <v>540.0</v>
      </c>
    </row>
    <row r="4767">
      <c r="A4767" s="234" t="s">
        <v>5773</v>
      </c>
      <c r="B4767" s="234" t="str">
        <f>IFERROR(__xludf.DUMMYFUNCTION("""COMPUTED_VALUE"""),"SoC_RJ_Duque de Caxias")</f>
        <v>SoC_RJ_Duque de Caxias</v>
      </c>
      <c r="C4767" s="234" t="str">
        <f>IFERROR(__xludf.DUMMYFUNCTION("""COMPUTED_VALUE"""),"SOC-RJ2")</f>
        <v>SOC-RJ2</v>
      </c>
      <c r="D4767" s="234">
        <f>IFERROR(__xludf.DUMMYFUNCTION("""COMPUTED_VALUE"""),96.0)</f>
        <v>96</v>
      </c>
      <c r="E4767" s="237" t="str">
        <f>IFERROR(__xludf.DUMMYFUNCTION("""COMPUTED_VALUE"""),"LT1Q1E01WP2F1")</f>
        <v>LT1Q1E01WP2F1</v>
      </c>
      <c r="F4767" s="238" t="str">
        <f>IFERROR(__xludf.DUMMYFUNCTION("""COMPUTED_VALUE"""),"FCG2F06,MCU5G06")</f>
        <v>FCG2F06,MCU5G06</v>
      </c>
      <c r="G4767" s="238">
        <f>IFERROR(__xludf.DUMMYFUNCTION("""COMPUTED_VALUE"""),46036.83333333333)</f>
        <v>46036.83333</v>
      </c>
      <c r="H4767" s="238">
        <f>IFERROR(__xludf.DUMMYFUNCTION("""COMPUTED_VALUE"""),46037.20833333333)</f>
        <v>46037.20833</v>
      </c>
      <c r="I4767" s="237" t="str">
        <f t="shared" si="1"/>
        <v>Fora</v>
      </c>
      <c r="J4767" s="239">
        <v>540.0</v>
      </c>
    </row>
    <row r="4768">
      <c r="A4768" s="234" t="s">
        <v>5774</v>
      </c>
      <c r="B4768" s="234" t="str">
        <f>IFERROR(__xludf.DUMMYFUNCTION("""COMPUTED_VALUE"""),"SoC_SP_Cravinhos")</f>
        <v>SoC_SP_Cravinhos</v>
      </c>
      <c r="C4768" s="234" t="str">
        <f>IFERROR(__xludf.DUMMYFUNCTION("""COMPUTED_VALUE"""),"SOC-SP5")</f>
        <v>SOC-SP5</v>
      </c>
      <c r="D4768" s="234">
        <f>IFERROR(__xludf.DUMMYFUNCTION("""COMPUTED_VALUE"""),94.0)</f>
        <v>94</v>
      </c>
      <c r="E4768" s="237" t="str">
        <f>IFERROR(__xludf.DUMMYFUNCTION("""COMPUTED_VALUE"""),"LT1Q1E01WP2A1")</f>
        <v>LT1Q1E01WP2A1</v>
      </c>
      <c r="F4768" s="238" t="str">
        <f>IFERROR(__xludf.DUMMYFUNCTION("""COMPUTED_VALUE"""),"CUB4G63,FJP9A82")</f>
        <v>CUB4G63,FJP9A82</v>
      </c>
      <c r="G4768" s="238">
        <f>IFERROR(__xludf.DUMMYFUNCTION("""COMPUTED_VALUE"""),46036.83333333333)</f>
        <v>46036.83333</v>
      </c>
      <c r="H4768" s="238">
        <f>IFERROR(__xludf.DUMMYFUNCTION("""COMPUTED_VALUE"""),46037.20833333333)</f>
        <v>46037.20833</v>
      </c>
      <c r="I4768" s="237" t="str">
        <f t="shared" si="1"/>
        <v>Fora</v>
      </c>
      <c r="J4768" s="239">
        <v>180.0</v>
      </c>
    </row>
    <row r="4769">
      <c r="A4769" s="234" t="s">
        <v>5775</v>
      </c>
      <c r="B4769" s="234" t="str">
        <f>IFERROR(__xludf.DUMMYFUNCTION("""COMPUTED_VALUE"""),"SoC_SP_Santana")</f>
        <v>SoC_SP_Santana</v>
      </c>
      <c r="C4769" s="234" t="str">
        <f>IFERROR(__xludf.DUMMYFUNCTION("""COMPUTED_VALUE"""),"SOC-SP2")</f>
        <v>SOC-SP2</v>
      </c>
      <c r="D4769" s="234"/>
      <c r="E4769" s="237" t="str">
        <f>IFERROR(__xludf.DUMMYFUNCTION("""COMPUTED_VALUE"""),"LT0Q1F01W9OR1")</f>
        <v>LT0Q1F01W9OR1</v>
      </c>
      <c r="F4769" s="238" t="str">
        <f>IFERROR(__xludf.DUMMYFUNCTION("""COMPUTED_VALUE"""),"STN7J16,DAE4D51,DAE4E21")</f>
        <v>STN7J16,DAE4D51,DAE4E21</v>
      </c>
      <c r="G4769" s="238">
        <f>IFERROR(__xludf.DUMMYFUNCTION("""COMPUTED_VALUE"""),46037.08333333333)</f>
        <v>46037.08333</v>
      </c>
      <c r="H4769" s="238">
        <f>IFERROR(__xludf.DUMMYFUNCTION("""COMPUTED_VALUE"""),46037.20833333333)</f>
        <v>46037.20833</v>
      </c>
      <c r="I4769" s="237" t="str">
        <f t="shared" si="1"/>
        <v>Fora</v>
      </c>
      <c r="J4769" s="239">
        <v>119.99999999301508</v>
      </c>
    </row>
    <row r="4770">
      <c r="A4770" s="234" t="s">
        <v>5776</v>
      </c>
      <c r="B4770" s="234" t="str">
        <f>IFERROR(__xludf.DUMMYFUNCTION("""COMPUTED_VALUE"""),"LM Hub_SP_Itapeva")</f>
        <v>LM Hub_SP_Itapeva</v>
      </c>
      <c r="C4770" s="234" t="str">
        <f>IFERROR(__xludf.DUMMYFUNCTION("""COMPUTED_VALUE"""),"HUB-LSP-39")</f>
        <v>HUB-LSP-39</v>
      </c>
      <c r="D4770" s="234">
        <f>IFERROR(__xludf.DUMMYFUNCTION("""COMPUTED_VALUE"""),8.0)</f>
        <v>8</v>
      </c>
      <c r="E4770" s="237" t="str">
        <f>IFERROR(__xludf.DUMMYFUNCTION("""COMPUTED_VALUE"""),"LT0Q1F01W9991")</f>
        <v>LT0Q1F01W9991</v>
      </c>
      <c r="F4770" s="238" t="str">
        <f>IFERROR(__xludf.DUMMYFUNCTION("""COMPUTED_VALUE"""),"FCT0F31")</f>
        <v>FCT0F31</v>
      </c>
      <c r="G4770" s="238">
        <f>IFERROR(__xludf.DUMMYFUNCTION("""COMPUTED_VALUE"""),46037.125)</f>
        <v>46037.125</v>
      </c>
      <c r="H4770" s="238">
        <f>IFERROR(__xludf.DUMMYFUNCTION("""COMPUTED_VALUE"""),46037.20833333333)</f>
        <v>46037.20833</v>
      </c>
      <c r="I4770" s="237" t="str">
        <f t="shared" si="1"/>
        <v>Fora</v>
      </c>
      <c r="J4770" s="239">
        <v>119.99999999301508</v>
      </c>
    </row>
    <row r="4771">
      <c r="A4771" s="234" t="s">
        <v>5777</v>
      </c>
      <c r="B4771" s="234" t="str">
        <f>IFERROR(__xludf.DUMMYFUNCTION("""COMPUTED_VALUE"""),"LM Hub_SP_Sumaré_Nova Veneza_1")</f>
        <v>LM Hub_SP_Sumaré_Nova Veneza_1</v>
      </c>
      <c r="C4771" s="234" t="str">
        <f>IFERROR(__xludf.DUMMYFUNCTION("""COMPUTED_VALUE"""),"HUB-LSP-88")</f>
        <v>HUB-LSP-88</v>
      </c>
      <c r="D4771" s="234">
        <f>IFERROR(__xludf.DUMMYFUNCTION("""COMPUTED_VALUE"""),9.0)</f>
        <v>9</v>
      </c>
      <c r="E4771" s="237" t="str">
        <f>IFERROR(__xludf.DUMMYFUNCTION("""COMPUTED_VALUE"""),"LT0Q1F01WEDO1")</f>
        <v>LT0Q1F01WEDO1</v>
      </c>
      <c r="F4771" s="238" t="str">
        <f>IFERROR(__xludf.DUMMYFUNCTION("""COMPUTED_VALUE"""),"TLW1F27")</f>
        <v>TLW1F27</v>
      </c>
      <c r="G4771" s="238">
        <f>IFERROR(__xludf.DUMMYFUNCTION("""COMPUTED_VALUE"""),46037.125)</f>
        <v>46037.125</v>
      </c>
      <c r="H4771" s="238">
        <f>IFERROR(__xludf.DUMMYFUNCTION("""COMPUTED_VALUE"""),46037.20833333333)</f>
        <v>46037.20833</v>
      </c>
      <c r="I4771" s="237" t="str">
        <f t="shared" si="1"/>
        <v>Fora</v>
      </c>
      <c r="J4771" s="239">
        <v>119.99999999301508</v>
      </c>
    </row>
    <row r="4772">
      <c r="A4772" s="234" t="s">
        <v>5778</v>
      </c>
      <c r="B4772" s="234" t="str">
        <f>IFERROR(__xludf.DUMMYFUNCTION("""COMPUTED_VALUE"""),"SoC_GO_Goiânia_02")</f>
        <v>SoC_GO_Goiânia_02</v>
      </c>
      <c r="C4772" s="234" t="str">
        <f>IFERROR(__xludf.DUMMYFUNCTION("""COMPUTED_VALUE"""),"SOC-GO2")</f>
        <v>SOC-GO2</v>
      </c>
      <c r="D4772" s="234">
        <f>IFERROR(__xludf.DUMMYFUNCTION("""COMPUTED_VALUE"""),49.0)</f>
        <v>49</v>
      </c>
      <c r="E4772" s="237" t="str">
        <f>IFERROR(__xludf.DUMMYFUNCTION("""COMPUTED_VALUE"""),"LT1Q1F01WP2U1")</f>
        <v>LT1Q1F01WP2U1</v>
      </c>
      <c r="F4772" s="238" t="str">
        <f>IFERROR(__xludf.DUMMYFUNCTION("""COMPUTED_VALUE"""),"QBL1G06,NGZ2H35")</f>
        <v>QBL1G06,NGZ2H35</v>
      </c>
      <c r="G4772" s="238">
        <f>IFERROR(__xludf.DUMMYFUNCTION("""COMPUTED_VALUE"""),46037.125)</f>
        <v>46037.125</v>
      </c>
      <c r="H4772" s="238">
        <f>IFERROR(__xludf.DUMMYFUNCTION("""COMPUTED_VALUE"""),46037.20833333333)</f>
        <v>46037.20833</v>
      </c>
      <c r="I4772" s="237" t="str">
        <f t="shared" si="1"/>
        <v>Fora</v>
      </c>
      <c r="J4772" s="239">
        <v>119.99999999301508</v>
      </c>
    </row>
    <row r="4773">
      <c r="A4773" s="234" t="s">
        <v>885</v>
      </c>
      <c r="B4773" s="234" t="str">
        <f>IFERROR(__xludf.DUMMYFUNCTION("""COMPUTED_VALUE"""),"SoC_MG_Betim")</f>
        <v>SoC_MG_Betim</v>
      </c>
      <c r="C4773" s="234" t="str">
        <f>IFERROR(__xludf.DUMMYFUNCTION("""COMPUTED_VALUE"""),"SOC-MG2")</f>
        <v>SOC-MG2</v>
      </c>
      <c r="D4773" s="234"/>
      <c r="E4773" s="237" t="str">
        <f>IFERROR(__xludf.DUMMYFUNCTION("""COMPUTED_VALUE"""),"LT1Q1F01WOKJ1")</f>
        <v>LT1Q1F01WOKJ1</v>
      </c>
      <c r="F4773" s="238" t="str">
        <f>IFERROR(__xludf.DUMMYFUNCTION("""COMPUTED_VALUE"""),"OXI1I76,FYP4E92")</f>
        <v>OXI1I76,FYP4E92</v>
      </c>
      <c r="G4773" s="238">
        <f>IFERROR(__xludf.DUMMYFUNCTION("""COMPUTED_VALUE"""),46037.125)</f>
        <v>46037.125</v>
      </c>
      <c r="H4773" s="238">
        <f>IFERROR(__xludf.DUMMYFUNCTION("""COMPUTED_VALUE"""),46037.20833333333)</f>
        <v>46037.20833</v>
      </c>
      <c r="I4773" s="237" t="str">
        <f t="shared" si="1"/>
        <v>Fora</v>
      </c>
      <c r="J4773" s="239">
        <v>119.99999999301508</v>
      </c>
    </row>
    <row r="4774">
      <c r="A4774" s="234" t="s">
        <v>5779</v>
      </c>
      <c r="B4774" s="234" t="str">
        <f>IFERROR(__xludf.DUMMYFUNCTION("""COMPUTED_VALUE"""),"SoC_PE_Jaboatão dos Guararapes")</f>
        <v>SoC_PE_Jaboatão dos Guararapes</v>
      </c>
      <c r="C4774" s="234" t="str">
        <f>IFERROR(__xludf.DUMMYFUNCTION("""COMPUTED_VALUE"""),"SOC-PE2")</f>
        <v>SOC-PE2</v>
      </c>
      <c r="D4774" s="234"/>
      <c r="E4774" s="237" t="str">
        <f>IFERROR(__xludf.DUMMYFUNCTION("""COMPUTED_VALUE"""),"LT1Q1F01WOKQ1")</f>
        <v>LT1Q1F01WOKQ1</v>
      </c>
      <c r="F4774" s="238" t="str">
        <f>IFERROR(__xludf.DUMMYFUNCTION("""COMPUTED_VALUE"""),"ESU4F65,RTV7F43")</f>
        <v>ESU4F65,RTV7F43</v>
      </c>
      <c r="G4774" s="238">
        <f>IFERROR(__xludf.DUMMYFUNCTION("""COMPUTED_VALUE"""),46037.125)</f>
        <v>46037.125</v>
      </c>
      <c r="H4774" s="238">
        <f>IFERROR(__xludf.DUMMYFUNCTION("""COMPUTED_VALUE"""),46037.20833333333)</f>
        <v>46037.20833</v>
      </c>
      <c r="I4774" s="237" t="str">
        <f t="shared" si="1"/>
        <v>Fora</v>
      </c>
      <c r="J4774" s="239">
        <v>119.99999999301508</v>
      </c>
    </row>
    <row r="4775">
      <c r="A4775" s="234" t="s">
        <v>5780</v>
      </c>
      <c r="B4775" s="234" t="str">
        <f>IFERROR(__xludf.DUMMYFUNCTION("""COMPUTED_VALUE"""),"SoC_SC_Itajaí")</f>
        <v>SoC_SC_Itajaí</v>
      </c>
      <c r="C4775" s="234" t="str">
        <f>IFERROR(__xludf.DUMMYFUNCTION("""COMPUTED_VALUE"""),"SOC-SC1")</f>
        <v>SOC-SC1</v>
      </c>
      <c r="D4775" s="234"/>
      <c r="E4775" s="237" t="str">
        <f>IFERROR(__xludf.DUMMYFUNCTION("""COMPUTED_VALUE"""),"LT1Q1F01WP2S1")</f>
        <v>LT1Q1F01WP2S1</v>
      </c>
      <c r="F4775" s="238" t="str">
        <f>IFERROR(__xludf.DUMMYFUNCTION("""COMPUTED_VALUE"""),"RYT3E55,RLM9A24")</f>
        <v>RYT3E55,RLM9A24</v>
      </c>
      <c r="G4775" s="238">
        <f>IFERROR(__xludf.DUMMYFUNCTION("""COMPUTED_VALUE"""),46037.125)</f>
        <v>46037.125</v>
      </c>
      <c r="H4775" s="238">
        <f>IFERROR(__xludf.DUMMYFUNCTION("""COMPUTED_VALUE"""),46037.20833333333)</f>
        <v>46037.20833</v>
      </c>
      <c r="I4775" s="237" t="str">
        <f t="shared" si="1"/>
        <v>Fora</v>
      </c>
      <c r="J4775" s="239">
        <v>119.99999999301508</v>
      </c>
    </row>
    <row r="4776">
      <c r="A4776" s="234" t="s">
        <v>5781</v>
      </c>
      <c r="B4776" s="234" t="str">
        <f>IFERROR(__xludf.DUMMYFUNCTION("""COMPUTED_VALUE"""),"SoC_SP_Guarulhos")</f>
        <v>SoC_SP_Guarulhos</v>
      </c>
      <c r="C4776" s="234" t="str">
        <f>IFERROR(__xludf.DUMMYFUNCTION("""COMPUTED_VALUE"""),"SOC-SP6")</f>
        <v>SOC-SP6</v>
      </c>
      <c r="D4776" s="234">
        <f>IFERROR(__xludf.DUMMYFUNCTION("""COMPUTED_VALUE"""),46.0)</f>
        <v>46</v>
      </c>
      <c r="E4776" s="237" t="str">
        <f>IFERROR(__xludf.DUMMYFUNCTION("""COMPUTED_VALUE"""),"LT1Q1F01WPK91")</f>
        <v>LT1Q1F01WPK91</v>
      </c>
      <c r="F4776" s="238" t="str">
        <f>IFERROR(__xludf.DUMMYFUNCTION("""COMPUTED_VALUE"""),"DVT5D28,DTC7I46")</f>
        <v>DVT5D28,DTC7I46</v>
      </c>
      <c r="G4776" s="238">
        <f>IFERROR(__xludf.DUMMYFUNCTION("""COMPUTED_VALUE"""),46037.125)</f>
        <v>46037.125</v>
      </c>
      <c r="H4776" s="238">
        <f>IFERROR(__xludf.DUMMYFUNCTION("""COMPUTED_VALUE"""),46037.20833333333)</f>
        <v>46037.20833</v>
      </c>
      <c r="I4776" s="237" t="str">
        <f t="shared" si="1"/>
        <v>Fora</v>
      </c>
      <c r="J4776" s="239">
        <v>59.99999998603016</v>
      </c>
    </row>
    <row r="4777">
      <c r="A4777" s="234" t="s">
        <v>5782</v>
      </c>
      <c r="B4777" s="234" t="str">
        <f>IFERROR(__xludf.DUMMYFUNCTION("""COMPUTED_VALUE"""),"SoC_RJ_Duque de Caxias")</f>
        <v>SoC_RJ_Duque de Caxias</v>
      </c>
      <c r="C4777" s="234" t="str">
        <f>IFERROR(__xludf.DUMMYFUNCTION("""COMPUTED_VALUE"""),"SOC-RJ2")</f>
        <v>SOC-RJ2</v>
      </c>
      <c r="D4777" s="234"/>
      <c r="E4777" s="237" t="str">
        <f>IFERROR(__xludf.DUMMYFUNCTION("""COMPUTED_VALUE"""),"LT1Q1F01WP2E1")</f>
        <v>LT1Q1F01WP2E1</v>
      </c>
      <c r="F4777" s="238" t="str">
        <f>IFERROR(__xludf.DUMMYFUNCTION("""COMPUTED_VALUE"""),"TMG5B23,TLU7A63")</f>
        <v>TMG5B23,TLU7A63</v>
      </c>
      <c r="G4777" s="238">
        <f>IFERROR(__xludf.DUMMYFUNCTION("""COMPUTED_VALUE"""),46037.16666666667)</f>
        <v>46037.16667</v>
      </c>
      <c r="H4777" s="238">
        <f>IFERROR(__xludf.DUMMYFUNCTION("""COMPUTED_VALUE"""),46037.20833333333)</f>
        <v>46037.20833</v>
      </c>
      <c r="I4777" s="237" t="str">
        <f t="shared" si="1"/>
        <v>Fora</v>
      </c>
      <c r="J4777" s="239">
        <v>120.00000001396984</v>
      </c>
    </row>
    <row r="4778">
      <c r="A4778" s="234" t="s">
        <v>5783</v>
      </c>
      <c r="B4778" s="234" t="str">
        <f>IFERROR(__xludf.DUMMYFUNCTION("""COMPUTED_VALUE"""),"LM Hub_SP_Mogi Mirim")</f>
        <v>LM Hub_SP_Mogi Mirim</v>
      </c>
      <c r="C4778" s="234" t="str">
        <f>IFERROR(__xludf.DUMMYFUNCTION("""COMPUTED_VALUE"""),"HUB-LSP-37")</f>
        <v>HUB-LSP-37</v>
      </c>
      <c r="D4778" s="234">
        <f>IFERROR(__xludf.DUMMYFUNCTION("""COMPUTED_VALUE"""),32.0)</f>
        <v>32</v>
      </c>
      <c r="E4778" s="237" t="str">
        <f>IFERROR(__xludf.DUMMYFUNCTION("""COMPUTED_VALUE"""),"LT0Q1F01W9C21")</f>
        <v>LT0Q1F01W9C21</v>
      </c>
      <c r="F4778" s="238" t="str">
        <f>IFERROR(__xludf.DUMMYFUNCTION("""COMPUTED_VALUE"""),"RYF7D49")</f>
        <v>RYF7D49</v>
      </c>
      <c r="G4778" s="238">
        <f>IFERROR(__xludf.DUMMYFUNCTION("""COMPUTED_VALUE"""),46037.14583333333)</f>
        <v>46037.14583</v>
      </c>
      <c r="H4778" s="238">
        <f>IFERROR(__xludf.DUMMYFUNCTION("""COMPUTED_VALUE"""),46037.22916666667)</f>
        <v>46037.22917</v>
      </c>
      <c r="I4778" s="237" t="str">
        <f t="shared" si="1"/>
        <v>Fora</v>
      </c>
      <c r="J4778" s="239">
        <v>120.00000001396984</v>
      </c>
    </row>
    <row r="4779">
      <c r="A4779" s="234" t="s">
        <v>5784</v>
      </c>
      <c r="B4779" s="234" t="str">
        <f>IFERROR(__xludf.DUMMYFUNCTION("""COMPUTED_VALUE"""),"LM Hub_SP_Osasco_02")</f>
        <v>LM Hub_SP_Osasco_02</v>
      </c>
      <c r="C4779" s="234" t="str">
        <f>IFERROR(__xludf.DUMMYFUNCTION("""COMPUTED_VALUE"""),"HUB-LSP-60")</f>
        <v>HUB-LSP-60</v>
      </c>
      <c r="D4779" s="234">
        <f>IFERROR(__xludf.DUMMYFUNCTION("""COMPUTED_VALUE"""),6.0)</f>
        <v>6</v>
      </c>
      <c r="E4779" s="237" t="str">
        <f>IFERROR(__xludf.DUMMYFUNCTION("""COMPUTED_VALUE"""),"LT0Q1F01WACV1")</f>
        <v>LT0Q1F01WACV1</v>
      </c>
      <c r="F4779" s="238" t="str">
        <f>IFERROR(__xludf.DUMMYFUNCTION("""COMPUTED_VALUE"""),"FEU6H63")</f>
        <v>FEU6H63</v>
      </c>
      <c r="G4779" s="238">
        <f>IFERROR(__xludf.DUMMYFUNCTION("""COMPUTED_VALUE"""),46037.14583333333)</f>
        <v>46037.14583</v>
      </c>
      <c r="H4779" s="238">
        <f>IFERROR(__xludf.DUMMYFUNCTION("""COMPUTED_VALUE"""),46037.22916666667)</f>
        <v>46037.22917</v>
      </c>
      <c r="I4779" s="237" t="str">
        <f t="shared" si="1"/>
        <v>Fora</v>
      </c>
      <c r="J4779" s="239">
        <v>119.00000001071021</v>
      </c>
    </row>
    <row r="4780">
      <c r="A4780" s="234" t="s">
        <v>5785</v>
      </c>
      <c r="B4780" s="234" t="str">
        <f>IFERROR(__xludf.DUMMYFUNCTION("""COMPUTED_VALUE"""),"LM Hub_SP_Sorocaba_Região Norte")</f>
        <v>LM Hub_SP_Sorocaba_Região Norte</v>
      </c>
      <c r="C4780" s="234" t="str">
        <f>IFERROR(__xludf.DUMMYFUNCTION("""COMPUTED_VALUE"""),"HUB-LSP-10")</f>
        <v>HUB-LSP-10</v>
      </c>
      <c r="D4780" s="234">
        <f>IFERROR(__xludf.DUMMYFUNCTION("""COMPUTED_VALUE"""),16.0)</f>
        <v>16</v>
      </c>
      <c r="E4780" s="237" t="str">
        <f>IFERROR(__xludf.DUMMYFUNCTION("""COMPUTED_VALUE"""),"LT0Q1F01W9AW1")</f>
        <v>LT0Q1F01W9AW1</v>
      </c>
      <c r="F4780" s="238" t="str">
        <f>IFERROR(__xludf.DUMMYFUNCTION("""COMPUTED_VALUE"""),"DNU8E03,MGA6B94")</f>
        <v>DNU8E03,MGA6B94</v>
      </c>
      <c r="G4780" s="238">
        <f>IFERROR(__xludf.DUMMYFUNCTION("""COMPUTED_VALUE"""),46037.146527777775)</f>
        <v>46037.14653</v>
      </c>
      <c r="H4780" s="238">
        <f>IFERROR(__xludf.DUMMYFUNCTION("""COMPUTED_VALUE"""),46037.22916666667)</f>
        <v>46037.22917</v>
      </c>
      <c r="I4780" s="237" t="str">
        <f t="shared" si="1"/>
        <v>Fora</v>
      </c>
      <c r="J4780" s="239">
        <v>118.00000000745058</v>
      </c>
    </row>
    <row r="4781">
      <c r="A4781" s="234" t="s">
        <v>5786</v>
      </c>
      <c r="B4781" s="234" t="str">
        <f>IFERROR(__xludf.DUMMYFUNCTION("""COMPUTED_VALUE"""),"LM Hub_SP_Campinas_São Martinho")</f>
        <v>LM Hub_SP_Campinas_São Martinho</v>
      </c>
      <c r="C4781" s="234" t="str">
        <f>IFERROR(__xludf.DUMMYFUNCTION("""COMPUTED_VALUE"""),"HUB-LSP-19")</f>
        <v>HUB-LSP-19</v>
      </c>
      <c r="D4781" s="234">
        <f>IFERROR(__xludf.DUMMYFUNCTION("""COMPUTED_VALUE"""),25.0)</f>
        <v>25</v>
      </c>
      <c r="E4781" s="237" t="str">
        <f>IFERROR(__xludf.DUMMYFUNCTION("""COMPUTED_VALUE"""),"LT0Q1F01W9DR1")</f>
        <v>LT0Q1F01W9DR1</v>
      </c>
      <c r="F4781" s="238" t="str">
        <f>IFERROR(__xludf.DUMMYFUNCTION("""COMPUTED_VALUE"""),"EBM2I49")</f>
        <v>EBM2I49</v>
      </c>
      <c r="G4781" s="238">
        <f>IFERROR(__xludf.DUMMYFUNCTION("""COMPUTED_VALUE"""),46037.14722222222)</f>
        <v>46037.14722</v>
      </c>
      <c r="H4781" s="238">
        <f>IFERROR(__xludf.DUMMYFUNCTION("""COMPUTED_VALUE"""),46037.22916666667)</f>
        <v>46037.22917</v>
      </c>
      <c r="I4781" s="237" t="str">
        <f t="shared" si="1"/>
        <v>Fora</v>
      </c>
      <c r="J4781" s="239">
        <v>540.0</v>
      </c>
    </row>
    <row r="4782">
      <c r="A4782" s="234" t="s">
        <v>5787</v>
      </c>
      <c r="B4782" s="234" t="str">
        <f>IFERROR(__xludf.DUMMYFUNCTION("""COMPUTED_VALUE"""),"SoC_RJ_Duque de Caxias")</f>
        <v>SoC_RJ_Duque de Caxias</v>
      </c>
      <c r="C4782" s="234" t="str">
        <f>IFERROR(__xludf.DUMMYFUNCTION("""COMPUTED_VALUE"""),"SOC-RJ2")</f>
        <v>SOC-RJ2</v>
      </c>
      <c r="D4782" s="234">
        <f>IFERROR(__xludf.DUMMYFUNCTION("""COMPUTED_VALUE"""),113.0)</f>
        <v>113</v>
      </c>
      <c r="E4782" s="237" t="str">
        <f>IFERROR(__xludf.DUMMYFUNCTION("""COMPUTED_VALUE"""),"LT1Q1E01WP2I1")</f>
        <v>LT1Q1E01WP2I1</v>
      </c>
      <c r="F4782" s="238" t="str">
        <f>IFERROR(__xludf.DUMMYFUNCTION("""COMPUTED_VALUE"""),"EVO8949,TEO5G89")</f>
        <v>EVO8949,TEO5G89</v>
      </c>
      <c r="G4782" s="238">
        <f>IFERROR(__xludf.DUMMYFUNCTION("""COMPUTED_VALUE"""),46036.875)</f>
        <v>46036.875</v>
      </c>
      <c r="H4782" s="238">
        <f>IFERROR(__xludf.DUMMYFUNCTION("""COMPUTED_VALUE"""),46037.25)</f>
        <v>46037.25</v>
      </c>
      <c r="I4782" s="237" t="str">
        <f t="shared" si="1"/>
        <v>Fora</v>
      </c>
      <c r="J4782" s="239">
        <v>540.0</v>
      </c>
    </row>
    <row r="4783">
      <c r="A4783" s="234" t="s">
        <v>5788</v>
      </c>
      <c r="B4783" s="234" t="str">
        <f>IFERROR(__xludf.DUMMYFUNCTION("""COMPUTED_VALUE"""),"SoC_SP_Cravinhos")</f>
        <v>SoC_SP_Cravinhos</v>
      </c>
      <c r="C4783" s="234" t="str">
        <f>IFERROR(__xludf.DUMMYFUNCTION("""COMPUTED_VALUE"""),"SOC-SP5")</f>
        <v>SOC-SP5</v>
      </c>
      <c r="D4783" s="234">
        <f>IFERROR(__xludf.DUMMYFUNCTION("""COMPUTED_VALUE"""),14.0)</f>
        <v>14</v>
      </c>
      <c r="E4783" s="237" t="str">
        <f>IFERROR(__xludf.DUMMYFUNCTION("""COMPUTED_VALUE"""),"LT1Q1E01WP2B1")</f>
        <v>LT1Q1E01WP2B1</v>
      </c>
      <c r="F4783" s="238" t="str">
        <f>IFERROR(__xludf.DUMMYFUNCTION("""COMPUTED_VALUE"""),"QST0E50,UDS4D73")</f>
        <v>QST0E50,UDS4D73</v>
      </c>
      <c r="G4783" s="238">
        <f>IFERROR(__xludf.DUMMYFUNCTION("""COMPUTED_VALUE"""),46036.875)</f>
        <v>46036.875</v>
      </c>
      <c r="H4783" s="238">
        <f>IFERROR(__xludf.DUMMYFUNCTION("""COMPUTED_VALUE"""),46037.25)</f>
        <v>46037.25</v>
      </c>
      <c r="I4783" s="237" t="str">
        <f t="shared" si="1"/>
        <v>Fora</v>
      </c>
      <c r="J4783" s="239">
        <v>538.9999999967404</v>
      </c>
    </row>
    <row r="4784">
      <c r="A4784" s="234" t="s">
        <v>5789</v>
      </c>
      <c r="B4784" s="234" t="str">
        <f>IFERROR(__xludf.DUMMYFUNCTION("""COMPUTED_VALUE"""),"SoC_SP_Cravinhos")</f>
        <v>SoC_SP_Cravinhos</v>
      </c>
      <c r="C4784" s="234" t="str">
        <f>IFERROR(__xludf.DUMMYFUNCTION("""COMPUTED_VALUE"""),"SOC-SP5")</f>
        <v>SOC-SP5</v>
      </c>
      <c r="D4784" s="234">
        <f>IFERROR(__xludf.DUMMYFUNCTION("""COMPUTED_VALUE"""),94.0)</f>
        <v>94</v>
      </c>
      <c r="E4784" s="237" t="str">
        <f>IFERROR(__xludf.DUMMYFUNCTION("""COMPUTED_VALUE"""),"LT0Q1E01W94W2")</f>
        <v>LT0Q1E01W94W2</v>
      </c>
      <c r="F4784" s="238" t="str">
        <f>IFERROR(__xludf.DUMMYFUNCTION("""COMPUTED_VALUE"""),"UEE7H00,UGE7E97")</f>
        <v>UEE7H00,UGE7E97</v>
      </c>
      <c r="G4784" s="238">
        <f>IFERROR(__xludf.DUMMYFUNCTION("""COMPUTED_VALUE"""),46036.87569444445)</f>
        <v>46036.87569</v>
      </c>
      <c r="H4784" s="238">
        <f>IFERROR(__xludf.DUMMYFUNCTION("""COMPUTED_VALUE"""),46037.25)</f>
        <v>46037.25</v>
      </c>
      <c r="I4784" s="237" t="str">
        <f t="shared" si="1"/>
        <v>Fora</v>
      </c>
      <c r="J4784" s="239">
        <v>537.9999999934807</v>
      </c>
    </row>
    <row r="4785">
      <c r="A4785" s="234" t="s">
        <v>5790</v>
      </c>
      <c r="B4785" s="234" t="str">
        <f>IFERROR(__xludf.DUMMYFUNCTION("""COMPUTED_VALUE"""),"SoC_MG_Betim")</f>
        <v>SoC_MG_Betim</v>
      </c>
      <c r="C4785" s="234" t="str">
        <f>IFERROR(__xludf.DUMMYFUNCTION("""COMPUTED_VALUE"""),"SOC-MG2")</f>
        <v>SOC-MG2</v>
      </c>
      <c r="D4785" s="234">
        <f>IFERROR(__xludf.DUMMYFUNCTION("""COMPUTED_VALUE"""),91.0)</f>
        <v>91</v>
      </c>
      <c r="E4785" s="237" t="str">
        <f>IFERROR(__xludf.DUMMYFUNCTION("""COMPUTED_VALUE"""),"LT0Q1E01W93H1")</f>
        <v>LT0Q1E01W93H1</v>
      </c>
      <c r="F4785" s="238" t="str">
        <f>IFERROR(__xludf.DUMMYFUNCTION("""COMPUTED_VALUE"""),"FCV3J24,TLS7G35")</f>
        <v>FCV3J24,TLS7G35</v>
      </c>
      <c r="G4785" s="238">
        <f>IFERROR(__xludf.DUMMYFUNCTION("""COMPUTED_VALUE"""),46036.87638888889)</f>
        <v>46036.87639</v>
      </c>
      <c r="H4785" s="238">
        <f>IFERROR(__xludf.DUMMYFUNCTION("""COMPUTED_VALUE"""),46037.25)</f>
        <v>46037.25</v>
      </c>
      <c r="I4785" s="237" t="str">
        <f t="shared" si="1"/>
        <v>Fora</v>
      </c>
      <c r="J4785" s="239">
        <v>180.0</v>
      </c>
    </row>
    <row r="4786">
      <c r="A4786" s="234" t="s">
        <v>5791</v>
      </c>
      <c r="B4786" s="234" t="str">
        <f>IFERROR(__xludf.DUMMYFUNCTION("""COMPUTED_VALUE"""),"SoC_SC_Itajaí")</f>
        <v>SoC_SC_Itajaí</v>
      </c>
      <c r="C4786" s="234" t="str">
        <f>IFERROR(__xludf.DUMMYFUNCTION("""COMPUTED_VALUE"""),"SOC-SC1")</f>
        <v>SOC-SC1</v>
      </c>
      <c r="D4786" s="234">
        <f>IFERROR(__xludf.DUMMYFUNCTION("""COMPUTED_VALUE"""),100.0)</f>
        <v>100</v>
      </c>
      <c r="E4786" s="237" t="str">
        <f>IFERROR(__xludf.DUMMYFUNCTION("""COMPUTED_VALUE"""),"LT1Q1F01WP5G1")</f>
        <v>LT1Q1F01WP5G1</v>
      </c>
      <c r="F4786" s="238" t="str">
        <f>IFERROR(__xludf.DUMMYFUNCTION("""COMPUTED_VALUE"""),"RYT3C05,RXQ4J97")</f>
        <v>RYT3C05,RXQ4J97</v>
      </c>
      <c r="G4786" s="238">
        <f>IFERROR(__xludf.DUMMYFUNCTION("""COMPUTED_VALUE"""),46037.125)</f>
        <v>46037.125</v>
      </c>
      <c r="H4786" s="238">
        <f>IFERROR(__xludf.DUMMYFUNCTION("""COMPUTED_VALUE"""),46037.25)</f>
        <v>46037.25</v>
      </c>
      <c r="I4786" s="237" t="str">
        <f t="shared" si="1"/>
        <v>Fora</v>
      </c>
      <c r="J4786" s="239">
        <v>119.99999999301508</v>
      </c>
    </row>
    <row r="4787">
      <c r="A4787" s="234" t="s">
        <v>886</v>
      </c>
      <c r="B4787" s="234" t="str">
        <f>IFERROR(__xludf.DUMMYFUNCTION("""COMPUTED_VALUE"""),"LM Hub_SP_Guaratinguetá")</f>
        <v>LM Hub_SP_Guaratinguetá</v>
      </c>
      <c r="C4787" s="234" t="str">
        <f>IFERROR(__xludf.DUMMYFUNCTION("""COMPUTED_VALUE"""),"HUB-LSP-33")</f>
        <v>HUB-LSP-33</v>
      </c>
      <c r="D4787" s="234">
        <f>IFERROR(__xludf.DUMMYFUNCTION("""COMPUTED_VALUE"""),13.0)</f>
        <v>13</v>
      </c>
      <c r="E4787" s="237" t="str">
        <f>IFERROR(__xludf.DUMMYFUNCTION("""COMPUTED_VALUE"""),"LT0Q1F01W9A41")</f>
        <v>LT0Q1F01W9A41</v>
      </c>
      <c r="F4787" s="238" t="str">
        <f>IFERROR(__xludf.DUMMYFUNCTION("""COMPUTED_VALUE"""),"STU3E60,SVG9I28")</f>
        <v>STU3E60,SVG9I28</v>
      </c>
      <c r="G4787" s="238">
        <f>IFERROR(__xludf.DUMMYFUNCTION("""COMPUTED_VALUE"""),46037.16666666667)</f>
        <v>46037.16667</v>
      </c>
      <c r="H4787" s="238">
        <f>IFERROR(__xludf.DUMMYFUNCTION("""COMPUTED_VALUE"""),46037.25)</f>
        <v>46037.25</v>
      </c>
      <c r="I4787" s="237" t="str">
        <f t="shared" si="1"/>
        <v>Fora</v>
      </c>
      <c r="J4787" s="239">
        <v>119.99999999301508</v>
      </c>
    </row>
    <row r="4788">
      <c r="A4788" s="234" t="s">
        <v>5792</v>
      </c>
      <c r="B4788" s="234" t="str">
        <f>IFERROR(__xludf.DUMMYFUNCTION("""COMPUTED_VALUE"""),"LM Hub_SP_Limeira_Campo Belo")</f>
        <v>LM Hub_SP_Limeira_Campo Belo</v>
      </c>
      <c r="C4788" s="234" t="str">
        <f>IFERROR(__xludf.DUMMYFUNCTION("""COMPUTED_VALUE"""),"HUB-LSP-24")</f>
        <v>HUB-LSP-24</v>
      </c>
      <c r="D4788" s="234"/>
      <c r="E4788" s="237" t="str">
        <f>IFERROR(__xludf.DUMMYFUNCTION("""COMPUTED_VALUE"""),"LT0Q1F01W9B91")</f>
        <v>LT0Q1F01W9B91</v>
      </c>
      <c r="F4788" s="238" t="str">
        <f>IFERROR(__xludf.DUMMYFUNCTION("""COMPUTED_VALUE"""),"TAJ5D50")</f>
        <v>TAJ5D50</v>
      </c>
      <c r="G4788" s="238">
        <f>IFERROR(__xludf.DUMMYFUNCTION("""COMPUTED_VALUE"""),46037.16666666667)</f>
        <v>46037.16667</v>
      </c>
      <c r="H4788" s="238">
        <f>IFERROR(__xludf.DUMMYFUNCTION("""COMPUTED_VALUE"""),46037.25)</f>
        <v>46037.25</v>
      </c>
      <c r="I4788" s="237" t="str">
        <f t="shared" si="1"/>
        <v>Fora</v>
      </c>
      <c r="J4788" s="239">
        <v>119.99999999301508</v>
      </c>
    </row>
    <row r="4789">
      <c r="A4789" s="234" t="s">
        <v>887</v>
      </c>
      <c r="B4789" s="234" t="str">
        <f>IFERROR(__xludf.DUMMYFUNCTION("""COMPUTED_VALUE"""),"LM Hub_SP_Registro")</f>
        <v>LM Hub_SP_Registro</v>
      </c>
      <c r="C4789" s="234" t="str">
        <f>IFERROR(__xludf.DUMMYFUNCTION("""COMPUTED_VALUE"""),"HUB-LSP-40")</f>
        <v>HUB-LSP-40</v>
      </c>
      <c r="D4789" s="234">
        <f>IFERROR(__xludf.DUMMYFUNCTION("""COMPUTED_VALUE"""),22.0)</f>
        <v>22</v>
      </c>
      <c r="E4789" s="237" t="str">
        <f>IFERROR(__xludf.DUMMYFUNCTION("""COMPUTED_VALUE"""),"LT0Q1F01W99U1")</f>
        <v>LT0Q1F01W99U1</v>
      </c>
      <c r="F4789" s="238" t="str">
        <f>IFERROR(__xludf.DUMMYFUNCTION("""COMPUTED_VALUE"""),"MJK1G22")</f>
        <v>MJK1G22</v>
      </c>
      <c r="G4789" s="238">
        <f>IFERROR(__xludf.DUMMYFUNCTION("""COMPUTED_VALUE"""),46037.16666666667)</f>
        <v>46037.16667</v>
      </c>
      <c r="H4789" s="238">
        <f>IFERROR(__xludf.DUMMYFUNCTION("""COMPUTED_VALUE"""),46037.25)</f>
        <v>46037.25</v>
      </c>
      <c r="I4789" s="237" t="str">
        <f t="shared" si="1"/>
        <v>Fora</v>
      </c>
      <c r="J4789" s="239">
        <v>119.99999999301508</v>
      </c>
    </row>
    <row r="4790">
      <c r="A4790" s="234" t="s">
        <v>5793</v>
      </c>
      <c r="B4790" s="234" t="str">
        <f>IFERROR(__xludf.DUMMYFUNCTION("""COMPUTED_VALUE"""),"LM Hub_SP_São Bernardo do Campo")</f>
        <v>LM Hub_SP_São Bernardo do Campo</v>
      </c>
      <c r="C4790" s="234" t="str">
        <f>IFERROR(__xludf.DUMMYFUNCTION("""COMPUTED_VALUE"""),"HUB-LSP-79")</f>
        <v>HUB-LSP-79</v>
      </c>
      <c r="D4790" s="234">
        <f>IFERROR(__xludf.DUMMYFUNCTION("""COMPUTED_VALUE"""),36.0)</f>
        <v>36</v>
      </c>
      <c r="E4790" s="237" t="str">
        <f>IFERROR(__xludf.DUMMYFUNCTION("""COMPUTED_VALUE"""),"LT0Q1F01W9TC1")</f>
        <v>LT0Q1F01W9TC1</v>
      </c>
      <c r="F4790" s="238" t="str">
        <f>IFERROR(__xludf.DUMMYFUNCTION("""COMPUTED_VALUE"""),"FQS1E78")</f>
        <v>FQS1E78</v>
      </c>
      <c r="G4790" s="238">
        <f>IFERROR(__xludf.DUMMYFUNCTION("""COMPUTED_VALUE"""),46037.16666666667)</f>
        <v>46037.16667</v>
      </c>
      <c r="H4790" s="238">
        <f>IFERROR(__xludf.DUMMYFUNCTION("""COMPUTED_VALUE"""),46037.25)</f>
        <v>46037.25</v>
      </c>
      <c r="I4790" s="237" t="str">
        <f t="shared" si="1"/>
        <v>Fora</v>
      </c>
      <c r="J4790" s="239">
        <v>119.99999999301508</v>
      </c>
    </row>
    <row r="4791">
      <c r="A4791" s="234" t="s">
        <v>5794</v>
      </c>
      <c r="B4791" s="234" t="str">
        <f>IFERROR(__xludf.DUMMYFUNCTION("""COMPUTED_VALUE"""),"SoC_MG_Betim")</f>
        <v>SoC_MG_Betim</v>
      </c>
      <c r="C4791" s="234" t="str">
        <f>IFERROR(__xludf.DUMMYFUNCTION("""COMPUTED_VALUE"""),"SOC-MG2")</f>
        <v>SOC-MG2</v>
      </c>
      <c r="D4791" s="234"/>
      <c r="E4791" s="237" t="str">
        <f>IFERROR(__xludf.DUMMYFUNCTION("""COMPUTED_VALUE"""),"LT1Q1F01WP2K1")</f>
        <v>LT1Q1F01WP2K1</v>
      </c>
      <c r="F4791" s="238" t="str">
        <f>IFERROR(__xludf.DUMMYFUNCTION("""COMPUTED_VALUE"""),"ONZ6E80,NST6288")</f>
        <v>ONZ6E80,NST6288</v>
      </c>
      <c r="G4791" s="238">
        <f>IFERROR(__xludf.DUMMYFUNCTION("""COMPUTED_VALUE"""),46037.16666666667)</f>
        <v>46037.16667</v>
      </c>
      <c r="H4791" s="238">
        <f>IFERROR(__xludf.DUMMYFUNCTION("""COMPUTED_VALUE"""),46037.25)</f>
        <v>46037.25</v>
      </c>
      <c r="I4791" s="237" t="str">
        <f t="shared" si="1"/>
        <v>Fora</v>
      </c>
      <c r="J4791" s="239">
        <v>119.99999999301508</v>
      </c>
    </row>
    <row r="4792">
      <c r="A4792" s="234" t="s">
        <v>5795</v>
      </c>
      <c r="B4792" s="234" t="str">
        <f>IFERROR(__xludf.DUMMYFUNCTION("""COMPUTED_VALUE"""),"SoC_PE_Jaboatão dos Guararapes")</f>
        <v>SoC_PE_Jaboatão dos Guararapes</v>
      </c>
      <c r="C4792" s="234" t="str">
        <f>IFERROR(__xludf.DUMMYFUNCTION("""COMPUTED_VALUE"""),"SOC-PE2")</f>
        <v>SOC-PE2</v>
      </c>
      <c r="D4792" s="234"/>
      <c r="E4792" s="237" t="str">
        <f>IFERROR(__xludf.DUMMYFUNCTION("""COMPUTED_VALUE"""),"LT1Q1F01WP2M1")</f>
        <v>LT1Q1F01WP2M1</v>
      </c>
      <c r="F4792" s="238" t="str">
        <f>IFERROR(__xludf.DUMMYFUNCTION("""COMPUTED_VALUE"""),"JPW4G72,AFB4E85")</f>
        <v>JPW4G72,AFB4E85</v>
      </c>
      <c r="G4792" s="238">
        <f>IFERROR(__xludf.DUMMYFUNCTION("""COMPUTED_VALUE"""),46037.16666666667)</f>
        <v>46037.16667</v>
      </c>
      <c r="H4792" s="238">
        <f>IFERROR(__xludf.DUMMYFUNCTION("""COMPUTED_VALUE"""),46037.25)</f>
        <v>46037.25</v>
      </c>
      <c r="I4792" s="237" t="str">
        <f t="shared" si="1"/>
        <v>Fora</v>
      </c>
      <c r="J4792" s="239">
        <v>119.99999999301508</v>
      </c>
    </row>
    <row r="4793">
      <c r="A4793" s="234" t="s">
        <v>888</v>
      </c>
      <c r="B4793" s="234" t="str">
        <f>IFERROR(__xludf.DUMMYFUNCTION("""COMPUTED_VALUE"""),"SoC_PR_Curitiba")</f>
        <v>SoC_PR_Curitiba</v>
      </c>
      <c r="C4793" s="234" t="str">
        <f>IFERROR(__xludf.DUMMYFUNCTION("""COMPUTED_VALUE"""),"SOC-PR1")</f>
        <v>SOC-PR1</v>
      </c>
      <c r="D4793" s="234">
        <f>IFERROR(__xludf.DUMMYFUNCTION("""COMPUTED_VALUE"""),35.0)</f>
        <v>35</v>
      </c>
      <c r="E4793" s="237" t="str">
        <f>IFERROR(__xludf.DUMMYFUNCTION("""COMPUTED_VALUE"""),"LT0Q1F01W93X1")</f>
        <v>LT0Q1F01W93X1</v>
      </c>
      <c r="F4793" s="238" t="str">
        <f>IFERROR(__xludf.DUMMYFUNCTION("""COMPUTED_VALUE"""),"SUJ2I45,BEY5C08")</f>
        <v>SUJ2I45,BEY5C08</v>
      </c>
      <c r="G4793" s="238">
        <f>IFERROR(__xludf.DUMMYFUNCTION("""COMPUTED_VALUE"""),46037.16666666667)</f>
        <v>46037.16667</v>
      </c>
      <c r="H4793" s="238">
        <f>IFERROR(__xludf.DUMMYFUNCTION("""COMPUTED_VALUE"""),46037.25)</f>
        <v>46037.25</v>
      </c>
      <c r="I4793" s="237" t="str">
        <f t="shared" si="1"/>
        <v>Fora</v>
      </c>
      <c r="J4793" s="239">
        <v>119.99999999301508</v>
      </c>
    </row>
    <row r="4794">
      <c r="A4794" s="234" t="s">
        <v>889</v>
      </c>
      <c r="B4794" s="234" t="str">
        <f>IFERROR(__xludf.DUMMYFUNCTION("""COMPUTED_VALUE"""),"SoC_RJ_Duque de Caxias")</f>
        <v>SoC_RJ_Duque de Caxias</v>
      </c>
      <c r="C4794" s="234" t="str">
        <f>IFERROR(__xludf.DUMMYFUNCTION("""COMPUTED_VALUE"""),"SOC-RJ2")</f>
        <v>SOC-RJ2</v>
      </c>
      <c r="D4794" s="234"/>
      <c r="E4794" s="237" t="str">
        <f>IFERROR(__xludf.DUMMYFUNCTION("""COMPUTED_VALUE"""),"LT1Q1F01WOL21")</f>
        <v>LT1Q1F01WOL21</v>
      </c>
      <c r="F4794" s="238" t="str">
        <f>IFERROR(__xludf.DUMMYFUNCTION("""COMPUTED_VALUE"""),"ARW6H90,DBL9F03")</f>
        <v>ARW6H90,DBL9F03</v>
      </c>
      <c r="G4794" s="238">
        <f>IFERROR(__xludf.DUMMYFUNCTION("""COMPUTED_VALUE"""),46037.16666666667)</f>
        <v>46037.16667</v>
      </c>
      <c r="H4794" s="238">
        <f>IFERROR(__xludf.DUMMYFUNCTION("""COMPUTED_VALUE"""),46037.25)</f>
        <v>46037.25</v>
      </c>
      <c r="I4794" s="237" t="str">
        <f t="shared" si="1"/>
        <v>Fora</v>
      </c>
      <c r="J4794" s="239">
        <v>119.99999999301508</v>
      </c>
    </row>
    <row r="4795">
      <c r="A4795" s="234" t="s">
        <v>890</v>
      </c>
      <c r="B4795" s="234" t="str">
        <f>IFERROR(__xludf.DUMMYFUNCTION("""COMPUTED_VALUE"""),"SoC_RJ_Duque de Caxias")</f>
        <v>SoC_RJ_Duque de Caxias</v>
      </c>
      <c r="C4795" s="234" t="str">
        <f>IFERROR(__xludf.DUMMYFUNCTION("""COMPUTED_VALUE"""),"SOC-RJ2")</f>
        <v>SOC-RJ2</v>
      </c>
      <c r="D4795" s="234"/>
      <c r="E4795" s="237" t="str">
        <f>IFERROR(__xludf.DUMMYFUNCTION("""COMPUTED_VALUE"""),"LT1Q1F01WOL31")</f>
        <v>LT1Q1F01WOL31</v>
      </c>
      <c r="F4795" s="238" t="str">
        <f>IFERROR(__xludf.DUMMYFUNCTION("""COMPUTED_VALUE"""),"KNX5D09,MGQ4B21")</f>
        <v>KNX5D09,MGQ4B21</v>
      </c>
      <c r="G4795" s="238">
        <f>IFERROR(__xludf.DUMMYFUNCTION("""COMPUTED_VALUE"""),46037.16666666667)</f>
        <v>46037.16667</v>
      </c>
      <c r="H4795" s="238">
        <f>IFERROR(__xludf.DUMMYFUNCTION("""COMPUTED_VALUE"""),46037.25)</f>
        <v>46037.25</v>
      </c>
      <c r="I4795" s="237" t="str">
        <f t="shared" si="1"/>
        <v>Fora</v>
      </c>
      <c r="J4795" s="239">
        <v>119.99999999301508</v>
      </c>
    </row>
    <row r="4796">
      <c r="A4796" s="234" t="s">
        <v>5796</v>
      </c>
      <c r="B4796" s="234" t="str">
        <f>IFERROR(__xludf.DUMMYFUNCTION("""COMPUTED_VALUE"""),"SoC_RS_Gravataí_02")</f>
        <v>SoC_RS_Gravataí_02</v>
      </c>
      <c r="C4796" s="234" t="str">
        <f>IFERROR(__xludf.DUMMYFUNCTION("""COMPUTED_VALUE"""),"SOC-RS2")</f>
        <v>SOC-RS2</v>
      </c>
      <c r="D4796" s="234"/>
      <c r="E4796" s="237" t="str">
        <f>IFERROR(__xludf.DUMMYFUNCTION("""COMPUTED_VALUE"""),"LT1Q1F01WOL71")</f>
        <v>LT1Q1F01WOL71</v>
      </c>
      <c r="F4796" s="238" t="str">
        <f>IFERROR(__xludf.DUMMYFUNCTION("""COMPUTED_VALUE"""),"TMD0A68,CNI8D96")</f>
        <v>TMD0A68,CNI8D96</v>
      </c>
      <c r="G4796" s="238">
        <f>IFERROR(__xludf.DUMMYFUNCTION("""COMPUTED_VALUE"""),46037.16666666667)</f>
        <v>46037.16667</v>
      </c>
      <c r="H4796" s="238">
        <f>IFERROR(__xludf.DUMMYFUNCTION("""COMPUTED_VALUE"""),46037.25)</f>
        <v>46037.25</v>
      </c>
      <c r="I4796" s="237" t="str">
        <f t="shared" si="1"/>
        <v>Fora</v>
      </c>
      <c r="J4796" s="239">
        <v>119.99999999301508</v>
      </c>
    </row>
    <row r="4797">
      <c r="A4797" s="234" t="s">
        <v>5797</v>
      </c>
      <c r="B4797" s="234" t="str">
        <f>IFERROR(__xludf.DUMMYFUNCTION("""COMPUTED_VALUE"""),"SoC_RS_Gravataí_02")</f>
        <v>SoC_RS_Gravataí_02</v>
      </c>
      <c r="C4797" s="234" t="str">
        <f>IFERROR(__xludf.DUMMYFUNCTION("""COMPUTED_VALUE"""),"SOC-RS2")</f>
        <v>SOC-RS2</v>
      </c>
      <c r="D4797" s="234">
        <f>IFERROR(__xludf.DUMMYFUNCTION("""COMPUTED_VALUE"""),114.0)</f>
        <v>114</v>
      </c>
      <c r="E4797" s="237" t="str">
        <f>IFERROR(__xludf.DUMMYFUNCTION("""COMPUTED_VALUE"""),"LT1Q1F01WP2Q1")</f>
        <v>LT1Q1F01WP2Q1</v>
      </c>
      <c r="F4797" s="238" t="str">
        <f>IFERROR(__xludf.DUMMYFUNCTION("""COMPUTED_VALUE"""),"JDO5G05,JCT4I60")</f>
        <v>JDO5G05,JCT4I60</v>
      </c>
      <c r="G4797" s="238">
        <f>IFERROR(__xludf.DUMMYFUNCTION("""COMPUTED_VALUE"""),46037.16666666667)</f>
        <v>46037.16667</v>
      </c>
      <c r="H4797" s="238">
        <f>IFERROR(__xludf.DUMMYFUNCTION("""COMPUTED_VALUE"""),46037.25)</f>
        <v>46037.25</v>
      </c>
      <c r="I4797" s="237" t="str">
        <f t="shared" si="1"/>
        <v>Fora</v>
      </c>
      <c r="J4797" s="239">
        <v>119.99999999301508</v>
      </c>
    </row>
    <row r="4798">
      <c r="A4798" s="234" t="s">
        <v>891</v>
      </c>
      <c r="B4798" s="234" t="str">
        <f>IFERROR(__xludf.DUMMYFUNCTION("""COMPUTED_VALUE"""),"SoC_SC_Itajaí")</f>
        <v>SoC_SC_Itajaí</v>
      </c>
      <c r="C4798" s="234" t="str">
        <f>IFERROR(__xludf.DUMMYFUNCTION("""COMPUTED_VALUE"""),"SOC-SC1")</f>
        <v>SOC-SC1</v>
      </c>
      <c r="D4798" s="234">
        <f>IFERROR(__xludf.DUMMYFUNCTION("""COMPUTED_VALUE"""),100.0)</f>
        <v>100</v>
      </c>
      <c r="E4798" s="237" t="str">
        <f>IFERROR(__xludf.DUMMYFUNCTION("""COMPUTED_VALUE"""),"LT1Q1F01WP5N1")</f>
        <v>LT1Q1F01WP5N1</v>
      </c>
      <c r="F4798" s="238" t="str">
        <f>IFERROR(__xludf.DUMMYFUNCTION("""COMPUTED_VALUE"""),"RYP9H63,QIV7C05")</f>
        <v>RYP9H63,QIV7C05</v>
      </c>
      <c r="G4798" s="238">
        <f>IFERROR(__xludf.DUMMYFUNCTION("""COMPUTED_VALUE"""),46037.16666666667)</f>
        <v>46037.16667</v>
      </c>
      <c r="H4798" s="238">
        <f>IFERROR(__xludf.DUMMYFUNCTION("""COMPUTED_VALUE"""),46037.25)</f>
        <v>46037.25</v>
      </c>
      <c r="I4798" s="237" t="str">
        <f t="shared" si="1"/>
        <v>Fora</v>
      </c>
      <c r="J4798" s="239">
        <v>119.99999999301508</v>
      </c>
    </row>
    <row r="4799">
      <c r="A4799" s="234" t="s">
        <v>892</v>
      </c>
      <c r="B4799" s="234" t="str">
        <f>IFERROR(__xludf.DUMMYFUNCTION("""COMPUTED_VALUE"""),"SoC_SP_Louveira")</f>
        <v>SoC_SP_Louveira</v>
      </c>
      <c r="C4799" s="234" t="str">
        <f>IFERROR(__xludf.DUMMYFUNCTION("""COMPUTED_VALUE"""),"SOC-SP7")</f>
        <v>SOC-SP7</v>
      </c>
      <c r="D4799" s="234">
        <f>IFERROR(__xludf.DUMMYFUNCTION("""COMPUTED_VALUE"""),5.0)</f>
        <v>5</v>
      </c>
      <c r="E4799" s="237" t="str">
        <f>IFERROR(__xludf.DUMMYFUNCTION("""COMPUTED_VALUE"""),"LT0Q1F01W95L1")</f>
        <v>LT0Q1F01W95L1</v>
      </c>
      <c r="F4799" s="238" t="str">
        <f>IFERROR(__xludf.DUMMYFUNCTION("""COMPUTED_VALUE"""),"FCA3E37,FGJ9H71")</f>
        <v>FCA3E37,FGJ9H71</v>
      </c>
      <c r="G4799" s="238">
        <f>IFERROR(__xludf.DUMMYFUNCTION("""COMPUTED_VALUE"""),46037.16666666667)</f>
        <v>46037.16667</v>
      </c>
      <c r="H4799" s="238">
        <f>IFERROR(__xludf.DUMMYFUNCTION("""COMPUTED_VALUE"""),46037.25)</f>
        <v>46037.25</v>
      </c>
      <c r="I4799" s="237" t="str">
        <f t="shared" si="1"/>
        <v>Fora</v>
      </c>
      <c r="J4799" s="239">
        <v>119.99999999301508</v>
      </c>
    </row>
    <row r="4800">
      <c r="A4800" s="234" t="s">
        <v>5798</v>
      </c>
      <c r="B4800" s="234" t="str">
        <f>IFERROR(__xludf.DUMMYFUNCTION("""COMPUTED_VALUE"""),"LM Hub_SP_Atibaia_Ponte_Alta")</f>
        <v>LM Hub_SP_Atibaia_Ponte_Alta</v>
      </c>
      <c r="C4800" s="234" t="str">
        <f>IFERROR(__xludf.DUMMYFUNCTION("""COMPUTED_VALUE"""),"HUB-LSP-87")</f>
        <v>HUB-LSP-87</v>
      </c>
      <c r="D4800" s="234"/>
      <c r="E4800" s="237" t="str">
        <f>IFERROR(__xludf.DUMMYFUNCTION("""COMPUTED_VALUE"""),"LT0Q1F01WD611")</f>
        <v>LT0Q1F01WD611</v>
      </c>
      <c r="F4800" s="234"/>
      <c r="G4800" s="238">
        <f>IFERROR(__xludf.DUMMYFUNCTION("""COMPUTED_VALUE"""),46037.1875)</f>
        <v>46037.1875</v>
      </c>
      <c r="H4800" s="238">
        <f>IFERROR(__xludf.DUMMYFUNCTION("""COMPUTED_VALUE"""),46037.27083333333)</f>
        <v>46037.27083</v>
      </c>
      <c r="I4800" s="237" t="str">
        <f t="shared" si="1"/>
        <v>Fora</v>
      </c>
      <c r="J4800" s="239">
        <v>119.99999999301508</v>
      </c>
    </row>
    <row r="4801">
      <c r="A4801" s="234" t="s">
        <v>894</v>
      </c>
      <c r="B4801" s="234" t="str">
        <f>IFERROR(__xludf.DUMMYFUNCTION("""COMPUTED_VALUE"""),"LM Hub_SP_Embu das Artes")</f>
        <v>LM Hub_SP_Embu das Artes</v>
      </c>
      <c r="C4801" s="234" t="str">
        <f>IFERROR(__xludf.DUMMYFUNCTION("""COMPUTED_VALUE"""),"HUB-LSP-36")</f>
        <v>HUB-LSP-36</v>
      </c>
      <c r="D4801" s="234">
        <f>IFERROR(__xludf.DUMMYFUNCTION("""COMPUTED_VALUE"""),15.0)</f>
        <v>15</v>
      </c>
      <c r="E4801" s="237" t="str">
        <f>IFERROR(__xludf.DUMMYFUNCTION("""COMPUTED_VALUE"""),"LT0Q1F01WADY1")</f>
        <v>LT0Q1F01WADY1</v>
      </c>
      <c r="F4801" s="238" t="str">
        <f>IFERROR(__xludf.DUMMYFUNCTION("""COMPUTED_VALUE"""),"DSS0F42")</f>
        <v>DSS0F42</v>
      </c>
      <c r="G4801" s="238">
        <f>IFERROR(__xludf.DUMMYFUNCTION("""COMPUTED_VALUE"""),46037.1875)</f>
        <v>46037.1875</v>
      </c>
      <c r="H4801" s="238">
        <f>IFERROR(__xludf.DUMMYFUNCTION("""COMPUTED_VALUE"""),46037.27083333333)</f>
        <v>46037.27083</v>
      </c>
      <c r="I4801" s="237" t="str">
        <f t="shared" si="1"/>
        <v>Fora</v>
      </c>
      <c r="J4801" s="239">
        <v>119.99999999301508</v>
      </c>
    </row>
    <row r="4802">
      <c r="A4802" s="234" t="s">
        <v>895</v>
      </c>
      <c r="B4802" s="234" t="str">
        <f>IFERROR(__xludf.DUMMYFUNCTION("""COMPUTED_VALUE"""),"LM Hub_SP_Taubaté")</f>
        <v>LM Hub_SP_Taubaté</v>
      </c>
      <c r="C4802" s="234" t="str">
        <f>IFERROR(__xludf.DUMMYFUNCTION("""COMPUTED_VALUE"""),"HUB-LSP-08")</f>
        <v>HUB-LSP-08</v>
      </c>
      <c r="D4802" s="234">
        <f>IFERROR(__xludf.DUMMYFUNCTION("""COMPUTED_VALUE"""),7.0)</f>
        <v>7</v>
      </c>
      <c r="E4802" s="237" t="str">
        <f>IFERROR(__xludf.DUMMYFUNCTION("""COMPUTED_VALUE"""),"LT0Q1F01W9AF1")</f>
        <v>LT0Q1F01W9AF1</v>
      </c>
      <c r="F4802" s="238" t="str">
        <f>IFERROR(__xludf.DUMMYFUNCTION("""COMPUTED_VALUE"""),"FBQ6A90")</f>
        <v>FBQ6A90</v>
      </c>
      <c r="G4802" s="238">
        <f>IFERROR(__xludf.DUMMYFUNCTION("""COMPUTED_VALUE"""),46037.1875)</f>
        <v>46037.1875</v>
      </c>
      <c r="H4802" s="238">
        <f>IFERROR(__xludf.DUMMYFUNCTION("""COMPUTED_VALUE"""),46037.27083333333)</f>
        <v>46037.27083</v>
      </c>
      <c r="I4802" s="237" t="str">
        <f t="shared" si="1"/>
        <v>Fora</v>
      </c>
      <c r="J4802" s="239">
        <v>540.0</v>
      </c>
    </row>
    <row r="4803">
      <c r="A4803" s="234" t="s">
        <v>5799</v>
      </c>
      <c r="B4803" s="234" t="str">
        <f>IFERROR(__xludf.DUMMYFUNCTION("""COMPUTED_VALUE"""),"SoC_SC_Itajaí")</f>
        <v>SoC_SC_Itajaí</v>
      </c>
      <c r="C4803" s="234" t="str">
        <f>IFERROR(__xludf.DUMMYFUNCTION("""COMPUTED_VALUE"""),"SOC-SC1")</f>
        <v>SOC-SC1</v>
      </c>
      <c r="D4803" s="234">
        <f>IFERROR(__xludf.DUMMYFUNCTION("""COMPUTED_VALUE"""),100.0)</f>
        <v>100</v>
      </c>
      <c r="E4803" s="237" t="str">
        <f>IFERROR(__xludf.DUMMYFUNCTION("""COMPUTED_VALUE"""),"LT0Q1E01WDUN1")</f>
        <v>LT0Q1E01WDUN1</v>
      </c>
      <c r="F4803" s="238" t="str">
        <f>IFERROR(__xludf.DUMMYFUNCTION("""COMPUTED_VALUE"""),"TBV9I29,MIX7C03")</f>
        <v>TBV9I29,MIX7C03</v>
      </c>
      <c r="G4803" s="238">
        <f>IFERROR(__xludf.DUMMYFUNCTION("""COMPUTED_VALUE"""),46036.91666666667)</f>
        <v>46036.91667</v>
      </c>
      <c r="H4803" s="238">
        <f>IFERROR(__xludf.DUMMYFUNCTION("""COMPUTED_VALUE"""),46037.29166666667)</f>
        <v>46037.29167</v>
      </c>
      <c r="I4803" s="237" t="str">
        <f t="shared" si="1"/>
        <v>Fora</v>
      </c>
      <c r="J4803" s="239">
        <v>539.0000000072177</v>
      </c>
    </row>
    <row r="4804">
      <c r="A4804" s="234" t="s">
        <v>896</v>
      </c>
      <c r="B4804" s="234" t="str">
        <f>IFERROR(__xludf.DUMMYFUNCTION("""COMPUTED_VALUE"""),"SoC_BA_Simoes Filho")</f>
        <v>SoC_BA_Simoes Filho</v>
      </c>
      <c r="C4804" s="234" t="str">
        <f>IFERROR(__xludf.DUMMYFUNCTION("""COMPUTED_VALUE"""),"SOC-BA2")</f>
        <v>SOC-BA2</v>
      </c>
      <c r="D4804" s="234">
        <f>IFERROR(__xludf.DUMMYFUNCTION("""COMPUTED_VALUE"""),88.0)</f>
        <v>88</v>
      </c>
      <c r="E4804" s="237" t="str">
        <f>IFERROR(__xludf.DUMMYFUNCTION("""COMPUTED_VALUE"""),"LT0Q1E01WEUI1")</f>
        <v>LT0Q1E01WEUI1</v>
      </c>
      <c r="F4804" s="238" t="str">
        <f>IFERROR(__xludf.DUMMYFUNCTION("""COMPUTED_VALUE"""),"FRW6C59,FVP7A58")</f>
        <v>FRW6C59,FVP7A58</v>
      </c>
      <c r="G4804" s="238">
        <f>IFERROR(__xludf.DUMMYFUNCTION("""COMPUTED_VALUE"""),46036.91736111111)</f>
        <v>46036.91736</v>
      </c>
      <c r="H4804" s="238">
        <f>IFERROR(__xludf.DUMMYFUNCTION("""COMPUTED_VALUE"""),46037.29166666667)</f>
        <v>46037.29167</v>
      </c>
      <c r="I4804" s="237" t="str">
        <f t="shared" si="1"/>
        <v>Fora</v>
      </c>
      <c r="J4804" s="239">
        <v>539.0000000072177</v>
      </c>
    </row>
    <row r="4805">
      <c r="A4805" s="234" t="s">
        <v>5800</v>
      </c>
      <c r="B4805" s="234" t="str">
        <f>IFERROR(__xludf.DUMMYFUNCTION("""COMPUTED_VALUE"""),"SoC_BA_Simoes Filho")</f>
        <v>SoC_BA_Simoes Filho</v>
      </c>
      <c r="C4805" s="234" t="str">
        <f>IFERROR(__xludf.DUMMYFUNCTION("""COMPUTED_VALUE"""),"SOC-BA2")</f>
        <v>SOC-BA2</v>
      </c>
      <c r="D4805" s="234">
        <f>IFERROR(__xludf.DUMMYFUNCTION("""COMPUTED_VALUE"""),89.0)</f>
        <v>89</v>
      </c>
      <c r="E4805" s="237" t="str">
        <f>IFERROR(__xludf.DUMMYFUNCTION("""COMPUTED_VALUE"""),"LT0Q1E01WEUK2")</f>
        <v>LT0Q1E01WEUK2</v>
      </c>
      <c r="F4805" s="238" t="str">
        <f>IFERROR(__xludf.DUMMYFUNCTION("""COMPUTED_VALUE"""),"HMV3G96,EFW5B36")</f>
        <v>HMV3G96,EFW5B36</v>
      </c>
      <c r="G4805" s="238">
        <f>IFERROR(__xludf.DUMMYFUNCTION("""COMPUTED_VALUE"""),46036.91736111111)</f>
        <v>46036.91736</v>
      </c>
      <c r="H4805" s="238">
        <f>IFERROR(__xludf.DUMMYFUNCTION("""COMPUTED_VALUE"""),46037.29166666667)</f>
        <v>46037.29167</v>
      </c>
      <c r="I4805" s="237" t="str">
        <f t="shared" si="1"/>
        <v>Fora</v>
      </c>
      <c r="J4805" s="239">
        <v>539.0000000072177</v>
      </c>
    </row>
    <row r="4806">
      <c r="A4806" s="234" t="s">
        <v>897</v>
      </c>
      <c r="B4806" s="234" t="str">
        <f>IFERROR(__xludf.DUMMYFUNCTION("""COMPUTED_VALUE"""),"SoC_GO_Goiânia_02")</f>
        <v>SoC_GO_Goiânia_02</v>
      </c>
      <c r="C4806" s="234" t="str">
        <f>IFERROR(__xludf.DUMMYFUNCTION("""COMPUTED_VALUE"""),"SOC-GO2")</f>
        <v>SOC-GO2</v>
      </c>
      <c r="D4806" s="234">
        <f>IFERROR(__xludf.DUMMYFUNCTION("""COMPUTED_VALUE"""),87.0)</f>
        <v>87</v>
      </c>
      <c r="E4806" s="237" t="str">
        <f>IFERROR(__xludf.DUMMYFUNCTION("""COMPUTED_VALUE"""),"LT0Q1E01WF6C1")</f>
        <v>LT0Q1E01WF6C1</v>
      </c>
      <c r="F4806" s="238" t="str">
        <f>IFERROR(__xludf.DUMMYFUNCTION("""COMPUTED_VALUE"""),"HEH9A92,NFM8F37")</f>
        <v>HEH9A92,NFM8F37</v>
      </c>
      <c r="G4806" s="238">
        <f>IFERROR(__xludf.DUMMYFUNCTION("""COMPUTED_VALUE"""),46036.91736111111)</f>
        <v>46036.91736</v>
      </c>
      <c r="H4806" s="238">
        <f>IFERROR(__xludf.DUMMYFUNCTION("""COMPUTED_VALUE"""),46037.29166666667)</f>
        <v>46037.29167</v>
      </c>
      <c r="I4806" s="237" t="str">
        <f t="shared" si="1"/>
        <v>Fora</v>
      </c>
      <c r="J4806" s="239">
        <v>539.0000000072177</v>
      </c>
    </row>
    <row r="4807">
      <c r="A4807" s="234" t="s">
        <v>5801</v>
      </c>
      <c r="B4807" s="234" t="str">
        <f>IFERROR(__xludf.DUMMYFUNCTION("""COMPUTED_VALUE"""),"SoC_GO_Goiânia_02")</f>
        <v>SoC_GO_Goiânia_02</v>
      </c>
      <c r="C4807" s="234" t="str">
        <f>IFERROR(__xludf.DUMMYFUNCTION("""COMPUTED_VALUE"""),"SOC-GO2")</f>
        <v>SOC-GO2</v>
      </c>
      <c r="D4807" s="234">
        <f>IFERROR(__xludf.DUMMYFUNCTION("""COMPUTED_VALUE"""),87.0)</f>
        <v>87</v>
      </c>
      <c r="E4807" s="237" t="str">
        <f>IFERROR(__xludf.DUMMYFUNCTION("""COMPUTED_VALUE"""),"LT0Q1E01WF6E2")</f>
        <v>LT0Q1E01WF6E2</v>
      </c>
      <c r="F4807" s="238" t="str">
        <f>IFERROR(__xludf.DUMMYFUNCTION("""COMPUTED_VALUE"""),"RYG5D91,MKT6H92")</f>
        <v>RYG5D91,MKT6H92</v>
      </c>
      <c r="G4807" s="238">
        <f>IFERROR(__xludf.DUMMYFUNCTION("""COMPUTED_VALUE"""),46036.91736111111)</f>
        <v>46036.91736</v>
      </c>
      <c r="H4807" s="238">
        <f>IFERROR(__xludf.DUMMYFUNCTION("""COMPUTED_VALUE"""),46037.29166666667)</f>
        <v>46037.29167</v>
      </c>
      <c r="I4807" s="237" t="str">
        <f t="shared" si="1"/>
        <v>Fora</v>
      </c>
      <c r="J4807" s="239">
        <v>539.0000000072177</v>
      </c>
    </row>
    <row r="4808">
      <c r="A4808" s="234" t="s">
        <v>898</v>
      </c>
      <c r="B4808" s="234" t="str">
        <f>IFERROR(__xludf.DUMMYFUNCTION("""COMPUTED_VALUE"""),"SoC_PE_Jaboatão dos Guararapes")</f>
        <v>SoC_PE_Jaboatão dos Guararapes</v>
      </c>
      <c r="C4808" s="234" t="str">
        <f>IFERROR(__xludf.DUMMYFUNCTION("""COMPUTED_VALUE"""),"SOC-PE2")</f>
        <v>SOC-PE2</v>
      </c>
      <c r="D4808" s="234"/>
      <c r="E4808" s="237" t="str">
        <f>IFERROR(__xludf.DUMMYFUNCTION("""COMPUTED_VALUE"""),"LT0Q1E01WEQV1")</f>
        <v>LT0Q1E01WEQV1</v>
      </c>
      <c r="F4808" s="238" t="str">
        <f>IFERROR(__xludf.DUMMYFUNCTION("""COMPUTED_VALUE"""),"NZN0234,NZR9443")</f>
        <v>NZN0234,NZR9443</v>
      </c>
      <c r="G4808" s="238">
        <f>IFERROR(__xludf.DUMMYFUNCTION("""COMPUTED_VALUE"""),46036.91736111111)</f>
        <v>46036.91736</v>
      </c>
      <c r="H4808" s="238">
        <f>IFERROR(__xludf.DUMMYFUNCTION("""COMPUTED_VALUE"""),46037.29166666667)</f>
        <v>46037.29167</v>
      </c>
      <c r="I4808" s="237" t="str">
        <f t="shared" si="1"/>
        <v>Fora</v>
      </c>
      <c r="J4808" s="239">
        <v>539.0000000072177</v>
      </c>
    </row>
    <row r="4809">
      <c r="A4809" s="234" t="s">
        <v>5802</v>
      </c>
      <c r="B4809" s="234" t="str">
        <f>IFERROR(__xludf.DUMMYFUNCTION("""COMPUTED_VALUE"""),"SoC_PE_Jaboatão dos Guararapes")</f>
        <v>SoC_PE_Jaboatão dos Guararapes</v>
      </c>
      <c r="C4809" s="234" t="str">
        <f>IFERROR(__xludf.DUMMYFUNCTION("""COMPUTED_VALUE"""),"SOC-PE2")</f>
        <v>SOC-PE2</v>
      </c>
      <c r="D4809" s="234">
        <f>IFERROR(__xludf.DUMMYFUNCTION("""COMPUTED_VALUE"""),98.0)</f>
        <v>98</v>
      </c>
      <c r="E4809" s="237" t="str">
        <f>IFERROR(__xludf.DUMMYFUNCTION("""COMPUTED_VALUE"""),"LT0Q1E01WEQX2")</f>
        <v>LT0Q1E01WEQX2</v>
      </c>
      <c r="F4809" s="238" t="str">
        <f>IFERROR(__xludf.DUMMYFUNCTION("""COMPUTED_VALUE"""),"NED7751,KPG8385")</f>
        <v>NED7751,KPG8385</v>
      </c>
      <c r="G4809" s="238">
        <f>IFERROR(__xludf.DUMMYFUNCTION("""COMPUTED_VALUE"""),46036.91736111111)</f>
        <v>46036.91736</v>
      </c>
      <c r="H4809" s="238">
        <f>IFERROR(__xludf.DUMMYFUNCTION("""COMPUTED_VALUE"""),46037.29166666667)</f>
        <v>46037.29167</v>
      </c>
      <c r="I4809" s="237" t="str">
        <f t="shared" si="1"/>
        <v>Fora</v>
      </c>
      <c r="J4809" s="239">
        <v>539.0000000072177</v>
      </c>
    </row>
    <row r="4810">
      <c r="A4810" s="234" t="s">
        <v>5803</v>
      </c>
      <c r="B4810" s="234" t="str">
        <f>IFERROR(__xludf.DUMMYFUNCTION("""COMPUTED_VALUE"""),"SoC_RJ_Duque de Caxias")</f>
        <v>SoC_RJ_Duque de Caxias</v>
      </c>
      <c r="C4810" s="234" t="str">
        <f>IFERROR(__xludf.DUMMYFUNCTION("""COMPUTED_VALUE"""),"SOC-RJ2")</f>
        <v>SOC-RJ2</v>
      </c>
      <c r="D4810" s="234">
        <f>IFERROR(__xludf.DUMMYFUNCTION("""COMPUTED_VALUE"""),96.0)</f>
        <v>96</v>
      </c>
      <c r="E4810" s="237" t="str">
        <f>IFERROR(__xludf.DUMMYFUNCTION("""COMPUTED_VALUE"""),"LT0Q1E01WBFH1")</f>
        <v>LT0Q1E01WBFH1</v>
      </c>
      <c r="F4810" s="238" t="str">
        <f>IFERROR(__xludf.DUMMYFUNCTION("""COMPUTED_VALUE"""),"PLA4B06,TKU4B08")</f>
        <v>PLA4B06,TKU4B08</v>
      </c>
      <c r="G4810" s="238">
        <f>IFERROR(__xludf.DUMMYFUNCTION("""COMPUTED_VALUE"""),46036.91736111111)</f>
        <v>46036.91736</v>
      </c>
      <c r="H4810" s="238">
        <f>IFERROR(__xludf.DUMMYFUNCTION("""COMPUTED_VALUE"""),46037.29166666667)</f>
        <v>46037.29167</v>
      </c>
      <c r="I4810" s="237" t="str">
        <f t="shared" si="1"/>
        <v>Fora</v>
      </c>
      <c r="J4810" s="239">
        <v>539.0000000072177</v>
      </c>
    </row>
    <row r="4811">
      <c r="A4811" s="234" t="s">
        <v>5804</v>
      </c>
      <c r="B4811" s="234" t="str">
        <f>IFERROR(__xludf.DUMMYFUNCTION("""COMPUTED_VALUE"""),"SoC_RS_Gravataí_02")</f>
        <v>SoC_RS_Gravataí_02</v>
      </c>
      <c r="C4811" s="234" t="str">
        <f>IFERROR(__xludf.DUMMYFUNCTION("""COMPUTED_VALUE"""),"SOC-RS2")</f>
        <v>SOC-RS2</v>
      </c>
      <c r="D4811" s="234">
        <f>IFERROR(__xludf.DUMMYFUNCTION("""COMPUTED_VALUE"""),102.0)</f>
        <v>102</v>
      </c>
      <c r="E4811" s="237" t="str">
        <f>IFERROR(__xludf.DUMMYFUNCTION("""COMPUTED_VALUE"""),"LT0Q1E01WF8H1")</f>
        <v>LT0Q1E01WF8H1</v>
      </c>
      <c r="F4811" s="238" t="str">
        <f>IFERROR(__xludf.DUMMYFUNCTION("""COMPUTED_VALUE"""),"RXN0B04,RYD5G82")</f>
        <v>RXN0B04,RYD5G82</v>
      </c>
      <c r="G4811" s="238">
        <f>IFERROR(__xludf.DUMMYFUNCTION("""COMPUTED_VALUE"""),46036.91736111111)</f>
        <v>46036.91736</v>
      </c>
      <c r="H4811" s="238">
        <f>IFERROR(__xludf.DUMMYFUNCTION("""COMPUTED_VALUE"""),46037.29166666667)</f>
        <v>46037.29167</v>
      </c>
      <c r="I4811" s="237" t="str">
        <f t="shared" si="1"/>
        <v>Fora</v>
      </c>
      <c r="J4811" s="239">
        <v>539.0000000072177</v>
      </c>
    </row>
    <row r="4812">
      <c r="A4812" s="234" t="s">
        <v>5805</v>
      </c>
      <c r="B4812" s="234" t="str">
        <f>IFERROR(__xludf.DUMMYFUNCTION("""COMPUTED_VALUE"""),"SoC_RS_Gravataí_02")</f>
        <v>SoC_RS_Gravataí_02</v>
      </c>
      <c r="C4812" s="234" t="str">
        <f>IFERROR(__xludf.DUMMYFUNCTION("""COMPUTED_VALUE"""),"SOC-RS2")</f>
        <v>SOC-RS2</v>
      </c>
      <c r="D4812" s="234">
        <f>IFERROR(__xludf.DUMMYFUNCTION("""COMPUTED_VALUE"""),104.0)</f>
        <v>104</v>
      </c>
      <c r="E4812" s="237" t="str">
        <f>IFERROR(__xludf.DUMMYFUNCTION("""COMPUTED_VALUE"""),"LT0Q1E01WF8J2")</f>
        <v>LT0Q1E01WF8J2</v>
      </c>
      <c r="F4812" s="238" t="str">
        <f>IFERROR(__xludf.DUMMYFUNCTION("""COMPUTED_VALUE"""),"JDO0F30,JDL5C20")</f>
        <v>JDO0F30,JDL5C20</v>
      </c>
      <c r="G4812" s="238">
        <f>IFERROR(__xludf.DUMMYFUNCTION("""COMPUTED_VALUE"""),46036.91736111111)</f>
        <v>46036.91736</v>
      </c>
      <c r="H4812" s="238">
        <f>IFERROR(__xludf.DUMMYFUNCTION("""COMPUTED_VALUE"""),46037.29166666667)</f>
        <v>46037.29167</v>
      </c>
      <c r="I4812" s="237" t="str">
        <f t="shared" si="1"/>
        <v>Fora</v>
      </c>
      <c r="J4812" s="239">
        <v>537.0000000111759</v>
      </c>
    </row>
    <row r="4813">
      <c r="A4813" s="234" t="s">
        <v>899</v>
      </c>
      <c r="B4813" s="234" t="str">
        <f>IFERROR(__xludf.DUMMYFUNCTION("""COMPUTED_VALUE"""),"SoC_RJ_Duque de Caxias")</f>
        <v>SoC_RJ_Duque de Caxias</v>
      </c>
      <c r="C4813" s="234" t="str">
        <f>IFERROR(__xludf.DUMMYFUNCTION("""COMPUTED_VALUE"""),"SOC-RJ2")</f>
        <v>SOC-RJ2</v>
      </c>
      <c r="D4813" s="234"/>
      <c r="E4813" s="237" t="str">
        <f>IFERROR(__xludf.DUMMYFUNCTION("""COMPUTED_VALUE"""),"LT0Q1E01WIRW1")</f>
        <v>LT0Q1E01WIRW1</v>
      </c>
      <c r="F4813" s="238" t="str">
        <f>IFERROR(__xludf.DUMMYFUNCTION("""COMPUTED_VALUE"""),"OYD1D02,PAO4G41")</f>
        <v>OYD1D02,PAO4G41</v>
      </c>
      <c r="G4813" s="238">
        <f>IFERROR(__xludf.DUMMYFUNCTION("""COMPUTED_VALUE"""),46036.91875)</f>
        <v>46036.91875</v>
      </c>
      <c r="H4813" s="238">
        <f>IFERROR(__xludf.DUMMYFUNCTION("""COMPUTED_VALUE"""),46037.29166666667)</f>
        <v>46037.29167</v>
      </c>
      <c r="I4813" s="237" t="str">
        <f t="shared" si="1"/>
        <v>Fora</v>
      </c>
      <c r="J4813" s="239">
        <v>537.0000000111759</v>
      </c>
    </row>
    <row r="4814">
      <c r="A4814" s="234" t="s">
        <v>900</v>
      </c>
      <c r="B4814" s="234" t="str">
        <f>IFERROR(__xludf.DUMMYFUNCTION("""COMPUTED_VALUE"""),"SoC_SP_Cravinhos")</f>
        <v>SoC_SP_Cravinhos</v>
      </c>
      <c r="C4814" s="234" t="str">
        <f>IFERROR(__xludf.DUMMYFUNCTION("""COMPUTED_VALUE"""),"SOC-SP5")</f>
        <v>SOC-SP5</v>
      </c>
      <c r="D4814" s="234">
        <f>IFERROR(__xludf.DUMMYFUNCTION("""COMPUTED_VALUE"""),95.0)</f>
        <v>95</v>
      </c>
      <c r="E4814" s="237" t="str">
        <f>IFERROR(__xludf.DUMMYFUNCTION("""COMPUTED_VALUE"""),"LT0Q1E01W9561")</f>
        <v>LT0Q1E01W9561</v>
      </c>
      <c r="F4814" s="238" t="str">
        <f>IFERROR(__xludf.DUMMYFUNCTION("""COMPUTED_VALUE"""),"FEK3A22,EWJ2318")</f>
        <v>FEK3A22,EWJ2318</v>
      </c>
      <c r="G4814" s="238">
        <f>IFERROR(__xludf.DUMMYFUNCTION("""COMPUTED_VALUE"""),46036.91875)</f>
        <v>46036.91875</v>
      </c>
      <c r="H4814" s="238">
        <f>IFERROR(__xludf.DUMMYFUNCTION("""COMPUTED_VALUE"""),46037.29166666667)</f>
        <v>46037.29167</v>
      </c>
      <c r="I4814" s="237" t="str">
        <f t="shared" si="1"/>
        <v>Fora</v>
      </c>
      <c r="J4814" s="239">
        <v>537.0000000111759</v>
      </c>
    </row>
    <row r="4815">
      <c r="A4815" s="234" t="s">
        <v>5806</v>
      </c>
      <c r="B4815" s="234" t="str">
        <f>IFERROR(__xludf.DUMMYFUNCTION("""COMPUTED_VALUE"""),"SoC_SP_Cravinhos")</f>
        <v>SoC_SP_Cravinhos</v>
      </c>
      <c r="C4815" s="234" t="str">
        <f>IFERROR(__xludf.DUMMYFUNCTION("""COMPUTED_VALUE"""),"SOC-SP5")</f>
        <v>SOC-SP5</v>
      </c>
      <c r="D4815" s="234">
        <f>IFERROR(__xludf.DUMMYFUNCTION("""COMPUTED_VALUE"""),94.0)</f>
        <v>94</v>
      </c>
      <c r="E4815" s="237" t="str">
        <f>IFERROR(__xludf.DUMMYFUNCTION("""COMPUTED_VALUE"""),"LT0Q1E01W9582")</f>
        <v>LT0Q1E01W9582</v>
      </c>
      <c r="F4815" s="238" t="str">
        <f>IFERROR(__xludf.DUMMYFUNCTION("""COMPUTED_VALUE"""),"FSN1I44,FWG8C04")</f>
        <v>FSN1I44,FWG8C04</v>
      </c>
      <c r="G4815" s="238">
        <f>IFERROR(__xludf.DUMMYFUNCTION("""COMPUTED_VALUE"""),46036.91875)</f>
        <v>46036.91875</v>
      </c>
      <c r="H4815" s="238">
        <f>IFERROR(__xludf.DUMMYFUNCTION("""COMPUTED_VALUE"""),46037.29166666667)</f>
        <v>46037.29167</v>
      </c>
      <c r="I4815" s="237" t="str">
        <f t="shared" si="1"/>
        <v>Fora</v>
      </c>
      <c r="J4815" s="239">
        <v>180.0</v>
      </c>
    </row>
    <row r="4816">
      <c r="A4816" s="234" t="s">
        <v>5807</v>
      </c>
      <c r="B4816" s="234" t="str">
        <f>IFERROR(__xludf.DUMMYFUNCTION("""COMPUTED_VALUE"""),"SoC_BA_Simoes Filho")</f>
        <v>SoC_BA_Simoes Filho</v>
      </c>
      <c r="C4816" s="234" t="str">
        <f>IFERROR(__xludf.DUMMYFUNCTION("""COMPUTED_VALUE"""),"SOC-BA2")</f>
        <v>SOC-BA2</v>
      </c>
      <c r="D4816" s="234"/>
      <c r="E4816" s="237" t="str">
        <f>IFERROR(__xludf.DUMMYFUNCTION("""COMPUTED_VALUE"""),"LT1Q1F01WP2O1")</f>
        <v>LT1Q1F01WP2O1</v>
      </c>
      <c r="F4816" s="238" t="str">
        <f>IFERROR(__xludf.DUMMYFUNCTION("""COMPUTED_VALUE"""),"SDT3H56,SFO0G86")</f>
        <v>SDT3H56,SFO0G86</v>
      </c>
      <c r="G4816" s="238">
        <f>IFERROR(__xludf.DUMMYFUNCTION("""COMPUTED_VALUE"""),46037.16666666667)</f>
        <v>46037.16667</v>
      </c>
      <c r="H4816" s="238">
        <f>IFERROR(__xludf.DUMMYFUNCTION("""COMPUTED_VALUE"""),46037.29166666667)</f>
        <v>46037.29167</v>
      </c>
      <c r="I4816" s="237" t="str">
        <f t="shared" si="1"/>
        <v>Fora</v>
      </c>
      <c r="J4816" s="239">
        <v>120.00000001396984</v>
      </c>
    </row>
    <row r="4817">
      <c r="A4817" s="234" t="s">
        <v>902</v>
      </c>
      <c r="B4817" s="234" t="str">
        <f>IFERROR(__xludf.DUMMYFUNCTION("""COMPUTED_VALUE"""),"LM Hub_SP_Barueri_01")</f>
        <v>LM Hub_SP_Barueri_01</v>
      </c>
      <c r="C4817" s="234" t="str">
        <f>IFERROR(__xludf.DUMMYFUNCTION("""COMPUTED_VALUE"""),"HUB-LSP-81")</f>
        <v>HUB-LSP-81</v>
      </c>
      <c r="D4817" s="234">
        <f>IFERROR(__xludf.DUMMYFUNCTION("""COMPUTED_VALUE"""),12.0)</f>
        <v>12</v>
      </c>
      <c r="E4817" s="237" t="str">
        <f>IFERROR(__xludf.DUMMYFUNCTION("""COMPUTED_VALUE"""),"LT0Q1F01WEHC1")</f>
        <v>LT0Q1F01WEHC1</v>
      </c>
      <c r="F4817" s="238" t="str">
        <f>IFERROR(__xludf.DUMMYFUNCTION("""COMPUTED_VALUE"""),"CYT4D62,TLF5G42")</f>
        <v>CYT4D62,TLF5G42</v>
      </c>
      <c r="G4817" s="238">
        <f>IFERROR(__xludf.DUMMYFUNCTION("""COMPUTED_VALUE"""),46037.20833333333)</f>
        <v>46037.20833</v>
      </c>
      <c r="H4817" s="238">
        <f>IFERROR(__xludf.DUMMYFUNCTION("""COMPUTED_VALUE"""),46037.29166666667)</f>
        <v>46037.29167</v>
      </c>
      <c r="I4817" s="237" t="str">
        <f t="shared" si="1"/>
        <v>Fora</v>
      </c>
      <c r="J4817" s="239">
        <v>120.00000001396984</v>
      </c>
    </row>
    <row r="4818">
      <c r="A4818" s="234" t="s">
        <v>903</v>
      </c>
      <c r="B4818" s="234" t="str">
        <f>IFERROR(__xludf.DUMMYFUNCTION("""COMPUTED_VALUE"""),"LM Hub_SP_Jundiaí")</f>
        <v>LM Hub_SP_Jundiaí</v>
      </c>
      <c r="C4818" s="234" t="str">
        <f>IFERROR(__xludf.DUMMYFUNCTION("""COMPUTED_VALUE"""),"HUB-LSP-100")</f>
        <v>HUB-LSP-100</v>
      </c>
      <c r="D4818" s="234">
        <f>IFERROR(__xludf.DUMMYFUNCTION("""COMPUTED_VALUE"""),23.0)</f>
        <v>23</v>
      </c>
      <c r="E4818" s="237" t="str">
        <f>IFERROR(__xludf.DUMMYFUNCTION("""COMPUTED_VALUE"""),"LT0Q1F01WFXO1")</f>
        <v>LT0Q1F01WFXO1</v>
      </c>
      <c r="F4818" s="238" t="str">
        <f>IFERROR(__xludf.DUMMYFUNCTION("""COMPUTED_VALUE"""),"EOA6A55")</f>
        <v>EOA6A55</v>
      </c>
      <c r="G4818" s="238">
        <f>IFERROR(__xludf.DUMMYFUNCTION("""COMPUTED_VALUE"""),46037.20833333333)</f>
        <v>46037.20833</v>
      </c>
      <c r="H4818" s="238">
        <f>IFERROR(__xludf.DUMMYFUNCTION("""COMPUTED_VALUE"""),46037.29166666667)</f>
        <v>46037.29167</v>
      </c>
      <c r="I4818" s="237" t="str">
        <f t="shared" si="1"/>
        <v>Fora</v>
      </c>
      <c r="J4818" s="239">
        <v>120.00000001396984</v>
      </c>
    </row>
    <row r="4819">
      <c r="A4819" s="234" t="s">
        <v>904</v>
      </c>
      <c r="B4819" s="234" t="str">
        <f>IFERROR(__xludf.DUMMYFUNCTION("""COMPUTED_VALUE"""),"LM Hub_SP_Piracicaba")</f>
        <v>LM Hub_SP_Piracicaba</v>
      </c>
      <c r="C4819" s="234" t="str">
        <f>IFERROR(__xludf.DUMMYFUNCTION("""COMPUTED_VALUE"""),"HUB-LSP-62")</f>
        <v>HUB-LSP-62</v>
      </c>
      <c r="D4819" s="234"/>
      <c r="E4819" s="237" t="str">
        <f>IFERROR(__xludf.DUMMYFUNCTION("""COMPUTED_VALUE"""),"LT0Q1F01W9X31")</f>
        <v>LT0Q1F01W9X31</v>
      </c>
      <c r="F4819" s="238" t="str">
        <f>IFERROR(__xludf.DUMMYFUNCTION("""COMPUTED_VALUE"""),"OGD9J54")</f>
        <v>OGD9J54</v>
      </c>
      <c r="G4819" s="238">
        <f>IFERROR(__xludf.DUMMYFUNCTION("""COMPUTED_VALUE"""),46037.20833333333)</f>
        <v>46037.20833</v>
      </c>
      <c r="H4819" s="238">
        <f>IFERROR(__xludf.DUMMYFUNCTION("""COMPUTED_VALUE"""),46037.29166666667)</f>
        <v>46037.29167</v>
      </c>
      <c r="I4819" s="237" t="str">
        <f t="shared" si="1"/>
        <v>Fora</v>
      </c>
      <c r="J4819" s="239">
        <v>120.00000001396984</v>
      </c>
    </row>
    <row r="4820">
      <c r="A4820" s="234" t="s">
        <v>905</v>
      </c>
      <c r="B4820" s="234" t="str">
        <f>IFERROR(__xludf.DUMMYFUNCTION("""COMPUTED_VALUE"""),"LM Hub_SP_Santos_PraiaGrande_02")</f>
        <v>LM Hub_SP_Santos_PraiaGrande_02</v>
      </c>
      <c r="C4820" s="234" t="str">
        <f>IFERROR(__xludf.DUMMYFUNCTION("""COMPUTED_VALUE"""),"HUB-LSP-63")</f>
        <v>HUB-LSP-63</v>
      </c>
      <c r="D4820" s="234">
        <f>IFERROR(__xludf.DUMMYFUNCTION("""COMPUTED_VALUE"""),19.0)</f>
        <v>19</v>
      </c>
      <c r="E4820" s="237" t="str">
        <f>IFERROR(__xludf.DUMMYFUNCTION("""COMPUTED_VALUE"""),"LT0Q1F01WADT1")</f>
        <v>LT0Q1F01WADT1</v>
      </c>
      <c r="F4820" s="238" t="str">
        <f>IFERROR(__xludf.DUMMYFUNCTION("""COMPUTED_VALUE"""),"GEJ6E62,TLV2A95")</f>
        <v>GEJ6E62,TLV2A95</v>
      </c>
      <c r="G4820" s="238">
        <f>IFERROR(__xludf.DUMMYFUNCTION("""COMPUTED_VALUE"""),46037.20833333333)</f>
        <v>46037.20833</v>
      </c>
      <c r="H4820" s="238">
        <f>IFERROR(__xludf.DUMMYFUNCTION("""COMPUTED_VALUE"""),46037.29166666667)</f>
        <v>46037.29167</v>
      </c>
      <c r="I4820" s="237" t="str">
        <f t="shared" si="1"/>
        <v>Fora</v>
      </c>
      <c r="J4820" s="239">
        <v>118.00000000745058</v>
      </c>
    </row>
    <row r="4821">
      <c r="A4821" s="234" t="s">
        <v>906</v>
      </c>
      <c r="B4821" s="234" t="str">
        <f>IFERROR(__xludf.DUMMYFUNCTION("""COMPUTED_VALUE"""),"LM Hub_SP_Jurubatuba")</f>
        <v>LM Hub_SP_Jurubatuba</v>
      </c>
      <c r="C4821" s="234" t="str">
        <f>IFERROR(__xludf.DUMMYFUNCTION("""COMPUTED_VALUE"""),"HUB-LSP-16")</f>
        <v>HUB-LSP-16</v>
      </c>
      <c r="D4821" s="234">
        <f>IFERROR(__xludf.DUMMYFUNCTION("""COMPUTED_VALUE"""),40.0)</f>
        <v>40</v>
      </c>
      <c r="E4821" s="237" t="str">
        <f>IFERROR(__xludf.DUMMYFUNCTION("""COMPUTED_VALUE"""),"LT0Q1F01WACI1")</f>
        <v>LT0Q1F01WACI1</v>
      </c>
      <c r="F4821" s="238" t="str">
        <f>IFERROR(__xludf.DUMMYFUNCTION("""COMPUTED_VALUE"""),"MQV9D62,BVT6J01")</f>
        <v>MQV9D62,BVT6J01</v>
      </c>
      <c r="G4821" s="238">
        <f>IFERROR(__xludf.DUMMYFUNCTION("""COMPUTED_VALUE"""),46037.20972222222)</f>
        <v>46037.20972</v>
      </c>
      <c r="H4821" s="238">
        <f>IFERROR(__xludf.DUMMYFUNCTION("""COMPUTED_VALUE"""),46037.29166666667)</f>
        <v>46037.29167</v>
      </c>
      <c r="I4821" s="237" t="str">
        <f t="shared" si="1"/>
        <v>Fora</v>
      </c>
      <c r="J4821" s="239">
        <v>119.99999999301508</v>
      </c>
    </row>
    <row r="4822">
      <c r="A4822" s="234" t="s">
        <v>907</v>
      </c>
      <c r="B4822" s="234" t="str">
        <f>IFERROR(__xludf.DUMMYFUNCTION("""COMPUTED_VALUE"""),"LM Hub_SP_Guarujá")</f>
        <v>LM Hub_SP_Guarujá</v>
      </c>
      <c r="C4822" s="234" t="str">
        <f>IFERROR(__xludf.DUMMYFUNCTION("""COMPUTED_VALUE"""),"HUB-LSP-06")</f>
        <v>HUB-LSP-06</v>
      </c>
      <c r="D4822" s="234">
        <f>IFERROR(__xludf.DUMMYFUNCTION("""COMPUTED_VALUE"""),36.0)</f>
        <v>36</v>
      </c>
      <c r="E4822" s="237" t="str">
        <f>IFERROR(__xludf.DUMMYFUNCTION("""COMPUTED_VALUE"""),"LT0Q1F01WAD71")</f>
        <v>LT0Q1F01WAD71</v>
      </c>
      <c r="F4822" s="238" t="str">
        <f>IFERROR(__xludf.DUMMYFUNCTION("""COMPUTED_VALUE"""),"DIK3532")</f>
        <v>DIK3532</v>
      </c>
      <c r="G4822" s="238">
        <f>IFERROR(__xludf.DUMMYFUNCTION("""COMPUTED_VALUE"""),46037.22916666667)</f>
        <v>46037.22917</v>
      </c>
      <c r="H4822" s="238">
        <f>IFERROR(__xludf.DUMMYFUNCTION("""COMPUTED_VALUE"""),46037.3125)</f>
        <v>46037.3125</v>
      </c>
      <c r="I4822" s="237" t="str">
        <f t="shared" si="1"/>
        <v>Fora</v>
      </c>
      <c r="J4822" s="239">
        <v>119.99999999301508</v>
      </c>
    </row>
    <row r="4823">
      <c r="A4823" s="234" t="s">
        <v>908</v>
      </c>
      <c r="B4823" s="234" t="str">
        <f>IFERROR(__xludf.DUMMYFUNCTION("""COMPUTED_VALUE"""),"LM Hub_SP_Itapevi")</f>
        <v>LM Hub_SP_Itapevi</v>
      </c>
      <c r="C4823" s="234" t="str">
        <f>IFERROR(__xludf.DUMMYFUNCTION("""COMPUTED_VALUE"""),"HUB-LSP-41")</f>
        <v>HUB-LSP-41</v>
      </c>
      <c r="D4823" s="234">
        <f>IFERROR(__xludf.DUMMYFUNCTION("""COMPUTED_VALUE"""),39.0)</f>
        <v>39</v>
      </c>
      <c r="E4823" s="237" t="str">
        <f>IFERROR(__xludf.DUMMYFUNCTION("""COMPUTED_VALUE"""),"LT0Q1F01WIBY1")</f>
        <v>LT0Q1F01WIBY1</v>
      </c>
      <c r="F4823" s="238" t="str">
        <f>IFERROR(__xludf.DUMMYFUNCTION("""COMPUTED_VALUE"""),"FYQ5533")</f>
        <v>FYQ5533</v>
      </c>
      <c r="G4823" s="238">
        <f>IFERROR(__xludf.DUMMYFUNCTION("""COMPUTED_VALUE"""),46037.22916666667)</f>
        <v>46037.22917</v>
      </c>
      <c r="H4823" s="238">
        <f>IFERROR(__xludf.DUMMYFUNCTION("""COMPUTED_VALUE"""),46037.3125)</f>
        <v>46037.3125</v>
      </c>
      <c r="I4823" s="237" t="str">
        <f t="shared" si="1"/>
        <v>Fora</v>
      </c>
      <c r="J4823" s="239">
        <v>119.99999999301508</v>
      </c>
    </row>
    <row r="4824">
      <c r="A4824" s="234" t="s">
        <v>909</v>
      </c>
      <c r="B4824" s="234" t="str">
        <f>IFERROR(__xludf.DUMMYFUNCTION("""COMPUTED_VALUE"""),"LM Hub_SP_Itaqua_Zimba")</f>
        <v>LM Hub_SP_Itaqua_Zimba</v>
      </c>
      <c r="C4824" s="234" t="str">
        <f>IFERROR(__xludf.DUMMYFUNCTION("""COMPUTED_VALUE"""),"HUB-LSP-74")</f>
        <v>HUB-LSP-74</v>
      </c>
      <c r="D4824" s="234">
        <f>IFERROR(__xludf.DUMMYFUNCTION("""COMPUTED_VALUE"""),34.0)</f>
        <v>34</v>
      </c>
      <c r="E4824" s="237" t="str">
        <f>IFERROR(__xludf.DUMMYFUNCTION("""COMPUTED_VALUE"""),"LT0Q1F01WAD21")</f>
        <v>LT0Q1F01WAD21</v>
      </c>
      <c r="F4824" s="238" t="str">
        <f>IFERROR(__xludf.DUMMYFUNCTION("""COMPUTED_VALUE"""),"FLJ6920")</f>
        <v>FLJ6920</v>
      </c>
      <c r="G4824" s="238">
        <f>IFERROR(__xludf.DUMMYFUNCTION("""COMPUTED_VALUE"""),46037.22916666667)</f>
        <v>46037.22917</v>
      </c>
      <c r="H4824" s="238">
        <f>IFERROR(__xludf.DUMMYFUNCTION("""COMPUTED_VALUE"""),46037.3125)</f>
        <v>46037.3125</v>
      </c>
      <c r="I4824" s="237" t="str">
        <f t="shared" si="1"/>
        <v>Fora</v>
      </c>
      <c r="J4824" s="239">
        <v>119.99999999301508</v>
      </c>
    </row>
    <row r="4825">
      <c r="A4825" s="234" t="s">
        <v>910</v>
      </c>
      <c r="B4825" s="234" t="str">
        <f>IFERROR(__xludf.DUMMYFUNCTION("""COMPUTED_VALUE"""),"LM Hub_SP_Santos_Praia Grande")</f>
        <v>LM Hub_SP_Santos_Praia Grande</v>
      </c>
      <c r="C4825" s="234" t="str">
        <f>IFERROR(__xludf.DUMMYFUNCTION("""COMPUTED_VALUE"""),"HUB-LSP-09")</f>
        <v>HUB-LSP-09</v>
      </c>
      <c r="D4825" s="234">
        <f>IFERROR(__xludf.DUMMYFUNCTION("""COMPUTED_VALUE"""),37.0)</f>
        <v>37</v>
      </c>
      <c r="E4825" s="237" t="str">
        <f>IFERROR(__xludf.DUMMYFUNCTION("""COMPUTED_VALUE"""),"LT0Q1F01WADC1")</f>
        <v>LT0Q1F01WADC1</v>
      </c>
      <c r="F4825" s="238" t="str">
        <f>IFERROR(__xludf.DUMMYFUNCTION("""COMPUTED_VALUE"""),"SVL5H32")</f>
        <v>SVL5H32</v>
      </c>
      <c r="G4825" s="238">
        <f>IFERROR(__xludf.DUMMYFUNCTION("""COMPUTED_VALUE"""),46037.22916666667)</f>
        <v>46037.22917</v>
      </c>
      <c r="H4825" s="238">
        <f>IFERROR(__xludf.DUMMYFUNCTION("""COMPUTED_VALUE"""),46037.3125)</f>
        <v>46037.3125</v>
      </c>
      <c r="I4825" s="237" t="str">
        <f t="shared" si="1"/>
        <v>Fora</v>
      </c>
      <c r="J4825" s="239">
        <v>119.99999999301508</v>
      </c>
    </row>
    <row r="4826">
      <c r="A4826" s="234" t="s">
        <v>911</v>
      </c>
      <c r="B4826" s="234" t="str">
        <f>IFERROR(__xludf.DUMMYFUNCTION("""COMPUTED_VALUE"""),"LM Hub_SP_São José dos Campos")</f>
        <v>LM Hub_SP_São José dos Campos</v>
      </c>
      <c r="C4826" s="234" t="str">
        <f>IFERROR(__xludf.DUMMYFUNCTION("""COMPUTED_VALUE"""),"HUB-LSP-04")</f>
        <v>HUB-LSP-04</v>
      </c>
      <c r="D4826" s="234"/>
      <c r="E4826" s="237" t="str">
        <f>IFERROR(__xludf.DUMMYFUNCTION("""COMPUTED_VALUE"""),"LT0Q1F01WADG1")</f>
        <v>LT0Q1F01WADG1</v>
      </c>
      <c r="F4826" s="234"/>
      <c r="G4826" s="238">
        <f>IFERROR(__xludf.DUMMYFUNCTION("""COMPUTED_VALUE"""),46037.22916666667)</f>
        <v>46037.22917</v>
      </c>
      <c r="H4826" s="238">
        <f>IFERROR(__xludf.DUMMYFUNCTION("""COMPUTED_VALUE"""),46037.3125)</f>
        <v>46037.3125</v>
      </c>
      <c r="I4826" s="237" t="str">
        <f t="shared" si="1"/>
        <v>Fora</v>
      </c>
      <c r="J4826" s="239">
        <v>119.99999999301508</v>
      </c>
    </row>
    <row r="4827">
      <c r="A4827" s="234" t="s">
        <v>912</v>
      </c>
      <c r="B4827" s="234" t="str">
        <f>IFERROR(__xludf.DUMMYFUNCTION("""COMPUTED_VALUE"""),"LM Hub_SP_Várzea Paulista")</f>
        <v>LM Hub_SP_Várzea Paulista</v>
      </c>
      <c r="C4827" s="234" t="str">
        <f>IFERROR(__xludf.DUMMYFUNCTION("""COMPUTED_VALUE"""),"HUB-LSP-20")</f>
        <v>HUB-LSP-20</v>
      </c>
      <c r="D4827" s="234">
        <f>IFERROR(__xludf.DUMMYFUNCTION("""COMPUTED_VALUE"""),28.0)</f>
        <v>28</v>
      </c>
      <c r="E4827" s="237" t="str">
        <f>IFERROR(__xludf.DUMMYFUNCTION("""COMPUTED_VALUE"""),"LT0Q1F01W9CI1")</f>
        <v>LT0Q1F01W9CI1</v>
      </c>
      <c r="F4827" s="238" t="str">
        <f>IFERROR(__xludf.DUMMYFUNCTION("""COMPUTED_VALUE"""),"GDC9B69")</f>
        <v>GDC9B69</v>
      </c>
      <c r="G4827" s="238">
        <f>IFERROR(__xludf.DUMMYFUNCTION("""COMPUTED_VALUE"""),46037.22916666667)</f>
        <v>46037.22917</v>
      </c>
      <c r="H4827" s="238">
        <f>IFERROR(__xludf.DUMMYFUNCTION("""COMPUTED_VALUE"""),46037.3125)</f>
        <v>46037.3125</v>
      </c>
      <c r="I4827" s="237" t="str">
        <f t="shared" si="1"/>
        <v>Fora</v>
      </c>
      <c r="J4827" s="239">
        <v>119.00000000023283</v>
      </c>
    </row>
    <row r="4828">
      <c r="A4828" s="234" t="s">
        <v>5808</v>
      </c>
      <c r="B4828" s="234" t="str">
        <f>IFERROR(__xludf.DUMMYFUNCTION("""COMPUTED_VALUE"""),"LM Hub_SP_São Paulo_Mooca")</f>
        <v>LM Hub_SP_São Paulo_Mooca</v>
      </c>
      <c r="C4828" s="234" t="str">
        <f>IFERROR(__xludf.DUMMYFUNCTION("""COMPUTED_VALUE"""),"HUB-LSP-13")</f>
        <v>HUB-LSP-13</v>
      </c>
      <c r="D4828" s="234">
        <f>IFERROR(__xludf.DUMMYFUNCTION("""COMPUTED_VALUE"""),48.0)</f>
        <v>48</v>
      </c>
      <c r="E4828" s="237" t="str">
        <f>IFERROR(__xludf.DUMMYFUNCTION("""COMPUTED_VALUE"""),"LT0Q1F01WIKH1")</f>
        <v>LT0Q1F01WIKH1</v>
      </c>
      <c r="F4828" s="238" t="str">
        <f>IFERROR(__xludf.DUMMYFUNCTION("""COMPUTED_VALUE"""),"PEP9J38")</f>
        <v>PEP9J38</v>
      </c>
      <c r="G4828" s="238">
        <f>IFERROR(__xludf.DUMMYFUNCTION("""COMPUTED_VALUE"""),46037.22986111111)</f>
        <v>46037.22986</v>
      </c>
      <c r="H4828" s="238">
        <f>IFERROR(__xludf.DUMMYFUNCTION("""COMPUTED_VALUE"""),46037.3125)</f>
        <v>46037.3125</v>
      </c>
      <c r="I4828" s="237" t="str">
        <f t="shared" si="1"/>
        <v>Fora</v>
      </c>
      <c r="J4828" s="239">
        <v>599.9999999860302</v>
      </c>
    </row>
    <row r="4829">
      <c r="A4829" s="234" t="s">
        <v>5809</v>
      </c>
      <c r="B4829" s="234" t="str">
        <f>IFERROR(__xludf.DUMMYFUNCTION("""COMPUTED_VALUE"""),"SoC_BA_Simoes Filho")</f>
        <v>SoC_BA_Simoes Filho</v>
      </c>
      <c r="C4829" s="234" t="str">
        <f>IFERROR(__xludf.DUMMYFUNCTION("""COMPUTED_VALUE"""),"SOC-BA2")</f>
        <v>SOC-BA2</v>
      </c>
      <c r="D4829" s="234"/>
      <c r="E4829" s="237" t="str">
        <f>IFERROR(__xludf.DUMMYFUNCTION("""COMPUTED_VALUE"""),"LT1Q1F01WP2N1")</f>
        <v>LT1Q1F01WP2N1</v>
      </c>
      <c r="F4829" s="238" t="str">
        <f>IFERROR(__xludf.DUMMYFUNCTION("""COMPUTED_VALUE"""),"PPX9C23,NUS0215")</f>
        <v>PPX9C23,NUS0215</v>
      </c>
      <c r="G4829" s="238">
        <f>IFERROR(__xludf.DUMMYFUNCTION("""COMPUTED_VALUE"""),46037.04166666667)</f>
        <v>46037.04167</v>
      </c>
      <c r="H4829" s="238">
        <f>IFERROR(__xludf.DUMMYFUNCTION("""COMPUTED_VALUE"""),46037.45833333333)</f>
        <v>46037.45833</v>
      </c>
      <c r="I4829" s="237" t="str">
        <f t="shared" si="1"/>
        <v>Fora</v>
      </c>
      <c r="J4829" s="239">
        <v>536.9999999902211</v>
      </c>
    </row>
    <row r="4830">
      <c r="A4830" s="234" t="s">
        <v>5810</v>
      </c>
      <c r="B4830" s="234" t="str">
        <f>IFERROR(__xludf.DUMMYFUNCTION("""COMPUTED_VALUE"""),"SoC_MG_Betim")</f>
        <v>SoC_MG_Betim</v>
      </c>
      <c r="C4830" s="234" t="str">
        <f>IFERROR(__xludf.DUMMYFUNCTION("""COMPUTED_VALUE"""),"SOC-MG2")</f>
        <v>SOC-MG2</v>
      </c>
      <c r="D4830" s="234">
        <f>IFERROR(__xludf.DUMMYFUNCTION("""COMPUTED_VALUE"""),91.0)</f>
        <v>91</v>
      </c>
      <c r="E4830" s="237" t="str">
        <f>IFERROR(__xludf.DUMMYFUNCTION("""COMPUTED_VALUE"""),"LT0Q1E01WIB91")</f>
        <v>LT0Q1E01WIB91</v>
      </c>
      <c r="F4830" s="238" t="str">
        <f>IFERROR(__xludf.DUMMYFUNCTION("""COMPUTED_VALUE"""),"IUX9B48,DBC5I18")</f>
        <v>IUX9B48,DBC5I18</v>
      </c>
      <c r="G4830" s="238">
        <f>IFERROR(__xludf.DUMMYFUNCTION("""COMPUTED_VALUE"""),46037.08541666667)</f>
        <v>46037.08542</v>
      </c>
      <c r="H4830" s="238">
        <f>IFERROR(__xludf.DUMMYFUNCTION("""COMPUTED_VALUE"""),46037.45833333333)</f>
        <v>46037.45833</v>
      </c>
      <c r="I4830" s="237" t="str">
        <f t="shared" si="1"/>
        <v>Fora</v>
      </c>
      <c r="J4830" s="239">
        <v>537.9999999934807</v>
      </c>
    </row>
    <row r="4831">
      <c r="A4831" s="234" t="s">
        <v>913</v>
      </c>
      <c r="B4831" s="234" t="str">
        <f>IFERROR(__xludf.DUMMYFUNCTION("""COMPUTED_VALUE"""),"SoC_MG_Betim")</f>
        <v>SoC_MG_Betim</v>
      </c>
      <c r="C4831" s="234" t="str">
        <f>IFERROR(__xludf.DUMMYFUNCTION("""COMPUTED_VALUE"""),"SOC-MG2")</f>
        <v>SOC-MG2</v>
      </c>
      <c r="D4831" s="234">
        <f>IFERROR(__xludf.DUMMYFUNCTION("""COMPUTED_VALUE"""),91.0)</f>
        <v>91</v>
      </c>
      <c r="E4831" s="237" t="str">
        <f>IFERROR(__xludf.DUMMYFUNCTION("""COMPUTED_VALUE"""),"LT0Q1E01W93J2")</f>
        <v>LT0Q1E01W93J2</v>
      </c>
      <c r="F4831" s="238" t="str">
        <f>IFERROR(__xludf.DUMMYFUNCTION("""COMPUTED_VALUE"""),"FNU0D51,RXK7I60")</f>
        <v>FNU0D51,RXK7I60</v>
      </c>
      <c r="G4831" s="238">
        <f>IFERROR(__xludf.DUMMYFUNCTION("""COMPUTED_VALUE"""),46037.12638888889)</f>
        <v>46037.12639</v>
      </c>
      <c r="H4831" s="238">
        <f>IFERROR(__xludf.DUMMYFUNCTION("""COMPUTED_VALUE"""),46037.5)</f>
        <v>46037.5</v>
      </c>
      <c r="I4831" s="237" t="str">
        <f t="shared" si="1"/>
        <v>Fora</v>
      </c>
      <c r="J4831" s="239">
        <v>479.9999999930151</v>
      </c>
    </row>
    <row r="4832">
      <c r="A4832" s="234" t="s">
        <v>914</v>
      </c>
      <c r="B4832" s="234" t="str">
        <f>IFERROR(__xludf.DUMMYFUNCTION("""COMPUTED_VALUE"""),"SoC_PR_Curitiba")</f>
        <v>SoC_PR_Curitiba</v>
      </c>
      <c r="C4832" s="234" t="str">
        <f>IFERROR(__xludf.DUMMYFUNCTION("""COMPUTED_VALUE"""),"SOC-PR1")</f>
        <v>SOC-PR1</v>
      </c>
      <c r="D4832" s="234"/>
      <c r="E4832" s="237" t="str">
        <f>IFERROR(__xludf.DUMMYFUNCTION("""COMPUTED_VALUE"""),"LT1Q1F01WOKT1")</f>
        <v>LT1Q1F01WOKT1</v>
      </c>
      <c r="F4832" s="238" t="str">
        <f>IFERROR(__xludf.DUMMYFUNCTION("""COMPUTED_VALUE"""),"RXU1A45,RAE8A53")</f>
        <v>RXU1A45,RAE8A53</v>
      </c>
      <c r="G4832" s="238">
        <f>IFERROR(__xludf.DUMMYFUNCTION("""COMPUTED_VALUE"""),46037.25)</f>
        <v>46037.25</v>
      </c>
      <c r="H4832" s="238">
        <f>IFERROR(__xludf.DUMMYFUNCTION("""COMPUTED_VALUE"""),46037.58333333333)</f>
        <v>46037.58333</v>
      </c>
      <c r="I4832" s="237" t="str">
        <f t="shared" si="1"/>
        <v>Fora</v>
      </c>
      <c r="J4832" s="239">
        <v>599.0000000037253</v>
      </c>
    </row>
    <row r="4833">
      <c r="A4833" s="234" t="s">
        <v>915</v>
      </c>
      <c r="B4833" s="234" t="str">
        <f>IFERROR(__xludf.DUMMYFUNCTION("""COMPUTED_VALUE"""),"SoC_RS_Gravataí_02")</f>
        <v>SoC_RS_Gravataí_02</v>
      </c>
      <c r="C4833" s="234" t="str">
        <f>IFERROR(__xludf.DUMMYFUNCTION("""COMPUTED_VALUE"""),"SOC-RS2")</f>
        <v>SOC-RS2</v>
      </c>
      <c r="D4833" s="234">
        <f>IFERROR(__xludf.DUMMYFUNCTION("""COMPUTED_VALUE"""),102.0)</f>
        <v>102</v>
      </c>
      <c r="E4833" s="237" t="str">
        <f>IFERROR(__xludf.DUMMYFUNCTION("""COMPUTED_VALUE"""),"LT0Q1F01WF7X2")</f>
        <v>LT0Q1F01WF7X2</v>
      </c>
      <c r="F4833" s="238" t="str">
        <f>IFERROR(__xludf.DUMMYFUNCTION("""COMPUTED_VALUE"""),"TPP1G79,TPT2E59")</f>
        <v>TPP1G79,TPT2E59</v>
      </c>
      <c r="G4833" s="238">
        <f>IFERROR(__xludf.DUMMYFUNCTION("""COMPUTED_VALUE"""),46037.25069444445)</f>
        <v>46037.25069</v>
      </c>
      <c r="H4833" s="238">
        <f>IFERROR(__xludf.DUMMYFUNCTION("""COMPUTED_VALUE"""),46037.66666666667)</f>
        <v>46037.66667</v>
      </c>
      <c r="I4833" s="237" t="str">
        <f t="shared" si="1"/>
        <v>Fora</v>
      </c>
      <c r="J4833" s="239">
        <v>597.0000000076834</v>
      </c>
    </row>
    <row r="4834">
      <c r="A4834" s="234" t="s">
        <v>5811</v>
      </c>
      <c r="B4834" s="234" t="str">
        <f>IFERROR(__xludf.DUMMYFUNCTION("""COMPUTED_VALUE"""),"SoC_SP_Cravinhos")</f>
        <v>SoC_SP_Cravinhos</v>
      </c>
      <c r="C4834" s="234" t="str">
        <f>IFERROR(__xludf.DUMMYFUNCTION("""COMPUTED_VALUE"""),"SOC-SP5")</f>
        <v>SOC-SP5</v>
      </c>
      <c r="D4834" s="234">
        <f>IFERROR(__xludf.DUMMYFUNCTION("""COMPUTED_VALUE"""),94.0)</f>
        <v>94</v>
      </c>
      <c r="E4834" s="237" t="str">
        <f>IFERROR(__xludf.DUMMYFUNCTION("""COMPUTED_VALUE"""),"LT0Q1F01W94M1")</f>
        <v>LT0Q1F01W94M1</v>
      </c>
      <c r="F4834" s="238" t="str">
        <f>IFERROR(__xludf.DUMMYFUNCTION("""COMPUTED_VALUE"""),"FVH9G29,FSR7A42")</f>
        <v>FVH9G29,FSR7A42</v>
      </c>
      <c r="G4834" s="238">
        <f>IFERROR(__xludf.DUMMYFUNCTION("""COMPUTED_VALUE"""),46037.25208333333)</f>
        <v>46037.25208</v>
      </c>
      <c r="H4834" s="238">
        <f>IFERROR(__xludf.DUMMYFUNCTION("""COMPUTED_VALUE"""),46037.66666666667)</f>
        <v>46037.66667</v>
      </c>
      <c r="I4834" s="237" t="str">
        <f t="shared" si="1"/>
        <v>Fora</v>
      </c>
      <c r="J4834" s="239">
        <v>60.00000000698492</v>
      </c>
    </row>
    <row r="4835">
      <c r="A4835" s="234" t="s">
        <v>901</v>
      </c>
      <c r="B4835" s="234" t="str">
        <f>IFERROR(__xludf.DUMMYFUNCTION("""COMPUTED_VALUE"""),"LM Hub_SP_São Bernardo do Campo")</f>
        <v>LM Hub_SP_São Bernardo do Campo</v>
      </c>
      <c r="C4835" s="234" t="str">
        <f>IFERROR(__xludf.DUMMYFUNCTION("""COMPUTED_VALUE"""),"HUB-LSP-79")</f>
        <v>HUB-LSP-79</v>
      </c>
      <c r="D4835" s="234">
        <f>IFERROR(__xludf.DUMMYFUNCTION("""COMPUTED_VALUE"""),33.0)</f>
        <v>33</v>
      </c>
      <c r="E4835" s="237" t="str">
        <f>IFERROR(__xludf.DUMMYFUNCTION("""COMPUTED_VALUE"""),"LT1Q1F01WPOJ1")</f>
        <v>LT1Q1F01WPOJ1</v>
      </c>
      <c r="F4835" s="238" t="str">
        <f>IFERROR(__xludf.DUMMYFUNCTION("""COMPUTED_VALUE"""),"NKW3F61,STD9E75")</f>
        <v>NKW3F61,STD9E75</v>
      </c>
      <c r="G4835" s="238">
        <f>IFERROR(__xludf.DUMMYFUNCTION("""COMPUTED_VALUE"""),46037.25902777778)</f>
        <v>46037.25903</v>
      </c>
      <c r="H4835" s="238">
        <f>IFERROR(__xludf.DUMMYFUNCTION("""COMPUTED_VALUE"""),46037.30069444445)</f>
        <v>46037.30069</v>
      </c>
      <c r="I4835" s="237" t="str">
        <f t="shared" si="1"/>
        <v>Fora</v>
      </c>
      <c r="J4835" s="239">
        <v>596.999999997206</v>
      </c>
    </row>
    <row r="4836">
      <c r="A4836" s="234" t="s">
        <v>917</v>
      </c>
      <c r="B4836" s="234" t="str">
        <f>IFERROR(__xludf.DUMMYFUNCTION("""COMPUTED_VALUE"""),"SoC_RJ_Duque de Caxias")</f>
        <v>SoC_RJ_Duque de Caxias</v>
      </c>
      <c r="C4836" s="234" t="str">
        <f>IFERROR(__xludf.DUMMYFUNCTION("""COMPUTED_VALUE"""),"SOC-RJ2")</f>
        <v>SOC-RJ2</v>
      </c>
      <c r="D4836" s="234">
        <f>IFERROR(__xludf.DUMMYFUNCTION("""COMPUTED_VALUE"""),96.0)</f>
        <v>96</v>
      </c>
      <c r="E4836" s="237" t="str">
        <f>IFERROR(__xludf.DUMMYFUNCTION("""COMPUTED_VALUE"""),"LT0Q1F01WIRG2")</f>
        <v>LT0Q1F01WIRG2</v>
      </c>
      <c r="F4836" s="238" t="str">
        <f>IFERROR(__xludf.DUMMYFUNCTION("""COMPUTED_VALUE"""),"EVO9D64,DJE4A81")</f>
        <v>EVO9D64,DJE4A81</v>
      </c>
      <c r="G4836" s="238">
        <f>IFERROR(__xludf.DUMMYFUNCTION("""COMPUTED_VALUE"""),46037.33541666667)</f>
        <v>46037.33542</v>
      </c>
      <c r="H4836" s="238">
        <f>IFERROR(__xludf.DUMMYFUNCTION("""COMPUTED_VALUE"""),46037.75)</f>
        <v>46037.75</v>
      </c>
      <c r="I4836" s="237" t="str">
        <f t="shared" si="1"/>
        <v>Fora</v>
      </c>
      <c r="J4836" s="239">
        <v>119.99999999301508</v>
      </c>
    </row>
    <row r="4837">
      <c r="A4837" s="234" t="s">
        <v>5812</v>
      </c>
      <c r="B4837" s="234" t="str">
        <f>IFERROR(__xludf.DUMMYFUNCTION("""COMPUTED_VALUE"""),"SoC_RJ_Duque de Caxias")</f>
        <v>SoC_RJ_Duque de Caxias</v>
      </c>
      <c r="C4837" s="234" t="str">
        <f>IFERROR(__xludf.DUMMYFUNCTION("""COMPUTED_VALUE"""),"SOC-RJ2")</f>
        <v>SOC-RJ2</v>
      </c>
      <c r="D4837" s="234">
        <f>IFERROR(__xludf.DUMMYFUNCTION("""COMPUTED_VALUE"""),97.0)</f>
        <v>97</v>
      </c>
      <c r="E4837" s="237" t="str">
        <f>IFERROR(__xludf.DUMMYFUNCTION("""COMPUTED_VALUE"""),"LT1Q1F01WPC51")</f>
        <v>LT1Q1F01WPC51</v>
      </c>
      <c r="F4837" s="238" t="str">
        <f>IFERROR(__xludf.DUMMYFUNCTION("""COMPUTED_VALUE"""),"ARW6H90,DBL9F03")</f>
        <v>ARW6H90,DBL9F03</v>
      </c>
      <c r="G4837" s="238">
        <f>IFERROR(__xludf.DUMMYFUNCTION("""COMPUTED_VALUE"""),46037.375)</f>
        <v>46037.375</v>
      </c>
      <c r="H4837" s="238">
        <f>IFERROR(__xludf.DUMMYFUNCTION("""COMPUTED_VALUE"""),46037.45833333333)</f>
        <v>46037.45833</v>
      </c>
      <c r="I4837" s="237" t="str">
        <f t="shared" si="1"/>
        <v>Fora</v>
      </c>
      <c r="J4837" s="239">
        <v>119.99999999301508</v>
      </c>
    </row>
    <row r="4838">
      <c r="A4838" s="234" t="s">
        <v>5813</v>
      </c>
      <c r="B4838" s="234" t="str">
        <f>IFERROR(__xludf.DUMMYFUNCTION("""COMPUTED_VALUE"""),"LM Hub_PR_SaoJosedosPinhais")</f>
        <v>LM Hub_PR_SaoJosedosPinhais</v>
      </c>
      <c r="C4838" s="234" t="str">
        <f>IFERROR(__xludf.DUMMYFUNCTION("""COMPUTED_VALUE"""),"HUB-LPR-24")</f>
        <v>HUB-LPR-24</v>
      </c>
      <c r="D4838" s="234">
        <f>IFERROR(__xludf.DUMMYFUNCTION("""COMPUTED_VALUE"""),47.0)</f>
        <v>47</v>
      </c>
      <c r="E4838" s="237" t="str">
        <f>IFERROR(__xludf.DUMMYFUNCTION("""COMPUTED_VALUE"""),"LT0Q1F01WF3A1")</f>
        <v>LT0Q1F01WF3A1</v>
      </c>
      <c r="F4838" s="238" t="str">
        <f>IFERROR(__xludf.DUMMYFUNCTION("""COMPUTED_VALUE"""),"AXL7C28")</f>
        <v>AXL7C28</v>
      </c>
      <c r="G4838" s="238">
        <f>IFERROR(__xludf.DUMMYFUNCTION("""COMPUTED_VALUE"""),46037.875)</f>
        <v>46037.875</v>
      </c>
      <c r="H4838" s="238">
        <f>IFERROR(__xludf.DUMMYFUNCTION("""COMPUTED_VALUE"""),46037.95833333333)</f>
        <v>46037.95833</v>
      </c>
      <c r="I4838" s="237" t="str">
        <f t="shared" si="1"/>
        <v>Fora</v>
      </c>
      <c r="J4838" s="239">
        <v>59.99999998603016</v>
      </c>
    </row>
    <row r="4839">
      <c r="A4839" s="234" t="s">
        <v>5814</v>
      </c>
      <c r="B4839" s="234" t="str">
        <f>IFERROR(__xludf.DUMMYFUNCTION("""COMPUTED_VALUE"""),"LM Hub_SP_Jardim Adriana")</f>
        <v>LM Hub_SP_Jardim Adriana</v>
      </c>
      <c r="C4839" s="234" t="str">
        <f>IFERROR(__xludf.DUMMYFUNCTION("""COMPUTED_VALUE"""),"HUB-LSP-12")</f>
        <v>HUB-LSP-12</v>
      </c>
      <c r="D4839" s="234">
        <f>IFERROR(__xludf.DUMMYFUNCTION("""COMPUTED_VALUE"""),6.0)</f>
        <v>6</v>
      </c>
      <c r="E4839" s="237" t="str">
        <f>IFERROR(__xludf.DUMMYFUNCTION("""COMPUTED_VALUE"""),"LT1Q1F01WQ3W1")</f>
        <v>LT1Q1F01WQ3W1</v>
      </c>
      <c r="F4839" s="238" t="str">
        <f>IFERROR(__xludf.DUMMYFUNCTION("""COMPUTED_VALUE"""),"FYZ2D15")</f>
        <v>FYZ2D15</v>
      </c>
      <c r="G4839" s="238">
        <f>IFERROR(__xludf.DUMMYFUNCTION("""COMPUTED_VALUE"""),46037.91666666667)</f>
        <v>46037.91667</v>
      </c>
      <c r="H4839" s="238">
        <f>IFERROR(__xludf.DUMMYFUNCTION("""COMPUTED_VALUE"""),46037.95833333333)</f>
        <v>46037.95833</v>
      </c>
      <c r="I4839" s="237" t="str">
        <f t="shared" si="1"/>
        <v>Fora</v>
      </c>
      <c r="J4839" s="239">
        <v>120.00000001396984</v>
      </c>
    </row>
    <row r="4840">
      <c r="A4840" s="234" t="s">
        <v>5815</v>
      </c>
      <c r="B4840" s="234" t="str">
        <f>IFERROR(__xludf.DUMMYFUNCTION("""COMPUTED_VALUE"""),"LM Hub_RJ_Jacarepaguá")</f>
        <v>LM Hub_RJ_Jacarepaguá</v>
      </c>
      <c r="C4840" s="234" t="str">
        <f>IFERROR(__xludf.DUMMYFUNCTION("""COMPUTED_VALUE"""),"HUB-LRJ-29")</f>
        <v>HUB-LRJ-29</v>
      </c>
      <c r="D4840" s="234">
        <f>IFERROR(__xludf.DUMMYFUNCTION("""COMPUTED_VALUE"""),8.0)</f>
        <v>8</v>
      </c>
      <c r="E4840" s="237" t="str">
        <f>IFERROR(__xludf.DUMMYFUNCTION("""COMPUTED_VALUE"""),"LT0Q1F01WF2Q1")</f>
        <v>LT0Q1F01WF2Q1</v>
      </c>
      <c r="F4840" s="238" t="str">
        <f>IFERROR(__xludf.DUMMYFUNCTION("""COMPUTED_VALUE"""),"PRI3H29")</f>
        <v>PRI3H29</v>
      </c>
      <c r="G4840" s="238">
        <f>IFERROR(__xludf.DUMMYFUNCTION("""COMPUTED_VALUE"""),46037.89583333333)</f>
        <v>46037.89583</v>
      </c>
      <c r="H4840" s="238">
        <f>IFERROR(__xludf.DUMMYFUNCTION("""COMPUTED_VALUE"""),46037.97916666667)</f>
        <v>46037.97917</v>
      </c>
      <c r="I4840" s="237" t="str">
        <f t="shared" si="1"/>
        <v>Fora</v>
      </c>
      <c r="J4840" s="239">
        <v>120.00000001396984</v>
      </c>
    </row>
    <row r="4841">
      <c r="A4841" s="234" t="s">
        <v>5816</v>
      </c>
      <c r="B4841" s="234" t="str">
        <f>IFERROR(__xludf.DUMMYFUNCTION("""COMPUTED_VALUE"""),"LM Hub_SP_Jurubatuba")</f>
        <v>LM Hub_SP_Jurubatuba</v>
      </c>
      <c r="C4841" s="234" t="str">
        <f>IFERROR(__xludf.DUMMYFUNCTION("""COMPUTED_VALUE"""),"HUB-LSP-16")</f>
        <v>HUB-LSP-16</v>
      </c>
      <c r="D4841" s="234"/>
      <c r="E4841" s="237" t="str">
        <f>IFERROR(__xludf.DUMMYFUNCTION("""COMPUTED_VALUE"""),"LT0Q1F01W9761")</f>
        <v>LT0Q1F01W9761</v>
      </c>
      <c r="F4841" s="238" t="str">
        <f>IFERROR(__xludf.DUMMYFUNCTION("""COMPUTED_VALUE"""),"MQV9D62,BVT6J01")</f>
        <v>MQV9D62,BVT6J01</v>
      </c>
      <c r="G4841" s="238">
        <f>IFERROR(__xludf.DUMMYFUNCTION("""COMPUTED_VALUE"""),46037.89583333333)</f>
        <v>46037.89583</v>
      </c>
      <c r="H4841" s="238">
        <f>IFERROR(__xludf.DUMMYFUNCTION("""COMPUTED_VALUE"""),46037.97916666667)</f>
        <v>46037.97917</v>
      </c>
      <c r="I4841" s="237" t="str">
        <f t="shared" si="1"/>
        <v>Fora</v>
      </c>
      <c r="J4841" s="239">
        <v>120.00000001396984</v>
      </c>
    </row>
    <row r="4842">
      <c r="A4842" s="234" t="s">
        <v>5817</v>
      </c>
      <c r="B4842" s="234" t="str">
        <f>IFERROR(__xludf.DUMMYFUNCTION("""COMPUTED_VALUE"""),"LM Hub_SP_São José dos Campos")</f>
        <v>LM Hub_SP_São José dos Campos</v>
      </c>
      <c r="C4842" s="234" t="str">
        <f>IFERROR(__xludf.DUMMYFUNCTION("""COMPUTED_VALUE"""),"HUB-LSP-04")</f>
        <v>HUB-LSP-04</v>
      </c>
      <c r="D4842" s="234">
        <f>IFERROR(__xludf.DUMMYFUNCTION("""COMPUTED_VALUE"""),23.0)</f>
        <v>23</v>
      </c>
      <c r="E4842" s="237" t="str">
        <f>IFERROR(__xludf.DUMMYFUNCTION("""COMPUTED_VALUE"""),"LT0Q1F01W9BM1")</f>
        <v>LT0Q1F01W9BM1</v>
      </c>
      <c r="F4842" s="238" t="str">
        <f>IFERROR(__xludf.DUMMYFUNCTION("""COMPUTED_VALUE"""),"ENU3E65")</f>
        <v>ENU3E65</v>
      </c>
      <c r="G4842" s="238">
        <f>IFERROR(__xludf.DUMMYFUNCTION("""COMPUTED_VALUE"""),46037.89583333333)</f>
        <v>46037.89583</v>
      </c>
      <c r="H4842" s="238">
        <f>IFERROR(__xludf.DUMMYFUNCTION("""COMPUTED_VALUE"""),46037.97916666667)</f>
        <v>46037.97917</v>
      </c>
      <c r="I4842" s="237" t="str">
        <f t="shared" si="1"/>
        <v>Fora</v>
      </c>
      <c r="J4842" s="239">
        <v>119.00000001071021</v>
      </c>
    </row>
    <row r="4843">
      <c r="A4843" s="234" t="s">
        <v>5818</v>
      </c>
      <c r="B4843" s="234" t="str">
        <f>IFERROR(__xludf.DUMMYFUNCTION("""COMPUTED_VALUE"""),"LM Hub_SP_Itaqua_Zimba")</f>
        <v>LM Hub_SP_Itaqua_Zimba</v>
      </c>
      <c r="C4843" s="234" t="str">
        <f>IFERROR(__xludf.DUMMYFUNCTION("""COMPUTED_VALUE"""),"HUB-LSP-74")</f>
        <v>HUB-LSP-74</v>
      </c>
      <c r="D4843" s="234">
        <f>IFERROR(__xludf.DUMMYFUNCTION("""COMPUTED_VALUE"""),18.0)</f>
        <v>18</v>
      </c>
      <c r="E4843" s="237" t="str">
        <f>IFERROR(__xludf.DUMMYFUNCTION("""COMPUTED_VALUE"""),"LT0Q1F01W98U1")</f>
        <v>LT0Q1F01W98U1</v>
      </c>
      <c r="F4843" s="238" t="str">
        <f>IFERROR(__xludf.DUMMYFUNCTION("""COMPUTED_VALUE"""),"AXH9D10")</f>
        <v>AXH9D10</v>
      </c>
      <c r="G4843" s="238">
        <f>IFERROR(__xludf.DUMMYFUNCTION("""COMPUTED_VALUE"""),46037.896527777775)</f>
        <v>46037.89653</v>
      </c>
      <c r="H4843" s="238">
        <f>IFERROR(__xludf.DUMMYFUNCTION("""COMPUTED_VALUE"""),46037.97916666667)</f>
        <v>46037.97917</v>
      </c>
      <c r="I4843" s="237" t="str">
        <f t="shared" si="1"/>
        <v>Fora</v>
      </c>
      <c r="J4843" s="239">
        <v>119.00000001071021</v>
      </c>
    </row>
    <row r="4844">
      <c r="A4844" s="234" t="s">
        <v>5819</v>
      </c>
      <c r="B4844" s="234" t="str">
        <f>IFERROR(__xludf.DUMMYFUNCTION("""COMPUTED_VALUE"""),"LM Hub_SP_Santos_Praia Grande")</f>
        <v>LM Hub_SP_Santos_Praia Grande</v>
      </c>
      <c r="C4844" s="234" t="str">
        <f>IFERROR(__xludf.DUMMYFUNCTION("""COMPUTED_VALUE"""),"HUB-LSP-09")</f>
        <v>HUB-LSP-09</v>
      </c>
      <c r="D4844" s="234"/>
      <c r="E4844" s="237" t="str">
        <f>IFERROR(__xludf.DUMMYFUNCTION("""COMPUTED_VALUE"""),"LT0Q1F01W9AT1")</f>
        <v>LT0Q1F01W9AT1</v>
      </c>
      <c r="F4844" s="234"/>
      <c r="G4844" s="238">
        <f>IFERROR(__xludf.DUMMYFUNCTION("""COMPUTED_VALUE"""),46037.896527777775)</f>
        <v>46037.89653</v>
      </c>
      <c r="H4844" s="238">
        <f>IFERROR(__xludf.DUMMYFUNCTION("""COMPUTED_VALUE"""),46037.97916666667)</f>
        <v>46037.97917</v>
      </c>
      <c r="I4844" s="237" t="str">
        <f t="shared" si="1"/>
        <v>Fora</v>
      </c>
      <c r="J4844" s="239">
        <v>119.00000001071021</v>
      </c>
    </row>
    <row r="4845">
      <c r="A4845" s="234" t="s">
        <v>5820</v>
      </c>
      <c r="B4845" s="234" t="str">
        <f>IFERROR(__xludf.DUMMYFUNCTION("""COMPUTED_VALUE"""),"LM Hub_SP_São Paulo_Lapa")</f>
        <v>LM Hub_SP_São Paulo_Lapa</v>
      </c>
      <c r="C4845" s="234" t="str">
        <f>IFERROR(__xludf.DUMMYFUNCTION("""COMPUTED_VALUE"""),"HUB-LSP-15")</f>
        <v>HUB-LSP-15</v>
      </c>
      <c r="D4845" s="234"/>
      <c r="E4845" s="237" t="str">
        <f>IFERROR(__xludf.DUMMYFUNCTION("""COMPUTED_VALUE"""),"LT0Q1F01W96W1")</f>
        <v>LT0Q1F01W96W1</v>
      </c>
      <c r="F4845" s="238" t="str">
        <f>IFERROR(__xludf.DUMMYFUNCTION("""COMPUTED_VALUE"""),"DVA3A62,DBC7D61")</f>
        <v>DVA3A62,DBC7D61</v>
      </c>
      <c r="G4845" s="238">
        <f>IFERROR(__xludf.DUMMYFUNCTION("""COMPUTED_VALUE"""),46037.896527777775)</f>
        <v>46037.89653</v>
      </c>
      <c r="H4845" s="238">
        <f>IFERROR(__xludf.DUMMYFUNCTION("""COMPUTED_VALUE"""),46037.97916666667)</f>
        <v>46037.97917</v>
      </c>
      <c r="I4845" s="237" t="str">
        <f t="shared" si="1"/>
        <v>Fora</v>
      </c>
      <c r="J4845" s="239">
        <v>118.99999998975545</v>
      </c>
    </row>
    <row r="4846">
      <c r="A4846" s="234" t="s">
        <v>5821</v>
      </c>
      <c r="B4846" s="234" t="str">
        <f>IFERROR(__xludf.DUMMYFUNCTION("""COMPUTED_VALUE"""),"LM Hub_SP_Guarujá")</f>
        <v>LM Hub_SP_Guarujá</v>
      </c>
      <c r="C4846" s="234" t="str">
        <f>IFERROR(__xludf.DUMMYFUNCTION("""COMPUTED_VALUE"""),"HUB-LSP-06")</f>
        <v>HUB-LSP-06</v>
      </c>
      <c r="D4846" s="234">
        <f>IFERROR(__xludf.DUMMYFUNCTION("""COMPUTED_VALUE"""),32.0)</f>
        <v>32</v>
      </c>
      <c r="E4846" s="237" t="str">
        <f>IFERROR(__xludf.DUMMYFUNCTION("""COMPUTED_VALUE"""),"LT0Q1F01W99P1")</f>
        <v>LT0Q1F01W99P1</v>
      </c>
      <c r="F4846" s="238" t="str">
        <f>IFERROR(__xludf.DUMMYFUNCTION("""COMPUTED_VALUE"""),"TJN5H17")</f>
        <v>TJN5H17</v>
      </c>
      <c r="G4846" s="238">
        <f>IFERROR(__xludf.DUMMYFUNCTION("""COMPUTED_VALUE"""),46037.91666666667)</f>
        <v>46037.91667</v>
      </c>
      <c r="H4846" s="238">
        <f>IFERROR(__xludf.DUMMYFUNCTION("""COMPUTED_VALUE"""),46037.99930555555)</f>
        <v>46037.99931</v>
      </c>
      <c r="I4846" s="237" t="str">
        <f t="shared" si="1"/>
        <v>Fora</v>
      </c>
      <c r="J4846" s="239">
        <v>299.9999999930151</v>
      </c>
    </row>
    <row r="4847">
      <c r="A4847" s="234" t="s">
        <v>5822</v>
      </c>
      <c r="B4847" s="234" t="str">
        <f>IFERROR(__xludf.DUMMYFUNCTION("""COMPUTED_VALUE"""),"SoC_RS_Gravataí_02")</f>
        <v>SoC_RS_Gravataí_02</v>
      </c>
      <c r="C4847" s="234" t="str">
        <f>IFERROR(__xludf.DUMMYFUNCTION("""COMPUTED_VALUE"""),"SOC-RS2")</f>
        <v>SOC-RS2</v>
      </c>
      <c r="D4847" s="234">
        <f>IFERROR(__xludf.DUMMYFUNCTION("""COMPUTED_VALUE"""),112.0)</f>
        <v>112</v>
      </c>
      <c r="E4847" s="237" t="str">
        <f>IFERROR(__xludf.DUMMYFUNCTION("""COMPUTED_VALUE"""),"LT0Q1F01WF861")</f>
        <v>LT0Q1F01WF861</v>
      </c>
      <c r="F4847" s="238" t="str">
        <f>IFERROR(__xludf.DUMMYFUNCTION("""COMPUTED_VALUE"""),"QUY6B07,FXL1G53")</f>
        <v>QUY6B07,FXL1G53</v>
      </c>
      <c r="G4847" s="238">
        <f>IFERROR(__xludf.DUMMYFUNCTION("""COMPUTED_VALUE"""),46037.79166666667)</f>
        <v>46037.79167</v>
      </c>
      <c r="H4847" s="238">
        <f>IFERROR(__xludf.DUMMYFUNCTION("""COMPUTED_VALUE"""),46038.0)</f>
        <v>46038</v>
      </c>
      <c r="I4847" s="237" t="str">
        <f t="shared" si="1"/>
        <v>Fora</v>
      </c>
      <c r="J4847" s="239">
        <v>119.99999999301508</v>
      </c>
    </row>
    <row r="4848">
      <c r="A4848" s="234" t="s">
        <v>5823</v>
      </c>
      <c r="B4848" s="234" t="str">
        <f>IFERROR(__xludf.DUMMYFUNCTION("""COMPUTED_VALUE"""),"LM Hub_RS_Porto Alegre_Floresta")</f>
        <v>LM Hub_RS_Porto Alegre_Floresta</v>
      </c>
      <c r="C4848" s="234" t="str">
        <f>IFERROR(__xludf.DUMMYFUNCTION("""COMPUTED_VALUE"""),"HUB-LRS-03")</f>
        <v>HUB-LRS-03</v>
      </c>
      <c r="D4848" s="234"/>
      <c r="E4848" s="237" t="str">
        <f>IFERROR(__xludf.DUMMYFUNCTION("""COMPUTED_VALUE"""),"LT0Q1F01WFN41")</f>
        <v>LT0Q1F01WFN41</v>
      </c>
      <c r="F4848" s="238" t="str">
        <f>IFERROR(__xludf.DUMMYFUNCTION("""COMPUTED_VALUE"""),"NJU6B02")</f>
        <v>NJU6B02</v>
      </c>
      <c r="G4848" s="238">
        <f>IFERROR(__xludf.DUMMYFUNCTION("""COMPUTED_VALUE"""),46037.91666666667)</f>
        <v>46037.91667</v>
      </c>
      <c r="H4848" s="238">
        <f>IFERROR(__xludf.DUMMYFUNCTION("""COMPUTED_VALUE"""),46038.0)</f>
        <v>46038</v>
      </c>
      <c r="I4848" s="237" t="str">
        <f t="shared" si="1"/>
        <v>Fora</v>
      </c>
      <c r="J4848" s="239">
        <v>119.99999999301508</v>
      </c>
    </row>
    <row r="4849">
      <c r="A4849" s="234" t="s">
        <v>5824</v>
      </c>
      <c r="B4849" s="234" t="str">
        <f>IFERROR(__xludf.DUMMYFUNCTION("""COMPUTED_VALUE"""),"LM Hub_SP_Artur Alvim")</f>
        <v>LM Hub_SP_Artur Alvim</v>
      </c>
      <c r="C4849" s="234" t="str">
        <f>IFERROR(__xludf.DUMMYFUNCTION("""COMPUTED_VALUE"""),"HUB-LSP-07")</f>
        <v>HUB-LSP-07</v>
      </c>
      <c r="D4849" s="234"/>
      <c r="E4849" s="237" t="str">
        <f>IFERROR(__xludf.DUMMYFUNCTION("""COMPUTED_VALUE"""),"LT0Q1F01W96D1")</f>
        <v>LT0Q1F01W96D1</v>
      </c>
      <c r="F4849" s="238" t="str">
        <f>IFERROR(__xludf.DUMMYFUNCTION("""COMPUTED_VALUE"""),"EBS3J90")</f>
        <v>EBS3J90</v>
      </c>
      <c r="G4849" s="238">
        <f>IFERROR(__xludf.DUMMYFUNCTION("""COMPUTED_VALUE"""),46037.91666666667)</f>
        <v>46037.91667</v>
      </c>
      <c r="H4849" s="238">
        <f>IFERROR(__xludf.DUMMYFUNCTION("""COMPUTED_VALUE"""),46038.0)</f>
        <v>46038</v>
      </c>
      <c r="I4849" s="237" t="str">
        <f t="shared" si="1"/>
        <v>Fora</v>
      </c>
      <c r="J4849" s="239">
        <v>119.99999999301508</v>
      </c>
    </row>
    <row r="4850">
      <c r="A4850" s="234" t="s">
        <v>5825</v>
      </c>
      <c r="B4850" s="234" t="str">
        <f>IFERROR(__xludf.DUMMYFUNCTION("""COMPUTED_VALUE"""),"LM Hub_SP_Guarulhos")</f>
        <v>LM Hub_SP_Guarulhos</v>
      </c>
      <c r="C4850" s="234" t="str">
        <f>IFERROR(__xludf.DUMMYFUNCTION("""COMPUTED_VALUE"""),"HUB-LSP-77")</f>
        <v>HUB-LSP-77</v>
      </c>
      <c r="D4850" s="234"/>
      <c r="E4850" s="237" t="str">
        <f>IFERROR(__xludf.DUMMYFUNCTION("""COMPUTED_VALUE"""),"LT0Q1F01W9WY1")</f>
        <v>LT0Q1F01W9WY1</v>
      </c>
      <c r="F4850" s="238" t="str">
        <f>IFERROR(__xludf.DUMMYFUNCTION("""COMPUTED_VALUE"""),"GCS0J70")</f>
        <v>GCS0J70</v>
      </c>
      <c r="G4850" s="238">
        <f>IFERROR(__xludf.DUMMYFUNCTION("""COMPUTED_VALUE"""),46037.91666666667)</f>
        <v>46037.91667</v>
      </c>
      <c r="H4850" s="238">
        <f>IFERROR(__xludf.DUMMYFUNCTION("""COMPUTED_VALUE"""),46038.0)</f>
        <v>46038</v>
      </c>
      <c r="I4850" s="237" t="str">
        <f t="shared" si="1"/>
        <v>Fora</v>
      </c>
      <c r="J4850" s="239">
        <v>119.99999999301508</v>
      </c>
    </row>
    <row r="4851">
      <c r="A4851" s="234" t="s">
        <v>5826</v>
      </c>
      <c r="B4851" s="234" t="str">
        <f>IFERROR(__xludf.DUMMYFUNCTION("""COMPUTED_VALUE"""),"LM Hub_SP_Limeira_Campo Belo")</f>
        <v>LM Hub_SP_Limeira_Campo Belo</v>
      </c>
      <c r="C4851" s="234" t="str">
        <f>IFERROR(__xludf.DUMMYFUNCTION("""COMPUTED_VALUE"""),"HUB-LSP-24")</f>
        <v>HUB-LSP-24</v>
      </c>
      <c r="D4851" s="234">
        <f>IFERROR(__xludf.DUMMYFUNCTION("""COMPUTED_VALUE"""),25.0)</f>
        <v>25</v>
      </c>
      <c r="E4851" s="237" t="str">
        <f>IFERROR(__xludf.DUMMYFUNCTION("""COMPUTED_VALUE"""),"LT0Q1F01W9BF1")</f>
        <v>LT0Q1F01W9BF1</v>
      </c>
      <c r="F4851" s="238" t="str">
        <f>IFERROR(__xludf.DUMMYFUNCTION("""COMPUTED_VALUE"""),"GHB5H18,FZB6G45")</f>
        <v>GHB5H18,FZB6G45</v>
      </c>
      <c r="G4851" s="238">
        <f>IFERROR(__xludf.DUMMYFUNCTION("""COMPUTED_VALUE"""),46037.91666666667)</f>
        <v>46037.91667</v>
      </c>
      <c r="H4851" s="238">
        <f>IFERROR(__xludf.DUMMYFUNCTION("""COMPUTED_VALUE"""),46038.0)</f>
        <v>46038</v>
      </c>
      <c r="I4851" s="237" t="str">
        <f t="shared" si="1"/>
        <v>Fora</v>
      </c>
      <c r="J4851" s="239">
        <v>119.99999999301508</v>
      </c>
    </row>
    <row r="4852">
      <c r="A4852" s="234" t="s">
        <v>5827</v>
      </c>
      <c r="B4852" s="234" t="str">
        <f>IFERROR(__xludf.DUMMYFUNCTION("""COMPUTED_VALUE"""),"LM Hub_SP_Mauá")</f>
        <v>LM Hub_SP_Mauá</v>
      </c>
      <c r="C4852" s="234" t="str">
        <f>IFERROR(__xludf.DUMMYFUNCTION("""COMPUTED_VALUE"""),"HUB-LSP-64")</f>
        <v>HUB-LSP-64</v>
      </c>
      <c r="D4852" s="234">
        <f>IFERROR(__xludf.DUMMYFUNCTION("""COMPUTED_VALUE"""),29.0)</f>
        <v>29</v>
      </c>
      <c r="E4852" s="237" t="str">
        <f>IFERROR(__xludf.DUMMYFUNCTION("""COMPUTED_VALUE"""),"LT0Q1F01W98G1")</f>
        <v>LT0Q1F01W98G1</v>
      </c>
      <c r="F4852" s="238" t="str">
        <f>IFERROR(__xludf.DUMMYFUNCTION("""COMPUTED_VALUE"""),"FQF6B98,DTA7802")</f>
        <v>FQF6B98,DTA7802</v>
      </c>
      <c r="G4852" s="238">
        <f>IFERROR(__xludf.DUMMYFUNCTION("""COMPUTED_VALUE"""),46037.91666666667)</f>
        <v>46037.91667</v>
      </c>
      <c r="H4852" s="238">
        <f>IFERROR(__xludf.DUMMYFUNCTION("""COMPUTED_VALUE"""),46038.0)</f>
        <v>46038</v>
      </c>
      <c r="I4852" s="237" t="str">
        <f t="shared" si="1"/>
        <v>Fora</v>
      </c>
      <c r="J4852" s="239">
        <v>119.99999999301508</v>
      </c>
    </row>
    <row r="4853">
      <c r="A4853" s="234" t="s">
        <v>5828</v>
      </c>
      <c r="B4853" s="234" t="str">
        <f>IFERROR(__xludf.DUMMYFUNCTION("""COMPUTED_VALUE"""),"LM Hub_SP_Mauá")</f>
        <v>LM Hub_SP_Mauá</v>
      </c>
      <c r="C4853" s="234" t="str">
        <f>IFERROR(__xludf.DUMMYFUNCTION("""COMPUTED_VALUE"""),"HUB-LSP-64")</f>
        <v>HUB-LSP-64</v>
      </c>
      <c r="D4853" s="234">
        <f>IFERROR(__xludf.DUMMYFUNCTION("""COMPUTED_VALUE"""),28.0)</f>
        <v>28</v>
      </c>
      <c r="E4853" s="237" t="str">
        <f>IFERROR(__xludf.DUMMYFUNCTION("""COMPUTED_VALUE"""),"LT1Q1F01WPYM1")</f>
        <v>LT1Q1F01WPYM1</v>
      </c>
      <c r="F4853" s="238" t="str">
        <f>IFERROR(__xludf.DUMMYFUNCTION("""COMPUTED_VALUE"""),"QQB2G09,GGO7520")</f>
        <v>QQB2G09,GGO7520</v>
      </c>
      <c r="G4853" s="238">
        <f>IFERROR(__xludf.DUMMYFUNCTION("""COMPUTED_VALUE"""),46037.91666666667)</f>
        <v>46037.91667</v>
      </c>
      <c r="H4853" s="238">
        <f>IFERROR(__xludf.DUMMYFUNCTION("""COMPUTED_VALUE"""),46038.0)</f>
        <v>46038</v>
      </c>
      <c r="I4853" s="237" t="str">
        <f t="shared" si="1"/>
        <v>Fora</v>
      </c>
      <c r="J4853" s="239">
        <v>119.99999999301508</v>
      </c>
    </row>
    <row r="4854">
      <c r="A4854" s="234" t="s">
        <v>5829</v>
      </c>
      <c r="B4854" s="234" t="str">
        <f>IFERROR(__xludf.DUMMYFUNCTION("""COMPUTED_VALUE"""),"LM Hub_SP_Osasco_02")</f>
        <v>LM Hub_SP_Osasco_02</v>
      </c>
      <c r="C4854" s="234" t="str">
        <f>IFERROR(__xludf.DUMMYFUNCTION("""COMPUTED_VALUE"""),"HUB-LSP-60")</f>
        <v>HUB-LSP-60</v>
      </c>
      <c r="D4854" s="234">
        <f>IFERROR(__xludf.DUMMYFUNCTION("""COMPUTED_VALUE"""),12.0)</f>
        <v>12</v>
      </c>
      <c r="E4854" s="237" t="str">
        <f>IFERROR(__xludf.DUMMYFUNCTION("""COMPUTED_VALUE"""),"LT0Q1F01W9881")</f>
        <v>LT0Q1F01W9881</v>
      </c>
      <c r="F4854" s="238" t="str">
        <f>IFERROR(__xludf.DUMMYFUNCTION("""COMPUTED_VALUE"""),"FUZ6B23,FUA8006")</f>
        <v>FUZ6B23,FUA8006</v>
      </c>
      <c r="G4854" s="238">
        <f>IFERROR(__xludf.DUMMYFUNCTION("""COMPUTED_VALUE"""),46037.91666666667)</f>
        <v>46037.91667</v>
      </c>
      <c r="H4854" s="238">
        <f>IFERROR(__xludf.DUMMYFUNCTION("""COMPUTED_VALUE"""),46038.0)</f>
        <v>46038</v>
      </c>
      <c r="I4854" s="237" t="str">
        <f t="shared" si="1"/>
        <v>Fora</v>
      </c>
      <c r="J4854" s="239">
        <v>119.99999999301508</v>
      </c>
    </row>
    <row r="4855">
      <c r="A4855" s="234" t="s">
        <v>5830</v>
      </c>
      <c r="B4855" s="234" t="str">
        <f>IFERROR(__xludf.DUMMYFUNCTION("""COMPUTED_VALUE"""),"LM Hub_SP_Santo André")</f>
        <v>LM Hub_SP_Santo André</v>
      </c>
      <c r="C4855" s="234" t="str">
        <f>IFERROR(__xludf.DUMMYFUNCTION("""COMPUTED_VALUE"""),"HUB-LSP-93")</f>
        <v>HUB-LSP-93</v>
      </c>
      <c r="D4855" s="234">
        <f>IFERROR(__xludf.DUMMYFUNCTION("""COMPUTED_VALUE"""),9.0)</f>
        <v>9</v>
      </c>
      <c r="E4855" s="237" t="str">
        <f>IFERROR(__xludf.DUMMYFUNCTION("""COMPUTED_VALUE"""),"LT0Q1F01WBXG1")</f>
        <v>LT0Q1F01WBXG1</v>
      </c>
      <c r="F4855" s="238" t="str">
        <f>IFERROR(__xludf.DUMMYFUNCTION("""COMPUTED_VALUE"""),"FXQ8H67,EZL9D42")</f>
        <v>FXQ8H67,EZL9D42</v>
      </c>
      <c r="G4855" s="238">
        <f>IFERROR(__xludf.DUMMYFUNCTION("""COMPUTED_VALUE"""),46037.91666666667)</f>
        <v>46037.91667</v>
      </c>
      <c r="H4855" s="238">
        <f>IFERROR(__xludf.DUMMYFUNCTION("""COMPUTED_VALUE"""),46038.0)</f>
        <v>46038</v>
      </c>
      <c r="I4855" s="237" t="str">
        <f t="shared" si="1"/>
        <v>Fora</v>
      </c>
      <c r="J4855" s="239">
        <v>119.99999999301508</v>
      </c>
    </row>
    <row r="4856">
      <c r="A4856" s="234" t="s">
        <v>5831</v>
      </c>
      <c r="B4856" s="234" t="str">
        <f>IFERROR(__xludf.DUMMYFUNCTION("""COMPUTED_VALUE"""),"LM Hub_SP_São José do Rio P")</f>
        <v>LM Hub_SP_São José do Rio P</v>
      </c>
      <c r="C4856" s="234" t="str">
        <f>IFERROR(__xludf.DUMMYFUNCTION("""COMPUTED_VALUE"""),"HUB-LSP-27")</f>
        <v>HUB-LSP-27</v>
      </c>
      <c r="D4856" s="234">
        <f>IFERROR(__xludf.DUMMYFUNCTION("""COMPUTED_VALUE"""),44.0)</f>
        <v>44</v>
      </c>
      <c r="E4856" s="237" t="str">
        <f>IFERROR(__xludf.DUMMYFUNCTION("""COMPUTED_VALUE"""),"LT0Q1F01WDAE1")</f>
        <v>LT0Q1F01WDAE1</v>
      </c>
      <c r="F4856" s="238" t="str">
        <f>IFERROR(__xludf.DUMMYFUNCTION("""COMPUTED_VALUE"""),"IZI7C82")</f>
        <v>IZI7C82</v>
      </c>
      <c r="G4856" s="238">
        <f>IFERROR(__xludf.DUMMYFUNCTION("""COMPUTED_VALUE"""),46037.91666666667)</f>
        <v>46037.91667</v>
      </c>
      <c r="H4856" s="238">
        <f>IFERROR(__xludf.DUMMYFUNCTION("""COMPUTED_VALUE"""),46038.0)</f>
        <v>46038</v>
      </c>
      <c r="I4856" s="237" t="str">
        <f t="shared" si="1"/>
        <v>Fora</v>
      </c>
      <c r="J4856" s="239">
        <v>119.99999999301508</v>
      </c>
    </row>
    <row r="4857">
      <c r="A4857" s="234" t="s">
        <v>5832</v>
      </c>
      <c r="B4857" s="234" t="str">
        <f>IFERROR(__xludf.DUMMYFUNCTION("""COMPUTED_VALUE"""),"LM Hub_SP_VilaGuilherme")</f>
        <v>LM Hub_SP_VilaGuilherme</v>
      </c>
      <c r="C4857" s="234" t="str">
        <f>IFERROR(__xludf.DUMMYFUNCTION("""COMPUTED_VALUE"""),"HUB-LSP-68")</f>
        <v>HUB-LSP-68</v>
      </c>
      <c r="D4857" s="234">
        <f>IFERROR(__xludf.DUMMYFUNCTION("""COMPUTED_VALUE"""),33.0)</f>
        <v>33</v>
      </c>
      <c r="E4857" s="237" t="str">
        <f>IFERROR(__xludf.DUMMYFUNCTION("""COMPUTED_VALUE"""),"LT1Q1F01WPDT1")</f>
        <v>LT1Q1F01WPDT1</v>
      </c>
      <c r="F4857" s="238" t="str">
        <f>IFERROR(__xludf.DUMMYFUNCTION("""COMPUTED_VALUE"""),"DVA3A62,DBC7D61")</f>
        <v>DVA3A62,DBC7D61</v>
      </c>
      <c r="G4857" s="238">
        <f>IFERROR(__xludf.DUMMYFUNCTION("""COMPUTED_VALUE"""),46037.91666666667)</f>
        <v>46037.91667</v>
      </c>
      <c r="H4857" s="238">
        <f>IFERROR(__xludf.DUMMYFUNCTION("""COMPUTED_VALUE"""),46038.0)</f>
        <v>46038</v>
      </c>
      <c r="I4857" s="237" t="str">
        <f t="shared" si="1"/>
        <v>Fora</v>
      </c>
      <c r="J4857" s="239">
        <v>119.99999999301508</v>
      </c>
    </row>
    <row r="4858">
      <c r="A4858" s="234" t="s">
        <v>5833</v>
      </c>
      <c r="B4858" s="234" t="str">
        <f>IFERROR(__xludf.DUMMYFUNCTION("""COMPUTED_VALUE"""),"SoC_RJ_Duque de Caxias")</f>
        <v>SoC_RJ_Duque de Caxias</v>
      </c>
      <c r="C4858" s="234" t="str">
        <f>IFERROR(__xludf.DUMMYFUNCTION("""COMPUTED_VALUE"""),"SOC-RJ2")</f>
        <v>SOC-RJ2</v>
      </c>
      <c r="D4858" s="234">
        <f>IFERROR(__xludf.DUMMYFUNCTION("""COMPUTED_VALUE"""),96.0)</f>
        <v>96</v>
      </c>
      <c r="E4858" s="237" t="str">
        <f>IFERROR(__xludf.DUMMYFUNCTION("""COMPUTED_VALUE"""),"LT1Q1F01WPC81")</f>
        <v>LT1Q1F01WPC81</v>
      </c>
      <c r="F4858" s="238" t="str">
        <f>IFERROR(__xludf.DUMMYFUNCTION("""COMPUTED_VALUE"""),"NRZ2I38,GCW9D19")</f>
        <v>NRZ2I38,GCW9D19</v>
      </c>
      <c r="G4858" s="238">
        <f>IFERROR(__xludf.DUMMYFUNCTION("""COMPUTED_VALUE"""),46037.91666666667)</f>
        <v>46037.91667</v>
      </c>
      <c r="H4858" s="238">
        <f>IFERROR(__xludf.DUMMYFUNCTION("""COMPUTED_VALUE"""),46038.0)</f>
        <v>46038</v>
      </c>
      <c r="I4858" s="237" t="str">
        <f t="shared" si="1"/>
        <v>Fora</v>
      </c>
      <c r="J4858" s="239">
        <v>119.00000000023283</v>
      </c>
    </row>
    <row r="4859">
      <c r="A4859" s="234" t="s">
        <v>5834</v>
      </c>
      <c r="B4859" s="234" t="str">
        <f>IFERROR(__xludf.DUMMYFUNCTION("""COMPUTED_VALUE"""),"LM Hub_SP_Barueri_01")</f>
        <v>LM Hub_SP_Barueri_01</v>
      </c>
      <c r="C4859" s="234" t="str">
        <f>IFERROR(__xludf.DUMMYFUNCTION("""COMPUTED_VALUE"""),"HUB-LSP-81")</f>
        <v>HUB-LSP-81</v>
      </c>
      <c r="D4859" s="234"/>
      <c r="E4859" s="237" t="str">
        <f>IFERROR(__xludf.DUMMYFUNCTION("""COMPUTED_VALUE"""),"LT0Q1F01WEHO1")</f>
        <v>LT0Q1F01WEHO1</v>
      </c>
      <c r="F4859" s="238" t="str">
        <f>IFERROR(__xludf.DUMMYFUNCTION("""COMPUTED_VALUE"""),"OPY9J66")</f>
        <v>OPY9J66</v>
      </c>
      <c r="G4859" s="238">
        <f>IFERROR(__xludf.DUMMYFUNCTION("""COMPUTED_VALUE"""),46037.91736111111)</f>
        <v>46037.91736</v>
      </c>
      <c r="H4859" s="238">
        <f>IFERROR(__xludf.DUMMYFUNCTION("""COMPUTED_VALUE"""),46038.0)</f>
        <v>46038</v>
      </c>
      <c r="I4859" s="237" t="str">
        <f t="shared" si="1"/>
        <v>Fora</v>
      </c>
      <c r="J4859" s="239">
        <v>119.00000000023283</v>
      </c>
    </row>
    <row r="4860">
      <c r="A4860" s="234" t="s">
        <v>5835</v>
      </c>
      <c r="B4860" s="234" t="str">
        <f>IFERROR(__xludf.DUMMYFUNCTION("""COMPUTED_VALUE"""),"LM Hub_SP_Itapevi")</f>
        <v>LM Hub_SP_Itapevi</v>
      </c>
      <c r="C4860" s="234" t="str">
        <f>IFERROR(__xludf.DUMMYFUNCTION("""COMPUTED_VALUE"""),"HUB-LSP-41")</f>
        <v>HUB-LSP-41</v>
      </c>
      <c r="D4860" s="234"/>
      <c r="E4860" s="237" t="str">
        <f>IFERROR(__xludf.DUMMYFUNCTION("""COMPUTED_VALUE"""),"LT0Q1F01WIC11")</f>
        <v>LT0Q1F01WIC11</v>
      </c>
      <c r="F4860" s="238" t="str">
        <f>IFERROR(__xludf.DUMMYFUNCTION("""COMPUTED_VALUE"""),"FYQ5533")</f>
        <v>FYQ5533</v>
      </c>
      <c r="G4860" s="238">
        <f>IFERROR(__xludf.DUMMYFUNCTION("""COMPUTED_VALUE"""),46037.91736111111)</f>
        <v>46037.91736</v>
      </c>
      <c r="H4860" s="238">
        <f>IFERROR(__xludf.DUMMYFUNCTION("""COMPUTED_VALUE"""),46038.0)</f>
        <v>46038</v>
      </c>
      <c r="I4860" s="237" t="str">
        <f t="shared" si="1"/>
        <v>Fora</v>
      </c>
      <c r="J4860" s="239">
        <v>119.99999999301508</v>
      </c>
    </row>
    <row r="4861">
      <c r="A4861" s="234" t="s">
        <v>5836</v>
      </c>
      <c r="B4861" s="234" t="str">
        <f>IFERROR(__xludf.DUMMYFUNCTION("""COMPUTED_VALUE"""),"LM Hub_SP_Jardim Adriana")</f>
        <v>LM Hub_SP_Jardim Adriana</v>
      </c>
      <c r="C4861" s="234" t="str">
        <f>IFERROR(__xludf.DUMMYFUNCTION("""COMPUTED_VALUE"""),"HUB-LSP-12")</f>
        <v>HUB-LSP-12</v>
      </c>
      <c r="D4861" s="234"/>
      <c r="E4861" s="237" t="str">
        <f>IFERROR(__xludf.DUMMYFUNCTION("""COMPUTED_VALUE"""),"LT0Q1F01W96M1")</f>
        <v>LT0Q1F01W96M1</v>
      </c>
      <c r="F4861" s="238" t="str">
        <f>IFERROR(__xludf.DUMMYFUNCTION("""COMPUTED_VALUE"""),"CUA4J46")</f>
        <v>CUA4J46</v>
      </c>
      <c r="G4861" s="238">
        <f>IFERROR(__xludf.DUMMYFUNCTION("""COMPUTED_VALUE"""),46037.9375)</f>
        <v>46037.9375</v>
      </c>
      <c r="H4861" s="238">
        <f>IFERROR(__xludf.DUMMYFUNCTION("""COMPUTED_VALUE"""),46038.02083333333)</f>
        <v>46038.02083</v>
      </c>
      <c r="I4861" s="237" t="str">
        <f t="shared" si="1"/>
        <v>Fora</v>
      </c>
      <c r="J4861" s="239">
        <v>119.99999999301508</v>
      </c>
    </row>
    <row r="4862">
      <c r="A4862" s="234" t="s">
        <v>5837</v>
      </c>
      <c r="B4862" s="234" t="str">
        <f>IFERROR(__xludf.DUMMYFUNCTION("""COMPUTED_VALUE"""),"LM Hub_SP_Piracicaba")</f>
        <v>LM Hub_SP_Piracicaba</v>
      </c>
      <c r="C4862" s="234" t="str">
        <f>IFERROR(__xludf.DUMMYFUNCTION("""COMPUTED_VALUE"""),"HUB-LSP-62")</f>
        <v>HUB-LSP-62</v>
      </c>
      <c r="D4862" s="234">
        <f>IFERROR(__xludf.DUMMYFUNCTION("""COMPUTED_VALUE"""),7.0)</f>
        <v>7</v>
      </c>
      <c r="E4862" s="237" t="str">
        <f>IFERROR(__xludf.DUMMYFUNCTION("""COMPUTED_VALUE"""),"LT0Q1F01W9X91")</f>
        <v>LT0Q1F01W9X91</v>
      </c>
      <c r="F4862" s="238" t="str">
        <f>IFERROR(__xludf.DUMMYFUNCTION("""COMPUTED_VALUE"""),"EOF4D32")</f>
        <v>EOF4D32</v>
      </c>
      <c r="G4862" s="238">
        <f>IFERROR(__xludf.DUMMYFUNCTION("""COMPUTED_VALUE"""),46037.9375)</f>
        <v>46037.9375</v>
      </c>
      <c r="H4862" s="238">
        <f>IFERROR(__xludf.DUMMYFUNCTION("""COMPUTED_VALUE"""),46038.02083333333)</f>
        <v>46038.02083</v>
      </c>
      <c r="I4862" s="237" t="str">
        <f t="shared" si="1"/>
        <v>Fora</v>
      </c>
      <c r="J4862" s="239">
        <v>119.99999999301508</v>
      </c>
    </row>
    <row r="4863">
      <c r="A4863" s="234" t="s">
        <v>5838</v>
      </c>
      <c r="B4863" s="234" t="str">
        <f>IFERROR(__xludf.DUMMYFUNCTION("""COMPUTED_VALUE"""),"LM Hub_SP_VilaGuilherme")</f>
        <v>LM Hub_SP_VilaGuilherme</v>
      </c>
      <c r="C4863" s="234" t="str">
        <f>IFERROR(__xludf.DUMMYFUNCTION("""COMPUTED_VALUE"""),"HUB-LSP-68")</f>
        <v>HUB-LSP-68</v>
      </c>
      <c r="D4863" s="234">
        <f>IFERROR(__xludf.DUMMYFUNCTION("""COMPUTED_VALUE"""),15.0)</f>
        <v>15</v>
      </c>
      <c r="E4863" s="237" t="str">
        <f>IFERROR(__xludf.DUMMYFUNCTION("""COMPUTED_VALUE"""),"LT0Q1F01W98K1")</f>
        <v>LT0Q1F01W98K1</v>
      </c>
      <c r="F4863" s="238" t="str">
        <f>IFERROR(__xludf.DUMMYFUNCTION("""COMPUTED_VALUE"""),"BWN8361,JRC7G68")</f>
        <v>BWN8361,JRC7G68</v>
      </c>
      <c r="G4863" s="238">
        <f>IFERROR(__xludf.DUMMYFUNCTION("""COMPUTED_VALUE"""),46037.9375)</f>
        <v>46037.9375</v>
      </c>
      <c r="H4863" s="238">
        <f>IFERROR(__xludf.DUMMYFUNCTION("""COMPUTED_VALUE"""),46038.02083333333)</f>
        <v>46038.02083</v>
      </c>
      <c r="I4863" s="237" t="str">
        <f t="shared" si="1"/>
        <v>Fora</v>
      </c>
      <c r="J4863" s="239">
        <v>118.99999998975545</v>
      </c>
    </row>
    <row r="4864">
      <c r="A4864" s="234" t="s">
        <v>5839</v>
      </c>
      <c r="B4864" s="234" t="str">
        <f>IFERROR(__xludf.DUMMYFUNCTION("""COMPUTED_VALUE"""),"LM Hub_SP_Parque Novo Mundo")</f>
        <v>LM Hub_SP_Parque Novo Mundo</v>
      </c>
      <c r="C4864" s="234" t="str">
        <f>IFERROR(__xludf.DUMMYFUNCTION("""COMPUTED_VALUE"""),"HUB-LSP-89")</f>
        <v>HUB-LSP-89</v>
      </c>
      <c r="D4864" s="234"/>
      <c r="E4864" s="237" t="str">
        <f>IFERROR(__xludf.DUMMYFUNCTION("""COMPUTED_VALUE"""),"LT0Q1F01WA4Q1")</f>
        <v>LT0Q1F01WA4Q1</v>
      </c>
      <c r="F4864" s="238" t="str">
        <f>IFERROR(__xludf.DUMMYFUNCTION("""COMPUTED_VALUE"""),"GIQ1C13")</f>
        <v>GIQ1C13</v>
      </c>
      <c r="G4864" s="238">
        <f>IFERROR(__xludf.DUMMYFUNCTION("""COMPUTED_VALUE"""),46037.93819444445)</f>
        <v>46037.93819</v>
      </c>
      <c r="H4864" s="238">
        <f>IFERROR(__xludf.DUMMYFUNCTION("""COMPUTED_VALUE"""),46038.02083333333)</f>
        <v>46038.02083</v>
      </c>
      <c r="I4864" s="237" t="str">
        <f t="shared" si="1"/>
        <v>Fora</v>
      </c>
      <c r="J4864" s="239">
        <v>118.99999998975545</v>
      </c>
    </row>
    <row r="4865">
      <c r="A4865" s="234" t="s">
        <v>5840</v>
      </c>
      <c r="B4865" s="234" t="str">
        <f>IFERROR(__xludf.DUMMYFUNCTION("""COMPUTED_VALUE"""),"LM Hub_SP_São Paulo_Carandiru")</f>
        <v>LM Hub_SP_São Paulo_Carandiru</v>
      </c>
      <c r="C4865" s="234" t="str">
        <f>IFERROR(__xludf.DUMMYFUNCTION("""COMPUTED_VALUE"""),"HUB-LSP-18")</f>
        <v>HUB-LSP-18</v>
      </c>
      <c r="D4865" s="234">
        <f>IFERROR(__xludf.DUMMYFUNCTION("""COMPUTED_VALUE"""),37.0)</f>
        <v>37</v>
      </c>
      <c r="E4865" s="237" t="str">
        <f>IFERROR(__xludf.DUMMYFUNCTION("""COMPUTED_VALUE"""),"LT0Q1F01W97J1")</f>
        <v>LT0Q1F01W97J1</v>
      </c>
      <c r="F4865" s="238" t="str">
        <f>IFERROR(__xludf.DUMMYFUNCTION("""COMPUTED_VALUE"""),"AUH8E91")</f>
        <v>AUH8E91</v>
      </c>
      <c r="G4865" s="238">
        <f>IFERROR(__xludf.DUMMYFUNCTION("""COMPUTED_VALUE"""),46037.93819444445)</f>
        <v>46037.93819</v>
      </c>
      <c r="H4865" s="238">
        <f>IFERROR(__xludf.DUMMYFUNCTION("""COMPUTED_VALUE"""),46038.02083333333)</f>
        <v>46038.02083</v>
      </c>
      <c r="I4865" s="237" t="str">
        <f t="shared" si="1"/>
        <v>Fora</v>
      </c>
      <c r="J4865" s="239">
        <v>117.99999998649582</v>
      </c>
    </row>
    <row r="4866">
      <c r="A4866" s="234" t="s">
        <v>5841</v>
      </c>
      <c r="B4866" s="234" t="str">
        <f>IFERROR(__xludf.DUMMYFUNCTION("""COMPUTED_VALUE"""),"LM Hub_SP_Suzano_Baruel")</f>
        <v>LM Hub_SP_Suzano_Baruel</v>
      </c>
      <c r="C4866" s="234" t="str">
        <f>IFERROR(__xludf.DUMMYFUNCTION("""COMPUTED_VALUE"""),"HUB-LSP-97")</f>
        <v>HUB-LSP-97</v>
      </c>
      <c r="D4866" s="234"/>
      <c r="E4866" s="237" t="str">
        <f>IFERROR(__xludf.DUMMYFUNCTION("""COMPUTED_VALUE"""),"LT0Q1F01WGBK1")</f>
        <v>LT0Q1F01WGBK1</v>
      </c>
      <c r="F4866" s="238" t="str">
        <f>IFERROR(__xludf.DUMMYFUNCTION("""COMPUTED_VALUE"""),"CRX3F42")</f>
        <v>CRX3F42</v>
      </c>
      <c r="G4866" s="238">
        <f>IFERROR(__xludf.DUMMYFUNCTION("""COMPUTED_VALUE"""),46037.93888888889)</f>
        <v>46037.93889</v>
      </c>
      <c r="H4866" s="238">
        <f>IFERROR(__xludf.DUMMYFUNCTION("""COMPUTED_VALUE"""),46038.02083333333)</f>
        <v>46038.02083</v>
      </c>
      <c r="I4866" s="237" t="str">
        <f t="shared" si="1"/>
        <v>Fora</v>
      </c>
      <c r="J4866" s="239">
        <v>120.00000001396984</v>
      </c>
    </row>
    <row r="4867">
      <c r="A4867" s="234" t="s">
        <v>5842</v>
      </c>
      <c r="B4867" s="234" t="str">
        <f>IFERROR(__xludf.DUMMYFUNCTION("""COMPUTED_VALUE"""),"LM Hub_RJ_Nova Iguaçu")</f>
        <v>LM Hub_RJ_Nova Iguaçu</v>
      </c>
      <c r="C4867" s="234" t="str">
        <f>IFERROR(__xludf.DUMMYFUNCTION("""COMPUTED_VALUE"""),"HUB-LRJ-27")</f>
        <v>HUB-LRJ-27</v>
      </c>
      <c r="D4867" s="234">
        <f>IFERROR(__xludf.DUMMYFUNCTION("""COMPUTED_VALUE"""),6.0)</f>
        <v>6</v>
      </c>
      <c r="E4867" s="237" t="str">
        <f>IFERROR(__xludf.DUMMYFUNCTION("""COMPUTED_VALUE"""),"LT0Q1F01WF321")</f>
        <v>LT0Q1F01WF321</v>
      </c>
      <c r="F4867" s="238" t="str">
        <f>IFERROR(__xludf.DUMMYFUNCTION("""COMPUTED_VALUE"""),"TAN7J20")</f>
        <v>TAN7J20</v>
      </c>
      <c r="G4867" s="238">
        <f>IFERROR(__xludf.DUMMYFUNCTION("""COMPUTED_VALUE"""),46037.95833333333)</f>
        <v>46037.95833</v>
      </c>
      <c r="H4867" s="238">
        <f>IFERROR(__xludf.DUMMYFUNCTION("""COMPUTED_VALUE"""),46038.04166666667)</f>
        <v>46038.04167</v>
      </c>
      <c r="I4867" s="237" t="str">
        <f t="shared" si="1"/>
        <v>Fora</v>
      </c>
      <c r="J4867" s="239">
        <v>120.00000001396984</v>
      </c>
    </row>
    <row r="4868">
      <c r="A4868" s="234" t="s">
        <v>5843</v>
      </c>
      <c r="B4868" s="234" t="str">
        <f>IFERROR(__xludf.DUMMYFUNCTION("""COMPUTED_VALUE"""),"LM Hub_RJ_Rio de Janeiro_Campo G")</f>
        <v>LM Hub_RJ_Rio de Janeiro_Campo G</v>
      </c>
      <c r="C4868" s="234" t="str">
        <f>IFERROR(__xludf.DUMMYFUNCTION("""COMPUTED_VALUE"""),"HUB-LRJ-04")</f>
        <v>HUB-LRJ-04</v>
      </c>
      <c r="D4868" s="234">
        <f>IFERROR(__xludf.DUMMYFUNCTION("""COMPUTED_VALUE"""),46.0)</f>
        <v>46</v>
      </c>
      <c r="E4868" s="237" t="str">
        <f>IFERROR(__xludf.DUMMYFUNCTION("""COMPUTED_VALUE"""),"LT0Q1F01W9DM1")</f>
        <v>LT0Q1F01W9DM1</v>
      </c>
      <c r="F4868" s="238" t="str">
        <f>IFERROR(__xludf.DUMMYFUNCTION("""COMPUTED_VALUE"""),"UBA1H99")</f>
        <v>UBA1H99</v>
      </c>
      <c r="G4868" s="238">
        <f>IFERROR(__xludf.DUMMYFUNCTION("""COMPUTED_VALUE"""),46037.95833333333)</f>
        <v>46037.95833</v>
      </c>
      <c r="H4868" s="238">
        <f>IFERROR(__xludf.DUMMYFUNCTION("""COMPUTED_VALUE"""),46038.04166666667)</f>
        <v>46038.04167</v>
      </c>
      <c r="I4868" s="237" t="str">
        <f t="shared" si="1"/>
        <v>Fora</v>
      </c>
      <c r="J4868" s="239">
        <v>120.00000001396984</v>
      </c>
    </row>
    <row r="4869">
      <c r="A4869" s="234" t="s">
        <v>5844</v>
      </c>
      <c r="B4869" s="234" t="str">
        <f>IFERROR(__xludf.DUMMYFUNCTION("""COMPUTED_VALUE"""),"LM Hub_RJ_São João do Meriti")</f>
        <v>LM Hub_RJ_São João do Meriti</v>
      </c>
      <c r="C4869" s="234" t="str">
        <f>IFERROR(__xludf.DUMMYFUNCTION("""COMPUTED_VALUE"""),"HUB-LRJ-01")</f>
        <v>HUB-LRJ-01</v>
      </c>
      <c r="D4869" s="234">
        <f>IFERROR(__xludf.DUMMYFUNCTION("""COMPUTED_VALUE"""),13.0)</f>
        <v>13</v>
      </c>
      <c r="E4869" s="237" t="str">
        <f>IFERROR(__xludf.DUMMYFUNCTION("""COMPUTED_VALUE"""),"LT0Q1F01WF3Y1")</f>
        <v>LT0Q1F01WF3Y1</v>
      </c>
      <c r="F4869" s="238" t="str">
        <f>IFERROR(__xludf.DUMMYFUNCTION("""COMPUTED_VALUE"""),"STY3A64")</f>
        <v>STY3A64</v>
      </c>
      <c r="G4869" s="238">
        <f>IFERROR(__xludf.DUMMYFUNCTION("""COMPUTED_VALUE"""),46037.95833333333)</f>
        <v>46037.95833</v>
      </c>
      <c r="H4869" s="238">
        <f>IFERROR(__xludf.DUMMYFUNCTION("""COMPUTED_VALUE"""),46038.04166666667)</f>
        <v>46038.04167</v>
      </c>
      <c r="I4869" s="237" t="str">
        <f t="shared" si="1"/>
        <v>Fora</v>
      </c>
      <c r="J4869" s="239">
        <v>120.00000001396984</v>
      </c>
    </row>
    <row r="4870">
      <c r="A4870" s="234" t="s">
        <v>5845</v>
      </c>
      <c r="B4870" s="234" t="str">
        <f>IFERROR(__xludf.DUMMYFUNCTION("""COMPUTED_VALUE"""),"LM Hub_SP_Jundiaí")</f>
        <v>LM Hub_SP_Jundiaí</v>
      </c>
      <c r="C4870" s="234" t="str">
        <f>IFERROR(__xludf.DUMMYFUNCTION("""COMPUTED_VALUE"""),"HUB-LSP-100")</f>
        <v>HUB-LSP-100</v>
      </c>
      <c r="D4870" s="234">
        <f>IFERROR(__xludf.DUMMYFUNCTION("""COMPUTED_VALUE"""),26.0)</f>
        <v>26</v>
      </c>
      <c r="E4870" s="237" t="str">
        <f>IFERROR(__xludf.DUMMYFUNCTION("""COMPUTED_VALUE"""),"LT0Q1F01WFXU1")</f>
        <v>LT0Q1F01WFXU1</v>
      </c>
      <c r="F4870" s="238" t="str">
        <f>IFERROR(__xludf.DUMMYFUNCTION("""COMPUTED_VALUE"""),"EZU9I70,SWO4H70")</f>
        <v>EZU9I70,SWO4H70</v>
      </c>
      <c r="G4870" s="238">
        <f>IFERROR(__xludf.DUMMYFUNCTION("""COMPUTED_VALUE"""),46037.95833333333)</f>
        <v>46037.95833</v>
      </c>
      <c r="H4870" s="238">
        <f>IFERROR(__xludf.DUMMYFUNCTION("""COMPUTED_VALUE"""),46038.04166666667)</f>
        <v>46038.04167</v>
      </c>
      <c r="I4870" s="237" t="str">
        <f t="shared" si="1"/>
        <v>Fora</v>
      </c>
      <c r="J4870" s="239">
        <v>120.00000001396984</v>
      </c>
    </row>
    <row r="4871">
      <c r="A4871" s="234" t="s">
        <v>5846</v>
      </c>
      <c r="B4871" s="234" t="str">
        <f>IFERROR(__xludf.DUMMYFUNCTION("""COMPUTED_VALUE"""),"LM Hub_SP_Mogi Mirim")</f>
        <v>LM Hub_SP_Mogi Mirim</v>
      </c>
      <c r="C4871" s="234" t="str">
        <f>IFERROR(__xludf.DUMMYFUNCTION("""COMPUTED_VALUE"""),"HUB-LSP-37")</f>
        <v>HUB-LSP-37</v>
      </c>
      <c r="D4871" s="234">
        <f>IFERROR(__xludf.DUMMYFUNCTION("""COMPUTED_VALUE"""),38.0)</f>
        <v>38</v>
      </c>
      <c r="E4871" s="237" t="str">
        <f>IFERROR(__xludf.DUMMYFUNCTION("""COMPUTED_VALUE"""),"LT0Q1F01W9C81")</f>
        <v>LT0Q1F01W9C81</v>
      </c>
      <c r="F4871" s="238" t="str">
        <f>IFERROR(__xludf.DUMMYFUNCTION("""COMPUTED_VALUE"""),"SVC6I57,SWO1G45")</f>
        <v>SVC6I57,SWO1G45</v>
      </c>
      <c r="G4871" s="238">
        <f>IFERROR(__xludf.DUMMYFUNCTION("""COMPUTED_VALUE"""),46037.95833333333)</f>
        <v>46037.95833</v>
      </c>
      <c r="H4871" s="238">
        <f>IFERROR(__xludf.DUMMYFUNCTION("""COMPUTED_VALUE"""),46038.04166666667)</f>
        <v>46038.04167</v>
      </c>
      <c r="I4871" s="237" t="str">
        <f t="shared" si="1"/>
        <v>Fora</v>
      </c>
      <c r="J4871" s="239">
        <v>120.00000001396984</v>
      </c>
    </row>
    <row r="4872">
      <c r="A4872" s="234" t="s">
        <v>5847</v>
      </c>
      <c r="B4872" s="234" t="str">
        <f>IFERROR(__xludf.DUMMYFUNCTION("""COMPUTED_VALUE"""),"SoC_PR_Curitiba")</f>
        <v>SoC_PR_Curitiba</v>
      </c>
      <c r="C4872" s="234" t="str">
        <f>IFERROR(__xludf.DUMMYFUNCTION("""COMPUTED_VALUE"""),"SOC-PR1")</f>
        <v>SOC-PR1</v>
      </c>
      <c r="D4872" s="234">
        <f>IFERROR(__xludf.DUMMYFUNCTION("""COMPUTED_VALUE"""),22.0)</f>
        <v>22</v>
      </c>
      <c r="E4872" s="237" t="str">
        <f>IFERROR(__xludf.DUMMYFUNCTION("""COMPUTED_VALUE"""),"LT1Q1F01WPCE1")</f>
        <v>LT1Q1F01WPCE1</v>
      </c>
      <c r="F4872" s="234" t="str">
        <f>IFERROR(__xludf.DUMMYFUNCTION("""COMPUTED_VALUE"""),"MIN2I01")</f>
        <v>MIN2I01</v>
      </c>
      <c r="G4872" s="238">
        <f>IFERROR(__xludf.DUMMYFUNCTION("""COMPUTED_VALUE"""),46037.95833333333)</f>
        <v>46037.95833</v>
      </c>
      <c r="H4872" s="238">
        <f>IFERROR(__xludf.DUMMYFUNCTION("""COMPUTED_VALUE"""),46038.04166666667)</f>
        <v>46038.04167</v>
      </c>
      <c r="I4872" s="237" t="str">
        <f t="shared" si="1"/>
        <v>Fora</v>
      </c>
      <c r="J4872" s="239">
        <v>120.00000001396984</v>
      </c>
    </row>
    <row r="4873">
      <c r="A4873" s="234" t="s">
        <v>5848</v>
      </c>
      <c r="B4873" s="234" t="str">
        <f>IFERROR(__xludf.DUMMYFUNCTION("""COMPUTED_VALUE"""),"SoC_SC_Itajaí")</f>
        <v>SoC_SC_Itajaí</v>
      </c>
      <c r="C4873" s="234" t="str">
        <f>IFERROR(__xludf.DUMMYFUNCTION("""COMPUTED_VALUE"""),"SOC-SC1")</f>
        <v>SOC-SC1</v>
      </c>
      <c r="D4873" s="234"/>
      <c r="E4873" s="237" t="str">
        <f>IFERROR(__xludf.DUMMYFUNCTION("""COMPUTED_VALUE"""),"LT1Q1F01WP711")</f>
        <v>LT1Q1F01WP711</v>
      </c>
      <c r="F4873" s="238" t="str">
        <f>IFERROR(__xludf.DUMMYFUNCTION("""COMPUTED_VALUE"""),"EMT5A32,EMT6I61")</f>
        <v>EMT5A32,EMT6I61</v>
      </c>
      <c r="G4873" s="238">
        <f>IFERROR(__xludf.DUMMYFUNCTION("""COMPUTED_VALUE"""),46037.95833333333)</f>
        <v>46037.95833</v>
      </c>
      <c r="H4873" s="238">
        <f>IFERROR(__xludf.DUMMYFUNCTION("""COMPUTED_VALUE"""),46038.04166666667)</f>
        <v>46038.04167</v>
      </c>
      <c r="I4873" s="237" t="str">
        <f t="shared" si="1"/>
        <v>Fora</v>
      </c>
      <c r="J4873" s="239">
        <v>119.99999999301508</v>
      </c>
    </row>
    <row r="4874">
      <c r="A4874" s="234" t="s">
        <v>5849</v>
      </c>
      <c r="B4874" s="234" t="str">
        <f>IFERROR(__xludf.DUMMYFUNCTION("""COMPUTED_VALUE"""),"LM Hub_SP_Atibaia_Ponte_Alta")</f>
        <v>LM Hub_SP_Atibaia_Ponte_Alta</v>
      </c>
      <c r="C4874" s="234" t="str">
        <f>IFERROR(__xludf.DUMMYFUNCTION("""COMPUTED_VALUE"""),"HUB-LSP-87")</f>
        <v>HUB-LSP-87</v>
      </c>
      <c r="D4874" s="234">
        <f>IFERROR(__xludf.DUMMYFUNCTION("""COMPUTED_VALUE"""),14.0)</f>
        <v>14</v>
      </c>
      <c r="E4874" s="237" t="str">
        <f>IFERROR(__xludf.DUMMYFUNCTION("""COMPUTED_VALUE"""),"LT0Q1F01WD671")</f>
        <v>LT0Q1F01WD671</v>
      </c>
      <c r="F4874" s="238" t="str">
        <f>IFERROR(__xludf.DUMMYFUNCTION("""COMPUTED_VALUE"""),"FYZ1F51,TME7H90")</f>
        <v>FYZ1F51,TME7H90</v>
      </c>
      <c r="G4874" s="238">
        <f>IFERROR(__xludf.DUMMYFUNCTION("""COMPUTED_VALUE"""),46037.97916666667)</f>
        <v>46037.97917</v>
      </c>
      <c r="H4874" s="238">
        <f>IFERROR(__xludf.DUMMYFUNCTION("""COMPUTED_VALUE"""),46038.0625)</f>
        <v>46038.0625</v>
      </c>
      <c r="I4874" s="237" t="str">
        <f t="shared" si="1"/>
        <v>Fora</v>
      </c>
      <c r="J4874" s="239">
        <v>119.99999999301508</v>
      </c>
    </row>
    <row r="4875">
      <c r="A4875" s="234" t="s">
        <v>5850</v>
      </c>
      <c r="B4875" s="234" t="str">
        <f>IFERROR(__xludf.DUMMYFUNCTION("""COMPUTED_VALUE"""),"LM Hub_SP_Várzea Paulista")</f>
        <v>LM Hub_SP_Várzea Paulista</v>
      </c>
      <c r="C4875" s="234" t="str">
        <f>IFERROR(__xludf.DUMMYFUNCTION("""COMPUTED_VALUE"""),"HUB-LSP-20")</f>
        <v>HUB-LSP-20</v>
      </c>
      <c r="D4875" s="234">
        <f>IFERROR(__xludf.DUMMYFUNCTION("""COMPUTED_VALUE"""),27.0)</f>
        <v>27</v>
      </c>
      <c r="E4875" s="237" t="str">
        <f>IFERROR(__xludf.DUMMYFUNCTION("""COMPUTED_VALUE"""),"LT0Q1F01W9CV1")</f>
        <v>LT0Q1F01W9CV1</v>
      </c>
      <c r="F4875" s="238" t="str">
        <f>IFERROR(__xludf.DUMMYFUNCTION("""COMPUTED_VALUE"""),"GDC9B69")</f>
        <v>GDC9B69</v>
      </c>
      <c r="G4875" s="238">
        <f>IFERROR(__xludf.DUMMYFUNCTION("""COMPUTED_VALUE"""),46037.97916666667)</f>
        <v>46037.97917</v>
      </c>
      <c r="H4875" s="238">
        <f>IFERROR(__xludf.DUMMYFUNCTION("""COMPUTED_VALUE"""),46038.0625)</f>
        <v>46038.0625</v>
      </c>
      <c r="I4875" s="237" t="str">
        <f t="shared" si="1"/>
        <v>Fora</v>
      </c>
      <c r="J4875" s="239">
        <v>119.99999999301508</v>
      </c>
    </row>
    <row r="4876">
      <c r="A4876" s="234" t="s">
        <v>5851</v>
      </c>
      <c r="B4876" s="234" t="str">
        <f>IFERROR(__xludf.DUMMYFUNCTION("""COMPUTED_VALUE"""),"LM Hub_RJ_Ilha do Governador")</f>
        <v>LM Hub_RJ_Ilha do Governador</v>
      </c>
      <c r="C4876" s="234" t="str">
        <f>IFERROR(__xludf.DUMMYFUNCTION("""COMPUTED_VALUE"""),"HUB-LRJ-32")</f>
        <v>HUB-LRJ-32</v>
      </c>
      <c r="D4876" s="234">
        <f>IFERROR(__xludf.DUMMYFUNCTION("""COMPUTED_VALUE"""),49.0)</f>
        <v>49</v>
      </c>
      <c r="E4876" s="237" t="str">
        <f>IFERROR(__xludf.DUMMYFUNCTION("""COMPUTED_VALUE"""),"LT0Q1G01WF3F1")</f>
        <v>LT0Q1G01WF3F1</v>
      </c>
      <c r="F4876" s="238" t="str">
        <f>IFERROR(__xludf.DUMMYFUNCTION("""COMPUTED_VALUE"""),"CSK6J01")</f>
        <v>CSK6J01</v>
      </c>
      <c r="G4876" s="238">
        <f>IFERROR(__xludf.DUMMYFUNCTION("""COMPUTED_VALUE"""),46038.0)</f>
        <v>46038</v>
      </c>
      <c r="H4876" s="238">
        <f>IFERROR(__xludf.DUMMYFUNCTION("""COMPUTED_VALUE"""),46038.08333333333)</f>
        <v>46038.08333</v>
      </c>
      <c r="I4876" s="237" t="str">
        <f t="shared" si="1"/>
        <v>Fora</v>
      </c>
      <c r="J4876" s="239">
        <v>119.99999999301508</v>
      </c>
    </row>
    <row r="4877">
      <c r="A4877" s="234" t="s">
        <v>5852</v>
      </c>
      <c r="B4877" s="234" t="str">
        <f>IFERROR(__xludf.DUMMYFUNCTION("""COMPUTED_VALUE"""),"LM Hub_SP_Tatuí")</f>
        <v>LM Hub_SP_Tatuí</v>
      </c>
      <c r="C4877" s="234" t="str">
        <f>IFERROR(__xludf.DUMMYFUNCTION("""COMPUTED_VALUE"""),"HUB-LSP-51")</f>
        <v>HUB-LSP-51</v>
      </c>
      <c r="D4877" s="234">
        <f>IFERROR(__xludf.DUMMYFUNCTION("""COMPUTED_VALUE"""),35.0)</f>
        <v>35</v>
      </c>
      <c r="E4877" s="237" t="str">
        <f>IFERROR(__xludf.DUMMYFUNCTION("""COMPUTED_VALUE"""),"LT0Q1G01W9931")</f>
        <v>LT0Q1G01W9931</v>
      </c>
      <c r="F4877" s="238" t="str">
        <f>IFERROR(__xludf.DUMMYFUNCTION("""COMPUTED_VALUE"""),"GFM6E44,AOF2G51")</f>
        <v>GFM6E44,AOF2G51</v>
      </c>
      <c r="G4877" s="238">
        <f>IFERROR(__xludf.DUMMYFUNCTION("""COMPUTED_VALUE"""),46038.0)</f>
        <v>46038</v>
      </c>
      <c r="H4877" s="238">
        <f>IFERROR(__xludf.DUMMYFUNCTION("""COMPUTED_VALUE"""),46038.08333333333)</f>
        <v>46038.08333</v>
      </c>
      <c r="I4877" s="237" t="str">
        <f t="shared" si="1"/>
        <v>Fora</v>
      </c>
      <c r="J4877" s="239">
        <v>119.99999999301508</v>
      </c>
    </row>
    <row r="4878">
      <c r="A4878" s="234" t="s">
        <v>5853</v>
      </c>
      <c r="B4878" s="234" t="str">
        <f>IFERROR(__xludf.DUMMYFUNCTION("""COMPUTED_VALUE"""),"LM Hub_SP_VilaGuilherme")</f>
        <v>LM Hub_SP_VilaGuilherme</v>
      </c>
      <c r="C4878" s="234" t="str">
        <f>IFERROR(__xludf.DUMMYFUNCTION("""COMPUTED_VALUE"""),"HUB-LSP-68")</f>
        <v>HUB-LSP-68</v>
      </c>
      <c r="D4878" s="234">
        <f>IFERROR(__xludf.DUMMYFUNCTION("""COMPUTED_VALUE"""),29.0)</f>
        <v>29</v>
      </c>
      <c r="E4878" s="237" t="str">
        <f>IFERROR(__xludf.DUMMYFUNCTION("""COMPUTED_VALUE"""),"LT0Q1G01WIJ91")</f>
        <v>LT0Q1G01WIJ91</v>
      </c>
      <c r="F4878" s="238" t="str">
        <f>IFERROR(__xludf.DUMMYFUNCTION("""COMPUTED_VALUE"""),"GFP1C85,UDW9B60")</f>
        <v>GFP1C85,UDW9B60</v>
      </c>
      <c r="G4878" s="238">
        <f>IFERROR(__xludf.DUMMYFUNCTION("""COMPUTED_VALUE"""),46038.0)</f>
        <v>46038</v>
      </c>
      <c r="H4878" s="238">
        <f>IFERROR(__xludf.DUMMYFUNCTION("""COMPUTED_VALUE"""),46038.08333333333)</f>
        <v>46038.08333</v>
      </c>
      <c r="I4878" s="237" t="str">
        <f t="shared" si="1"/>
        <v>Fora</v>
      </c>
      <c r="J4878" s="239">
        <v>119.99999999301508</v>
      </c>
    </row>
    <row r="4879">
      <c r="A4879" s="234" t="s">
        <v>5854</v>
      </c>
      <c r="B4879" s="234" t="str">
        <f>IFERROR(__xludf.DUMMYFUNCTION("""COMPUTED_VALUE"""),"SoC_PR_Curitiba")</f>
        <v>SoC_PR_Curitiba</v>
      </c>
      <c r="C4879" s="234" t="str">
        <f>IFERROR(__xludf.DUMMYFUNCTION("""COMPUTED_VALUE"""),"SOC-PR1")</f>
        <v>SOC-PR1</v>
      </c>
      <c r="D4879" s="234">
        <f>IFERROR(__xludf.DUMMYFUNCTION("""COMPUTED_VALUE"""),25.0)</f>
        <v>25</v>
      </c>
      <c r="E4879" s="237" t="str">
        <f>IFERROR(__xludf.DUMMYFUNCTION("""COMPUTED_VALUE"""),"LT1Q1G01WQHW1")</f>
        <v>LT1Q1G01WQHW1</v>
      </c>
      <c r="F4879" s="238" t="str">
        <f>IFERROR(__xludf.DUMMYFUNCTION("""COMPUTED_VALUE"""),"RXZ5A94,SXR8D90")</f>
        <v>RXZ5A94,SXR8D90</v>
      </c>
      <c r="G4879" s="238">
        <f>IFERROR(__xludf.DUMMYFUNCTION("""COMPUTED_VALUE"""),46038.0)</f>
        <v>46038</v>
      </c>
      <c r="H4879" s="238">
        <f>IFERROR(__xludf.DUMMYFUNCTION("""COMPUTED_VALUE"""),46038.08333333333)</f>
        <v>46038.08333</v>
      </c>
      <c r="I4879" s="237" t="str">
        <f t="shared" si="1"/>
        <v>Fora</v>
      </c>
      <c r="J4879" s="239">
        <v>119.99999999301508</v>
      </c>
    </row>
    <row r="4880">
      <c r="A4880" s="234" t="s">
        <v>5855</v>
      </c>
      <c r="B4880" s="234" t="str">
        <f>IFERROR(__xludf.DUMMYFUNCTION("""COMPUTED_VALUE"""),"SoC_SP_Guarulhos")</f>
        <v>SoC_SP_Guarulhos</v>
      </c>
      <c r="C4880" s="234" t="str">
        <f>IFERROR(__xludf.DUMMYFUNCTION("""COMPUTED_VALUE"""),"SOC-SP6")</f>
        <v>SOC-SP6</v>
      </c>
      <c r="D4880" s="234">
        <f>IFERROR(__xludf.DUMMYFUNCTION("""COMPUTED_VALUE"""),24.0)</f>
        <v>24</v>
      </c>
      <c r="E4880" s="237" t="str">
        <f>IFERROR(__xludf.DUMMYFUNCTION("""COMPUTED_VALUE"""),"LT1Q1G01WQK21")</f>
        <v>LT1Q1G01WQK21</v>
      </c>
      <c r="F4880" s="238" t="str">
        <f>IFERROR(__xludf.DUMMYFUNCTION("""COMPUTED_VALUE"""),"EWJ2F50,EVO3C99")</f>
        <v>EWJ2F50,EVO3C99</v>
      </c>
      <c r="G4880" s="238">
        <f>IFERROR(__xludf.DUMMYFUNCTION("""COMPUTED_VALUE"""),46038.0)</f>
        <v>46038</v>
      </c>
      <c r="H4880" s="238">
        <f>IFERROR(__xludf.DUMMYFUNCTION("""COMPUTED_VALUE"""),46038.08333333333)</f>
        <v>46038.08333</v>
      </c>
      <c r="I4880" s="237" t="str">
        <f t="shared" si="1"/>
        <v>Fora</v>
      </c>
      <c r="J4880" s="239">
        <v>119.99999999301508</v>
      </c>
    </row>
    <row r="4881">
      <c r="A4881" s="234" t="s">
        <v>5856</v>
      </c>
      <c r="B4881" s="234" t="str">
        <f>IFERROR(__xludf.DUMMYFUNCTION("""COMPUTED_VALUE"""),"SoC_SP_Louveira")</f>
        <v>SoC_SP_Louveira</v>
      </c>
      <c r="C4881" s="234" t="str">
        <f>IFERROR(__xludf.DUMMYFUNCTION("""COMPUTED_VALUE"""),"SOC-SP7")</f>
        <v>SOC-SP7</v>
      </c>
      <c r="D4881" s="234">
        <f>IFERROR(__xludf.DUMMYFUNCTION("""COMPUTED_VALUE"""),47.0)</f>
        <v>47</v>
      </c>
      <c r="E4881" s="237" t="str">
        <f>IFERROR(__xludf.DUMMYFUNCTION("""COMPUTED_VALUE"""),"LT0Q1G01W95H1")</f>
        <v>LT0Q1G01W95H1</v>
      </c>
      <c r="F4881" s="238" t="str">
        <f>IFERROR(__xludf.DUMMYFUNCTION("""COMPUTED_VALUE"""),"SWX1C68,UGT4E05")</f>
        <v>SWX1C68,UGT4E05</v>
      </c>
      <c r="G4881" s="238">
        <f>IFERROR(__xludf.DUMMYFUNCTION("""COMPUTED_VALUE"""),46038.0)</f>
        <v>46038</v>
      </c>
      <c r="H4881" s="238">
        <f>IFERROR(__xludf.DUMMYFUNCTION("""COMPUTED_VALUE"""),46038.08333333333)</f>
        <v>46038.08333</v>
      </c>
      <c r="I4881" s="237" t="str">
        <f t="shared" si="1"/>
        <v>Fora</v>
      </c>
      <c r="J4881" s="239">
        <v>120.00000001396984</v>
      </c>
    </row>
    <row r="4882">
      <c r="A4882" s="234" t="s">
        <v>5857</v>
      </c>
      <c r="B4882" s="234" t="str">
        <f>IFERROR(__xludf.DUMMYFUNCTION("""COMPUTED_VALUE"""),"LM Hub_MG_Varginha_Fausto")</f>
        <v>LM Hub_MG_Varginha_Fausto</v>
      </c>
      <c r="C4882" s="234" t="str">
        <f>IFERROR(__xludf.DUMMYFUNCTION("""COMPUTED_VALUE"""),"HUB-LMG-45")</f>
        <v>HUB-LMG-45</v>
      </c>
      <c r="D4882" s="234">
        <f>IFERROR(__xludf.DUMMYFUNCTION("""COMPUTED_VALUE"""),45.0)</f>
        <v>45</v>
      </c>
      <c r="E4882" s="237" t="str">
        <f>IFERROR(__xludf.DUMMYFUNCTION("""COMPUTED_VALUE"""),"LT0Q1G01WEH21")</f>
        <v>LT0Q1G01WEH21</v>
      </c>
      <c r="F4882" s="238" t="str">
        <f>IFERROR(__xludf.DUMMYFUNCTION("""COMPUTED_VALUE"""),"SVZ3D32")</f>
        <v>SVZ3D32</v>
      </c>
      <c r="G4882" s="238">
        <f>IFERROR(__xludf.DUMMYFUNCTION("""COMPUTED_VALUE"""),46038.02083333333)</f>
        <v>46038.02083</v>
      </c>
      <c r="H4882" s="238">
        <f>IFERROR(__xludf.DUMMYFUNCTION("""COMPUTED_VALUE"""),46038.10416666667)</f>
        <v>46038.10417</v>
      </c>
      <c r="I4882" s="237" t="str">
        <f t="shared" si="1"/>
        <v>Fora</v>
      </c>
      <c r="J4882" s="239">
        <v>119.99999999301508</v>
      </c>
    </row>
    <row r="4883">
      <c r="A4883" s="234" t="s">
        <v>5858</v>
      </c>
      <c r="B4883" s="234" t="str">
        <f>IFERROR(__xludf.DUMMYFUNCTION("""COMPUTED_VALUE"""),"SoC_RJ_Duque de Caxias")</f>
        <v>SoC_RJ_Duque de Caxias</v>
      </c>
      <c r="C4883" s="234" t="str">
        <f>IFERROR(__xludf.DUMMYFUNCTION("""COMPUTED_VALUE"""),"SOC-RJ2")</f>
        <v>SOC-RJ2</v>
      </c>
      <c r="D4883" s="234">
        <f>IFERROR(__xludf.DUMMYFUNCTION("""COMPUTED_VALUE"""),114.0)</f>
        <v>114</v>
      </c>
      <c r="E4883" s="237" t="str">
        <f>IFERROR(__xludf.DUMMYFUNCTION("""COMPUTED_VALUE"""),"LT1Q1G01WQ0S1")</f>
        <v>LT1Q1G01WQ0S1</v>
      </c>
      <c r="F4883" s="238" t="str">
        <f>IFERROR(__xludf.DUMMYFUNCTION("""COMPUTED_VALUE"""),"FRM0F67,MKK2401")</f>
        <v>FRM0F67,MKK2401</v>
      </c>
      <c r="G4883" s="238">
        <f>IFERROR(__xludf.DUMMYFUNCTION("""COMPUTED_VALUE"""),46038.04166666667)</f>
        <v>46038.04167</v>
      </c>
      <c r="H4883" s="238">
        <f>IFERROR(__xludf.DUMMYFUNCTION("""COMPUTED_VALUE"""),46038.125)</f>
        <v>46038.125</v>
      </c>
      <c r="I4883" s="237" t="str">
        <f t="shared" si="1"/>
        <v>Fora</v>
      </c>
      <c r="J4883" s="239">
        <v>119.99999999301508</v>
      </c>
    </row>
    <row r="4884">
      <c r="A4884" s="234" t="s">
        <v>5859</v>
      </c>
      <c r="B4884" s="234" t="str">
        <f>IFERROR(__xludf.DUMMYFUNCTION("""COMPUTED_VALUE"""),"SoC_SP_Santana")</f>
        <v>SoC_SP_Santana</v>
      </c>
      <c r="C4884" s="234" t="str">
        <f>IFERROR(__xludf.DUMMYFUNCTION("""COMPUTED_VALUE"""),"SOC-SP2")</f>
        <v>SOC-SP2</v>
      </c>
      <c r="D4884" s="234">
        <f>IFERROR(__xludf.DUMMYFUNCTION("""COMPUTED_VALUE"""),41.0)</f>
        <v>41</v>
      </c>
      <c r="E4884" s="237" t="str">
        <f>IFERROR(__xludf.DUMMYFUNCTION("""COMPUTED_VALUE"""),"LT1Q1G01WQK31")</f>
        <v>LT1Q1G01WQK31</v>
      </c>
      <c r="F4884" s="238" t="str">
        <f>IFERROR(__xludf.DUMMYFUNCTION("""COMPUTED_VALUE"""),"DPR5J10,TJX9B42")</f>
        <v>DPR5J10,TJX9B42</v>
      </c>
      <c r="G4884" s="238">
        <f>IFERROR(__xludf.DUMMYFUNCTION("""COMPUTED_VALUE"""),46038.04166666667)</f>
        <v>46038.04167</v>
      </c>
      <c r="H4884" s="238">
        <f>IFERROR(__xludf.DUMMYFUNCTION("""COMPUTED_VALUE"""),46038.125)</f>
        <v>46038.125</v>
      </c>
      <c r="I4884" s="237" t="str">
        <f t="shared" si="1"/>
        <v>Fora</v>
      </c>
      <c r="J4884" s="239">
        <v>119.99999999301508</v>
      </c>
    </row>
    <row r="4885">
      <c r="A4885" s="234" t="s">
        <v>5860</v>
      </c>
      <c r="B4885" s="234" t="str">
        <f>IFERROR(__xludf.DUMMYFUNCTION("""COMPUTED_VALUE"""),"LM Hub_SP_Araraquara")</f>
        <v>LM Hub_SP_Araraquara</v>
      </c>
      <c r="C4885" s="234" t="str">
        <f>IFERROR(__xludf.DUMMYFUNCTION("""COMPUTED_VALUE"""),"HUB-LSP-29")</f>
        <v>HUB-LSP-29</v>
      </c>
      <c r="D4885" s="234"/>
      <c r="E4885" s="237" t="str">
        <f>IFERROR(__xludf.DUMMYFUNCTION("""COMPUTED_VALUE"""),"LT0Q1F01W9CD1")</f>
        <v>LT0Q1F01W9CD1</v>
      </c>
      <c r="F4885" s="238" t="str">
        <f>IFERROR(__xludf.DUMMYFUNCTION("""COMPUTED_VALUE"""),"DVS7G78,DJE5J16")</f>
        <v>DVS7G78,DJE5J16</v>
      </c>
      <c r="G4885" s="238">
        <f>IFERROR(__xludf.DUMMYFUNCTION("""COMPUTED_VALUE"""),46038.0625)</f>
        <v>46038.0625</v>
      </c>
      <c r="H4885" s="238">
        <f>IFERROR(__xludf.DUMMYFUNCTION("""COMPUTED_VALUE"""),46038.14583333333)</f>
        <v>46038.14583</v>
      </c>
      <c r="I4885" s="237" t="str">
        <f t="shared" si="1"/>
        <v>Fora</v>
      </c>
      <c r="J4885" s="239">
        <v>540.0</v>
      </c>
    </row>
    <row r="4886">
      <c r="A4886" s="234" t="s">
        <v>5861</v>
      </c>
      <c r="B4886" s="234" t="str">
        <f>IFERROR(__xludf.DUMMYFUNCTION("""COMPUTED_VALUE"""),"SoC_BA_Simoes Filho")</f>
        <v>SoC_BA_Simoes Filho</v>
      </c>
      <c r="C4886" s="234" t="str">
        <f>IFERROR(__xludf.DUMMYFUNCTION("""COMPUTED_VALUE"""),"SOC-BA2")</f>
        <v>SOC-BA2</v>
      </c>
      <c r="D4886" s="234">
        <f>IFERROR(__xludf.DUMMYFUNCTION("""COMPUTED_VALUE"""),89.0)</f>
        <v>89</v>
      </c>
      <c r="E4886" s="237" t="str">
        <f>IFERROR(__xludf.DUMMYFUNCTION("""COMPUTED_VALUE"""),"LT0Q1F01WEU61")</f>
        <v>LT0Q1F01WEU61</v>
      </c>
      <c r="F4886" s="238" t="str">
        <f>IFERROR(__xludf.DUMMYFUNCTION("""COMPUTED_VALUE"""),"UDX5E28,UDK2H02")</f>
        <v>UDX5E28,UDK2H02</v>
      </c>
      <c r="G4886" s="238">
        <f>IFERROR(__xludf.DUMMYFUNCTION("""COMPUTED_VALUE"""),46037.79166666667)</f>
        <v>46037.79167</v>
      </c>
      <c r="H4886" s="238">
        <f>IFERROR(__xludf.DUMMYFUNCTION("""COMPUTED_VALUE"""),46038.16666666667)</f>
        <v>46038.16667</v>
      </c>
      <c r="I4886" s="237" t="str">
        <f t="shared" si="1"/>
        <v>Fora</v>
      </c>
      <c r="J4886" s="239">
        <v>540.0</v>
      </c>
    </row>
    <row r="4887">
      <c r="A4887" s="234" t="s">
        <v>5862</v>
      </c>
      <c r="B4887" s="234" t="str">
        <f>IFERROR(__xludf.DUMMYFUNCTION("""COMPUTED_VALUE"""),"SoC_GO_Goiânia_02")</f>
        <v>SoC_GO_Goiânia_02</v>
      </c>
      <c r="C4887" s="234" t="str">
        <f>IFERROR(__xludf.DUMMYFUNCTION("""COMPUTED_VALUE"""),"SOC-GO2")</f>
        <v>SOC-GO2</v>
      </c>
      <c r="D4887" s="234">
        <f>IFERROR(__xludf.DUMMYFUNCTION("""COMPUTED_VALUE"""),87.0)</f>
        <v>87</v>
      </c>
      <c r="E4887" s="237" t="str">
        <f>IFERROR(__xludf.DUMMYFUNCTION("""COMPUTED_VALUE"""),"LT0Q1F01WF601")</f>
        <v>LT0Q1F01WF601</v>
      </c>
      <c r="F4887" s="238" t="str">
        <f>IFERROR(__xludf.DUMMYFUNCTION("""COMPUTED_VALUE"""),"EFO8F43,CVP9B70")</f>
        <v>EFO8F43,CVP9B70</v>
      </c>
      <c r="G4887" s="238">
        <f>IFERROR(__xludf.DUMMYFUNCTION("""COMPUTED_VALUE"""),46037.79166666667)</f>
        <v>46037.79167</v>
      </c>
      <c r="H4887" s="238">
        <f>IFERROR(__xludf.DUMMYFUNCTION("""COMPUTED_VALUE"""),46038.16666666667)</f>
        <v>46038.16667</v>
      </c>
      <c r="I4887" s="237" t="str">
        <f t="shared" si="1"/>
        <v>Fora</v>
      </c>
      <c r="J4887" s="239">
        <v>540.0</v>
      </c>
    </row>
    <row r="4888">
      <c r="A4888" s="234" t="s">
        <v>5863</v>
      </c>
      <c r="B4888" s="234" t="str">
        <f>IFERROR(__xludf.DUMMYFUNCTION("""COMPUTED_VALUE"""),"SoC_MG_Betim")</f>
        <v>SoC_MG_Betim</v>
      </c>
      <c r="C4888" s="234" t="str">
        <f>IFERROR(__xludf.DUMMYFUNCTION("""COMPUTED_VALUE"""),"SOC-MG2")</f>
        <v>SOC-MG2</v>
      </c>
      <c r="D4888" s="234"/>
      <c r="E4888" s="237" t="str">
        <f>IFERROR(__xludf.DUMMYFUNCTION("""COMPUTED_VALUE"""),"LT0Q1F01W9383")</f>
        <v>LT0Q1F01W9383</v>
      </c>
      <c r="F4888" s="238" t="str">
        <f>IFERROR(__xludf.DUMMYFUNCTION("""COMPUTED_VALUE"""),"FPO2A72,UFE2E68")</f>
        <v>FPO2A72,UFE2E68</v>
      </c>
      <c r="G4888" s="238">
        <f>IFERROR(__xludf.DUMMYFUNCTION("""COMPUTED_VALUE"""),46037.79166666667)</f>
        <v>46037.79167</v>
      </c>
      <c r="H4888" s="238">
        <f>IFERROR(__xludf.DUMMYFUNCTION("""COMPUTED_VALUE"""),46038.16666666667)</f>
        <v>46038.16667</v>
      </c>
      <c r="I4888" s="237" t="str">
        <f t="shared" si="1"/>
        <v>Fora</v>
      </c>
      <c r="J4888" s="239">
        <v>540.0</v>
      </c>
    </row>
    <row r="4889">
      <c r="A4889" s="234" t="s">
        <v>5864</v>
      </c>
      <c r="B4889" s="234" t="str">
        <f>IFERROR(__xludf.DUMMYFUNCTION("""COMPUTED_VALUE"""),"SoC_PE_Jaboatão dos Guararapes")</f>
        <v>SoC_PE_Jaboatão dos Guararapes</v>
      </c>
      <c r="C4889" s="234" t="str">
        <f>IFERROR(__xludf.DUMMYFUNCTION("""COMPUTED_VALUE"""),"SOC-PE2")</f>
        <v>SOC-PE2</v>
      </c>
      <c r="D4889" s="234">
        <f>IFERROR(__xludf.DUMMYFUNCTION("""COMPUTED_VALUE"""),98.0)</f>
        <v>98</v>
      </c>
      <c r="E4889" s="237" t="str">
        <f>IFERROR(__xludf.DUMMYFUNCTION("""COMPUTED_VALUE"""),"LT0Q1F01WEQI1")</f>
        <v>LT0Q1F01WEQI1</v>
      </c>
      <c r="F4889" s="238" t="str">
        <f>IFERROR(__xludf.DUMMYFUNCTION("""COMPUTED_VALUE"""),"DPB6G31,CZB4J33")</f>
        <v>DPB6G31,CZB4J33</v>
      </c>
      <c r="G4889" s="238">
        <f>IFERROR(__xludf.DUMMYFUNCTION("""COMPUTED_VALUE"""),46037.79166666667)</f>
        <v>46037.79167</v>
      </c>
      <c r="H4889" s="238">
        <f>IFERROR(__xludf.DUMMYFUNCTION("""COMPUTED_VALUE"""),46038.16666666667)</f>
        <v>46038.16667</v>
      </c>
      <c r="I4889" s="237" t="str">
        <f t="shared" si="1"/>
        <v>Fora</v>
      </c>
      <c r="J4889" s="239">
        <v>540.0</v>
      </c>
    </row>
    <row r="4890">
      <c r="A4890" s="234" t="s">
        <v>5865</v>
      </c>
      <c r="B4890" s="234" t="str">
        <f>IFERROR(__xludf.DUMMYFUNCTION("""COMPUTED_VALUE"""),"SoC_PE_Jaboatão dos Guararapes")</f>
        <v>SoC_PE_Jaboatão dos Guararapes</v>
      </c>
      <c r="C4890" s="234" t="str">
        <f>IFERROR(__xludf.DUMMYFUNCTION("""COMPUTED_VALUE"""),"SOC-PE2")</f>
        <v>SOC-PE2</v>
      </c>
      <c r="D4890" s="234">
        <f>IFERROR(__xludf.DUMMYFUNCTION("""COMPUTED_VALUE"""),99.0)</f>
        <v>99</v>
      </c>
      <c r="E4890" s="237" t="str">
        <f>IFERROR(__xludf.DUMMYFUNCTION("""COMPUTED_VALUE"""),"LT0Q1F01WEQK2")</f>
        <v>LT0Q1F01WEQK2</v>
      </c>
      <c r="F4890" s="238" t="str">
        <f>IFERROR(__xludf.DUMMYFUNCTION("""COMPUTED_VALUE"""),"MMD8C94,RYJ4J11")</f>
        <v>MMD8C94,RYJ4J11</v>
      </c>
      <c r="G4890" s="238">
        <f>IFERROR(__xludf.DUMMYFUNCTION("""COMPUTED_VALUE"""),46037.79166666667)</f>
        <v>46037.79167</v>
      </c>
      <c r="H4890" s="238">
        <f>IFERROR(__xludf.DUMMYFUNCTION("""COMPUTED_VALUE"""),46038.16666666667)</f>
        <v>46038.16667</v>
      </c>
      <c r="I4890" s="237" t="str">
        <f t="shared" si="1"/>
        <v>Fora</v>
      </c>
      <c r="J4890" s="239">
        <v>120.00000001396984</v>
      </c>
    </row>
    <row r="4891">
      <c r="A4891" s="234" t="s">
        <v>918</v>
      </c>
      <c r="B4891" s="234" t="str">
        <f>IFERROR(__xludf.DUMMYFUNCTION("""COMPUTED_VALUE"""),"SoC_GO_Goiânia_02")</f>
        <v>SoC_GO_Goiânia_02</v>
      </c>
      <c r="C4891" s="234" t="str">
        <f>IFERROR(__xludf.DUMMYFUNCTION("""COMPUTED_VALUE"""),"SOC-GO2")</f>
        <v>SOC-GO2</v>
      </c>
      <c r="D4891" s="234">
        <f>IFERROR(__xludf.DUMMYFUNCTION("""COMPUTED_VALUE"""),112.0)</f>
        <v>112</v>
      </c>
      <c r="E4891" s="237" t="str">
        <f>IFERROR(__xludf.DUMMYFUNCTION("""COMPUTED_VALUE"""),"LT1Q1G01WQ0F1")</f>
        <v>LT1Q1G01WQ0F1</v>
      </c>
      <c r="F4891" s="238" t="str">
        <f>IFERROR(__xludf.DUMMYFUNCTION("""COMPUTED_VALUE"""),"DPF0F65,HJI3646")</f>
        <v>DPF0F65,HJI3646</v>
      </c>
      <c r="G4891" s="238">
        <f>IFERROR(__xludf.DUMMYFUNCTION("""COMPUTED_VALUE"""),46038.08333333333)</f>
        <v>46038.08333</v>
      </c>
      <c r="H4891" s="238">
        <f>IFERROR(__xludf.DUMMYFUNCTION("""COMPUTED_VALUE"""),46038.16666666667)</f>
        <v>46038.16667</v>
      </c>
      <c r="I4891" s="237" t="str">
        <f t="shared" si="1"/>
        <v>Fora</v>
      </c>
      <c r="J4891" s="239">
        <v>120.00000001396984</v>
      </c>
    </row>
    <row r="4892">
      <c r="A4892" s="234" t="s">
        <v>5866</v>
      </c>
      <c r="B4892" s="234" t="str">
        <f>IFERROR(__xludf.DUMMYFUNCTION("""COMPUTED_VALUE"""),"SoC_PR_Curitiba")</f>
        <v>SoC_PR_Curitiba</v>
      </c>
      <c r="C4892" s="234" t="str">
        <f>IFERROR(__xludf.DUMMYFUNCTION("""COMPUTED_VALUE"""),"SOC-PR1")</f>
        <v>SOC-PR1</v>
      </c>
      <c r="D4892" s="234">
        <f>IFERROR(__xludf.DUMMYFUNCTION("""COMPUTED_VALUE"""),22.0)</f>
        <v>22</v>
      </c>
      <c r="E4892" s="237" t="str">
        <f>IFERROR(__xludf.DUMMYFUNCTION("""COMPUTED_VALUE"""),"LT0Q1G01W93T1")</f>
        <v>LT0Q1G01W93T1</v>
      </c>
      <c r="F4892" s="238" t="str">
        <f>IFERROR(__xludf.DUMMYFUNCTION("""COMPUTED_VALUE"""),"TJR4G15,TKN2A85")</f>
        <v>TJR4G15,TKN2A85</v>
      </c>
      <c r="G4892" s="238">
        <f>IFERROR(__xludf.DUMMYFUNCTION("""COMPUTED_VALUE"""),46038.08333333333)</f>
        <v>46038.08333</v>
      </c>
      <c r="H4892" s="238">
        <f>IFERROR(__xludf.DUMMYFUNCTION("""COMPUTED_VALUE"""),46038.16666666667)</f>
        <v>46038.16667</v>
      </c>
      <c r="I4892" s="237" t="str">
        <f t="shared" si="1"/>
        <v>Fora</v>
      </c>
      <c r="J4892" s="239">
        <v>120.00000001396984</v>
      </c>
    </row>
    <row r="4893">
      <c r="A4893" s="234" t="s">
        <v>919</v>
      </c>
      <c r="B4893" s="234" t="str">
        <f>IFERROR(__xludf.DUMMYFUNCTION("""COMPUTED_VALUE"""),"SoC_SC_Itajaí")</f>
        <v>SoC_SC_Itajaí</v>
      </c>
      <c r="C4893" s="234" t="str">
        <f>IFERROR(__xludf.DUMMYFUNCTION("""COMPUTED_VALUE"""),"SOC-SC1")</f>
        <v>SOC-SC1</v>
      </c>
      <c r="D4893" s="234">
        <f>IFERROR(__xludf.DUMMYFUNCTION("""COMPUTED_VALUE"""),101.0)</f>
        <v>101</v>
      </c>
      <c r="E4893" s="237" t="str">
        <f>IFERROR(__xludf.DUMMYFUNCTION("""COMPUTED_VALUE"""),"LT1Q1G01WPT31")</f>
        <v>LT1Q1G01WPT31</v>
      </c>
      <c r="F4893" s="238" t="str">
        <f>IFERROR(__xludf.DUMMYFUNCTION("""COMPUTED_VALUE"""),"ELJ8F62,ETM2H92")</f>
        <v>ELJ8F62,ETM2H92</v>
      </c>
      <c r="G4893" s="238">
        <f>IFERROR(__xludf.DUMMYFUNCTION("""COMPUTED_VALUE"""),46038.08333333333)</f>
        <v>46038.08333</v>
      </c>
      <c r="H4893" s="238">
        <f>IFERROR(__xludf.DUMMYFUNCTION("""COMPUTED_VALUE"""),46038.16666666667)</f>
        <v>46038.16667</v>
      </c>
      <c r="I4893" s="237" t="str">
        <f t="shared" si="1"/>
        <v>Fora</v>
      </c>
      <c r="J4893" s="239">
        <v>119.99999999301508</v>
      </c>
    </row>
    <row r="4894">
      <c r="A4894" s="234" t="s">
        <v>5867</v>
      </c>
      <c r="B4894" s="234" t="str">
        <f>IFERROR(__xludf.DUMMYFUNCTION("""COMPUTED_VALUE"""),"LM Hub_SP_Itapetininga")</f>
        <v>LM Hub_SP_Itapetininga</v>
      </c>
      <c r="C4894" s="234" t="str">
        <f>IFERROR(__xludf.DUMMYFUNCTION("""COMPUTED_VALUE"""),"HUB-LSP-53")</f>
        <v>HUB-LSP-53</v>
      </c>
      <c r="D4894" s="234">
        <f>IFERROR(__xludf.DUMMYFUNCTION("""COMPUTED_VALUE"""),36.0)</f>
        <v>36</v>
      </c>
      <c r="E4894" s="237" t="str">
        <f>IFERROR(__xludf.DUMMYFUNCTION("""COMPUTED_VALUE"""),"LT0Q1G01W98Y1")</f>
        <v>LT0Q1G01W98Y1</v>
      </c>
      <c r="F4894" s="238" t="str">
        <f>IFERROR(__xludf.DUMMYFUNCTION("""COMPUTED_VALUE"""),"FZY3F48")</f>
        <v>FZY3F48</v>
      </c>
      <c r="G4894" s="238">
        <f>IFERROR(__xludf.DUMMYFUNCTION("""COMPUTED_VALUE"""),46038.10416666667)</f>
        <v>46038.10417</v>
      </c>
      <c r="H4894" s="238">
        <f>IFERROR(__xludf.DUMMYFUNCTION("""COMPUTED_VALUE"""),46038.1875)</f>
        <v>46038.1875</v>
      </c>
      <c r="I4894" s="237" t="str">
        <f t="shared" si="1"/>
        <v>Fora</v>
      </c>
      <c r="J4894" s="239">
        <v>119.99999999301508</v>
      </c>
    </row>
    <row r="4895">
      <c r="A4895" s="234" t="s">
        <v>5868</v>
      </c>
      <c r="B4895" s="234" t="str">
        <f>IFERROR(__xludf.DUMMYFUNCTION("""COMPUTED_VALUE"""),"LM Hub_SP_São Carlos")</f>
        <v>LM Hub_SP_São Carlos</v>
      </c>
      <c r="C4895" s="234" t="str">
        <f>IFERROR(__xludf.DUMMYFUNCTION("""COMPUTED_VALUE"""),"HUB-LSP-31")</f>
        <v>HUB-LSP-31</v>
      </c>
      <c r="D4895" s="234">
        <f>IFERROR(__xludf.DUMMYFUNCTION("""COMPUTED_VALUE"""),32.0)</f>
        <v>32</v>
      </c>
      <c r="E4895" s="237" t="str">
        <f>IFERROR(__xludf.DUMMYFUNCTION("""COMPUTED_VALUE"""),"LT0Q1G01W9BS1")</f>
        <v>LT0Q1G01W9BS1</v>
      </c>
      <c r="F4895" s="238" t="str">
        <f>IFERROR(__xludf.DUMMYFUNCTION("""COMPUTED_VALUE"""),"DYL0G56")</f>
        <v>DYL0G56</v>
      </c>
      <c r="G4895" s="238">
        <f>IFERROR(__xludf.DUMMYFUNCTION("""COMPUTED_VALUE"""),46038.10416666667)</f>
        <v>46038.10417</v>
      </c>
      <c r="H4895" s="238">
        <f>IFERROR(__xludf.DUMMYFUNCTION("""COMPUTED_VALUE"""),46038.1875)</f>
        <v>46038.1875</v>
      </c>
      <c r="I4895" s="237" t="str">
        <f t="shared" si="1"/>
        <v>Fora</v>
      </c>
      <c r="J4895" s="239">
        <v>540.0</v>
      </c>
    </row>
    <row r="4896">
      <c r="A4896" s="234" t="s">
        <v>920</v>
      </c>
      <c r="B4896" s="234" t="str">
        <f>IFERROR(__xludf.DUMMYFUNCTION("""COMPUTED_VALUE"""),"SoC_BA_Simoes Filho")</f>
        <v>SoC_BA_Simoes Filho</v>
      </c>
      <c r="C4896" s="234" t="str">
        <f>IFERROR(__xludf.DUMMYFUNCTION("""COMPUTED_VALUE"""),"SOC-BA2")</f>
        <v>SOC-BA2</v>
      </c>
      <c r="D4896" s="234">
        <f>IFERROR(__xludf.DUMMYFUNCTION("""COMPUTED_VALUE"""),88.0)</f>
        <v>88</v>
      </c>
      <c r="E4896" s="237" t="str">
        <f>IFERROR(__xludf.DUMMYFUNCTION("""COMPUTED_VALUE"""),"LT0Q1F01WEU82")</f>
        <v>LT0Q1F01WEU82</v>
      </c>
      <c r="F4896" s="238" t="str">
        <f>IFERROR(__xludf.DUMMYFUNCTION("""COMPUTED_VALUE"""),"FVY2E61,TEO9D87")</f>
        <v>FVY2E61,TEO9D87</v>
      </c>
      <c r="G4896" s="238">
        <f>IFERROR(__xludf.DUMMYFUNCTION("""COMPUTED_VALUE"""),46037.83333333333)</f>
        <v>46037.83333</v>
      </c>
      <c r="H4896" s="238">
        <f>IFERROR(__xludf.DUMMYFUNCTION("""COMPUTED_VALUE"""),46038.20833333333)</f>
        <v>46038.20833</v>
      </c>
      <c r="I4896" s="237" t="str">
        <f t="shared" si="1"/>
        <v>Fora</v>
      </c>
      <c r="J4896" s="239">
        <v>540.0</v>
      </c>
    </row>
    <row r="4897">
      <c r="A4897" s="234" t="s">
        <v>5869</v>
      </c>
      <c r="B4897" s="234" t="str">
        <f>IFERROR(__xludf.DUMMYFUNCTION("""COMPUTED_VALUE"""),"SoC_MG_Betim")</f>
        <v>SoC_MG_Betim</v>
      </c>
      <c r="C4897" s="234" t="str">
        <f>IFERROR(__xludf.DUMMYFUNCTION("""COMPUTED_VALUE"""),"SOC-MG2")</f>
        <v>SOC-MG2</v>
      </c>
      <c r="D4897" s="234">
        <f>IFERROR(__xludf.DUMMYFUNCTION("""COMPUTED_VALUE"""),23.0)</f>
        <v>23</v>
      </c>
      <c r="E4897" s="237" t="str">
        <f>IFERROR(__xludf.DUMMYFUNCTION("""COMPUTED_VALUE"""),"LT0Q1F01W92X1")</f>
        <v>LT0Q1F01W92X1</v>
      </c>
      <c r="F4897" s="238" t="str">
        <f>IFERROR(__xludf.DUMMYFUNCTION("""COMPUTED_VALUE"""),"TME3B67,RXK1F70")</f>
        <v>TME3B67,RXK1F70</v>
      </c>
      <c r="G4897" s="238">
        <f>IFERROR(__xludf.DUMMYFUNCTION("""COMPUTED_VALUE"""),46037.83333333333)</f>
        <v>46037.83333</v>
      </c>
      <c r="H4897" s="238">
        <f>IFERROR(__xludf.DUMMYFUNCTION("""COMPUTED_VALUE"""),46038.20833333333)</f>
        <v>46038.20833</v>
      </c>
      <c r="I4897" s="237" t="str">
        <f t="shared" si="1"/>
        <v>Fora</v>
      </c>
      <c r="J4897" s="239">
        <v>538.9999999967404</v>
      </c>
    </row>
    <row r="4898">
      <c r="A4898" s="234" t="s">
        <v>922</v>
      </c>
      <c r="B4898" s="234" t="str">
        <f>IFERROR(__xludf.DUMMYFUNCTION("""COMPUTED_VALUE"""),"SoC_SP_Cravinhos")</f>
        <v>SoC_SP_Cravinhos</v>
      </c>
      <c r="C4898" s="234" t="str">
        <f>IFERROR(__xludf.DUMMYFUNCTION("""COMPUTED_VALUE"""),"SOC-SP5")</f>
        <v>SOC-SP5</v>
      </c>
      <c r="D4898" s="234">
        <f>IFERROR(__xludf.DUMMYFUNCTION("""COMPUTED_VALUE"""),94.0)</f>
        <v>94</v>
      </c>
      <c r="E4898" s="237" t="str">
        <f>IFERROR(__xludf.DUMMYFUNCTION("""COMPUTED_VALUE"""),"LT0Q1F01WIBD1")</f>
        <v>LT0Q1F01WIBD1</v>
      </c>
      <c r="F4898" s="238" t="str">
        <f>IFERROR(__xludf.DUMMYFUNCTION("""COMPUTED_VALUE"""),"JCP2F42,EFW4A01")</f>
        <v>JCP2F42,EFW4A01</v>
      </c>
      <c r="G4898" s="238">
        <f>IFERROR(__xludf.DUMMYFUNCTION("""COMPUTED_VALUE"""),46037.834027777775)</f>
        <v>46037.83403</v>
      </c>
      <c r="H4898" s="238">
        <f>IFERROR(__xludf.DUMMYFUNCTION("""COMPUTED_VALUE"""),46038.20833333333)</f>
        <v>46038.20833</v>
      </c>
      <c r="I4898" s="237" t="str">
        <f t="shared" si="1"/>
        <v>Fora</v>
      </c>
      <c r="J4898" s="239">
        <v>537.9999999934807</v>
      </c>
    </row>
    <row r="4899">
      <c r="A4899" s="234" t="s">
        <v>5870</v>
      </c>
      <c r="B4899" s="234" t="str">
        <f>IFERROR(__xludf.DUMMYFUNCTION("""COMPUTED_VALUE"""),"SoC_RJ_Duque de Caxias")</f>
        <v>SoC_RJ_Duque de Caxias</v>
      </c>
      <c r="C4899" s="234" t="str">
        <f>IFERROR(__xludf.DUMMYFUNCTION("""COMPUTED_VALUE"""),"SOC-RJ2")</f>
        <v>SOC-RJ2</v>
      </c>
      <c r="D4899" s="234">
        <f>IFERROR(__xludf.DUMMYFUNCTION("""COMPUTED_VALUE"""),97.0)</f>
        <v>97</v>
      </c>
      <c r="E4899" s="237" t="str">
        <f>IFERROR(__xludf.DUMMYFUNCTION("""COMPUTED_VALUE"""),"LT0Q1F01WBFI1")</f>
        <v>LT0Q1F01WBFI1</v>
      </c>
      <c r="F4899" s="238" t="str">
        <f>IFERROR(__xludf.DUMMYFUNCTION("""COMPUTED_VALUE"""),"FXK2E00,NLQ2F75")</f>
        <v>FXK2E00,NLQ2F75</v>
      </c>
      <c r="G4899" s="238">
        <f>IFERROR(__xludf.DUMMYFUNCTION("""COMPUTED_VALUE"""),46037.83472222222)</f>
        <v>46037.83472</v>
      </c>
      <c r="H4899" s="238">
        <f>IFERROR(__xludf.DUMMYFUNCTION("""COMPUTED_VALUE"""),46038.20833333333)</f>
        <v>46038.20833</v>
      </c>
      <c r="I4899" s="237" t="str">
        <f t="shared" si="1"/>
        <v>Fora</v>
      </c>
      <c r="J4899" s="239">
        <v>536.9999999902211</v>
      </c>
    </row>
    <row r="4900">
      <c r="A4900" s="234" t="s">
        <v>921</v>
      </c>
      <c r="B4900" s="234" t="str">
        <f>IFERROR(__xludf.DUMMYFUNCTION("""COMPUTED_VALUE"""),"SoC_MG_Betim")</f>
        <v>SoC_MG_Betim</v>
      </c>
      <c r="C4900" s="234" t="str">
        <f>IFERROR(__xludf.DUMMYFUNCTION("""COMPUTED_VALUE"""),"SOC-MG2")</f>
        <v>SOC-MG2</v>
      </c>
      <c r="D4900" s="234">
        <f>IFERROR(__xludf.DUMMYFUNCTION("""COMPUTED_VALUE"""),90.0)</f>
        <v>90</v>
      </c>
      <c r="E4900" s="237" t="str">
        <f>IFERROR(__xludf.DUMMYFUNCTION("""COMPUTED_VALUE"""),"LT0Q1F01WIBA1")</f>
        <v>LT0Q1F01WIBA1</v>
      </c>
      <c r="F4900" s="238" t="str">
        <f>IFERROR(__xludf.DUMMYFUNCTION("""COMPUTED_VALUE"""),"RLG6F20,FSD8H43")</f>
        <v>RLG6F20,FSD8H43</v>
      </c>
      <c r="G4900" s="238">
        <f>IFERROR(__xludf.DUMMYFUNCTION("""COMPUTED_VALUE"""),46037.83541666667)</f>
        <v>46037.83542</v>
      </c>
      <c r="H4900" s="238">
        <f>IFERROR(__xludf.DUMMYFUNCTION("""COMPUTED_VALUE"""),46038.20833333333)</f>
        <v>46038.20833</v>
      </c>
      <c r="I4900" s="237" t="str">
        <f t="shared" si="1"/>
        <v>Fora</v>
      </c>
      <c r="J4900" s="239">
        <v>180.0</v>
      </c>
    </row>
    <row r="4901">
      <c r="A4901" s="234" t="s">
        <v>5871</v>
      </c>
      <c r="B4901" s="234" t="str">
        <f>IFERROR(__xludf.DUMMYFUNCTION("""COMPUTED_VALUE"""),"SoC_SP_Santana")</f>
        <v>SoC_SP_Santana</v>
      </c>
      <c r="C4901" s="234" t="str">
        <f>IFERROR(__xludf.DUMMYFUNCTION("""COMPUTED_VALUE"""),"SOC-SP2")</f>
        <v>SOC-SP2</v>
      </c>
      <c r="D4901" s="234"/>
      <c r="E4901" s="237" t="str">
        <f>IFERROR(__xludf.DUMMYFUNCTION("""COMPUTED_VALUE"""),"LT0Q1G01W9OS1")</f>
        <v>LT0Q1G01W9OS1</v>
      </c>
      <c r="F4901" s="238" t="str">
        <f>IFERROR(__xludf.DUMMYFUNCTION("""COMPUTED_VALUE"""),"-")</f>
        <v>-</v>
      </c>
      <c r="G4901" s="238">
        <f>IFERROR(__xludf.DUMMYFUNCTION("""COMPUTED_VALUE"""),46038.08333333333)</f>
        <v>46038.08333</v>
      </c>
      <c r="H4901" s="238">
        <f>IFERROR(__xludf.DUMMYFUNCTION("""COMPUTED_VALUE"""),46038.20833333333)</f>
        <v>46038.20833</v>
      </c>
      <c r="I4901" s="237" t="str">
        <f t="shared" si="1"/>
        <v>Fora</v>
      </c>
      <c r="J4901" s="239">
        <v>119.99999999301508</v>
      </c>
    </row>
    <row r="4902">
      <c r="A4902" s="234" t="s">
        <v>5872</v>
      </c>
      <c r="B4902" s="234" t="str">
        <f>IFERROR(__xludf.DUMMYFUNCTION("""COMPUTED_VALUE"""),"LM Hub_SP_Itapeva")</f>
        <v>LM Hub_SP_Itapeva</v>
      </c>
      <c r="C4902" s="234" t="str">
        <f>IFERROR(__xludf.DUMMYFUNCTION("""COMPUTED_VALUE"""),"HUB-LSP-39")</f>
        <v>HUB-LSP-39</v>
      </c>
      <c r="D4902" s="234">
        <f>IFERROR(__xludf.DUMMYFUNCTION("""COMPUTED_VALUE"""),6.0)</f>
        <v>6</v>
      </c>
      <c r="E4902" s="237" t="str">
        <f>IFERROR(__xludf.DUMMYFUNCTION("""COMPUTED_VALUE"""),"LT0Q1G01W99A1")</f>
        <v>LT0Q1G01W99A1</v>
      </c>
      <c r="F4902" s="238" t="str">
        <f>IFERROR(__xludf.DUMMYFUNCTION("""COMPUTED_VALUE"""),"FCT0F31")</f>
        <v>FCT0F31</v>
      </c>
      <c r="G4902" s="238">
        <f>IFERROR(__xludf.DUMMYFUNCTION("""COMPUTED_VALUE"""),46038.125)</f>
        <v>46038.125</v>
      </c>
      <c r="H4902" s="238">
        <f>IFERROR(__xludf.DUMMYFUNCTION("""COMPUTED_VALUE"""),46038.20833333333)</f>
        <v>46038.20833</v>
      </c>
      <c r="I4902" s="237" t="str">
        <f t="shared" si="1"/>
        <v>Fora</v>
      </c>
      <c r="J4902" s="239">
        <v>119.99999999301508</v>
      </c>
    </row>
    <row r="4903">
      <c r="A4903" s="234" t="s">
        <v>5873</v>
      </c>
      <c r="B4903" s="234" t="str">
        <f>IFERROR(__xludf.DUMMYFUNCTION("""COMPUTED_VALUE"""),"LM Hub_SP_Sumaré_Nova Veneza_1")</f>
        <v>LM Hub_SP_Sumaré_Nova Veneza_1</v>
      </c>
      <c r="C4903" s="234" t="str">
        <f>IFERROR(__xludf.DUMMYFUNCTION("""COMPUTED_VALUE"""),"HUB-LSP-88")</f>
        <v>HUB-LSP-88</v>
      </c>
      <c r="D4903" s="234">
        <f>IFERROR(__xludf.DUMMYFUNCTION("""COMPUTED_VALUE"""),49.0)</f>
        <v>49</v>
      </c>
      <c r="E4903" s="237" t="str">
        <f>IFERROR(__xludf.DUMMYFUNCTION("""COMPUTED_VALUE"""),"LT0Q1G01WEDP1")</f>
        <v>LT0Q1G01WEDP1</v>
      </c>
      <c r="F4903" s="238" t="str">
        <f>IFERROR(__xludf.DUMMYFUNCTION("""COMPUTED_VALUE"""),"TLW1F27")</f>
        <v>TLW1F27</v>
      </c>
      <c r="G4903" s="238">
        <f>IFERROR(__xludf.DUMMYFUNCTION("""COMPUTED_VALUE"""),46038.125)</f>
        <v>46038.125</v>
      </c>
      <c r="H4903" s="238">
        <f>IFERROR(__xludf.DUMMYFUNCTION("""COMPUTED_VALUE"""),46038.20833333333)</f>
        <v>46038.20833</v>
      </c>
      <c r="I4903" s="237" t="str">
        <f t="shared" si="1"/>
        <v>Fora</v>
      </c>
      <c r="J4903" s="239">
        <v>119.99999999301508</v>
      </c>
    </row>
    <row r="4904">
      <c r="A4904" s="234" t="s">
        <v>923</v>
      </c>
      <c r="B4904" s="234" t="str">
        <f>IFERROR(__xludf.DUMMYFUNCTION("""COMPUTED_VALUE"""),"SoC_PR_Curitiba")</f>
        <v>SoC_PR_Curitiba</v>
      </c>
      <c r="C4904" s="234" t="str">
        <f>IFERROR(__xludf.DUMMYFUNCTION("""COMPUTED_VALUE"""),"SOC-PR1")</f>
        <v>SOC-PR1</v>
      </c>
      <c r="D4904" s="234">
        <f>IFERROR(__xludf.DUMMYFUNCTION("""COMPUTED_VALUE"""),19.0)</f>
        <v>19</v>
      </c>
      <c r="E4904" s="237" t="str">
        <f>IFERROR(__xludf.DUMMYFUNCTION("""COMPUTED_VALUE"""),"LT0Q1G01W93Y1")</f>
        <v>LT0Q1G01W93Y1</v>
      </c>
      <c r="F4904" s="238" t="str">
        <f>IFERROR(__xludf.DUMMYFUNCTION("""COMPUTED_VALUE"""),"SDS9C87,TLG8D55")</f>
        <v>SDS9C87,TLG8D55</v>
      </c>
      <c r="G4904" s="238">
        <f>IFERROR(__xludf.DUMMYFUNCTION("""COMPUTED_VALUE"""),46038.125)</f>
        <v>46038.125</v>
      </c>
      <c r="H4904" s="238">
        <f>IFERROR(__xludf.DUMMYFUNCTION("""COMPUTED_VALUE"""),46038.20833333333)</f>
        <v>46038.20833</v>
      </c>
      <c r="I4904" s="237" t="str">
        <f t="shared" si="1"/>
        <v>Fora</v>
      </c>
      <c r="J4904" s="239">
        <v>119.99999999301508</v>
      </c>
    </row>
    <row r="4905">
      <c r="A4905" s="234" t="s">
        <v>924</v>
      </c>
      <c r="B4905" s="234" t="str">
        <f>IFERROR(__xludf.DUMMYFUNCTION("""COMPUTED_VALUE"""),"SoC_RS_Gravataí_02")</f>
        <v>SoC_RS_Gravataí_02</v>
      </c>
      <c r="C4905" s="234" t="str">
        <f>IFERROR(__xludf.DUMMYFUNCTION("""COMPUTED_VALUE"""),"SOC-RS2")</f>
        <v>SOC-RS2</v>
      </c>
      <c r="D4905" s="234">
        <f>IFERROR(__xludf.DUMMYFUNCTION("""COMPUTED_VALUE"""),102.0)</f>
        <v>102</v>
      </c>
      <c r="E4905" s="237" t="str">
        <f>IFERROR(__xludf.DUMMYFUNCTION("""COMPUTED_VALUE"""),"LT1Q1G01WQ0D1")</f>
        <v>LT1Q1G01WQ0D1</v>
      </c>
      <c r="F4905" s="238" t="str">
        <f>IFERROR(__xludf.DUMMYFUNCTION("""COMPUTED_VALUE"""),"AQS8J82,IOP7263")</f>
        <v>AQS8J82,IOP7263</v>
      </c>
      <c r="G4905" s="238">
        <f>IFERROR(__xludf.DUMMYFUNCTION("""COMPUTED_VALUE"""),46038.125)</f>
        <v>46038.125</v>
      </c>
      <c r="H4905" s="238">
        <f>IFERROR(__xludf.DUMMYFUNCTION("""COMPUTED_VALUE"""),46038.20833333333)</f>
        <v>46038.20833</v>
      </c>
      <c r="I4905" s="237" t="str">
        <f t="shared" si="1"/>
        <v>Fora</v>
      </c>
      <c r="J4905" s="239">
        <v>120.00000001396984</v>
      </c>
    </row>
    <row r="4906">
      <c r="A4906" s="234" t="s">
        <v>5874</v>
      </c>
      <c r="B4906" s="234" t="str">
        <f>IFERROR(__xludf.DUMMYFUNCTION("""COMPUTED_VALUE"""),"LM Hub_SP_Mogi Mirim")</f>
        <v>LM Hub_SP_Mogi Mirim</v>
      </c>
      <c r="C4906" s="234" t="str">
        <f>IFERROR(__xludf.DUMMYFUNCTION("""COMPUTED_VALUE"""),"HUB-LSP-37")</f>
        <v>HUB-LSP-37</v>
      </c>
      <c r="D4906" s="234">
        <f>IFERROR(__xludf.DUMMYFUNCTION("""COMPUTED_VALUE"""),35.0)</f>
        <v>35</v>
      </c>
      <c r="E4906" s="237" t="str">
        <f>IFERROR(__xludf.DUMMYFUNCTION("""COMPUTED_VALUE"""),"LT0Q1G01W9C31")</f>
        <v>LT0Q1G01W9C31</v>
      </c>
      <c r="F4906" s="238" t="str">
        <f>IFERROR(__xludf.DUMMYFUNCTION("""COMPUTED_VALUE"""),"RYF7D49")</f>
        <v>RYF7D49</v>
      </c>
      <c r="G4906" s="238">
        <f>IFERROR(__xludf.DUMMYFUNCTION("""COMPUTED_VALUE"""),46038.14583333333)</f>
        <v>46038.14583</v>
      </c>
      <c r="H4906" s="238">
        <f>IFERROR(__xludf.DUMMYFUNCTION("""COMPUTED_VALUE"""),46038.22916666667)</f>
        <v>46038.22917</v>
      </c>
      <c r="I4906" s="237" t="str">
        <f t="shared" si="1"/>
        <v>Fora</v>
      </c>
      <c r="J4906" s="239">
        <v>120.00000001396984</v>
      </c>
    </row>
    <row r="4907">
      <c r="A4907" s="234" t="s">
        <v>5875</v>
      </c>
      <c r="B4907" s="234" t="str">
        <f>IFERROR(__xludf.DUMMYFUNCTION("""COMPUTED_VALUE"""),"LM Hub_SP_Osasco_02")</f>
        <v>LM Hub_SP_Osasco_02</v>
      </c>
      <c r="C4907" s="234" t="str">
        <f>IFERROR(__xludf.DUMMYFUNCTION("""COMPUTED_VALUE"""),"HUB-LSP-60")</f>
        <v>HUB-LSP-60</v>
      </c>
      <c r="D4907" s="234">
        <f>IFERROR(__xludf.DUMMYFUNCTION("""COMPUTED_VALUE"""),12.0)</f>
        <v>12</v>
      </c>
      <c r="E4907" s="237" t="str">
        <f>IFERROR(__xludf.DUMMYFUNCTION("""COMPUTED_VALUE"""),"LT0Q1G01WACW1")</f>
        <v>LT0Q1G01WACW1</v>
      </c>
      <c r="F4907" s="238" t="str">
        <f>IFERROR(__xludf.DUMMYFUNCTION("""COMPUTED_VALUE"""),"FEU6H63")</f>
        <v>FEU6H63</v>
      </c>
      <c r="G4907" s="238">
        <f>IFERROR(__xludf.DUMMYFUNCTION("""COMPUTED_VALUE"""),46038.14583333333)</f>
        <v>46038.14583</v>
      </c>
      <c r="H4907" s="238">
        <f>IFERROR(__xludf.DUMMYFUNCTION("""COMPUTED_VALUE"""),46038.22916666667)</f>
        <v>46038.22917</v>
      </c>
      <c r="I4907" s="237" t="str">
        <f t="shared" si="1"/>
        <v>Fora</v>
      </c>
      <c r="J4907" s="239">
        <v>119.00000001071021</v>
      </c>
    </row>
    <row r="4908">
      <c r="A4908" s="234" t="s">
        <v>5876</v>
      </c>
      <c r="B4908" s="234" t="str">
        <f>IFERROR(__xludf.DUMMYFUNCTION("""COMPUTED_VALUE"""),"LM Hub_SP_Sorocaba_Região Norte")</f>
        <v>LM Hub_SP_Sorocaba_Região Norte</v>
      </c>
      <c r="C4908" s="234" t="str">
        <f>IFERROR(__xludf.DUMMYFUNCTION("""COMPUTED_VALUE"""),"HUB-LSP-10")</f>
        <v>HUB-LSP-10</v>
      </c>
      <c r="D4908" s="234">
        <f>IFERROR(__xludf.DUMMYFUNCTION("""COMPUTED_VALUE"""),7.0)</f>
        <v>7</v>
      </c>
      <c r="E4908" s="237" t="str">
        <f>IFERROR(__xludf.DUMMYFUNCTION("""COMPUTED_VALUE"""),"LT0Q1G01W9AX1")</f>
        <v>LT0Q1G01W9AX1</v>
      </c>
      <c r="F4908" s="238" t="str">
        <f>IFERROR(__xludf.DUMMYFUNCTION("""COMPUTED_VALUE"""),"DNU8E03,MGA6B94")</f>
        <v>DNU8E03,MGA6B94</v>
      </c>
      <c r="G4908" s="238">
        <f>IFERROR(__xludf.DUMMYFUNCTION("""COMPUTED_VALUE"""),46038.146527777775)</f>
        <v>46038.14653</v>
      </c>
      <c r="H4908" s="238">
        <f>IFERROR(__xludf.DUMMYFUNCTION("""COMPUTED_VALUE"""),46038.22916666667)</f>
        <v>46038.22917</v>
      </c>
      <c r="I4908" s="237" t="str">
        <f t="shared" si="1"/>
        <v>Fora</v>
      </c>
      <c r="J4908" s="239">
        <v>118.00000000745058</v>
      </c>
    </row>
    <row r="4909">
      <c r="A4909" s="234" t="s">
        <v>5877</v>
      </c>
      <c r="B4909" s="234" t="str">
        <f>IFERROR(__xludf.DUMMYFUNCTION("""COMPUTED_VALUE"""),"LM Hub_SP_Campinas_São Martinho")</f>
        <v>LM Hub_SP_Campinas_São Martinho</v>
      </c>
      <c r="C4909" s="234" t="str">
        <f>IFERROR(__xludf.DUMMYFUNCTION("""COMPUTED_VALUE"""),"HUB-LSP-19")</f>
        <v>HUB-LSP-19</v>
      </c>
      <c r="D4909" s="234">
        <f>IFERROR(__xludf.DUMMYFUNCTION("""COMPUTED_VALUE"""),21.0)</f>
        <v>21</v>
      </c>
      <c r="E4909" s="237" t="str">
        <f>IFERROR(__xludf.DUMMYFUNCTION("""COMPUTED_VALUE"""),"LT0Q1G01W9DS1")</f>
        <v>LT0Q1G01W9DS1</v>
      </c>
      <c r="F4909" s="238" t="str">
        <f>IFERROR(__xludf.DUMMYFUNCTION("""COMPUTED_VALUE"""),"BCA0G86")</f>
        <v>BCA0G86</v>
      </c>
      <c r="G4909" s="238">
        <f>IFERROR(__xludf.DUMMYFUNCTION("""COMPUTED_VALUE"""),46038.14722222222)</f>
        <v>46038.14722</v>
      </c>
      <c r="H4909" s="238">
        <f>IFERROR(__xludf.DUMMYFUNCTION("""COMPUTED_VALUE"""),46038.22916666667)</f>
        <v>46038.22917</v>
      </c>
      <c r="I4909" s="237" t="str">
        <f t="shared" si="1"/>
        <v>Fora</v>
      </c>
      <c r="J4909" s="239">
        <v>119.99999999301508</v>
      </c>
    </row>
    <row r="4910">
      <c r="A4910" s="234" t="s">
        <v>5878</v>
      </c>
      <c r="B4910" s="234" t="str">
        <f>IFERROR(__xludf.DUMMYFUNCTION("""COMPUTED_VALUE"""),"LM Hub_SP_Jurubatuba")</f>
        <v>LM Hub_SP_Jurubatuba</v>
      </c>
      <c r="C4910" s="234" t="str">
        <f>IFERROR(__xludf.DUMMYFUNCTION("""COMPUTED_VALUE"""),"HUB-LSP-16")</f>
        <v>HUB-LSP-16</v>
      </c>
      <c r="D4910" s="234">
        <f>IFERROR(__xludf.DUMMYFUNCTION("""COMPUTED_VALUE"""),29.0)</f>
        <v>29</v>
      </c>
      <c r="E4910" s="237" t="str">
        <f>IFERROR(__xludf.DUMMYFUNCTION("""COMPUTED_VALUE"""),"LT1Q1G01WQOZ1")</f>
        <v>LT1Q1G01WQOZ1</v>
      </c>
      <c r="F4910" s="238" t="str">
        <f>IFERROR(__xludf.DUMMYFUNCTION("""COMPUTED_VALUE"""),"GFP1C85,UDW9B60")</f>
        <v>GFP1C85,UDW9B60</v>
      </c>
      <c r="G4910" s="238">
        <f>IFERROR(__xludf.DUMMYFUNCTION("""COMPUTED_VALUE"""),46038.15277777778)</f>
        <v>46038.15278</v>
      </c>
      <c r="H4910" s="238">
        <f>IFERROR(__xludf.DUMMYFUNCTION("""COMPUTED_VALUE"""),46038.23611111111)</f>
        <v>46038.23611</v>
      </c>
      <c r="I4910" s="237" t="str">
        <f t="shared" si="1"/>
        <v>Fora</v>
      </c>
      <c r="J4910" s="239">
        <v>479.9999999930151</v>
      </c>
    </row>
    <row r="4911">
      <c r="A4911" s="234" t="s">
        <v>5879</v>
      </c>
      <c r="B4911" s="234" t="str">
        <f>IFERROR(__xludf.DUMMYFUNCTION("""COMPUTED_VALUE"""),"SoC_SP_Cravinhos")</f>
        <v>SoC_SP_Cravinhos</v>
      </c>
      <c r="C4911" s="234" t="str">
        <f>IFERROR(__xludf.DUMMYFUNCTION("""COMPUTED_VALUE"""),"SOC-SP5")</f>
        <v>SOC-SP5</v>
      </c>
      <c r="D4911" s="234">
        <f>IFERROR(__xludf.DUMMYFUNCTION("""COMPUTED_VALUE"""),94.0)</f>
        <v>94</v>
      </c>
      <c r="E4911" s="237" t="str">
        <f>IFERROR(__xludf.DUMMYFUNCTION("""COMPUTED_VALUE"""),"LT1Q1F01WPC41")</f>
        <v>LT1Q1F01WPC41</v>
      </c>
      <c r="F4911" s="238" t="str">
        <f>IFERROR(__xludf.DUMMYFUNCTION("""COMPUTED_VALUE"""),"FWC2F11,FWB4F06")</f>
        <v>FWC2F11,FWB4F06</v>
      </c>
      <c r="G4911" s="238">
        <f>IFERROR(__xludf.DUMMYFUNCTION("""COMPUTED_VALUE"""),46037.91666666667)</f>
        <v>46037.91667</v>
      </c>
      <c r="H4911" s="238">
        <f>IFERROR(__xludf.DUMMYFUNCTION("""COMPUTED_VALUE"""),46038.25)</f>
        <v>46038.25</v>
      </c>
      <c r="I4911" s="237" t="str">
        <f t="shared" si="1"/>
        <v>Fora</v>
      </c>
      <c r="J4911" s="239">
        <v>119.99999999301508</v>
      </c>
    </row>
    <row r="4912">
      <c r="A4912" s="234" t="s">
        <v>925</v>
      </c>
      <c r="B4912" s="234" t="str">
        <f>IFERROR(__xludf.DUMMYFUNCTION("""COMPUTED_VALUE"""),"LM Hub_SP_Limeira_Campo Belo")</f>
        <v>LM Hub_SP_Limeira_Campo Belo</v>
      </c>
      <c r="C4912" s="234" t="str">
        <f>IFERROR(__xludf.DUMMYFUNCTION("""COMPUTED_VALUE"""),"HUB-LSP-24")</f>
        <v>HUB-LSP-24</v>
      </c>
      <c r="D4912" s="234">
        <f>IFERROR(__xludf.DUMMYFUNCTION("""COMPUTED_VALUE"""),18.0)</f>
        <v>18</v>
      </c>
      <c r="E4912" s="237" t="str">
        <f>IFERROR(__xludf.DUMMYFUNCTION("""COMPUTED_VALUE"""),"LT0Q1G01W9BA1")</f>
        <v>LT0Q1G01W9BA1</v>
      </c>
      <c r="F4912" s="238" t="str">
        <f>IFERROR(__xludf.DUMMYFUNCTION("""COMPUTED_VALUE"""),"UDI0A98")</f>
        <v>UDI0A98</v>
      </c>
      <c r="G4912" s="238">
        <f>IFERROR(__xludf.DUMMYFUNCTION("""COMPUTED_VALUE"""),46038.16666666667)</f>
        <v>46038.16667</v>
      </c>
      <c r="H4912" s="238">
        <f>IFERROR(__xludf.DUMMYFUNCTION("""COMPUTED_VALUE"""),46038.25)</f>
        <v>46038.25</v>
      </c>
      <c r="I4912" s="237" t="str">
        <f t="shared" si="1"/>
        <v>Fora</v>
      </c>
      <c r="J4912" s="239">
        <v>119.99999999301508</v>
      </c>
    </row>
    <row r="4913">
      <c r="A4913" s="234" t="s">
        <v>926</v>
      </c>
      <c r="B4913" s="234" t="str">
        <f>IFERROR(__xludf.DUMMYFUNCTION("""COMPUTED_VALUE"""),"LM Hub_SP_São Bernardo do Campo")</f>
        <v>LM Hub_SP_São Bernardo do Campo</v>
      </c>
      <c r="C4913" s="234" t="str">
        <f>IFERROR(__xludf.DUMMYFUNCTION("""COMPUTED_VALUE"""),"HUB-LSP-79")</f>
        <v>HUB-LSP-79</v>
      </c>
      <c r="D4913" s="234">
        <f>IFERROR(__xludf.DUMMYFUNCTION("""COMPUTED_VALUE"""),27.0)</f>
        <v>27</v>
      </c>
      <c r="E4913" s="237" t="str">
        <f>IFERROR(__xludf.DUMMYFUNCTION("""COMPUTED_VALUE"""),"LT0Q1G01W9TD1")</f>
        <v>LT0Q1G01W9TD1</v>
      </c>
      <c r="F4913" s="238" t="str">
        <f>IFERROR(__xludf.DUMMYFUNCTION("""COMPUTED_VALUE"""),"DVS4I95")</f>
        <v>DVS4I95</v>
      </c>
      <c r="G4913" s="238">
        <f>IFERROR(__xludf.DUMMYFUNCTION("""COMPUTED_VALUE"""),46038.16666666667)</f>
        <v>46038.16667</v>
      </c>
      <c r="H4913" s="238">
        <f>IFERROR(__xludf.DUMMYFUNCTION("""COMPUTED_VALUE"""),46038.25)</f>
        <v>46038.25</v>
      </c>
      <c r="I4913" s="237" t="str">
        <f t="shared" si="1"/>
        <v>Fora</v>
      </c>
      <c r="J4913" s="239">
        <v>119.99999999301508</v>
      </c>
    </row>
    <row r="4914">
      <c r="A4914" s="234" t="s">
        <v>5880</v>
      </c>
      <c r="B4914" s="234" t="str">
        <f>IFERROR(__xludf.DUMMYFUNCTION("""COMPUTED_VALUE"""),"SoC_BA_Simoes Filho")</f>
        <v>SoC_BA_Simoes Filho</v>
      </c>
      <c r="C4914" s="234" t="str">
        <f>IFERROR(__xludf.DUMMYFUNCTION("""COMPUTED_VALUE"""),"SOC-BA2")</f>
        <v>SOC-BA2</v>
      </c>
      <c r="D4914" s="234"/>
      <c r="E4914" s="237" t="str">
        <f>IFERROR(__xludf.DUMMYFUNCTION("""COMPUTED_VALUE"""),"LT1Q1G01WQ0C1")</f>
        <v>LT1Q1G01WQ0C1</v>
      </c>
      <c r="F4914" s="238" t="str">
        <f>IFERROR(__xludf.DUMMYFUNCTION("""COMPUTED_VALUE"""),"BCQ7A23,FXS8E28")</f>
        <v>BCQ7A23,FXS8E28</v>
      </c>
      <c r="G4914" s="238">
        <f>IFERROR(__xludf.DUMMYFUNCTION("""COMPUTED_VALUE"""),46038.25)</f>
        <v>46038.25</v>
      </c>
      <c r="H4914" s="238">
        <f>IFERROR(__xludf.DUMMYFUNCTION("""COMPUTED_VALUE"""),46038.33333333333)</f>
        <v>46038.33333</v>
      </c>
      <c r="I4914" s="237" t="str">
        <f t="shared" si="1"/>
        <v>Fora</v>
      </c>
      <c r="J4914" s="239">
        <v>119.99999999301508</v>
      </c>
    </row>
    <row r="4915">
      <c r="A4915" s="234" t="s">
        <v>927</v>
      </c>
      <c r="B4915" s="234" t="str">
        <f>IFERROR(__xludf.DUMMYFUNCTION("""COMPUTED_VALUE"""),"SoC_GO_Goiânia_02")</f>
        <v>SoC_GO_Goiânia_02</v>
      </c>
      <c r="C4915" s="234" t="str">
        <f>IFERROR(__xludf.DUMMYFUNCTION("""COMPUTED_VALUE"""),"SOC-GO2")</f>
        <v>SOC-GO2</v>
      </c>
      <c r="D4915" s="234">
        <f>IFERROR(__xludf.DUMMYFUNCTION("""COMPUTED_VALUE"""),87.0)</f>
        <v>87</v>
      </c>
      <c r="E4915" s="237" t="str">
        <f>IFERROR(__xludf.DUMMYFUNCTION("""COMPUTED_VALUE"""),"LT1Q1G01WQ0G1")</f>
        <v>LT1Q1G01WQ0G1</v>
      </c>
      <c r="F4915" s="238" t="str">
        <f>IFERROR(__xludf.DUMMYFUNCTION("""COMPUTED_VALUE"""),"GIM5J15,GCN0F89")</f>
        <v>GIM5J15,GCN0F89</v>
      </c>
      <c r="G4915" s="238">
        <f>IFERROR(__xludf.DUMMYFUNCTION("""COMPUTED_VALUE"""),46038.16666666667)</f>
        <v>46038.16667</v>
      </c>
      <c r="H4915" s="238">
        <f>IFERROR(__xludf.DUMMYFUNCTION("""COMPUTED_VALUE"""),46038.25)</f>
        <v>46038.25</v>
      </c>
      <c r="I4915" s="237" t="str">
        <f t="shared" si="1"/>
        <v>Fora</v>
      </c>
      <c r="J4915" s="239">
        <v>119.99999999301508</v>
      </c>
    </row>
    <row r="4916">
      <c r="A4916" s="234" t="s">
        <v>5881</v>
      </c>
      <c r="B4916" s="234" t="str">
        <f>IFERROR(__xludf.DUMMYFUNCTION("""COMPUTED_VALUE"""),"SoC_MG_Betim")</f>
        <v>SoC_MG_Betim</v>
      </c>
      <c r="C4916" s="234" t="str">
        <f>IFERROR(__xludf.DUMMYFUNCTION("""COMPUTED_VALUE"""),"SOC-MG2")</f>
        <v>SOC-MG2</v>
      </c>
      <c r="D4916" s="234">
        <f>IFERROR(__xludf.DUMMYFUNCTION("""COMPUTED_VALUE"""),110.0)</f>
        <v>110</v>
      </c>
      <c r="E4916" s="237" t="str">
        <f>IFERROR(__xludf.DUMMYFUNCTION("""COMPUTED_VALUE"""),"LT1Q1G01WPSZ1")</f>
        <v>LT1Q1G01WPSZ1</v>
      </c>
      <c r="F4916" s="238" t="str">
        <f>IFERROR(__xludf.DUMMYFUNCTION("""COMPUTED_VALUE"""),"TPR2J26,RXK7E81")</f>
        <v>TPR2J26,RXK7E81</v>
      </c>
      <c r="G4916" s="238">
        <f>IFERROR(__xludf.DUMMYFUNCTION("""COMPUTED_VALUE"""),46038.16666666667)</f>
        <v>46038.16667</v>
      </c>
      <c r="H4916" s="238">
        <f>IFERROR(__xludf.DUMMYFUNCTION("""COMPUTED_VALUE"""),46038.25)</f>
        <v>46038.25</v>
      </c>
      <c r="I4916" s="237" t="str">
        <f t="shared" si="1"/>
        <v>Fora</v>
      </c>
      <c r="J4916" s="239">
        <v>119.99999999301508</v>
      </c>
    </row>
    <row r="4917">
      <c r="A4917" s="234" t="s">
        <v>5882</v>
      </c>
      <c r="B4917" s="234" t="str">
        <f>IFERROR(__xludf.DUMMYFUNCTION("""COMPUTED_VALUE"""),"SoC_MG_Betim")</f>
        <v>SoC_MG_Betim</v>
      </c>
      <c r="C4917" s="234" t="str">
        <f>IFERROR(__xludf.DUMMYFUNCTION("""COMPUTED_VALUE"""),"SOC-MG2")</f>
        <v>SOC-MG2</v>
      </c>
      <c r="D4917" s="234">
        <f>IFERROR(__xludf.DUMMYFUNCTION("""COMPUTED_VALUE"""),114.0)</f>
        <v>114</v>
      </c>
      <c r="E4917" s="237" t="str">
        <f>IFERROR(__xludf.DUMMYFUNCTION("""COMPUTED_VALUE"""),"LT1Q1G01WQ071")</f>
        <v>LT1Q1G01WQ071</v>
      </c>
      <c r="F4917" s="238" t="str">
        <f>IFERROR(__xludf.DUMMYFUNCTION("""COMPUTED_VALUE"""),"RYD0E73,RYW2B94")</f>
        <v>RYD0E73,RYW2B94</v>
      </c>
      <c r="G4917" s="238">
        <f>IFERROR(__xludf.DUMMYFUNCTION("""COMPUTED_VALUE"""),46038.16666666667)</f>
        <v>46038.16667</v>
      </c>
      <c r="H4917" s="238">
        <f>IFERROR(__xludf.DUMMYFUNCTION("""COMPUTED_VALUE"""),46038.25)</f>
        <v>46038.25</v>
      </c>
      <c r="I4917" s="237" t="str">
        <f t="shared" si="1"/>
        <v>Fora</v>
      </c>
      <c r="J4917" s="239">
        <v>119.99999999301508</v>
      </c>
    </row>
    <row r="4918">
      <c r="A4918" s="234" t="s">
        <v>5883</v>
      </c>
      <c r="B4918" s="234" t="str">
        <f>IFERROR(__xludf.DUMMYFUNCTION("""COMPUTED_VALUE"""),"SoC_MG_Betim")</f>
        <v>SoC_MG_Betim</v>
      </c>
      <c r="C4918" s="234" t="str">
        <f>IFERROR(__xludf.DUMMYFUNCTION("""COMPUTED_VALUE"""),"SOC-MG2")</f>
        <v>SOC-MG2</v>
      </c>
      <c r="D4918" s="234">
        <f>IFERROR(__xludf.DUMMYFUNCTION("""COMPUTED_VALUE"""),114.0)</f>
        <v>114</v>
      </c>
      <c r="E4918" s="237" t="str">
        <f>IFERROR(__xludf.DUMMYFUNCTION("""COMPUTED_VALUE"""),"LT1Q1G01WPT01")</f>
        <v>LT1Q1G01WPT01</v>
      </c>
      <c r="F4918" s="238" t="str">
        <f>IFERROR(__xludf.DUMMYFUNCTION("""COMPUTED_VALUE"""),"RYS2F14,RYB6I25")</f>
        <v>RYS2F14,RYB6I25</v>
      </c>
      <c r="G4918" s="238">
        <f>IFERROR(__xludf.DUMMYFUNCTION("""COMPUTED_VALUE"""),46038.16666666667)</f>
        <v>46038.16667</v>
      </c>
      <c r="H4918" s="238">
        <f>IFERROR(__xludf.DUMMYFUNCTION("""COMPUTED_VALUE"""),46038.25)</f>
        <v>46038.25</v>
      </c>
      <c r="I4918" s="237" t="str">
        <f t="shared" si="1"/>
        <v>Fora</v>
      </c>
      <c r="J4918" s="239">
        <v>119.99999999301508</v>
      </c>
    </row>
    <row r="4919">
      <c r="A4919" s="234" t="s">
        <v>928</v>
      </c>
      <c r="B4919" s="234" t="str">
        <f>IFERROR(__xludf.DUMMYFUNCTION("""COMPUTED_VALUE"""),"SoC_MG_Betim")</f>
        <v>SoC_MG_Betim</v>
      </c>
      <c r="C4919" s="234" t="str">
        <f>IFERROR(__xludf.DUMMYFUNCTION("""COMPUTED_VALUE"""),"SOC-MG2")</f>
        <v>SOC-MG2</v>
      </c>
      <c r="D4919" s="234"/>
      <c r="E4919" s="237" t="str">
        <f>IFERROR(__xludf.DUMMYFUNCTION("""COMPUTED_VALUE"""),"LT1Q1G01WQ081")</f>
        <v>LT1Q1G01WQ081</v>
      </c>
      <c r="F4919" s="238" t="str">
        <f>IFERROR(__xludf.DUMMYFUNCTION("""COMPUTED_VALUE"""),"TPR2J26,TPW1I26")</f>
        <v>TPR2J26,TPW1I26</v>
      </c>
      <c r="G4919" s="238">
        <f>IFERROR(__xludf.DUMMYFUNCTION("""COMPUTED_VALUE"""),46038.16666666667)</f>
        <v>46038.16667</v>
      </c>
      <c r="H4919" s="238">
        <f>IFERROR(__xludf.DUMMYFUNCTION("""COMPUTED_VALUE"""),46038.25)</f>
        <v>46038.25</v>
      </c>
      <c r="I4919" s="237" t="str">
        <f t="shared" si="1"/>
        <v>Fora</v>
      </c>
      <c r="J4919" s="239">
        <v>119.99999999301508</v>
      </c>
    </row>
    <row r="4920">
      <c r="A4920" s="234" t="s">
        <v>5884</v>
      </c>
      <c r="B4920" s="234" t="str">
        <f>IFERROR(__xludf.DUMMYFUNCTION("""COMPUTED_VALUE"""),"SoC_MG_Betim")</f>
        <v>SoC_MG_Betim</v>
      </c>
      <c r="C4920" s="234" t="str">
        <f>IFERROR(__xludf.DUMMYFUNCTION("""COMPUTED_VALUE"""),"SOC-MG2")</f>
        <v>SOC-MG2</v>
      </c>
      <c r="D4920" s="234"/>
      <c r="E4920" s="237" t="str">
        <f>IFERROR(__xludf.DUMMYFUNCTION("""COMPUTED_VALUE"""),"LT1Q1G01WQ0T1")</f>
        <v>LT1Q1G01WQ0T1</v>
      </c>
      <c r="F4920" s="238" t="str">
        <f>IFERROR(__xludf.DUMMYFUNCTION("""COMPUTED_VALUE"""),"QPH3J14,FSM1G51")</f>
        <v>QPH3J14,FSM1G51</v>
      </c>
      <c r="G4920" s="238">
        <f>IFERROR(__xludf.DUMMYFUNCTION("""COMPUTED_VALUE"""),46038.16666666667)</f>
        <v>46038.16667</v>
      </c>
      <c r="H4920" s="238">
        <f>IFERROR(__xludf.DUMMYFUNCTION("""COMPUTED_VALUE"""),46038.25)</f>
        <v>46038.25</v>
      </c>
      <c r="I4920" s="237" t="str">
        <f t="shared" si="1"/>
        <v>Fora</v>
      </c>
      <c r="J4920" s="239">
        <v>119.99999999301508</v>
      </c>
    </row>
    <row r="4921">
      <c r="A4921" s="234" t="s">
        <v>929</v>
      </c>
      <c r="B4921" s="234" t="str">
        <f>IFERROR(__xludf.DUMMYFUNCTION("""COMPUTED_VALUE"""),"SoC_PR_Curitiba")</f>
        <v>SoC_PR_Curitiba</v>
      </c>
      <c r="C4921" s="234" t="str">
        <f>IFERROR(__xludf.DUMMYFUNCTION("""COMPUTED_VALUE"""),"SOC-PR1")</f>
        <v>SOC-PR1</v>
      </c>
      <c r="D4921" s="234"/>
      <c r="E4921" s="237" t="str">
        <f>IFERROR(__xludf.DUMMYFUNCTION("""COMPUTED_VALUE"""),"LT1Q1G01WP931")</f>
        <v>LT1Q1G01WP931</v>
      </c>
      <c r="F4921" s="238" t="str">
        <f>IFERROR(__xludf.DUMMYFUNCTION("""COMPUTED_VALUE"""),"RAG7228,RYZ0F99")</f>
        <v>RAG7228,RYZ0F99</v>
      </c>
      <c r="G4921" s="238">
        <f>IFERROR(__xludf.DUMMYFUNCTION("""COMPUTED_VALUE"""),46038.16666666667)</f>
        <v>46038.16667</v>
      </c>
      <c r="H4921" s="238">
        <f>IFERROR(__xludf.DUMMYFUNCTION("""COMPUTED_VALUE"""),46038.25)</f>
        <v>46038.25</v>
      </c>
      <c r="I4921" s="237" t="str">
        <f t="shared" si="1"/>
        <v>Fora</v>
      </c>
      <c r="J4921" s="239">
        <v>119.99999999301508</v>
      </c>
    </row>
    <row r="4922">
      <c r="A4922" s="234" t="s">
        <v>931</v>
      </c>
      <c r="B4922" s="234" t="str">
        <f>IFERROR(__xludf.DUMMYFUNCTION("""COMPUTED_VALUE"""),"SoC_RS_Gravataí_02")</f>
        <v>SoC_RS_Gravataí_02</v>
      </c>
      <c r="C4922" s="234" t="str">
        <f>IFERROR(__xludf.DUMMYFUNCTION("""COMPUTED_VALUE"""),"SOC-RS2")</f>
        <v>SOC-RS2</v>
      </c>
      <c r="D4922" s="234">
        <f>IFERROR(__xludf.DUMMYFUNCTION("""COMPUTED_VALUE"""),112.0)</f>
        <v>112</v>
      </c>
      <c r="E4922" s="237" t="str">
        <f>IFERROR(__xludf.DUMMYFUNCTION("""COMPUTED_VALUE"""),"LT1Q1G01WQ0W1")</f>
        <v>LT1Q1G01WQ0W1</v>
      </c>
      <c r="F4922" s="238" t="str">
        <f>IFERROR(__xludf.DUMMYFUNCTION("""COMPUTED_VALUE"""),"JBO7E09,SXM2E25")</f>
        <v>JBO7E09,SXM2E25</v>
      </c>
      <c r="G4922" s="238">
        <f>IFERROR(__xludf.DUMMYFUNCTION("""COMPUTED_VALUE"""),46038.16666666667)</f>
        <v>46038.16667</v>
      </c>
      <c r="H4922" s="238">
        <f>IFERROR(__xludf.DUMMYFUNCTION("""COMPUTED_VALUE"""),46038.25)</f>
        <v>46038.25</v>
      </c>
      <c r="I4922" s="237" t="str">
        <f t="shared" si="1"/>
        <v>Fora</v>
      </c>
      <c r="J4922" s="239">
        <v>119.99999999301508</v>
      </c>
    </row>
    <row r="4923">
      <c r="A4923" s="234" t="s">
        <v>932</v>
      </c>
      <c r="B4923" s="234" t="str">
        <f>IFERROR(__xludf.DUMMYFUNCTION("""COMPUTED_VALUE"""),"SoC_SC_Itajaí")</f>
        <v>SoC_SC_Itajaí</v>
      </c>
      <c r="C4923" s="234" t="str">
        <f>IFERROR(__xludf.DUMMYFUNCTION("""COMPUTED_VALUE"""),"SOC-SC1")</f>
        <v>SOC-SC1</v>
      </c>
      <c r="D4923" s="234">
        <f>IFERROR(__xludf.DUMMYFUNCTION("""COMPUTED_VALUE"""),100.0)</f>
        <v>100</v>
      </c>
      <c r="E4923" s="237" t="str">
        <f>IFERROR(__xludf.DUMMYFUNCTION("""COMPUTED_VALUE"""),"LT1Q1G01WP8G1")</f>
        <v>LT1Q1G01WP8G1</v>
      </c>
      <c r="F4923" s="238" t="str">
        <f>IFERROR(__xludf.DUMMYFUNCTION("""COMPUTED_VALUE"""),"EMT5A32,EMT6I61")</f>
        <v>EMT5A32,EMT6I61</v>
      </c>
      <c r="G4923" s="238">
        <f>IFERROR(__xludf.DUMMYFUNCTION("""COMPUTED_VALUE"""),46038.16666666667)</f>
        <v>46038.16667</v>
      </c>
      <c r="H4923" s="238">
        <f>IFERROR(__xludf.DUMMYFUNCTION("""COMPUTED_VALUE"""),46038.25)</f>
        <v>46038.25</v>
      </c>
      <c r="I4923" s="237" t="str">
        <f t="shared" si="1"/>
        <v>Fora</v>
      </c>
      <c r="J4923" s="239">
        <v>119.99999999301508</v>
      </c>
    </row>
    <row r="4924">
      <c r="A4924" s="234" t="s">
        <v>5885</v>
      </c>
      <c r="B4924" s="234" t="str">
        <f>IFERROR(__xludf.DUMMYFUNCTION("""COMPUTED_VALUE"""),"SoC_SP_Louveira")</f>
        <v>SoC_SP_Louveira</v>
      </c>
      <c r="C4924" s="234" t="str">
        <f>IFERROR(__xludf.DUMMYFUNCTION("""COMPUTED_VALUE"""),"SOC-SP7")</f>
        <v>SOC-SP7</v>
      </c>
      <c r="D4924" s="234">
        <f>IFERROR(__xludf.DUMMYFUNCTION("""COMPUTED_VALUE"""),8.0)</f>
        <v>8</v>
      </c>
      <c r="E4924" s="237" t="str">
        <f>IFERROR(__xludf.DUMMYFUNCTION("""COMPUTED_VALUE"""),"LT0Q1G01W95M1")</f>
        <v>LT0Q1G01W95M1</v>
      </c>
      <c r="F4924" s="238" t="str">
        <f>IFERROR(__xludf.DUMMYFUNCTION("""COMPUTED_VALUE"""),"FKB6C94,DVS4C82")</f>
        <v>FKB6C94,DVS4C82</v>
      </c>
      <c r="G4924" s="238">
        <f>IFERROR(__xludf.DUMMYFUNCTION("""COMPUTED_VALUE"""),46038.16666666667)</f>
        <v>46038.16667</v>
      </c>
      <c r="H4924" s="238">
        <f>IFERROR(__xludf.DUMMYFUNCTION("""COMPUTED_VALUE"""),46038.25)</f>
        <v>46038.25</v>
      </c>
      <c r="I4924" s="237" t="str">
        <f t="shared" si="1"/>
        <v>Fora</v>
      </c>
      <c r="J4924" s="239">
        <v>119.00000000023283</v>
      </c>
    </row>
    <row r="4925">
      <c r="A4925" s="234" t="s">
        <v>5886</v>
      </c>
      <c r="B4925" s="234" t="str">
        <f>IFERROR(__xludf.DUMMYFUNCTION("""COMPUTED_VALUE"""),"LM Hub_SP_Guaratinguetá")</f>
        <v>LM Hub_SP_Guaratinguetá</v>
      </c>
      <c r="C4925" s="234" t="str">
        <f>IFERROR(__xludf.DUMMYFUNCTION("""COMPUTED_VALUE"""),"HUB-LSP-33")</f>
        <v>HUB-LSP-33</v>
      </c>
      <c r="D4925" s="234"/>
      <c r="E4925" s="237" t="str">
        <f>IFERROR(__xludf.DUMMYFUNCTION("""COMPUTED_VALUE"""),"LT0Q1G01WIC71")</f>
        <v>LT0Q1G01WIC71</v>
      </c>
      <c r="F4925" s="238" t="str">
        <f>IFERROR(__xludf.DUMMYFUNCTION("""COMPUTED_VALUE"""),"FDZ3A56,KVS1392")</f>
        <v>FDZ3A56,KVS1392</v>
      </c>
      <c r="G4925" s="238">
        <f>IFERROR(__xludf.DUMMYFUNCTION("""COMPUTED_VALUE"""),46038.16736111111)</f>
        <v>46038.16736</v>
      </c>
      <c r="H4925" s="238">
        <f>IFERROR(__xludf.DUMMYFUNCTION("""COMPUTED_VALUE"""),46038.25)</f>
        <v>46038.25</v>
      </c>
      <c r="I4925" s="237" t="str">
        <f t="shared" si="1"/>
        <v>Fora</v>
      </c>
      <c r="J4925" s="239">
        <v>119.99999999301508</v>
      </c>
    </row>
    <row r="4926">
      <c r="A4926" s="234" t="s">
        <v>933</v>
      </c>
      <c r="B4926" s="234" t="str">
        <f>IFERROR(__xludf.DUMMYFUNCTION("""COMPUTED_VALUE"""),"LM Hub_SP_Atibaia_Ponte_Alta")</f>
        <v>LM Hub_SP_Atibaia_Ponte_Alta</v>
      </c>
      <c r="C4926" s="234" t="str">
        <f>IFERROR(__xludf.DUMMYFUNCTION("""COMPUTED_VALUE"""),"HUB-LSP-87")</f>
        <v>HUB-LSP-87</v>
      </c>
      <c r="D4926" s="234">
        <f>IFERROR(__xludf.DUMMYFUNCTION("""COMPUTED_VALUE"""),17.0)</f>
        <v>17</v>
      </c>
      <c r="E4926" s="237" t="str">
        <f>IFERROR(__xludf.DUMMYFUNCTION("""COMPUTED_VALUE"""),"LT0Q1G01WD621")</f>
        <v>LT0Q1G01WD621</v>
      </c>
      <c r="F4926" s="238" t="str">
        <f>IFERROR(__xludf.DUMMYFUNCTION("""COMPUTED_VALUE"""),"DBM1893")</f>
        <v>DBM1893</v>
      </c>
      <c r="G4926" s="238">
        <f>IFERROR(__xludf.DUMMYFUNCTION("""COMPUTED_VALUE"""),46038.1875)</f>
        <v>46038.1875</v>
      </c>
      <c r="H4926" s="238">
        <f>IFERROR(__xludf.DUMMYFUNCTION("""COMPUTED_VALUE"""),46038.27083333333)</f>
        <v>46038.27083</v>
      </c>
      <c r="I4926" s="237" t="str">
        <f t="shared" si="1"/>
        <v>Fora</v>
      </c>
      <c r="J4926" s="239">
        <v>119.99999999301508</v>
      </c>
    </row>
    <row r="4927">
      <c r="A4927" s="234" t="s">
        <v>5887</v>
      </c>
      <c r="B4927" s="234" t="str">
        <f>IFERROR(__xludf.DUMMYFUNCTION("""COMPUTED_VALUE"""),"LM Hub_SP_Embu das Artes")</f>
        <v>LM Hub_SP_Embu das Artes</v>
      </c>
      <c r="C4927" s="234" t="str">
        <f>IFERROR(__xludf.DUMMYFUNCTION("""COMPUTED_VALUE"""),"HUB-LSP-36")</f>
        <v>HUB-LSP-36</v>
      </c>
      <c r="D4927" s="234"/>
      <c r="E4927" s="237" t="str">
        <f>IFERROR(__xludf.DUMMYFUNCTION("""COMPUTED_VALUE"""),"LT0Q1G01WADZ1")</f>
        <v>LT0Q1G01WADZ1</v>
      </c>
      <c r="F4927" s="238" t="str">
        <f>IFERROR(__xludf.DUMMYFUNCTION("""COMPUTED_VALUE"""),"-")</f>
        <v>-</v>
      </c>
      <c r="G4927" s="238">
        <f>IFERROR(__xludf.DUMMYFUNCTION("""COMPUTED_VALUE"""),46038.1875)</f>
        <v>46038.1875</v>
      </c>
      <c r="H4927" s="238">
        <f>IFERROR(__xludf.DUMMYFUNCTION("""COMPUTED_VALUE"""),46038.27083333333)</f>
        <v>46038.27083</v>
      </c>
      <c r="I4927" s="237" t="str">
        <f t="shared" si="1"/>
        <v>Fora</v>
      </c>
      <c r="J4927" s="239">
        <v>119.99999999301508</v>
      </c>
    </row>
    <row r="4928">
      <c r="A4928" s="234" t="s">
        <v>934</v>
      </c>
      <c r="B4928" s="234" t="str">
        <f>IFERROR(__xludf.DUMMYFUNCTION("""COMPUTED_VALUE"""),"LM Hub_SP_Taubaté")</f>
        <v>LM Hub_SP_Taubaté</v>
      </c>
      <c r="C4928" s="234" t="str">
        <f>IFERROR(__xludf.DUMMYFUNCTION("""COMPUTED_VALUE"""),"HUB-LSP-08")</f>
        <v>HUB-LSP-08</v>
      </c>
      <c r="D4928" s="234">
        <f>IFERROR(__xludf.DUMMYFUNCTION("""COMPUTED_VALUE"""),9.0)</f>
        <v>9</v>
      </c>
      <c r="E4928" s="237" t="str">
        <f>IFERROR(__xludf.DUMMYFUNCTION("""COMPUTED_VALUE"""),"LT0Q1G01W9AG1")</f>
        <v>LT0Q1G01W9AG1</v>
      </c>
      <c r="F4928" s="238" t="str">
        <f>IFERROR(__xludf.DUMMYFUNCTION("""COMPUTED_VALUE"""),"FBQ6A90")</f>
        <v>FBQ6A90</v>
      </c>
      <c r="G4928" s="238">
        <f>IFERROR(__xludf.DUMMYFUNCTION("""COMPUTED_VALUE"""),46038.1875)</f>
        <v>46038.1875</v>
      </c>
      <c r="H4928" s="238">
        <f>IFERROR(__xludf.DUMMYFUNCTION("""COMPUTED_VALUE"""),46038.27083333333)</f>
        <v>46038.27083</v>
      </c>
      <c r="I4928" s="237" t="str">
        <f t="shared" si="1"/>
        <v>Fora</v>
      </c>
      <c r="J4928" s="239">
        <v>540.0</v>
      </c>
    </row>
    <row r="4929">
      <c r="A4929" s="234" t="s">
        <v>5888</v>
      </c>
      <c r="B4929" s="234" t="str">
        <f>IFERROR(__xludf.DUMMYFUNCTION("""COMPUTED_VALUE"""),"SoC_MG_Betim")</f>
        <v>SoC_MG_Betim</v>
      </c>
      <c r="C4929" s="234" t="str">
        <f>IFERROR(__xludf.DUMMYFUNCTION("""COMPUTED_VALUE"""),"SOC-MG2")</f>
        <v>SOC-MG2</v>
      </c>
      <c r="D4929" s="234">
        <f>IFERROR(__xludf.DUMMYFUNCTION("""COMPUTED_VALUE"""),91.0)</f>
        <v>91</v>
      </c>
      <c r="E4929" s="237" t="str">
        <f>IFERROR(__xludf.DUMMYFUNCTION("""COMPUTED_VALUE"""),"LT1Q1F01WPCC1")</f>
        <v>LT1Q1F01WPCC1</v>
      </c>
      <c r="F4929" s="238" t="str">
        <f>IFERROR(__xludf.DUMMYFUNCTION("""COMPUTED_VALUE"""),"FKD0D91,EGJ8G43")</f>
        <v>FKD0D91,EGJ8G43</v>
      </c>
      <c r="G4929" s="238">
        <f>IFERROR(__xludf.DUMMYFUNCTION("""COMPUTED_VALUE"""),46037.91666666667)</f>
        <v>46037.91667</v>
      </c>
      <c r="H4929" s="238">
        <f>IFERROR(__xludf.DUMMYFUNCTION("""COMPUTED_VALUE"""),46038.29166666667)</f>
        <v>46038.29167</v>
      </c>
      <c r="I4929" s="237" t="str">
        <f t="shared" si="1"/>
        <v>Fora</v>
      </c>
      <c r="J4929" s="239">
        <v>540.0</v>
      </c>
    </row>
    <row r="4930">
      <c r="A4930" s="234" t="s">
        <v>5889</v>
      </c>
      <c r="B4930" s="234" t="str">
        <f>IFERROR(__xludf.DUMMYFUNCTION("""COMPUTED_VALUE"""),"SoC_PE_Jaboatão dos Guararapes")</f>
        <v>SoC_PE_Jaboatão dos Guararapes</v>
      </c>
      <c r="C4930" s="234" t="str">
        <f>IFERROR(__xludf.DUMMYFUNCTION("""COMPUTED_VALUE"""),"SOC-PE2")</f>
        <v>SOC-PE2</v>
      </c>
      <c r="D4930" s="234">
        <f>IFERROR(__xludf.DUMMYFUNCTION("""COMPUTED_VALUE"""),98.0)</f>
        <v>98</v>
      </c>
      <c r="E4930" s="237" t="str">
        <f>IFERROR(__xludf.DUMMYFUNCTION("""COMPUTED_VALUE"""),"LT1Q1F01WPCG1")</f>
        <v>LT1Q1F01WPCG1</v>
      </c>
      <c r="F4930" s="238" t="str">
        <f>IFERROR(__xludf.DUMMYFUNCTION("""COMPUTED_VALUE"""),"ESU4F65,RTV7F43")</f>
        <v>ESU4F65,RTV7F43</v>
      </c>
      <c r="G4930" s="238">
        <f>IFERROR(__xludf.DUMMYFUNCTION("""COMPUTED_VALUE"""),46037.91666666667)</f>
        <v>46037.91667</v>
      </c>
      <c r="H4930" s="238">
        <f>IFERROR(__xludf.DUMMYFUNCTION("""COMPUTED_VALUE"""),46038.29166666667)</f>
        <v>46038.29167</v>
      </c>
      <c r="I4930" s="237" t="str">
        <f t="shared" si="1"/>
        <v>Fora</v>
      </c>
      <c r="J4930" s="239">
        <v>540.0</v>
      </c>
    </row>
    <row r="4931">
      <c r="A4931" s="234" t="s">
        <v>5890</v>
      </c>
      <c r="B4931" s="234" t="str">
        <f>IFERROR(__xludf.DUMMYFUNCTION("""COMPUTED_VALUE"""),"SoC_RS_Gravataí_02")</f>
        <v>SoC_RS_Gravataí_02</v>
      </c>
      <c r="C4931" s="234" t="str">
        <f>IFERROR(__xludf.DUMMYFUNCTION("""COMPUTED_VALUE"""),"SOC-RS2")</f>
        <v>SOC-RS2</v>
      </c>
      <c r="D4931" s="234">
        <f>IFERROR(__xludf.DUMMYFUNCTION("""COMPUTED_VALUE"""),102.0)</f>
        <v>102</v>
      </c>
      <c r="E4931" s="237" t="str">
        <f>IFERROR(__xludf.DUMMYFUNCTION("""COMPUTED_VALUE"""),"LT0Q1F01WF8D1")</f>
        <v>LT0Q1F01WF8D1</v>
      </c>
      <c r="F4931" s="238" t="str">
        <f>IFERROR(__xludf.DUMMYFUNCTION("""COMPUTED_VALUE"""),"CUA5J46,UEG3C73")</f>
        <v>CUA5J46,UEG3C73</v>
      </c>
      <c r="G4931" s="238">
        <f>IFERROR(__xludf.DUMMYFUNCTION("""COMPUTED_VALUE"""),46037.91666666667)</f>
        <v>46037.91667</v>
      </c>
      <c r="H4931" s="238">
        <f>IFERROR(__xludf.DUMMYFUNCTION("""COMPUTED_VALUE"""),46038.29166666667)</f>
        <v>46038.29167</v>
      </c>
      <c r="I4931" s="237" t="str">
        <f t="shared" si="1"/>
        <v>Fora</v>
      </c>
      <c r="J4931" s="239">
        <v>540.0</v>
      </c>
    </row>
    <row r="4932">
      <c r="A4932" s="234" t="s">
        <v>5891</v>
      </c>
      <c r="B4932" s="234" t="str">
        <f>IFERROR(__xludf.DUMMYFUNCTION("""COMPUTED_VALUE"""),"SoC_SC_Itajaí")</f>
        <v>SoC_SC_Itajaí</v>
      </c>
      <c r="C4932" s="234" t="str">
        <f>IFERROR(__xludf.DUMMYFUNCTION("""COMPUTED_VALUE"""),"SOC-SC1")</f>
        <v>SOC-SC1</v>
      </c>
      <c r="D4932" s="234">
        <f>IFERROR(__xludf.DUMMYFUNCTION("""COMPUTED_VALUE"""),100.0)</f>
        <v>100</v>
      </c>
      <c r="E4932" s="237" t="str">
        <f>IFERROR(__xludf.DUMMYFUNCTION("""COMPUTED_VALUE"""),"LT0Q1F01WDUO1")</f>
        <v>LT0Q1F01WDUO1</v>
      </c>
      <c r="F4932" s="238" t="str">
        <f>IFERROR(__xludf.DUMMYFUNCTION("""COMPUTED_VALUE"""),"TPZ0F66,SXB7D50")</f>
        <v>TPZ0F66,SXB7D50</v>
      </c>
      <c r="G4932" s="238">
        <f>IFERROR(__xludf.DUMMYFUNCTION("""COMPUTED_VALUE"""),46037.91666666667)</f>
        <v>46037.91667</v>
      </c>
      <c r="H4932" s="238">
        <f>IFERROR(__xludf.DUMMYFUNCTION("""COMPUTED_VALUE"""),46038.29166666667)</f>
        <v>46038.29167</v>
      </c>
      <c r="I4932" s="237" t="str">
        <f t="shared" si="1"/>
        <v>Fora</v>
      </c>
      <c r="J4932" s="239">
        <v>540.0</v>
      </c>
    </row>
    <row r="4933">
      <c r="A4933" s="234" t="s">
        <v>5892</v>
      </c>
      <c r="B4933" s="234" t="str">
        <f>IFERROR(__xludf.DUMMYFUNCTION("""COMPUTED_VALUE"""),"SoC_SP_Cravinhos")</f>
        <v>SoC_SP_Cravinhos</v>
      </c>
      <c r="C4933" s="234" t="str">
        <f>IFERROR(__xludf.DUMMYFUNCTION("""COMPUTED_VALUE"""),"SOC-SP5")</f>
        <v>SOC-SP5</v>
      </c>
      <c r="D4933" s="234">
        <f>IFERROR(__xludf.DUMMYFUNCTION("""COMPUTED_VALUE"""),95.0)</f>
        <v>95</v>
      </c>
      <c r="E4933" s="237" t="str">
        <f>IFERROR(__xludf.DUMMYFUNCTION("""COMPUTED_VALUE"""),"LT0Q1F01W9541")</f>
        <v>LT0Q1F01W9541</v>
      </c>
      <c r="F4933" s="238" t="str">
        <f>IFERROR(__xludf.DUMMYFUNCTION("""COMPUTED_VALUE"""),"IXH0D30,FJP9A83")</f>
        <v>IXH0D30,FJP9A83</v>
      </c>
      <c r="G4933" s="238">
        <f>IFERROR(__xludf.DUMMYFUNCTION("""COMPUTED_VALUE"""),46037.91666666667)</f>
        <v>46037.91667</v>
      </c>
      <c r="H4933" s="238">
        <f>IFERROR(__xludf.DUMMYFUNCTION("""COMPUTED_VALUE"""),46038.29166666667)</f>
        <v>46038.29167</v>
      </c>
      <c r="I4933" s="237" t="str">
        <f t="shared" si="1"/>
        <v>Fora</v>
      </c>
      <c r="J4933" s="239">
        <v>539.0000000072177</v>
      </c>
    </row>
    <row r="4934">
      <c r="A4934" s="234" t="s">
        <v>935</v>
      </c>
      <c r="B4934" s="234" t="str">
        <f>IFERROR(__xludf.DUMMYFUNCTION("""COMPUTED_VALUE"""),"SoC_BA_Simoes Filho")</f>
        <v>SoC_BA_Simoes Filho</v>
      </c>
      <c r="C4934" s="234" t="str">
        <f>IFERROR(__xludf.DUMMYFUNCTION("""COMPUTED_VALUE"""),"SOC-BA2")</f>
        <v>SOC-BA2</v>
      </c>
      <c r="D4934" s="234">
        <f>IFERROR(__xludf.DUMMYFUNCTION("""COMPUTED_VALUE"""),89.0)</f>
        <v>89</v>
      </c>
      <c r="E4934" s="237" t="str">
        <f>IFERROR(__xludf.DUMMYFUNCTION("""COMPUTED_VALUE"""),"LT0Q1F01WEUH1")</f>
        <v>LT0Q1F01WEUH1</v>
      </c>
      <c r="F4934" s="238" t="str">
        <f>IFERROR(__xludf.DUMMYFUNCTION("""COMPUTED_VALUE"""),"OLC4F38,FUQ2H46")</f>
        <v>OLC4F38,FUQ2H46</v>
      </c>
      <c r="G4934" s="238">
        <f>IFERROR(__xludf.DUMMYFUNCTION("""COMPUTED_VALUE"""),46037.91736111111)</f>
        <v>46037.91736</v>
      </c>
      <c r="H4934" s="238">
        <f>IFERROR(__xludf.DUMMYFUNCTION("""COMPUTED_VALUE"""),46038.29166666667)</f>
        <v>46038.29167</v>
      </c>
      <c r="I4934" s="237" t="str">
        <f t="shared" si="1"/>
        <v>Fora</v>
      </c>
      <c r="J4934" s="239">
        <v>539.0000000072177</v>
      </c>
    </row>
    <row r="4935">
      <c r="A4935" s="234" t="s">
        <v>5893</v>
      </c>
      <c r="B4935" s="234" t="str">
        <f>IFERROR(__xludf.DUMMYFUNCTION("""COMPUTED_VALUE"""),"SoC_BA_Simoes Filho")</f>
        <v>SoC_BA_Simoes Filho</v>
      </c>
      <c r="C4935" s="234" t="str">
        <f>IFERROR(__xludf.DUMMYFUNCTION("""COMPUTED_VALUE"""),"SOC-BA2")</f>
        <v>SOC-BA2</v>
      </c>
      <c r="D4935" s="234">
        <f>IFERROR(__xludf.DUMMYFUNCTION("""COMPUTED_VALUE"""),89.0)</f>
        <v>89</v>
      </c>
      <c r="E4935" s="237" t="str">
        <f>IFERROR(__xludf.DUMMYFUNCTION("""COMPUTED_VALUE"""),"LT0Q1F01WEUJ2")</f>
        <v>LT0Q1F01WEUJ2</v>
      </c>
      <c r="F4935" s="238" t="str">
        <f>IFERROR(__xludf.DUMMYFUNCTION("""COMPUTED_VALUE"""),"PWS8E28,OAB3989")</f>
        <v>PWS8E28,OAB3989</v>
      </c>
      <c r="G4935" s="238">
        <f>IFERROR(__xludf.DUMMYFUNCTION("""COMPUTED_VALUE"""),46037.91736111111)</f>
        <v>46037.91736</v>
      </c>
      <c r="H4935" s="238">
        <f>IFERROR(__xludf.DUMMYFUNCTION("""COMPUTED_VALUE"""),46038.29166666667)</f>
        <v>46038.29167</v>
      </c>
      <c r="I4935" s="237" t="str">
        <f t="shared" si="1"/>
        <v>Fora</v>
      </c>
      <c r="J4935" s="239">
        <v>539.0000000072177</v>
      </c>
    </row>
    <row r="4936">
      <c r="A4936" s="234" t="s">
        <v>5894</v>
      </c>
      <c r="B4936" s="234" t="str">
        <f>IFERROR(__xludf.DUMMYFUNCTION("""COMPUTED_VALUE"""),"SoC_GO_Goiânia_02")</f>
        <v>SoC_GO_Goiânia_02</v>
      </c>
      <c r="C4936" s="234" t="str">
        <f>IFERROR(__xludf.DUMMYFUNCTION("""COMPUTED_VALUE"""),"SOC-GO2")</f>
        <v>SOC-GO2</v>
      </c>
      <c r="D4936" s="234">
        <f>IFERROR(__xludf.DUMMYFUNCTION("""COMPUTED_VALUE"""),86.0)</f>
        <v>86</v>
      </c>
      <c r="E4936" s="237" t="str">
        <f>IFERROR(__xludf.DUMMYFUNCTION("""COMPUTED_VALUE"""),"LT0Q1F01WF6F1")</f>
        <v>LT0Q1F01WF6F1</v>
      </c>
      <c r="F4936" s="238" t="str">
        <f>IFERROR(__xludf.DUMMYFUNCTION("""COMPUTED_VALUE"""),"RHW4A53,APK5J99")</f>
        <v>RHW4A53,APK5J99</v>
      </c>
      <c r="G4936" s="238">
        <f>IFERROR(__xludf.DUMMYFUNCTION("""COMPUTED_VALUE"""),46037.91736111111)</f>
        <v>46037.91736</v>
      </c>
      <c r="H4936" s="238">
        <f>IFERROR(__xludf.DUMMYFUNCTION("""COMPUTED_VALUE"""),46038.29166666667)</f>
        <v>46038.29167</v>
      </c>
      <c r="I4936" s="237" t="str">
        <f t="shared" si="1"/>
        <v>Fora</v>
      </c>
      <c r="J4936" s="239">
        <v>539.0000000072177</v>
      </c>
    </row>
    <row r="4937">
      <c r="A4937" s="234" t="s">
        <v>5895</v>
      </c>
      <c r="B4937" s="234" t="str">
        <f>IFERROR(__xludf.DUMMYFUNCTION("""COMPUTED_VALUE"""),"SoC_GO_Goiânia_02")</f>
        <v>SoC_GO_Goiânia_02</v>
      </c>
      <c r="C4937" s="234" t="str">
        <f>IFERROR(__xludf.DUMMYFUNCTION("""COMPUTED_VALUE"""),"SOC-GO2")</f>
        <v>SOC-GO2</v>
      </c>
      <c r="D4937" s="234">
        <f>IFERROR(__xludf.DUMMYFUNCTION("""COMPUTED_VALUE"""),86.0)</f>
        <v>86</v>
      </c>
      <c r="E4937" s="237" t="str">
        <f>IFERROR(__xludf.DUMMYFUNCTION("""COMPUTED_VALUE"""),"LT0Q1F01WF6H2")</f>
        <v>LT0Q1F01WF6H2</v>
      </c>
      <c r="F4937" s="238" t="str">
        <f>IFERROR(__xludf.DUMMYFUNCTION("""COMPUTED_VALUE"""),"NLL2D84,QON5B76")</f>
        <v>NLL2D84,QON5B76</v>
      </c>
      <c r="G4937" s="238">
        <f>IFERROR(__xludf.DUMMYFUNCTION("""COMPUTED_VALUE"""),46037.91736111111)</f>
        <v>46037.91736</v>
      </c>
      <c r="H4937" s="238">
        <f>IFERROR(__xludf.DUMMYFUNCTION("""COMPUTED_VALUE"""),46038.29166666667)</f>
        <v>46038.29167</v>
      </c>
      <c r="I4937" s="237" t="str">
        <f t="shared" si="1"/>
        <v>Fora</v>
      </c>
      <c r="J4937" s="239">
        <v>539.0000000072177</v>
      </c>
    </row>
    <row r="4938">
      <c r="A4938" s="234" t="s">
        <v>936</v>
      </c>
      <c r="B4938" s="234" t="str">
        <f>IFERROR(__xludf.DUMMYFUNCTION("""COMPUTED_VALUE"""),"SoC_PE_Jaboatão dos Guararapes")</f>
        <v>SoC_PE_Jaboatão dos Guararapes</v>
      </c>
      <c r="C4938" s="234" t="str">
        <f>IFERROR(__xludf.DUMMYFUNCTION("""COMPUTED_VALUE"""),"SOC-PE2")</f>
        <v>SOC-PE2</v>
      </c>
      <c r="D4938" s="234">
        <f>IFERROR(__xludf.DUMMYFUNCTION("""COMPUTED_VALUE"""),99.0)</f>
        <v>99</v>
      </c>
      <c r="E4938" s="237" t="str">
        <f>IFERROR(__xludf.DUMMYFUNCTION("""COMPUTED_VALUE"""),"LT0Q1F01WEQZ1")</f>
        <v>LT0Q1F01WEQZ1</v>
      </c>
      <c r="F4938" s="238" t="str">
        <f>IFERROR(__xludf.DUMMYFUNCTION("""COMPUTED_VALUE"""),"OWM4B33,PUZ0I19")</f>
        <v>OWM4B33,PUZ0I19</v>
      </c>
      <c r="G4938" s="238">
        <f>IFERROR(__xludf.DUMMYFUNCTION("""COMPUTED_VALUE"""),46037.91736111111)</f>
        <v>46037.91736</v>
      </c>
      <c r="H4938" s="238">
        <f>IFERROR(__xludf.DUMMYFUNCTION("""COMPUTED_VALUE"""),46038.29166666667)</f>
        <v>46038.29167</v>
      </c>
      <c r="I4938" s="237" t="str">
        <f t="shared" si="1"/>
        <v>Fora</v>
      </c>
      <c r="J4938" s="239">
        <v>539.0000000072177</v>
      </c>
    </row>
    <row r="4939">
      <c r="A4939" s="234" t="s">
        <v>937</v>
      </c>
      <c r="B4939" s="234" t="str">
        <f>IFERROR(__xludf.DUMMYFUNCTION("""COMPUTED_VALUE"""),"SoC_PE_Jaboatão dos Guararapes")</f>
        <v>SoC_PE_Jaboatão dos Guararapes</v>
      </c>
      <c r="C4939" s="234" t="str">
        <f>IFERROR(__xludf.DUMMYFUNCTION("""COMPUTED_VALUE"""),"SOC-PE2")</f>
        <v>SOC-PE2</v>
      </c>
      <c r="D4939" s="234">
        <f>IFERROR(__xludf.DUMMYFUNCTION("""COMPUTED_VALUE"""),98.0)</f>
        <v>98</v>
      </c>
      <c r="E4939" s="237" t="str">
        <f>IFERROR(__xludf.DUMMYFUNCTION("""COMPUTED_VALUE"""),"LT0Q1F01WER12")</f>
        <v>LT0Q1F01WER12</v>
      </c>
      <c r="F4939" s="238" t="str">
        <f>IFERROR(__xludf.DUMMYFUNCTION("""COMPUTED_VALUE"""),"ELQ1D50,MME4B74")</f>
        <v>ELQ1D50,MME4B74</v>
      </c>
      <c r="G4939" s="238">
        <f>IFERROR(__xludf.DUMMYFUNCTION("""COMPUTED_VALUE"""),46037.91736111111)</f>
        <v>46037.91736</v>
      </c>
      <c r="H4939" s="238">
        <f>IFERROR(__xludf.DUMMYFUNCTION("""COMPUTED_VALUE"""),46038.29166666667)</f>
        <v>46038.29167</v>
      </c>
      <c r="I4939" s="237" t="str">
        <f t="shared" si="1"/>
        <v>Fora</v>
      </c>
      <c r="J4939" s="239">
        <v>538.0000000144355</v>
      </c>
    </row>
    <row r="4940">
      <c r="A4940" s="234" t="s">
        <v>938</v>
      </c>
      <c r="B4940" s="234" t="str">
        <f>IFERROR(__xludf.DUMMYFUNCTION("""COMPUTED_VALUE"""),"SoC_MG_Betim")</f>
        <v>SoC_MG_Betim</v>
      </c>
      <c r="C4940" s="234" t="str">
        <f>IFERROR(__xludf.DUMMYFUNCTION("""COMPUTED_VALUE"""),"SOC-MG2")</f>
        <v>SOC-MG2</v>
      </c>
      <c r="D4940" s="234">
        <f>IFERROR(__xludf.DUMMYFUNCTION("""COMPUTED_VALUE"""),114.0)</f>
        <v>114</v>
      </c>
      <c r="E4940" s="237" t="str">
        <f>IFERROR(__xludf.DUMMYFUNCTION("""COMPUTED_VALUE"""),"LT0Q1F01W93L1")</f>
        <v>LT0Q1F01W93L1</v>
      </c>
      <c r="F4940" s="238" t="str">
        <f>IFERROR(__xludf.DUMMYFUNCTION("""COMPUTED_VALUE"""),"UGF1A20")</f>
        <v>UGF1A20</v>
      </c>
      <c r="G4940" s="238">
        <f>IFERROR(__xludf.DUMMYFUNCTION("""COMPUTED_VALUE"""),46037.91805555555)</f>
        <v>46037.91806</v>
      </c>
      <c r="H4940" s="238">
        <f>IFERROR(__xludf.DUMMYFUNCTION("""COMPUTED_VALUE"""),46038.29166666667)</f>
        <v>46038.29167</v>
      </c>
      <c r="I4940" s="237" t="str">
        <f t="shared" si="1"/>
        <v>Fora</v>
      </c>
      <c r="J4940" s="239">
        <v>538.0000000144355</v>
      </c>
    </row>
    <row r="4941">
      <c r="A4941" s="234" t="s">
        <v>5896</v>
      </c>
      <c r="B4941" s="234" t="str">
        <f>IFERROR(__xludf.DUMMYFUNCTION("""COMPUTED_VALUE"""),"SoC_RJ_Duque de Caxias")</f>
        <v>SoC_RJ_Duque de Caxias</v>
      </c>
      <c r="C4941" s="234" t="str">
        <f>IFERROR(__xludf.DUMMYFUNCTION("""COMPUTED_VALUE"""),"SOC-RJ2")</f>
        <v>SOC-RJ2</v>
      </c>
      <c r="D4941" s="234">
        <f>IFERROR(__xludf.DUMMYFUNCTION("""COMPUTED_VALUE"""),96.0)</f>
        <v>96</v>
      </c>
      <c r="E4941" s="237" t="str">
        <f>IFERROR(__xludf.DUMMYFUNCTION("""COMPUTED_VALUE"""),"LT0Q1F01WBFK2")</f>
        <v>LT0Q1F01WBFK2</v>
      </c>
      <c r="F4941" s="238" t="str">
        <f>IFERROR(__xludf.DUMMYFUNCTION("""COMPUTED_VALUE"""),"BAP2G32,FYZ9A67")</f>
        <v>BAP2G32,FYZ9A67</v>
      </c>
      <c r="G4941" s="238">
        <f>IFERROR(__xludf.DUMMYFUNCTION("""COMPUTED_VALUE"""),46037.91805555555)</f>
        <v>46037.91806</v>
      </c>
      <c r="H4941" s="238">
        <f>IFERROR(__xludf.DUMMYFUNCTION("""COMPUTED_VALUE"""),46038.29166666667)</f>
        <v>46038.29167</v>
      </c>
      <c r="I4941" s="237" t="str">
        <f t="shared" si="1"/>
        <v>Fora</v>
      </c>
      <c r="J4941" s="239">
        <v>120.00000001396984</v>
      </c>
    </row>
    <row r="4942">
      <c r="A4942" s="234" t="s">
        <v>939</v>
      </c>
      <c r="B4942" s="234" t="str">
        <f>IFERROR(__xludf.DUMMYFUNCTION("""COMPUTED_VALUE"""),"LM Hub_SP_Barueri_01")</f>
        <v>LM Hub_SP_Barueri_01</v>
      </c>
      <c r="C4942" s="234" t="str">
        <f>IFERROR(__xludf.DUMMYFUNCTION("""COMPUTED_VALUE"""),"HUB-LSP-81")</f>
        <v>HUB-LSP-81</v>
      </c>
      <c r="D4942" s="234"/>
      <c r="E4942" s="237" t="str">
        <f>IFERROR(__xludf.DUMMYFUNCTION("""COMPUTED_VALUE"""),"LT0Q1G01WEHD1")</f>
        <v>LT0Q1G01WEHD1</v>
      </c>
      <c r="F4942" s="238" t="str">
        <f>IFERROR(__xludf.DUMMYFUNCTION("""COMPUTED_VALUE"""),"BZA4E78,FAM6D41")</f>
        <v>BZA4E78,FAM6D41</v>
      </c>
      <c r="G4942" s="238">
        <f>IFERROR(__xludf.DUMMYFUNCTION("""COMPUTED_VALUE"""),46038.20833333333)</f>
        <v>46038.20833</v>
      </c>
      <c r="H4942" s="238">
        <f>IFERROR(__xludf.DUMMYFUNCTION("""COMPUTED_VALUE"""),46038.29166666667)</f>
        <v>46038.29167</v>
      </c>
      <c r="I4942" s="237" t="str">
        <f t="shared" si="1"/>
        <v>Fora</v>
      </c>
      <c r="J4942" s="239">
        <v>120.00000001396984</v>
      </c>
    </row>
    <row r="4943">
      <c r="A4943" s="234" t="s">
        <v>940</v>
      </c>
      <c r="B4943" s="234" t="str">
        <f>IFERROR(__xludf.DUMMYFUNCTION("""COMPUTED_VALUE"""),"LM Hub_SP_Jundiaí")</f>
        <v>LM Hub_SP_Jundiaí</v>
      </c>
      <c r="C4943" s="234" t="str">
        <f>IFERROR(__xludf.DUMMYFUNCTION("""COMPUTED_VALUE"""),"HUB-LSP-100")</f>
        <v>HUB-LSP-100</v>
      </c>
      <c r="D4943" s="234">
        <f>IFERROR(__xludf.DUMMYFUNCTION("""COMPUTED_VALUE"""),28.0)</f>
        <v>28</v>
      </c>
      <c r="E4943" s="237" t="str">
        <f>IFERROR(__xludf.DUMMYFUNCTION("""COMPUTED_VALUE"""),"LT0Q1G01WFXP1")</f>
        <v>LT0Q1G01WFXP1</v>
      </c>
      <c r="F4943" s="238" t="str">
        <f>IFERROR(__xludf.DUMMYFUNCTION("""COMPUTED_VALUE"""),"QZT2I43")</f>
        <v>QZT2I43</v>
      </c>
      <c r="G4943" s="238">
        <f>IFERROR(__xludf.DUMMYFUNCTION("""COMPUTED_VALUE"""),46038.20833333333)</f>
        <v>46038.20833</v>
      </c>
      <c r="H4943" s="238">
        <f>IFERROR(__xludf.DUMMYFUNCTION("""COMPUTED_VALUE"""),46038.29166666667)</f>
        <v>46038.29167</v>
      </c>
      <c r="I4943" s="237" t="str">
        <f t="shared" si="1"/>
        <v>Fora</v>
      </c>
      <c r="J4943" s="239">
        <v>120.00000001396984</v>
      </c>
    </row>
    <row r="4944">
      <c r="A4944" s="234" t="s">
        <v>941</v>
      </c>
      <c r="B4944" s="234" t="str">
        <f>IFERROR(__xludf.DUMMYFUNCTION("""COMPUTED_VALUE"""),"LM Hub_SP_Piracicaba")</f>
        <v>LM Hub_SP_Piracicaba</v>
      </c>
      <c r="C4944" s="234" t="str">
        <f>IFERROR(__xludf.DUMMYFUNCTION("""COMPUTED_VALUE"""),"HUB-LSP-62")</f>
        <v>HUB-LSP-62</v>
      </c>
      <c r="D4944" s="234">
        <f>IFERROR(__xludf.DUMMYFUNCTION("""COMPUTED_VALUE"""),44.0)</f>
        <v>44</v>
      </c>
      <c r="E4944" s="237" t="str">
        <f>IFERROR(__xludf.DUMMYFUNCTION("""COMPUTED_VALUE"""),"LT0Q1G01W9X41")</f>
        <v>LT0Q1G01W9X41</v>
      </c>
      <c r="F4944" s="238" t="str">
        <f>IFERROR(__xludf.DUMMYFUNCTION("""COMPUTED_VALUE"""),"OMY3I62")</f>
        <v>OMY3I62</v>
      </c>
      <c r="G4944" s="238">
        <f>IFERROR(__xludf.DUMMYFUNCTION("""COMPUTED_VALUE"""),46038.20833333333)</f>
        <v>46038.20833</v>
      </c>
      <c r="H4944" s="238">
        <f>IFERROR(__xludf.DUMMYFUNCTION("""COMPUTED_VALUE"""),46038.29166666667)</f>
        <v>46038.29167</v>
      </c>
      <c r="I4944" s="237" t="str">
        <f t="shared" si="1"/>
        <v>Fora</v>
      </c>
      <c r="J4944" s="239">
        <v>120.00000001396984</v>
      </c>
    </row>
    <row r="4945">
      <c r="A4945" s="234" t="s">
        <v>942</v>
      </c>
      <c r="B4945" s="234" t="str">
        <f>IFERROR(__xludf.DUMMYFUNCTION("""COMPUTED_VALUE"""),"LM Hub_SP_Santos_PraiaGrande_02")</f>
        <v>LM Hub_SP_Santos_PraiaGrande_02</v>
      </c>
      <c r="C4945" s="234" t="str">
        <f>IFERROR(__xludf.DUMMYFUNCTION("""COMPUTED_VALUE"""),"HUB-LSP-63")</f>
        <v>HUB-LSP-63</v>
      </c>
      <c r="D4945" s="234">
        <f>IFERROR(__xludf.DUMMYFUNCTION("""COMPUTED_VALUE"""),36.0)</f>
        <v>36</v>
      </c>
      <c r="E4945" s="237" t="str">
        <f>IFERROR(__xludf.DUMMYFUNCTION("""COMPUTED_VALUE"""),"LT0Q1G01WADU1")</f>
        <v>LT0Q1G01WADU1</v>
      </c>
      <c r="F4945" s="238" t="str">
        <f>IFERROR(__xludf.DUMMYFUNCTION("""COMPUTED_VALUE"""),"GEJ6E62,TLV2A95")</f>
        <v>GEJ6E62,TLV2A95</v>
      </c>
      <c r="G4945" s="238">
        <f>IFERROR(__xludf.DUMMYFUNCTION("""COMPUTED_VALUE"""),46038.20833333333)</f>
        <v>46038.20833</v>
      </c>
      <c r="H4945" s="238">
        <f>IFERROR(__xludf.DUMMYFUNCTION("""COMPUTED_VALUE"""),46038.29166666667)</f>
        <v>46038.29167</v>
      </c>
      <c r="I4945" s="237" t="str">
        <f t="shared" si="1"/>
        <v>Fora</v>
      </c>
      <c r="J4945" s="239">
        <v>118.00000000745058</v>
      </c>
    </row>
    <row r="4946">
      <c r="A4946" s="234" t="s">
        <v>943</v>
      </c>
      <c r="B4946" s="234" t="str">
        <f>IFERROR(__xludf.DUMMYFUNCTION("""COMPUTED_VALUE"""),"LM Hub_SP_Jurubatuba")</f>
        <v>LM Hub_SP_Jurubatuba</v>
      </c>
      <c r="C4946" s="234" t="str">
        <f>IFERROR(__xludf.DUMMYFUNCTION("""COMPUTED_VALUE"""),"HUB-LSP-16")</f>
        <v>HUB-LSP-16</v>
      </c>
      <c r="D4946" s="234"/>
      <c r="E4946" s="237" t="str">
        <f>IFERROR(__xludf.DUMMYFUNCTION("""COMPUTED_VALUE"""),"LT0Q1G01WACJ1")</f>
        <v>LT0Q1G01WACJ1</v>
      </c>
      <c r="F4946" s="238" t="str">
        <f>IFERROR(__xludf.DUMMYFUNCTION("""COMPUTED_VALUE"""),"DPE9F84,CUG2A56")</f>
        <v>DPE9F84,CUG2A56</v>
      </c>
      <c r="G4946" s="238">
        <f>IFERROR(__xludf.DUMMYFUNCTION("""COMPUTED_VALUE"""),46038.20972222222)</f>
        <v>46038.20972</v>
      </c>
      <c r="H4946" s="238">
        <f>IFERROR(__xludf.DUMMYFUNCTION("""COMPUTED_VALUE"""),46038.29166666667)</f>
        <v>46038.29167</v>
      </c>
      <c r="I4946" s="237" t="str">
        <f t="shared" si="1"/>
        <v>Fora</v>
      </c>
      <c r="J4946" s="239">
        <v>119.99999999301508</v>
      </c>
    </row>
    <row r="4947">
      <c r="A4947" s="234" t="s">
        <v>5897</v>
      </c>
      <c r="B4947" s="234" t="str">
        <f>IFERROR(__xludf.DUMMYFUNCTION("""COMPUTED_VALUE"""),"LM Hub_SP_Guarujá")</f>
        <v>LM Hub_SP_Guarujá</v>
      </c>
      <c r="C4947" s="234" t="str">
        <f>IFERROR(__xludf.DUMMYFUNCTION("""COMPUTED_VALUE"""),"HUB-LSP-06")</f>
        <v>HUB-LSP-06</v>
      </c>
      <c r="D4947" s="234">
        <f>IFERROR(__xludf.DUMMYFUNCTION("""COMPUTED_VALUE"""),34.0)</f>
        <v>34</v>
      </c>
      <c r="E4947" s="237" t="str">
        <f>IFERROR(__xludf.DUMMYFUNCTION("""COMPUTED_VALUE"""),"LT0Q1G01WAD91")</f>
        <v>LT0Q1G01WAD91</v>
      </c>
      <c r="F4947" s="238" t="str">
        <f>IFERROR(__xludf.DUMMYFUNCTION("""COMPUTED_VALUE"""),"DIK3532")</f>
        <v>DIK3532</v>
      </c>
      <c r="G4947" s="238">
        <f>IFERROR(__xludf.DUMMYFUNCTION("""COMPUTED_VALUE"""),46038.22916666667)</f>
        <v>46038.22917</v>
      </c>
      <c r="H4947" s="238">
        <f>IFERROR(__xludf.DUMMYFUNCTION("""COMPUTED_VALUE"""),46038.3125)</f>
        <v>46038.3125</v>
      </c>
      <c r="I4947" s="237" t="str">
        <f t="shared" si="1"/>
        <v>Fora</v>
      </c>
      <c r="J4947" s="239">
        <v>119.00000000023283</v>
      </c>
    </row>
    <row r="4948">
      <c r="A4948" s="234" t="s">
        <v>944</v>
      </c>
      <c r="B4948" s="234" t="str">
        <f>IFERROR(__xludf.DUMMYFUNCTION("""COMPUTED_VALUE"""),"LM Hub_SP_Itapevi")</f>
        <v>LM Hub_SP_Itapevi</v>
      </c>
      <c r="C4948" s="234" t="str">
        <f>IFERROR(__xludf.DUMMYFUNCTION("""COMPUTED_VALUE"""),"HUB-LSP-41")</f>
        <v>HUB-LSP-41</v>
      </c>
      <c r="D4948" s="234">
        <f>IFERROR(__xludf.DUMMYFUNCTION("""COMPUTED_VALUE"""),37.0)</f>
        <v>37</v>
      </c>
      <c r="E4948" s="237" t="str">
        <f>IFERROR(__xludf.DUMMYFUNCTION("""COMPUTED_VALUE"""),"LT0Q1G01W97Y1")</f>
        <v>LT0Q1G01W97Y1</v>
      </c>
      <c r="F4948" s="238" t="str">
        <f>IFERROR(__xludf.DUMMYFUNCTION("""COMPUTED_VALUE"""),"GHO7G61")</f>
        <v>GHO7G61</v>
      </c>
      <c r="G4948" s="238">
        <f>IFERROR(__xludf.DUMMYFUNCTION("""COMPUTED_VALUE"""),46038.22986111111)</f>
        <v>46038.22986</v>
      </c>
      <c r="H4948" s="238">
        <f>IFERROR(__xludf.DUMMYFUNCTION("""COMPUTED_VALUE"""),46038.3125)</f>
        <v>46038.3125</v>
      </c>
      <c r="I4948" s="237" t="str">
        <f t="shared" si="1"/>
        <v>Fora</v>
      </c>
      <c r="J4948" s="239">
        <v>119.99999999301508</v>
      </c>
    </row>
    <row r="4949">
      <c r="A4949" s="234" t="s">
        <v>945</v>
      </c>
      <c r="B4949" s="234" t="str">
        <f>IFERROR(__xludf.DUMMYFUNCTION("""COMPUTED_VALUE"""),"LM Hub_SP_Itaqua_Zimba")</f>
        <v>LM Hub_SP_Itaqua_Zimba</v>
      </c>
      <c r="C4949" s="234" t="str">
        <f>IFERROR(__xludf.DUMMYFUNCTION("""COMPUTED_VALUE"""),"HUB-LSP-74")</f>
        <v>HUB-LSP-74</v>
      </c>
      <c r="D4949" s="234">
        <f>IFERROR(__xludf.DUMMYFUNCTION("""COMPUTED_VALUE"""),29.0)</f>
        <v>29</v>
      </c>
      <c r="E4949" s="237" t="str">
        <f>IFERROR(__xludf.DUMMYFUNCTION("""COMPUTED_VALUE"""),"LT0Q1G01WAD31")</f>
        <v>LT0Q1G01WAD31</v>
      </c>
      <c r="F4949" s="238" t="str">
        <f>IFERROR(__xludf.DUMMYFUNCTION("""COMPUTED_VALUE"""),"OPY9J66")</f>
        <v>OPY9J66</v>
      </c>
      <c r="G4949" s="238">
        <f>IFERROR(__xludf.DUMMYFUNCTION("""COMPUTED_VALUE"""),46038.22916666667)</f>
        <v>46038.22917</v>
      </c>
      <c r="H4949" s="238">
        <f>IFERROR(__xludf.DUMMYFUNCTION("""COMPUTED_VALUE"""),46038.3125)</f>
        <v>46038.3125</v>
      </c>
      <c r="I4949" s="237" t="str">
        <f t="shared" si="1"/>
        <v>Fora</v>
      </c>
      <c r="J4949" s="239">
        <v>119.99999999301508</v>
      </c>
    </row>
    <row r="4950">
      <c r="A4950" s="234" t="s">
        <v>946</v>
      </c>
      <c r="B4950" s="234" t="str">
        <f>IFERROR(__xludf.DUMMYFUNCTION("""COMPUTED_VALUE"""),"LM Hub_SP_Santos_Praia Grande")</f>
        <v>LM Hub_SP_Santos_Praia Grande</v>
      </c>
      <c r="C4950" s="234" t="str">
        <f>IFERROR(__xludf.DUMMYFUNCTION("""COMPUTED_VALUE"""),"HUB-LSP-09")</f>
        <v>HUB-LSP-09</v>
      </c>
      <c r="D4950" s="234">
        <f>IFERROR(__xludf.DUMMYFUNCTION("""COMPUTED_VALUE"""),38.0)</f>
        <v>38</v>
      </c>
      <c r="E4950" s="237" t="str">
        <f>IFERROR(__xludf.DUMMYFUNCTION("""COMPUTED_VALUE"""),"LT0Q1G01WADD1")</f>
        <v>LT0Q1G01WADD1</v>
      </c>
      <c r="F4950" s="238" t="str">
        <f>IFERROR(__xludf.DUMMYFUNCTION("""COMPUTED_VALUE"""),"SVL5H32")</f>
        <v>SVL5H32</v>
      </c>
      <c r="G4950" s="238">
        <f>IFERROR(__xludf.DUMMYFUNCTION("""COMPUTED_VALUE"""),46038.22916666667)</f>
        <v>46038.22917</v>
      </c>
      <c r="H4950" s="238">
        <f>IFERROR(__xludf.DUMMYFUNCTION("""COMPUTED_VALUE"""),46038.3125)</f>
        <v>46038.3125</v>
      </c>
      <c r="I4950" s="237" t="str">
        <f t="shared" si="1"/>
        <v>Fora</v>
      </c>
      <c r="J4950" s="239">
        <v>119.99999999301508</v>
      </c>
    </row>
    <row r="4951">
      <c r="A4951" s="234" t="s">
        <v>947</v>
      </c>
      <c r="B4951" s="234" t="str">
        <f>IFERROR(__xludf.DUMMYFUNCTION("""COMPUTED_VALUE"""),"LM Hub_SP_São José dos Campos")</f>
        <v>LM Hub_SP_São José dos Campos</v>
      </c>
      <c r="C4951" s="234" t="str">
        <f>IFERROR(__xludf.DUMMYFUNCTION("""COMPUTED_VALUE"""),"HUB-LSP-04")</f>
        <v>HUB-LSP-04</v>
      </c>
      <c r="D4951" s="234">
        <f>IFERROR(__xludf.DUMMYFUNCTION("""COMPUTED_VALUE"""),23.0)</f>
        <v>23</v>
      </c>
      <c r="E4951" s="237" t="str">
        <f>IFERROR(__xludf.DUMMYFUNCTION("""COMPUTED_VALUE"""),"LT0Q1G01WADH1")</f>
        <v>LT0Q1G01WADH1</v>
      </c>
      <c r="F4951" s="238" t="str">
        <f>IFERROR(__xludf.DUMMYFUNCTION("""COMPUTED_VALUE"""),"TBX6C72")</f>
        <v>TBX6C72</v>
      </c>
      <c r="G4951" s="238">
        <f>IFERROR(__xludf.DUMMYFUNCTION("""COMPUTED_VALUE"""),46038.22916666667)</f>
        <v>46038.22917</v>
      </c>
      <c r="H4951" s="238">
        <f>IFERROR(__xludf.DUMMYFUNCTION("""COMPUTED_VALUE"""),46038.3125)</f>
        <v>46038.3125</v>
      </c>
      <c r="I4951" s="237" t="str">
        <f t="shared" si="1"/>
        <v>Fora</v>
      </c>
      <c r="J4951" s="239">
        <v>119.99999999301508</v>
      </c>
    </row>
    <row r="4952">
      <c r="A4952" s="234" t="s">
        <v>948</v>
      </c>
      <c r="B4952" s="234" t="str">
        <f>IFERROR(__xludf.DUMMYFUNCTION("""COMPUTED_VALUE"""),"LM Hub_SP_Várzea Paulista")</f>
        <v>LM Hub_SP_Várzea Paulista</v>
      </c>
      <c r="C4952" s="234" t="str">
        <f>IFERROR(__xludf.DUMMYFUNCTION("""COMPUTED_VALUE"""),"HUB-LSP-20")</f>
        <v>HUB-LSP-20</v>
      </c>
      <c r="D4952" s="234"/>
      <c r="E4952" s="237" t="str">
        <f>IFERROR(__xludf.DUMMYFUNCTION("""COMPUTED_VALUE"""),"LT0Q1G01W9CJ1")</f>
        <v>LT0Q1G01W9CJ1</v>
      </c>
      <c r="F4952" s="238" t="str">
        <f>IFERROR(__xludf.DUMMYFUNCTION("""COMPUTED_VALUE"""),"RJG8E37")</f>
        <v>RJG8E37</v>
      </c>
      <c r="G4952" s="238">
        <f>IFERROR(__xludf.DUMMYFUNCTION("""COMPUTED_VALUE"""),46038.22916666667)</f>
        <v>46038.22917</v>
      </c>
      <c r="H4952" s="238">
        <f>IFERROR(__xludf.DUMMYFUNCTION("""COMPUTED_VALUE"""),46038.3125)</f>
        <v>46038.3125</v>
      </c>
      <c r="I4952" s="237" t="str">
        <f t="shared" si="1"/>
        <v>Fora</v>
      </c>
      <c r="J4952" s="239">
        <v>119.00000000023283</v>
      </c>
    </row>
    <row r="4953">
      <c r="A4953" s="234" t="s">
        <v>5898</v>
      </c>
      <c r="B4953" s="234" t="str">
        <f>IFERROR(__xludf.DUMMYFUNCTION("""COMPUTED_VALUE"""),"LM Hub_SP_São Paulo_Mooca")</f>
        <v>LM Hub_SP_São Paulo_Mooca</v>
      </c>
      <c r="C4953" s="234" t="str">
        <f>IFERROR(__xludf.DUMMYFUNCTION("""COMPUTED_VALUE"""),"HUB-LSP-13")</f>
        <v>HUB-LSP-13</v>
      </c>
      <c r="D4953" s="234">
        <f>IFERROR(__xludf.DUMMYFUNCTION("""COMPUTED_VALUE"""),12.0)</f>
        <v>12</v>
      </c>
      <c r="E4953" s="237" t="str">
        <f>IFERROR(__xludf.DUMMYFUNCTION("""COMPUTED_VALUE"""),"LT0Q1G01WIKI1")</f>
        <v>LT0Q1G01WIKI1</v>
      </c>
      <c r="F4953" s="238" t="str">
        <f>IFERROR(__xludf.DUMMYFUNCTION("""COMPUTED_VALUE"""),"PEP9J38")</f>
        <v>PEP9J38</v>
      </c>
      <c r="G4953" s="238">
        <f>IFERROR(__xludf.DUMMYFUNCTION("""COMPUTED_VALUE"""),46038.22986111111)</f>
        <v>46038.22986</v>
      </c>
      <c r="H4953" s="238">
        <f>IFERROR(__xludf.DUMMYFUNCTION("""COMPUTED_VALUE"""),46038.3125)</f>
        <v>46038.3125</v>
      </c>
      <c r="I4953" s="237" t="str">
        <f t="shared" si="1"/>
        <v>Fora</v>
      </c>
      <c r="J4953" s="239">
        <v>119.00000000023283</v>
      </c>
    </row>
    <row r="4954">
      <c r="A4954" s="234" t="s">
        <v>949</v>
      </c>
      <c r="B4954" s="234" t="str">
        <f>IFERROR(__xludf.DUMMYFUNCTION("""COMPUTED_VALUE"""),"LM Hub_SP_Suzano_Baruel")</f>
        <v>LM Hub_SP_Suzano_Baruel</v>
      </c>
      <c r="C4954" s="234" t="str">
        <f>IFERROR(__xludf.DUMMYFUNCTION("""COMPUTED_VALUE"""),"HUB-LSP-97")</f>
        <v>HUB-LSP-97</v>
      </c>
      <c r="D4954" s="234">
        <f>IFERROR(__xludf.DUMMYFUNCTION("""COMPUTED_VALUE"""),35.0)</f>
        <v>35</v>
      </c>
      <c r="E4954" s="237" t="str">
        <f>IFERROR(__xludf.DUMMYFUNCTION("""COMPUTED_VALUE"""),"LT0Q1G01WGB81")</f>
        <v>LT0Q1G01WGB81</v>
      </c>
      <c r="F4954" s="238" t="str">
        <f>IFERROR(__xludf.DUMMYFUNCTION("""COMPUTED_VALUE"""),"SXK8F50")</f>
        <v>SXK8F50</v>
      </c>
      <c r="G4954" s="238">
        <f>IFERROR(__xludf.DUMMYFUNCTION("""COMPUTED_VALUE"""),46038.22986111111)</f>
        <v>46038.22986</v>
      </c>
      <c r="H4954" s="238">
        <f>IFERROR(__xludf.DUMMYFUNCTION("""COMPUTED_VALUE"""),46038.3125)</f>
        <v>46038.3125</v>
      </c>
      <c r="I4954" s="237" t="str">
        <f t="shared" si="1"/>
        <v>Fora</v>
      </c>
      <c r="J4954" s="239">
        <v>540.0</v>
      </c>
    </row>
    <row r="4955">
      <c r="A4955" s="234" t="s">
        <v>5899</v>
      </c>
      <c r="B4955" s="234" t="str">
        <f>IFERROR(__xludf.DUMMYFUNCTION("""COMPUTED_VALUE"""),"SoC_RJ_Duque de Caxias")</f>
        <v>SoC_RJ_Duque de Caxias</v>
      </c>
      <c r="C4955" s="234" t="str">
        <f>IFERROR(__xludf.DUMMYFUNCTION("""COMPUTED_VALUE"""),"SOC-RJ2")</f>
        <v>SOC-RJ2</v>
      </c>
      <c r="D4955" s="234">
        <f>IFERROR(__xludf.DUMMYFUNCTION("""COMPUTED_VALUE"""),96.0)</f>
        <v>96</v>
      </c>
      <c r="E4955" s="237" t="str">
        <f>IFERROR(__xludf.DUMMYFUNCTION("""COMPUTED_VALUE"""),"LT1Q1F01WPC91")</f>
        <v>LT1Q1F01WPC91</v>
      </c>
      <c r="F4955" s="238" t="str">
        <f>IFERROR(__xludf.DUMMYFUNCTION("""COMPUTED_VALUE"""),"ETU9F30,CLU2H96")</f>
        <v>ETU9F30,CLU2H96</v>
      </c>
      <c r="G4955" s="238">
        <f>IFERROR(__xludf.DUMMYFUNCTION("""COMPUTED_VALUE"""),46037.95833333333)</f>
        <v>46037.95833</v>
      </c>
      <c r="H4955" s="238">
        <f>IFERROR(__xludf.DUMMYFUNCTION("""COMPUTED_VALUE"""),46038.33333333333)</f>
        <v>46038.33333</v>
      </c>
      <c r="I4955" s="237" t="str">
        <f t="shared" si="1"/>
        <v>Fora</v>
      </c>
      <c r="J4955" s="239">
        <v>540.0</v>
      </c>
    </row>
    <row r="4956">
      <c r="A4956" s="234" t="s">
        <v>950</v>
      </c>
      <c r="B4956" s="234" t="str">
        <f>IFERROR(__xludf.DUMMYFUNCTION("""COMPUTED_VALUE"""),"SoC_MG_Betim")</f>
        <v>SoC_MG_Betim</v>
      </c>
      <c r="C4956" s="234" t="str">
        <f>IFERROR(__xludf.DUMMYFUNCTION("""COMPUTED_VALUE"""),"SOC-MG2")</f>
        <v>SOC-MG2</v>
      </c>
      <c r="D4956" s="234">
        <f>IFERROR(__xludf.DUMMYFUNCTION("""COMPUTED_VALUE"""),91.0)</f>
        <v>91</v>
      </c>
      <c r="E4956" s="237" t="str">
        <f>IFERROR(__xludf.DUMMYFUNCTION("""COMPUTED_VALUE"""),"LT0Q1F01W9362")</f>
        <v>LT0Q1F01W9362</v>
      </c>
      <c r="F4956" s="238" t="str">
        <f>IFERROR(__xludf.DUMMYFUNCTION("""COMPUTED_VALUE"""),"FCA3E37,FGJ9H71")</f>
        <v>FCA3E37,FGJ9H71</v>
      </c>
      <c r="G4956" s="238">
        <f>IFERROR(__xludf.DUMMYFUNCTION("""COMPUTED_VALUE"""),46038.0)</f>
        <v>46038</v>
      </c>
      <c r="H4956" s="238">
        <f>IFERROR(__xludf.DUMMYFUNCTION("""COMPUTED_VALUE"""),46038.375)</f>
        <v>46038.375</v>
      </c>
      <c r="I4956" s="237" t="str">
        <f t="shared" si="1"/>
        <v>Fora</v>
      </c>
      <c r="J4956" s="239">
        <v>360.0</v>
      </c>
    </row>
    <row r="4957">
      <c r="A4957" s="234" t="s">
        <v>951</v>
      </c>
      <c r="B4957" s="234" t="str">
        <f>IFERROR(__xludf.DUMMYFUNCTION("""COMPUTED_VALUE"""),"SoC_RJ_Duque de Caxias")</f>
        <v>SoC_RJ_Duque de Caxias</v>
      </c>
      <c r="C4957" s="234" t="str">
        <f>IFERROR(__xludf.DUMMYFUNCTION("""COMPUTED_VALUE"""),"SOC-RJ2")</f>
        <v>SOC-RJ2</v>
      </c>
      <c r="D4957" s="234"/>
      <c r="E4957" s="237" t="str">
        <f>IFERROR(__xludf.DUMMYFUNCTION("""COMPUTED_VALUE"""),"LT1Q1G01WPSY1")</f>
        <v>LT1Q1G01WPSY1</v>
      </c>
      <c r="F4957" s="238" t="str">
        <f>IFERROR(__xludf.DUMMYFUNCTION("""COMPUTED_VALUE"""),"HBF0565,EOE8420")</f>
        <v>HBF0565,EOE8420</v>
      </c>
      <c r="G4957" s="238">
        <f>IFERROR(__xludf.DUMMYFUNCTION("""COMPUTED_VALUE"""),46038.16666666667)</f>
        <v>46038.16667</v>
      </c>
      <c r="H4957" s="238">
        <f>IFERROR(__xludf.DUMMYFUNCTION("""COMPUTED_VALUE"""),46038.41666666667)</f>
        <v>46038.41667</v>
      </c>
      <c r="I4957" s="237" t="str">
        <f t="shared" si="1"/>
        <v>Fora</v>
      </c>
      <c r="J4957" s="239">
        <v>360.0</v>
      </c>
    </row>
    <row r="4958">
      <c r="A4958" s="234" t="s">
        <v>5900</v>
      </c>
      <c r="B4958" s="234" t="str">
        <f>IFERROR(__xludf.DUMMYFUNCTION("""COMPUTED_VALUE"""),"SoC_RJ_Duque de Caxias")</f>
        <v>SoC_RJ_Duque de Caxias</v>
      </c>
      <c r="C4958" s="234" t="str">
        <f>IFERROR(__xludf.DUMMYFUNCTION("""COMPUTED_VALUE"""),"SOC-RJ2")</f>
        <v>SOC-RJ2</v>
      </c>
      <c r="D4958" s="234">
        <f>IFERROR(__xludf.DUMMYFUNCTION("""COMPUTED_VALUE"""),97.0)</f>
        <v>97</v>
      </c>
      <c r="E4958" s="237" t="str">
        <f>IFERROR(__xludf.DUMMYFUNCTION("""COMPUTED_VALUE"""),"LT1Q1G01WQ061")</f>
        <v>LT1Q1G01WQ061</v>
      </c>
      <c r="F4958" s="238" t="str">
        <f>IFERROR(__xludf.DUMMYFUNCTION("""COMPUTED_VALUE"""),"OVB9B40,EFW2H14")</f>
        <v>OVB9B40,EFW2H14</v>
      </c>
      <c r="G4958" s="238">
        <f>IFERROR(__xludf.DUMMYFUNCTION("""COMPUTED_VALUE"""),46038.16666666667)</f>
        <v>46038.16667</v>
      </c>
      <c r="H4958" s="238">
        <f>IFERROR(__xludf.DUMMYFUNCTION("""COMPUTED_VALUE"""),46038.41666666667)</f>
        <v>46038.41667</v>
      </c>
      <c r="I4958" s="237" t="str">
        <f t="shared" si="1"/>
        <v>Fora</v>
      </c>
      <c r="J4958" s="239">
        <v>538.0000000144355</v>
      </c>
    </row>
    <row r="4959">
      <c r="A4959" s="234" t="s">
        <v>5901</v>
      </c>
      <c r="B4959" s="234" t="str">
        <f>IFERROR(__xludf.DUMMYFUNCTION("""COMPUTED_VALUE"""),"SoC_MG_Betim")</f>
        <v>SoC_MG_Betim</v>
      </c>
      <c r="C4959" s="234" t="str">
        <f>IFERROR(__xludf.DUMMYFUNCTION("""COMPUTED_VALUE"""),"SOC-MG2")</f>
        <v>SOC-MG2</v>
      </c>
      <c r="D4959" s="234"/>
      <c r="E4959" s="237" t="str">
        <f>IFERROR(__xludf.DUMMYFUNCTION("""COMPUTED_VALUE"""),"LT0Q1F01W93N2")</f>
        <v>LT0Q1F01W93N2</v>
      </c>
      <c r="F4959" s="238" t="str">
        <f>IFERROR(__xludf.DUMMYFUNCTION("""COMPUTED_VALUE"""),"FRM4I25,FCM8B62")</f>
        <v>FRM4I25,FCM8B62</v>
      </c>
      <c r="G4959" s="238">
        <f>IFERROR(__xludf.DUMMYFUNCTION("""COMPUTED_VALUE"""),46038.16805555555)</f>
        <v>46038.16806</v>
      </c>
      <c r="H4959" s="238">
        <f>IFERROR(__xludf.DUMMYFUNCTION("""COMPUTED_VALUE"""),46038.54166666667)</f>
        <v>46038.54167</v>
      </c>
      <c r="I4959" s="237" t="str">
        <f t="shared" si="1"/>
        <v>Fora</v>
      </c>
      <c r="J4959" s="239" t="e">
        <v>#VALUE!</v>
      </c>
    </row>
    <row r="4960">
      <c r="A4960" s="234" t="s">
        <v>5902</v>
      </c>
      <c r="B4960" s="234" t="str">
        <f>IFERROR(__xludf.DUMMYFUNCTION("""COMPUTED_VALUE"""),"Fanout Desconhecido")</f>
        <v>Fanout Desconhecido</v>
      </c>
      <c r="C4960" s="234" t="str">
        <f>IFERROR(__xludf.DUMMYFUNCTION("""COMPUTED_VALUE"""),"-")</f>
        <v>-</v>
      </c>
      <c r="D4960" s="234"/>
      <c r="E4960" s="237" t="str">
        <f>IFERROR(__xludf.DUMMYFUNCTION("""COMPUTED_VALUE"""),"LT1Q1G01WQ0B1")</f>
        <v>LT1Q1G01WQ0B1</v>
      </c>
      <c r="F4960" s="238" t="str">
        <f>IFERROR(__xludf.DUMMYFUNCTION("""COMPUTED_VALUE"""),"-")</f>
        <v>-</v>
      </c>
      <c r="G4960" s="238" t="str">
        <f>IFERROR(__xludf.DUMMYFUNCTION("""COMPUTED_VALUE"""),"-")</f>
        <v>-</v>
      </c>
      <c r="H4960" s="238" t="str">
        <f>IFERROR(__xludf.DUMMYFUNCTION("""COMPUTED_VALUE"""),"-")</f>
        <v>-</v>
      </c>
      <c r="I4960" s="237" t="str">
        <f t="shared" si="1"/>
        <v>Dentro</v>
      </c>
      <c r="J4960" s="239">
        <v>59.99999998603016</v>
      </c>
    </row>
    <row r="4961">
      <c r="A4961" s="234" t="s">
        <v>5903</v>
      </c>
      <c r="B4961" s="234" t="str">
        <f>IFERROR(__xludf.DUMMYFUNCTION("""COMPUTED_VALUE"""),"SoC_SC_Itajaí")</f>
        <v>SoC_SC_Itajaí</v>
      </c>
      <c r="C4961" s="234" t="str">
        <f>IFERROR(__xludf.DUMMYFUNCTION("""COMPUTED_VALUE"""),"SOC-SC1")</f>
        <v>SOC-SC1</v>
      </c>
      <c r="D4961" s="234"/>
      <c r="E4961" s="237" t="str">
        <f>IFERROR(__xludf.DUMMYFUNCTION("""COMPUTED_VALUE"""),"LT1Q1G01WQ0E1")</f>
        <v>LT1Q1G01WQ0E1</v>
      </c>
      <c r="F4961" s="238" t="str">
        <f>IFERROR(__xludf.DUMMYFUNCTION("""COMPUTED_VALUE"""),"EML3F11,UDF2E28")</f>
        <v>EML3F11,UDF2E28</v>
      </c>
      <c r="G4961" s="238">
        <f>IFERROR(__xludf.DUMMYFUNCTION("""COMPUTED_VALUE"""),46038.16666666667)</f>
        <v>46038.16667</v>
      </c>
      <c r="H4961" s="238">
        <f>IFERROR(__xludf.DUMMYFUNCTION("""COMPUTED_VALUE"""),46038.20833333333)</f>
        <v>46038.20833</v>
      </c>
      <c r="I4961" s="237" t="str">
        <f t="shared" si="1"/>
        <v>Fora</v>
      </c>
      <c r="J4961" s="239">
        <v>597.0000000076834</v>
      </c>
    </row>
    <row r="4962">
      <c r="A4962" s="234" t="s">
        <v>952</v>
      </c>
      <c r="B4962" s="234" t="str">
        <f>IFERROR(__xludf.DUMMYFUNCTION("""COMPUTED_VALUE"""),"SoC_SP_Cravinhos")</f>
        <v>SoC_SP_Cravinhos</v>
      </c>
      <c r="C4962" s="234" t="str">
        <f>IFERROR(__xludf.DUMMYFUNCTION("""COMPUTED_VALUE"""),"SOC-SP5")</f>
        <v>SOC-SP5</v>
      </c>
      <c r="D4962" s="234">
        <f>IFERROR(__xludf.DUMMYFUNCTION("""COMPUTED_VALUE"""),94.0)</f>
        <v>94</v>
      </c>
      <c r="E4962" s="237" t="str">
        <f>IFERROR(__xludf.DUMMYFUNCTION("""COMPUTED_VALUE"""),"LT0Q1G01W94P2")</f>
        <v>LT0Q1G01W94P2</v>
      </c>
      <c r="F4962" s="238" t="str">
        <f>IFERROR(__xludf.DUMMYFUNCTION("""COMPUTED_VALUE"""),"FEK3A22,EWJ2318")</f>
        <v>FEK3A22,EWJ2318</v>
      </c>
      <c r="G4962" s="238">
        <f>IFERROR(__xludf.DUMMYFUNCTION("""COMPUTED_VALUE"""),46038.25208333333)</f>
        <v>46038.25208</v>
      </c>
      <c r="H4962" s="238">
        <f>IFERROR(__xludf.DUMMYFUNCTION("""COMPUTED_VALUE"""),46038.66666666667)</f>
        <v>46038.66667</v>
      </c>
      <c r="I4962" s="237" t="str">
        <f t="shared" si="1"/>
        <v>Fora</v>
      </c>
      <c r="J4962" s="239">
        <v>600.0000000069849</v>
      </c>
    </row>
    <row r="4963">
      <c r="A4963" s="234" t="s">
        <v>953</v>
      </c>
      <c r="B4963" s="234" t="str">
        <f>IFERROR(__xludf.DUMMYFUNCTION("""COMPUTED_VALUE"""),"SoC_BA_Simoes Filho")</f>
        <v>SoC_BA_Simoes Filho</v>
      </c>
      <c r="C4963" s="234" t="str">
        <f>IFERROR(__xludf.DUMMYFUNCTION("""COMPUTED_VALUE"""),"SOC-BA2")</f>
        <v>SOC-BA2</v>
      </c>
      <c r="D4963" s="234">
        <f>IFERROR(__xludf.DUMMYFUNCTION("""COMPUTED_VALUE"""),88.0)</f>
        <v>88</v>
      </c>
      <c r="E4963" s="237" t="str">
        <f>IFERROR(__xludf.DUMMYFUNCTION("""COMPUTED_VALUE"""),"LT0Q1G01WETN1")</f>
        <v>LT0Q1G01WETN1</v>
      </c>
      <c r="F4963" s="238" t="str">
        <f>IFERROR(__xludf.DUMMYFUNCTION("""COMPUTED_VALUE"""),"FEJ7F84,HIJ0C98")</f>
        <v>FEJ7F84,HIJ0C98</v>
      </c>
      <c r="G4963" s="238">
        <f>IFERROR(__xludf.DUMMYFUNCTION("""COMPUTED_VALUE"""),46038.25)</f>
        <v>46038.25</v>
      </c>
      <c r="H4963" s="238">
        <f>IFERROR(__xludf.DUMMYFUNCTION("""COMPUTED_VALUE"""),46038.66666666667)</f>
        <v>46038.66667</v>
      </c>
      <c r="I4963" s="237" t="str">
        <f t="shared" si="1"/>
        <v>Fora</v>
      </c>
      <c r="J4963" s="239">
        <v>599.0000000037253</v>
      </c>
    </row>
    <row r="4964">
      <c r="A4964" s="234" t="s">
        <v>954</v>
      </c>
      <c r="B4964" s="234" t="str">
        <f>IFERROR(__xludf.DUMMYFUNCTION("""COMPUTED_VALUE"""),"SoC_RS_Gravataí_02")</f>
        <v>SoC_RS_Gravataí_02</v>
      </c>
      <c r="C4964" s="234" t="str">
        <f>IFERROR(__xludf.DUMMYFUNCTION("""COMPUTED_VALUE"""),"SOC-RS2")</f>
        <v>SOC-RS2</v>
      </c>
      <c r="D4964" s="234">
        <f>IFERROR(__xludf.DUMMYFUNCTION("""COMPUTED_VALUE"""),102.0)</f>
        <v>102</v>
      </c>
      <c r="E4964" s="237" t="str">
        <f>IFERROR(__xludf.DUMMYFUNCTION("""COMPUTED_VALUE"""),"LT0Q1G01WF7Y2")</f>
        <v>LT0Q1G01WF7Y2</v>
      </c>
      <c r="F4964" s="238" t="str">
        <f>IFERROR(__xludf.DUMMYFUNCTION("""COMPUTED_VALUE"""),"QHS2J17,JAP7A06")</f>
        <v>QHS2J17,JAP7A06</v>
      </c>
      <c r="G4964" s="238">
        <f>IFERROR(__xludf.DUMMYFUNCTION("""COMPUTED_VALUE"""),46038.25069444445)</f>
        <v>46038.25069</v>
      </c>
      <c r="H4964" s="238">
        <f>IFERROR(__xludf.DUMMYFUNCTION("""COMPUTED_VALUE"""),46038.66666666667)</f>
        <v>46038.66667</v>
      </c>
      <c r="I4964" s="237" t="str">
        <f t="shared" si="1"/>
        <v>Fora</v>
      </c>
      <c r="J4964" s="239">
        <v>598.0000000004657</v>
      </c>
    </row>
    <row r="4965">
      <c r="A4965" s="234" t="s">
        <v>955</v>
      </c>
      <c r="B4965" s="234" t="str">
        <f>IFERROR(__xludf.DUMMYFUNCTION("""COMPUTED_VALUE"""),"SoC_GO_Goiânia_02")</f>
        <v>SoC_GO_Goiânia_02</v>
      </c>
      <c r="C4965" s="234" t="str">
        <f>IFERROR(__xludf.DUMMYFUNCTION("""COMPUTED_VALUE"""),"SOC-GO2")</f>
        <v>SOC-GO2</v>
      </c>
      <c r="D4965" s="234">
        <f>IFERROR(__xludf.DUMMYFUNCTION("""COMPUTED_VALUE"""),87.0)</f>
        <v>87</v>
      </c>
      <c r="E4965" s="237" t="str">
        <f>IFERROR(__xludf.DUMMYFUNCTION("""COMPUTED_VALUE"""),"LT0Q1G01WF5Q1")</f>
        <v>LT0Q1G01WF5Q1</v>
      </c>
      <c r="F4965" s="238" t="str">
        <f>IFERROR(__xludf.DUMMYFUNCTION("""COMPUTED_VALUE"""),"TGJ1H32,SDI0A16")</f>
        <v>TGJ1H32,SDI0A16</v>
      </c>
      <c r="G4965" s="238">
        <f>IFERROR(__xludf.DUMMYFUNCTION("""COMPUTED_VALUE"""),46038.25138888889)</f>
        <v>46038.25139</v>
      </c>
      <c r="H4965" s="238">
        <f>IFERROR(__xludf.DUMMYFUNCTION("""COMPUTED_VALUE"""),46038.66666666667)</f>
        <v>46038.66667</v>
      </c>
      <c r="I4965" s="237" t="str">
        <f t="shared" si="1"/>
        <v>Fora</v>
      </c>
      <c r="J4965" s="239">
        <v>597.0000000076834</v>
      </c>
    </row>
    <row r="4966">
      <c r="A4966" s="234" t="s">
        <v>956</v>
      </c>
      <c r="B4966" s="234" t="str">
        <f>IFERROR(__xludf.DUMMYFUNCTION("""COMPUTED_VALUE"""),"SoC_RJ_Duque de Caxias")</f>
        <v>SoC_RJ_Duque de Caxias</v>
      </c>
      <c r="C4966" s="234" t="str">
        <f>IFERROR(__xludf.DUMMYFUNCTION("""COMPUTED_VALUE"""),"SOC-RJ2")</f>
        <v>SOC-RJ2</v>
      </c>
      <c r="D4966" s="234">
        <f>IFERROR(__xludf.DUMMYFUNCTION("""COMPUTED_VALUE"""),97.0)</f>
        <v>97</v>
      </c>
      <c r="E4966" s="237" t="str">
        <f>IFERROR(__xludf.DUMMYFUNCTION("""COMPUTED_VALUE"""),"LT0Q1G01WIRH1")</f>
        <v>LT0Q1G01WIRH1</v>
      </c>
      <c r="F4966" s="238" t="str">
        <f>IFERROR(__xludf.DUMMYFUNCTION("""COMPUTED_VALUE"""),"IYX1J37,ODH9G75")</f>
        <v>IYX1J37,ODH9G75</v>
      </c>
      <c r="G4966" s="238">
        <f>IFERROR(__xludf.DUMMYFUNCTION("""COMPUTED_VALUE"""),46038.25208333333)</f>
        <v>46038.25208</v>
      </c>
      <c r="H4966" s="238">
        <f>IFERROR(__xludf.DUMMYFUNCTION("""COMPUTED_VALUE"""),46038.66666666667)</f>
        <v>46038.66667</v>
      </c>
      <c r="I4966" s="237" t="str">
        <f t="shared" si="1"/>
        <v>Fora</v>
      </c>
      <c r="J4966" s="239">
        <v>596.999999997206</v>
      </c>
    </row>
    <row r="4967">
      <c r="A4967" s="234" t="s">
        <v>957</v>
      </c>
      <c r="B4967" s="234" t="str">
        <f>IFERROR(__xludf.DUMMYFUNCTION("""COMPUTED_VALUE"""),"SoC_RJ_Duque de Caxias")</f>
        <v>SoC_RJ_Duque de Caxias</v>
      </c>
      <c r="C4967" s="234" t="str">
        <f>IFERROR(__xludf.DUMMYFUNCTION("""COMPUTED_VALUE"""),"SOC-RJ2")</f>
        <v>SOC-RJ2</v>
      </c>
      <c r="D4967" s="234">
        <f>IFERROR(__xludf.DUMMYFUNCTION("""COMPUTED_VALUE"""),96.0)</f>
        <v>96</v>
      </c>
      <c r="E4967" s="237" t="str">
        <f>IFERROR(__xludf.DUMMYFUNCTION("""COMPUTED_VALUE"""),"LT0Q1G01WIRJ2")</f>
        <v>LT0Q1G01WIRJ2</v>
      </c>
      <c r="F4967" s="238" t="str">
        <f>IFERROR(__xludf.DUMMYFUNCTION("""COMPUTED_VALUE"""),"SRD9E27,DWQ3B82")</f>
        <v>SRD9E27,DWQ3B82</v>
      </c>
      <c r="G4967" s="238">
        <f>IFERROR(__xludf.DUMMYFUNCTION("""COMPUTED_VALUE"""),46038.33541666667)</f>
        <v>46038.33542</v>
      </c>
      <c r="H4967" s="238">
        <f>IFERROR(__xludf.DUMMYFUNCTION("""COMPUTED_VALUE"""),46038.75)</f>
        <v>46038.75</v>
      </c>
      <c r="I4967" s="237" t="str">
        <f t="shared" si="1"/>
        <v>Fora</v>
      </c>
      <c r="J4967" s="239">
        <v>538.9999999967404</v>
      </c>
    </row>
    <row r="4968">
      <c r="A4968" s="234" t="s">
        <v>5904</v>
      </c>
      <c r="B4968" s="234" t="str">
        <f>IFERROR(__xludf.DUMMYFUNCTION("""COMPUTED_VALUE"""),"SoC_SP_Cravinhos")</f>
        <v>SoC_SP_Cravinhos</v>
      </c>
      <c r="C4968" s="234" t="str">
        <f>IFERROR(__xludf.DUMMYFUNCTION("""COMPUTED_VALUE"""),"SOC-SP5")</f>
        <v>SOC-SP5</v>
      </c>
      <c r="D4968" s="234">
        <f>IFERROR(__xludf.DUMMYFUNCTION("""COMPUTED_VALUE"""),94.0)</f>
        <v>94</v>
      </c>
      <c r="E4968" s="237" t="str">
        <f>IFERROR(__xludf.DUMMYFUNCTION("""COMPUTED_VALUE"""),"LT0Q1G01W9502")</f>
        <v>LT0Q1G01W9502</v>
      </c>
      <c r="F4968" s="238" t="str">
        <f>IFERROR(__xludf.DUMMYFUNCTION("""COMPUTED_VALUE"""),"EOF1D30,BWY8H57")</f>
        <v>EOF1D30,BWY8H57</v>
      </c>
      <c r="G4968" s="238">
        <f>IFERROR(__xludf.DUMMYFUNCTION("""COMPUTED_VALUE"""),46038.584027777775)</f>
        <v>46038.58403</v>
      </c>
      <c r="H4968" s="238">
        <f>IFERROR(__xludf.DUMMYFUNCTION("""COMPUTED_VALUE"""),46038.95833333333)</f>
        <v>46038.95833</v>
      </c>
      <c r="I4968" s="237" t="str">
        <f t="shared" si="1"/>
        <v>Fora</v>
      </c>
      <c r="J4968" s="239">
        <v>119.99999999301508</v>
      </c>
    </row>
    <row r="4969">
      <c r="A4969" s="234" t="s">
        <v>5905</v>
      </c>
      <c r="B4969" s="234" t="str">
        <f>IFERROR(__xludf.DUMMYFUNCTION("""COMPUTED_VALUE"""),"LM Hub_SP_Jurubatuba")</f>
        <v>LM Hub_SP_Jurubatuba</v>
      </c>
      <c r="C4969" s="234" t="str">
        <f>IFERROR(__xludf.DUMMYFUNCTION("""COMPUTED_VALUE"""),"HUB-LSP-16")</f>
        <v>HUB-LSP-16</v>
      </c>
      <c r="D4969" s="234"/>
      <c r="E4969" s="237" t="str">
        <f>IFERROR(__xludf.DUMMYFUNCTION("""COMPUTED_VALUE"""),"LT1Q1G01X0SP1")</f>
        <v>LT1Q1G01X0SP1</v>
      </c>
      <c r="F4969" s="238" t="str">
        <f>IFERROR(__xludf.DUMMYFUNCTION("""COMPUTED_VALUE"""),"DVS4I95")</f>
        <v>DVS4I95</v>
      </c>
      <c r="G4969" s="238">
        <f>IFERROR(__xludf.DUMMYFUNCTION("""COMPUTED_VALUE"""),46038.875)</f>
        <v>46038.875</v>
      </c>
      <c r="H4969" s="238">
        <f>IFERROR(__xludf.DUMMYFUNCTION("""COMPUTED_VALUE"""),46038.95833333333)</f>
        <v>46038.95833</v>
      </c>
      <c r="I4969" s="237" t="str">
        <f t="shared" si="1"/>
        <v>Fora</v>
      </c>
      <c r="J4969" s="239">
        <v>120.00000001396984</v>
      </c>
    </row>
    <row r="4970">
      <c r="A4970" s="234" t="s">
        <v>5906</v>
      </c>
      <c r="B4970" s="234" t="str">
        <f>IFERROR(__xludf.DUMMYFUNCTION("""COMPUTED_VALUE"""),"LM Hub_RJ_Jacarepaguá")</f>
        <v>LM Hub_RJ_Jacarepaguá</v>
      </c>
      <c r="C4970" s="234" t="str">
        <f>IFERROR(__xludf.DUMMYFUNCTION("""COMPUTED_VALUE"""),"HUB-LRJ-29")</f>
        <v>HUB-LRJ-29</v>
      </c>
      <c r="D4970" s="234">
        <f>IFERROR(__xludf.DUMMYFUNCTION("""COMPUTED_VALUE"""),6.0)</f>
        <v>6</v>
      </c>
      <c r="E4970" s="237" t="str">
        <f>IFERROR(__xludf.DUMMYFUNCTION("""COMPUTED_VALUE"""),"LT0Q1G01WF2R1")</f>
        <v>LT0Q1G01WF2R1</v>
      </c>
      <c r="F4970" s="238" t="str">
        <f>IFERROR(__xludf.DUMMYFUNCTION("""COMPUTED_VALUE"""),"TBX6B96")</f>
        <v>TBX6B96</v>
      </c>
      <c r="G4970" s="238">
        <f>IFERROR(__xludf.DUMMYFUNCTION("""COMPUTED_VALUE"""),46038.89583333333)</f>
        <v>46038.89583</v>
      </c>
      <c r="H4970" s="238">
        <f>IFERROR(__xludf.DUMMYFUNCTION("""COMPUTED_VALUE"""),46038.97916666667)</f>
        <v>46038.97917</v>
      </c>
      <c r="I4970" s="237" t="str">
        <f t="shared" si="1"/>
        <v>Fora</v>
      </c>
      <c r="J4970" s="239">
        <v>120.00000001396984</v>
      </c>
    </row>
    <row r="4971">
      <c r="A4971" s="234" t="s">
        <v>5907</v>
      </c>
      <c r="B4971" s="234" t="str">
        <f>IFERROR(__xludf.DUMMYFUNCTION("""COMPUTED_VALUE"""),"LM Hub_SP_Itaqua_Zimba")</f>
        <v>LM Hub_SP_Itaqua_Zimba</v>
      </c>
      <c r="C4971" s="234" t="str">
        <f>IFERROR(__xludf.DUMMYFUNCTION("""COMPUTED_VALUE"""),"HUB-LSP-74")</f>
        <v>HUB-LSP-74</v>
      </c>
      <c r="D4971" s="234">
        <f>IFERROR(__xludf.DUMMYFUNCTION("""COMPUTED_VALUE"""),33.0)</f>
        <v>33</v>
      </c>
      <c r="E4971" s="237" t="str">
        <f>IFERROR(__xludf.DUMMYFUNCTION("""COMPUTED_VALUE"""),"LT0Q1G01W98R1")</f>
        <v>LT0Q1G01W98R1</v>
      </c>
      <c r="F4971" s="238" t="str">
        <f>IFERROR(__xludf.DUMMYFUNCTION("""COMPUTED_VALUE"""),"GDQ4B07,EJV3B62")</f>
        <v>GDQ4B07,EJV3B62</v>
      </c>
      <c r="G4971" s="238">
        <f>IFERROR(__xludf.DUMMYFUNCTION("""COMPUTED_VALUE"""),46038.89583333333)</f>
        <v>46038.89583</v>
      </c>
      <c r="H4971" s="238">
        <f>IFERROR(__xludf.DUMMYFUNCTION("""COMPUTED_VALUE"""),46038.97916666667)</f>
        <v>46038.97917</v>
      </c>
      <c r="I4971" s="237" t="str">
        <f t="shared" si="1"/>
        <v>Fora</v>
      </c>
      <c r="J4971" s="239">
        <v>120.00000001396984</v>
      </c>
    </row>
    <row r="4972">
      <c r="A4972" s="234" t="s">
        <v>5908</v>
      </c>
      <c r="B4972" s="234" t="str">
        <f>IFERROR(__xludf.DUMMYFUNCTION("""COMPUTED_VALUE"""),"LM Hub_SP_Jurubatuba")</f>
        <v>LM Hub_SP_Jurubatuba</v>
      </c>
      <c r="C4972" s="234" t="str">
        <f>IFERROR(__xludf.DUMMYFUNCTION("""COMPUTED_VALUE"""),"HUB-LSP-16")</f>
        <v>HUB-LSP-16</v>
      </c>
      <c r="D4972" s="234">
        <f>IFERROR(__xludf.DUMMYFUNCTION("""COMPUTED_VALUE"""),16.0)</f>
        <v>16</v>
      </c>
      <c r="E4972" s="237" t="str">
        <f>IFERROR(__xludf.DUMMYFUNCTION("""COMPUTED_VALUE"""),"LT0Q1G01W9771")</f>
        <v>LT0Q1G01W9771</v>
      </c>
      <c r="F4972" s="238" t="str">
        <f>IFERROR(__xludf.DUMMYFUNCTION("""COMPUTED_VALUE"""),"MQV9D62,BVT6J01")</f>
        <v>MQV9D62,BVT6J01</v>
      </c>
      <c r="G4972" s="238">
        <f>IFERROR(__xludf.DUMMYFUNCTION("""COMPUTED_VALUE"""),46038.89583333333)</f>
        <v>46038.89583</v>
      </c>
      <c r="H4972" s="238">
        <f>IFERROR(__xludf.DUMMYFUNCTION("""COMPUTED_VALUE"""),46038.97916666667)</f>
        <v>46038.97917</v>
      </c>
      <c r="I4972" s="237" t="str">
        <f t="shared" si="1"/>
        <v>Fora</v>
      </c>
      <c r="J4972" s="239">
        <v>120.00000001396984</v>
      </c>
    </row>
    <row r="4973">
      <c r="A4973" s="234" t="s">
        <v>5909</v>
      </c>
      <c r="B4973" s="234" t="str">
        <f>IFERROR(__xludf.DUMMYFUNCTION("""COMPUTED_VALUE"""),"LM Hub_SP_Santos_Praia Grande")</f>
        <v>LM Hub_SP_Santos_Praia Grande</v>
      </c>
      <c r="C4973" s="234" t="str">
        <f>IFERROR(__xludf.DUMMYFUNCTION("""COMPUTED_VALUE"""),"HUB-LSP-09")</f>
        <v>HUB-LSP-09</v>
      </c>
      <c r="D4973" s="234"/>
      <c r="E4973" s="237" t="str">
        <f>IFERROR(__xludf.DUMMYFUNCTION("""COMPUTED_VALUE"""),"LT0Q1G01W9AR1")</f>
        <v>LT0Q1G01W9AR1</v>
      </c>
      <c r="F4973" s="234"/>
      <c r="G4973" s="238">
        <f>IFERROR(__xludf.DUMMYFUNCTION("""COMPUTED_VALUE"""),46038.89583333333)</f>
        <v>46038.89583</v>
      </c>
      <c r="H4973" s="238">
        <f>IFERROR(__xludf.DUMMYFUNCTION("""COMPUTED_VALUE"""),46038.97916666667)</f>
        <v>46038.97917</v>
      </c>
      <c r="I4973" s="237" t="str">
        <f t="shared" si="1"/>
        <v>Fora</v>
      </c>
      <c r="J4973" s="239">
        <v>120.00000001396984</v>
      </c>
    </row>
    <row r="4974">
      <c r="A4974" s="234" t="s">
        <v>5910</v>
      </c>
      <c r="B4974" s="234" t="str">
        <f>IFERROR(__xludf.DUMMYFUNCTION("""COMPUTED_VALUE"""),"LM Hub_SP_São José dos Campos")</f>
        <v>LM Hub_SP_São José dos Campos</v>
      </c>
      <c r="C4974" s="234" t="str">
        <f>IFERROR(__xludf.DUMMYFUNCTION("""COMPUTED_VALUE"""),"HUB-LSP-04")</f>
        <v>HUB-LSP-04</v>
      </c>
      <c r="D4974" s="234">
        <f>IFERROR(__xludf.DUMMYFUNCTION("""COMPUTED_VALUE"""),27.0)</f>
        <v>27</v>
      </c>
      <c r="E4974" s="237" t="str">
        <f>IFERROR(__xludf.DUMMYFUNCTION("""COMPUTED_VALUE"""),"LT0Q1G01W9BN1")</f>
        <v>LT0Q1G01W9BN1</v>
      </c>
      <c r="F4974" s="238" t="str">
        <f>IFERROR(__xludf.DUMMYFUNCTION("""COMPUTED_VALUE"""),"DBM1893")</f>
        <v>DBM1893</v>
      </c>
      <c r="G4974" s="238">
        <f>IFERROR(__xludf.DUMMYFUNCTION("""COMPUTED_VALUE"""),46038.89583333333)</f>
        <v>46038.89583</v>
      </c>
      <c r="H4974" s="238">
        <f>IFERROR(__xludf.DUMMYFUNCTION("""COMPUTED_VALUE"""),46038.97916666667)</f>
        <v>46038.97917</v>
      </c>
      <c r="I4974" s="237" t="str">
        <f t="shared" si="1"/>
        <v>Fora</v>
      </c>
      <c r="J4974" s="239">
        <v>119.00000001071021</v>
      </c>
    </row>
    <row r="4975">
      <c r="A4975" s="234" t="s">
        <v>5911</v>
      </c>
      <c r="B4975" s="234" t="str">
        <f>IFERROR(__xludf.DUMMYFUNCTION("""COMPUTED_VALUE"""),"LM Hub_SP_São Paulo_Lapa")</f>
        <v>LM Hub_SP_São Paulo_Lapa</v>
      </c>
      <c r="C4975" s="234" t="str">
        <f>IFERROR(__xludf.DUMMYFUNCTION("""COMPUTED_VALUE"""),"HUB-LSP-15")</f>
        <v>HUB-LSP-15</v>
      </c>
      <c r="D4975" s="234">
        <f>IFERROR(__xludf.DUMMYFUNCTION("""COMPUTED_VALUE"""),54.0)</f>
        <v>54</v>
      </c>
      <c r="E4975" s="237" t="str">
        <f>IFERROR(__xludf.DUMMYFUNCTION("""COMPUTED_VALUE"""),"LT0Q1G01W96X1")</f>
        <v>LT0Q1G01W96X1</v>
      </c>
      <c r="F4975" s="238" t="str">
        <f>IFERROR(__xludf.DUMMYFUNCTION("""COMPUTED_VALUE"""),"DVA3A62,DBC7D61")</f>
        <v>DVA3A62,DBC7D61</v>
      </c>
      <c r="G4975" s="238">
        <f>IFERROR(__xludf.DUMMYFUNCTION("""COMPUTED_VALUE"""),46038.896527777775)</f>
        <v>46038.89653</v>
      </c>
      <c r="H4975" s="238">
        <f>IFERROR(__xludf.DUMMYFUNCTION("""COMPUTED_VALUE"""),46038.97916666667)</f>
        <v>46038.97917</v>
      </c>
      <c r="I4975" s="237" t="str">
        <f t="shared" si="1"/>
        <v>Fora</v>
      </c>
      <c r="J4975" s="239">
        <v>118.99999998975545</v>
      </c>
    </row>
    <row r="4976">
      <c r="A4976" s="234" t="s">
        <v>5912</v>
      </c>
      <c r="B4976" s="234" t="str">
        <f>IFERROR(__xludf.DUMMYFUNCTION("""COMPUTED_VALUE"""),"LM Hub_SP_Guarujá")</f>
        <v>LM Hub_SP_Guarujá</v>
      </c>
      <c r="C4976" s="234" t="str">
        <f>IFERROR(__xludf.DUMMYFUNCTION("""COMPUTED_VALUE"""),"HUB-LSP-06")</f>
        <v>HUB-LSP-06</v>
      </c>
      <c r="D4976" s="234">
        <f>IFERROR(__xludf.DUMMYFUNCTION("""COMPUTED_VALUE"""),34.0)</f>
        <v>34</v>
      </c>
      <c r="E4976" s="237" t="str">
        <f>IFERROR(__xludf.DUMMYFUNCTION("""COMPUTED_VALUE"""),"LT0Q1G01W99Q1")</f>
        <v>LT0Q1G01W99Q1</v>
      </c>
      <c r="F4976" s="238" t="str">
        <f>IFERROR(__xludf.DUMMYFUNCTION("""COMPUTED_VALUE"""),"TJN5H17")</f>
        <v>TJN5H17</v>
      </c>
      <c r="G4976" s="238">
        <f>IFERROR(__xludf.DUMMYFUNCTION("""COMPUTED_VALUE"""),46038.91666666667)</f>
        <v>46038.91667</v>
      </c>
      <c r="H4976" s="238">
        <f>IFERROR(__xludf.DUMMYFUNCTION("""COMPUTED_VALUE"""),46038.99930555555)</f>
        <v>46038.99931</v>
      </c>
      <c r="I4976" s="237" t="str">
        <f t="shared" si="1"/>
        <v>Fora</v>
      </c>
      <c r="J4976" s="239">
        <v>119.99999999301508</v>
      </c>
    </row>
    <row r="4977">
      <c r="A4977" s="234" t="s">
        <v>5913</v>
      </c>
      <c r="B4977" s="234" t="str">
        <f>IFERROR(__xludf.DUMMYFUNCTION("""COMPUTED_VALUE"""),"LM Hub_SP_Itapevi")</f>
        <v>LM Hub_SP_Itapevi</v>
      </c>
      <c r="C4977" s="234" t="str">
        <f>IFERROR(__xludf.DUMMYFUNCTION("""COMPUTED_VALUE"""),"HUB-LSP-41")</f>
        <v>HUB-LSP-41</v>
      </c>
      <c r="D4977" s="234">
        <f>IFERROR(__xludf.DUMMYFUNCTION("""COMPUTED_VALUE"""),35.0)</f>
        <v>35</v>
      </c>
      <c r="E4977" s="237" t="str">
        <f>IFERROR(__xludf.DUMMYFUNCTION("""COMPUTED_VALUE"""),"LT0Q1G01W9841")</f>
        <v>LT0Q1G01W9841</v>
      </c>
      <c r="F4977" s="238" t="str">
        <f>IFERROR(__xludf.DUMMYFUNCTION("""COMPUTED_VALUE"""),"EMU5F62,FGK3A38")</f>
        <v>EMU5F62,FGK3A38</v>
      </c>
      <c r="G4977" s="238">
        <f>IFERROR(__xludf.DUMMYFUNCTION("""COMPUTED_VALUE"""),46038.91666666667)</f>
        <v>46038.91667</v>
      </c>
      <c r="H4977" s="238">
        <f>IFERROR(__xludf.DUMMYFUNCTION("""COMPUTED_VALUE"""),46039.0)</f>
        <v>46039</v>
      </c>
      <c r="I4977" s="237" t="str">
        <f t="shared" si="1"/>
        <v>Fora</v>
      </c>
      <c r="J4977" s="239">
        <v>119.99999999301508</v>
      </c>
    </row>
    <row r="4978">
      <c r="A4978" s="234" t="s">
        <v>5914</v>
      </c>
      <c r="B4978" s="234" t="str">
        <f>IFERROR(__xludf.DUMMYFUNCTION("""COMPUTED_VALUE"""),"LM Hub_SP_Limeira_Campo Belo")</f>
        <v>LM Hub_SP_Limeira_Campo Belo</v>
      </c>
      <c r="C4978" s="234" t="str">
        <f>IFERROR(__xludf.DUMMYFUNCTION("""COMPUTED_VALUE"""),"HUB-LSP-24")</f>
        <v>HUB-LSP-24</v>
      </c>
      <c r="D4978" s="234">
        <f>IFERROR(__xludf.DUMMYFUNCTION("""COMPUTED_VALUE"""),26.0)</f>
        <v>26</v>
      </c>
      <c r="E4978" s="237" t="str">
        <f>IFERROR(__xludf.DUMMYFUNCTION("""COMPUTED_VALUE"""),"LT0Q1G01W9BG1")</f>
        <v>LT0Q1G01W9BG1</v>
      </c>
      <c r="F4978" s="238" t="str">
        <f>IFERROR(__xludf.DUMMYFUNCTION("""COMPUTED_VALUE"""),"GHB5H18,FZB6G45")</f>
        <v>GHB5H18,FZB6G45</v>
      </c>
      <c r="G4978" s="238">
        <f>IFERROR(__xludf.DUMMYFUNCTION("""COMPUTED_VALUE"""),46038.91666666667)</f>
        <v>46038.91667</v>
      </c>
      <c r="H4978" s="238">
        <f>IFERROR(__xludf.DUMMYFUNCTION("""COMPUTED_VALUE"""),46039.0)</f>
        <v>46039</v>
      </c>
      <c r="I4978" s="237" t="str">
        <f t="shared" si="1"/>
        <v>Fora</v>
      </c>
      <c r="J4978" s="239">
        <v>119.99999999301508</v>
      </c>
    </row>
    <row r="4979">
      <c r="A4979" s="234" t="s">
        <v>5915</v>
      </c>
      <c r="B4979" s="234" t="str">
        <f>IFERROR(__xludf.DUMMYFUNCTION("""COMPUTED_VALUE"""),"LM Hub_SP_Mauá")</f>
        <v>LM Hub_SP_Mauá</v>
      </c>
      <c r="C4979" s="234" t="str">
        <f>IFERROR(__xludf.DUMMYFUNCTION("""COMPUTED_VALUE"""),"HUB-LSP-64")</f>
        <v>HUB-LSP-64</v>
      </c>
      <c r="D4979" s="234">
        <f>IFERROR(__xludf.DUMMYFUNCTION("""COMPUTED_VALUE"""),22.0)</f>
        <v>22</v>
      </c>
      <c r="E4979" s="237" t="str">
        <f>IFERROR(__xludf.DUMMYFUNCTION("""COMPUTED_VALUE"""),"LT0Q1G01W98F1")</f>
        <v>LT0Q1G01W98F1</v>
      </c>
      <c r="F4979" s="238" t="str">
        <f>IFERROR(__xludf.DUMMYFUNCTION("""COMPUTED_VALUE"""),"FQF6B98,FCB5G88")</f>
        <v>FQF6B98,FCB5G88</v>
      </c>
      <c r="G4979" s="238">
        <f>IFERROR(__xludf.DUMMYFUNCTION("""COMPUTED_VALUE"""),46038.91666666667)</f>
        <v>46038.91667</v>
      </c>
      <c r="H4979" s="238">
        <f>IFERROR(__xludf.DUMMYFUNCTION("""COMPUTED_VALUE"""),46039.0)</f>
        <v>46039</v>
      </c>
      <c r="I4979" s="237" t="str">
        <f t="shared" si="1"/>
        <v>Fora</v>
      </c>
      <c r="J4979" s="239">
        <v>119.99999999301508</v>
      </c>
    </row>
    <row r="4980">
      <c r="A4980" s="234" t="s">
        <v>5916</v>
      </c>
      <c r="B4980" s="234" t="str">
        <f>IFERROR(__xludf.DUMMYFUNCTION("""COMPUTED_VALUE"""),"LM Hub_SP_Osasco_02")</f>
        <v>LM Hub_SP_Osasco_02</v>
      </c>
      <c r="C4980" s="234" t="str">
        <f>IFERROR(__xludf.DUMMYFUNCTION("""COMPUTED_VALUE"""),"HUB-LSP-60")</f>
        <v>HUB-LSP-60</v>
      </c>
      <c r="D4980" s="234">
        <f>IFERROR(__xludf.DUMMYFUNCTION("""COMPUTED_VALUE"""),25.0)</f>
        <v>25</v>
      </c>
      <c r="E4980" s="237" t="str">
        <f>IFERROR(__xludf.DUMMYFUNCTION("""COMPUTED_VALUE"""),"LT0Q1G01W9891")</f>
        <v>LT0Q1G01W9891</v>
      </c>
      <c r="F4980" s="238" t="str">
        <f>IFERROR(__xludf.DUMMYFUNCTION("""COMPUTED_VALUE"""),"FUZ6B23,FUA8006")</f>
        <v>FUZ6B23,FUA8006</v>
      </c>
      <c r="G4980" s="238">
        <f>IFERROR(__xludf.DUMMYFUNCTION("""COMPUTED_VALUE"""),46038.91666666667)</f>
        <v>46038.91667</v>
      </c>
      <c r="H4980" s="238">
        <f>IFERROR(__xludf.DUMMYFUNCTION("""COMPUTED_VALUE"""),46039.0)</f>
        <v>46039</v>
      </c>
      <c r="I4980" s="237" t="str">
        <f t="shared" si="1"/>
        <v>Fora</v>
      </c>
      <c r="J4980" s="239">
        <v>119.99999999301508</v>
      </c>
    </row>
    <row r="4981">
      <c r="A4981" s="234" t="s">
        <v>5917</v>
      </c>
      <c r="B4981" s="234" t="str">
        <f>IFERROR(__xludf.DUMMYFUNCTION("""COMPUTED_VALUE"""),"LM Hub_SP_São José do Rio P")</f>
        <v>LM Hub_SP_São José do Rio P</v>
      </c>
      <c r="C4981" s="234" t="str">
        <f>IFERROR(__xludf.DUMMYFUNCTION("""COMPUTED_VALUE"""),"HUB-LSP-27")</f>
        <v>HUB-LSP-27</v>
      </c>
      <c r="D4981" s="234"/>
      <c r="E4981" s="237" t="str">
        <f>IFERROR(__xludf.DUMMYFUNCTION("""COMPUTED_VALUE"""),"LT0Q1G01WDAF1")</f>
        <v>LT0Q1G01WDAF1</v>
      </c>
      <c r="F4981" s="238" t="str">
        <f>IFERROR(__xludf.DUMMYFUNCTION("""COMPUTED_VALUE"""),"ELW1207")</f>
        <v>ELW1207</v>
      </c>
      <c r="G4981" s="238">
        <f>IFERROR(__xludf.DUMMYFUNCTION("""COMPUTED_VALUE"""),46038.91666666667)</f>
        <v>46038.91667</v>
      </c>
      <c r="H4981" s="238">
        <f>IFERROR(__xludf.DUMMYFUNCTION("""COMPUTED_VALUE"""),46039.0)</f>
        <v>46039</v>
      </c>
      <c r="I4981" s="237" t="str">
        <f t="shared" si="1"/>
        <v>Fora</v>
      </c>
      <c r="J4981" s="239">
        <v>119.99999999301508</v>
      </c>
    </row>
    <row r="4982">
      <c r="A4982" s="234" t="s">
        <v>5918</v>
      </c>
      <c r="B4982" s="234" t="str">
        <f>IFERROR(__xludf.DUMMYFUNCTION("""COMPUTED_VALUE"""),"LM Hub_SP_Piracicaba")</f>
        <v>LM Hub_SP_Piracicaba</v>
      </c>
      <c r="C4982" s="234" t="str">
        <f>IFERROR(__xludf.DUMMYFUNCTION("""COMPUTED_VALUE"""),"HUB-LSP-62")</f>
        <v>HUB-LSP-62</v>
      </c>
      <c r="D4982" s="234">
        <f>IFERROR(__xludf.DUMMYFUNCTION("""COMPUTED_VALUE"""),45.0)</f>
        <v>45</v>
      </c>
      <c r="E4982" s="237" t="str">
        <f>IFERROR(__xludf.DUMMYFUNCTION("""COMPUTED_VALUE"""),"LT0Q1G01W9XA1")</f>
        <v>LT0Q1G01W9XA1</v>
      </c>
      <c r="F4982" s="238" t="str">
        <f>IFERROR(__xludf.DUMMYFUNCTION("""COMPUTED_VALUE"""),"EOF4D32")</f>
        <v>EOF4D32</v>
      </c>
      <c r="G4982" s="238">
        <f>IFERROR(__xludf.DUMMYFUNCTION("""COMPUTED_VALUE"""),46038.9375)</f>
        <v>46038.9375</v>
      </c>
      <c r="H4982" s="238">
        <f>IFERROR(__xludf.DUMMYFUNCTION("""COMPUTED_VALUE"""),46039.02083333333)</f>
        <v>46039.02083</v>
      </c>
      <c r="I4982" s="237" t="str">
        <f t="shared" si="1"/>
        <v>Fora</v>
      </c>
      <c r="J4982" s="239">
        <v>118.99999998975545</v>
      </c>
    </row>
    <row r="4983">
      <c r="A4983" s="234" t="s">
        <v>5919</v>
      </c>
      <c r="B4983" s="234" t="str">
        <f>IFERROR(__xludf.DUMMYFUNCTION("""COMPUTED_VALUE"""),"LM Hub_SP_Parque Novo Mundo")</f>
        <v>LM Hub_SP_Parque Novo Mundo</v>
      </c>
      <c r="C4983" s="234" t="str">
        <f>IFERROR(__xludf.DUMMYFUNCTION("""COMPUTED_VALUE"""),"HUB-LSP-89")</f>
        <v>HUB-LSP-89</v>
      </c>
      <c r="D4983" s="234"/>
      <c r="E4983" s="237" t="str">
        <f>IFERROR(__xludf.DUMMYFUNCTION("""COMPUTED_VALUE"""),"LT0Q1G01WA4R1")</f>
        <v>LT0Q1G01WA4R1</v>
      </c>
      <c r="F4983" s="238" t="str">
        <f>IFERROR(__xludf.DUMMYFUNCTION("""COMPUTED_VALUE"""),"GIQ1C13")</f>
        <v>GIQ1C13</v>
      </c>
      <c r="G4983" s="238">
        <f>IFERROR(__xludf.DUMMYFUNCTION("""COMPUTED_VALUE"""),46038.93819444445)</f>
        <v>46038.93819</v>
      </c>
      <c r="H4983" s="238">
        <f>IFERROR(__xludf.DUMMYFUNCTION("""COMPUTED_VALUE"""),46039.02083333333)</f>
        <v>46039.02083</v>
      </c>
      <c r="I4983" s="237" t="str">
        <f t="shared" si="1"/>
        <v>Fora</v>
      </c>
      <c r="J4983" s="239">
        <v>118.99999998975545</v>
      </c>
    </row>
    <row r="4984">
      <c r="A4984" s="234" t="s">
        <v>5920</v>
      </c>
      <c r="B4984" s="234" t="str">
        <f>IFERROR(__xludf.DUMMYFUNCTION("""COMPUTED_VALUE"""),"LM Hub_SP_São Paulo_Carandiru")</f>
        <v>LM Hub_SP_São Paulo_Carandiru</v>
      </c>
      <c r="C4984" s="234" t="str">
        <f>IFERROR(__xludf.DUMMYFUNCTION("""COMPUTED_VALUE"""),"HUB-LSP-18")</f>
        <v>HUB-LSP-18</v>
      </c>
      <c r="D4984" s="234">
        <f>IFERROR(__xludf.DUMMYFUNCTION("""COMPUTED_VALUE"""),38.0)</f>
        <v>38</v>
      </c>
      <c r="E4984" s="237" t="str">
        <f>IFERROR(__xludf.DUMMYFUNCTION("""COMPUTED_VALUE"""),"LT0Q1G01W97K1")</f>
        <v>LT0Q1G01W97K1</v>
      </c>
      <c r="F4984" s="238" t="str">
        <f>IFERROR(__xludf.DUMMYFUNCTION("""COMPUTED_VALUE"""),"AUH8E91")</f>
        <v>AUH8E91</v>
      </c>
      <c r="G4984" s="238">
        <f>IFERROR(__xludf.DUMMYFUNCTION("""COMPUTED_VALUE"""),46038.93819444445)</f>
        <v>46038.93819</v>
      </c>
      <c r="H4984" s="238">
        <f>IFERROR(__xludf.DUMMYFUNCTION("""COMPUTED_VALUE"""),46039.02083333333)</f>
        <v>46039.02083</v>
      </c>
      <c r="I4984" s="237" t="str">
        <f t="shared" si="1"/>
        <v>Fora</v>
      </c>
      <c r="J4984" s="239">
        <v>117.99999998649582</v>
      </c>
    </row>
    <row r="4985">
      <c r="A4985" s="234" t="s">
        <v>5921</v>
      </c>
      <c r="B4985" s="234" t="str">
        <f>IFERROR(__xludf.DUMMYFUNCTION("""COMPUTED_VALUE"""),"LM Hub_SP_Suzano_Baruel")</f>
        <v>LM Hub_SP_Suzano_Baruel</v>
      </c>
      <c r="C4985" s="234" t="str">
        <f>IFERROR(__xludf.DUMMYFUNCTION("""COMPUTED_VALUE"""),"HUB-LSP-97")</f>
        <v>HUB-LSP-97</v>
      </c>
      <c r="D4985" s="234"/>
      <c r="E4985" s="237" t="str">
        <f>IFERROR(__xludf.DUMMYFUNCTION("""COMPUTED_VALUE"""),"LT0Q1G01WGBL1")</f>
        <v>LT0Q1G01WGBL1</v>
      </c>
      <c r="F4985" s="238" t="str">
        <f>IFERROR(__xludf.DUMMYFUNCTION("""COMPUTED_VALUE"""),"CRX3F42")</f>
        <v>CRX3F42</v>
      </c>
      <c r="G4985" s="238">
        <f>IFERROR(__xludf.DUMMYFUNCTION("""COMPUTED_VALUE"""),46038.93888888889)</f>
        <v>46038.93889</v>
      </c>
      <c r="H4985" s="238">
        <f>IFERROR(__xludf.DUMMYFUNCTION("""COMPUTED_VALUE"""),46039.02083333333)</f>
        <v>46039.02083</v>
      </c>
      <c r="I4985" s="237" t="str">
        <f t="shared" si="1"/>
        <v>Fora</v>
      </c>
      <c r="J4985" s="239">
        <v>120.00000001396984</v>
      </c>
    </row>
    <row r="4986">
      <c r="A4986" s="234" t="s">
        <v>5922</v>
      </c>
      <c r="B4986" s="234" t="str">
        <f>IFERROR(__xludf.DUMMYFUNCTION("""COMPUTED_VALUE"""),"LM Hub_RJ_Nova Iguaçu")</f>
        <v>LM Hub_RJ_Nova Iguaçu</v>
      </c>
      <c r="C4986" s="234" t="str">
        <f>IFERROR(__xludf.DUMMYFUNCTION("""COMPUTED_VALUE"""),"HUB-LRJ-27")</f>
        <v>HUB-LRJ-27</v>
      </c>
      <c r="D4986" s="234"/>
      <c r="E4986" s="237" t="str">
        <f>IFERROR(__xludf.DUMMYFUNCTION("""COMPUTED_VALUE"""),"LT0Q1G01WF331")</f>
        <v>LT0Q1G01WF331</v>
      </c>
      <c r="F4986" s="238" t="str">
        <f>IFERROR(__xludf.DUMMYFUNCTION("""COMPUTED_VALUE"""),"TBB5J93")</f>
        <v>TBB5J93</v>
      </c>
      <c r="G4986" s="238">
        <f>IFERROR(__xludf.DUMMYFUNCTION("""COMPUTED_VALUE"""),46038.95833333333)</f>
        <v>46038.95833</v>
      </c>
      <c r="H4986" s="238">
        <f>IFERROR(__xludf.DUMMYFUNCTION("""COMPUTED_VALUE"""),46039.04166666667)</f>
        <v>46039.04167</v>
      </c>
      <c r="I4986" s="237" t="str">
        <f t="shared" si="1"/>
        <v>Fora</v>
      </c>
      <c r="J4986" s="239">
        <v>120.00000001396984</v>
      </c>
    </row>
    <row r="4987">
      <c r="A4987" s="234" t="s">
        <v>5923</v>
      </c>
      <c r="B4987" s="234" t="str">
        <f>IFERROR(__xludf.DUMMYFUNCTION("""COMPUTED_VALUE"""),"LM Hub_RJ_Rio de Janeiro_Campo G")</f>
        <v>LM Hub_RJ_Rio de Janeiro_Campo G</v>
      </c>
      <c r="C4987" s="234" t="str">
        <f>IFERROR(__xludf.DUMMYFUNCTION("""COMPUTED_VALUE"""),"HUB-LRJ-04")</f>
        <v>HUB-LRJ-04</v>
      </c>
      <c r="D4987" s="234">
        <f>IFERROR(__xludf.DUMMYFUNCTION("""COMPUTED_VALUE"""),55.0)</f>
        <v>55</v>
      </c>
      <c r="E4987" s="237" t="str">
        <f>IFERROR(__xludf.DUMMYFUNCTION("""COMPUTED_VALUE"""),"LT0Q1G01W9DN1")</f>
        <v>LT0Q1G01W9DN1</v>
      </c>
      <c r="F4987" s="238" t="str">
        <f>IFERROR(__xludf.DUMMYFUNCTION("""COMPUTED_VALUE"""),"UBA1H99")</f>
        <v>UBA1H99</v>
      </c>
      <c r="G4987" s="238">
        <f>IFERROR(__xludf.DUMMYFUNCTION("""COMPUTED_VALUE"""),46038.95833333333)</f>
        <v>46038.95833</v>
      </c>
      <c r="H4987" s="238">
        <f>IFERROR(__xludf.DUMMYFUNCTION("""COMPUTED_VALUE"""),46039.04166666667)</f>
        <v>46039.04167</v>
      </c>
      <c r="I4987" s="237" t="str">
        <f t="shared" si="1"/>
        <v>Fora</v>
      </c>
      <c r="J4987" s="239">
        <v>120.00000001396984</v>
      </c>
    </row>
    <row r="4988">
      <c r="A4988" s="234" t="s">
        <v>5924</v>
      </c>
      <c r="B4988" s="234" t="str">
        <f>IFERROR(__xludf.DUMMYFUNCTION("""COMPUTED_VALUE"""),"LM Hub_RJ_São João do Meriti")</f>
        <v>LM Hub_RJ_São João do Meriti</v>
      </c>
      <c r="C4988" s="234" t="str">
        <f>IFERROR(__xludf.DUMMYFUNCTION("""COMPUTED_VALUE"""),"HUB-LRJ-01")</f>
        <v>HUB-LRJ-01</v>
      </c>
      <c r="D4988" s="234">
        <f>IFERROR(__xludf.DUMMYFUNCTION("""COMPUTED_VALUE"""),13.0)</f>
        <v>13</v>
      </c>
      <c r="E4988" s="237" t="str">
        <f>IFERROR(__xludf.DUMMYFUNCTION("""COMPUTED_VALUE"""),"LT0Q1G01WF3Z1")</f>
        <v>LT0Q1G01WF3Z1</v>
      </c>
      <c r="F4988" s="238" t="str">
        <f>IFERROR(__xludf.DUMMYFUNCTION("""COMPUTED_VALUE"""),"CUT5C26")</f>
        <v>CUT5C26</v>
      </c>
      <c r="G4988" s="238">
        <f>IFERROR(__xludf.DUMMYFUNCTION("""COMPUTED_VALUE"""),46038.95833333333)</f>
        <v>46038.95833</v>
      </c>
      <c r="H4988" s="238">
        <f>IFERROR(__xludf.DUMMYFUNCTION("""COMPUTED_VALUE"""),46039.04166666667)</f>
        <v>46039.04167</v>
      </c>
      <c r="I4988" s="237" t="str">
        <f t="shared" si="1"/>
        <v>Fora</v>
      </c>
      <c r="J4988" s="239">
        <v>120.00000001396984</v>
      </c>
    </row>
    <row r="4989">
      <c r="A4989" s="234" t="s">
        <v>5925</v>
      </c>
      <c r="B4989" s="234" t="str">
        <f>IFERROR(__xludf.DUMMYFUNCTION("""COMPUTED_VALUE"""),"LM Hub_SP_Jundiaí")</f>
        <v>LM Hub_SP_Jundiaí</v>
      </c>
      <c r="C4989" s="234" t="str">
        <f>IFERROR(__xludf.DUMMYFUNCTION("""COMPUTED_VALUE"""),"HUB-LSP-100")</f>
        <v>HUB-LSP-100</v>
      </c>
      <c r="D4989" s="234">
        <f>IFERROR(__xludf.DUMMYFUNCTION("""COMPUTED_VALUE"""),29.0)</f>
        <v>29</v>
      </c>
      <c r="E4989" s="237" t="str">
        <f>IFERROR(__xludf.DUMMYFUNCTION("""COMPUTED_VALUE"""),"LT0Q1G01WFXV1")</f>
        <v>LT0Q1G01WFXV1</v>
      </c>
      <c r="F4989" s="238" t="str">
        <f>IFERROR(__xludf.DUMMYFUNCTION("""COMPUTED_VALUE"""),"QZT2I43,STU8A18")</f>
        <v>QZT2I43,STU8A18</v>
      </c>
      <c r="G4989" s="238">
        <f>IFERROR(__xludf.DUMMYFUNCTION("""COMPUTED_VALUE"""),46038.95833333333)</f>
        <v>46038.95833</v>
      </c>
      <c r="H4989" s="238">
        <f>IFERROR(__xludf.DUMMYFUNCTION("""COMPUTED_VALUE"""),46039.04166666667)</f>
        <v>46039.04167</v>
      </c>
      <c r="I4989" s="237" t="str">
        <f t="shared" si="1"/>
        <v>Fora</v>
      </c>
      <c r="J4989" s="239">
        <v>120.00000001396984</v>
      </c>
    </row>
    <row r="4990">
      <c r="A4990" s="234" t="s">
        <v>5926</v>
      </c>
      <c r="B4990" s="234" t="str">
        <f>IFERROR(__xludf.DUMMYFUNCTION("""COMPUTED_VALUE"""),"LM Hub_SP_Mogi Mirim")</f>
        <v>LM Hub_SP_Mogi Mirim</v>
      </c>
      <c r="C4990" s="234" t="str">
        <f>IFERROR(__xludf.DUMMYFUNCTION("""COMPUTED_VALUE"""),"HUB-LSP-37")</f>
        <v>HUB-LSP-37</v>
      </c>
      <c r="D4990" s="234">
        <f>IFERROR(__xludf.DUMMYFUNCTION("""COMPUTED_VALUE"""),37.0)</f>
        <v>37</v>
      </c>
      <c r="E4990" s="237" t="str">
        <f>IFERROR(__xludf.DUMMYFUNCTION("""COMPUTED_VALUE"""),"LT0Q1G01W9C91")</f>
        <v>LT0Q1G01W9C91</v>
      </c>
      <c r="F4990" s="238" t="str">
        <f>IFERROR(__xludf.DUMMYFUNCTION("""COMPUTED_VALUE"""),"SVC6I57,SWO1G45")</f>
        <v>SVC6I57,SWO1G45</v>
      </c>
      <c r="G4990" s="238">
        <f>IFERROR(__xludf.DUMMYFUNCTION("""COMPUTED_VALUE"""),46038.95833333333)</f>
        <v>46038.95833</v>
      </c>
      <c r="H4990" s="238">
        <f>IFERROR(__xludf.DUMMYFUNCTION("""COMPUTED_VALUE"""),46039.04166666667)</f>
        <v>46039.04167</v>
      </c>
      <c r="I4990" s="237" t="str">
        <f t="shared" si="1"/>
        <v>Fora</v>
      </c>
      <c r="J4990" s="239">
        <v>119.99999999301508</v>
      </c>
    </row>
    <row r="4991">
      <c r="A4991" s="234" t="s">
        <v>5927</v>
      </c>
      <c r="B4991" s="234" t="str">
        <f>IFERROR(__xludf.DUMMYFUNCTION("""COMPUTED_VALUE"""),"LM Hub_SP_Araraquara")</f>
        <v>LM Hub_SP_Araraquara</v>
      </c>
      <c r="C4991" s="234" t="str">
        <f>IFERROR(__xludf.DUMMYFUNCTION("""COMPUTED_VALUE"""),"HUB-LSP-29")</f>
        <v>HUB-LSP-29</v>
      </c>
      <c r="D4991" s="234">
        <f>IFERROR(__xludf.DUMMYFUNCTION("""COMPUTED_VALUE"""),32.0)</f>
        <v>32</v>
      </c>
      <c r="E4991" s="237" t="str">
        <f>IFERROR(__xludf.DUMMYFUNCTION("""COMPUTED_VALUE"""),"LT0Q1G01W9CE1")</f>
        <v>LT0Q1G01W9CE1</v>
      </c>
      <c r="F4991" s="238" t="str">
        <f>IFERROR(__xludf.DUMMYFUNCTION("""COMPUTED_VALUE"""),"ISQ7F01,ANM9G89")</f>
        <v>ISQ7F01,ANM9G89</v>
      </c>
      <c r="G4991" s="238">
        <f>IFERROR(__xludf.DUMMYFUNCTION("""COMPUTED_VALUE"""),46038.97916666667)</f>
        <v>46038.97917</v>
      </c>
      <c r="H4991" s="238">
        <f>IFERROR(__xludf.DUMMYFUNCTION("""COMPUTED_VALUE"""),46039.0625)</f>
        <v>46039.0625</v>
      </c>
      <c r="I4991" s="237" t="str">
        <f t="shared" si="1"/>
        <v>Fora</v>
      </c>
      <c r="J4991" s="239">
        <v>119.99999999301508</v>
      </c>
    </row>
    <row r="4992">
      <c r="A4992" s="234" t="s">
        <v>5928</v>
      </c>
      <c r="B4992" s="234" t="str">
        <f>IFERROR(__xludf.DUMMYFUNCTION("""COMPUTED_VALUE"""),"LM Hub_SP_Atibaia_Ponte_Alta")</f>
        <v>LM Hub_SP_Atibaia_Ponte_Alta</v>
      </c>
      <c r="C4992" s="234" t="str">
        <f>IFERROR(__xludf.DUMMYFUNCTION("""COMPUTED_VALUE"""),"HUB-LSP-87")</f>
        <v>HUB-LSP-87</v>
      </c>
      <c r="D4992" s="234">
        <f>IFERROR(__xludf.DUMMYFUNCTION("""COMPUTED_VALUE"""),15.0)</f>
        <v>15</v>
      </c>
      <c r="E4992" s="237" t="str">
        <f>IFERROR(__xludf.DUMMYFUNCTION("""COMPUTED_VALUE"""),"LT0Q1G01WD681")</f>
        <v>LT0Q1G01WD681</v>
      </c>
      <c r="F4992" s="238" t="str">
        <f>IFERROR(__xludf.DUMMYFUNCTION("""COMPUTED_VALUE"""),"FPI0C71,FDG3J00")</f>
        <v>FPI0C71,FDG3J00</v>
      </c>
      <c r="G4992" s="238">
        <f>IFERROR(__xludf.DUMMYFUNCTION("""COMPUTED_VALUE"""),46038.97916666667)</f>
        <v>46038.97917</v>
      </c>
      <c r="H4992" s="238">
        <f>IFERROR(__xludf.DUMMYFUNCTION("""COMPUTED_VALUE"""),46039.0625)</f>
        <v>46039.0625</v>
      </c>
      <c r="I4992" s="237" t="str">
        <f t="shared" si="1"/>
        <v>Fora</v>
      </c>
      <c r="J4992" s="239">
        <v>540.0</v>
      </c>
    </row>
    <row r="4993">
      <c r="A4993" s="234" t="s">
        <v>5929</v>
      </c>
      <c r="B4993" s="234" t="str">
        <f>IFERROR(__xludf.DUMMYFUNCTION("""COMPUTED_VALUE"""),"SoC_SP_Cravinhos")</f>
        <v>SoC_SP_Cravinhos</v>
      </c>
      <c r="C4993" s="234" t="str">
        <f>IFERROR(__xludf.DUMMYFUNCTION("""COMPUTED_VALUE"""),"SOC-SP5")</f>
        <v>SOC-SP5</v>
      </c>
      <c r="D4993" s="234" t="str">
        <f>IFERROR(__xludf.DUMMYFUNCTION("""COMPUTED_VALUE"""),"95/113")</f>
        <v>95/113</v>
      </c>
      <c r="E4993" s="237" t="str">
        <f>IFERROR(__xludf.DUMMYFUNCTION("""COMPUTED_VALUE"""),"LT1Q1G01WQUB1")</f>
        <v>LT1Q1G01WQUB1</v>
      </c>
      <c r="F4993" s="238" t="str">
        <f>IFERROR(__xludf.DUMMYFUNCTION("""COMPUTED_VALUE"""),"FKN6G89,DAH6D48")</f>
        <v>FKN6G89,DAH6D48</v>
      </c>
      <c r="G4993" s="238">
        <f>IFERROR(__xludf.DUMMYFUNCTION("""COMPUTED_VALUE"""),46038.70833333333)</f>
        <v>46038.70833</v>
      </c>
      <c r="H4993" s="238">
        <f>IFERROR(__xludf.DUMMYFUNCTION("""COMPUTED_VALUE"""),46039.08333333333)</f>
        <v>46039.08333</v>
      </c>
      <c r="I4993" s="237" t="str">
        <f t="shared" si="1"/>
        <v>Fora</v>
      </c>
      <c r="J4993" s="239">
        <v>119.99999999301508</v>
      </c>
    </row>
    <row r="4994">
      <c r="A4994" s="234" t="s">
        <v>5930</v>
      </c>
      <c r="B4994" s="234" t="str">
        <f>IFERROR(__xludf.DUMMYFUNCTION("""COMPUTED_VALUE"""),"LM Hub_RJ_Ilha do Governador")</f>
        <v>LM Hub_RJ_Ilha do Governador</v>
      </c>
      <c r="C4994" s="234" t="str">
        <f>IFERROR(__xludf.DUMMYFUNCTION("""COMPUTED_VALUE"""),"HUB-LRJ-32")</f>
        <v>HUB-LRJ-32</v>
      </c>
      <c r="D4994" s="234">
        <f>IFERROR(__xludf.DUMMYFUNCTION("""COMPUTED_VALUE"""),35.0)</f>
        <v>35</v>
      </c>
      <c r="E4994" s="237" t="str">
        <f>IFERROR(__xludf.DUMMYFUNCTION("""COMPUTED_VALUE"""),"LT0Q1H01WF3G1")</f>
        <v>LT0Q1H01WF3G1</v>
      </c>
      <c r="F4994" s="238" t="str">
        <f>IFERROR(__xludf.DUMMYFUNCTION("""COMPUTED_VALUE"""),"QHK5J11")</f>
        <v>QHK5J11</v>
      </c>
      <c r="G4994" s="238">
        <f>IFERROR(__xludf.DUMMYFUNCTION("""COMPUTED_VALUE"""),46039.0)</f>
        <v>46039</v>
      </c>
      <c r="H4994" s="238">
        <f>IFERROR(__xludf.DUMMYFUNCTION("""COMPUTED_VALUE"""),46039.08333333333)</f>
        <v>46039.08333</v>
      </c>
      <c r="I4994" s="237" t="str">
        <f t="shared" si="1"/>
        <v>Fora</v>
      </c>
      <c r="J4994" s="239">
        <v>119.99999999301508</v>
      </c>
    </row>
    <row r="4995">
      <c r="A4995" s="234" t="s">
        <v>5931</v>
      </c>
      <c r="B4995" s="234" t="str">
        <f>IFERROR(__xludf.DUMMYFUNCTION("""COMPUTED_VALUE"""),"LM Hub_SP_Tatuí")</f>
        <v>LM Hub_SP_Tatuí</v>
      </c>
      <c r="C4995" s="234" t="str">
        <f>IFERROR(__xludf.DUMMYFUNCTION("""COMPUTED_VALUE"""),"HUB-LSP-51")</f>
        <v>HUB-LSP-51</v>
      </c>
      <c r="D4995" s="234">
        <f>IFERROR(__xludf.DUMMYFUNCTION("""COMPUTED_VALUE"""),28.0)</f>
        <v>28</v>
      </c>
      <c r="E4995" s="237" t="str">
        <f>IFERROR(__xludf.DUMMYFUNCTION("""COMPUTED_VALUE"""),"LT0Q1H01W9941")</f>
        <v>LT0Q1H01W9941</v>
      </c>
      <c r="F4995" s="238" t="str">
        <f>IFERROR(__xludf.DUMMYFUNCTION("""COMPUTED_VALUE"""),"GFM6E44,AOF2G51")</f>
        <v>GFM6E44,AOF2G51</v>
      </c>
      <c r="G4995" s="238">
        <f>IFERROR(__xludf.DUMMYFUNCTION("""COMPUTED_VALUE"""),46039.0)</f>
        <v>46039</v>
      </c>
      <c r="H4995" s="238">
        <f>IFERROR(__xludf.DUMMYFUNCTION("""COMPUTED_VALUE"""),46039.08333333333)</f>
        <v>46039.08333</v>
      </c>
      <c r="I4995" s="237" t="str">
        <f t="shared" si="1"/>
        <v>Fora</v>
      </c>
      <c r="J4995" s="239">
        <v>119.99999999301508</v>
      </c>
    </row>
    <row r="4996">
      <c r="A4996" s="234" t="s">
        <v>5932</v>
      </c>
      <c r="B4996" s="234" t="str">
        <f>IFERROR(__xludf.DUMMYFUNCTION("""COMPUTED_VALUE"""),"SoC_SP_Guarulhos")</f>
        <v>SoC_SP_Guarulhos</v>
      </c>
      <c r="C4996" s="234" t="str">
        <f>IFERROR(__xludf.DUMMYFUNCTION("""COMPUTED_VALUE"""),"SOC-SP6")</f>
        <v>SOC-SP6</v>
      </c>
      <c r="D4996" s="234">
        <f>IFERROR(__xludf.DUMMYFUNCTION("""COMPUTED_VALUE"""),25.0)</f>
        <v>25</v>
      </c>
      <c r="E4996" s="237" t="str">
        <f>IFERROR(__xludf.DUMMYFUNCTION("""COMPUTED_VALUE"""),"LT1Q1H01WQUG1")</f>
        <v>LT1Q1H01WQUG1</v>
      </c>
      <c r="F4996" s="238" t="str">
        <f>IFERROR(__xludf.DUMMYFUNCTION("""COMPUTED_VALUE"""),"GBZ3E18,FVZ1I26")</f>
        <v>GBZ3E18,FVZ1I26</v>
      </c>
      <c r="G4996" s="238">
        <f>IFERROR(__xludf.DUMMYFUNCTION("""COMPUTED_VALUE"""),46039.0)</f>
        <v>46039</v>
      </c>
      <c r="H4996" s="238">
        <f>IFERROR(__xludf.DUMMYFUNCTION("""COMPUTED_VALUE"""),46039.08333333333)</f>
        <v>46039.08333</v>
      </c>
      <c r="I4996" s="237" t="str">
        <f t="shared" si="1"/>
        <v>Fora</v>
      </c>
      <c r="J4996" s="239">
        <v>119.99999999301508</v>
      </c>
    </row>
    <row r="4997">
      <c r="A4997" s="234" t="s">
        <v>5933</v>
      </c>
      <c r="B4997" s="234" t="str">
        <f>IFERROR(__xludf.DUMMYFUNCTION("""COMPUTED_VALUE"""),"SoC_SP_Louveira")</f>
        <v>SoC_SP_Louveira</v>
      </c>
      <c r="C4997" s="234" t="str">
        <f>IFERROR(__xludf.DUMMYFUNCTION("""COMPUTED_VALUE"""),"SOC-SP7")</f>
        <v>SOC-SP7</v>
      </c>
      <c r="D4997" s="234">
        <f>IFERROR(__xludf.DUMMYFUNCTION("""COMPUTED_VALUE"""),12.0)</f>
        <v>12</v>
      </c>
      <c r="E4997" s="237" t="str">
        <f>IFERROR(__xludf.DUMMYFUNCTION("""COMPUTED_VALUE"""),"LT0Q1G01W9631")</f>
        <v>LT0Q1G01W9631</v>
      </c>
      <c r="F4997" s="238" t="str">
        <f>IFERROR(__xludf.DUMMYFUNCTION("""COMPUTED_VALUE"""),"TAJ5D56")</f>
        <v>TAJ5D56</v>
      </c>
      <c r="G4997" s="238">
        <f>IFERROR(__xludf.DUMMYFUNCTION("""COMPUTED_VALUE"""),46039.0)</f>
        <v>46039</v>
      </c>
      <c r="H4997" s="238">
        <f>IFERROR(__xludf.DUMMYFUNCTION("""COMPUTED_VALUE"""),46039.08333333333)</f>
        <v>46039.08333</v>
      </c>
      <c r="I4997" s="237" t="str">
        <f t="shared" si="1"/>
        <v>Fora</v>
      </c>
      <c r="J4997" s="239">
        <v>119.99999999301508</v>
      </c>
    </row>
    <row r="4998">
      <c r="A4998" s="234" t="s">
        <v>5934</v>
      </c>
      <c r="B4998" s="234" t="str">
        <f>IFERROR(__xludf.DUMMYFUNCTION("""COMPUTED_VALUE"""),"SoC_SP_Louveira")</f>
        <v>SoC_SP_Louveira</v>
      </c>
      <c r="C4998" s="234" t="str">
        <f>IFERROR(__xludf.DUMMYFUNCTION("""COMPUTED_VALUE"""),"SOC-SP7")</f>
        <v>SOC-SP7</v>
      </c>
      <c r="D4998" s="234">
        <f>IFERROR(__xludf.DUMMYFUNCTION("""COMPUTED_VALUE"""),48.0)</f>
        <v>48</v>
      </c>
      <c r="E4998" s="237" t="str">
        <f>IFERROR(__xludf.DUMMYFUNCTION("""COMPUTED_VALUE"""),"LT0Q1H01W95I1")</f>
        <v>LT0Q1H01W95I1</v>
      </c>
      <c r="F4998" s="238" t="str">
        <f>IFERROR(__xludf.DUMMYFUNCTION("""COMPUTED_VALUE"""),"FGU5I81,JXA7D06")</f>
        <v>FGU5I81,JXA7D06</v>
      </c>
      <c r="G4998" s="238">
        <f>IFERROR(__xludf.DUMMYFUNCTION("""COMPUTED_VALUE"""),46039.0)</f>
        <v>46039</v>
      </c>
      <c r="H4998" s="238">
        <f>IFERROR(__xludf.DUMMYFUNCTION("""COMPUTED_VALUE"""),46039.08333333333)</f>
        <v>46039.08333</v>
      </c>
      <c r="I4998" s="237" t="str">
        <f t="shared" si="1"/>
        <v>Fora</v>
      </c>
      <c r="J4998" s="239">
        <v>120.00000001396984</v>
      </c>
    </row>
    <row r="4999">
      <c r="A4999" s="234" t="s">
        <v>5935</v>
      </c>
      <c r="B4999" s="234" t="str">
        <f>IFERROR(__xludf.DUMMYFUNCTION("""COMPUTED_VALUE"""),"LM Hub_MG_Varginha_Fausto")</f>
        <v>LM Hub_MG_Varginha_Fausto</v>
      </c>
      <c r="C4999" s="234" t="str">
        <f>IFERROR(__xludf.DUMMYFUNCTION("""COMPUTED_VALUE"""),"HUB-LMG-45")</f>
        <v>HUB-LMG-45</v>
      </c>
      <c r="D4999" s="234">
        <f>IFERROR(__xludf.DUMMYFUNCTION("""COMPUTED_VALUE"""),56.0)</f>
        <v>56</v>
      </c>
      <c r="E4999" s="237" t="str">
        <f>IFERROR(__xludf.DUMMYFUNCTION("""COMPUTED_VALUE"""),"LT0Q1H01WEH31")</f>
        <v>LT0Q1H01WEH31</v>
      </c>
      <c r="F4999" s="238" t="str">
        <f>IFERROR(__xludf.DUMMYFUNCTION("""COMPUTED_VALUE"""),"EML3G22")</f>
        <v>EML3G22</v>
      </c>
      <c r="G4999" s="238">
        <f>IFERROR(__xludf.DUMMYFUNCTION("""COMPUTED_VALUE"""),46039.02083333333)</f>
        <v>46039.02083</v>
      </c>
      <c r="H4999" s="238">
        <f>IFERROR(__xludf.DUMMYFUNCTION("""COMPUTED_VALUE"""),46039.10416666667)</f>
        <v>46039.10417</v>
      </c>
      <c r="I4999" s="237" t="str">
        <f t="shared" si="1"/>
        <v>Fora</v>
      </c>
      <c r="J4999" s="239">
        <v>540.0</v>
      </c>
    </row>
    <row r="5000">
      <c r="A5000" s="234" t="s">
        <v>5936</v>
      </c>
      <c r="B5000" s="234" t="str">
        <f>IFERROR(__xludf.DUMMYFUNCTION("""COMPUTED_VALUE"""),"SoC_SC_Itajaí")</f>
        <v>SoC_SC_Itajaí</v>
      </c>
      <c r="C5000" s="234" t="str">
        <f>IFERROR(__xludf.DUMMYFUNCTION("""COMPUTED_VALUE"""),"SOC-SC1")</f>
        <v>SOC-SC1</v>
      </c>
      <c r="D5000" s="234">
        <f>IFERROR(__xludf.DUMMYFUNCTION("""COMPUTED_VALUE"""),101.0)</f>
        <v>101</v>
      </c>
      <c r="E5000" s="237" t="str">
        <f>IFERROR(__xludf.DUMMYFUNCTION("""COMPUTED_VALUE"""),"LT0Q1G01WDUI2")</f>
        <v>LT0Q1G01WDUI2</v>
      </c>
      <c r="F5000" s="238" t="str">
        <f>IFERROR(__xludf.DUMMYFUNCTION("""COMPUTED_VALUE"""),"RYR9F74,TPW5D78")</f>
        <v>RYR9F74,TPW5D78</v>
      </c>
      <c r="G5000" s="238">
        <f>IFERROR(__xludf.DUMMYFUNCTION("""COMPUTED_VALUE"""),46038.75)</f>
        <v>46038.75</v>
      </c>
      <c r="H5000" s="238">
        <f>IFERROR(__xludf.DUMMYFUNCTION("""COMPUTED_VALUE"""),46039.125)</f>
        <v>46039.125</v>
      </c>
      <c r="I5000" s="237" t="str">
        <f t="shared" si="1"/>
        <v>Fora</v>
      </c>
      <c r="J5000" s="239">
        <v>119.99999999301508</v>
      </c>
    </row>
    <row r="5001">
      <c r="A5001" s="234" t="s">
        <v>5937</v>
      </c>
      <c r="B5001" s="234" t="str">
        <f>IFERROR(__xludf.DUMMYFUNCTION("""COMPUTED_VALUE"""),"SoC_MG_Betim")</f>
        <v>SoC_MG_Betim</v>
      </c>
      <c r="C5001" s="234" t="str">
        <f>IFERROR(__xludf.DUMMYFUNCTION("""COMPUTED_VALUE"""),"SOC-MG2")</f>
        <v>SOC-MG2</v>
      </c>
      <c r="D5001" s="234">
        <f>IFERROR(__xludf.DUMMYFUNCTION("""COMPUTED_VALUE"""),112.0)</f>
        <v>112</v>
      </c>
      <c r="E5001" s="237" t="str">
        <f>IFERROR(__xludf.DUMMYFUNCTION("""COMPUTED_VALUE"""),"LT1Q1H01WQUL1")</f>
        <v>LT1Q1H01WQUL1</v>
      </c>
      <c r="F5001" s="238" t="str">
        <f>IFERROR(__xludf.DUMMYFUNCTION("""COMPUTED_VALUE"""),"AXO9E94,AXN2G36")</f>
        <v>AXO9E94,AXN2G36</v>
      </c>
      <c r="G5001" s="238">
        <f>IFERROR(__xludf.DUMMYFUNCTION("""COMPUTED_VALUE"""),46039.04166666667)</f>
        <v>46039.04167</v>
      </c>
      <c r="H5001" s="238">
        <f>IFERROR(__xludf.DUMMYFUNCTION("""COMPUTED_VALUE"""),46039.125)</f>
        <v>46039.125</v>
      </c>
      <c r="I5001" s="237" t="str">
        <f t="shared" si="1"/>
        <v>Fora</v>
      </c>
      <c r="J5001" s="239">
        <v>119.99999999301508</v>
      </c>
    </row>
    <row r="5002">
      <c r="A5002" s="234" t="s">
        <v>5938</v>
      </c>
      <c r="B5002" s="234" t="str">
        <f>IFERROR(__xludf.DUMMYFUNCTION("""COMPUTED_VALUE"""),"SoC_PE_Jaboatão dos Guararapes")</f>
        <v>SoC_PE_Jaboatão dos Guararapes</v>
      </c>
      <c r="C5002" s="234" t="str">
        <f>IFERROR(__xludf.DUMMYFUNCTION("""COMPUTED_VALUE"""),"SOC-PE2")</f>
        <v>SOC-PE2</v>
      </c>
      <c r="D5002" s="234"/>
      <c r="E5002" s="237" t="str">
        <f>IFERROR(__xludf.DUMMYFUNCTION("""COMPUTED_VALUE"""),"LT1Q1H01WQUO1")</f>
        <v>LT1Q1H01WQUO1</v>
      </c>
      <c r="F5002" s="238" t="str">
        <f>IFERROR(__xludf.DUMMYFUNCTION("""COMPUTED_VALUE"""),"FOQ2J20,ENZ0E86")</f>
        <v>FOQ2J20,ENZ0E86</v>
      </c>
      <c r="G5002" s="238">
        <f>IFERROR(__xludf.DUMMYFUNCTION("""COMPUTED_VALUE"""),46039.04166666667)</f>
        <v>46039.04167</v>
      </c>
      <c r="H5002" s="238">
        <f>IFERROR(__xludf.DUMMYFUNCTION("""COMPUTED_VALUE"""),46039.125)</f>
        <v>46039.125</v>
      </c>
      <c r="I5002" s="237" t="str">
        <f t="shared" si="1"/>
        <v>Fora</v>
      </c>
      <c r="J5002" s="239">
        <v>119.99999999301508</v>
      </c>
    </row>
    <row r="5003">
      <c r="A5003" s="234" t="s">
        <v>5939</v>
      </c>
      <c r="B5003" s="234" t="str">
        <f>IFERROR(__xludf.DUMMYFUNCTION("""COMPUTED_VALUE"""),"SoC_PR_Curitiba")</f>
        <v>SoC_PR_Curitiba</v>
      </c>
      <c r="C5003" s="234" t="str">
        <f>IFERROR(__xludf.DUMMYFUNCTION("""COMPUTED_VALUE"""),"SOC-PR1")</f>
        <v>SOC-PR1</v>
      </c>
      <c r="D5003" s="234">
        <f>IFERROR(__xludf.DUMMYFUNCTION("""COMPUTED_VALUE"""),22.0)</f>
        <v>22</v>
      </c>
      <c r="E5003" s="237" t="str">
        <f>IFERROR(__xludf.DUMMYFUNCTION("""COMPUTED_VALUE"""),"LT0Q1H01W93U1")</f>
        <v>LT0Q1H01W93U1</v>
      </c>
      <c r="F5003" s="238" t="str">
        <f>IFERROR(__xludf.DUMMYFUNCTION("""COMPUTED_VALUE"""),"FXY0J85,QTK5B83")</f>
        <v>FXY0J85,QTK5B83</v>
      </c>
      <c r="G5003" s="238">
        <f>IFERROR(__xludf.DUMMYFUNCTION("""COMPUTED_VALUE"""),46039.04166666667)</f>
        <v>46039.04167</v>
      </c>
      <c r="H5003" s="238">
        <f>IFERROR(__xludf.DUMMYFUNCTION("""COMPUTED_VALUE"""),46039.125)</f>
        <v>46039.125</v>
      </c>
      <c r="I5003" s="237" t="str">
        <f t="shared" si="1"/>
        <v>Fora</v>
      </c>
      <c r="J5003" s="239">
        <v>540.0</v>
      </c>
    </row>
    <row r="5004">
      <c r="A5004" s="234" t="s">
        <v>958</v>
      </c>
      <c r="B5004" s="234" t="str">
        <f>IFERROR(__xludf.DUMMYFUNCTION("""COMPUTED_VALUE"""),"SoC_BA_Simoes Filho")</f>
        <v>SoC_BA_Simoes Filho</v>
      </c>
      <c r="C5004" s="234" t="str">
        <f>IFERROR(__xludf.DUMMYFUNCTION("""COMPUTED_VALUE"""),"SOC-BA2")</f>
        <v>SOC-BA2</v>
      </c>
      <c r="D5004" s="234">
        <f>IFERROR(__xludf.DUMMYFUNCTION("""COMPUTED_VALUE"""),89.0)</f>
        <v>89</v>
      </c>
      <c r="E5004" s="237" t="str">
        <f>IFERROR(__xludf.DUMMYFUNCTION("""COMPUTED_VALUE"""),"LT0Q1G01WEU71")</f>
        <v>LT0Q1G01WEU71</v>
      </c>
      <c r="F5004" s="238" t="str">
        <f>IFERROR(__xludf.DUMMYFUNCTION("""COMPUTED_VALUE"""),"MIP8G14,BEA9F34")</f>
        <v>MIP8G14,BEA9F34</v>
      </c>
      <c r="G5004" s="238">
        <f>IFERROR(__xludf.DUMMYFUNCTION("""COMPUTED_VALUE"""),46038.79166666667)</f>
        <v>46038.79167</v>
      </c>
      <c r="H5004" s="238">
        <f>IFERROR(__xludf.DUMMYFUNCTION("""COMPUTED_VALUE"""),46039.16666666667)</f>
        <v>46039.16667</v>
      </c>
      <c r="I5004" s="237" t="str">
        <f t="shared" si="1"/>
        <v>Fora</v>
      </c>
      <c r="J5004" s="239">
        <v>540.0</v>
      </c>
    </row>
    <row r="5005">
      <c r="A5005" s="234" t="s">
        <v>5940</v>
      </c>
      <c r="B5005" s="234" t="str">
        <f>IFERROR(__xludf.DUMMYFUNCTION("""COMPUTED_VALUE"""),"SoC_BA_Simoes Filho")</f>
        <v>SoC_BA_Simoes Filho</v>
      </c>
      <c r="C5005" s="234" t="str">
        <f>IFERROR(__xludf.DUMMYFUNCTION("""COMPUTED_VALUE"""),"SOC-BA2")</f>
        <v>SOC-BA2</v>
      </c>
      <c r="D5005" s="234">
        <f>IFERROR(__xludf.DUMMYFUNCTION("""COMPUTED_VALUE"""),89.0)</f>
        <v>89</v>
      </c>
      <c r="E5005" s="237" t="str">
        <f>IFERROR(__xludf.DUMMYFUNCTION("""COMPUTED_VALUE"""),"LT0Q1G01WEU92")</f>
        <v>LT0Q1G01WEU92</v>
      </c>
      <c r="F5005" s="238" t="str">
        <f>IFERROR(__xludf.DUMMYFUNCTION("""COMPUTED_VALUE"""),"FVH6J48,TYE1G83")</f>
        <v>FVH6J48,TYE1G83</v>
      </c>
      <c r="G5005" s="238">
        <f>IFERROR(__xludf.DUMMYFUNCTION("""COMPUTED_VALUE"""),46038.79166666667)</f>
        <v>46038.79167</v>
      </c>
      <c r="H5005" s="238">
        <f>IFERROR(__xludf.DUMMYFUNCTION("""COMPUTED_VALUE"""),46039.16666666667)</f>
        <v>46039.16667</v>
      </c>
      <c r="I5005" s="237" t="str">
        <f t="shared" si="1"/>
        <v>Fora</v>
      </c>
      <c r="J5005" s="239">
        <v>540.0</v>
      </c>
    </row>
    <row r="5006">
      <c r="A5006" s="234" t="s">
        <v>5941</v>
      </c>
      <c r="B5006" s="234" t="str">
        <f>IFERROR(__xludf.DUMMYFUNCTION("""COMPUTED_VALUE"""),"SoC_GO_Goiânia_02")</f>
        <v>SoC_GO_Goiânia_02</v>
      </c>
      <c r="C5006" s="234" t="str">
        <f>IFERROR(__xludf.DUMMYFUNCTION("""COMPUTED_VALUE"""),"SOC-GO2")</f>
        <v>SOC-GO2</v>
      </c>
      <c r="D5006" s="234">
        <f>IFERROR(__xludf.DUMMYFUNCTION("""COMPUTED_VALUE"""),86.0)</f>
        <v>86</v>
      </c>
      <c r="E5006" s="237" t="str">
        <f>IFERROR(__xludf.DUMMYFUNCTION("""COMPUTED_VALUE"""),"LT0Q1G01WF632")</f>
        <v>LT0Q1G01WF632</v>
      </c>
      <c r="F5006" s="238" t="str">
        <f>IFERROR(__xludf.DUMMYFUNCTION("""COMPUTED_VALUE"""),"DJC9019,NWG6523")</f>
        <v>DJC9019,NWG6523</v>
      </c>
      <c r="G5006" s="238">
        <f>IFERROR(__xludf.DUMMYFUNCTION("""COMPUTED_VALUE"""),46038.79166666667)</f>
        <v>46038.79167</v>
      </c>
      <c r="H5006" s="238">
        <f>IFERROR(__xludf.DUMMYFUNCTION("""COMPUTED_VALUE"""),46039.16666666667)</f>
        <v>46039.16667</v>
      </c>
      <c r="I5006" s="237" t="str">
        <f t="shared" si="1"/>
        <v>Fora</v>
      </c>
      <c r="J5006" s="239">
        <v>540.0</v>
      </c>
    </row>
    <row r="5007">
      <c r="A5007" s="234" t="s">
        <v>5942</v>
      </c>
      <c r="B5007" s="234" t="str">
        <f>IFERROR(__xludf.DUMMYFUNCTION("""COMPUTED_VALUE"""),"SoC_MG_Betim")</f>
        <v>SoC_MG_Betim</v>
      </c>
      <c r="C5007" s="234" t="str">
        <f>IFERROR(__xludf.DUMMYFUNCTION("""COMPUTED_VALUE"""),"SOC-MG2")</f>
        <v>SOC-MG2</v>
      </c>
      <c r="D5007" s="234">
        <f>IFERROR(__xludf.DUMMYFUNCTION("""COMPUTED_VALUE"""),90.0)</f>
        <v>90</v>
      </c>
      <c r="E5007" s="237" t="str">
        <f>IFERROR(__xludf.DUMMYFUNCTION("""COMPUTED_VALUE"""),"LT0Q1G01W92Q2")</f>
        <v>LT0Q1G01W92Q2</v>
      </c>
      <c r="F5007" s="238" t="str">
        <f>IFERROR(__xludf.DUMMYFUNCTION("""COMPUTED_VALUE"""),"SXW1G67,SXW1J87")</f>
        <v>SXW1G67,SXW1J87</v>
      </c>
      <c r="G5007" s="238">
        <f>IFERROR(__xludf.DUMMYFUNCTION("""COMPUTED_VALUE"""),46038.79166666667)</f>
        <v>46038.79167</v>
      </c>
      <c r="H5007" s="238">
        <f>IFERROR(__xludf.DUMMYFUNCTION("""COMPUTED_VALUE"""),46039.16666666667)</f>
        <v>46039.16667</v>
      </c>
      <c r="I5007" s="237" t="str">
        <f t="shared" si="1"/>
        <v>Fora</v>
      </c>
      <c r="J5007" s="239">
        <v>540.0</v>
      </c>
    </row>
    <row r="5008">
      <c r="A5008" s="234" t="s">
        <v>5943</v>
      </c>
      <c r="B5008" s="234" t="str">
        <f>IFERROR(__xludf.DUMMYFUNCTION("""COMPUTED_VALUE"""),"SoC_MG_Betim")</f>
        <v>SoC_MG_Betim</v>
      </c>
      <c r="C5008" s="234" t="str">
        <f>IFERROR(__xludf.DUMMYFUNCTION("""COMPUTED_VALUE"""),"SOC-MG2")</f>
        <v>SOC-MG2</v>
      </c>
      <c r="D5008" s="234">
        <f>IFERROR(__xludf.DUMMYFUNCTION("""COMPUTED_VALUE"""),91.0)</f>
        <v>91</v>
      </c>
      <c r="E5008" s="237" t="str">
        <f>IFERROR(__xludf.DUMMYFUNCTION("""COMPUTED_VALUE"""),"LT0Q1G01W9341")</f>
        <v>LT0Q1G01W9341</v>
      </c>
      <c r="F5008" s="238" t="str">
        <f>IFERROR(__xludf.DUMMYFUNCTION("""COMPUTED_VALUE"""),"CUT9D89,TBC8A47")</f>
        <v>CUT9D89,TBC8A47</v>
      </c>
      <c r="G5008" s="238">
        <f>IFERROR(__xludf.DUMMYFUNCTION("""COMPUTED_VALUE"""),46038.79166666667)</f>
        <v>46038.79167</v>
      </c>
      <c r="H5008" s="238">
        <f>IFERROR(__xludf.DUMMYFUNCTION("""COMPUTED_VALUE"""),46039.16666666667)</f>
        <v>46039.16667</v>
      </c>
      <c r="I5008" s="237" t="str">
        <f t="shared" si="1"/>
        <v>Fora</v>
      </c>
      <c r="J5008" s="239">
        <v>540.0</v>
      </c>
    </row>
    <row r="5009">
      <c r="A5009" s="234" t="s">
        <v>5944</v>
      </c>
      <c r="B5009" s="234" t="str">
        <f>IFERROR(__xludf.DUMMYFUNCTION("""COMPUTED_VALUE"""),"SoC_PE_Jaboatão dos Guararapes")</f>
        <v>SoC_PE_Jaboatão dos Guararapes</v>
      </c>
      <c r="C5009" s="234" t="str">
        <f>IFERROR(__xludf.DUMMYFUNCTION("""COMPUTED_VALUE"""),"SOC-PE2")</f>
        <v>SOC-PE2</v>
      </c>
      <c r="D5009" s="234">
        <f>IFERROR(__xludf.DUMMYFUNCTION("""COMPUTED_VALUE"""),98.0)</f>
        <v>98</v>
      </c>
      <c r="E5009" s="237" t="str">
        <f>IFERROR(__xludf.DUMMYFUNCTION("""COMPUTED_VALUE"""),"LT0Q1G01WEQJ1")</f>
        <v>LT0Q1G01WEQJ1</v>
      </c>
      <c r="F5009" s="238" t="str">
        <f>IFERROR(__xludf.DUMMYFUNCTION("""COMPUTED_VALUE"""),"EIW6I37,FFN3A08")</f>
        <v>EIW6I37,FFN3A08</v>
      </c>
      <c r="G5009" s="238">
        <f>IFERROR(__xludf.DUMMYFUNCTION("""COMPUTED_VALUE"""),46038.79166666667)</f>
        <v>46038.79167</v>
      </c>
      <c r="H5009" s="238">
        <f>IFERROR(__xludf.DUMMYFUNCTION("""COMPUTED_VALUE"""),46039.16666666667)</f>
        <v>46039.16667</v>
      </c>
      <c r="I5009" s="237" t="str">
        <f t="shared" si="1"/>
        <v>Fora</v>
      </c>
      <c r="J5009" s="239">
        <v>540.0</v>
      </c>
    </row>
    <row r="5010">
      <c r="A5010" s="234" t="s">
        <v>5945</v>
      </c>
      <c r="B5010" s="234" t="str">
        <f>IFERROR(__xludf.DUMMYFUNCTION("""COMPUTED_VALUE"""),"SoC_SC_Itajaí")</f>
        <v>SoC_SC_Itajaí</v>
      </c>
      <c r="C5010" s="234" t="str">
        <f>IFERROR(__xludf.DUMMYFUNCTION("""COMPUTED_VALUE"""),"SOC-SC1")</f>
        <v>SOC-SC1</v>
      </c>
      <c r="D5010" s="234">
        <f>IFERROR(__xludf.DUMMYFUNCTION("""COMPUTED_VALUE"""),100.0)</f>
        <v>100</v>
      </c>
      <c r="E5010" s="237" t="str">
        <f>IFERROR(__xludf.DUMMYFUNCTION("""COMPUTED_VALUE"""),"LT0Q1G01WDUG1")</f>
        <v>LT0Q1G01WDUG1</v>
      </c>
      <c r="F5010" s="238" t="str">
        <f>IFERROR(__xludf.DUMMYFUNCTION("""COMPUTED_VALUE"""),"RLH2B54,RAJ1147")</f>
        <v>RLH2B54,RAJ1147</v>
      </c>
      <c r="G5010" s="238">
        <f>IFERROR(__xludf.DUMMYFUNCTION("""COMPUTED_VALUE"""),46038.79166666667)</f>
        <v>46038.79167</v>
      </c>
      <c r="H5010" s="238">
        <f>IFERROR(__xludf.DUMMYFUNCTION("""COMPUTED_VALUE"""),46039.16666666667)</f>
        <v>46039.16667</v>
      </c>
      <c r="I5010" s="237" t="str">
        <f t="shared" si="1"/>
        <v>Fora</v>
      </c>
      <c r="J5010" s="239">
        <v>120.00000001396984</v>
      </c>
    </row>
    <row r="5011">
      <c r="A5011" s="234" t="s">
        <v>5946</v>
      </c>
      <c r="B5011" s="234" t="str">
        <f>IFERROR(__xludf.DUMMYFUNCTION("""COMPUTED_VALUE"""),"SoC_BA_Simoes Filho")</f>
        <v>SoC_BA_Simoes Filho</v>
      </c>
      <c r="C5011" s="234" t="str">
        <f>IFERROR(__xludf.DUMMYFUNCTION("""COMPUTED_VALUE"""),"SOC-BA2")</f>
        <v>SOC-BA2</v>
      </c>
      <c r="D5011" s="234">
        <f>IFERROR(__xludf.DUMMYFUNCTION("""COMPUTED_VALUE"""),110.0)</f>
        <v>110</v>
      </c>
      <c r="E5011" s="237" t="str">
        <f>IFERROR(__xludf.DUMMYFUNCTION("""COMPUTED_VALUE"""),"LT1Q1H01WQUQ1")</f>
        <v>LT1Q1H01WQUQ1</v>
      </c>
      <c r="F5011" s="238" t="str">
        <f>IFERROR(__xludf.DUMMYFUNCTION("""COMPUTED_VALUE"""),"HZA6176,GEW8A36")</f>
        <v>HZA6176,GEW8A36</v>
      </c>
      <c r="G5011" s="238">
        <f>IFERROR(__xludf.DUMMYFUNCTION("""COMPUTED_VALUE"""),46039.08333333333)</f>
        <v>46039.08333</v>
      </c>
      <c r="H5011" s="238">
        <f>IFERROR(__xludf.DUMMYFUNCTION("""COMPUTED_VALUE"""),46039.16666666667)</f>
        <v>46039.16667</v>
      </c>
      <c r="I5011" s="237" t="str">
        <f t="shared" si="1"/>
        <v>Fora</v>
      </c>
      <c r="J5011" s="239">
        <v>120.00000001396984</v>
      </c>
    </row>
    <row r="5012">
      <c r="A5012" s="234" t="s">
        <v>5947</v>
      </c>
      <c r="B5012" s="234" t="str">
        <f>IFERROR(__xludf.DUMMYFUNCTION("""COMPUTED_VALUE"""),"SoC_SC_Itajaí")</f>
        <v>SoC_SC_Itajaí</v>
      </c>
      <c r="C5012" s="234" t="str">
        <f>IFERROR(__xludf.DUMMYFUNCTION("""COMPUTED_VALUE"""),"SOC-SC1")</f>
        <v>SOC-SC1</v>
      </c>
      <c r="D5012" s="234"/>
      <c r="E5012" s="237" t="str">
        <f>IFERROR(__xludf.DUMMYFUNCTION("""COMPUTED_VALUE"""),"LT1Q1H01WQUU1")</f>
        <v>LT1Q1H01WQUU1</v>
      </c>
      <c r="F5012" s="238" t="str">
        <f>IFERROR(__xludf.DUMMYFUNCTION("""COMPUTED_VALUE"""),"RKD3A16,EML4J24")</f>
        <v>RKD3A16,EML4J24</v>
      </c>
      <c r="G5012" s="238">
        <f>IFERROR(__xludf.DUMMYFUNCTION("""COMPUTED_VALUE"""),46039.08333333333)</f>
        <v>46039.08333</v>
      </c>
      <c r="H5012" s="238">
        <f>IFERROR(__xludf.DUMMYFUNCTION("""COMPUTED_VALUE"""),46039.16666666667)</f>
        <v>46039.16667</v>
      </c>
      <c r="I5012" s="237" t="str">
        <f t="shared" si="1"/>
        <v>Fora</v>
      </c>
      <c r="J5012" s="239">
        <v>60.00000000698492</v>
      </c>
    </row>
    <row r="5013">
      <c r="A5013" s="234" t="s">
        <v>5948</v>
      </c>
      <c r="B5013" s="234" t="str">
        <f>IFERROR(__xludf.DUMMYFUNCTION("""COMPUTED_VALUE"""),"SoC_GO_Goiânia_02")</f>
        <v>SoC_GO_Goiânia_02</v>
      </c>
      <c r="C5013" s="234" t="str">
        <f>IFERROR(__xludf.DUMMYFUNCTION("""COMPUTED_VALUE"""),"SOC-GO2")</f>
        <v>SOC-GO2</v>
      </c>
      <c r="D5013" s="234">
        <f>IFERROR(__xludf.DUMMYFUNCTION("""COMPUTED_VALUE"""),114.0)</f>
        <v>114</v>
      </c>
      <c r="E5013" s="237" t="str">
        <f>IFERROR(__xludf.DUMMYFUNCTION("""COMPUTED_VALUE"""),"LT1Q1H01WQUW1")</f>
        <v>LT1Q1H01WQUW1</v>
      </c>
      <c r="F5013" s="238" t="str">
        <f>IFERROR(__xludf.DUMMYFUNCTION("""COMPUTED_VALUE"""),"MLD8340,MDL1A93")</f>
        <v>MLD8340,MDL1A93</v>
      </c>
      <c r="G5013" s="238">
        <f>IFERROR(__xludf.DUMMYFUNCTION("""COMPUTED_VALUE"""),46039.125)</f>
        <v>46039.125</v>
      </c>
      <c r="H5013" s="238">
        <f>IFERROR(__xludf.DUMMYFUNCTION("""COMPUTED_VALUE"""),46039.16666666667)</f>
        <v>46039.16667</v>
      </c>
      <c r="I5013" s="237" t="str">
        <f t="shared" si="1"/>
        <v>Fora</v>
      </c>
      <c r="J5013" s="239">
        <v>120.00000000349246</v>
      </c>
    </row>
    <row r="5014">
      <c r="A5014" s="234" t="s">
        <v>5949</v>
      </c>
      <c r="B5014" s="234" t="str">
        <f>IFERROR(__xludf.DUMMYFUNCTION("""COMPUTED_VALUE"""),"LM Hub_SP_Jurubatuba")</f>
        <v>LM Hub_SP_Jurubatuba</v>
      </c>
      <c r="C5014" s="234" t="str">
        <f>IFERROR(__xludf.DUMMYFUNCTION("""COMPUTED_VALUE"""),"HUB-LSP-16")</f>
        <v>HUB-LSP-16</v>
      </c>
      <c r="D5014" s="234">
        <f>IFERROR(__xludf.DUMMYFUNCTION("""COMPUTED_VALUE"""),9.0)</f>
        <v>9</v>
      </c>
      <c r="E5014" s="237" t="str">
        <f>IFERROR(__xludf.DUMMYFUNCTION("""COMPUTED_VALUE"""),"LT1Q1H01X6CY1")</f>
        <v>LT1Q1H01X6CY1</v>
      </c>
      <c r="F5014" s="238" t="str">
        <f>IFERROR(__xludf.DUMMYFUNCTION("""COMPUTED_VALUE"""),"MQV9D62,CUG2A56")</f>
        <v>MQV9D62,CUG2A56</v>
      </c>
      <c r="G5014" s="238">
        <f>IFERROR(__xludf.DUMMYFUNCTION("""COMPUTED_VALUE"""),46039.09166666667)</f>
        <v>46039.09167</v>
      </c>
      <c r="H5014" s="238">
        <f>IFERROR(__xludf.DUMMYFUNCTION("""COMPUTED_VALUE"""),46039.175)</f>
        <v>46039.175</v>
      </c>
      <c r="I5014" s="237" t="str">
        <f t="shared" si="1"/>
        <v>Fora</v>
      </c>
      <c r="J5014" s="239">
        <v>119.99999999301508</v>
      </c>
    </row>
    <row r="5015">
      <c r="A5015" s="234" t="s">
        <v>5950</v>
      </c>
      <c r="B5015" s="234" t="str">
        <f>IFERROR(__xludf.DUMMYFUNCTION("""COMPUTED_VALUE"""),"LM Hub_SP_Itapetininga")</f>
        <v>LM Hub_SP_Itapetininga</v>
      </c>
      <c r="C5015" s="234" t="str">
        <f>IFERROR(__xludf.DUMMYFUNCTION("""COMPUTED_VALUE"""),"HUB-LSP-53")</f>
        <v>HUB-LSP-53</v>
      </c>
      <c r="D5015" s="234">
        <f>IFERROR(__xludf.DUMMYFUNCTION("""COMPUTED_VALUE"""),39.0)</f>
        <v>39</v>
      </c>
      <c r="E5015" s="237" t="str">
        <f>IFERROR(__xludf.DUMMYFUNCTION("""COMPUTED_VALUE"""),"LT0Q1H01W98Z1")</f>
        <v>LT0Q1H01W98Z1</v>
      </c>
      <c r="F5015" s="238" t="str">
        <f>IFERROR(__xludf.DUMMYFUNCTION("""COMPUTED_VALUE"""),"FLQ1E34,FLQ1E30")</f>
        <v>FLQ1E34,FLQ1E30</v>
      </c>
      <c r="G5015" s="238">
        <f>IFERROR(__xludf.DUMMYFUNCTION("""COMPUTED_VALUE"""),46039.10416666667)</f>
        <v>46039.10417</v>
      </c>
      <c r="H5015" s="238">
        <f>IFERROR(__xludf.DUMMYFUNCTION("""COMPUTED_VALUE"""),46039.1875)</f>
        <v>46039.1875</v>
      </c>
      <c r="I5015" s="237" t="str">
        <f t="shared" si="1"/>
        <v>Fora</v>
      </c>
      <c r="J5015" s="239">
        <v>119.99999999301508</v>
      </c>
    </row>
    <row r="5016">
      <c r="A5016" s="234" t="s">
        <v>5951</v>
      </c>
      <c r="B5016" s="234" t="str">
        <f>IFERROR(__xludf.DUMMYFUNCTION("""COMPUTED_VALUE"""),"LM Hub_SP_São Carlos")</f>
        <v>LM Hub_SP_São Carlos</v>
      </c>
      <c r="C5016" s="234" t="str">
        <f>IFERROR(__xludf.DUMMYFUNCTION("""COMPUTED_VALUE"""),"HUB-LSP-31")</f>
        <v>HUB-LSP-31</v>
      </c>
      <c r="D5016" s="234">
        <f>IFERROR(__xludf.DUMMYFUNCTION("""COMPUTED_VALUE"""),17.0)</f>
        <v>17</v>
      </c>
      <c r="E5016" s="237" t="str">
        <f>IFERROR(__xludf.DUMMYFUNCTION("""COMPUTED_VALUE"""),"LT0Q1H01W9BT1")</f>
        <v>LT0Q1H01W9BT1</v>
      </c>
      <c r="F5016" s="238" t="str">
        <f>IFERROR(__xludf.DUMMYFUNCTION("""COMPUTED_VALUE"""),"QJT4B02")</f>
        <v>QJT4B02</v>
      </c>
      <c r="G5016" s="238">
        <f>IFERROR(__xludf.DUMMYFUNCTION("""COMPUTED_VALUE"""),46039.10416666667)</f>
        <v>46039.10417</v>
      </c>
      <c r="H5016" s="238">
        <f>IFERROR(__xludf.DUMMYFUNCTION("""COMPUTED_VALUE"""),46039.1875)</f>
        <v>46039.1875</v>
      </c>
      <c r="I5016" s="237" t="str">
        <f t="shared" si="1"/>
        <v>Fora</v>
      </c>
      <c r="J5016" s="239">
        <v>540.0</v>
      </c>
    </row>
    <row r="5017">
      <c r="A5017" s="234" t="s">
        <v>5952</v>
      </c>
      <c r="B5017" s="234" t="str">
        <f>IFERROR(__xludf.DUMMYFUNCTION("""COMPUTED_VALUE"""),"SoC_RJ_Duque de Caxias")</f>
        <v>SoC_RJ_Duque de Caxias</v>
      </c>
      <c r="C5017" s="234" t="str">
        <f>IFERROR(__xludf.DUMMYFUNCTION("""COMPUTED_VALUE"""),"SOC-RJ2")</f>
        <v>SOC-RJ2</v>
      </c>
      <c r="D5017" s="234">
        <f>IFERROR(__xludf.DUMMYFUNCTION("""COMPUTED_VALUE"""),97.0)</f>
        <v>97</v>
      </c>
      <c r="E5017" s="237" t="str">
        <f>IFERROR(__xludf.DUMMYFUNCTION("""COMPUTED_VALUE"""),"LT0Q1G01WIRQ1")</f>
        <v>LT0Q1G01WIRQ1</v>
      </c>
      <c r="F5017" s="238" t="str">
        <f>IFERROR(__xludf.DUMMYFUNCTION("""COMPUTED_VALUE"""),"GAV9D67,PRO5229")</f>
        <v>GAV9D67,PRO5229</v>
      </c>
      <c r="G5017" s="238">
        <f>IFERROR(__xludf.DUMMYFUNCTION("""COMPUTED_VALUE"""),46038.83333333333)</f>
        <v>46038.83333</v>
      </c>
      <c r="H5017" s="238">
        <f>IFERROR(__xludf.DUMMYFUNCTION("""COMPUTED_VALUE"""),46039.20833333333)</f>
        <v>46039.20833</v>
      </c>
      <c r="I5017" s="237" t="str">
        <f t="shared" si="1"/>
        <v>Fora</v>
      </c>
      <c r="J5017" s="239">
        <v>540.0</v>
      </c>
    </row>
    <row r="5018">
      <c r="A5018" s="234" t="s">
        <v>5953</v>
      </c>
      <c r="B5018" s="234" t="str">
        <f>IFERROR(__xludf.DUMMYFUNCTION("""COMPUTED_VALUE"""),"SoC_RS_Gravataí_02")</f>
        <v>SoC_RS_Gravataí_02</v>
      </c>
      <c r="C5018" s="234" t="str">
        <f>IFERROR(__xludf.DUMMYFUNCTION("""COMPUTED_VALUE"""),"SOC-RS2")</f>
        <v>SOC-RS2</v>
      </c>
      <c r="D5018" s="234">
        <f>IFERROR(__xludf.DUMMYFUNCTION("""COMPUTED_VALUE"""),102.0)</f>
        <v>102</v>
      </c>
      <c r="E5018" s="237" t="str">
        <f>IFERROR(__xludf.DUMMYFUNCTION("""COMPUTED_VALUE"""),"LT0Q1G01WF871")</f>
        <v>LT0Q1G01WF871</v>
      </c>
      <c r="F5018" s="238" t="str">
        <f>IFERROR(__xludf.DUMMYFUNCTION("""COMPUTED_VALUE"""),"SIJ1H63,TEM3A75")</f>
        <v>SIJ1H63,TEM3A75</v>
      </c>
      <c r="G5018" s="238">
        <f>IFERROR(__xludf.DUMMYFUNCTION("""COMPUTED_VALUE"""),46038.83333333333)</f>
        <v>46038.83333</v>
      </c>
      <c r="H5018" s="238">
        <f>IFERROR(__xludf.DUMMYFUNCTION("""COMPUTED_VALUE"""),46039.20833333333)</f>
        <v>46039.20833</v>
      </c>
      <c r="I5018" s="237" t="str">
        <f t="shared" si="1"/>
        <v>Fora</v>
      </c>
      <c r="J5018" s="239">
        <v>538.9999999967404</v>
      </c>
    </row>
    <row r="5019">
      <c r="A5019" s="234" t="s">
        <v>5954</v>
      </c>
      <c r="B5019" s="234" t="str">
        <f>IFERROR(__xludf.DUMMYFUNCTION("""COMPUTED_VALUE"""),"SoC_GO_Goiânia_02")</f>
        <v>SoC_GO_Goiânia_02</v>
      </c>
      <c r="C5019" s="234" t="str">
        <f>IFERROR(__xludf.DUMMYFUNCTION("""COMPUTED_VALUE"""),"SOC-GO2")</f>
        <v>SOC-GO2</v>
      </c>
      <c r="D5019" s="234">
        <f>IFERROR(__xludf.DUMMYFUNCTION("""COMPUTED_VALUE"""),87.0)</f>
        <v>87</v>
      </c>
      <c r="E5019" s="237" t="str">
        <f>IFERROR(__xludf.DUMMYFUNCTION("""COMPUTED_VALUE"""),"LT0Q1G01WF6I2")</f>
        <v>LT0Q1G01WF6I2</v>
      </c>
      <c r="F5019" s="238" t="str">
        <f>IFERROR(__xludf.DUMMYFUNCTION("""COMPUTED_VALUE"""),"QHN2A51,SDA8F41")</f>
        <v>QHN2A51,SDA8F41</v>
      </c>
      <c r="G5019" s="238">
        <f>IFERROR(__xludf.DUMMYFUNCTION("""COMPUTED_VALUE"""),46038.834027777775)</f>
        <v>46038.83403</v>
      </c>
      <c r="H5019" s="238">
        <f>IFERROR(__xludf.DUMMYFUNCTION("""COMPUTED_VALUE"""),46039.20833333333)</f>
        <v>46039.20833</v>
      </c>
      <c r="I5019" s="237" t="str">
        <f t="shared" si="1"/>
        <v>Fora</v>
      </c>
      <c r="J5019" s="239">
        <v>537.9999999934807</v>
      </c>
    </row>
    <row r="5020">
      <c r="A5020" s="234" t="s">
        <v>5955</v>
      </c>
      <c r="B5020" s="234" t="str">
        <f>IFERROR(__xludf.DUMMYFUNCTION("""COMPUTED_VALUE"""),"SoC_MG_Betim")</f>
        <v>SoC_MG_Betim</v>
      </c>
      <c r="C5020" s="234" t="str">
        <f>IFERROR(__xludf.DUMMYFUNCTION("""COMPUTED_VALUE"""),"SOC-MG2")</f>
        <v>SOC-MG2</v>
      </c>
      <c r="D5020" s="234">
        <f>IFERROR(__xludf.DUMMYFUNCTION("""COMPUTED_VALUE"""),114.0)</f>
        <v>114</v>
      </c>
      <c r="E5020" s="237" t="str">
        <f>IFERROR(__xludf.DUMMYFUNCTION("""COMPUTED_VALUE"""),"LT0Q1G01W93O1")</f>
        <v>LT0Q1G01W93O1</v>
      </c>
      <c r="F5020" s="238" t="str">
        <f>IFERROR(__xludf.DUMMYFUNCTION("""COMPUTED_VALUE"""),"ETM1F73,ETU9645")</f>
        <v>ETM1F73,ETU9645</v>
      </c>
      <c r="G5020" s="238">
        <f>IFERROR(__xludf.DUMMYFUNCTION("""COMPUTED_VALUE"""),46038.83472222222)</f>
        <v>46038.83472</v>
      </c>
      <c r="H5020" s="238">
        <f>IFERROR(__xludf.DUMMYFUNCTION("""COMPUTED_VALUE"""),46039.20833333333)</f>
        <v>46039.20833</v>
      </c>
      <c r="I5020" s="237" t="str">
        <f t="shared" si="1"/>
        <v>Fora</v>
      </c>
      <c r="J5020" s="239">
        <v>536.9999999902211</v>
      </c>
    </row>
    <row r="5021">
      <c r="A5021" s="234" t="s">
        <v>5956</v>
      </c>
      <c r="B5021" s="234" t="str">
        <f>IFERROR(__xludf.DUMMYFUNCTION("""COMPUTED_VALUE"""),"SoC_SP_Cravinhos")</f>
        <v>SoC_SP_Cravinhos</v>
      </c>
      <c r="C5021" s="234" t="str">
        <f>IFERROR(__xludf.DUMMYFUNCTION("""COMPUTED_VALUE"""),"SOC-SP5")</f>
        <v>SOC-SP5</v>
      </c>
      <c r="D5021" s="234">
        <f>IFERROR(__xludf.DUMMYFUNCTION("""COMPUTED_VALUE"""),6.0)</f>
        <v>6</v>
      </c>
      <c r="E5021" s="237" t="str">
        <f>IFERROR(__xludf.DUMMYFUNCTION("""COMPUTED_VALUE"""),"LT0Q1G01W95C2")</f>
        <v>LT0Q1G01W95C2</v>
      </c>
      <c r="F5021" s="238" t="str">
        <f>IFERROR(__xludf.DUMMYFUNCTION("""COMPUTED_VALUE"""),"QJQ7C17,EZE0860")</f>
        <v>QJQ7C17,EZE0860</v>
      </c>
      <c r="G5021" s="238">
        <f>IFERROR(__xludf.DUMMYFUNCTION("""COMPUTED_VALUE"""),46038.83541666667)</f>
        <v>46038.83542</v>
      </c>
      <c r="H5021" s="238">
        <f>IFERROR(__xludf.DUMMYFUNCTION("""COMPUTED_VALUE"""),46039.20833333333)</f>
        <v>46039.20833</v>
      </c>
      <c r="I5021" s="237" t="str">
        <f t="shared" si="1"/>
        <v>Fora</v>
      </c>
      <c r="J5021" s="239">
        <v>180.0</v>
      </c>
    </row>
    <row r="5022">
      <c r="A5022" s="234" t="s">
        <v>5957</v>
      </c>
      <c r="B5022" s="234" t="str">
        <f>IFERROR(__xludf.DUMMYFUNCTION("""COMPUTED_VALUE"""),"SoC_SP_Santana")</f>
        <v>SoC_SP_Santana</v>
      </c>
      <c r="C5022" s="234" t="str">
        <f>IFERROR(__xludf.DUMMYFUNCTION("""COMPUTED_VALUE"""),"SOC-SP2")</f>
        <v>SOC-SP2</v>
      </c>
      <c r="D5022" s="234"/>
      <c r="E5022" s="237" t="str">
        <f>IFERROR(__xludf.DUMMYFUNCTION("""COMPUTED_VALUE"""),"LT0Q1H01W9OT1")</f>
        <v>LT0Q1H01W9OT1</v>
      </c>
      <c r="F5022" s="238" t="str">
        <f>IFERROR(__xludf.DUMMYFUNCTION("""COMPUTED_VALUE"""),"SUZ0A03,DAE3D51,DAE2I71")</f>
        <v>SUZ0A03,DAE3D51,DAE2I71</v>
      </c>
      <c r="G5022" s="238">
        <f>IFERROR(__xludf.DUMMYFUNCTION("""COMPUTED_VALUE"""),46039.08333333333)</f>
        <v>46039.08333</v>
      </c>
      <c r="H5022" s="238">
        <f>IFERROR(__xludf.DUMMYFUNCTION("""COMPUTED_VALUE"""),46039.20833333333)</f>
        <v>46039.20833</v>
      </c>
      <c r="I5022" s="237" t="str">
        <f t="shared" si="1"/>
        <v>Fora</v>
      </c>
      <c r="J5022" s="239">
        <v>119.99999999301508</v>
      </c>
    </row>
    <row r="5023">
      <c r="A5023" s="234" t="s">
        <v>5958</v>
      </c>
      <c r="B5023" s="234" t="str">
        <f>IFERROR(__xludf.DUMMYFUNCTION("""COMPUTED_VALUE"""),"LM Hub_SP_Itapeva")</f>
        <v>LM Hub_SP_Itapeva</v>
      </c>
      <c r="C5023" s="234" t="str">
        <f>IFERROR(__xludf.DUMMYFUNCTION("""COMPUTED_VALUE"""),"HUB-LSP-39")</f>
        <v>HUB-LSP-39</v>
      </c>
      <c r="D5023" s="234">
        <f>IFERROR(__xludf.DUMMYFUNCTION("""COMPUTED_VALUE"""),5.0)</f>
        <v>5</v>
      </c>
      <c r="E5023" s="237" t="str">
        <f>IFERROR(__xludf.DUMMYFUNCTION("""COMPUTED_VALUE"""),"LT0Q1H01W99B1")</f>
        <v>LT0Q1H01W99B1</v>
      </c>
      <c r="F5023" s="238" t="str">
        <f>IFERROR(__xludf.DUMMYFUNCTION("""COMPUTED_VALUE"""),"FCT0F31")</f>
        <v>FCT0F31</v>
      </c>
      <c r="G5023" s="238">
        <f>IFERROR(__xludf.DUMMYFUNCTION("""COMPUTED_VALUE"""),46039.125)</f>
        <v>46039.125</v>
      </c>
      <c r="H5023" s="238">
        <f>IFERROR(__xludf.DUMMYFUNCTION("""COMPUTED_VALUE"""),46039.20833333333)</f>
        <v>46039.20833</v>
      </c>
      <c r="I5023" s="237" t="str">
        <f t="shared" si="1"/>
        <v>Fora</v>
      </c>
      <c r="J5023" s="239">
        <v>119.99999999301508</v>
      </c>
    </row>
    <row r="5024">
      <c r="A5024" s="234" t="s">
        <v>5959</v>
      </c>
      <c r="B5024" s="234" t="str">
        <f>IFERROR(__xludf.DUMMYFUNCTION("""COMPUTED_VALUE"""),"LM Hub_SP_Sumaré_Nova Veneza_1")</f>
        <v>LM Hub_SP_Sumaré_Nova Veneza_1</v>
      </c>
      <c r="C5024" s="234" t="str">
        <f>IFERROR(__xludf.DUMMYFUNCTION("""COMPUTED_VALUE"""),"HUB-LSP-88")</f>
        <v>HUB-LSP-88</v>
      </c>
      <c r="D5024" s="234">
        <f>IFERROR(__xludf.DUMMYFUNCTION("""COMPUTED_VALUE"""),52.0)</f>
        <v>52</v>
      </c>
      <c r="E5024" s="237" t="str">
        <f>IFERROR(__xludf.DUMMYFUNCTION("""COMPUTED_VALUE"""),"LT0Q1H01WEDQ1")</f>
        <v>LT0Q1H01WEDQ1</v>
      </c>
      <c r="F5024" s="238" t="str">
        <f>IFERROR(__xludf.DUMMYFUNCTION("""COMPUTED_VALUE"""),"TLW1F27")</f>
        <v>TLW1F27</v>
      </c>
      <c r="G5024" s="238">
        <f>IFERROR(__xludf.DUMMYFUNCTION("""COMPUTED_VALUE"""),46039.125)</f>
        <v>46039.125</v>
      </c>
      <c r="H5024" s="238">
        <f>IFERROR(__xludf.DUMMYFUNCTION("""COMPUTED_VALUE"""),46039.20833333333)</f>
        <v>46039.20833</v>
      </c>
      <c r="I5024" s="237" t="str">
        <f t="shared" si="1"/>
        <v>Fora</v>
      </c>
      <c r="J5024" s="239">
        <v>119.99999999301508</v>
      </c>
    </row>
    <row r="5025">
      <c r="A5025" s="234" t="s">
        <v>5960</v>
      </c>
      <c r="B5025" s="234" t="str">
        <f>IFERROR(__xludf.DUMMYFUNCTION("""COMPUTED_VALUE"""),"SoC_GO_Goiânia_02")</f>
        <v>SoC_GO_Goiânia_02</v>
      </c>
      <c r="C5025" s="234" t="str">
        <f>IFERROR(__xludf.DUMMYFUNCTION("""COMPUTED_VALUE"""),"SOC-GO2")</f>
        <v>SOC-GO2</v>
      </c>
      <c r="D5025" s="234"/>
      <c r="E5025" s="237" t="str">
        <f>IFERROR(__xludf.DUMMYFUNCTION("""COMPUTED_VALUE"""),"LT1Q1H01WQUX1")</f>
        <v>LT1Q1H01WQUX1</v>
      </c>
      <c r="F5025" s="238" t="str">
        <f>IFERROR(__xludf.DUMMYFUNCTION("""COMPUTED_VALUE"""),"EQU0D43,HBG7423")</f>
        <v>EQU0D43,HBG7423</v>
      </c>
      <c r="G5025" s="238">
        <f>IFERROR(__xludf.DUMMYFUNCTION("""COMPUTED_VALUE"""),46039.125)</f>
        <v>46039.125</v>
      </c>
      <c r="H5025" s="238">
        <f>IFERROR(__xludf.DUMMYFUNCTION("""COMPUTED_VALUE"""),46039.20833333333)</f>
        <v>46039.20833</v>
      </c>
      <c r="I5025" s="237" t="str">
        <f t="shared" si="1"/>
        <v>Fora</v>
      </c>
      <c r="J5025" s="239">
        <v>119.99999999301508</v>
      </c>
    </row>
    <row r="5026">
      <c r="A5026" s="234" t="s">
        <v>5961</v>
      </c>
      <c r="B5026" s="234" t="str">
        <f>IFERROR(__xludf.DUMMYFUNCTION("""COMPUTED_VALUE"""),"SoC_MG_Betim")</f>
        <v>SoC_MG_Betim</v>
      </c>
      <c r="C5026" s="234" t="str">
        <f>IFERROR(__xludf.DUMMYFUNCTION("""COMPUTED_VALUE"""),"SOC-MG2")</f>
        <v>SOC-MG2</v>
      </c>
      <c r="D5026" s="234"/>
      <c r="E5026" s="237" t="str">
        <f>IFERROR(__xludf.DUMMYFUNCTION("""COMPUTED_VALUE"""),"LT1Q1H01WQUM1")</f>
        <v>LT1Q1H01WQUM1</v>
      </c>
      <c r="F5026" s="238" t="str">
        <f>IFERROR(__xludf.DUMMYFUNCTION("""COMPUTED_VALUE"""),"HML6E04,CSN0H38")</f>
        <v>HML6E04,CSN0H38</v>
      </c>
      <c r="G5026" s="238">
        <f>IFERROR(__xludf.DUMMYFUNCTION("""COMPUTED_VALUE"""),46039.125)</f>
        <v>46039.125</v>
      </c>
      <c r="H5026" s="238">
        <f>IFERROR(__xludf.DUMMYFUNCTION("""COMPUTED_VALUE"""),46039.20833333333)</f>
        <v>46039.20833</v>
      </c>
      <c r="I5026" s="237" t="str">
        <f t="shared" si="1"/>
        <v>Fora</v>
      </c>
      <c r="J5026" s="239">
        <v>119.99999999301508</v>
      </c>
    </row>
    <row r="5027">
      <c r="A5027" s="234" t="s">
        <v>5962</v>
      </c>
      <c r="B5027" s="234" t="str">
        <f>IFERROR(__xludf.DUMMYFUNCTION("""COMPUTED_VALUE"""),"SoC_PE_Jaboatão dos Guararapes")</f>
        <v>SoC_PE_Jaboatão dos Guararapes</v>
      </c>
      <c r="C5027" s="234" t="str">
        <f>IFERROR(__xludf.DUMMYFUNCTION("""COMPUTED_VALUE"""),"SOC-PE2")</f>
        <v>SOC-PE2</v>
      </c>
      <c r="D5027" s="234"/>
      <c r="E5027" s="237" t="str">
        <f>IFERROR(__xludf.DUMMYFUNCTION("""COMPUTED_VALUE"""),"LT1Q1H01WQUP1")</f>
        <v>LT1Q1H01WQUP1</v>
      </c>
      <c r="F5027" s="238" t="str">
        <f>IFERROR(__xludf.DUMMYFUNCTION("""COMPUTED_VALUE"""),"QOW1I67,TEE3A01")</f>
        <v>QOW1I67,TEE3A01</v>
      </c>
      <c r="G5027" s="238">
        <f>IFERROR(__xludf.DUMMYFUNCTION("""COMPUTED_VALUE"""),46039.125)</f>
        <v>46039.125</v>
      </c>
      <c r="H5027" s="238">
        <f>IFERROR(__xludf.DUMMYFUNCTION("""COMPUTED_VALUE"""),46039.20833333333)</f>
        <v>46039.20833</v>
      </c>
      <c r="I5027" s="237" t="str">
        <f t="shared" si="1"/>
        <v>Fora</v>
      </c>
      <c r="J5027" s="239">
        <v>119.99999999301508</v>
      </c>
    </row>
    <row r="5028">
      <c r="A5028" s="234" t="s">
        <v>5963</v>
      </c>
      <c r="B5028" s="234" t="str">
        <f>IFERROR(__xludf.DUMMYFUNCTION("""COMPUTED_VALUE"""),"SoC_PR_Curitiba")</f>
        <v>SoC_PR_Curitiba</v>
      </c>
      <c r="C5028" s="234" t="str">
        <f>IFERROR(__xludf.DUMMYFUNCTION("""COMPUTED_VALUE"""),"SOC-PR1")</f>
        <v>SOC-PR1</v>
      </c>
      <c r="D5028" s="234">
        <f>IFERROR(__xludf.DUMMYFUNCTION("""COMPUTED_VALUE"""),23.0)</f>
        <v>23</v>
      </c>
      <c r="E5028" s="237" t="str">
        <f>IFERROR(__xludf.DUMMYFUNCTION("""COMPUTED_VALUE"""),"LT0Q1H01W93Z1")</f>
        <v>LT0Q1H01W93Z1</v>
      </c>
      <c r="F5028" s="238" t="str">
        <f>IFERROR(__xludf.DUMMYFUNCTION("""COMPUTED_VALUE"""),"TKV4J15,RXU1B53")</f>
        <v>TKV4J15,RXU1B53</v>
      </c>
      <c r="G5028" s="238">
        <f>IFERROR(__xludf.DUMMYFUNCTION("""COMPUTED_VALUE"""),46039.125)</f>
        <v>46039.125</v>
      </c>
      <c r="H5028" s="238">
        <f>IFERROR(__xludf.DUMMYFUNCTION("""COMPUTED_VALUE"""),46039.20833333333)</f>
        <v>46039.20833</v>
      </c>
      <c r="I5028" s="237" t="str">
        <f t="shared" si="1"/>
        <v>Fora</v>
      </c>
      <c r="J5028" s="239">
        <v>119.99999999301508</v>
      </c>
    </row>
    <row r="5029">
      <c r="A5029" s="234" t="s">
        <v>5964</v>
      </c>
      <c r="B5029" s="234" t="str">
        <f>IFERROR(__xludf.DUMMYFUNCTION("""COMPUTED_VALUE"""),"SoC_RS_Gravataí_02")</f>
        <v>SoC_RS_Gravataí_02</v>
      </c>
      <c r="C5029" s="234" t="str">
        <f>IFERROR(__xludf.DUMMYFUNCTION("""COMPUTED_VALUE"""),"SOC-RS2")</f>
        <v>SOC-RS2</v>
      </c>
      <c r="D5029" s="234"/>
      <c r="E5029" s="237" t="str">
        <f>IFERROR(__xludf.DUMMYFUNCTION("""COMPUTED_VALUE"""),"LT1Q1H01WQUS1")</f>
        <v>LT1Q1H01WQUS1</v>
      </c>
      <c r="F5029" s="238" t="str">
        <f>IFERROR(__xludf.DUMMYFUNCTION("""COMPUTED_VALUE"""),"EMP9D51,UEO2I86")</f>
        <v>EMP9D51,UEO2I86</v>
      </c>
      <c r="G5029" s="238">
        <f>IFERROR(__xludf.DUMMYFUNCTION("""COMPUTED_VALUE"""),46039.125)</f>
        <v>46039.125</v>
      </c>
      <c r="H5029" s="238">
        <f>IFERROR(__xludf.DUMMYFUNCTION("""COMPUTED_VALUE"""),46039.20833333333)</f>
        <v>46039.20833</v>
      </c>
      <c r="I5029" s="237" t="str">
        <f t="shared" si="1"/>
        <v>Fora</v>
      </c>
      <c r="J5029" s="239">
        <v>119.99999999301508</v>
      </c>
    </row>
    <row r="5030">
      <c r="A5030" s="234" t="s">
        <v>5965</v>
      </c>
      <c r="B5030" s="234" t="str">
        <f>IFERROR(__xludf.DUMMYFUNCTION("""COMPUTED_VALUE"""),"SoC_RS_Gravataí_02")</f>
        <v>SoC_RS_Gravataí_02</v>
      </c>
      <c r="C5030" s="234" t="str">
        <f>IFERROR(__xludf.DUMMYFUNCTION("""COMPUTED_VALUE"""),"SOC-RS2")</f>
        <v>SOC-RS2</v>
      </c>
      <c r="D5030" s="234">
        <f>IFERROR(__xludf.DUMMYFUNCTION("""COMPUTED_VALUE"""),112.0)</f>
        <v>112</v>
      </c>
      <c r="E5030" s="237" t="str">
        <f>IFERROR(__xludf.DUMMYFUNCTION("""COMPUTED_VALUE"""),"LT1Q1H01WQUT1")</f>
        <v>LT1Q1H01WQUT1</v>
      </c>
      <c r="F5030" s="238" t="str">
        <f>IFERROR(__xludf.DUMMYFUNCTION("""COMPUTED_VALUE"""),"IRM3418,ITY6E82")</f>
        <v>IRM3418,ITY6E82</v>
      </c>
      <c r="G5030" s="238">
        <f>IFERROR(__xludf.DUMMYFUNCTION("""COMPUTED_VALUE"""),46039.125)</f>
        <v>46039.125</v>
      </c>
      <c r="H5030" s="238">
        <f>IFERROR(__xludf.DUMMYFUNCTION("""COMPUTED_VALUE"""),46039.20833333333)</f>
        <v>46039.20833</v>
      </c>
      <c r="I5030" s="237" t="str">
        <f t="shared" si="1"/>
        <v>Fora</v>
      </c>
      <c r="J5030" s="239">
        <v>120.00000001396984</v>
      </c>
    </row>
    <row r="5031">
      <c r="A5031" s="234" t="s">
        <v>5966</v>
      </c>
      <c r="B5031" s="234" t="str">
        <f>IFERROR(__xludf.DUMMYFUNCTION("""COMPUTED_VALUE"""),"LM Hub_SP_Mogi Mirim")</f>
        <v>LM Hub_SP_Mogi Mirim</v>
      </c>
      <c r="C5031" s="234" t="str">
        <f>IFERROR(__xludf.DUMMYFUNCTION("""COMPUTED_VALUE"""),"HUB-LSP-37")</f>
        <v>HUB-LSP-37</v>
      </c>
      <c r="D5031" s="234">
        <f>IFERROR(__xludf.DUMMYFUNCTION("""COMPUTED_VALUE"""),40.0)</f>
        <v>40</v>
      </c>
      <c r="E5031" s="237" t="str">
        <f>IFERROR(__xludf.DUMMYFUNCTION("""COMPUTED_VALUE"""),"LT0Q1H01W9C41")</f>
        <v>LT0Q1H01W9C41</v>
      </c>
      <c r="F5031" s="238" t="str">
        <f>IFERROR(__xludf.DUMMYFUNCTION("""COMPUTED_VALUE"""),"TLE4D84")</f>
        <v>TLE4D84</v>
      </c>
      <c r="G5031" s="238">
        <f>IFERROR(__xludf.DUMMYFUNCTION("""COMPUTED_VALUE"""),46039.14583333333)</f>
        <v>46039.14583</v>
      </c>
      <c r="H5031" s="238">
        <f>IFERROR(__xludf.DUMMYFUNCTION("""COMPUTED_VALUE"""),46039.22916666667)</f>
        <v>46039.22917</v>
      </c>
      <c r="I5031" s="237" t="str">
        <f t="shared" si="1"/>
        <v>Fora</v>
      </c>
      <c r="J5031" s="239">
        <v>120.00000001396984</v>
      </c>
    </row>
    <row r="5032">
      <c r="A5032" s="234" t="s">
        <v>5967</v>
      </c>
      <c r="B5032" s="234" t="str">
        <f>IFERROR(__xludf.DUMMYFUNCTION("""COMPUTED_VALUE"""),"LM Hub_SP_Osasco_02")</f>
        <v>LM Hub_SP_Osasco_02</v>
      </c>
      <c r="C5032" s="234" t="str">
        <f>IFERROR(__xludf.DUMMYFUNCTION("""COMPUTED_VALUE"""),"HUB-LSP-60")</f>
        <v>HUB-LSP-60</v>
      </c>
      <c r="D5032" s="234">
        <f>IFERROR(__xludf.DUMMYFUNCTION("""COMPUTED_VALUE"""),16.0)</f>
        <v>16</v>
      </c>
      <c r="E5032" s="237" t="str">
        <f>IFERROR(__xludf.DUMMYFUNCTION("""COMPUTED_VALUE"""),"LT0Q1H01WACX1")</f>
        <v>LT0Q1H01WACX1</v>
      </c>
      <c r="F5032" s="238" t="str">
        <f>IFERROR(__xludf.DUMMYFUNCTION("""COMPUTED_VALUE"""),"FEU6H63")</f>
        <v>FEU6H63</v>
      </c>
      <c r="G5032" s="238">
        <f>IFERROR(__xludf.DUMMYFUNCTION("""COMPUTED_VALUE"""),46039.14583333333)</f>
        <v>46039.14583</v>
      </c>
      <c r="H5032" s="238">
        <f>IFERROR(__xludf.DUMMYFUNCTION("""COMPUTED_VALUE"""),46039.22916666667)</f>
        <v>46039.22917</v>
      </c>
      <c r="I5032" s="237" t="str">
        <f t="shared" si="1"/>
        <v>Fora</v>
      </c>
      <c r="J5032" s="239">
        <v>119.00000001071021</v>
      </c>
    </row>
    <row r="5033">
      <c r="A5033" s="234" t="s">
        <v>5968</v>
      </c>
      <c r="B5033" s="234" t="str">
        <f>IFERROR(__xludf.DUMMYFUNCTION("""COMPUTED_VALUE"""),"LM Hub_SP_Sorocaba_Região Norte")</f>
        <v>LM Hub_SP_Sorocaba_Região Norte</v>
      </c>
      <c r="C5033" s="234" t="str">
        <f>IFERROR(__xludf.DUMMYFUNCTION("""COMPUTED_VALUE"""),"HUB-LSP-10")</f>
        <v>HUB-LSP-10</v>
      </c>
      <c r="D5033" s="234">
        <f>IFERROR(__xludf.DUMMYFUNCTION("""COMPUTED_VALUE"""),12.0)</f>
        <v>12</v>
      </c>
      <c r="E5033" s="237" t="str">
        <f>IFERROR(__xludf.DUMMYFUNCTION("""COMPUTED_VALUE"""),"LT0Q1H01W9AY1")</f>
        <v>LT0Q1H01W9AY1</v>
      </c>
      <c r="F5033" s="238" t="str">
        <f>IFERROR(__xludf.DUMMYFUNCTION("""COMPUTED_VALUE"""),"GHJ3E37,OUU8J45")</f>
        <v>GHJ3E37,OUU8J45</v>
      </c>
      <c r="G5033" s="238">
        <f>IFERROR(__xludf.DUMMYFUNCTION("""COMPUTED_VALUE"""),46039.146527777775)</f>
        <v>46039.14653</v>
      </c>
      <c r="H5033" s="238">
        <f>IFERROR(__xludf.DUMMYFUNCTION("""COMPUTED_VALUE"""),46039.22916666667)</f>
        <v>46039.22917</v>
      </c>
      <c r="I5033" s="237" t="str">
        <f t="shared" si="1"/>
        <v>Fora</v>
      </c>
      <c r="J5033" s="239">
        <v>118.00000000745058</v>
      </c>
    </row>
    <row r="5034">
      <c r="A5034" s="234" t="s">
        <v>5969</v>
      </c>
      <c r="B5034" s="234" t="str">
        <f>IFERROR(__xludf.DUMMYFUNCTION("""COMPUTED_VALUE"""),"LM Hub_SP_Campinas_São Martinho")</f>
        <v>LM Hub_SP_Campinas_São Martinho</v>
      </c>
      <c r="C5034" s="234" t="str">
        <f>IFERROR(__xludf.DUMMYFUNCTION("""COMPUTED_VALUE"""),"HUB-LSP-19")</f>
        <v>HUB-LSP-19</v>
      </c>
      <c r="D5034" s="234">
        <f>IFERROR(__xludf.DUMMYFUNCTION("""COMPUTED_VALUE"""),32.0)</f>
        <v>32</v>
      </c>
      <c r="E5034" s="237" t="str">
        <f>IFERROR(__xludf.DUMMYFUNCTION("""COMPUTED_VALUE"""),"LT0Q1H01W9DT1")</f>
        <v>LT0Q1H01W9DT1</v>
      </c>
      <c r="F5034" s="238" t="str">
        <f>IFERROR(__xludf.DUMMYFUNCTION("""COMPUTED_VALUE"""),"GCJ6G71")</f>
        <v>GCJ6G71</v>
      </c>
      <c r="G5034" s="238">
        <f>IFERROR(__xludf.DUMMYFUNCTION("""COMPUTED_VALUE"""),46039.14722222222)</f>
        <v>46039.14722</v>
      </c>
      <c r="H5034" s="238">
        <f>IFERROR(__xludf.DUMMYFUNCTION("""COMPUTED_VALUE"""),46039.22916666667)</f>
        <v>46039.22917</v>
      </c>
      <c r="I5034" s="237" t="str">
        <f t="shared" si="1"/>
        <v>Fora</v>
      </c>
      <c r="J5034" s="239">
        <v>479.9999999930151</v>
      </c>
    </row>
    <row r="5035">
      <c r="A5035" s="234" t="s">
        <v>5970</v>
      </c>
      <c r="B5035" s="234" t="str">
        <f>IFERROR(__xludf.DUMMYFUNCTION("""COMPUTED_VALUE"""),"SoC_RJ_Duque de Caxias")</f>
        <v>SoC_RJ_Duque de Caxias</v>
      </c>
      <c r="C5035" s="234" t="str">
        <f>IFERROR(__xludf.DUMMYFUNCTION("""COMPUTED_VALUE"""),"SOC-RJ2")</f>
        <v>SOC-RJ2</v>
      </c>
      <c r="D5035" s="234">
        <f>IFERROR(__xludf.DUMMYFUNCTION("""COMPUTED_VALUE"""),96.0)</f>
        <v>96</v>
      </c>
      <c r="E5035" s="237" t="str">
        <f>IFERROR(__xludf.DUMMYFUNCTION("""COMPUTED_VALUE"""),"LT1Q1G01WQ631")</f>
        <v>LT1Q1G01WQ631</v>
      </c>
      <c r="F5035" s="238" t="str">
        <f>IFERROR(__xludf.DUMMYFUNCTION("""COMPUTED_VALUE"""),"OLE2G02,NFC1G78")</f>
        <v>OLE2G02,NFC1G78</v>
      </c>
      <c r="G5035" s="238">
        <f>IFERROR(__xludf.DUMMYFUNCTION("""COMPUTED_VALUE"""),46038.91666666667)</f>
        <v>46038.91667</v>
      </c>
      <c r="H5035" s="238">
        <f>IFERROR(__xludf.DUMMYFUNCTION("""COMPUTED_VALUE"""),46039.25)</f>
        <v>46039.25</v>
      </c>
      <c r="I5035" s="237" t="str">
        <f t="shared" si="1"/>
        <v>Fora</v>
      </c>
      <c r="J5035" s="239">
        <v>479.9999999930151</v>
      </c>
    </row>
    <row r="5036">
      <c r="A5036" s="234" t="s">
        <v>959</v>
      </c>
      <c r="B5036" s="234" t="str">
        <f>IFERROR(__xludf.DUMMYFUNCTION("""COMPUTED_VALUE"""),"SoC_SP_Cravinhos")</f>
        <v>SoC_SP_Cravinhos</v>
      </c>
      <c r="C5036" s="234" t="str">
        <f>IFERROR(__xludf.DUMMYFUNCTION("""COMPUTED_VALUE"""),"SOC-SP5")</f>
        <v>SOC-SP5</v>
      </c>
      <c r="D5036" s="234">
        <f>IFERROR(__xludf.DUMMYFUNCTION("""COMPUTED_VALUE"""),94.0)</f>
        <v>94</v>
      </c>
      <c r="E5036" s="237" t="str">
        <f>IFERROR(__xludf.DUMMYFUNCTION("""COMPUTED_VALUE"""),"LT1Q1G01WQ601")</f>
        <v>LT1Q1G01WQ601</v>
      </c>
      <c r="F5036" s="238" t="str">
        <f>IFERROR(__xludf.DUMMYFUNCTION("""COMPUTED_VALUE"""),"SXP5I00,RYX0E83")</f>
        <v>SXP5I00,RYX0E83</v>
      </c>
      <c r="G5036" s="238">
        <f>IFERROR(__xludf.DUMMYFUNCTION("""COMPUTED_VALUE"""),46038.91666666667)</f>
        <v>46038.91667</v>
      </c>
      <c r="H5036" s="238">
        <f>IFERROR(__xludf.DUMMYFUNCTION("""COMPUTED_VALUE"""),46039.25)</f>
        <v>46039.25</v>
      </c>
      <c r="I5036" s="237" t="str">
        <f t="shared" si="1"/>
        <v>Fora</v>
      </c>
      <c r="J5036" s="239">
        <v>420.0000000069849</v>
      </c>
    </row>
    <row r="5037">
      <c r="A5037" s="234" t="s">
        <v>960</v>
      </c>
      <c r="B5037" s="234" t="str">
        <f>IFERROR(__xludf.DUMMYFUNCTION("""COMPUTED_VALUE"""),"SoC_RJ_Duque de Caxias")</f>
        <v>SoC_RJ_Duque de Caxias</v>
      </c>
      <c r="C5037" s="234" t="str">
        <f>IFERROR(__xludf.DUMMYFUNCTION("""COMPUTED_VALUE"""),"SOC-RJ2")</f>
        <v>SOC-RJ2</v>
      </c>
      <c r="D5037" s="234">
        <f>IFERROR(__xludf.DUMMYFUNCTION("""COMPUTED_VALUE"""),97.0)</f>
        <v>97</v>
      </c>
      <c r="E5037" s="237" t="str">
        <f>IFERROR(__xludf.DUMMYFUNCTION("""COMPUTED_VALUE"""),"LT1Q1G01WQ641")</f>
        <v>LT1Q1G01WQ641</v>
      </c>
      <c r="F5037" s="238" t="str">
        <f>IFERROR(__xludf.DUMMYFUNCTION("""COMPUTED_VALUE"""),"MKG9D89,EQM4D52")</f>
        <v>MKG9D89,EQM4D52</v>
      </c>
      <c r="G5037" s="238">
        <f>IFERROR(__xludf.DUMMYFUNCTION("""COMPUTED_VALUE"""),46038.95833333333)</f>
        <v>46038.95833</v>
      </c>
      <c r="H5037" s="238">
        <f>IFERROR(__xludf.DUMMYFUNCTION("""COMPUTED_VALUE"""),46039.25)</f>
        <v>46039.25</v>
      </c>
      <c r="I5037" s="237" t="str">
        <f t="shared" si="1"/>
        <v>Fora</v>
      </c>
      <c r="J5037" s="239">
        <v>360.0</v>
      </c>
    </row>
    <row r="5038">
      <c r="A5038" s="234" t="s">
        <v>5971</v>
      </c>
      <c r="B5038" s="234" t="str">
        <f>IFERROR(__xludf.DUMMYFUNCTION("""COMPUTED_VALUE"""),"SoC_RJ_Duque de Caxias")</f>
        <v>SoC_RJ_Duque de Caxias</v>
      </c>
      <c r="C5038" s="234" t="str">
        <f>IFERROR(__xludf.DUMMYFUNCTION("""COMPUTED_VALUE"""),"SOC-RJ2")</f>
        <v>SOC-RJ2</v>
      </c>
      <c r="D5038" s="234">
        <f>IFERROR(__xludf.DUMMYFUNCTION("""COMPUTED_VALUE"""),96.0)</f>
        <v>96</v>
      </c>
      <c r="E5038" s="237" t="str">
        <f>IFERROR(__xludf.DUMMYFUNCTION("""COMPUTED_VALUE"""),"LT1Q1H01WQ651")</f>
        <v>LT1Q1H01WQ651</v>
      </c>
      <c r="F5038" s="238" t="str">
        <f>IFERROR(__xludf.DUMMYFUNCTION("""COMPUTED_VALUE"""),"IQS6G15,CYB9F64")</f>
        <v>IQS6G15,CYB9F64</v>
      </c>
      <c r="G5038" s="238">
        <f>IFERROR(__xludf.DUMMYFUNCTION("""COMPUTED_VALUE"""),46039.0)</f>
        <v>46039</v>
      </c>
      <c r="H5038" s="238">
        <f>IFERROR(__xludf.DUMMYFUNCTION("""COMPUTED_VALUE"""),46039.25)</f>
        <v>46039.25</v>
      </c>
      <c r="I5038" s="237" t="str">
        <f t="shared" si="1"/>
        <v>Fora</v>
      </c>
      <c r="J5038" s="239">
        <v>299.9999999930151</v>
      </c>
    </row>
    <row r="5039">
      <c r="A5039" s="234" t="s">
        <v>5972</v>
      </c>
      <c r="B5039" s="234" t="str">
        <f>IFERROR(__xludf.DUMMYFUNCTION("""COMPUTED_VALUE"""),"SoC_RJ_Duque de Caxias")</f>
        <v>SoC_RJ_Duque de Caxias</v>
      </c>
      <c r="C5039" s="234" t="str">
        <f>IFERROR(__xludf.DUMMYFUNCTION("""COMPUTED_VALUE"""),"SOC-RJ2")</f>
        <v>SOC-RJ2</v>
      </c>
      <c r="D5039" s="234">
        <f>IFERROR(__xludf.DUMMYFUNCTION("""COMPUTED_VALUE"""),111.0)</f>
        <v>111</v>
      </c>
      <c r="E5039" s="237" t="str">
        <f>IFERROR(__xludf.DUMMYFUNCTION("""COMPUTED_VALUE"""),"LT1Q1H01WQ661")</f>
        <v>LT1Q1H01WQ661</v>
      </c>
      <c r="F5039" s="238" t="str">
        <f>IFERROR(__xludf.DUMMYFUNCTION("""COMPUTED_VALUE"""),"BZF4B42,ATP5H78")</f>
        <v>BZF4B42,ATP5H78</v>
      </c>
      <c r="G5039" s="238">
        <f>IFERROR(__xludf.DUMMYFUNCTION("""COMPUTED_VALUE"""),46039.04166666667)</f>
        <v>46039.04167</v>
      </c>
      <c r="H5039" s="238">
        <f>IFERROR(__xludf.DUMMYFUNCTION("""COMPUTED_VALUE"""),46039.25)</f>
        <v>46039.25</v>
      </c>
      <c r="I5039" s="237" t="str">
        <f t="shared" si="1"/>
        <v>Fora</v>
      </c>
      <c r="J5039" s="239">
        <v>180.0</v>
      </c>
    </row>
    <row r="5040">
      <c r="A5040" s="234" t="s">
        <v>5973</v>
      </c>
      <c r="B5040" s="234" t="str">
        <f>IFERROR(__xludf.DUMMYFUNCTION("""COMPUTED_VALUE"""),"SoC_RJ_Duque de Caxias")</f>
        <v>SoC_RJ_Duque de Caxias</v>
      </c>
      <c r="C5040" s="234" t="str">
        <f>IFERROR(__xludf.DUMMYFUNCTION("""COMPUTED_VALUE"""),"SOC-RJ2")</f>
        <v>SOC-RJ2</v>
      </c>
      <c r="D5040" s="234">
        <f>IFERROR(__xludf.DUMMYFUNCTION("""COMPUTED_VALUE"""),114.0)</f>
        <v>114</v>
      </c>
      <c r="E5040" s="237" t="str">
        <f>IFERROR(__xludf.DUMMYFUNCTION("""COMPUTED_VALUE"""),"LT1Q1H01WQUI1")</f>
        <v>LT1Q1H01WQUI1</v>
      </c>
      <c r="F5040" s="238" t="str">
        <f>IFERROR(__xludf.DUMMYFUNCTION("""COMPUTED_VALUE"""),"DTE7F06,GIH5J68")</f>
        <v>DTE7F06,GIH5J68</v>
      </c>
      <c r="G5040" s="238">
        <f>IFERROR(__xludf.DUMMYFUNCTION("""COMPUTED_VALUE"""),46039.125)</f>
        <v>46039.125</v>
      </c>
      <c r="H5040" s="238">
        <f>IFERROR(__xludf.DUMMYFUNCTION("""COMPUTED_VALUE"""),46039.25)</f>
        <v>46039.25</v>
      </c>
      <c r="I5040" s="237" t="str">
        <f t="shared" si="1"/>
        <v>Fora</v>
      </c>
      <c r="J5040" s="239">
        <v>119.99999999301508</v>
      </c>
    </row>
    <row r="5041">
      <c r="A5041" s="234" t="s">
        <v>5974</v>
      </c>
      <c r="B5041" s="234" t="str">
        <f>IFERROR(__xludf.DUMMYFUNCTION("""COMPUTED_VALUE"""),"LM Hub_SP_Guaratinguetá")</f>
        <v>LM Hub_SP_Guaratinguetá</v>
      </c>
      <c r="C5041" s="234" t="str">
        <f>IFERROR(__xludf.DUMMYFUNCTION("""COMPUTED_VALUE"""),"HUB-LSP-33")</f>
        <v>HUB-LSP-33</v>
      </c>
      <c r="D5041" s="234"/>
      <c r="E5041" s="237" t="str">
        <f>IFERROR(__xludf.DUMMYFUNCTION("""COMPUTED_VALUE"""),"LT0Q1H01W9A31")</f>
        <v>LT0Q1H01W9A31</v>
      </c>
      <c r="F5041" s="238" t="str">
        <f>IFERROR(__xludf.DUMMYFUNCTION("""COMPUTED_VALUE"""),"STU3E60,SVG9I28")</f>
        <v>STU3E60,SVG9I28</v>
      </c>
      <c r="G5041" s="238">
        <f>IFERROR(__xludf.DUMMYFUNCTION("""COMPUTED_VALUE"""),46039.16666666667)</f>
        <v>46039.16667</v>
      </c>
      <c r="H5041" s="238">
        <f>IFERROR(__xludf.DUMMYFUNCTION("""COMPUTED_VALUE"""),46039.25)</f>
        <v>46039.25</v>
      </c>
      <c r="I5041" s="237" t="str">
        <f t="shared" si="1"/>
        <v>Fora</v>
      </c>
      <c r="J5041" s="239">
        <v>119.99999999301508</v>
      </c>
    </row>
    <row r="5042">
      <c r="A5042" s="234" t="s">
        <v>5975</v>
      </c>
      <c r="B5042" s="234" t="str">
        <f>IFERROR(__xludf.DUMMYFUNCTION("""COMPUTED_VALUE"""),"LM Hub_SP_Limeira_Campo Belo")</f>
        <v>LM Hub_SP_Limeira_Campo Belo</v>
      </c>
      <c r="C5042" s="234" t="str">
        <f>IFERROR(__xludf.DUMMYFUNCTION("""COMPUTED_VALUE"""),"HUB-LSP-24")</f>
        <v>HUB-LSP-24</v>
      </c>
      <c r="D5042" s="234">
        <f>IFERROR(__xludf.DUMMYFUNCTION("""COMPUTED_VALUE"""),24.0)</f>
        <v>24</v>
      </c>
      <c r="E5042" s="237" t="str">
        <f>IFERROR(__xludf.DUMMYFUNCTION("""COMPUTED_VALUE"""),"LT0Q1H01W9BB1")</f>
        <v>LT0Q1H01W9BB1</v>
      </c>
      <c r="F5042" s="238" t="str">
        <f>IFERROR(__xludf.DUMMYFUNCTION("""COMPUTED_VALUE"""),"UDI0A98")</f>
        <v>UDI0A98</v>
      </c>
      <c r="G5042" s="238">
        <f>IFERROR(__xludf.DUMMYFUNCTION("""COMPUTED_VALUE"""),46039.16666666667)</f>
        <v>46039.16667</v>
      </c>
      <c r="H5042" s="238">
        <f>IFERROR(__xludf.DUMMYFUNCTION("""COMPUTED_VALUE"""),46039.25)</f>
        <v>46039.25</v>
      </c>
      <c r="I5042" s="237" t="str">
        <f t="shared" si="1"/>
        <v>Fora</v>
      </c>
      <c r="J5042" s="239">
        <v>119.99999999301508</v>
      </c>
    </row>
    <row r="5043">
      <c r="A5043" s="234" t="s">
        <v>5976</v>
      </c>
      <c r="B5043" s="234" t="str">
        <f>IFERROR(__xludf.DUMMYFUNCTION("""COMPUTED_VALUE"""),"LM Hub_SP_Registro")</f>
        <v>LM Hub_SP_Registro</v>
      </c>
      <c r="C5043" s="234" t="str">
        <f>IFERROR(__xludf.DUMMYFUNCTION("""COMPUTED_VALUE"""),"HUB-LSP-40")</f>
        <v>HUB-LSP-40</v>
      </c>
      <c r="D5043" s="234">
        <f>IFERROR(__xludf.DUMMYFUNCTION("""COMPUTED_VALUE"""),26.0)</f>
        <v>26</v>
      </c>
      <c r="E5043" s="237" t="str">
        <f>IFERROR(__xludf.DUMMYFUNCTION("""COMPUTED_VALUE"""),"LT0Q1H01W99W1")</f>
        <v>LT0Q1H01W99W1</v>
      </c>
      <c r="F5043" s="238" t="str">
        <f>IFERROR(__xludf.DUMMYFUNCTION("""COMPUTED_VALUE"""),"AZF3050")</f>
        <v>AZF3050</v>
      </c>
      <c r="G5043" s="238">
        <f>IFERROR(__xludf.DUMMYFUNCTION("""COMPUTED_VALUE"""),46039.16666666667)</f>
        <v>46039.16667</v>
      </c>
      <c r="H5043" s="238">
        <f>IFERROR(__xludf.DUMMYFUNCTION("""COMPUTED_VALUE"""),46039.25)</f>
        <v>46039.25</v>
      </c>
      <c r="I5043" s="237" t="str">
        <f t="shared" si="1"/>
        <v>Fora</v>
      </c>
      <c r="J5043" s="239">
        <v>119.99999999301508</v>
      </c>
    </row>
    <row r="5044">
      <c r="A5044" s="234" t="s">
        <v>5977</v>
      </c>
      <c r="B5044" s="234" t="str">
        <f>IFERROR(__xludf.DUMMYFUNCTION("""COMPUTED_VALUE"""),"LM Hub_SP_São Bernardo do Campo")</f>
        <v>LM Hub_SP_São Bernardo do Campo</v>
      </c>
      <c r="C5044" s="234" t="str">
        <f>IFERROR(__xludf.DUMMYFUNCTION("""COMPUTED_VALUE"""),"HUB-LSP-79")</f>
        <v>HUB-LSP-79</v>
      </c>
      <c r="D5044" s="234">
        <f>IFERROR(__xludf.DUMMYFUNCTION("""COMPUTED_VALUE"""),33.0)</f>
        <v>33</v>
      </c>
      <c r="E5044" s="237" t="str">
        <f>IFERROR(__xludf.DUMMYFUNCTION("""COMPUTED_VALUE"""),"LT0Q1H01W9TE1")</f>
        <v>LT0Q1H01W9TE1</v>
      </c>
      <c r="F5044" s="238" t="str">
        <f>IFERROR(__xludf.DUMMYFUNCTION("""COMPUTED_VALUE"""),"FQS1E78")</f>
        <v>FQS1E78</v>
      </c>
      <c r="G5044" s="238">
        <f>IFERROR(__xludf.DUMMYFUNCTION("""COMPUTED_VALUE"""),46039.16666666667)</f>
        <v>46039.16667</v>
      </c>
      <c r="H5044" s="238">
        <f>IFERROR(__xludf.DUMMYFUNCTION("""COMPUTED_VALUE"""),46039.25)</f>
        <v>46039.25</v>
      </c>
      <c r="I5044" s="237" t="str">
        <f t="shared" si="1"/>
        <v>Fora</v>
      </c>
      <c r="J5044" s="239">
        <v>119.99999999301508</v>
      </c>
    </row>
    <row r="5045">
      <c r="A5045" s="234" t="s">
        <v>5978</v>
      </c>
      <c r="B5045" s="234" t="str">
        <f>IFERROR(__xludf.DUMMYFUNCTION("""COMPUTED_VALUE"""),"SoC_BA_Simoes Filho")</f>
        <v>SoC_BA_Simoes Filho</v>
      </c>
      <c r="C5045" s="234" t="str">
        <f>IFERROR(__xludf.DUMMYFUNCTION("""COMPUTED_VALUE"""),"SOC-BA2")</f>
        <v>SOC-BA2</v>
      </c>
      <c r="D5045" s="234"/>
      <c r="E5045" s="237" t="str">
        <f>IFERROR(__xludf.DUMMYFUNCTION("""COMPUTED_VALUE"""),"LT1Q1H01WQUR1")</f>
        <v>LT1Q1H01WQUR1</v>
      </c>
      <c r="F5045" s="238" t="str">
        <f>IFERROR(__xludf.DUMMYFUNCTION("""COMPUTED_VALUE"""),"FUL5F98,ELW5D22")</f>
        <v>FUL5F98,ELW5D22</v>
      </c>
      <c r="G5045" s="238">
        <f>IFERROR(__xludf.DUMMYFUNCTION("""COMPUTED_VALUE"""),46039.16666666667)</f>
        <v>46039.16667</v>
      </c>
      <c r="H5045" s="238">
        <f>IFERROR(__xludf.DUMMYFUNCTION("""COMPUTED_VALUE"""),46039.25)</f>
        <v>46039.25</v>
      </c>
      <c r="I5045" s="237" t="str">
        <f t="shared" si="1"/>
        <v>Fora</v>
      </c>
      <c r="J5045" s="239">
        <v>119.99999999301508</v>
      </c>
    </row>
    <row r="5046">
      <c r="A5046" s="234" t="s">
        <v>961</v>
      </c>
      <c r="B5046" s="234" t="str">
        <f>IFERROR(__xludf.DUMMYFUNCTION("""COMPUTED_VALUE"""),"SoC_PR_Curitiba")</f>
        <v>SoC_PR_Curitiba</v>
      </c>
      <c r="C5046" s="234" t="str">
        <f>IFERROR(__xludf.DUMMYFUNCTION("""COMPUTED_VALUE"""),"SOC-PR1")</f>
        <v>SOC-PR1</v>
      </c>
      <c r="D5046" s="234">
        <f>IFERROR(__xludf.DUMMYFUNCTION("""COMPUTED_VALUE"""),23.0)</f>
        <v>23</v>
      </c>
      <c r="E5046" s="237" t="str">
        <f>IFERROR(__xludf.DUMMYFUNCTION("""COMPUTED_VALUE"""),"LT1Q1H01X69K1")</f>
        <v>LT1Q1H01X69K1</v>
      </c>
      <c r="F5046" s="238" t="str">
        <f>IFERROR(__xludf.DUMMYFUNCTION("""COMPUTED_VALUE"""),"RYO1D87,SXC6E53")</f>
        <v>RYO1D87,SXC6E53</v>
      </c>
      <c r="G5046" s="238">
        <f>IFERROR(__xludf.DUMMYFUNCTION("""COMPUTED_VALUE"""),46039.16666666667)</f>
        <v>46039.16667</v>
      </c>
      <c r="H5046" s="238">
        <f>IFERROR(__xludf.DUMMYFUNCTION("""COMPUTED_VALUE"""),46039.25)</f>
        <v>46039.25</v>
      </c>
      <c r="I5046" s="237" t="str">
        <f t="shared" si="1"/>
        <v>Fora</v>
      </c>
      <c r="J5046" s="239">
        <v>119.99999999301508</v>
      </c>
    </row>
    <row r="5047">
      <c r="A5047" s="234" t="s">
        <v>5979</v>
      </c>
      <c r="B5047" s="234" t="str">
        <f>IFERROR(__xludf.DUMMYFUNCTION("""COMPUTED_VALUE"""),"SoC_RJ_Duque de Caxias")</f>
        <v>SoC_RJ_Duque de Caxias</v>
      </c>
      <c r="C5047" s="234" t="str">
        <f>IFERROR(__xludf.DUMMYFUNCTION("""COMPUTED_VALUE"""),"SOC-RJ2")</f>
        <v>SOC-RJ2</v>
      </c>
      <c r="D5047" s="234">
        <f>IFERROR(__xludf.DUMMYFUNCTION("""COMPUTED_VALUE"""),111.0)</f>
        <v>111</v>
      </c>
      <c r="E5047" s="237" t="str">
        <f>IFERROR(__xludf.DUMMYFUNCTION("""COMPUTED_VALUE"""),"LT1Q1H01WQUJ1")</f>
        <v>LT1Q1H01WQUJ1</v>
      </c>
      <c r="F5047" s="238" t="str">
        <f>IFERROR(__xludf.DUMMYFUNCTION("""COMPUTED_VALUE"""),"TTP0I76,TTG6J01")</f>
        <v>TTP0I76,TTG6J01</v>
      </c>
      <c r="G5047" s="238">
        <f>IFERROR(__xludf.DUMMYFUNCTION("""COMPUTED_VALUE"""),46039.16666666667)</f>
        <v>46039.16667</v>
      </c>
      <c r="H5047" s="238">
        <f>IFERROR(__xludf.DUMMYFUNCTION("""COMPUTED_VALUE"""),46039.25)</f>
        <v>46039.25</v>
      </c>
      <c r="I5047" s="237" t="str">
        <f t="shared" si="1"/>
        <v>Fora</v>
      </c>
      <c r="J5047" s="239">
        <v>119.99999999301508</v>
      </c>
    </row>
    <row r="5048">
      <c r="A5048" s="234" t="s">
        <v>5980</v>
      </c>
      <c r="B5048" s="234" t="str">
        <f>IFERROR(__xludf.DUMMYFUNCTION("""COMPUTED_VALUE"""),"SoC_SP_Guarulhos")</f>
        <v>SoC_SP_Guarulhos</v>
      </c>
      <c r="C5048" s="234" t="str">
        <f>IFERROR(__xludf.DUMMYFUNCTION("""COMPUTED_VALUE"""),"SOC-SP6")</f>
        <v>SOC-SP6</v>
      </c>
      <c r="D5048" s="234"/>
      <c r="E5048" s="237" t="str">
        <f>IFERROR(__xludf.DUMMYFUNCTION("""COMPUTED_VALUE"""),"LT0Q1H01WIJA1")</f>
        <v>LT0Q1H01WIJA1</v>
      </c>
      <c r="F5048" s="238" t="str">
        <f>IFERROR(__xludf.DUMMYFUNCTION("""COMPUTED_VALUE"""),"GFP1C85,UDW9B60")</f>
        <v>GFP1C85,UDW9B60</v>
      </c>
      <c r="G5048" s="238">
        <f>IFERROR(__xludf.DUMMYFUNCTION("""COMPUTED_VALUE"""),46039.16666666667)</f>
        <v>46039.16667</v>
      </c>
      <c r="H5048" s="238">
        <f>IFERROR(__xludf.DUMMYFUNCTION("""COMPUTED_VALUE"""),46039.25)</f>
        <v>46039.25</v>
      </c>
      <c r="I5048" s="237" t="str">
        <f t="shared" si="1"/>
        <v>Fora</v>
      </c>
      <c r="J5048" s="239">
        <v>119.99999999301508</v>
      </c>
    </row>
    <row r="5049">
      <c r="A5049" s="234" t="s">
        <v>962</v>
      </c>
      <c r="B5049" s="234" t="str">
        <f>IFERROR(__xludf.DUMMYFUNCTION("""COMPUTED_VALUE"""),"SoC_SP_Guarulhos")</f>
        <v>SoC_SP_Guarulhos</v>
      </c>
      <c r="C5049" s="234" t="str">
        <f>IFERROR(__xludf.DUMMYFUNCTION("""COMPUTED_VALUE"""),"SOC-SP6")</f>
        <v>SOC-SP6</v>
      </c>
      <c r="D5049" s="234">
        <f>IFERROR(__xludf.DUMMYFUNCTION("""COMPUTED_VALUE"""),46.0)</f>
        <v>46</v>
      </c>
      <c r="E5049" s="237" t="str">
        <f>IFERROR(__xludf.DUMMYFUNCTION("""COMPUTED_VALUE"""),"LT1Q1H01WQUH1")</f>
        <v>LT1Q1H01WQUH1</v>
      </c>
      <c r="F5049" s="238" t="str">
        <f>IFERROR(__xludf.DUMMYFUNCTION("""COMPUTED_VALUE"""),"HFD5G64,EFU8H25")</f>
        <v>HFD5G64,EFU8H25</v>
      </c>
      <c r="G5049" s="238">
        <f>IFERROR(__xludf.DUMMYFUNCTION("""COMPUTED_VALUE"""),46039.16666666667)</f>
        <v>46039.16667</v>
      </c>
      <c r="H5049" s="238">
        <f>IFERROR(__xludf.DUMMYFUNCTION("""COMPUTED_VALUE"""),46039.25)</f>
        <v>46039.25</v>
      </c>
      <c r="I5049" s="237" t="str">
        <f t="shared" si="1"/>
        <v>Fora</v>
      </c>
      <c r="J5049" s="239">
        <v>119.99999999301508</v>
      </c>
    </row>
    <row r="5050">
      <c r="A5050" s="234" t="s">
        <v>5981</v>
      </c>
      <c r="B5050" s="234" t="str">
        <f>IFERROR(__xludf.DUMMYFUNCTION("""COMPUTED_VALUE"""),"SoC_SP_Louveira")</f>
        <v>SoC_SP_Louveira</v>
      </c>
      <c r="C5050" s="234" t="str">
        <f>IFERROR(__xludf.DUMMYFUNCTION("""COMPUTED_VALUE"""),"SOC-SP7")</f>
        <v>SOC-SP7</v>
      </c>
      <c r="D5050" s="234">
        <f>IFERROR(__xludf.DUMMYFUNCTION("""COMPUTED_VALUE"""),13.0)</f>
        <v>13</v>
      </c>
      <c r="E5050" s="237" t="str">
        <f>IFERROR(__xludf.DUMMYFUNCTION("""COMPUTED_VALUE"""),"LT0Q1H01W95N1")</f>
        <v>LT0Q1H01W95N1</v>
      </c>
      <c r="F5050" s="238" t="str">
        <f>IFERROR(__xludf.DUMMYFUNCTION("""COMPUTED_VALUE"""),"FQP8H57,TLS5F46")</f>
        <v>FQP8H57,TLS5F46</v>
      </c>
      <c r="G5050" s="238">
        <f>IFERROR(__xludf.DUMMYFUNCTION("""COMPUTED_VALUE"""),46039.16666666667)</f>
        <v>46039.16667</v>
      </c>
      <c r="H5050" s="238">
        <f>IFERROR(__xludf.DUMMYFUNCTION("""COMPUTED_VALUE"""),46039.25)</f>
        <v>46039.25</v>
      </c>
      <c r="I5050" s="237" t="str">
        <f t="shared" si="1"/>
        <v>Fora</v>
      </c>
      <c r="J5050" s="239">
        <v>119.99999999301508</v>
      </c>
    </row>
    <row r="5051">
      <c r="A5051" s="234" t="s">
        <v>5982</v>
      </c>
      <c r="B5051" s="234" t="str">
        <f>IFERROR(__xludf.DUMMYFUNCTION("""COMPUTED_VALUE"""),"LM Hub_SP_Atibaia_Ponte_Alta")</f>
        <v>LM Hub_SP_Atibaia_Ponte_Alta</v>
      </c>
      <c r="C5051" s="234" t="str">
        <f>IFERROR(__xludf.DUMMYFUNCTION("""COMPUTED_VALUE"""),"HUB-LSP-87")</f>
        <v>HUB-LSP-87</v>
      </c>
      <c r="D5051" s="234"/>
      <c r="E5051" s="237" t="str">
        <f>IFERROR(__xludf.DUMMYFUNCTION("""COMPUTED_VALUE"""),"LT0Q1H01WD631")</f>
        <v>LT0Q1H01WD631</v>
      </c>
      <c r="F5051" s="234"/>
      <c r="G5051" s="238">
        <f>IFERROR(__xludf.DUMMYFUNCTION("""COMPUTED_VALUE"""),46039.1875)</f>
        <v>46039.1875</v>
      </c>
      <c r="H5051" s="238">
        <f>IFERROR(__xludf.DUMMYFUNCTION("""COMPUTED_VALUE"""),46039.27083333333)</f>
        <v>46039.27083</v>
      </c>
      <c r="I5051" s="237" t="str">
        <f t="shared" si="1"/>
        <v>Fora</v>
      </c>
      <c r="J5051" s="239">
        <v>119.99999999301508</v>
      </c>
    </row>
    <row r="5052">
      <c r="A5052" s="234" t="s">
        <v>5983</v>
      </c>
      <c r="B5052" s="234" t="str">
        <f>IFERROR(__xludf.DUMMYFUNCTION("""COMPUTED_VALUE"""),"LM Hub_SP_Embu das Artes")</f>
        <v>LM Hub_SP_Embu das Artes</v>
      </c>
      <c r="C5052" s="234" t="str">
        <f>IFERROR(__xludf.DUMMYFUNCTION("""COMPUTED_VALUE"""),"HUB-LSP-36")</f>
        <v>HUB-LSP-36</v>
      </c>
      <c r="D5052" s="234">
        <f>IFERROR(__xludf.DUMMYFUNCTION("""COMPUTED_VALUE"""),7.0)</f>
        <v>7</v>
      </c>
      <c r="E5052" s="237" t="str">
        <f>IFERROR(__xludf.DUMMYFUNCTION("""COMPUTED_VALUE"""),"LT0Q1H01WAE01")</f>
        <v>LT0Q1H01WAE01</v>
      </c>
      <c r="F5052" s="238" t="str">
        <f>IFERROR(__xludf.DUMMYFUNCTION("""COMPUTED_VALUE"""),"GDB4E59")</f>
        <v>GDB4E59</v>
      </c>
      <c r="G5052" s="238">
        <f>IFERROR(__xludf.DUMMYFUNCTION("""COMPUTED_VALUE"""),46039.1875)</f>
        <v>46039.1875</v>
      </c>
      <c r="H5052" s="238">
        <f>IFERROR(__xludf.DUMMYFUNCTION("""COMPUTED_VALUE"""),46039.27083333333)</f>
        <v>46039.27083</v>
      </c>
      <c r="I5052" s="237" t="str">
        <f t="shared" si="1"/>
        <v>Fora</v>
      </c>
      <c r="J5052" s="239">
        <v>119.99999999301508</v>
      </c>
    </row>
    <row r="5053">
      <c r="A5053" s="234" t="s">
        <v>964</v>
      </c>
      <c r="B5053" s="234" t="str">
        <f>IFERROR(__xludf.DUMMYFUNCTION("""COMPUTED_VALUE"""),"LM Hub_SP_Taubaté")</f>
        <v>LM Hub_SP_Taubaté</v>
      </c>
      <c r="C5053" s="234" t="str">
        <f>IFERROR(__xludf.DUMMYFUNCTION("""COMPUTED_VALUE"""),"HUB-LSP-08")</f>
        <v>HUB-LSP-08</v>
      </c>
      <c r="D5053" s="234">
        <f>IFERROR(__xludf.DUMMYFUNCTION("""COMPUTED_VALUE"""),22.0)</f>
        <v>22</v>
      </c>
      <c r="E5053" s="237" t="str">
        <f>IFERROR(__xludf.DUMMYFUNCTION("""COMPUTED_VALUE"""),"LT0Q1H01W9AH1")</f>
        <v>LT0Q1H01W9AH1</v>
      </c>
      <c r="F5053" s="238" t="str">
        <f>IFERROR(__xludf.DUMMYFUNCTION("""COMPUTED_VALUE"""),"FBQ6A90")</f>
        <v>FBQ6A90</v>
      </c>
      <c r="G5053" s="238">
        <f>IFERROR(__xludf.DUMMYFUNCTION("""COMPUTED_VALUE"""),46039.1875)</f>
        <v>46039.1875</v>
      </c>
      <c r="H5053" s="238">
        <f>IFERROR(__xludf.DUMMYFUNCTION("""COMPUTED_VALUE"""),46039.27083333333)</f>
        <v>46039.27083</v>
      </c>
      <c r="I5053" s="237" t="str">
        <f t="shared" si="1"/>
        <v>Fora</v>
      </c>
      <c r="J5053" s="239">
        <v>540.0</v>
      </c>
    </row>
    <row r="5054">
      <c r="A5054" s="234" t="s">
        <v>965</v>
      </c>
      <c r="B5054" s="234" t="str">
        <f>IFERROR(__xludf.DUMMYFUNCTION("""COMPUTED_VALUE"""),"SoC_BA_Simoes Filho")</f>
        <v>SoC_BA_Simoes Filho</v>
      </c>
      <c r="C5054" s="234" t="str">
        <f>IFERROR(__xludf.DUMMYFUNCTION("""COMPUTED_VALUE"""),"SOC-BA2")</f>
        <v>SOC-BA2</v>
      </c>
      <c r="D5054" s="234"/>
      <c r="E5054" s="237" t="str">
        <f>IFERROR(__xludf.DUMMYFUNCTION("""COMPUTED_VALUE"""),"LT0Q1G01WEUB1")</f>
        <v>LT0Q1G01WEUB1</v>
      </c>
      <c r="F5054" s="238" t="str">
        <f>IFERROR(__xludf.DUMMYFUNCTION("""COMPUTED_VALUE"""),"RMS3I83,PUT9615")</f>
        <v>RMS3I83,PUT9615</v>
      </c>
      <c r="G5054" s="238">
        <f>IFERROR(__xludf.DUMMYFUNCTION("""COMPUTED_VALUE"""),46038.91666666667)</f>
        <v>46038.91667</v>
      </c>
      <c r="H5054" s="238">
        <f>IFERROR(__xludf.DUMMYFUNCTION("""COMPUTED_VALUE"""),46039.29166666667)</f>
        <v>46039.29167</v>
      </c>
      <c r="I5054" s="237" t="str">
        <f t="shared" si="1"/>
        <v>Fora</v>
      </c>
      <c r="J5054" s="239">
        <v>540.0</v>
      </c>
    </row>
    <row r="5055">
      <c r="A5055" s="234" t="s">
        <v>5984</v>
      </c>
      <c r="B5055" s="234" t="str">
        <f>IFERROR(__xludf.DUMMYFUNCTION("""COMPUTED_VALUE"""),"SoC_MG_Betim")</f>
        <v>SoC_MG_Betim</v>
      </c>
      <c r="C5055" s="234" t="str">
        <f>IFERROR(__xludf.DUMMYFUNCTION("""COMPUTED_VALUE"""),"SOC-MG2")</f>
        <v>SOC-MG2</v>
      </c>
      <c r="D5055" s="234">
        <f>IFERROR(__xludf.DUMMYFUNCTION("""COMPUTED_VALUE"""),91.0)</f>
        <v>91</v>
      </c>
      <c r="E5055" s="237" t="str">
        <f>IFERROR(__xludf.DUMMYFUNCTION("""COMPUTED_VALUE"""),"LT0Q1G01WIB72")</f>
        <v>LT0Q1G01WIB72</v>
      </c>
      <c r="F5055" s="238" t="str">
        <f>IFERROR(__xludf.DUMMYFUNCTION("""COMPUTED_VALUE"""),"DPF1E65,EWJ1I10")</f>
        <v>DPF1E65,EWJ1I10</v>
      </c>
      <c r="G5055" s="238">
        <f>IFERROR(__xludf.DUMMYFUNCTION("""COMPUTED_VALUE"""),46038.91666666667)</f>
        <v>46038.91667</v>
      </c>
      <c r="H5055" s="238">
        <f>IFERROR(__xludf.DUMMYFUNCTION("""COMPUTED_VALUE"""),46039.29166666667)</f>
        <v>46039.29167</v>
      </c>
      <c r="I5055" s="237" t="str">
        <f t="shared" si="1"/>
        <v>Fora</v>
      </c>
      <c r="J5055" s="239">
        <v>540.0</v>
      </c>
    </row>
    <row r="5056">
      <c r="A5056" s="234" t="s">
        <v>966</v>
      </c>
      <c r="B5056" s="234" t="str">
        <f>IFERROR(__xludf.DUMMYFUNCTION("""COMPUTED_VALUE"""),"SoC_RJ_Duque de Caxias")</f>
        <v>SoC_RJ_Duque de Caxias</v>
      </c>
      <c r="C5056" s="234" t="str">
        <f>IFERROR(__xludf.DUMMYFUNCTION("""COMPUTED_VALUE"""),"SOC-RJ2")</f>
        <v>SOC-RJ2</v>
      </c>
      <c r="D5056" s="234">
        <f>IFERROR(__xludf.DUMMYFUNCTION("""COMPUTED_VALUE"""),96.0)</f>
        <v>96</v>
      </c>
      <c r="E5056" s="237" t="str">
        <f>IFERROR(__xludf.DUMMYFUNCTION("""COMPUTED_VALUE"""),"LT0Q1G01WIRS2")</f>
        <v>LT0Q1G01WIRS2</v>
      </c>
      <c r="F5056" s="238" t="str">
        <f>IFERROR(__xludf.DUMMYFUNCTION("""COMPUTED_VALUE"""),"GBJ9E79,LNN3608")</f>
        <v>GBJ9E79,LNN3608</v>
      </c>
      <c r="G5056" s="238">
        <f>IFERROR(__xludf.DUMMYFUNCTION("""COMPUTED_VALUE"""),46038.91666666667)</f>
        <v>46038.91667</v>
      </c>
      <c r="H5056" s="238">
        <f>IFERROR(__xludf.DUMMYFUNCTION("""COMPUTED_VALUE"""),46039.29166666667)</f>
        <v>46039.29167</v>
      </c>
      <c r="I5056" s="237" t="str">
        <f t="shared" si="1"/>
        <v>Fora</v>
      </c>
      <c r="J5056" s="239">
        <v>540.0</v>
      </c>
    </row>
    <row r="5057">
      <c r="A5057" s="234" t="s">
        <v>5985</v>
      </c>
      <c r="B5057" s="234" t="str">
        <f>IFERROR(__xludf.DUMMYFUNCTION("""COMPUTED_VALUE"""),"SoC_RS_Gravataí_02")</f>
        <v>SoC_RS_Gravataí_02</v>
      </c>
      <c r="C5057" s="234" t="str">
        <f>IFERROR(__xludf.DUMMYFUNCTION("""COMPUTED_VALUE"""),"SOC-RS2")</f>
        <v>SOC-RS2</v>
      </c>
      <c r="D5057" s="234">
        <f>IFERROR(__xludf.DUMMYFUNCTION("""COMPUTED_VALUE"""),103.0)</f>
        <v>103</v>
      </c>
      <c r="E5057" s="237" t="str">
        <f>IFERROR(__xludf.DUMMYFUNCTION("""COMPUTED_VALUE"""),"LT0Q1G01WF8E1")</f>
        <v>LT0Q1G01WF8E1</v>
      </c>
      <c r="F5057" s="238" t="str">
        <f>IFERROR(__xludf.DUMMYFUNCTION("""COMPUTED_VALUE"""),"TJY0B04,TPN2E99")</f>
        <v>TJY0B04,TPN2E99</v>
      </c>
      <c r="G5057" s="238">
        <f>IFERROR(__xludf.DUMMYFUNCTION("""COMPUTED_VALUE"""),46038.91666666667)</f>
        <v>46038.91667</v>
      </c>
      <c r="H5057" s="238">
        <f>IFERROR(__xludf.DUMMYFUNCTION("""COMPUTED_VALUE"""),46039.29166666667)</f>
        <v>46039.29167</v>
      </c>
      <c r="I5057" s="237" t="str">
        <f t="shared" si="1"/>
        <v>Fora</v>
      </c>
      <c r="J5057" s="239">
        <v>540.0</v>
      </c>
    </row>
    <row r="5058">
      <c r="A5058" s="234" t="s">
        <v>967</v>
      </c>
      <c r="B5058" s="234" t="str">
        <f>IFERROR(__xludf.DUMMYFUNCTION("""COMPUTED_VALUE"""),"SoC_SC_Itajaí")</f>
        <v>SoC_SC_Itajaí</v>
      </c>
      <c r="C5058" s="234" t="str">
        <f>IFERROR(__xludf.DUMMYFUNCTION("""COMPUTED_VALUE"""),"SOC-SC1")</f>
        <v>SOC-SC1</v>
      </c>
      <c r="D5058" s="234"/>
      <c r="E5058" s="237" t="str">
        <f>IFERROR(__xludf.DUMMYFUNCTION("""COMPUTED_VALUE"""),"LT0Q1G01WDUP1")</f>
        <v>LT0Q1G01WDUP1</v>
      </c>
      <c r="F5058" s="238" t="str">
        <f>IFERROR(__xludf.DUMMYFUNCTION("""COMPUTED_VALUE"""),"SXX3H06,SXW7B62")</f>
        <v>SXX3H06,SXW7B62</v>
      </c>
      <c r="G5058" s="238">
        <f>IFERROR(__xludf.DUMMYFUNCTION("""COMPUTED_VALUE"""),46038.91666666667)</f>
        <v>46038.91667</v>
      </c>
      <c r="H5058" s="238">
        <f>IFERROR(__xludf.DUMMYFUNCTION("""COMPUTED_VALUE"""),46039.29166666667)</f>
        <v>46039.29167</v>
      </c>
      <c r="I5058" s="237" t="str">
        <f t="shared" si="1"/>
        <v>Fora</v>
      </c>
      <c r="J5058" s="239">
        <v>539.0000000072177</v>
      </c>
    </row>
    <row r="5059">
      <c r="A5059" s="234" t="s">
        <v>968</v>
      </c>
      <c r="B5059" s="234" t="str">
        <f>IFERROR(__xludf.DUMMYFUNCTION("""COMPUTED_VALUE"""),"SoC_GO_Goiânia_02")</f>
        <v>SoC_GO_Goiânia_02</v>
      </c>
      <c r="C5059" s="234" t="str">
        <f>IFERROR(__xludf.DUMMYFUNCTION("""COMPUTED_VALUE"""),"SOC-GO2")</f>
        <v>SOC-GO2</v>
      </c>
      <c r="D5059" s="234">
        <f>IFERROR(__xludf.DUMMYFUNCTION("""COMPUTED_VALUE"""),87.0)</f>
        <v>87</v>
      </c>
      <c r="E5059" s="237" t="str">
        <f>IFERROR(__xludf.DUMMYFUNCTION("""COMPUTED_VALUE"""),"LT0Q1G01WF6G1")</f>
        <v>LT0Q1G01WF6G1</v>
      </c>
      <c r="F5059" s="238" t="str">
        <f>IFERROR(__xludf.DUMMYFUNCTION("""COMPUTED_VALUE"""),"MJR4B06,IMM3C01")</f>
        <v>MJR4B06,IMM3C01</v>
      </c>
      <c r="G5059" s="238">
        <f>IFERROR(__xludf.DUMMYFUNCTION("""COMPUTED_VALUE"""),46038.91736111111)</f>
        <v>46038.91736</v>
      </c>
      <c r="H5059" s="238">
        <f>IFERROR(__xludf.DUMMYFUNCTION("""COMPUTED_VALUE"""),46039.29166666667)</f>
        <v>46039.29167</v>
      </c>
      <c r="I5059" s="237" t="str">
        <f t="shared" si="1"/>
        <v>Fora</v>
      </c>
      <c r="J5059" s="239">
        <v>539.0000000072177</v>
      </c>
    </row>
    <row r="5060">
      <c r="A5060" s="234" t="s">
        <v>5986</v>
      </c>
      <c r="B5060" s="234" t="str">
        <f>IFERROR(__xludf.DUMMYFUNCTION("""COMPUTED_VALUE"""),"SoC_PE_Jaboatão dos Guararapes")</f>
        <v>SoC_PE_Jaboatão dos Guararapes</v>
      </c>
      <c r="C5060" s="234" t="str">
        <f>IFERROR(__xludf.DUMMYFUNCTION("""COMPUTED_VALUE"""),"SOC-PE2")</f>
        <v>SOC-PE2</v>
      </c>
      <c r="D5060" s="234">
        <f>IFERROR(__xludf.DUMMYFUNCTION("""COMPUTED_VALUE"""),98.0)</f>
        <v>98</v>
      </c>
      <c r="E5060" s="237" t="str">
        <f>IFERROR(__xludf.DUMMYFUNCTION("""COMPUTED_VALUE"""),"LT0Q1G01WER01")</f>
        <v>LT0Q1G01WER01</v>
      </c>
      <c r="F5060" s="238" t="str">
        <f>IFERROR(__xludf.DUMMYFUNCTION("""COMPUTED_VALUE"""),"FRE8I81,TLR9F01")</f>
        <v>FRE8I81,TLR9F01</v>
      </c>
      <c r="G5060" s="238">
        <f>IFERROR(__xludf.DUMMYFUNCTION("""COMPUTED_VALUE"""),46038.91736111111)</f>
        <v>46038.91736</v>
      </c>
      <c r="H5060" s="238">
        <f>IFERROR(__xludf.DUMMYFUNCTION("""COMPUTED_VALUE"""),46039.29166666667)</f>
        <v>46039.29167</v>
      </c>
      <c r="I5060" s="237" t="str">
        <f t="shared" si="1"/>
        <v>Fora</v>
      </c>
      <c r="J5060" s="239">
        <v>539.0000000072177</v>
      </c>
    </row>
    <row r="5061">
      <c r="A5061" s="234" t="s">
        <v>969</v>
      </c>
      <c r="B5061" s="234" t="str">
        <f>IFERROR(__xludf.DUMMYFUNCTION("""COMPUTED_VALUE"""),"SoC_PE_Jaboatão dos Guararapes")</f>
        <v>SoC_PE_Jaboatão dos Guararapes</v>
      </c>
      <c r="C5061" s="234" t="str">
        <f>IFERROR(__xludf.DUMMYFUNCTION("""COMPUTED_VALUE"""),"SOC-PE2")</f>
        <v>SOC-PE2</v>
      </c>
      <c r="D5061" s="234">
        <f>IFERROR(__xludf.DUMMYFUNCTION("""COMPUTED_VALUE"""),98.0)</f>
        <v>98</v>
      </c>
      <c r="E5061" s="237" t="str">
        <f>IFERROR(__xludf.DUMMYFUNCTION("""COMPUTED_VALUE"""),"LT0Q1G01WER22")</f>
        <v>LT0Q1G01WER22</v>
      </c>
      <c r="F5061" s="238" t="str">
        <f>IFERROR(__xludf.DUMMYFUNCTION("""COMPUTED_VALUE"""),"EUA4559,FJH2J98")</f>
        <v>EUA4559,FJH2J98</v>
      </c>
      <c r="G5061" s="238">
        <f>IFERROR(__xludf.DUMMYFUNCTION("""COMPUTED_VALUE"""),46038.91736111111)</f>
        <v>46038.91736</v>
      </c>
      <c r="H5061" s="238">
        <f>IFERROR(__xludf.DUMMYFUNCTION("""COMPUTED_VALUE"""),46039.29166666667)</f>
        <v>46039.29167</v>
      </c>
      <c r="I5061" s="237" t="str">
        <f t="shared" si="1"/>
        <v>Fora</v>
      </c>
      <c r="J5061" s="239">
        <v>538.0000000144355</v>
      </c>
    </row>
    <row r="5062">
      <c r="A5062" s="234" t="s">
        <v>5987</v>
      </c>
      <c r="B5062" s="234" t="str">
        <f>IFERROR(__xludf.DUMMYFUNCTION("""COMPUTED_VALUE"""),"SoC_MG_Betim")</f>
        <v>SoC_MG_Betim</v>
      </c>
      <c r="C5062" s="234" t="str">
        <f>IFERROR(__xludf.DUMMYFUNCTION("""COMPUTED_VALUE"""),"SOC-MG2")</f>
        <v>SOC-MG2</v>
      </c>
      <c r="D5062" s="234" t="str">
        <f>IFERROR(__xludf.DUMMYFUNCTION("""COMPUTED_VALUE"""),"91/110")</f>
        <v>91/110</v>
      </c>
      <c r="E5062" s="237" t="str">
        <f>IFERROR(__xludf.DUMMYFUNCTION("""COMPUTED_VALUE"""),"LT0Q1G01W93Q2")</f>
        <v>LT0Q1G01W93Q2</v>
      </c>
      <c r="F5062" s="238" t="str">
        <f>IFERROR(__xludf.DUMMYFUNCTION("""COMPUTED_VALUE"""),"SWG2G22,EDH7D24")</f>
        <v>SWG2G22,EDH7D24</v>
      </c>
      <c r="G5062" s="238">
        <f>IFERROR(__xludf.DUMMYFUNCTION("""COMPUTED_VALUE"""),46038.91805555555)</f>
        <v>46038.91806</v>
      </c>
      <c r="H5062" s="238">
        <f>IFERROR(__xludf.DUMMYFUNCTION("""COMPUTED_VALUE"""),46039.29166666667)</f>
        <v>46039.29167</v>
      </c>
      <c r="I5062" s="237" t="str">
        <f t="shared" si="1"/>
        <v>Fora</v>
      </c>
      <c r="J5062" s="239">
        <v>120.00000001396984</v>
      </c>
    </row>
    <row r="5063">
      <c r="A5063" s="234" t="s">
        <v>972</v>
      </c>
      <c r="B5063" s="234" t="str">
        <f>IFERROR(__xludf.DUMMYFUNCTION("""COMPUTED_VALUE"""),"LM Hub_SP_Barueri_01")</f>
        <v>LM Hub_SP_Barueri_01</v>
      </c>
      <c r="C5063" s="234" t="str">
        <f>IFERROR(__xludf.DUMMYFUNCTION("""COMPUTED_VALUE"""),"HUB-LSP-81")</f>
        <v>HUB-LSP-81</v>
      </c>
      <c r="D5063" s="234">
        <f>IFERROR(__xludf.DUMMYFUNCTION("""COMPUTED_VALUE"""),34.0)</f>
        <v>34</v>
      </c>
      <c r="E5063" s="237" t="str">
        <f>IFERROR(__xludf.DUMMYFUNCTION("""COMPUTED_VALUE"""),"LT0Q1H01WEHE1")</f>
        <v>LT0Q1H01WEHE1</v>
      </c>
      <c r="F5063" s="238" t="str">
        <f>IFERROR(__xludf.DUMMYFUNCTION("""COMPUTED_VALUE"""),"UFL4C38,UDC4C00")</f>
        <v>UFL4C38,UDC4C00</v>
      </c>
      <c r="G5063" s="238">
        <f>IFERROR(__xludf.DUMMYFUNCTION("""COMPUTED_VALUE"""),46039.20833333333)</f>
        <v>46039.20833</v>
      </c>
      <c r="H5063" s="238">
        <f>IFERROR(__xludf.DUMMYFUNCTION("""COMPUTED_VALUE"""),46039.29166666667)</f>
        <v>46039.29167</v>
      </c>
      <c r="I5063" s="237" t="str">
        <f t="shared" si="1"/>
        <v>Fora</v>
      </c>
      <c r="J5063" s="239">
        <v>120.00000001396984</v>
      </c>
    </row>
    <row r="5064">
      <c r="A5064" s="234" t="s">
        <v>5988</v>
      </c>
      <c r="B5064" s="234" t="str">
        <f>IFERROR(__xludf.DUMMYFUNCTION("""COMPUTED_VALUE"""),"LM Hub_SP_Jundiaí")</f>
        <v>LM Hub_SP_Jundiaí</v>
      </c>
      <c r="C5064" s="234" t="str">
        <f>IFERROR(__xludf.DUMMYFUNCTION("""COMPUTED_VALUE"""),"HUB-LSP-100")</f>
        <v>HUB-LSP-100</v>
      </c>
      <c r="D5064" s="234"/>
      <c r="E5064" s="237" t="str">
        <f>IFERROR(__xludf.DUMMYFUNCTION("""COMPUTED_VALUE"""),"LT0Q1H01WFXQ1")</f>
        <v>LT0Q1H01WFXQ1</v>
      </c>
      <c r="F5064" s="238" t="str">
        <f>IFERROR(__xludf.DUMMYFUNCTION("""COMPUTED_VALUE"""),"TBX6C27")</f>
        <v>TBX6C27</v>
      </c>
      <c r="G5064" s="238">
        <f>IFERROR(__xludf.DUMMYFUNCTION("""COMPUTED_VALUE"""),46039.20833333333)</f>
        <v>46039.20833</v>
      </c>
      <c r="H5064" s="238">
        <f>IFERROR(__xludf.DUMMYFUNCTION("""COMPUTED_VALUE"""),46039.29166666667)</f>
        <v>46039.29167</v>
      </c>
      <c r="I5064" s="237" t="str">
        <f t="shared" si="1"/>
        <v>Fora</v>
      </c>
      <c r="J5064" s="239">
        <v>120.00000001396984</v>
      </c>
    </row>
    <row r="5065">
      <c r="A5065" s="234" t="s">
        <v>973</v>
      </c>
      <c r="B5065" s="234" t="str">
        <f>IFERROR(__xludf.DUMMYFUNCTION("""COMPUTED_VALUE"""),"LM Hub_SP_Piracicaba")</f>
        <v>LM Hub_SP_Piracicaba</v>
      </c>
      <c r="C5065" s="234" t="str">
        <f>IFERROR(__xludf.DUMMYFUNCTION("""COMPUTED_VALUE"""),"HUB-LSP-62")</f>
        <v>HUB-LSP-62</v>
      </c>
      <c r="D5065" s="234">
        <f>IFERROR(__xludf.DUMMYFUNCTION("""COMPUTED_VALUE"""),45.0)</f>
        <v>45</v>
      </c>
      <c r="E5065" s="237" t="str">
        <f>IFERROR(__xludf.DUMMYFUNCTION("""COMPUTED_VALUE"""),"LT0Q1H01W9X51")</f>
        <v>LT0Q1H01W9X51</v>
      </c>
      <c r="F5065" s="238" t="str">
        <f>IFERROR(__xludf.DUMMYFUNCTION("""COMPUTED_VALUE"""),"OMY3I62")</f>
        <v>OMY3I62</v>
      </c>
      <c r="G5065" s="238">
        <f>IFERROR(__xludf.DUMMYFUNCTION("""COMPUTED_VALUE"""),46039.20833333333)</f>
        <v>46039.20833</v>
      </c>
      <c r="H5065" s="238">
        <f>IFERROR(__xludf.DUMMYFUNCTION("""COMPUTED_VALUE"""),46039.29166666667)</f>
        <v>46039.29167</v>
      </c>
      <c r="I5065" s="237" t="str">
        <f t="shared" si="1"/>
        <v>Fora</v>
      </c>
      <c r="J5065" s="239">
        <v>120.00000001396984</v>
      </c>
    </row>
    <row r="5066">
      <c r="A5066" s="234" t="s">
        <v>974</v>
      </c>
      <c r="B5066" s="234" t="str">
        <f>IFERROR(__xludf.DUMMYFUNCTION("""COMPUTED_VALUE"""),"LM Hub_SP_Santos_PraiaGrande_02")</f>
        <v>LM Hub_SP_Santos_PraiaGrande_02</v>
      </c>
      <c r="C5066" s="234" t="str">
        <f>IFERROR(__xludf.DUMMYFUNCTION("""COMPUTED_VALUE"""),"HUB-LSP-63")</f>
        <v>HUB-LSP-63</v>
      </c>
      <c r="D5066" s="234">
        <f>IFERROR(__xludf.DUMMYFUNCTION("""COMPUTED_VALUE"""),39.0)</f>
        <v>39</v>
      </c>
      <c r="E5066" s="237" t="str">
        <f>IFERROR(__xludf.DUMMYFUNCTION("""COMPUTED_VALUE"""),"LT0Q1H01WADV1")</f>
        <v>LT0Q1H01WADV1</v>
      </c>
      <c r="F5066" s="238" t="str">
        <f>IFERROR(__xludf.DUMMYFUNCTION("""COMPUTED_VALUE"""),"GEJ6E62,TLV2A95")</f>
        <v>GEJ6E62,TLV2A95</v>
      </c>
      <c r="G5066" s="238">
        <f>IFERROR(__xludf.DUMMYFUNCTION("""COMPUTED_VALUE"""),46039.20833333333)</f>
        <v>46039.20833</v>
      </c>
      <c r="H5066" s="238">
        <f>IFERROR(__xludf.DUMMYFUNCTION("""COMPUTED_VALUE"""),46039.29166666667)</f>
        <v>46039.29167</v>
      </c>
      <c r="I5066" s="237" t="str">
        <f t="shared" si="1"/>
        <v>Fora</v>
      </c>
      <c r="J5066" s="239">
        <v>118.00000000745058</v>
      </c>
    </row>
    <row r="5067">
      <c r="A5067" s="234" t="s">
        <v>976</v>
      </c>
      <c r="B5067" s="234" t="str">
        <f>IFERROR(__xludf.DUMMYFUNCTION("""COMPUTED_VALUE"""),"LM Hub_SP_Jurubatuba")</f>
        <v>LM Hub_SP_Jurubatuba</v>
      </c>
      <c r="C5067" s="234" t="str">
        <f>IFERROR(__xludf.DUMMYFUNCTION("""COMPUTED_VALUE"""),"HUB-LSP-16")</f>
        <v>HUB-LSP-16</v>
      </c>
      <c r="D5067" s="234">
        <f>IFERROR(__xludf.DUMMYFUNCTION("""COMPUTED_VALUE"""),38.0)</f>
        <v>38</v>
      </c>
      <c r="E5067" s="237" t="str">
        <f>IFERROR(__xludf.DUMMYFUNCTION("""COMPUTED_VALUE"""),"LT0Q1H01WACK1")</f>
        <v>LT0Q1H01WACK1</v>
      </c>
      <c r="F5067" s="238" t="str">
        <f>IFERROR(__xludf.DUMMYFUNCTION("""COMPUTED_VALUE"""),"MQM6I27,FXB7G01")</f>
        <v>MQM6I27,FXB7G01</v>
      </c>
      <c r="G5067" s="238">
        <f>IFERROR(__xludf.DUMMYFUNCTION("""COMPUTED_VALUE"""),46039.20972222222)</f>
        <v>46039.20972</v>
      </c>
      <c r="H5067" s="238">
        <f>IFERROR(__xludf.DUMMYFUNCTION("""COMPUTED_VALUE"""),46039.29166666667)</f>
        <v>46039.29167</v>
      </c>
      <c r="I5067" s="237" t="str">
        <f t="shared" si="1"/>
        <v>Fora</v>
      </c>
      <c r="J5067" s="239">
        <v>119.99999999301508</v>
      </c>
    </row>
    <row r="5068">
      <c r="A5068" s="234" t="s">
        <v>977</v>
      </c>
      <c r="B5068" s="234" t="str">
        <f>IFERROR(__xludf.DUMMYFUNCTION("""COMPUTED_VALUE"""),"LM Hub_SP_Guarujá")</f>
        <v>LM Hub_SP_Guarujá</v>
      </c>
      <c r="C5068" s="234" t="str">
        <f>IFERROR(__xludf.DUMMYFUNCTION("""COMPUTED_VALUE"""),"HUB-LSP-06")</f>
        <v>HUB-LSP-06</v>
      </c>
      <c r="D5068" s="234"/>
      <c r="E5068" s="237" t="str">
        <f>IFERROR(__xludf.DUMMYFUNCTION("""COMPUTED_VALUE"""),"LT0Q1H01WAD81")</f>
        <v>LT0Q1H01WAD81</v>
      </c>
      <c r="F5068" s="238" t="str">
        <f>IFERROR(__xludf.DUMMYFUNCTION("""COMPUTED_VALUE"""),"DIK3532")</f>
        <v>DIK3532</v>
      </c>
      <c r="G5068" s="238">
        <f>IFERROR(__xludf.DUMMYFUNCTION("""COMPUTED_VALUE"""),46039.22916666667)</f>
        <v>46039.22917</v>
      </c>
      <c r="H5068" s="238">
        <f>IFERROR(__xludf.DUMMYFUNCTION("""COMPUTED_VALUE"""),46039.3125)</f>
        <v>46039.3125</v>
      </c>
      <c r="I5068" s="237" t="str">
        <f t="shared" si="1"/>
        <v>Fora</v>
      </c>
      <c r="J5068" s="239">
        <v>119.99999999301508</v>
      </c>
    </row>
    <row r="5069">
      <c r="A5069" s="234" t="s">
        <v>978</v>
      </c>
      <c r="B5069" s="234" t="str">
        <f>IFERROR(__xludf.DUMMYFUNCTION("""COMPUTED_VALUE"""),"LM Hub_SP_Itapevi")</f>
        <v>LM Hub_SP_Itapevi</v>
      </c>
      <c r="C5069" s="234" t="str">
        <f>IFERROR(__xludf.DUMMYFUNCTION("""COMPUTED_VALUE"""),"HUB-LSP-41")</f>
        <v>HUB-LSP-41</v>
      </c>
      <c r="D5069" s="234">
        <f>IFERROR(__xludf.DUMMYFUNCTION("""COMPUTED_VALUE"""),28.0)</f>
        <v>28</v>
      </c>
      <c r="E5069" s="237" t="str">
        <f>IFERROR(__xludf.DUMMYFUNCTION("""COMPUTED_VALUE"""),"LT0Q1H01WIBZ1")</f>
        <v>LT0Q1H01WIBZ1</v>
      </c>
      <c r="F5069" s="238" t="str">
        <f>IFERROR(__xludf.DUMMYFUNCTION("""COMPUTED_VALUE"""),"FYQ5533")</f>
        <v>FYQ5533</v>
      </c>
      <c r="G5069" s="238">
        <f>IFERROR(__xludf.DUMMYFUNCTION("""COMPUTED_VALUE"""),46039.22916666667)</f>
        <v>46039.22917</v>
      </c>
      <c r="H5069" s="238">
        <f>IFERROR(__xludf.DUMMYFUNCTION("""COMPUTED_VALUE"""),46039.3125)</f>
        <v>46039.3125</v>
      </c>
      <c r="I5069" s="237" t="str">
        <f t="shared" si="1"/>
        <v>Fora</v>
      </c>
      <c r="J5069" s="239">
        <v>119.99999999301508</v>
      </c>
    </row>
    <row r="5070">
      <c r="A5070" s="234" t="s">
        <v>979</v>
      </c>
      <c r="B5070" s="234" t="str">
        <f>IFERROR(__xludf.DUMMYFUNCTION("""COMPUTED_VALUE"""),"LM Hub_SP_Itaqua_Zimba")</f>
        <v>LM Hub_SP_Itaqua_Zimba</v>
      </c>
      <c r="C5070" s="234" t="str">
        <f>IFERROR(__xludf.DUMMYFUNCTION("""COMPUTED_VALUE"""),"HUB-LSP-74")</f>
        <v>HUB-LSP-74</v>
      </c>
      <c r="D5070" s="234">
        <f>IFERROR(__xludf.DUMMYFUNCTION("""COMPUTED_VALUE"""),9.0)</f>
        <v>9</v>
      </c>
      <c r="E5070" s="237" t="str">
        <f>IFERROR(__xludf.DUMMYFUNCTION("""COMPUTED_VALUE"""),"LT0Q1H01WAD41")</f>
        <v>LT0Q1H01WAD41</v>
      </c>
      <c r="F5070" s="238" t="str">
        <f>IFERROR(__xludf.DUMMYFUNCTION("""COMPUTED_VALUE"""),"OPY9J66")</f>
        <v>OPY9J66</v>
      </c>
      <c r="G5070" s="238">
        <f>IFERROR(__xludf.DUMMYFUNCTION("""COMPUTED_VALUE"""),46039.22916666667)</f>
        <v>46039.22917</v>
      </c>
      <c r="H5070" s="238">
        <f>IFERROR(__xludf.DUMMYFUNCTION("""COMPUTED_VALUE"""),46039.3125)</f>
        <v>46039.3125</v>
      </c>
      <c r="I5070" s="237" t="str">
        <f t="shared" si="1"/>
        <v>Fora</v>
      </c>
      <c r="J5070" s="239">
        <v>119.99999999301508</v>
      </c>
    </row>
    <row r="5071">
      <c r="A5071" s="234" t="s">
        <v>980</v>
      </c>
      <c r="B5071" s="234" t="str">
        <f>IFERROR(__xludf.DUMMYFUNCTION("""COMPUTED_VALUE"""),"LM Hub_SP_Santos_Praia Grande")</f>
        <v>LM Hub_SP_Santos_Praia Grande</v>
      </c>
      <c r="C5071" s="234" t="str">
        <f>IFERROR(__xludf.DUMMYFUNCTION("""COMPUTED_VALUE"""),"HUB-LSP-09")</f>
        <v>HUB-LSP-09</v>
      </c>
      <c r="D5071" s="234">
        <f>IFERROR(__xludf.DUMMYFUNCTION("""COMPUTED_VALUE"""),36.0)</f>
        <v>36</v>
      </c>
      <c r="E5071" s="237" t="str">
        <f>IFERROR(__xludf.DUMMYFUNCTION("""COMPUTED_VALUE"""),"LT0Q1H01WADE1")</f>
        <v>LT0Q1H01WADE1</v>
      </c>
      <c r="F5071" s="238" t="str">
        <f>IFERROR(__xludf.DUMMYFUNCTION("""COMPUTED_VALUE"""),"SVL5H32")</f>
        <v>SVL5H32</v>
      </c>
      <c r="G5071" s="238">
        <f>IFERROR(__xludf.DUMMYFUNCTION("""COMPUTED_VALUE"""),46039.22916666667)</f>
        <v>46039.22917</v>
      </c>
      <c r="H5071" s="238">
        <f>IFERROR(__xludf.DUMMYFUNCTION("""COMPUTED_VALUE"""),46039.3125)</f>
        <v>46039.3125</v>
      </c>
      <c r="I5071" s="237" t="str">
        <f t="shared" si="1"/>
        <v>Fora</v>
      </c>
      <c r="J5071" s="239">
        <v>119.99999999301508</v>
      </c>
    </row>
    <row r="5072">
      <c r="A5072" s="234" t="s">
        <v>981</v>
      </c>
      <c r="B5072" s="234" t="str">
        <f>IFERROR(__xludf.DUMMYFUNCTION("""COMPUTED_VALUE"""),"LM Hub_SP_São José dos Campos")</f>
        <v>LM Hub_SP_São José dos Campos</v>
      </c>
      <c r="C5072" s="234" t="str">
        <f>IFERROR(__xludf.DUMMYFUNCTION("""COMPUTED_VALUE"""),"HUB-LSP-04")</f>
        <v>HUB-LSP-04</v>
      </c>
      <c r="D5072" s="234"/>
      <c r="E5072" s="237" t="str">
        <f>IFERROR(__xludf.DUMMYFUNCTION("""COMPUTED_VALUE"""),"LT0Q1H01WADI1")</f>
        <v>LT0Q1H01WADI1</v>
      </c>
      <c r="F5072" s="238" t="str">
        <f>IFERROR(__xludf.DUMMYFUNCTION("""COMPUTED_VALUE"""),"-")</f>
        <v>-</v>
      </c>
      <c r="G5072" s="238">
        <f>IFERROR(__xludf.DUMMYFUNCTION("""COMPUTED_VALUE"""),46039.22916666667)</f>
        <v>46039.22917</v>
      </c>
      <c r="H5072" s="238">
        <f>IFERROR(__xludf.DUMMYFUNCTION("""COMPUTED_VALUE"""),46039.3125)</f>
        <v>46039.3125</v>
      </c>
      <c r="I5072" s="237" t="str">
        <f t="shared" si="1"/>
        <v>Fora</v>
      </c>
      <c r="J5072" s="239">
        <v>119.99999999301508</v>
      </c>
    </row>
    <row r="5073">
      <c r="A5073" s="234" t="s">
        <v>5989</v>
      </c>
      <c r="B5073" s="234" t="str">
        <f>IFERROR(__xludf.DUMMYFUNCTION("""COMPUTED_VALUE"""),"LM Hub_SP_São Paulo_Mooca")</f>
        <v>LM Hub_SP_São Paulo_Mooca</v>
      </c>
      <c r="C5073" s="234" t="str">
        <f>IFERROR(__xludf.DUMMYFUNCTION("""COMPUTED_VALUE"""),"HUB-LSP-13")</f>
        <v>HUB-LSP-13</v>
      </c>
      <c r="D5073" s="234">
        <f>IFERROR(__xludf.DUMMYFUNCTION("""COMPUTED_VALUE"""),8.0)</f>
        <v>8</v>
      </c>
      <c r="E5073" s="237" t="str">
        <f>IFERROR(__xludf.DUMMYFUNCTION("""COMPUTED_VALUE"""),"LT0Q1H01WIKD1")</f>
        <v>LT0Q1H01WIKD1</v>
      </c>
      <c r="F5073" s="238" t="str">
        <f>IFERROR(__xludf.DUMMYFUNCTION("""COMPUTED_VALUE"""),"PEP9J38")</f>
        <v>PEP9J38</v>
      </c>
      <c r="G5073" s="238">
        <f>IFERROR(__xludf.DUMMYFUNCTION("""COMPUTED_VALUE"""),46039.22916666667)</f>
        <v>46039.22917</v>
      </c>
      <c r="H5073" s="238">
        <f>IFERROR(__xludf.DUMMYFUNCTION("""COMPUTED_VALUE"""),46039.3125)</f>
        <v>46039.3125</v>
      </c>
      <c r="I5073" s="237" t="str">
        <f t="shared" si="1"/>
        <v>Fora</v>
      </c>
      <c r="J5073" s="239">
        <v>119.99999999301508</v>
      </c>
    </row>
    <row r="5074">
      <c r="A5074" s="234" t="s">
        <v>5990</v>
      </c>
      <c r="B5074" s="234" t="str">
        <f>IFERROR(__xludf.DUMMYFUNCTION("""COMPUTED_VALUE"""),"LM Hub_SP_São Paulo_Mooca")</f>
        <v>LM Hub_SP_São Paulo_Mooca</v>
      </c>
      <c r="C5074" s="234" t="str">
        <f>IFERROR(__xludf.DUMMYFUNCTION("""COMPUTED_VALUE"""),"HUB-LSP-13")</f>
        <v>HUB-LSP-13</v>
      </c>
      <c r="D5074" s="234">
        <f>IFERROR(__xludf.DUMMYFUNCTION("""COMPUTED_VALUE"""),8.0)</f>
        <v>8</v>
      </c>
      <c r="E5074" s="237" t="str">
        <f>IFERROR(__xludf.DUMMYFUNCTION("""COMPUTED_VALUE"""),"LT0Q1H01WIKF2")</f>
        <v>LT0Q1H01WIKF2</v>
      </c>
      <c r="F5074" s="238" t="str">
        <f>IFERROR(__xludf.DUMMYFUNCTION("""COMPUTED_VALUE"""),"GBU4H81")</f>
        <v>GBU4H81</v>
      </c>
      <c r="G5074" s="238">
        <f>IFERROR(__xludf.DUMMYFUNCTION("""COMPUTED_VALUE"""),46039.22916666667)</f>
        <v>46039.22917</v>
      </c>
      <c r="H5074" s="238">
        <f>IFERROR(__xludf.DUMMYFUNCTION("""COMPUTED_VALUE"""),46039.3125)</f>
        <v>46039.3125</v>
      </c>
      <c r="I5074" s="237" t="str">
        <f t="shared" si="1"/>
        <v>Fora</v>
      </c>
      <c r="J5074" s="239">
        <v>119.99999999301508</v>
      </c>
    </row>
    <row r="5075">
      <c r="A5075" s="234" t="s">
        <v>975</v>
      </c>
      <c r="B5075" s="234" t="str">
        <f>IFERROR(__xludf.DUMMYFUNCTION("""COMPUTED_VALUE"""),"LM Hub_SP_Várzea Paulista")</f>
        <v>LM Hub_SP_Várzea Paulista</v>
      </c>
      <c r="C5075" s="234" t="str">
        <f>IFERROR(__xludf.DUMMYFUNCTION("""COMPUTED_VALUE"""),"HUB-LSP-20")</f>
        <v>HUB-LSP-20</v>
      </c>
      <c r="D5075" s="234">
        <f>IFERROR(__xludf.DUMMYFUNCTION("""COMPUTED_VALUE"""),27.0)</f>
        <v>27</v>
      </c>
      <c r="E5075" s="237" t="str">
        <f>IFERROR(__xludf.DUMMYFUNCTION("""COMPUTED_VALUE"""),"LT0Q1H01W9CK1")</f>
        <v>LT0Q1H01W9CK1</v>
      </c>
      <c r="F5075" s="238" t="str">
        <f>IFERROR(__xludf.DUMMYFUNCTION("""COMPUTED_VALUE"""),"RJG8E37")</f>
        <v>RJG8E37</v>
      </c>
      <c r="G5075" s="238">
        <f>IFERROR(__xludf.DUMMYFUNCTION("""COMPUTED_VALUE"""),46039.22916666667)</f>
        <v>46039.22917</v>
      </c>
      <c r="H5075" s="238">
        <f>IFERROR(__xludf.DUMMYFUNCTION("""COMPUTED_VALUE"""),46039.3125)</f>
        <v>46039.3125</v>
      </c>
      <c r="I5075" s="237" t="str">
        <f t="shared" si="1"/>
        <v>Fora</v>
      </c>
      <c r="J5075" s="239">
        <v>540.0</v>
      </c>
    </row>
    <row r="5076">
      <c r="A5076" s="234" t="s">
        <v>982</v>
      </c>
      <c r="B5076" s="234" t="str">
        <f>IFERROR(__xludf.DUMMYFUNCTION("""COMPUTED_VALUE"""),"SoC_MG_Betim")</f>
        <v>SoC_MG_Betim</v>
      </c>
      <c r="C5076" s="234" t="str">
        <f>IFERROR(__xludf.DUMMYFUNCTION("""COMPUTED_VALUE"""),"SOC-MG2")</f>
        <v>SOC-MG2</v>
      </c>
      <c r="D5076" s="234">
        <f>IFERROR(__xludf.DUMMYFUNCTION("""COMPUTED_VALUE"""),91.0)</f>
        <v>91</v>
      </c>
      <c r="E5076" s="237" t="str">
        <f>IFERROR(__xludf.DUMMYFUNCTION("""COMPUTED_VALUE"""),"LT1Q1G01WQUK1")</f>
        <v>LT1Q1G01WQUK1</v>
      </c>
      <c r="F5076" s="238" t="str">
        <f>IFERROR(__xludf.DUMMYFUNCTION("""COMPUTED_VALUE"""),"RYP5D26,RYI6B49")</f>
        <v>RYP5D26,RYI6B49</v>
      </c>
      <c r="G5076" s="238">
        <f>IFERROR(__xludf.DUMMYFUNCTION("""COMPUTED_VALUE"""),46038.95833333333)</f>
        <v>46038.95833</v>
      </c>
      <c r="H5076" s="238">
        <f>IFERROR(__xludf.DUMMYFUNCTION("""COMPUTED_VALUE"""),46039.33333333333)</f>
        <v>46039.33333</v>
      </c>
      <c r="I5076" s="237" t="str">
        <f t="shared" si="1"/>
        <v>Fora</v>
      </c>
      <c r="J5076" s="239">
        <v>540.0</v>
      </c>
    </row>
    <row r="5077">
      <c r="A5077" s="234" t="s">
        <v>983</v>
      </c>
      <c r="B5077" s="234" t="str">
        <f>IFERROR(__xludf.DUMMYFUNCTION("""COMPUTED_VALUE"""),"SoC_PE_Jaboatão dos Guararapes")</f>
        <v>SoC_PE_Jaboatão dos Guararapes</v>
      </c>
      <c r="C5077" s="234" t="str">
        <f>IFERROR(__xludf.DUMMYFUNCTION("""COMPUTED_VALUE"""),"SOC-PE2")</f>
        <v>SOC-PE2</v>
      </c>
      <c r="D5077" s="234">
        <f>IFERROR(__xludf.DUMMYFUNCTION("""COMPUTED_VALUE"""),99.0)</f>
        <v>99</v>
      </c>
      <c r="E5077" s="237" t="str">
        <f>IFERROR(__xludf.DUMMYFUNCTION("""COMPUTED_VALUE"""),"LT1Q1G01WQUN1")</f>
        <v>LT1Q1G01WQUN1</v>
      </c>
      <c r="F5077" s="238" t="str">
        <f>IFERROR(__xludf.DUMMYFUNCTION("""COMPUTED_VALUE"""),"EJW6A13,EJW5J93")</f>
        <v>EJW6A13,EJW5J93</v>
      </c>
      <c r="G5077" s="238">
        <f>IFERROR(__xludf.DUMMYFUNCTION("""COMPUTED_VALUE"""),46038.95833333333)</f>
        <v>46038.95833</v>
      </c>
      <c r="H5077" s="238">
        <f>IFERROR(__xludf.DUMMYFUNCTION("""COMPUTED_VALUE"""),46039.33333333333)</f>
        <v>46039.33333</v>
      </c>
      <c r="I5077" s="237" t="str">
        <f t="shared" si="1"/>
        <v>Fora</v>
      </c>
      <c r="J5077" s="239">
        <v>239.99999998603016</v>
      </c>
    </row>
    <row r="5078">
      <c r="A5078" s="234" t="s">
        <v>984</v>
      </c>
      <c r="B5078" s="234" t="str">
        <f>IFERROR(__xludf.DUMMYFUNCTION("""COMPUTED_VALUE"""),"SoC_RJ_Duque de Caxias")</f>
        <v>SoC_RJ_Duque de Caxias</v>
      </c>
      <c r="C5078" s="234" t="str">
        <f>IFERROR(__xludf.DUMMYFUNCTION("""COMPUTED_VALUE"""),"SOC-RJ2")</f>
        <v>SOC-RJ2</v>
      </c>
      <c r="D5078" s="234"/>
      <c r="E5078" s="237" t="str">
        <f>IFERROR(__xludf.DUMMYFUNCTION("""COMPUTED_VALUE"""),"LT1Q1H01WQ671")</f>
        <v>LT1Q1H01WQ671</v>
      </c>
      <c r="F5078" s="238" t="str">
        <f>IFERROR(__xludf.DUMMYFUNCTION("""COMPUTED_VALUE"""),"UFV3D66,DKP0140")</f>
        <v>UFV3D66,DKP0140</v>
      </c>
      <c r="G5078" s="238">
        <f>IFERROR(__xludf.DUMMYFUNCTION("""COMPUTED_VALUE"""),46039.16666666667)</f>
        <v>46039.16667</v>
      </c>
      <c r="H5078" s="238">
        <f>IFERROR(__xludf.DUMMYFUNCTION("""COMPUTED_VALUE"""),46039.33333333333)</f>
        <v>46039.33333</v>
      </c>
      <c r="I5078" s="237" t="str">
        <f t="shared" si="1"/>
        <v>Fora</v>
      </c>
      <c r="J5078" s="239">
        <v>119.99999999301508</v>
      </c>
    </row>
    <row r="5079">
      <c r="A5079" s="234" t="s">
        <v>985</v>
      </c>
      <c r="B5079" s="234" t="str">
        <f>IFERROR(__xludf.DUMMYFUNCTION("""COMPUTED_VALUE"""),"LM Hub_SP_Artur Alvim")</f>
        <v>LM Hub_SP_Artur Alvim</v>
      </c>
      <c r="C5079" s="234" t="str">
        <f>IFERROR(__xludf.DUMMYFUNCTION("""COMPUTED_VALUE"""),"HUB-LSP-07")</f>
        <v>HUB-LSP-07</v>
      </c>
      <c r="D5079" s="234">
        <f>IFERROR(__xludf.DUMMYFUNCTION("""COMPUTED_VALUE"""),29.0)</f>
        <v>29</v>
      </c>
      <c r="E5079" s="237" t="str">
        <f>IFERROR(__xludf.DUMMYFUNCTION("""COMPUTED_VALUE"""),"LT0Q1H01WAC31")</f>
        <v>LT0Q1H01WAC31</v>
      </c>
      <c r="F5079" s="238" t="str">
        <f>IFERROR(__xludf.DUMMYFUNCTION("""COMPUTED_VALUE"""),"ASH4C66,BWP2G99")</f>
        <v>ASH4C66,BWP2G99</v>
      </c>
      <c r="G5079" s="238">
        <f>IFERROR(__xludf.DUMMYFUNCTION("""COMPUTED_VALUE"""),46039.25)</f>
        <v>46039.25</v>
      </c>
      <c r="H5079" s="238">
        <f>IFERROR(__xludf.DUMMYFUNCTION("""COMPUTED_VALUE"""),46039.33333333333)</f>
        <v>46039.33333</v>
      </c>
      <c r="I5079" s="237" t="str">
        <f t="shared" si="1"/>
        <v>Fora</v>
      </c>
      <c r="J5079" s="239">
        <v>119.99999999301508</v>
      </c>
    </row>
    <row r="5080">
      <c r="A5080" s="234" t="s">
        <v>5991</v>
      </c>
      <c r="B5080" s="234" t="str">
        <f>IFERROR(__xludf.DUMMYFUNCTION("""COMPUTED_VALUE"""),"LM Hub_SP_Mauá")</f>
        <v>LM Hub_SP_Mauá</v>
      </c>
      <c r="C5080" s="234" t="str">
        <f>IFERROR(__xludf.DUMMYFUNCTION("""COMPUTED_VALUE"""),"HUB-LSP-64")</f>
        <v>HUB-LSP-64</v>
      </c>
      <c r="D5080" s="234">
        <f>IFERROR(__xludf.DUMMYFUNCTION("""COMPUTED_VALUE"""),19.0)</f>
        <v>19</v>
      </c>
      <c r="E5080" s="237" t="str">
        <f>IFERROR(__xludf.DUMMYFUNCTION("""COMPUTED_VALUE"""),"LT0Q1H01WIKN1")</f>
        <v>LT0Q1H01WIKN1</v>
      </c>
      <c r="F5080" s="238" t="str">
        <f>IFERROR(__xludf.DUMMYFUNCTION("""COMPUTED_VALUE"""),"PQV0E87")</f>
        <v>PQV0E87</v>
      </c>
      <c r="G5080" s="238">
        <f>IFERROR(__xludf.DUMMYFUNCTION("""COMPUTED_VALUE"""),46039.25)</f>
        <v>46039.25</v>
      </c>
      <c r="H5080" s="238">
        <f>IFERROR(__xludf.DUMMYFUNCTION("""COMPUTED_VALUE"""),46039.33333333333)</f>
        <v>46039.33333</v>
      </c>
      <c r="I5080" s="237" t="str">
        <f t="shared" si="1"/>
        <v>Fora</v>
      </c>
      <c r="J5080" s="239">
        <v>360.0</v>
      </c>
    </row>
    <row r="5081">
      <c r="A5081" s="234" t="s">
        <v>5992</v>
      </c>
      <c r="B5081" s="234" t="str">
        <f>IFERROR(__xludf.DUMMYFUNCTION("""COMPUTED_VALUE"""),"SoC_SC_Itajaí")</f>
        <v>SoC_SC_Itajaí</v>
      </c>
      <c r="C5081" s="234" t="str">
        <f>IFERROR(__xludf.DUMMYFUNCTION("""COMPUTED_VALUE"""),"SOC-SC1")</f>
        <v>SOC-SC1</v>
      </c>
      <c r="D5081" s="234">
        <f>IFERROR(__xludf.DUMMYFUNCTION("""COMPUTED_VALUE"""),100.0)</f>
        <v>100</v>
      </c>
      <c r="E5081" s="237" t="str">
        <f>IFERROR(__xludf.DUMMYFUNCTION("""COMPUTED_VALUE"""),"LT1Q1H01WQUV1")</f>
        <v>LT1Q1H01WQUV1</v>
      </c>
      <c r="F5081" s="238" t="str">
        <f>IFERROR(__xludf.DUMMYFUNCTION("""COMPUTED_VALUE"""),"DWM3I57,EMT8E12")</f>
        <v>DWM3I57,EMT8E12</v>
      </c>
      <c r="G5081" s="238">
        <f>IFERROR(__xludf.DUMMYFUNCTION("""COMPUTED_VALUE"""),46039.16666666667)</f>
        <v>46039.16667</v>
      </c>
      <c r="H5081" s="238">
        <f>IFERROR(__xludf.DUMMYFUNCTION("""COMPUTED_VALUE"""),46039.41666666667)</f>
        <v>46039.41667</v>
      </c>
      <c r="I5081" s="237" t="str">
        <f t="shared" si="1"/>
        <v>Fora</v>
      </c>
      <c r="J5081" s="239">
        <v>239.0000000037253</v>
      </c>
    </row>
    <row r="5082">
      <c r="A5082" s="234" t="s">
        <v>988</v>
      </c>
      <c r="B5082" s="234" t="str">
        <f>IFERROR(__xludf.DUMMYFUNCTION("""COMPUTED_VALUE"""),"SoC_GO_Goiânia_02")</f>
        <v>SoC_GO_Goiânia_02</v>
      </c>
      <c r="C5082" s="234" t="str">
        <f>IFERROR(__xludf.DUMMYFUNCTION("""COMPUTED_VALUE"""),"SOC-GO2")</f>
        <v>SOC-GO2</v>
      </c>
      <c r="D5082" s="234"/>
      <c r="E5082" s="237" t="str">
        <f>IFERROR(__xludf.DUMMYFUNCTION("""COMPUTED_VALUE"""),"LT0Q1H01WF5O3")</f>
        <v>LT0Q1H01WF5O3</v>
      </c>
      <c r="F5082" s="238" t="str">
        <f>IFERROR(__xludf.DUMMYFUNCTION("""COMPUTED_VALUE"""),"JCF5A77,TQU7B69")</f>
        <v>JCF5A77,TQU7B69</v>
      </c>
      <c r="G5082" s="238">
        <f>IFERROR(__xludf.DUMMYFUNCTION("""COMPUTED_VALUE"""),46039.25069444445)</f>
        <v>46039.25069</v>
      </c>
      <c r="H5082" s="238">
        <f>IFERROR(__xludf.DUMMYFUNCTION("""COMPUTED_VALUE"""),46039.41666666667)</f>
        <v>46039.41667</v>
      </c>
      <c r="I5082" s="237" t="str">
        <f t="shared" si="1"/>
        <v>Fora</v>
      </c>
      <c r="J5082" s="239">
        <v>600.0000000069849</v>
      </c>
    </row>
    <row r="5083">
      <c r="A5083" s="234" t="s">
        <v>989</v>
      </c>
      <c r="B5083" s="234" t="str">
        <f>IFERROR(__xludf.DUMMYFUNCTION("""COMPUTED_VALUE"""),"SoC_MG_Betim")</f>
        <v>SoC_MG_Betim</v>
      </c>
      <c r="C5083" s="234" t="str">
        <f>IFERROR(__xludf.DUMMYFUNCTION("""COMPUTED_VALUE"""),"SOC-MG2")</f>
        <v>SOC-MG2</v>
      </c>
      <c r="D5083" s="234">
        <f>IFERROR(__xludf.DUMMYFUNCTION("""COMPUTED_VALUE"""),90.0)</f>
        <v>90</v>
      </c>
      <c r="E5083" s="237" t="str">
        <f>IFERROR(__xludf.DUMMYFUNCTION("""COMPUTED_VALUE"""),"LT0Q1H01W92R2")</f>
        <v>LT0Q1H01W92R2</v>
      </c>
      <c r="F5083" s="238" t="str">
        <f>IFERROR(__xludf.DUMMYFUNCTION("""COMPUTED_VALUE"""),"FUP8I17,MRM3F79")</f>
        <v>FUP8I17,MRM3F79</v>
      </c>
      <c r="G5083" s="238">
        <f>IFERROR(__xludf.DUMMYFUNCTION("""COMPUTED_VALUE"""),46039.25)</f>
        <v>46039.25</v>
      </c>
      <c r="H5083" s="238">
        <f>IFERROR(__xludf.DUMMYFUNCTION("""COMPUTED_VALUE"""),46039.66666666667)</f>
        <v>46039.66667</v>
      </c>
      <c r="I5083" s="237" t="str">
        <f t="shared" si="1"/>
        <v>Fora</v>
      </c>
      <c r="J5083" s="239">
        <v>597.0000000076834</v>
      </c>
    </row>
    <row r="5084">
      <c r="A5084" s="234" t="s">
        <v>5993</v>
      </c>
      <c r="B5084" s="234" t="str">
        <f>IFERROR(__xludf.DUMMYFUNCTION("""COMPUTED_VALUE"""),"SoC_SP_Cravinhos")</f>
        <v>SoC_SP_Cravinhos</v>
      </c>
      <c r="C5084" s="234" t="str">
        <f>IFERROR(__xludf.DUMMYFUNCTION("""COMPUTED_VALUE"""),"SOC-SP5")</f>
        <v>SOC-SP5</v>
      </c>
      <c r="D5084" s="234">
        <f>IFERROR(__xludf.DUMMYFUNCTION("""COMPUTED_VALUE"""),94.0)</f>
        <v>94</v>
      </c>
      <c r="E5084" s="237" t="str">
        <f>IFERROR(__xludf.DUMMYFUNCTION("""COMPUTED_VALUE"""),"LT0Q1H01W94Q1")</f>
        <v>LT0Q1H01W94Q1</v>
      </c>
      <c r="F5084" s="238" t="str">
        <f>IFERROR(__xludf.DUMMYFUNCTION("""COMPUTED_VALUE"""),"EPU5B08,DBC5I22")</f>
        <v>EPU5B08,DBC5I22</v>
      </c>
      <c r="G5084" s="238">
        <f>IFERROR(__xludf.DUMMYFUNCTION("""COMPUTED_VALUE"""),46039.25208333333)</f>
        <v>46039.25208</v>
      </c>
      <c r="H5084" s="238">
        <f>IFERROR(__xludf.DUMMYFUNCTION("""COMPUTED_VALUE"""),46039.66666666667)</f>
        <v>46039.66667</v>
      </c>
      <c r="I5084" s="237" t="str">
        <f t="shared" si="1"/>
        <v>Fora</v>
      </c>
      <c r="J5084" s="239">
        <v>120.00000001396984</v>
      </c>
    </row>
    <row r="5085">
      <c r="A5085" s="234" t="s">
        <v>5994</v>
      </c>
      <c r="B5085" s="234" t="str">
        <f>IFERROR(__xludf.DUMMYFUNCTION("""COMPUTED_VALUE"""),"LM Hub_SP_Santos_Praia Grande")</f>
        <v>LM Hub_SP_Santos_Praia Grande</v>
      </c>
      <c r="C5085" s="234" t="str">
        <f>IFERROR(__xludf.DUMMYFUNCTION("""COMPUTED_VALUE"""),"HUB-LSP-09")</f>
        <v>HUB-LSP-09</v>
      </c>
      <c r="D5085" s="234">
        <f>IFERROR(__xludf.DUMMYFUNCTION("""COMPUTED_VALUE"""),35.0)</f>
        <v>35</v>
      </c>
      <c r="E5085" s="237" t="str">
        <f>IFERROR(__xludf.DUMMYFUNCTION("""COMPUTED_VALUE"""),"LT0Q1H01W9AS1")</f>
        <v>LT0Q1H01W9AS1</v>
      </c>
      <c r="F5085" s="238" t="str">
        <f>IFERROR(__xludf.DUMMYFUNCTION("""COMPUTED_VALUE"""),"FUR5B16,SVS7F04")</f>
        <v>FUR5B16,SVS7F04</v>
      </c>
      <c r="G5085" s="238">
        <f>IFERROR(__xludf.DUMMYFUNCTION("""COMPUTED_VALUE"""),46039.89583333333)</f>
        <v>46039.89583</v>
      </c>
      <c r="H5085" s="238">
        <f>IFERROR(__xludf.DUMMYFUNCTION("""COMPUTED_VALUE"""),46039.97916666667)</f>
        <v>46039.97917</v>
      </c>
      <c r="I5085" s="237" t="str">
        <f t="shared" si="1"/>
        <v>Fora</v>
      </c>
      <c r="J5085" s="239">
        <v>118.99999998975545</v>
      </c>
    </row>
    <row r="5086">
      <c r="A5086" s="234" t="s">
        <v>5995</v>
      </c>
      <c r="B5086" s="234" t="str">
        <f>IFERROR(__xludf.DUMMYFUNCTION("""COMPUTED_VALUE"""),"LM Hub_SP_Guarujá")</f>
        <v>LM Hub_SP_Guarujá</v>
      </c>
      <c r="C5086" s="234" t="str">
        <f>IFERROR(__xludf.DUMMYFUNCTION("""COMPUTED_VALUE"""),"HUB-LSP-06")</f>
        <v>HUB-LSP-06</v>
      </c>
      <c r="D5086" s="234"/>
      <c r="E5086" s="237" t="str">
        <f>IFERROR(__xludf.DUMMYFUNCTION("""COMPUTED_VALUE"""),"LT0Q1H01W99R1")</f>
        <v>LT0Q1H01W99R1</v>
      </c>
      <c r="F5086" s="238" t="str">
        <f>IFERROR(__xludf.DUMMYFUNCTION("""COMPUTED_VALUE"""),"TJN5H17")</f>
        <v>TJN5H17</v>
      </c>
      <c r="G5086" s="238">
        <f>IFERROR(__xludf.DUMMYFUNCTION("""COMPUTED_VALUE"""),46039.91666666667)</f>
        <v>46039.91667</v>
      </c>
      <c r="H5086" s="238">
        <f>IFERROR(__xludf.DUMMYFUNCTION("""COMPUTED_VALUE"""),46039.99930555555)</f>
        <v>46039.99931</v>
      </c>
      <c r="I5086" s="237" t="str">
        <f t="shared" si="1"/>
        <v>Fora</v>
      </c>
      <c r="J5086" s="239">
        <v>119.99999999301508</v>
      </c>
    </row>
    <row r="5087">
      <c r="A5087" s="234" t="s">
        <v>5996</v>
      </c>
      <c r="B5087" s="234" t="str">
        <f>IFERROR(__xludf.DUMMYFUNCTION("""COMPUTED_VALUE"""),"LM Hub_SP_Barueri_01")</f>
        <v>LM Hub_SP_Barueri_01</v>
      </c>
      <c r="C5087" s="234" t="str">
        <f>IFERROR(__xludf.DUMMYFUNCTION("""COMPUTED_VALUE"""),"HUB-LSP-81")</f>
        <v>HUB-LSP-81</v>
      </c>
      <c r="D5087" s="234">
        <f>IFERROR(__xludf.DUMMYFUNCTION("""COMPUTED_VALUE"""),36.0)</f>
        <v>36</v>
      </c>
      <c r="E5087" s="237" t="str">
        <f>IFERROR(__xludf.DUMMYFUNCTION("""COMPUTED_VALUE"""),"LT0Q1H01WEHL1")</f>
        <v>LT0Q1H01WEHL1</v>
      </c>
      <c r="F5087" s="238" t="str">
        <f>IFERROR(__xludf.DUMMYFUNCTION("""COMPUTED_VALUE"""),"FNY8F71,TMH5F48")</f>
        <v>FNY8F71,TMH5F48</v>
      </c>
      <c r="G5087" s="238">
        <f>IFERROR(__xludf.DUMMYFUNCTION("""COMPUTED_VALUE"""),46039.91666666667)</f>
        <v>46039.91667</v>
      </c>
      <c r="H5087" s="238">
        <f>IFERROR(__xludf.DUMMYFUNCTION("""COMPUTED_VALUE"""),46040.0)</f>
        <v>46040</v>
      </c>
      <c r="I5087" s="237" t="str">
        <f t="shared" si="1"/>
        <v>Fora</v>
      </c>
      <c r="J5087" s="239">
        <v>119.99999999301508</v>
      </c>
    </row>
    <row r="5088">
      <c r="A5088" s="234" t="s">
        <v>5997</v>
      </c>
      <c r="B5088" s="234" t="str">
        <f>IFERROR(__xludf.DUMMYFUNCTION("""COMPUTED_VALUE"""),"LM Hub_SP_Itapevi")</f>
        <v>LM Hub_SP_Itapevi</v>
      </c>
      <c r="C5088" s="234" t="str">
        <f>IFERROR(__xludf.DUMMYFUNCTION("""COMPUTED_VALUE"""),"HUB-LSP-41")</f>
        <v>HUB-LSP-41</v>
      </c>
      <c r="D5088" s="234">
        <f>IFERROR(__xludf.DUMMYFUNCTION("""COMPUTED_VALUE"""),29.0)</f>
        <v>29</v>
      </c>
      <c r="E5088" s="237" t="str">
        <f>IFERROR(__xludf.DUMMYFUNCTION("""COMPUTED_VALUE"""),"LT0Q1H01W9831")</f>
        <v>LT0Q1H01W9831</v>
      </c>
      <c r="F5088" s="238" t="str">
        <f>IFERROR(__xludf.DUMMYFUNCTION("""COMPUTED_VALUE"""),"EMU5F62,FGK3A38")</f>
        <v>EMU5F62,FGK3A38</v>
      </c>
      <c r="G5088" s="238">
        <f>IFERROR(__xludf.DUMMYFUNCTION("""COMPUTED_VALUE"""),46039.91666666667)</f>
        <v>46039.91667</v>
      </c>
      <c r="H5088" s="238">
        <f>IFERROR(__xludf.DUMMYFUNCTION("""COMPUTED_VALUE"""),46040.0)</f>
        <v>46040</v>
      </c>
      <c r="I5088" s="237" t="str">
        <f t="shared" si="1"/>
        <v>Fora</v>
      </c>
      <c r="J5088" s="239">
        <v>119.99999999301508</v>
      </c>
    </row>
    <row r="5089">
      <c r="A5089" s="234" t="s">
        <v>5998</v>
      </c>
      <c r="B5089" s="234" t="str">
        <f>IFERROR(__xludf.DUMMYFUNCTION("""COMPUTED_VALUE"""),"LM Hub_SP_Mauá")</f>
        <v>LM Hub_SP_Mauá</v>
      </c>
      <c r="C5089" s="234" t="str">
        <f>IFERROR(__xludf.DUMMYFUNCTION("""COMPUTED_VALUE"""),"HUB-LSP-64")</f>
        <v>HUB-LSP-64</v>
      </c>
      <c r="D5089" s="234">
        <f>IFERROR(__xludf.DUMMYFUNCTION("""COMPUTED_VALUE"""),18.0)</f>
        <v>18</v>
      </c>
      <c r="E5089" s="237" t="str">
        <f>IFERROR(__xludf.DUMMYFUNCTION("""COMPUTED_VALUE"""),"LT0Q1H01W98H1")</f>
        <v>LT0Q1H01W98H1</v>
      </c>
      <c r="F5089" s="238" t="str">
        <f>IFERROR(__xludf.DUMMYFUNCTION("""COMPUTED_VALUE"""),"FQF6B98,FCB5G88")</f>
        <v>FQF6B98,FCB5G88</v>
      </c>
      <c r="G5089" s="238">
        <f>IFERROR(__xludf.DUMMYFUNCTION("""COMPUTED_VALUE"""),46039.91666666667)</f>
        <v>46039.91667</v>
      </c>
      <c r="H5089" s="238">
        <f>IFERROR(__xludf.DUMMYFUNCTION("""COMPUTED_VALUE"""),46040.0)</f>
        <v>46040</v>
      </c>
      <c r="I5089" s="237" t="str">
        <f t="shared" si="1"/>
        <v>Fora</v>
      </c>
      <c r="J5089" s="239">
        <v>119.99999999301508</v>
      </c>
    </row>
    <row r="5090">
      <c r="A5090" s="234" t="s">
        <v>5999</v>
      </c>
      <c r="B5090" s="234" t="str">
        <f>IFERROR(__xludf.DUMMYFUNCTION("""COMPUTED_VALUE"""),"LM Hub_SP_Osasco_02")</f>
        <v>LM Hub_SP_Osasco_02</v>
      </c>
      <c r="C5090" s="234" t="str">
        <f>IFERROR(__xludf.DUMMYFUNCTION("""COMPUTED_VALUE"""),"HUB-LSP-60")</f>
        <v>HUB-LSP-60</v>
      </c>
      <c r="D5090" s="234">
        <f>IFERROR(__xludf.DUMMYFUNCTION("""COMPUTED_VALUE"""),39.0)</f>
        <v>39</v>
      </c>
      <c r="E5090" s="237" t="str">
        <f>IFERROR(__xludf.DUMMYFUNCTION("""COMPUTED_VALUE"""),"LT0Q1H01W98A1")</f>
        <v>LT0Q1H01W98A1</v>
      </c>
      <c r="F5090" s="238" t="str">
        <f>IFERROR(__xludf.DUMMYFUNCTION("""COMPUTED_VALUE"""),"FUZ6B23,FUA8006")</f>
        <v>FUZ6B23,FUA8006</v>
      </c>
      <c r="G5090" s="238">
        <f>IFERROR(__xludf.DUMMYFUNCTION("""COMPUTED_VALUE"""),46039.91666666667)</f>
        <v>46039.91667</v>
      </c>
      <c r="H5090" s="238">
        <f>IFERROR(__xludf.DUMMYFUNCTION("""COMPUTED_VALUE"""),46040.0)</f>
        <v>46040</v>
      </c>
      <c r="I5090" s="237" t="str">
        <f t="shared" si="1"/>
        <v>Fora</v>
      </c>
      <c r="J5090" s="239">
        <v>119.99999999301508</v>
      </c>
    </row>
    <row r="5091">
      <c r="A5091" s="234" t="s">
        <v>6000</v>
      </c>
      <c r="B5091" s="234" t="str">
        <f>IFERROR(__xludf.DUMMYFUNCTION("""COMPUTED_VALUE"""),"LM Hub_SP_Santo André")</f>
        <v>LM Hub_SP_Santo André</v>
      </c>
      <c r="C5091" s="234" t="str">
        <f>IFERROR(__xludf.DUMMYFUNCTION("""COMPUTED_VALUE"""),"HUB-LSP-93")</f>
        <v>HUB-LSP-93</v>
      </c>
      <c r="D5091" s="234">
        <f>IFERROR(__xludf.DUMMYFUNCTION("""COMPUTED_VALUE"""),7.0)</f>
        <v>7</v>
      </c>
      <c r="E5091" s="237" t="str">
        <f>IFERROR(__xludf.DUMMYFUNCTION("""COMPUTED_VALUE"""),"LT0Q1H01WBXH1")</f>
        <v>LT0Q1H01WBXH1</v>
      </c>
      <c r="F5091" s="238" t="str">
        <f>IFERROR(__xludf.DUMMYFUNCTION("""COMPUTED_VALUE"""),"LLM1I97,AOF6828")</f>
        <v>LLM1I97,AOF6828</v>
      </c>
      <c r="G5091" s="238">
        <f>IFERROR(__xludf.DUMMYFUNCTION("""COMPUTED_VALUE"""),46039.91666666667)</f>
        <v>46039.91667</v>
      </c>
      <c r="H5091" s="238">
        <f>IFERROR(__xludf.DUMMYFUNCTION("""COMPUTED_VALUE"""),46040.0)</f>
        <v>46040</v>
      </c>
      <c r="I5091" s="237" t="str">
        <f t="shared" si="1"/>
        <v>Fora</v>
      </c>
      <c r="J5091" s="239">
        <v>119.00000000023283</v>
      </c>
    </row>
    <row r="5092">
      <c r="A5092" s="234" t="s">
        <v>6001</v>
      </c>
      <c r="B5092" s="234" t="str">
        <f>IFERROR(__xludf.DUMMYFUNCTION("""COMPUTED_VALUE"""),"LM Hub_SP_Artur Alvim")</f>
        <v>LM Hub_SP_Artur Alvim</v>
      </c>
      <c r="C5092" s="234" t="str">
        <f>IFERROR(__xludf.DUMMYFUNCTION("""COMPUTED_VALUE"""),"HUB-LSP-07")</f>
        <v>HUB-LSP-07</v>
      </c>
      <c r="D5092" s="234">
        <f>IFERROR(__xludf.DUMMYFUNCTION("""COMPUTED_VALUE"""),34.0)</f>
        <v>34</v>
      </c>
      <c r="E5092" s="237" t="str">
        <f>IFERROR(__xludf.DUMMYFUNCTION("""COMPUTED_VALUE"""),"LT0Q1H01W96F1")</f>
        <v>LT0Q1H01W96F1</v>
      </c>
      <c r="F5092" s="238" t="str">
        <f>IFERROR(__xludf.DUMMYFUNCTION("""COMPUTED_VALUE"""),"IQX0D93,MBM1I07")</f>
        <v>IQX0D93,MBM1I07</v>
      </c>
      <c r="G5092" s="238">
        <f>IFERROR(__xludf.DUMMYFUNCTION("""COMPUTED_VALUE"""),46039.91736111111)</f>
        <v>46039.91736</v>
      </c>
      <c r="H5092" s="238">
        <f>IFERROR(__xludf.DUMMYFUNCTION("""COMPUTED_VALUE"""),46040.0)</f>
        <v>46040</v>
      </c>
      <c r="I5092" s="237" t="str">
        <f t="shared" si="1"/>
        <v>Fora</v>
      </c>
      <c r="J5092" s="239">
        <v>119.00000000023283</v>
      </c>
    </row>
    <row r="5093">
      <c r="A5093" s="234" t="s">
        <v>6002</v>
      </c>
      <c r="B5093" s="234" t="str">
        <f>IFERROR(__xludf.DUMMYFUNCTION("""COMPUTED_VALUE"""),"LM Hub_SP_Guarulhos")</f>
        <v>LM Hub_SP_Guarulhos</v>
      </c>
      <c r="C5093" s="234" t="str">
        <f>IFERROR(__xludf.DUMMYFUNCTION("""COMPUTED_VALUE"""),"HUB-LSP-77")</f>
        <v>HUB-LSP-77</v>
      </c>
      <c r="D5093" s="234"/>
      <c r="E5093" s="237" t="str">
        <f>IFERROR(__xludf.DUMMYFUNCTION("""COMPUTED_VALUE"""),"LT0Q1H01WIGU1")</f>
        <v>LT0Q1H01WIGU1</v>
      </c>
      <c r="F5093" s="238" t="str">
        <f>IFERROR(__xludf.DUMMYFUNCTION("""COMPUTED_VALUE"""),"HFD4H27,JXG9745")</f>
        <v>HFD4H27,JXG9745</v>
      </c>
      <c r="G5093" s="238">
        <f>IFERROR(__xludf.DUMMYFUNCTION("""COMPUTED_VALUE"""),46039.91736111111)</f>
        <v>46039.91736</v>
      </c>
      <c r="H5093" s="238">
        <f>IFERROR(__xludf.DUMMYFUNCTION("""COMPUTED_VALUE"""),46040.0)</f>
        <v>46040</v>
      </c>
      <c r="I5093" s="237" t="str">
        <f t="shared" si="1"/>
        <v>Fora</v>
      </c>
      <c r="J5093" s="239">
        <v>119.99999999301508</v>
      </c>
    </row>
    <row r="5094">
      <c r="A5094" s="234" t="s">
        <v>6003</v>
      </c>
      <c r="B5094" s="234" t="str">
        <f>IFERROR(__xludf.DUMMYFUNCTION("""COMPUTED_VALUE"""),"LM Hub_SP_Jardim Adriana")</f>
        <v>LM Hub_SP_Jardim Adriana</v>
      </c>
      <c r="C5094" s="234" t="str">
        <f>IFERROR(__xludf.DUMMYFUNCTION("""COMPUTED_VALUE"""),"HUB-LSP-12")</f>
        <v>HUB-LSP-12</v>
      </c>
      <c r="D5094" s="234">
        <f>IFERROR(__xludf.DUMMYFUNCTION("""COMPUTED_VALUE"""),41.0)</f>
        <v>41</v>
      </c>
      <c r="E5094" s="237" t="str">
        <f>IFERROR(__xludf.DUMMYFUNCTION("""COMPUTED_VALUE"""),"LT0Q1H01W96O1")</f>
        <v>LT0Q1H01W96O1</v>
      </c>
      <c r="F5094" s="238" t="str">
        <f>IFERROR(__xludf.DUMMYFUNCTION("""COMPUTED_VALUE"""),"FYZ2D15")</f>
        <v>FYZ2D15</v>
      </c>
      <c r="G5094" s="238">
        <f>IFERROR(__xludf.DUMMYFUNCTION("""COMPUTED_VALUE"""),46039.9375)</f>
        <v>46039.9375</v>
      </c>
      <c r="H5094" s="238">
        <f>IFERROR(__xludf.DUMMYFUNCTION("""COMPUTED_VALUE"""),46040.02083333333)</f>
        <v>46040.02083</v>
      </c>
      <c r="I5094" s="237" t="str">
        <f t="shared" si="1"/>
        <v>Fora</v>
      </c>
      <c r="J5094" s="239">
        <v>119.99999999301508</v>
      </c>
    </row>
    <row r="5095">
      <c r="A5095" s="234" t="s">
        <v>6004</v>
      </c>
      <c r="B5095" s="234" t="str">
        <f>IFERROR(__xludf.DUMMYFUNCTION("""COMPUTED_VALUE"""),"LM Hub_SP_Parque Novo Mundo")</f>
        <v>LM Hub_SP_Parque Novo Mundo</v>
      </c>
      <c r="C5095" s="234" t="str">
        <f>IFERROR(__xludf.DUMMYFUNCTION("""COMPUTED_VALUE"""),"HUB-LSP-89")</f>
        <v>HUB-LSP-89</v>
      </c>
      <c r="D5095" s="234">
        <f>IFERROR(__xludf.DUMMYFUNCTION("""COMPUTED_VALUE"""),27.0)</f>
        <v>27</v>
      </c>
      <c r="E5095" s="237" t="str">
        <f>IFERROR(__xludf.DUMMYFUNCTION("""COMPUTED_VALUE"""),"LT0Q1H01WA4O1")</f>
        <v>LT0Q1H01WA4O1</v>
      </c>
      <c r="F5095" s="238" t="str">
        <f>IFERROR(__xludf.DUMMYFUNCTION("""COMPUTED_VALUE"""),"GIQ1C13,AKZ0B43")</f>
        <v>GIQ1C13,AKZ0B43</v>
      </c>
      <c r="G5095" s="238">
        <f>IFERROR(__xludf.DUMMYFUNCTION("""COMPUTED_VALUE"""),46039.9375)</f>
        <v>46039.9375</v>
      </c>
      <c r="H5095" s="238">
        <f>IFERROR(__xludf.DUMMYFUNCTION("""COMPUTED_VALUE"""),46040.02083333333)</f>
        <v>46040.02083</v>
      </c>
      <c r="I5095" s="237" t="str">
        <f t="shared" si="1"/>
        <v>Fora</v>
      </c>
      <c r="J5095" s="239">
        <v>119.99999999301508</v>
      </c>
    </row>
    <row r="5096">
      <c r="A5096" s="234" t="s">
        <v>6005</v>
      </c>
      <c r="B5096" s="234" t="str">
        <f>IFERROR(__xludf.DUMMYFUNCTION("""COMPUTED_VALUE"""),"LM Hub_SP_Piracicaba")</f>
        <v>LM Hub_SP_Piracicaba</v>
      </c>
      <c r="C5096" s="234" t="str">
        <f>IFERROR(__xludf.DUMMYFUNCTION("""COMPUTED_VALUE"""),"HUB-LSP-62")</f>
        <v>HUB-LSP-62</v>
      </c>
      <c r="D5096" s="234">
        <f>IFERROR(__xludf.DUMMYFUNCTION("""COMPUTED_VALUE"""),47.0)</f>
        <v>47</v>
      </c>
      <c r="E5096" s="237" t="str">
        <f>IFERROR(__xludf.DUMMYFUNCTION("""COMPUTED_VALUE"""),"LT0Q1H01W9XB1")</f>
        <v>LT0Q1H01W9XB1</v>
      </c>
      <c r="F5096" s="238" t="str">
        <f>IFERROR(__xludf.DUMMYFUNCTION("""COMPUTED_VALUE"""),"EOF4D32,EOF4D30")</f>
        <v>EOF4D32,EOF4D30</v>
      </c>
      <c r="G5096" s="238">
        <f>IFERROR(__xludf.DUMMYFUNCTION("""COMPUTED_VALUE"""),46039.9375)</f>
        <v>46039.9375</v>
      </c>
      <c r="H5096" s="238">
        <f>IFERROR(__xludf.DUMMYFUNCTION("""COMPUTED_VALUE"""),46040.02083333333)</f>
        <v>46040.02083</v>
      </c>
      <c r="I5096" s="237" t="str">
        <f t="shared" si="1"/>
        <v>Fora</v>
      </c>
      <c r="J5096" s="239">
        <v>119.99999999301508</v>
      </c>
    </row>
    <row r="5097">
      <c r="A5097" s="234" t="s">
        <v>6006</v>
      </c>
      <c r="B5097" s="234" t="str">
        <f>IFERROR(__xludf.DUMMYFUNCTION("""COMPUTED_VALUE"""),"LM Hub_SP_São Paulo_Carandiru")</f>
        <v>LM Hub_SP_São Paulo_Carandiru</v>
      </c>
      <c r="C5097" s="234" t="str">
        <f>IFERROR(__xludf.DUMMYFUNCTION("""COMPUTED_VALUE"""),"HUB-LSP-18")</f>
        <v>HUB-LSP-18</v>
      </c>
      <c r="D5097" s="234">
        <f>IFERROR(__xludf.DUMMYFUNCTION("""COMPUTED_VALUE"""),38.0)</f>
        <v>38</v>
      </c>
      <c r="E5097" s="237" t="str">
        <f>IFERROR(__xludf.DUMMYFUNCTION("""COMPUTED_VALUE"""),"LT0Q1H01W97H1")</f>
        <v>LT0Q1H01W97H1</v>
      </c>
      <c r="F5097" s="238" t="str">
        <f>IFERROR(__xludf.DUMMYFUNCTION("""COMPUTED_VALUE"""),"OKH4G58")</f>
        <v>OKH4G58</v>
      </c>
      <c r="G5097" s="238">
        <f>IFERROR(__xludf.DUMMYFUNCTION("""COMPUTED_VALUE"""),46039.9375)</f>
        <v>46039.9375</v>
      </c>
      <c r="H5097" s="238">
        <f>IFERROR(__xludf.DUMMYFUNCTION("""COMPUTED_VALUE"""),46040.02083333333)</f>
        <v>46040.02083</v>
      </c>
      <c r="I5097" s="237" t="str">
        <f t="shared" si="1"/>
        <v>Fora</v>
      </c>
      <c r="J5097" s="239">
        <v>118.99999998975545</v>
      </c>
    </row>
    <row r="5098">
      <c r="A5098" s="234" t="s">
        <v>6007</v>
      </c>
      <c r="B5098" s="234" t="str">
        <f>IFERROR(__xludf.DUMMYFUNCTION("""COMPUTED_VALUE"""),"LM Hub_SP_Suzano_Baruel")</f>
        <v>LM Hub_SP_Suzano_Baruel</v>
      </c>
      <c r="C5098" s="234" t="str">
        <f>IFERROR(__xludf.DUMMYFUNCTION("""COMPUTED_VALUE"""),"HUB-LSP-97")</f>
        <v>HUB-LSP-97</v>
      </c>
      <c r="D5098" s="234">
        <f>IFERROR(__xludf.DUMMYFUNCTION("""COMPUTED_VALUE"""),32.0)</f>
        <v>32</v>
      </c>
      <c r="E5098" s="237" t="str">
        <f>IFERROR(__xludf.DUMMYFUNCTION("""COMPUTED_VALUE"""),"LT0Q1H01WGBG1")</f>
        <v>LT0Q1H01WGBG1</v>
      </c>
      <c r="F5098" s="238" t="str">
        <f>IFERROR(__xludf.DUMMYFUNCTION("""COMPUTED_VALUE"""),"BPZ8H28,EVW9H47")</f>
        <v>BPZ8H28,EVW9H47</v>
      </c>
      <c r="G5098" s="238">
        <f>IFERROR(__xludf.DUMMYFUNCTION("""COMPUTED_VALUE"""),46039.93819444445)</f>
        <v>46039.93819</v>
      </c>
      <c r="H5098" s="238">
        <f>IFERROR(__xludf.DUMMYFUNCTION("""COMPUTED_VALUE"""),46040.02083333333)</f>
        <v>46040.02083</v>
      </c>
      <c r="I5098" s="237" t="str">
        <f t="shared" si="1"/>
        <v>Fora</v>
      </c>
      <c r="J5098" s="239">
        <v>118.99999998975545</v>
      </c>
    </row>
    <row r="5099">
      <c r="A5099" s="234" t="s">
        <v>6008</v>
      </c>
      <c r="B5099" s="234" t="str">
        <f>IFERROR(__xludf.DUMMYFUNCTION("""COMPUTED_VALUE"""),"LM Hub_SP_VilaGuilherme")</f>
        <v>LM Hub_SP_VilaGuilherme</v>
      </c>
      <c r="C5099" s="234" t="str">
        <f>IFERROR(__xludf.DUMMYFUNCTION("""COMPUTED_VALUE"""),"HUB-LSP-68")</f>
        <v>HUB-LSP-68</v>
      </c>
      <c r="D5099" s="234">
        <f>IFERROR(__xludf.DUMMYFUNCTION("""COMPUTED_VALUE"""),40.0)</f>
        <v>40</v>
      </c>
      <c r="E5099" s="237" t="str">
        <f>IFERROR(__xludf.DUMMYFUNCTION("""COMPUTED_VALUE"""),"LT0Q1H01W98M1")</f>
        <v>LT0Q1H01W98M1</v>
      </c>
      <c r="F5099" s="238" t="str">
        <f>IFERROR(__xludf.DUMMYFUNCTION("""COMPUTED_VALUE"""),"DAJ3E28")</f>
        <v>DAJ3E28</v>
      </c>
      <c r="G5099" s="238">
        <f>IFERROR(__xludf.DUMMYFUNCTION("""COMPUTED_VALUE"""),46039.93819444445)</f>
        <v>46039.93819</v>
      </c>
      <c r="H5099" s="238">
        <f>IFERROR(__xludf.DUMMYFUNCTION("""COMPUTED_VALUE"""),46040.02083333333)</f>
        <v>46040.02083</v>
      </c>
      <c r="I5099" s="237" t="str">
        <f t="shared" si="1"/>
        <v>Fora</v>
      </c>
      <c r="J5099" s="239">
        <v>119.99999999301508</v>
      </c>
    </row>
    <row r="5100">
      <c r="A5100" s="234" t="s">
        <v>6009</v>
      </c>
      <c r="B5100" s="234" t="str">
        <f>IFERROR(__xludf.DUMMYFUNCTION("""COMPUTED_VALUE"""),"LM Hub_SP_Araraquara")</f>
        <v>LM Hub_SP_Araraquara</v>
      </c>
      <c r="C5100" s="234" t="str">
        <f>IFERROR(__xludf.DUMMYFUNCTION("""COMPUTED_VALUE"""),"HUB-LSP-29")</f>
        <v>HUB-LSP-29</v>
      </c>
      <c r="D5100" s="234">
        <f>IFERROR(__xludf.DUMMYFUNCTION("""COMPUTED_VALUE"""),24.0)</f>
        <v>24</v>
      </c>
      <c r="E5100" s="237" t="str">
        <f>IFERROR(__xludf.DUMMYFUNCTION("""COMPUTED_VALUE"""),"LT0Q1H01W9CF1")</f>
        <v>LT0Q1H01W9CF1</v>
      </c>
      <c r="F5100" s="238" t="str">
        <f>IFERROR(__xludf.DUMMYFUNCTION("""COMPUTED_VALUE"""),"EPU0B18,EHH6J87")</f>
        <v>EPU0B18,EHH6J87</v>
      </c>
      <c r="G5100" s="238">
        <f>IFERROR(__xludf.DUMMYFUNCTION("""COMPUTED_VALUE"""),46039.97916666667)</f>
        <v>46039.97917</v>
      </c>
      <c r="H5100" s="238">
        <f>IFERROR(__xludf.DUMMYFUNCTION("""COMPUTED_VALUE"""),46040.0625)</f>
        <v>46040.0625</v>
      </c>
      <c r="I5100" s="237" t="str">
        <f t="shared" si="1"/>
        <v>Fora</v>
      </c>
      <c r="J5100" s="239">
        <v>119.99999999301508</v>
      </c>
    </row>
    <row r="5101">
      <c r="A5101" s="234" t="s">
        <v>6010</v>
      </c>
      <c r="B5101" s="234" t="str">
        <f>IFERROR(__xludf.DUMMYFUNCTION("""COMPUTED_VALUE"""),"SoC_RS_Gravataí_02")</f>
        <v>SoC_RS_Gravataí_02</v>
      </c>
      <c r="C5101" s="234" t="str">
        <f>IFERROR(__xludf.DUMMYFUNCTION("""COMPUTED_VALUE"""),"SOC-RS2")</f>
        <v>SOC-RS2</v>
      </c>
      <c r="D5101" s="234">
        <f>IFERROR(__xludf.DUMMYFUNCTION("""COMPUTED_VALUE"""),103.0)</f>
        <v>103</v>
      </c>
      <c r="E5101" s="237" t="str">
        <f>IFERROR(__xludf.DUMMYFUNCTION("""COMPUTED_VALUE"""),"LT1Q1I01X6OF1")</f>
        <v>LT1Q1I01X6OF1</v>
      </c>
      <c r="F5101" s="238" t="str">
        <f>IFERROR(__xludf.DUMMYFUNCTION("""COMPUTED_VALUE"""),"QJO9I79,RYB6B92")</f>
        <v>QJO9I79,RYB6B92</v>
      </c>
      <c r="G5101" s="238">
        <f>IFERROR(__xludf.DUMMYFUNCTION("""COMPUTED_VALUE"""),46040.0)</f>
        <v>46040</v>
      </c>
      <c r="H5101" s="238">
        <f>IFERROR(__xludf.DUMMYFUNCTION("""COMPUTED_VALUE"""),46040.08333333333)</f>
        <v>46040.08333</v>
      </c>
      <c r="I5101" s="237" t="str">
        <f t="shared" si="1"/>
        <v>Fora</v>
      </c>
      <c r="J5101" s="239">
        <v>119.99999999301508</v>
      </c>
    </row>
    <row r="5102">
      <c r="A5102" s="234" t="s">
        <v>6011</v>
      </c>
      <c r="B5102" s="234" t="str">
        <f>IFERROR(__xludf.DUMMYFUNCTION("""COMPUTED_VALUE"""),"SoC_PE_Jaboatão dos Guararapes")</f>
        <v>SoC_PE_Jaboatão dos Guararapes</v>
      </c>
      <c r="C5102" s="234" t="str">
        <f>IFERROR(__xludf.DUMMYFUNCTION("""COMPUTED_VALUE"""),"SOC-PE2")</f>
        <v>SOC-PE2</v>
      </c>
      <c r="D5102" s="234"/>
      <c r="E5102" s="237" t="str">
        <f>IFERROR(__xludf.DUMMYFUNCTION("""COMPUTED_VALUE"""),"LT1Q1I01X6OD1")</f>
        <v>LT1Q1I01X6OD1</v>
      </c>
      <c r="F5102" s="238" t="str">
        <f>IFERROR(__xludf.DUMMYFUNCTION("""COMPUTED_VALUE"""),"FUL5F98,ELW5D22")</f>
        <v>FUL5F98,ELW5D22</v>
      </c>
      <c r="G5102" s="238">
        <f>IFERROR(__xludf.DUMMYFUNCTION("""COMPUTED_VALUE"""),46040.04166666667)</f>
        <v>46040.04167</v>
      </c>
      <c r="H5102" s="238">
        <f>IFERROR(__xludf.DUMMYFUNCTION("""COMPUTED_VALUE"""),46040.125)</f>
        <v>46040.125</v>
      </c>
      <c r="I5102" s="237" t="str">
        <f t="shared" si="1"/>
        <v>Fora</v>
      </c>
      <c r="J5102" s="239">
        <v>119.99999999301508</v>
      </c>
    </row>
    <row r="5103">
      <c r="A5103" s="234" t="s">
        <v>6012</v>
      </c>
      <c r="B5103" s="234" t="str">
        <f>IFERROR(__xludf.DUMMYFUNCTION("""COMPUTED_VALUE"""),"SoC_SP_Cravinhos")</f>
        <v>SoC_SP_Cravinhos</v>
      </c>
      <c r="C5103" s="234" t="str">
        <f>IFERROR(__xludf.DUMMYFUNCTION("""COMPUTED_VALUE"""),"SOC-SP5")</f>
        <v>SOC-SP5</v>
      </c>
      <c r="D5103" s="234">
        <f>IFERROR(__xludf.DUMMYFUNCTION("""COMPUTED_VALUE"""),113.0)</f>
        <v>113</v>
      </c>
      <c r="E5103" s="237" t="str">
        <f>IFERROR(__xludf.DUMMYFUNCTION("""COMPUTED_VALUE"""),"LT1Q1I01X6KH1")</f>
        <v>LT1Q1I01X6KH1</v>
      </c>
      <c r="F5103" s="238" t="str">
        <f>IFERROR(__xludf.DUMMYFUNCTION("""COMPUTED_VALUE"""),"DIG6H62,FKS6J84")</f>
        <v>DIG6H62,FKS6J84</v>
      </c>
      <c r="G5103" s="238">
        <f>IFERROR(__xludf.DUMMYFUNCTION("""COMPUTED_VALUE"""),46040.04166666667)</f>
        <v>46040.04167</v>
      </c>
      <c r="H5103" s="238">
        <f>IFERROR(__xludf.DUMMYFUNCTION("""COMPUTED_VALUE"""),46040.125)</f>
        <v>46040.125</v>
      </c>
      <c r="I5103" s="237" t="str">
        <f t="shared" si="1"/>
        <v>Fora</v>
      </c>
      <c r="J5103" s="239">
        <v>540.0</v>
      </c>
    </row>
    <row r="5104">
      <c r="A5104" s="234" t="s">
        <v>6013</v>
      </c>
      <c r="B5104" s="234" t="str">
        <f>IFERROR(__xludf.DUMMYFUNCTION("""COMPUTED_VALUE"""),"SoC_BA_Simoes Filho")</f>
        <v>SoC_BA_Simoes Filho</v>
      </c>
      <c r="C5104" s="234" t="str">
        <f>IFERROR(__xludf.DUMMYFUNCTION("""COMPUTED_VALUE"""),"SOC-BA2")</f>
        <v>SOC-BA2</v>
      </c>
      <c r="D5104" s="234">
        <f>IFERROR(__xludf.DUMMYFUNCTION("""COMPUTED_VALUE"""),89.0)</f>
        <v>89</v>
      </c>
      <c r="E5104" s="237" t="str">
        <f>IFERROR(__xludf.DUMMYFUNCTION("""COMPUTED_VALUE"""),"LT0Q1H01WEUA1")</f>
        <v>LT0Q1H01WEUA1</v>
      </c>
      <c r="F5104" s="238" t="str">
        <f>IFERROR(__xludf.DUMMYFUNCTION("""COMPUTED_VALUE"""),"OAG0B59,BZK5B21")</f>
        <v>OAG0B59,BZK5B21</v>
      </c>
      <c r="G5104" s="238">
        <f>IFERROR(__xludf.DUMMYFUNCTION("""COMPUTED_VALUE"""),46039.79166666667)</f>
        <v>46039.79167</v>
      </c>
      <c r="H5104" s="238">
        <f>IFERROR(__xludf.DUMMYFUNCTION("""COMPUTED_VALUE"""),46040.16666666667)</f>
        <v>46040.16667</v>
      </c>
      <c r="I5104" s="237" t="str">
        <f t="shared" si="1"/>
        <v>Fora</v>
      </c>
      <c r="J5104" s="239">
        <v>540.0</v>
      </c>
    </row>
    <row r="5105">
      <c r="A5105" s="234" t="s">
        <v>6014</v>
      </c>
      <c r="B5105" s="234" t="str">
        <f>IFERROR(__xludf.DUMMYFUNCTION("""COMPUTED_VALUE"""),"SoC_BA_Simoes Filho")</f>
        <v>SoC_BA_Simoes Filho</v>
      </c>
      <c r="C5105" s="234" t="str">
        <f>IFERROR(__xludf.DUMMYFUNCTION("""COMPUTED_VALUE"""),"SOC-BA2")</f>
        <v>SOC-BA2</v>
      </c>
      <c r="D5105" s="234"/>
      <c r="E5105" s="237" t="str">
        <f>IFERROR(__xludf.DUMMYFUNCTION("""COMPUTED_VALUE"""),"LT0Q1H01WEUC2")</f>
        <v>LT0Q1H01WEUC2</v>
      </c>
      <c r="F5105" s="238" t="str">
        <f>IFERROR(__xludf.DUMMYFUNCTION("""COMPUTED_VALUE"""),"RFS9H15,TDH6E47")</f>
        <v>RFS9H15,TDH6E47</v>
      </c>
      <c r="G5105" s="238">
        <f>IFERROR(__xludf.DUMMYFUNCTION("""COMPUTED_VALUE"""),46039.79166666667)</f>
        <v>46039.79167</v>
      </c>
      <c r="H5105" s="238">
        <f>IFERROR(__xludf.DUMMYFUNCTION("""COMPUTED_VALUE"""),46040.16666666667)</f>
        <v>46040.16667</v>
      </c>
      <c r="I5105" s="237" t="str">
        <f t="shared" si="1"/>
        <v>Fora</v>
      </c>
      <c r="J5105" s="239">
        <v>540.0</v>
      </c>
    </row>
    <row r="5106">
      <c r="A5106" s="234" t="s">
        <v>6015</v>
      </c>
      <c r="B5106" s="234" t="str">
        <f>IFERROR(__xludf.DUMMYFUNCTION("""COMPUTED_VALUE"""),"SoC_MG_Betim")</f>
        <v>SoC_MG_Betim</v>
      </c>
      <c r="C5106" s="234" t="str">
        <f>IFERROR(__xludf.DUMMYFUNCTION("""COMPUTED_VALUE"""),"SOC-MG2")</f>
        <v>SOC-MG2</v>
      </c>
      <c r="D5106" s="234">
        <f>IFERROR(__xludf.DUMMYFUNCTION("""COMPUTED_VALUE"""),91.0)</f>
        <v>91</v>
      </c>
      <c r="E5106" s="237" t="str">
        <f>IFERROR(__xludf.DUMMYFUNCTION("""COMPUTED_VALUE"""),"LT0Q1H01W9323")</f>
        <v>LT0Q1H01W9323</v>
      </c>
      <c r="F5106" s="238" t="str">
        <f>IFERROR(__xludf.DUMMYFUNCTION("""COMPUTED_VALUE"""),"SUQ0C67,RXM3H49")</f>
        <v>SUQ0C67,RXM3H49</v>
      </c>
      <c r="G5106" s="238">
        <f>IFERROR(__xludf.DUMMYFUNCTION("""COMPUTED_VALUE"""),46039.79166666667)</f>
        <v>46039.79167</v>
      </c>
      <c r="H5106" s="238">
        <f>IFERROR(__xludf.DUMMYFUNCTION("""COMPUTED_VALUE"""),46040.16666666667)</f>
        <v>46040.16667</v>
      </c>
      <c r="I5106" s="237" t="str">
        <f t="shared" si="1"/>
        <v>Fora</v>
      </c>
      <c r="J5106" s="239">
        <v>540.0</v>
      </c>
    </row>
    <row r="5107">
      <c r="A5107" s="234" t="s">
        <v>6016</v>
      </c>
      <c r="B5107" s="234" t="str">
        <f>IFERROR(__xludf.DUMMYFUNCTION("""COMPUTED_VALUE"""),"SoC_RJ_Duque de Caxias")</f>
        <v>SoC_RJ_Duque de Caxias</v>
      </c>
      <c r="C5107" s="234" t="str">
        <f>IFERROR(__xludf.DUMMYFUNCTION("""COMPUTED_VALUE"""),"SOC-RJ2")</f>
        <v>SOC-RJ2</v>
      </c>
      <c r="D5107" s="234">
        <f>IFERROR(__xludf.DUMMYFUNCTION("""COMPUTED_VALUE"""),97.0)</f>
        <v>97</v>
      </c>
      <c r="E5107" s="237" t="str">
        <f>IFERROR(__xludf.DUMMYFUNCTION("""COMPUTED_VALUE"""),"LT0Q1H01WBFA1")</f>
        <v>LT0Q1H01WBFA1</v>
      </c>
      <c r="F5107" s="238" t="str">
        <f>IFERROR(__xludf.DUMMYFUNCTION("""COMPUTED_VALUE"""),"EPU5C78,TIV0I78")</f>
        <v>EPU5C78,TIV0I78</v>
      </c>
      <c r="G5107" s="238">
        <f>IFERROR(__xludf.DUMMYFUNCTION("""COMPUTED_VALUE"""),46039.79166666667)</f>
        <v>46039.79167</v>
      </c>
      <c r="H5107" s="238">
        <f>IFERROR(__xludf.DUMMYFUNCTION("""COMPUTED_VALUE"""),46040.16666666667)</f>
        <v>46040.16667</v>
      </c>
      <c r="I5107" s="237" t="str">
        <f t="shared" si="1"/>
        <v>Fora</v>
      </c>
      <c r="J5107" s="239">
        <v>540.0</v>
      </c>
    </row>
    <row r="5108">
      <c r="A5108" s="234" t="s">
        <v>6017</v>
      </c>
      <c r="B5108" s="234" t="str">
        <f>IFERROR(__xludf.DUMMYFUNCTION("""COMPUTED_VALUE"""),"SoC_SC_Itajaí")</f>
        <v>SoC_SC_Itajaí</v>
      </c>
      <c r="C5108" s="234" t="str">
        <f>IFERROR(__xludf.DUMMYFUNCTION("""COMPUTED_VALUE"""),"SOC-SC1")</f>
        <v>SOC-SC1</v>
      </c>
      <c r="D5108" s="234">
        <f>IFERROR(__xludf.DUMMYFUNCTION("""COMPUTED_VALUE"""),100.0)</f>
        <v>100</v>
      </c>
      <c r="E5108" s="237" t="str">
        <f>IFERROR(__xludf.DUMMYFUNCTION("""COMPUTED_VALUE"""),"LT0Q1H01WDUL2")</f>
        <v>LT0Q1H01WDUL2</v>
      </c>
      <c r="F5108" s="238" t="str">
        <f>IFERROR(__xludf.DUMMYFUNCTION("""COMPUTED_VALUE"""),"RXZ0J01,RYK4D86")</f>
        <v>RXZ0J01,RYK4D86</v>
      </c>
      <c r="G5108" s="238">
        <f>IFERROR(__xludf.DUMMYFUNCTION("""COMPUTED_VALUE"""),46039.79166666667)</f>
        <v>46039.79167</v>
      </c>
      <c r="H5108" s="238">
        <f>IFERROR(__xludf.DUMMYFUNCTION("""COMPUTED_VALUE"""),46040.16666666667)</f>
        <v>46040.16667</v>
      </c>
      <c r="I5108" s="237" t="str">
        <f t="shared" si="1"/>
        <v>Fora</v>
      </c>
      <c r="J5108" s="239">
        <v>539.0000000072177</v>
      </c>
    </row>
    <row r="5109">
      <c r="A5109" s="234" t="s">
        <v>6018</v>
      </c>
      <c r="B5109" s="234" t="str">
        <f>IFERROR(__xludf.DUMMYFUNCTION("""COMPUTED_VALUE"""),"SoC_PE_Jaboatão dos Guararapes")</f>
        <v>SoC_PE_Jaboatão dos Guararapes</v>
      </c>
      <c r="C5109" s="234" t="str">
        <f>IFERROR(__xludf.DUMMYFUNCTION("""COMPUTED_VALUE"""),"SOC-PE2")</f>
        <v>SOC-PE2</v>
      </c>
      <c r="D5109" s="234">
        <f>IFERROR(__xludf.DUMMYFUNCTION("""COMPUTED_VALUE"""),98.0)</f>
        <v>98</v>
      </c>
      <c r="E5109" s="237" t="str">
        <f>IFERROR(__xludf.DUMMYFUNCTION("""COMPUTED_VALUE"""),"LT0Q1H01WEQO2")</f>
        <v>LT0Q1H01WEQO2</v>
      </c>
      <c r="F5109" s="238" t="str">
        <f>IFERROR(__xludf.DUMMYFUNCTION("""COMPUTED_VALUE"""),"CVN9H47,OAC6847")</f>
        <v>CVN9H47,OAC6847</v>
      </c>
      <c r="G5109" s="238">
        <f>IFERROR(__xludf.DUMMYFUNCTION("""COMPUTED_VALUE"""),46039.79236111111)</f>
        <v>46039.79236</v>
      </c>
      <c r="H5109" s="238">
        <f>IFERROR(__xludf.DUMMYFUNCTION("""COMPUTED_VALUE"""),46040.16666666667)</f>
        <v>46040.16667</v>
      </c>
      <c r="I5109" s="237" t="str">
        <f t="shared" si="1"/>
        <v>Fora</v>
      </c>
      <c r="J5109" s="239">
        <v>360.0</v>
      </c>
    </row>
    <row r="5110">
      <c r="A5110" s="234" t="s">
        <v>6019</v>
      </c>
      <c r="B5110" s="234" t="str">
        <f>IFERROR(__xludf.DUMMYFUNCTION("""COMPUTED_VALUE"""),"SoC_MG_Betim")</f>
        <v>SoC_MG_Betim</v>
      </c>
      <c r="C5110" s="234" t="str">
        <f>IFERROR(__xludf.DUMMYFUNCTION("""COMPUTED_VALUE"""),"SOC-MG2")</f>
        <v>SOC-MG2</v>
      </c>
      <c r="D5110" s="234">
        <f>IFERROR(__xludf.DUMMYFUNCTION("""COMPUTED_VALUE"""),112.0)</f>
        <v>112</v>
      </c>
      <c r="E5110" s="237" t="str">
        <f>IFERROR(__xludf.DUMMYFUNCTION("""COMPUTED_VALUE"""),"LT0Q1H01W92Z1")</f>
        <v>LT0Q1H01W92Z1</v>
      </c>
      <c r="F5110" s="238" t="str">
        <f>IFERROR(__xludf.DUMMYFUNCTION("""COMPUTED_VALUE"""),"ESU3H82,UDQ3B86")</f>
        <v>ESU3H82,UDQ3B86</v>
      </c>
      <c r="G5110" s="238">
        <f>IFERROR(__xludf.DUMMYFUNCTION("""COMPUTED_VALUE"""),46039.91666666667)</f>
        <v>46039.91667</v>
      </c>
      <c r="H5110" s="238">
        <f>IFERROR(__xludf.DUMMYFUNCTION("""COMPUTED_VALUE"""),46040.16666666667)</f>
        <v>46040.16667</v>
      </c>
      <c r="I5110" s="237" t="str">
        <f t="shared" si="1"/>
        <v>Fora</v>
      </c>
      <c r="J5110" s="239">
        <v>120.00000001396984</v>
      </c>
    </row>
    <row r="5111">
      <c r="A5111" s="234" t="s">
        <v>6020</v>
      </c>
      <c r="B5111" s="234" t="str">
        <f>IFERROR(__xludf.DUMMYFUNCTION("""COMPUTED_VALUE"""),"SoC_BA_Simoes Filho")</f>
        <v>SoC_BA_Simoes Filho</v>
      </c>
      <c r="C5111" s="234" t="str">
        <f>IFERROR(__xludf.DUMMYFUNCTION("""COMPUTED_VALUE"""),"SOC-BA2")</f>
        <v>SOC-BA2</v>
      </c>
      <c r="D5111" s="234">
        <f>IFERROR(__xludf.DUMMYFUNCTION("""COMPUTED_VALUE"""),112.0)</f>
        <v>112</v>
      </c>
      <c r="E5111" s="237" t="str">
        <f>IFERROR(__xludf.DUMMYFUNCTION("""COMPUTED_VALUE"""),"LT1Q1I01X58U1")</f>
        <v>LT1Q1I01X58U1</v>
      </c>
      <c r="F5111" s="238" t="str">
        <f>IFERROR(__xludf.DUMMYFUNCTION("""COMPUTED_VALUE"""),"FWQ2C04,ETU5I35")</f>
        <v>FWQ2C04,ETU5I35</v>
      </c>
      <c r="G5111" s="238">
        <f>IFERROR(__xludf.DUMMYFUNCTION("""COMPUTED_VALUE"""),46040.08333333333)</f>
        <v>46040.08333</v>
      </c>
      <c r="H5111" s="238">
        <f>IFERROR(__xludf.DUMMYFUNCTION("""COMPUTED_VALUE"""),46040.16666666667)</f>
        <v>46040.16667</v>
      </c>
      <c r="I5111" s="237" t="str">
        <f t="shared" si="1"/>
        <v>Fora</v>
      </c>
      <c r="J5111" s="239">
        <v>120.00000001396984</v>
      </c>
    </row>
    <row r="5112">
      <c r="A5112" s="234" t="s">
        <v>6021</v>
      </c>
      <c r="B5112" s="234" t="str">
        <f>IFERROR(__xludf.DUMMYFUNCTION("""COMPUTED_VALUE"""),"SoC_GO_Goiânia_02")</f>
        <v>SoC_GO_Goiânia_02</v>
      </c>
      <c r="C5112" s="234" t="str">
        <f>IFERROR(__xludf.DUMMYFUNCTION("""COMPUTED_VALUE"""),"SOC-GO2")</f>
        <v>SOC-GO2</v>
      </c>
      <c r="D5112" s="234">
        <f>IFERROR(__xludf.DUMMYFUNCTION("""COMPUTED_VALUE"""),114.0)</f>
        <v>114</v>
      </c>
      <c r="E5112" s="237" t="str">
        <f>IFERROR(__xludf.DUMMYFUNCTION("""COMPUTED_VALUE"""),"LT1Q1I01X6OG1")</f>
        <v>LT1Q1I01X6OG1</v>
      </c>
      <c r="F5112" s="238" t="str">
        <f>IFERROR(__xludf.DUMMYFUNCTION("""COMPUTED_VALUE"""),"FDB0D73,EFU2I35")</f>
        <v>FDB0D73,EFU2I35</v>
      </c>
      <c r="G5112" s="238">
        <f>IFERROR(__xludf.DUMMYFUNCTION("""COMPUTED_VALUE"""),46040.08333333333)</f>
        <v>46040.08333</v>
      </c>
      <c r="H5112" s="238">
        <f>IFERROR(__xludf.DUMMYFUNCTION("""COMPUTED_VALUE"""),46040.16666666667)</f>
        <v>46040.16667</v>
      </c>
      <c r="I5112" s="237" t="str">
        <f t="shared" si="1"/>
        <v>Fora</v>
      </c>
      <c r="J5112" s="239">
        <v>120.00000001396984</v>
      </c>
    </row>
    <row r="5113">
      <c r="A5113" s="234" t="s">
        <v>6022</v>
      </c>
      <c r="B5113" s="234" t="str">
        <f>IFERROR(__xludf.DUMMYFUNCTION("""COMPUTED_VALUE"""),"SoC_MG_Betim")</f>
        <v>SoC_MG_Betim</v>
      </c>
      <c r="C5113" s="234" t="str">
        <f>IFERROR(__xludf.DUMMYFUNCTION("""COMPUTED_VALUE"""),"SOC-MG2")</f>
        <v>SOC-MG2</v>
      </c>
      <c r="D5113" s="234">
        <f>IFERROR(__xludf.DUMMYFUNCTION("""COMPUTED_VALUE"""),110.0)</f>
        <v>110</v>
      </c>
      <c r="E5113" s="237" t="str">
        <f>IFERROR(__xludf.DUMMYFUNCTION("""COMPUTED_VALUE"""),"LT1Q1I01X58T1")</f>
        <v>LT1Q1I01X58T1</v>
      </c>
      <c r="F5113" s="238" t="str">
        <f>IFERROR(__xludf.DUMMYFUNCTION("""COMPUTED_VALUE"""),"FKD0D91,TJL9I78")</f>
        <v>FKD0D91,TJL9I78</v>
      </c>
      <c r="G5113" s="238">
        <f>IFERROR(__xludf.DUMMYFUNCTION("""COMPUTED_VALUE"""),46040.08333333333)</f>
        <v>46040.08333</v>
      </c>
      <c r="H5113" s="238">
        <f>IFERROR(__xludf.DUMMYFUNCTION("""COMPUTED_VALUE"""),46040.16666666667)</f>
        <v>46040.16667</v>
      </c>
      <c r="I5113" s="237" t="str">
        <f t="shared" si="1"/>
        <v>Fora</v>
      </c>
      <c r="J5113" s="239">
        <v>120.00000001396984</v>
      </c>
    </row>
    <row r="5114">
      <c r="A5114" s="234" t="s">
        <v>6023</v>
      </c>
      <c r="B5114" s="234" t="str">
        <f>IFERROR(__xludf.DUMMYFUNCTION("""COMPUTED_VALUE"""),"SoC_MG_Betim")</f>
        <v>SoC_MG_Betim</v>
      </c>
      <c r="C5114" s="234" t="str">
        <f>IFERROR(__xludf.DUMMYFUNCTION("""COMPUTED_VALUE"""),"SOC-MG2")</f>
        <v>SOC-MG2</v>
      </c>
      <c r="D5114" s="234">
        <f>IFERROR(__xludf.DUMMYFUNCTION("""COMPUTED_VALUE"""),111.0)</f>
        <v>111</v>
      </c>
      <c r="E5114" s="237" t="str">
        <f>IFERROR(__xludf.DUMMYFUNCTION("""COMPUTED_VALUE"""),"LT1Q1I01X6KJ1")</f>
        <v>LT1Q1I01X6KJ1</v>
      </c>
      <c r="F5114" s="238" t="str">
        <f>IFERROR(__xludf.DUMMYFUNCTION("""COMPUTED_VALUE"""),"IZR0G89,JWK7540")</f>
        <v>IZR0G89,JWK7540</v>
      </c>
      <c r="G5114" s="238">
        <f>IFERROR(__xludf.DUMMYFUNCTION("""COMPUTED_VALUE"""),46040.08333333333)</f>
        <v>46040.08333</v>
      </c>
      <c r="H5114" s="238">
        <f>IFERROR(__xludf.DUMMYFUNCTION("""COMPUTED_VALUE"""),46040.16666666667)</f>
        <v>46040.16667</v>
      </c>
      <c r="I5114" s="237" t="str">
        <f t="shared" si="1"/>
        <v>Fora</v>
      </c>
      <c r="J5114" s="239">
        <v>120.00000001396984</v>
      </c>
    </row>
    <row r="5115">
      <c r="A5115" s="234" t="s">
        <v>6024</v>
      </c>
      <c r="B5115" s="234" t="str">
        <f>IFERROR(__xludf.DUMMYFUNCTION("""COMPUTED_VALUE"""),"SoC_PR_Curitiba")</f>
        <v>SoC_PR_Curitiba</v>
      </c>
      <c r="C5115" s="234" t="str">
        <f>IFERROR(__xludf.DUMMYFUNCTION("""COMPUTED_VALUE"""),"SOC-PR1")</f>
        <v>SOC-PR1</v>
      </c>
      <c r="D5115" s="234" t="str">
        <f>IFERROR(__xludf.DUMMYFUNCTION("""COMPUTED_VALUE"""),"113/15")</f>
        <v>113/15</v>
      </c>
      <c r="E5115" s="237" t="str">
        <f>IFERROR(__xludf.DUMMYFUNCTION("""COMPUTED_VALUE"""),"LT1Q1I01X58Y1")</f>
        <v>LT1Q1I01X58Y1</v>
      </c>
      <c r="F5115" s="238" t="str">
        <f>IFERROR(__xludf.DUMMYFUNCTION("""COMPUTED_VALUE"""),"TAM8J23,TAU7G11")</f>
        <v>TAM8J23,TAU7G11</v>
      </c>
      <c r="G5115" s="238">
        <f>IFERROR(__xludf.DUMMYFUNCTION("""COMPUTED_VALUE"""),46040.08333333333)</f>
        <v>46040.08333</v>
      </c>
      <c r="H5115" s="238">
        <f>IFERROR(__xludf.DUMMYFUNCTION("""COMPUTED_VALUE"""),46040.16666666667)</f>
        <v>46040.16667</v>
      </c>
      <c r="I5115" s="237" t="str">
        <f t="shared" si="1"/>
        <v>Fora</v>
      </c>
      <c r="J5115" s="239">
        <v>120.00000001396984</v>
      </c>
    </row>
    <row r="5116">
      <c r="A5116" s="234" t="s">
        <v>6025</v>
      </c>
      <c r="B5116" s="234" t="str">
        <f>IFERROR(__xludf.DUMMYFUNCTION("""COMPUTED_VALUE"""),"SoC_RJ_Duque de Caxias")</f>
        <v>SoC_RJ_Duque de Caxias</v>
      </c>
      <c r="C5116" s="234" t="str">
        <f>IFERROR(__xludf.DUMMYFUNCTION("""COMPUTED_VALUE"""),"SOC-RJ2")</f>
        <v>SOC-RJ2</v>
      </c>
      <c r="D5116" s="234">
        <f>IFERROR(__xludf.DUMMYFUNCTION("""COMPUTED_VALUE"""),111.0)</f>
        <v>111</v>
      </c>
      <c r="E5116" s="237" t="str">
        <f>IFERROR(__xludf.DUMMYFUNCTION("""COMPUTED_VALUE"""),"LT1Q1I01X5911")</f>
        <v>LT1Q1I01X5911</v>
      </c>
      <c r="F5116" s="238" t="str">
        <f>IFERROR(__xludf.DUMMYFUNCTION("""COMPUTED_VALUE"""),"EHH3B94,GBG7J83")</f>
        <v>EHH3B94,GBG7J83</v>
      </c>
      <c r="G5116" s="238">
        <f>IFERROR(__xludf.DUMMYFUNCTION("""COMPUTED_VALUE"""),46040.08333333333)</f>
        <v>46040.08333</v>
      </c>
      <c r="H5116" s="238">
        <f>IFERROR(__xludf.DUMMYFUNCTION("""COMPUTED_VALUE"""),46040.16666666667)</f>
        <v>46040.16667</v>
      </c>
      <c r="I5116" s="237" t="str">
        <f t="shared" si="1"/>
        <v>Fora</v>
      </c>
      <c r="J5116" s="239">
        <v>120.00000001396984</v>
      </c>
    </row>
    <row r="5117">
      <c r="A5117" s="234" t="s">
        <v>6026</v>
      </c>
      <c r="B5117" s="234" t="str">
        <f>IFERROR(__xludf.DUMMYFUNCTION("""COMPUTED_VALUE"""),"SoC_SP_Guarulhos")</f>
        <v>SoC_SP_Guarulhos</v>
      </c>
      <c r="C5117" s="234" t="str">
        <f>IFERROR(__xludf.DUMMYFUNCTION("""COMPUTED_VALUE"""),"SOC-SP6")</f>
        <v>SOC-SP6</v>
      </c>
      <c r="D5117" s="234"/>
      <c r="E5117" s="237" t="str">
        <f>IFERROR(__xludf.DUMMYFUNCTION("""COMPUTED_VALUE"""),"LT1Q1I01X5941")</f>
        <v>LT1Q1I01X5941</v>
      </c>
      <c r="F5117" s="238" t="str">
        <f>IFERROR(__xludf.DUMMYFUNCTION("""COMPUTED_VALUE"""),"BCN8D83,EFU9D97")</f>
        <v>BCN8D83,EFU9D97</v>
      </c>
      <c r="G5117" s="238">
        <f>IFERROR(__xludf.DUMMYFUNCTION("""COMPUTED_VALUE"""),46040.08333333333)</f>
        <v>46040.08333</v>
      </c>
      <c r="H5117" s="238">
        <f>IFERROR(__xludf.DUMMYFUNCTION("""COMPUTED_VALUE"""),46040.16666666667)</f>
        <v>46040.16667</v>
      </c>
      <c r="I5117" s="237" t="str">
        <f t="shared" si="1"/>
        <v>Fora</v>
      </c>
      <c r="J5117" s="239">
        <v>119.99999999301508</v>
      </c>
    </row>
    <row r="5118">
      <c r="A5118" s="234" t="s">
        <v>6027</v>
      </c>
      <c r="B5118" s="234" t="str">
        <f>IFERROR(__xludf.DUMMYFUNCTION("""COMPUTED_VALUE"""),"SoC_PE_Jaboatão dos Guararapes")</f>
        <v>SoC_PE_Jaboatão dos Guararapes</v>
      </c>
      <c r="C5118" s="234" t="str">
        <f>IFERROR(__xludf.DUMMYFUNCTION("""COMPUTED_VALUE"""),"SOC-PE2")</f>
        <v>SOC-PE2</v>
      </c>
      <c r="D5118" s="234">
        <f>IFERROR(__xludf.DUMMYFUNCTION("""COMPUTED_VALUE"""),99.0)</f>
        <v>99</v>
      </c>
      <c r="E5118" s="237" t="str">
        <f>IFERROR(__xludf.DUMMYFUNCTION("""COMPUTED_VALUE"""),"LT1Q1I01X58V1")</f>
        <v>LT1Q1I01X58V1</v>
      </c>
      <c r="F5118" s="238" t="str">
        <f>IFERROR(__xludf.DUMMYFUNCTION("""COMPUTED_VALUE"""),"FRZ1J00,EKD6D95")</f>
        <v>FRZ1J00,EKD6D95</v>
      </c>
      <c r="G5118" s="238">
        <f>IFERROR(__xludf.DUMMYFUNCTION("""COMPUTED_VALUE"""),46040.125)</f>
        <v>46040.125</v>
      </c>
      <c r="H5118" s="238">
        <f>IFERROR(__xludf.DUMMYFUNCTION("""COMPUTED_VALUE"""),46040.20833333333)</f>
        <v>46040.20833</v>
      </c>
      <c r="I5118" s="237" t="str">
        <f t="shared" si="1"/>
        <v>Fora</v>
      </c>
      <c r="J5118" s="239">
        <v>119.99999999301508</v>
      </c>
    </row>
    <row r="5119">
      <c r="A5119" s="234" t="s">
        <v>6028</v>
      </c>
      <c r="B5119" s="234" t="str">
        <f>IFERROR(__xludf.DUMMYFUNCTION("""COMPUTED_VALUE"""),"SoC_PR_Curitiba")</f>
        <v>SoC_PR_Curitiba</v>
      </c>
      <c r="C5119" s="234" t="str">
        <f>IFERROR(__xludf.DUMMYFUNCTION("""COMPUTED_VALUE"""),"SOC-PR1")</f>
        <v>SOC-PR1</v>
      </c>
      <c r="D5119" s="234">
        <f>IFERROR(__xludf.DUMMYFUNCTION("""COMPUTED_VALUE"""),24.0)</f>
        <v>24</v>
      </c>
      <c r="E5119" s="237" t="str">
        <f>IFERROR(__xludf.DUMMYFUNCTION("""COMPUTED_VALUE"""),"LT1Q1I01X58W1")</f>
        <v>LT1Q1I01X58W1</v>
      </c>
      <c r="F5119" s="238" t="str">
        <f>IFERROR(__xludf.DUMMYFUNCTION("""COMPUTED_VALUE"""),"SXB6F25,RLF3F97")</f>
        <v>SXB6F25,RLF3F97</v>
      </c>
      <c r="G5119" s="238">
        <f>IFERROR(__xludf.DUMMYFUNCTION("""COMPUTED_VALUE"""),46040.125)</f>
        <v>46040.125</v>
      </c>
      <c r="H5119" s="238">
        <f>IFERROR(__xludf.DUMMYFUNCTION("""COMPUTED_VALUE"""),46040.20833333333)</f>
        <v>46040.20833</v>
      </c>
      <c r="I5119" s="237" t="str">
        <f t="shared" si="1"/>
        <v>Fora</v>
      </c>
      <c r="J5119" s="239">
        <v>119.99999999301508</v>
      </c>
    </row>
    <row r="5120">
      <c r="A5120" s="234" t="s">
        <v>6029</v>
      </c>
      <c r="B5120" s="234" t="str">
        <f>IFERROR(__xludf.DUMMYFUNCTION("""COMPUTED_VALUE"""),"SoC_RJ_Duque de Caxias")</f>
        <v>SoC_RJ_Duque de Caxias</v>
      </c>
      <c r="C5120" s="234" t="str">
        <f>IFERROR(__xludf.DUMMYFUNCTION("""COMPUTED_VALUE"""),"SOC-RJ2")</f>
        <v>SOC-RJ2</v>
      </c>
      <c r="D5120" s="234"/>
      <c r="E5120" s="237" t="str">
        <f>IFERROR(__xludf.DUMMYFUNCTION("""COMPUTED_VALUE"""),"LT1Q1I01X58Z1")</f>
        <v>LT1Q1I01X58Z1</v>
      </c>
      <c r="F5120" s="238" t="str">
        <f>IFERROR(__xludf.DUMMYFUNCTION("""COMPUTED_VALUE"""),"DPB7A93,EZL3A04")</f>
        <v>DPB7A93,EZL3A04</v>
      </c>
      <c r="G5120" s="238">
        <f>IFERROR(__xludf.DUMMYFUNCTION("""COMPUTED_VALUE"""),46040.16666666667)</f>
        <v>46040.16667</v>
      </c>
      <c r="H5120" s="238">
        <f>IFERROR(__xludf.DUMMYFUNCTION("""COMPUTED_VALUE"""),46040.25)</f>
        <v>46040.25</v>
      </c>
      <c r="I5120" s="237" t="str">
        <f t="shared" si="1"/>
        <v>Fora</v>
      </c>
      <c r="J5120" s="239">
        <v>119.99999999301508</v>
      </c>
    </row>
    <row r="5121">
      <c r="A5121" s="234" t="s">
        <v>6030</v>
      </c>
      <c r="B5121" s="234" t="str">
        <f>IFERROR(__xludf.DUMMYFUNCTION("""COMPUTED_VALUE"""),"SoC_SP_Cravinhos")</f>
        <v>SoC_SP_Cravinhos</v>
      </c>
      <c r="C5121" s="234" t="str">
        <f>IFERROR(__xludf.DUMMYFUNCTION("""COMPUTED_VALUE"""),"SOC-SP5")</f>
        <v>SOC-SP5</v>
      </c>
      <c r="D5121" s="234">
        <f>IFERROR(__xludf.DUMMYFUNCTION("""COMPUTED_VALUE"""),29.0)</f>
        <v>29</v>
      </c>
      <c r="E5121" s="237" t="str">
        <f>IFERROR(__xludf.DUMMYFUNCTION("""COMPUTED_VALUE"""),"LT1Q1I01X5931")</f>
        <v>LT1Q1I01X5931</v>
      </c>
      <c r="F5121" s="238" t="str">
        <f>IFERROR(__xludf.DUMMYFUNCTION("""COMPUTED_VALUE"""),"FEK3A22,EWJ2318")</f>
        <v>FEK3A22,EWJ2318</v>
      </c>
      <c r="G5121" s="238">
        <f>IFERROR(__xludf.DUMMYFUNCTION("""COMPUTED_VALUE"""),46040.125)</f>
        <v>46040.125</v>
      </c>
      <c r="H5121" s="238">
        <f>IFERROR(__xludf.DUMMYFUNCTION("""COMPUTED_VALUE"""),46040.20833333333)</f>
        <v>46040.20833</v>
      </c>
      <c r="I5121" s="237" t="str">
        <f t="shared" si="1"/>
        <v>Fora</v>
      </c>
      <c r="J5121" s="239">
        <v>119.99999999301508</v>
      </c>
    </row>
    <row r="5122">
      <c r="A5122" s="234" t="s">
        <v>6031</v>
      </c>
      <c r="B5122" s="234" t="str">
        <f>IFERROR(__xludf.DUMMYFUNCTION("""COMPUTED_VALUE"""),"SoC_SP_Guarulhos")</f>
        <v>SoC_SP_Guarulhos</v>
      </c>
      <c r="C5122" s="234" t="str">
        <f>IFERROR(__xludf.DUMMYFUNCTION("""COMPUTED_VALUE"""),"SOC-SP6")</f>
        <v>SOC-SP6</v>
      </c>
      <c r="D5122" s="234">
        <f>IFERROR(__xludf.DUMMYFUNCTION("""COMPUTED_VALUE"""),22.0)</f>
        <v>22</v>
      </c>
      <c r="E5122" s="237" t="str">
        <f>IFERROR(__xludf.DUMMYFUNCTION("""COMPUTED_VALUE"""),"LT1Q1I01X5961")</f>
        <v>LT1Q1I01X5961</v>
      </c>
      <c r="F5122" s="238" t="str">
        <f>IFERROR(__xludf.DUMMYFUNCTION("""COMPUTED_VALUE"""),"AHB3D37,JRB8H41")</f>
        <v>AHB3D37,JRB8H41</v>
      </c>
      <c r="G5122" s="238">
        <f>IFERROR(__xludf.DUMMYFUNCTION("""COMPUTED_VALUE"""),46040.125)</f>
        <v>46040.125</v>
      </c>
      <c r="H5122" s="238">
        <f>IFERROR(__xludf.DUMMYFUNCTION("""COMPUTED_VALUE"""),46040.20833333333)</f>
        <v>46040.20833</v>
      </c>
      <c r="I5122" s="237" t="str">
        <f t="shared" si="1"/>
        <v>Fora</v>
      </c>
      <c r="J5122" s="239">
        <v>119.99999999301508</v>
      </c>
    </row>
    <row r="5123">
      <c r="A5123" s="234" t="s">
        <v>6032</v>
      </c>
      <c r="B5123" s="234" t="str">
        <f>IFERROR(__xludf.DUMMYFUNCTION("""COMPUTED_VALUE"""),"SoC_BA_Simoes Filho")</f>
        <v>SoC_BA_Simoes Filho</v>
      </c>
      <c r="C5123" s="234" t="str">
        <f>IFERROR(__xludf.DUMMYFUNCTION("""COMPUTED_VALUE"""),"SOC-BA2")</f>
        <v>SOC-BA2</v>
      </c>
      <c r="D5123" s="234"/>
      <c r="E5123" s="237" t="str">
        <f>IFERROR(__xludf.DUMMYFUNCTION("""COMPUTED_VALUE"""),"LT1Q1I01X6OE1")</f>
        <v>LT1Q1I01X6OE1</v>
      </c>
      <c r="F5123" s="238" t="str">
        <f>IFERROR(__xludf.DUMMYFUNCTION("""COMPUTED_VALUE"""),"IXW5J08,EFW2E88")</f>
        <v>IXW5J08,EFW2E88</v>
      </c>
      <c r="G5123" s="238">
        <f>IFERROR(__xludf.DUMMYFUNCTION("""COMPUTED_VALUE"""),46040.16666666667)</f>
        <v>46040.16667</v>
      </c>
      <c r="H5123" s="238">
        <f>IFERROR(__xludf.DUMMYFUNCTION("""COMPUTED_VALUE"""),46040.25)</f>
        <v>46040.25</v>
      </c>
      <c r="I5123" s="237" t="str">
        <f t="shared" si="1"/>
        <v>Fora</v>
      </c>
      <c r="J5123" s="239">
        <v>119.99999999301508</v>
      </c>
    </row>
    <row r="5124">
      <c r="A5124" s="234" t="s">
        <v>6033</v>
      </c>
      <c r="B5124" s="234" t="str">
        <f>IFERROR(__xludf.DUMMYFUNCTION("""COMPUTED_VALUE"""),"SoC_PR_Curitiba")</f>
        <v>SoC_PR_Curitiba</v>
      </c>
      <c r="C5124" s="234" t="str">
        <f>IFERROR(__xludf.DUMMYFUNCTION("""COMPUTED_VALUE"""),"SOC-PR1")</f>
        <v>SOC-PR1</v>
      </c>
      <c r="D5124" s="234"/>
      <c r="E5124" s="237" t="str">
        <f>IFERROR(__xludf.DUMMYFUNCTION("""COMPUTED_VALUE"""),"LT1Q1I01X58X1")</f>
        <v>LT1Q1I01X58X1</v>
      </c>
      <c r="F5124" s="238" t="str">
        <f>IFERROR(__xludf.DUMMYFUNCTION("""COMPUTED_VALUE"""),"IZE9193,SXF5A32")</f>
        <v>IZE9193,SXF5A32</v>
      </c>
      <c r="G5124" s="238">
        <f>IFERROR(__xludf.DUMMYFUNCTION("""COMPUTED_VALUE"""),46040.16666666667)</f>
        <v>46040.16667</v>
      </c>
      <c r="H5124" s="238">
        <f>IFERROR(__xludf.DUMMYFUNCTION("""COMPUTED_VALUE"""),46040.25)</f>
        <v>46040.25</v>
      </c>
      <c r="I5124" s="237" t="str">
        <f t="shared" si="1"/>
        <v>Fora</v>
      </c>
      <c r="J5124" s="239">
        <v>119.99999999301508</v>
      </c>
    </row>
    <row r="5125">
      <c r="A5125" s="234" t="s">
        <v>6034</v>
      </c>
      <c r="B5125" s="234" t="str">
        <f>IFERROR(__xludf.DUMMYFUNCTION("""COMPUTED_VALUE"""),"SoC_RJ_Duque de Caxias")</f>
        <v>SoC_RJ_Duque de Caxias</v>
      </c>
      <c r="C5125" s="234" t="str">
        <f>IFERROR(__xludf.DUMMYFUNCTION("""COMPUTED_VALUE"""),"SOC-RJ2")</f>
        <v>SOC-RJ2</v>
      </c>
      <c r="D5125" s="234" t="str">
        <f>IFERROR(__xludf.DUMMYFUNCTION("""COMPUTED_VALUE"""),"97/19")</f>
        <v>97/19</v>
      </c>
      <c r="E5125" s="237" t="str">
        <f>IFERROR(__xludf.DUMMYFUNCTION("""COMPUTED_VALUE"""),"LT1Q1I01X5901")</f>
        <v>LT1Q1I01X5901</v>
      </c>
      <c r="F5125" s="238" t="str">
        <f>IFERROR(__xludf.DUMMYFUNCTION("""COMPUTED_VALUE"""),"UEI4J04,UGU1H60")</f>
        <v>UEI4J04,UGU1H60</v>
      </c>
      <c r="G5125" s="238">
        <f>IFERROR(__xludf.DUMMYFUNCTION("""COMPUTED_VALUE"""),46040.16666666667)</f>
        <v>46040.16667</v>
      </c>
      <c r="H5125" s="238">
        <f>IFERROR(__xludf.DUMMYFUNCTION("""COMPUTED_VALUE"""),46040.25)</f>
        <v>46040.25</v>
      </c>
      <c r="I5125" s="237" t="str">
        <f t="shared" si="1"/>
        <v>Fora</v>
      </c>
      <c r="J5125" s="239">
        <v>119.99999999301508</v>
      </c>
    </row>
    <row r="5126">
      <c r="A5126" s="234" t="s">
        <v>6035</v>
      </c>
      <c r="B5126" s="234" t="str">
        <f>IFERROR(__xludf.DUMMYFUNCTION("""COMPUTED_VALUE"""),"SoC_SP_Cravinhos")</f>
        <v>SoC_SP_Cravinhos</v>
      </c>
      <c r="C5126" s="234" t="str">
        <f>IFERROR(__xludf.DUMMYFUNCTION("""COMPUTED_VALUE"""),"SOC-SP5")</f>
        <v>SOC-SP5</v>
      </c>
      <c r="D5126" s="234">
        <f>IFERROR(__xludf.DUMMYFUNCTION("""COMPUTED_VALUE"""),13.0)</f>
        <v>13</v>
      </c>
      <c r="E5126" s="237" t="str">
        <f>IFERROR(__xludf.DUMMYFUNCTION("""COMPUTED_VALUE"""),"LT1Q1I01X5921")</f>
        <v>LT1Q1I01X5921</v>
      </c>
      <c r="F5126" s="238" t="str">
        <f>IFERROR(__xludf.DUMMYFUNCTION("""COMPUTED_VALUE"""),"DYX9C73,FRS9B04")</f>
        <v>DYX9C73,FRS9B04</v>
      </c>
      <c r="G5126" s="238">
        <f>IFERROR(__xludf.DUMMYFUNCTION("""COMPUTED_VALUE"""),46040.16666666667)</f>
        <v>46040.16667</v>
      </c>
      <c r="H5126" s="238">
        <f>IFERROR(__xludf.DUMMYFUNCTION("""COMPUTED_VALUE"""),46040.25)</f>
        <v>46040.25</v>
      </c>
      <c r="I5126" s="237" t="str">
        <f t="shared" si="1"/>
        <v>Fora</v>
      </c>
      <c r="J5126" s="239">
        <v>540.0</v>
      </c>
    </row>
    <row r="5127">
      <c r="A5127" s="234" t="s">
        <v>6036</v>
      </c>
      <c r="B5127" s="234" t="str">
        <f>IFERROR(__xludf.DUMMYFUNCTION("""COMPUTED_VALUE"""),"SoC_RJ_Duque de Caxias")</f>
        <v>SoC_RJ_Duque de Caxias</v>
      </c>
      <c r="C5127" s="234" t="str">
        <f>IFERROR(__xludf.DUMMYFUNCTION("""COMPUTED_VALUE"""),"SOC-RJ2")</f>
        <v>SOC-RJ2</v>
      </c>
      <c r="D5127" s="234">
        <f>IFERROR(__xludf.DUMMYFUNCTION("""COMPUTED_VALUE"""),96.0)</f>
        <v>96</v>
      </c>
      <c r="E5127" s="237" t="str">
        <f>IFERROR(__xludf.DUMMYFUNCTION("""COMPUTED_VALUE"""),"LT0Q1H01WIRV2")</f>
        <v>LT0Q1H01WIRV2</v>
      </c>
      <c r="F5127" s="238" t="str">
        <f>IFERROR(__xludf.DUMMYFUNCTION("""COMPUTED_VALUE"""),"ARE7A90,FAE3G59")</f>
        <v>ARE7A90,FAE3G59</v>
      </c>
      <c r="G5127" s="238">
        <f>IFERROR(__xludf.DUMMYFUNCTION("""COMPUTED_VALUE"""),46039.91666666667)</f>
        <v>46039.91667</v>
      </c>
      <c r="H5127" s="238">
        <f>IFERROR(__xludf.DUMMYFUNCTION("""COMPUTED_VALUE"""),46040.29166666667)</f>
        <v>46040.29167</v>
      </c>
      <c r="I5127" s="237" t="str">
        <f t="shared" si="1"/>
        <v>Fora</v>
      </c>
      <c r="J5127" s="239">
        <v>540.0</v>
      </c>
    </row>
    <row r="5128">
      <c r="A5128" s="234" t="s">
        <v>6037</v>
      </c>
      <c r="B5128" s="234" t="str">
        <f>IFERROR(__xludf.DUMMYFUNCTION("""COMPUTED_VALUE"""),"SoC_RS_Gravataí_02")</f>
        <v>SoC_RS_Gravataí_02</v>
      </c>
      <c r="C5128" s="234" t="str">
        <f>IFERROR(__xludf.DUMMYFUNCTION("""COMPUTED_VALUE"""),"SOC-RS2")</f>
        <v>SOC-RS2</v>
      </c>
      <c r="D5128" s="234">
        <f>IFERROR(__xludf.DUMMYFUNCTION("""COMPUTED_VALUE"""),102.0)</f>
        <v>102</v>
      </c>
      <c r="E5128" s="237" t="str">
        <f>IFERROR(__xludf.DUMMYFUNCTION("""COMPUTED_VALUE"""),"LT0Q1H01WF8F1")</f>
        <v>LT0Q1H01WF8F1</v>
      </c>
      <c r="F5128" s="238" t="str">
        <f>IFERROR(__xludf.DUMMYFUNCTION("""COMPUTED_VALUE"""),"EWH2A20,STX2A41")</f>
        <v>EWH2A20,STX2A41</v>
      </c>
      <c r="G5128" s="238">
        <f>IFERROR(__xludf.DUMMYFUNCTION("""COMPUTED_VALUE"""),46039.91666666667)</f>
        <v>46039.91667</v>
      </c>
      <c r="H5128" s="238">
        <f>IFERROR(__xludf.DUMMYFUNCTION("""COMPUTED_VALUE"""),46040.29166666667)</f>
        <v>46040.29167</v>
      </c>
      <c r="I5128" s="237" t="str">
        <f t="shared" si="1"/>
        <v>Fora</v>
      </c>
      <c r="J5128" s="239">
        <v>539.0000000072177</v>
      </c>
    </row>
    <row r="5129">
      <c r="A5129" s="234" t="s">
        <v>6038</v>
      </c>
      <c r="B5129" s="234" t="str">
        <f>IFERROR(__xludf.DUMMYFUNCTION("""COMPUTED_VALUE"""),"SoC_BA_Simoes Filho")</f>
        <v>SoC_BA_Simoes Filho</v>
      </c>
      <c r="C5129" s="234" t="str">
        <f>IFERROR(__xludf.DUMMYFUNCTION("""COMPUTED_VALUE"""),"SOC-BA2")</f>
        <v>SOC-BA2</v>
      </c>
      <c r="D5129" s="234">
        <f>IFERROR(__xludf.DUMMYFUNCTION("""COMPUTED_VALUE"""),89.0)</f>
        <v>89</v>
      </c>
      <c r="E5129" s="237" t="str">
        <f>IFERROR(__xludf.DUMMYFUNCTION("""COMPUTED_VALUE"""),"LT0Q1H01WEUL1")</f>
        <v>LT0Q1H01WEUL1</v>
      </c>
      <c r="F5129" s="238" t="str">
        <f>IFERROR(__xludf.DUMMYFUNCTION("""COMPUTED_VALUE"""),"FFA5I44,SKR9H41")</f>
        <v>FFA5I44,SKR9H41</v>
      </c>
      <c r="G5129" s="238">
        <f>IFERROR(__xludf.DUMMYFUNCTION("""COMPUTED_VALUE"""),46039.91736111111)</f>
        <v>46039.91736</v>
      </c>
      <c r="H5129" s="238">
        <f>IFERROR(__xludf.DUMMYFUNCTION("""COMPUTED_VALUE"""),46040.29166666667)</f>
        <v>46040.29167</v>
      </c>
      <c r="I5129" s="237" t="str">
        <f t="shared" si="1"/>
        <v>Fora</v>
      </c>
      <c r="J5129" s="239">
        <v>539.0000000072177</v>
      </c>
    </row>
    <row r="5130">
      <c r="A5130" s="234" t="s">
        <v>6039</v>
      </c>
      <c r="B5130" s="234" t="str">
        <f>IFERROR(__xludf.DUMMYFUNCTION("""COMPUTED_VALUE"""),"SoC_GO_Goiânia_02")</f>
        <v>SoC_GO_Goiânia_02</v>
      </c>
      <c r="C5130" s="234" t="str">
        <f>IFERROR(__xludf.DUMMYFUNCTION("""COMPUTED_VALUE"""),"SOC-GO2")</f>
        <v>SOC-GO2</v>
      </c>
      <c r="D5130" s="234">
        <f>IFERROR(__xludf.DUMMYFUNCTION("""COMPUTED_VALUE"""),87.0)</f>
        <v>87</v>
      </c>
      <c r="E5130" s="237" t="str">
        <f>IFERROR(__xludf.DUMMYFUNCTION("""COMPUTED_VALUE"""),"LT0Q1H01WF6J1")</f>
        <v>LT0Q1H01WF6J1</v>
      </c>
      <c r="F5130" s="238" t="str">
        <f>IFERROR(__xludf.DUMMYFUNCTION("""COMPUTED_VALUE"""),"OLA6C26,EWU0856")</f>
        <v>OLA6C26,EWU0856</v>
      </c>
      <c r="G5130" s="238">
        <f>IFERROR(__xludf.DUMMYFUNCTION("""COMPUTED_VALUE"""),46039.91736111111)</f>
        <v>46039.91736</v>
      </c>
      <c r="H5130" s="238">
        <f>IFERROR(__xludf.DUMMYFUNCTION("""COMPUTED_VALUE"""),46040.29166666667)</f>
        <v>46040.29167</v>
      </c>
      <c r="I5130" s="237" t="str">
        <f t="shared" si="1"/>
        <v>Fora</v>
      </c>
      <c r="J5130" s="239">
        <v>537.0000000111759</v>
      </c>
    </row>
    <row r="5131">
      <c r="A5131" s="234" t="s">
        <v>6040</v>
      </c>
      <c r="B5131" s="234" t="str">
        <f>IFERROR(__xludf.DUMMYFUNCTION("""COMPUTED_VALUE"""),"SoC_MG_Betim")</f>
        <v>SoC_MG_Betim</v>
      </c>
      <c r="C5131" s="234" t="str">
        <f>IFERROR(__xludf.DUMMYFUNCTION("""COMPUTED_VALUE"""),"SOC-MG2")</f>
        <v>SOC-MG2</v>
      </c>
      <c r="D5131" s="234">
        <f>IFERROR(__xludf.DUMMYFUNCTION("""COMPUTED_VALUE"""),90.0)</f>
        <v>90</v>
      </c>
      <c r="E5131" s="237" t="str">
        <f>IFERROR(__xludf.DUMMYFUNCTION("""COMPUTED_VALUE"""),"LT0Q1H01WIBB1")</f>
        <v>LT0Q1H01WIBB1</v>
      </c>
      <c r="F5131" s="238" t="str">
        <f>IFERROR(__xludf.DUMMYFUNCTION("""COMPUTED_VALUE"""),"RLG6F20,FSD8H43")</f>
        <v>RLG6F20,FSD8H43</v>
      </c>
      <c r="G5131" s="238">
        <f>IFERROR(__xludf.DUMMYFUNCTION("""COMPUTED_VALUE"""),46039.91875)</f>
        <v>46039.91875</v>
      </c>
      <c r="H5131" s="238">
        <f>IFERROR(__xludf.DUMMYFUNCTION("""COMPUTED_VALUE"""),46040.29166666667)</f>
        <v>46040.29167</v>
      </c>
      <c r="I5131" s="237" t="str">
        <f t="shared" si="1"/>
        <v>Fora</v>
      </c>
      <c r="J5131" s="239">
        <v>537.0000000111759</v>
      </c>
    </row>
    <row r="5132">
      <c r="A5132" s="234" t="s">
        <v>6041</v>
      </c>
      <c r="B5132" s="234" t="str">
        <f>IFERROR(__xludf.DUMMYFUNCTION("""COMPUTED_VALUE"""),"SoC_SP_Cravinhos")</f>
        <v>SoC_SP_Cravinhos</v>
      </c>
      <c r="C5132" s="234" t="str">
        <f>IFERROR(__xludf.DUMMYFUNCTION("""COMPUTED_VALUE"""),"SOC-SP5")</f>
        <v>SOC-SP5</v>
      </c>
      <c r="D5132" s="234">
        <f>IFERROR(__xludf.DUMMYFUNCTION("""COMPUTED_VALUE"""),94.0)</f>
        <v>94</v>
      </c>
      <c r="E5132" s="237" t="str">
        <f>IFERROR(__xludf.DUMMYFUNCTION("""COMPUTED_VALUE"""),"LT0Q1H01W95B1")</f>
        <v>LT0Q1H01W95B1</v>
      </c>
      <c r="F5132" s="238" t="str">
        <f>IFERROR(__xludf.DUMMYFUNCTION("""COMPUTED_VALUE"""),"CUE0H25,TXE9H32")</f>
        <v>CUE0H25,TXE9H32</v>
      </c>
      <c r="G5132" s="238">
        <f>IFERROR(__xludf.DUMMYFUNCTION("""COMPUTED_VALUE"""),46039.91875)</f>
        <v>46039.91875</v>
      </c>
      <c r="H5132" s="238">
        <f>IFERROR(__xludf.DUMMYFUNCTION("""COMPUTED_VALUE"""),46040.29166666667)</f>
        <v>46040.29167</v>
      </c>
      <c r="I5132" s="237" t="str">
        <f t="shared" si="1"/>
        <v>Fora</v>
      </c>
      <c r="J5132" s="239">
        <v>417.0000000076834</v>
      </c>
    </row>
    <row r="5133">
      <c r="A5133" s="234" t="s">
        <v>6042</v>
      </c>
      <c r="B5133" s="234" t="str">
        <f>IFERROR(__xludf.DUMMYFUNCTION("""COMPUTED_VALUE"""),"SoC_SP_Cravinhos")</f>
        <v>SoC_SP_Cravinhos</v>
      </c>
      <c r="C5133" s="234" t="str">
        <f>IFERROR(__xludf.DUMMYFUNCTION("""COMPUTED_VALUE"""),"SOC-SP5")</f>
        <v>SOC-SP5</v>
      </c>
      <c r="D5133" s="234" t="str">
        <f>IFERROR(__xludf.DUMMYFUNCTION("""COMPUTED_VALUE"""),"94/110")</f>
        <v>94/110</v>
      </c>
      <c r="E5133" s="237" t="str">
        <f>IFERROR(__xludf.DUMMYFUNCTION("""COMPUTED_VALUE"""),"LT0Q1H01W95D2")</f>
        <v>LT0Q1H01W95D2</v>
      </c>
      <c r="F5133" s="238" t="str">
        <f>IFERROR(__xludf.DUMMYFUNCTION("""COMPUTED_VALUE"""),"FCG8E33,EFV7665")</f>
        <v>FCG8E33,EFV7665</v>
      </c>
      <c r="G5133" s="238">
        <f>IFERROR(__xludf.DUMMYFUNCTION("""COMPUTED_VALUE"""),46040.00208333333)</f>
        <v>46040.00208</v>
      </c>
      <c r="H5133" s="238">
        <f>IFERROR(__xludf.DUMMYFUNCTION("""COMPUTED_VALUE"""),46040.29166666667)</f>
        <v>46040.29167</v>
      </c>
      <c r="I5133" s="237" t="str">
        <f t="shared" si="1"/>
        <v>Fora</v>
      </c>
      <c r="J5133" s="239">
        <v>360.0</v>
      </c>
    </row>
    <row r="5134">
      <c r="A5134" s="234" t="s">
        <v>6043</v>
      </c>
      <c r="B5134" s="234" t="str">
        <f>IFERROR(__xludf.DUMMYFUNCTION("""COMPUTED_VALUE"""),"SoC_MG_Betim")</f>
        <v>SoC_MG_Betim</v>
      </c>
      <c r="C5134" s="234" t="str">
        <f>IFERROR(__xludf.DUMMYFUNCTION("""COMPUTED_VALUE"""),"SOC-MG2")</f>
        <v>SOC-MG2</v>
      </c>
      <c r="D5134" s="234">
        <f>IFERROR(__xludf.DUMMYFUNCTION("""COMPUTED_VALUE"""),91.0)</f>
        <v>91</v>
      </c>
      <c r="E5134" s="237" t="str">
        <f>IFERROR(__xludf.DUMMYFUNCTION("""COMPUTED_VALUE"""),"LT0Q1H01W93F1")</f>
        <v>LT0Q1H01W93F1</v>
      </c>
      <c r="F5134" s="238" t="str">
        <f>IFERROR(__xludf.DUMMYFUNCTION("""COMPUTED_VALUE"""),"TEQ8I71,EZL6F23")</f>
        <v>TEQ8I71,EZL6F23</v>
      </c>
      <c r="G5134" s="238">
        <f>IFERROR(__xludf.DUMMYFUNCTION("""COMPUTED_VALUE"""),46040.04166666667)</f>
        <v>46040.04167</v>
      </c>
      <c r="H5134" s="238">
        <f>IFERROR(__xludf.DUMMYFUNCTION("""COMPUTED_VALUE"""),46040.29166666667)</f>
        <v>46040.29167</v>
      </c>
      <c r="I5134" s="237" t="str">
        <f t="shared" si="1"/>
        <v>Fora</v>
      </c>
      <c r="J5134" s="239">
        <v>300.00000001396984</v>
      </c>
    </row>
    <row r="5135">
      <c r="A5135" s="234" t="s">
        <v>6044</v>
      </c>
      <c r="B5135" s="234" t="str">
        <f>IFERROR(__xludf.DUMMYFUNCTION("""COMPUTED_VALUE"""),"SoC_RJ_Duque de Caxias")</f>
        <v>SoC_RJ_Duque de Caxias</v>
      </c>
      <c r="C5135" s="234" t="str">
        <f>IFERROR(__xludf.DUMMYFUNCTION("""COMPUTED_VALUE"""),"SOC-RJ2")</f>
        <v>SOC-RJ2</v>
      </c>
      <c r="D5135" s="234">
        <f>IFERROR(__xludf.DUMMYFUNCTION("""COMPUTED_VALUE"""),96.0)</f>
        <v>96</v>
      </c>
      <c r="E5135" s="237" t="str">
        <f>IFERROR(__xludf.DUMMYFUNCTION("""COMPUTED_VALUE"""),"LT0Q1H01WIRT1")</f>
        <v>LT0Q1H01WIRT1</v>
      </c>
      <c r="F5135" s="238" t="str">
        <f>IFERROR(__xludf.DUMMYFUNCTION("""COMPUTED_VALUE"""),"RKZ7I74,TTQ8C40")</f>
        <v>RKZ7I74,TTQ8C40</v>
      </c>
      <c r="G5135" s="238">
        <f>IFERROR(__xludf.DUMMYFUNCTION("""COMPUTED_VALUE"""),46040.08333333333)</f>
        <v>46040.08333</v>
      </c>
      <c r="H5135" s="238">
        <f>IFERROR(__xludf.DUMMYFUNCTION("""COMPUTED_VALUE"""),46040.29166666667)</f>
        <v>46040.29167</v>
      </c>
      <c r="I5135" s="237" t="str">
        <f t="shared" si="1"/>
        <v>Fora</v>
      </c>
      <c r="J5135" s="239">
        <v>300.00000001396984</v>
      </c>
    </row>
    <row r="5136">
      <c r="A5136" s="234" t="s">
        <v>6045</v>
      </c>
      <c r="B5136" s="234" t="str">
        <f>IFERROR(__xludf.DUMMYFUNCTION("""COMPUTED_VALUE"""),"SoC_SC_Itajaí")</f>
        <v>SoC_SC_Itajaí</v>
      </c>
      <c r="C5136" s="234" t="str">
        <f>IFERROR(__xludf.DUMMYFUNCTION("""COMPUTED_VALUE"""),"SOC-SC1")</f>
        <v>SOC-SC1</v>
      </c>
      <c r="D5136" s="234">
        <f>IFERROR(__xludf.DUMMYFUNCTION("""COMPUTED_VALUE"""),100.0)</f>
        <v>100</v>
      </c>
      <c r="E5136" s="237" t="str">
        <f>IFERROR(__xludf.DUMMYFUNCTION("""COMPUTED_VALUE"""),"LT0Q1H01WDUQ1")</f>
        <v>LT0Q1H01WDUQ1</v>
      </c>
      <c r="F5136" s="238" t="str">
        <f>IFERROR(__xludf.DUMMYFUNCTION("""COMPUTED_VALUE"""),"IVY2C25,SXQ1F29")</f>
        <v>IVY2C25,SXQ1F29</v>
      </c>
      <c r="G5136" s="238">
        <f>IFERROR(__xludf.DUMMYFUNCTION("""COMPUTED_VALUE"""),46040.08333333333)</f>
        <v>46040.08333</v>
      </c>
      <c r="H5136" s="238">
        <f>IFERROR(__xludf.DUMMYFUNCTION("""COMPUTED_VALUE"""),46040.29166666667)</f>
        <v>46040.29167</v>
      </c>
      <c r="I5136" s="237" t="str">
        <f t="shared" si="1"/>
        <v>Fora</v>
      </c>
      <c r="J5136" s="239">
        <v>299.0000000107102</v>
      </c>
    </row>
    <row r="5137">
      <c r="A5137" s="234" t="s">
        <v>6046</v>
      </c>
      <c r="B5137" s="234" t="str">
        <f>IFERROR(__xludf.DUMMYFUNCTION("""COMPUTED_VALUE"""),"SoC_PE_Jaboatão dos Guararapes")</f>
        <v>SoC_PE_Jaboatão dos Guararapes</v>
      </c>
      <c r="C5137" s="234" t="str">
        <f>IFERROR(__xludf.DUMMYFUNCTION("""COMPUTED_VALUE"""),"SOC-PE2")</f>
        <v>SOC-PE2</v>
      </c>
      <c r="D5137" s="234">
        <f>IFERROR(__xludf.DUMMYFUNCTION("""COMPUTED_VALUE"""),99.0)</f>
        <v>99</v>
      </c>
      <c r="E5137" s="237" t="str">
        <f>IFERROR(__xludf.DUMMYFUNCTION("""COMPUTED_VALUE"""),"LT0Q1H01WER52")</f>
        <v>LT0Q1H01WER52</v>
      </c>
      <c r="F5137" s="238" t="str">
        <f>IFERROR(__xludf.DUMMYFUNCTION("""COMPUTED_VALUE"""),"AXJ7C70,APK7C88")</f>
        <v>AXJ7C70,APK7C88</v>
      </c>
      <c r="G5137" s="238">
        <f>IFERROR(__xludf.DUMMYFUNCTION("""COMPUTED_VALUE"""),46040.084027777775)</f>
        <v>46040.08403</v>
      </c>
      <c r="H5137" s="238">
        <f>IFERROR(__xludf.DUMMYFUNCTION("""COMPUTED_VALUE"""),46040.29166666667)</f>
        <v>46040.29167</v>
      </c>
      <c r="I5137" s="237" t="str">
        <f t="shared" si="1"/>
        <v>Fora</v>
      </c>
      <c r="J5137" s="239">
        <v>299.0000000107102</v>
      </c>
    </row>
    <row r="5138">
      <c r="A5138" s="234" t="s">
        <v>6047</v>
      </c>
      <c r="B5138" s="234" t="str">
        <f>IFERROR(__xludf.DUMMYFUNCTION("""COMPUTED_VALUE"""),"SoC_BA_Simoes Filho")</f>
        <v>SoC_BA_Simoes Filho</v>
      </c>
      <c r="C5138" s="234" t="str">
        <f>IFERROR(__xludf.DUMMYFUNCTION("""COMPUTED_VALUE"""),"SOC-BA2")</f>
        <v>SOC-BA2</v>
      </c>
      <c r="D5138" s="234"/>
      <c r="E5138" s="237" t="str">
        <f>IFERROR(__xludf.DUMMYFUNCTION("""COMPUTED_VALUE"""),"LT0Q1H01WEUN2")</f>
        <v>LT0Q1H01WEUN2</v>
      </c>
      <c r="F5138" s="238" t="str">
        <f>IFERROR(__xludf.DUMMYFUNCTION("""COMPUTED_VALUE"""),"OQW9930,SYE6C44")</f>
        <v>OQW9930,SYE6C44</v>
      </c>
      <c r="G5138" s="238">
        <f>IFERROR(__xludf.DUMMYFUNCTION("""COMPUTED_VALUE"""),46040.084027777775)</f>
        <v>46040.08403</v>
      </c>
      <c r="H5138" s="238">
        <f>IFERROR(__xludf.DUMMYFUNCTION("""COMPUTED_VALUE"""),46040.29166666667)</f>
        <v>46040.29167</v>
      </c>
      <c r="I5138" s="237" t="str">
        <f t="shared" si="1"/>
        <v>Fora</v>
      </c>
      <c r="J5138" s="239">
        <v>299.0000000107102</v>
      </c>
    </row>
    <row r="5139">
      <c r="A5139" s="234" t="s">
        <v>6048</v>
      </c>
      <c r="B5139" s="234" t="str">
        <f>IFERROR(__xludf.DUMMYFUNCTION("""COMPUTED_VALUE"""),"SoC_PE_Jaboatão dos Guararapes")</f>
        <v>SoC_PE_Jaboatão dos Guararapes</v>
      </c>
      <c r="C5139" s="234" t="str">
        <f>IFERROR(__xludf.DUMMYFUNCTION("""COMPUTED_VALUE"""),"SOC-PE2")</f>
        <v>SOC-PE2</v>
      </c>
      <c r="D5139" s="234"/>
      <c r="E5139" s="237" t="str">
        <f>IFERROR(__xludf.DUMMYFUNCTION("""COMPUTED_VALUE"""),"LT0Q1H01WER31")</f>
        <v>LT0Q1H01WER31</v>
      </c>
      <c r="F5139" s="238" t="str">
        <f>IFERROR(__xludf.DUMMYFUNCTION("""COMPUTED_VALUE"""),"EOF5745,EGK7227")</f>
        <v>EOF5745,EGK7227</v>
      </c>
      <c r="G5139" s="238">
        <f>IFERROR(__xludf.DUMMYFUNCTION("""COMPUTED_VALUE"""),46040.084027777775)</f>
        <v>46040.08403</v>
      </c>
      <c r="H5139" s="238">
        <f>IFERROR(__xludf.DUMMYFUNCTION("""COMPUTED_VALUE"""),46040.29166666667)</f>
        <v>46040.29167</v>
      </c>
      <c r="I5139" s="237" t="str">
        <f t="shared" si="1"/>
        <v>Fora</v>
      </c>
      <c r="J5139" s="239">
        <v>179.00000000721775</v>
      </c>
    </row>
    <row r="5140">
      <c r="A5140" s="234" t="s">
        <v>6049</v>
      </c>
      <c r="B5140" s="234" t="str">
        <f>IFERROR(__xludf.DUMMYFUNCTION("""COMPUTED_VALUE"""),"SoC_GO_Goiânia_02")</f>
        <v>SoC_GO_Goiânia_02</v>
      </c>
      <c r="C5140" s="234" t="str">
        <f>IFERROR(__xludf.DUMMYFUNCTION("""COMPUTED_VALUE"""),"SOC-GO2")</f>
        <v>SOC-GO2</v>
      </c>
      <c r="D5140" s="234" t="str">
        <f>IFERROR(__xludf.DUMMYFUNCTION("""COMPUTED_VALUE"""),"86/111")</f>
        <v>86/111</v>
      </c>
      <c r="E5140" s="237" t="str">
        <f>IFERROR(__xludf.DUMMYFUNCTION("""COMPUTED_VALUE"""),"LT0Q1H01WF6L2")</f>
        <v>LT0Q1H01WF6L2</v>
      </c>
      <c r="F5140" s="238" t="str">
        <f>IFERROR(__xludf.DUMMYFUNCTION("""COMPUTED_VALUE"""),"EFU3C41,BSY3H87")</f>
        <v>EFU3C41,BSY3H87</v>
      </c>
      <c r="G5140" s="238">
        <f>IFERROR(__xludf.DUMMYFUNCTION("""COMPUTED_VALUE"""),46040.16736111111)</f>
        <v>46040.16736</v>
      </c>
      <c r="H5140" s="238">
        <f>IFERROR(__xludf.DUMMYFUNCTION("""COMPUTED_VALUE"""),46040.29166666667)</f>
        <v>46040.29167</v>
      </c>
      <c r="I5140" s="237" t="str">
        <f t="shared" si="1"/>
        <v>Fora</v>
      </c>
      <c r="J5140" s="239">
        <v>119.99999999301508</v>
      </c>
    </row>
    <row r="5141">
      <c r="A5141" s="234" t="s">
        <v>6050</v>
      </c>
      <c r="B5141" s="234" t="str">
        <f>IFERROR(__xludf.DUMMYFUNCTION("""COMPUTED_VALUE"""),"SoC_SP_Guarulhos")</f>
        <v>SoC_SP_Guarulhos</v>
      </c>
      <c r="C5141" s="234" t="str">
        <f>IFERROR(__xludf.DUMMYFUNCTION("""COMPUTED_VALUE"""),"SOC-SP6")</f>
        <v>SOC-SP6</v>
      </c>
      <c r="D5141" s="234"/>
      <c r="E5141" s="237" t="str">
        <f>IFERROR(__xludf.DUMMYFUNCTION("""COMPUTED_VALUE"""),"LT1Q1I01X5951")</f>
        <v>LT1Q1I01X5951</v>
      </c>
      <c r="F5141" s="238" t="str">
        <f>IFERROR(__xludf.DUMMYFUNCTION("""COMPUTED_VALUE"""),"DVT5D28,DTC7I46")</f>
        <v>DVT5D28,DTC7I46</v>
      </c>
      <c r="G5141" s="238">
        <f>IFERROR(__xludf.DUMMYFUNCTION("""COMPUTED_VALUE"""),46040.16666666667)</f>
        <v>46040.16667</v>
      </c>
      <c r="H5141" s="238">
        <f>IFERROR(__xludf.DUMMYFUNCTION("""COMPUTED_VALUE"""),46040.25)</f>
        <v>46040.25</v>
      </c>
      <c r="I5141" s="237" t="str">
        <f t="shared" si="1"/>
        <v>Fora</v>
      </c>
      <c r="J5141" s="239">
        <v>540.0</v>
      </c>
    </row>
    <row r="5142">
      <c r="A5142" s="234" t="s">
        <v>6051</v>
      </c>
      <c r="B5142" s="234" t="str">
        <f>IFERROR(__xludf.DUMMYFUNCTION("""COMPUTED_VALUE"""),"SoC_GO_Goiânia_02")</f>
        <v>SoC_GO_Goiânia_02</v>
      </c>
      <c r="C5142" s="234" t="str">
        <f>IFERROR(__xludf.DUMMYFUNCTION("""COMPUTED_VALUE"""),"SOC-GO2")</f>
        <v>SOC-GO2</v>
      </c>
      <c r="D5142" s="234"/>
      <c r="E5142" s="237" t="str">
        <f>IFERROR(__xludf.DUMMYFUNCTION("""COMPUTED_VALUE"""),"LT0Q1J01WYQP1")</f>
        <v>LT0Q1J01WYQP1</v>
      </c>
      <c r="F5142" s="238" t="str">
        <f>IFERROR(__xludf.DUMMYFUNCTION("""COMPUTED_VALUE"""),"DPC3D82")</f>
        <v>DPC3D82</v>
      </c>
      <c r="G5142" s="238">
        <f>IFERROR(__xludf.DUMMYFUNCTION("""COMPUTED_VALUE"""),46041.58333333333)</f>
        <v>46041.58333</v>
      </c>
      <c r="H5142" s="238">
        <f>IFERROR(__xludf.DUMMYFUNCTION("""COMPUTED_VALUE"""),46041.95833333333)</f>
        <v>46041.95833</v>
      </c>
      <c r="I5142" s="237" t="str">
        <f t="shared" si="1"/>
        <v>Fora</v>
      </c>
      <c r="J5142" s="239">
        <v>540.0</v>
      </c>
    </row>
    <row r="5143">
      <c r="A5143" s="234" t="s">
        <v>6052</v>
      </c>
      <c r="B5143" s="234" t="str">
        <f>IFERROR(__xludf.DUMMYFUNCTION("""COMPUTED_VALUE"""),"SoC_SP_Cravinhos")</f>
        <v>SoC_SP_Cravinhos</v>
      </c>
      <c r="C5143" s="234" t="str">
        <f>IFERROR(__xludf.DUMMYFUNCTION("""COMPUTED_VALUE"""),"SOC-SP5")</f>
        <v>SOC-SP5</v>
      </c>
      <c r="D5143" s="234">
        <f>IFERROR(__xludf.DUMMYFUNCTION("""COMPUTED_VALUE"""),94.0)</f>
        <v>94</v>
      </c>
      <c r="E5143" s="237" t="str">
        <f>IFERROR(__xludf.DUMMYFUNCTION("""COMPUTED_VALUE"""),"LT0Q1J01WTA11")</f>
        <v>LT0Q1J01WTA11</v>
      </c>
      <c r="F5143" s="238" t="str">
        <f>IFERROR(__xludf.DUMMYFUNCTION("""COMPUTED_VALUE"""),"DPB7A93,EZL3A04")</f>
        <v>DPB7A93,EZL3A04</v>
      </c>
      <c r="G5143" s="238">
        <f>IFERROR(__xludf.DUMMYFUNCTION("""COMPUTED_VALUE"""),46041.58333333333)</f>
        <v>46041.58333</v>
      </c>
      <c r="H5143" s="238">
        <f>IFERROR(__xludf.DUMMYFUNCTION("""COMPUTED_VALUE"""),46041.95833333333)</f>
        <v>46041.95833</v>
      </c>
      <c r="I5143" s="237" t="str">
        <f t="shared" si="1"/>
        <v>Fora</v>
      </c>
      <c r="J5143" s="239">
        <v>119.99999999301508</v>
      </c>
    </row>
    <row r="5144">
      <c r="A5144" s="234" t="s">
        <v>6053</v>
      </c>
      <c r="B5144" s="234" t="str">
        <f>IFERROR(__xludf.DUMMYFUNCTION("""COMPUTED_VALUE"""),"LM Hub_PR_Curitiba")</f>
        <v>LM Hub_PR_Curitiba</v>
      </c>
      <c r="C5144" s="234" t="str">
        <f>IFERROR(__xludf.DUMMYFUNCTION("""COMPUTED_VALUE"""),"HUB-LPR-16")</f>
        <v>HUB-LPR-16</v>
      </c>
      <c r="D5144" s="234">
        <f>IFERROR(__xludf.DUMMYFUNCTION("""COMPUTED_VALUE"""),35.0)</f>
        <v>35</v>
      </c>
      <c r="E5144" s="237" t="str">
        <f>IFERROR(__xludf.DUMMYFUNCTION("""COMPUTED_VALUE"""),"LT0Q1J01WTIL1")</f>
        <v>LT0Q1J01WTIL1</v>
      </c>
      <c r="F5144" s="238" t="str">
        <f>IFERROR(__xludf.DUMMYFUNCTION("""COMPUTED_VALUE"""),"OKG5H69")</f>
        <v>OKG5H69</v>
      </c>
      <c r="G5144" s="238">
        <f>IFERROR(__xludf.DUMMYFUNCTION("""COMPUTED_VALUE"""),46041.875)</f>
        <v>46041.875</v>
      </c>
      <c r="H5144" s="238">
        <f>IFERROR(__xludf.DUMMYFUNCTION("""COMPUTED_VALUE"""),46041.95833333333)</f>
        <v>46041.95833</v>
      </c>
      <c r="I5144" s="237" t="str">
        <f t="shared" si="1"/>
        <v>Fora</v>
      </c>
      <c r="J5144" s="239">
        <v>119.99999999301508</v>
      </c>
    </row>
    <row r="5145">
      <c r="A5145" s="234" t="s">
        <v>6054</v>
      </c>
      <c r="B5145" s="234" t="str">
        <f>IFERROR(__xludf.DUMMYFUNCTION("""COMPUTED_VALUE"""),"LM Hub_SP_São Bernardo do Campo")</f>
        <v>LM Hub_SP_São Bernardo do Campo</v>
      </c>
      <c r="C5145" s="234" t="str">
        <f>IFERROR(__xludf.DUMMYFUNCTION("""COMPUTED_VALUE"""),"HUB-LSP-79")</f>
        <v>HUB-LSP-79</v>
      </c>
      <c r="D5145" s="234">
        <f>IFERROR(__xludf.DUMMYFUNCTION("""COMPUTED_VALUE"""),33.0)</f>
        <v>33</v>
      </c>
      <c r="E5145" s="237" t="str">
        <f>IFERROR(__xludf.DUMMYFUNCTION("""COMPUTED_VALUE"""),"LT0Q1J01X2RP1")</f>
        <v>LT0Q1J01X2RP1</v>
      </c>
      <c r="F5145" s="238" t="str">
        <f>IFERROR(__xludf.DUMMYFUNCTION("""COMPUTED_VALUE"""),"EGK6F57,BEM5F57")</f>
        <v>EGK6F57,BEM5F57</v>
      </c>
      <c r="G5145" s="238">
        <f>IFERROR(__xludf.DUMMYFUNCTION("""COMPUTED_VALUE"""),46041.875)</f>
        <v>46041.875</v>
      </c>
      <c r="H5145" s="238">
        <f>IFERROR(__xludf.DUMMYFUNCTION("""COMPUTED_VALUE"""),46041.95833333333)</f>
        <v>46041.95833</v>
      </c>
      <c r="I5145" s="237" t="str">
        <f t="shared" si="1"/>
        <v>Fora</v>
      </c>
      <c r="J5145" s="239">
        <v>59.99999998603016</v>
      </c>
    </row>
    <row r="5146">
      <c r="A5146" s="234" t="s">
        <v>6055</v>
      </c>
      <c r="B5146" s="234" t="str">
        <f>IFERROR(__xludf.DUMMYFUNCTION("""COMPUTED_VALUE"""),"LM Hub_SP_Santo André")</f>
        <v>LM Hub_SP_Santo André</v>
      </c>
      <c r="C5146" s="234" t="str">
        <f>IFERROR(__xludf.DUMMYFUNCTION("""COMPUTED_VALUE"""),"HUB-LSP-93")</f>
        <v>HUB-LSP-93</v>
      </c>
      <c r="D5146" s="234">
        <f>IFERROR(__xludf.DUMMYFUNCTION("""COMPUTED_VALUE"""),25.0)</f>
        <v>25</v>
      </c>
      <c r="E5146" s="237" t="str">
        <f>IFERROR(__xludf.DUMMYFUNCTION("""COMPUTED_VALUE"""),"LT1Q1J01X7IB1")</f>
        <v>LT1Q1J01X7IB1</v>
      </c>
      <c r="F5146" s="238" t="str">
        <f>IFERROR(__xludf.DUMMYFUNCTION("""COMPUTED_VALUE"""),"FMD3I95")</f>
        <v>FMD3I95</v>
      </c>
      <c r="G5146" s="238">
        <f>IFERROR(__xludf.DUMMYFUNCTION("""COMPUTED_VALUE"""),46041.91666666667)</f>
        <v>46041.91667</v>
      </c>
      <c r="H5146" s="238">
        <f>IFERROR(__xludf.DUMMYFUNCTION("""COMPUTED_VALUE"""),46041.95833333333)</f>
        <v>46041.95833</v>
      </c>
      <c r="I5146" s="237" t="str">
        <f t="shared" si="1"/>
        <v>Fora</v>
      </c>
      <c r="J5146" s="239">
        <v>59.99999998603016</v>
      </c>
    </row>
    <row r="5147">
      <c r="A5147" s="234" t="s">
        <v>6056</v>
      </c>
      <c r="B5147" s="234" t="str">
        <f>IFERROR(__xludf.DUMMYFUNCTION("""COMPUTED_VALUE"""),"LM Hub_SP_VilaGuilherme")</f>
        <v>LM Hub_SP_VilaGuilherme</v>
      </c>
      <c r="C5147" s="234" t="str">
        <f>IFERROR(__xludf.DUMMYFUNCTION("""COMPUTED_VALUE"""),"HUB-LSP-68")</f>
        <v>HUB-LSP-68</v>
      </c>
      <c r="D5147" s="234">
        <f>IFERROR(__xludf.DUMMYFUNCTION("""COMPUTED_VALUE"""),49.0)</f>
        <v>49</v>
      </c>
      <c r="E5147" s="237" t="str">
        <f>IFERROR(__xludf.DUMMYFUNCTION("""COMPUTED_VALUE"""),"LT1Q1J01X7I81")</f>
        <v>LT1Q1J01X7I81</v>
      </c>
      <c r="F5147" s="238" t="str">
        <f>IFERROR(__xludf.DUMMYFUNCTION("""COMPUTED_VALUE"""),"TLM1G50")</f>
        <v>TLM1G50</v>
      </c>
      <c r="G5147" s="238">
        <f>IFERROR(__xludf.DUMMYFUNCTION("""COMPUTED_VALUE"""),46041.91666666667)</f>
        <v>46041.91667</v>
      </c>
      <c r="H5147" s="238">
        <f>IFERROR(__xludf.DUMMYFUNCTION("""COMPUTED_VALUE"""),46041.95833333333)</f>
        <v>46041.95833</v>
      </c>
      <c r="I5147" s="237" t="str">
        <f t="shared" si="1"/>
        <v>Fora</v>
      </c>
      <c r="J5147" s="239">
        <v>120.00000001396984</v>
      </c>
    </row>
    <row r="5148">
      <c r="A5148" s="234" t="s">
        <v>6057</v>
      </c>
      <c r="B5148" s="234" t="str">
        <f>IFERROR(__xludf.DUMMYFUNCTION("""COMPUTED_VALUE"""),"LM Hub_RJ_Jacarepaguá")</f>
        <v>LM Hub_RJ_Jacarepaguá</v>
      </c>
      <c r="C5148" s="234" t="str">
        <f>IFERROR(__xludf.DUMMYFUNCTION("""COMPUTED_VALUE"""),"HUB-LRJ-29")</f>
        <v>HUB-LRJ-29</v>
      </c>
      <c r="D5148" s="234">
        <f>IFERROR(__xludf.DUMMYFUNCTION("""COMPUTED_VALUE"""),7.0)</f>
        <v>7</v>
      </c>
      <c r="E5148" s="237" t="str">
        <f>IFERROR(__xludf.DUMMYFUNCTION("""COMPUTED_VALUE"""),"LT0Q1J01WYNL1")</f>
        <v>LT0Q1J01WYNL1</v>
      </c>
      <c r="F5148" s="238" t="str">
        <f>IFERROR(__xludf.DUMMYFUNCTION("""COMPUTED_VALUE"""),"JBO1I53")</f>
        <v>JBO1I53</v>
      </c>
      <c r="G5148" s="238">
        <f>IFERROR(__xludf.DUMMYFUNCTION("""COMPUTED_VALUE"""),46041.89583333333)</f>
        <v>46041.89583</v>
      </c>
      <c r="H5148" s="238">
        <f>IFERROR(__xludf.DUMMYFUNCTION("""COMPUTED_VALUE"""),46041.97916666667)</f>
        <v>46041.97917</v>
      </c>
      <c r="I5148" s="237" t="str">
        <f t="shared" si="1"/>
        <v>Fora</v>
      </c>
      <c r="J5148" s="239">
        <v>120.00000001396984</v>
      </c>
    </row>
    <row r="5149">
      <c r="A5149" s="234" t="s">
        <v>6058</v>
      </c>
      <c r="B5149" s="234" t="str">
        <f>IFERROR(__xludf.DUMMYFUNCTION("""COMPUTED_VALUE"""),"LM Hub_SP_Itaqua_Zimba")</f>
        <v>LM Hub_SP_Itaqua_Zimba</v>
      </c>
      <c r="C5149" s="234" t="str">
        <f>IFERROR(__xludf.DUMMYFUNCTION("""COMPUTED_VALUE"""),"HUB-LSP-74")</f>
        <v>HUB-LSP-74</v>
      </c>
      <c r="D5149" s="234">
        <f>IFERROR(__xludf.DUMMYFUNCTION("""COMPUTED_VALUE"""),27.0)</f>
        <v>27</v>
      </c>
      <c r="E5149" s="237" t="str">
        <f>IFERROR(__xludf.DUMMYFUNCTION("""COMPUTED_VALUE"""),"LT0Q1J01WTEO1")</f>
        <v>LT0Q1J01WTEO1</v>
      </c>
      <c r="F5149" s="238" t="str">
        <f>IFERROR(__xludf.DUMMYFUNCTION("""COMPUTED_VALUE"""),"GDQ4B07,EJV3B62")</f>
        <v>GDQ4B07,EJV3B62</v>
      </c>
      <c r="G5149" s="238">
        <f>IFERROR(__xludf.DUMMYFUNCTION("""COMPUTED_VALUE"""),46041.89583333333)</f>
        <v>46041.89583</v>
      </c>
      <c r="H5149" s="238">
        <f>IFERROR(__xludf.DUMMYFUNCTION("""COMPUTED_VALUE"""),46041.97916666667)</f>
        <v>46041.97917</v>
      </c>
      <c r="I5149" s="237" t="str">
        <f t="shared" si="1"/>
        <v>Fora</v>
      </c>
      <c r="J5149" s="239">
        <v>120.00000001396984</v>
      </c>
    </row>
    <row r="5150">
      <c r="A5150" s="234" t="s">
        <v>6059</v>
      </c>
      <c r="B5150" s="234" t="str">
        <f>IFERROR(__xludf.DUMMYFUNCTION("""COMPUTED_VALUE"""),"LM Hub_SP_Jurubatuba")</f>
        <v>LM Hub_SP_Jurubatuba</v>
      </c>
      <c r="C5150" s="234" t="str">
        <f>IFERROR(__xludf.DUMMYFUNCTION("""COMPUTED_VALUE"""),"HUB-LSP-16")</f>
        <v>HUB-LSP-16</v>
      </c>
      <c r="D5150" s="234">
        <f>IFERROR(__xludf.DUMMYFUNCTION("""COMPUTED_VALUE"""),12.0)</f>
        <v>12</v>
      </c>
      <c r="E5150" s="237" t="str">
        <f>IFERROR(__xludf.DUMMYFUNCTION("""COMPUTED_VALUE"""),"LT1Q1J01X7I51")</f>
        <v>LT1Q1J01X7I51</v>
      </c>
      <c r="F5150" s="238" t="str">
        <f>IFERROR(__xludf.DUMMYFUNCTION("""COMPUTED_VALUE"""),"DPE9F80,CUG9G47")</f>
        <v>DPE9F80,CUG9G47</v>
      </c>
      <c r="G5150" s="238">
        <f>IFERROR(__xludf.DUMMYFUNCTION("""COMPUTED_VALUE"""),46041.89583333333)</f>
        <v>46041.89583</v>
      </c>
      <c r="H5150" s="238">
        <f>IFERROR(__xludf.DUMMYFUNCTION("""COMPUTED_VALUE"""),46041.97916666667)</f>
        <v>46041.97917</v>
      </c>
      <c r="I5150" s="237" t="str">
        <f t="shared" si="1"/>
        <v>Fora</v>
      </c>
      <c r="J5150" s="239">
        <v>120.00000001396984</v>
      </c>
    </row>
    <row r="5151">
      <c r="A5151" s="234" t="s">
        <v>6060</v>
      </c>
      <c r="B5151" s="234" t="str">
        <f>IFERROR(__xludf.DUMMYFUNCTION("""COMPUTED_VALUE"""),"LM Hub_SP_Santos_Praia Grande")</f>
        <v>LM Hub_SP_Santos_Praia Grande</v>
      </c>
      <c r="C5151" s="234" t="str">
        <f>IFERROR(__xludf.DUMMYFUNCTION("""COMPUTED_VALUE"""),"HUB-LSP-09")</f>
        <v>HUB-LSP-09</v>
      </c>
      <c r="D5151" s="234">
        <f>IFERROR(__xludf.DUMMYFUNCTION("""COMPUTED_VALUE"""),9.0)</f>
        <v>9</v>
      </c>
      <c r="E5151" s="237" t="str">
        <f>IFERROR(__xludf.DUMMYFUNCTION("""COMPUTED_VALUE"""),"LT0Q1J01WTGE1")</f>
        <v>LT0Q1J01WTGE1</v>
      </c>
      <c r="F5151" s="238" t="str">
        <f>IFERROR(__xludf.DUMMYFUNCTION("""COMPUTED_VALUE"""),"HGJ8636,FCJ8I31")</f>
        <v>HGJ8636,FCJ8I31</v>
      </c>
      <c r="G5151" s="238">
        <f>IFERROR(__xludf.DUMMYFUNCTION("""COMPUTED_VALUE"""),46041.89583333333)</f>
        <v>46041.89583</v>
      </c>
      <c r="H5151" s="238">
        <f>IFERROR(__xludf.DUMMYFUNCTION("""COMPUTED_VALUE"""),46041.97916666667)</f>
        <v>46041.97917</v>
      </c>
      <c r="I5151" s="237" t="str">
        <f t="shared" si="1"/>
        <v>Fora</v>
      </c>
      <c r="J5151" s="239">
        <v>120.00000001396984</v>
      </c>
    </row>
    <row r="5152">
      <c r="A5152" s="234" t="s">
        <v>6061</v>
      </c>
      <c r="B5152" s="234" t="str">
        <f>IFERROR(__xludf.DUMMYFUNCTION("""COMPUTED_VALUE"""),"LM Hub_SP_São José dos Campos")</f>
        <v>LM Hub_SP_São José dos Campos</v>
      </c>
      <c r="C5152" s="234" t="str">
        <f>IFERROR(__xludf.DUMMYFUNCTION("""COMPUTED_VALUE"""),"HUB-LSP-04")</f>
        <v>HUB-LSP-04</v>
      </c>
      <c r="D5152" s="234">
        <f>IFERROR(__xludf.DUMMYFUNCTION("""COMPUTED_VALUE"""),17.0)</f>
        <v>17</v>
      </c>
      <c r="E5152" s="237" t="str">
        <f>IFERROR(__xludf.DUMMYFUNCTION("""COMPUTED_VALUE"""),"LT0Q1J01X2NN1")</f>
        <v>LT0Q1J01X2NN1</v>
      </c>
      <c r="F5152" s="238" t="str">
        <f>IFERROR(__xludf.DUMMYFUNCTION("""COMPUTED_VALUE"""),"TIR7J78")</f>
        <v>TIR7J78</v>
      </c>
      <c r="G5152" s="238">
        <f>IFERROR(__xludf.DUMMYFUNCTION("""COMPUTED_VALUE"""),46041.89583333333)</f>
        <v>46041.89583</v>
      </c>
      <c r="H5152" s="238">
        <f>IFERROR(__xludf.DUMMYFUNCTION("""COMPUTED_VALUE"""),46041.97916666667)</f>
        <v>46041.97917</v>
      </c>
      <c r="I5152" s="237" t="str">
        <f t="shared" si="1"/>
        <v>Fora</v>
      </c>
      <c r="J5152" s="239">
        <v>120.00000001396984</v>
      </c>
    </row>
    <row r="5153">
      <c r="A5153" s="234" t="s">
        <v>6062</v>
      </c>
      <c r="B5153" s="234" t="str">
        <f>IFERROR(__xludf.DUMMYFUNCTION("""COMPUTED_VALUE"""),"LM Hub_SP_São Paulo_Lapa")</f>
        <v>LM Hub_SP_São Paulo_Lapa</v>
      </c>
      <c r="C5153" s="234" t="str">
        <f>IFERROR(__xludf.DUMMYFUNCTION("""COMPUTED_VALUE"""),"HUB-LSP-15")</f>
        <v>HUB-LSP-15</v>
      </c>
      <c r="D5153" s="234">
        <f>IFERROR(__xludf.DUMMYFUNCTION("""COMPUTED_VALUE"""),16.0)</f>
        <v>16</v>
      </c>
      <c r="E5153" s="237" t="str">
        <f>IFERROR(__xludf.DUMMYFUNCTION("""COMPUTED_VALUE"""),"LT0Q1J01WTCT1")</f>
        <v>LT0Q1J01WTCT1</v>
      </c>
      <c r="F5153" s="238" t="str">
        <f>IFERROR(__xludf.DUMMYFUNCTION("""COMPUTED_VALUE"""),"AHB3D37,JRB8H41")</f>
        <v>AHB3D37,JRB8H41</v>
      </c>
      <c r="G5153" s="238">
        <f>IFERROR(__xludf.DUMMYFUNCTION("""COMPUTED_VALUE"""),46041.89583333333)</f>
        <v>46041.89583</v>
      </c>
      <c r="H5153" s="238">
        <f>IFERROR(__xludf.DUMMYFUNCTION("""COMPUTED_VALUE"""),46041.97916666667)</f>
        <v>46041.97917</v>
      </c>
      <c r="I5153" s="237" t="str">
        <f t="shared" si="1"/>
        <v>Fora</v>
      </c>
      <c r="J5153" s="239">
        <v>118.99999998975545</v>
      </c>
    </row>
    <row r="5154">
      <c r="A5154" s="234" t="s">
        <v>6063</v>
      </c>
      <c r="B5154" s="234" t="str">
        <f>IFERROR(__xludf.DUMMYFUNCTION("""COMPUTED_VALUE"""),"LM Hub_SP_Guarujá")</f>
        <v>LM Hub_SP_Guarujá</v>
      </c>
      <c r="C5154" s="234" t="str">
        <f>IFERROR(__xludf.DUMMYFUNCTION("""COMPUTED_VALUE"""),"HUB-LSP-06")</f>
        <v>HUB-LSP-06</v>
      </c>
      <c r="D5154" s="234">
        <f>IFERROR(__xludf.DUMMYFUNCTION("""COMPUTED_VALUE"""),34.0)</f>
        <v>34</v>
      </c>
      <c r="E5154" s="237" t="str">
        <f>IFERROR(__xludf.DUMMYFUNCTION("""COMPUTED_VALUE"""),"LT0Q1J01WTFH1")</f>
        <v>LT0Q1J01WTFH1</v>
      </c>
      <c r="F5154" s="238" t="str">
        <f>IFERROR(__xludf.DUMMYFUNCTION("""COMPUTED_VALUE"""),"GEZ8J01")</f>
        <v>GEZ8J01</v>
      </c>
      <c r="G5154" s="238">
        <f>IFERROR(__xludf.DUMMYFUNCTION("""COMPUTED_VALUE"""),46041.91666666667)</f>
        <v>46041.91667</v>
      </c>
      <c r="H5154" s="238">
        <f>IFERROR(__xludf.DUMMYFUNCTION("""COMPUTED_VALUE"""),46041.99930555555)</f>
        <v>46041.99931</v>
      </c>
      <c r="I5154" s="237" t="str">
        <f t="shared" si="1"/>
        <v>Fora</v>
      </c>
      <c r="J5154" s="239">
        <v>119.99999999301508</v>
      </c>
    </row>
    <row r="5155">
      <c r="A5155" s="234" t="s">
        <v>6064</v>
      </c>
      <c r="B5155" s="234" t="str">
        <f>IFERROR(__xludf.DUMMYFUNCTION("""COMPUTED_VALUE"""),"LM Hub_RS_Porto Alegre_Floresta")</f>
        <v>LM Hub_RS_Porto Alegre_Floresta</v>
      </c>
      <c r="C5155" s="234" t="str">
        <f>IFERROR(__xludf.DUMMYFUNCTION("""COMPUTED_VALUE"""),"HUB-LRS-03")</f>
        <v>HUB-LRS-03</v>
      </c>
      <c r="D5155" s="234"/>
      <c r="E5155" s="237" t="str">
        <f>IFERROR(__xludf.DUMMYFUNCTION("""COMPUTED_VALUE"""),"LT0Q1J01WZ721")</f>
        <v>LT0Q1J01WZ721</v>
      </c>
      <c r="F5155" s="238" t="str">
        <f>IFERROR(__xludf.DUMMYFUNCTION("""COMPUTED_VALUE"""),"QJO3D10")</f>
        <v>QJO3D10</v>
      </c>
      <c r="G5155" s="238">
        <f>IFERROR(__xludf.DUMMYFUNCTION("""COMPUTED_VALUE"""),46041.91666666667)</f>
        <v>46041.91667</v>
      </c>
      <c r="H5155" s="238">
        <f>IFERROR(__xludf.DUMMYFUNCTION("""COMPUTED_VALUE"""),46042.0)</f>
        <v>46042</v>
      </c>
      <c r="I5155" s="237" t="str">
        <f t="shared" si="1"/>
        <v>Fora</v>
      </c>
      <c r="J5155" s="239">
        <v>119.99999999301508</v>
      </c>
    </row>
    <row r="5156">
      <c r="A5156" s="234" t="s">
        <v>6065</v>
      </c>
      <c r="B5156" s="234" t="str">
        <f>IFERROR(__xludf.DUMMYFUNCTION("""COMPUTED_VALUE"""),"LM Hub_SP_Artur Alvim")</f>
        <v>LM Hub_SP_Artur Alvim</v>
      </c>
      <c r="C5156" s="234" t="str">
        <f>IFERROR(__xludf.DUMMYFUNCTION("""COMPUTED_VALUE"""),"HUB-LSP-07")</f>
        <v>HUB-LSP-07</v>
      </c>
      <c r="D5156" s="234">
        <f>IFERROR(__xludf.DUMMYFUNCTION("""COMPUTED_VALUE"""),19.0)</f>
        <v>19</v>
      </c>
      <c r="E5156" s="237" t="str">
        <f>IFERROR(__xludf.DUMMYFUNCTION("""COMPUTED_VALUE"""),"LT0Q1J01WTC31")</f>
        <v>LT0Q1J01WTC31</v>
      </c>
      <c r="F5156" s="238" t="str">
        <f>IFERROR(__xludf.DUMMYFUNCTION("""COMPUTED_VALUE"""),"BWN8361,JRC7G68")</f>
        <v>BWN8361,JRC7G68</v>
      </c>
      <c r="G5156" s="238">
        <f>IFERROR(__xludf.DUMMYFUNCTION("""COMPUTED_VALUE"""),46041.91666666667)</f>
        <v>46041.91667</v>
      </c>
      <c r="H5156" s="238">
        <f>IFERROR(__xludf.DUMMYFUNCTION("""COMPUTED_VALUE"""),46042.0)</f>
        <v>46042</v>
      </c>
      <c r="I5156" s="237" t="str">
        <f t="shared" si="1"/>
        <v>Fora</v>
      </c>
      <c r="J5156" s="239">
        <v>119.99999999301508</v>
      </c>
    </row>
    <row r="5157">
      <c r="A5157" s="234" t="s">
        <v>6066</v>
      </c>
      <c r="B5157" s="234" t="str">
        <f>IFERROR(__xludf.DUMMYFUNCTION("""COMPUTED_VALUE"""),"LM Hub_SP_Barueri_01")</f>
        <v>LM Hub_SP_Barueri_01</v>
      </c>
      <c r="C5157" s="234" t="str">
        <f>IFERROR(__xludf.DUMMYFUNCTION("""COMPUTED_VALUE"""),"HUB-LSP-81")</f>
        <v>HUB-LSP-81</v>
      </c>
      <c r="D5157" s="234">
        <f>IFERROR(__xludf.DUMMYFUNCTION("""COMPUTED_VALUE"""),32.0)</f>
        <v>32</v>
      </c>
      <c r="E5157" s="237" t="str">
        <f>IFERROR(__xludf.DUMMYFUNCTION("""COMPUTED_VALUE"""),"LT0Q1J01WY3Z1")</f>
        <v>LT0Q1J01WY3Z1</v>
      </c>
      <c r="F5157" s="238" t="str">
        <f>IFERROR(__xludf.DUMMYFUNCTION("""COMPUTED_VALUE"""),"FNY8F71,TMH5F48")</f>
        <v>FNY8F71,TMH5F48</v>
      </c>
      <c r="G5157" s="238">
        <f>IFERROR(__xludf.DUMMYFUNCTION("""COMPUTED_VALUE"""),46041.91666666667)</f>
        <v>46041.91667</v>
      </c>
      <c r="H5157" s="238">
        <f>IFERROR(__xludf.DUMMYFUNCTION("""COMPUTED_VALUE"""),46042.0)</f>
        <v>46042</v>
      </c>
      <c r="I5157" s="237" t="str">
        <f t="shared" si="1"/>
        <v>Fora</v>
      </c>
      <c r="J5157" s="239">
        <v>119.99999999301508</v>
      </c>
    </row>
    <row r="5158">
      <c r="A5158" s="234" t="s">
        <v>6067</v>
      </c>
      <c r="B5158" s="234" t="str">
        <f>IFERROR(__xludf.DUMMYFUNCTION("""COMPUTED_VALUE"""),"LM Hub_SP_Guarulhos")</f>
        <v>LM Hub_SP_Guarulhos</v>
      </c>
      <c r="C5158" s="234" t="str">
        <f>IFERROR(__xludf.DUMMYFUNCTION("""COMPUTED_VALUE"""),"HUB-LSP-77")</f>
        <v>HUB-LSP-77</v>
      </c>
      <c r="D5158" s="234">
        <f>IFERROR(__xludf.DUMMYFUNCTION("""COMPUTED_VALUE"""),26.0)</f>
        <v>26</v>
      </c>
      <c r="E5158" s="237" t="str">
        <f>IFERROR(__xludf.DUMMYFUNCTION("""COMPUTED_VALUE"""),"LT0Q1J01WU4A1")</f>
        <v>LT0Q1J01WU4A1</v>
      </c>
      <c r="F5158" s="238" t="str">
        <f>IFERROR(__xludf.DUMMYFUNCTION("""COMPUTED_VALUE"""),"FEB5I21,FRT9A70")</f>
        <v>FEB5I21,FRT9A70</v>
      </c>
      <c r="G5158" s="238">
        <f>IFERROR(__xludf.DUMMYFUNCTION("""COMPUTED_VALUE"""),46041.91666666667)</f>
        <v>46041.91667</v>
      </c>
      <c r="H5158" s="238">
        <f>IFERROR(__xludf.DUMMYFUNCTION("""COMPUTED_VALUE"""),46042.0)</f>
        <v>46042</v>
      </c>
      <c r="I5158" s="237" t="str">
        <f t="shared" si="1"/>
        <v>Fora</v>
      </c>
      <c r="J5158" s="239">
        <v>119.99999999301508</v>
      </c>
    </row>
    <row r="5159">
      <c r="A5159" s="234" t="s">
        <v>6068</v>
      </c>
      <c r="B5159" s="234" t="str">
        <f>IFERROR(__xludf.DUMMYFUNCTION("""COMPUTED_VALUE"""),"LM Hub_SP_Itapevi")</f>
        <v>LM Hub_SP_Itapevi</v>
      </c>
      <c r="C5159" s="234" t="str">
        <f>IFERROR(__xludf.DUMMYFUNCTION("""COMPUTED_VALUE"""),"HUB-LSP-41")</f>
        <v>HUB-LSP-41</v>
      </c>
      <c r="D5159" s="234">
        <f>IFERROR(__xludf.DUMMYFUNCTION("""COMPUTED_VALUE"""),37.0)</f>
        <v>37</v>
      </c>
      <c r="E5159" s="237" t="str">
        <f>IFERROR(__xludf.DUMMYFUNCTION("""COMPUTED_VALUE"""),"LT0Q1J01WTDT1")</f>
        <v>LT0Q1J01WTDT1</v>
      </c>
      <c r="F5159" s="238" t="str">
        <f>IFERROR(__xludf.DUMMYFUNCTION("""COMPUTED_VALUE"""),"BCS4J31,DJB0J76")</f>
        <v>BCS4J31,DJB0J76</v>
      </c>
      <c r="G5159" s="238">
        <f>IFERROR(__xludf.DUMMYFUNCTION("""COMPUTED_VALUE"""),46041.91666666667)</f>
        <v>46041.91667</v>
      </c>
      <c r="H5159" s="238">
        <f>IFERROR(__xludf.DUMMYFUNCTION("""COMPUTED_VALUE"""),46042.0)</f>
        <v>46042</v>
      </c>
      <c r="I5159" s="237" t="str">
        <f t="shared" si="1"/>
        <v>Fora</v>
      </c>
      <c r="J5159" s="239">
        <v>119.99999999301508</v>
      </c>
    </row>
    <row r="5160">
      <c r="A5160" s="234" t="s">
        <v>6069</v>
      </c>
      <c r="B5160" s="234" t="str">
        <f>IFERROR(__xludf.DUMMYFUNCTION("""COMPUTED_VALUE"""),"LM Hub_SP_Limeira_Campo Belo")</f>
        <v>LM Hub_SP_Limeira_Campo Belo</v>
      </c>
      <c r="C5160" s="234" t="str">
        <f>IFERROR(__xludf.DUMMYFUNCTION("""COMPUTED_VALUE"""),"HUB-LSP-24")</f>
        <v>HUB-LSP-24</v>
      </c>
      <c r="D5160" s="234">
        <f>IFERROR(__xludf.DUMMYFUNCTION("""COMPUTED_VALUE"""),29.0)</f>
        <v>29</v>
      </c>
      <c r="E5160" s="237" t="str">
        <f>IFERROR(__xludf.DUMMYFUNCTION("""COMPUTED_VALUE"""),"LT0Q1J01WTGX1")</f>
        <v>LT0Q1J01WTGX1</v>
      </c>
      <c r="F5160" s="238" t="str">
        <f>IFERROR(__xludf.DUMMYFUNCTION("""COMPUTED_VALUE"""),"SVC6I57,SWO1G45")</f>
        <v>SVC6I57,SWO1G45</v>
      </c>
      <c r="G5160" s="238">
        <f>IFERROR(__xludf.DUMMYFUNCTION("""COMPUTED_VALUE"""),46041.91666666667)</f>
        <v>46041.91667</v>
      </c>
      <c r="H5160" s="238">
        <f>IFERROR(__xludf.DUMMYFUNCTION("""COMPUTED_VALUE"""),46042.0)</f>
        <v>46042</v>
      </c>
      <c r="I5160" s="237" t="str">
        <f t="shared" si="1"/>
        <v>Fora</v>
      </c>
      <c r="J5160" s="239">
        <v>119.99999999301508</v>
      </c>
    </row>
    <row r="5161">
      <c r="A5161" s="234" t="s">
        <v>6070</v>
      </c>
      <c r="B5161" s="234" t="str">
        <f>IFERROR(__xludf.DUMMYFUNCTION("""COMPUTED_VALUE"""),"LM Hub_SP_Mauá")</f>
        <v>LM Hub_SP_Mauá</v>
      </c>
      <c r="C5161" s="234" t="str">
        <f>IFERROR(__xludf.DUMMYFUNCTION("""COMPUTED_VALUE"""),"HUB-LSP-64")</f>
        <v>HUB-LSP-64</v>
      </c>
      <c r="D5161" s="234">
        <f>IFERROR(__xludf.DUMMYFUNCTION("""COMPUTED_VALUE"""),22.0)</f>
        <v>22</v>
      </c>
      <c r="E5161" s="237" t="str">
        <f>IFERROR(__xludf.DUMMYFUNCTION("""COMPUTED_VALUE"""),"LT0Q1J01WTEB1")</f>
        <v>LT0Q1J01WTEB1</v>
      </c>
      <c r="F5161" s="238" t="str">
        <f>IFERROR(__xludf.DUMMYFUNCTION("""COMPUTED_VALUE"""),"FQF6B98,DTA7802")</f>
        <v>FQF6B98,DTA7802</v>
      </c>
      <c r="G5161" s="238">
        <f>IFERROR(__xludf.DUMMYFUNCTION("""COMPUTED_VALUE"""),46041.91666666667)</f>
        <v>46041.91667</v>
      </c>
      <c r="H5161" s="238">
        <f>IFERROR(__xludf.DUMMYFUNCTION("""COMPUTED_VALUE"""),46042.0)</f>
        <v>46042</v>
      </c>
      <c r="I5161" s="237" t="str">
        <f t="shared" si="1"/>
        <v>Fora</v>
      </c>
      <c r="J5161" s="239">
        <v>119.99999999301508</v>
      </c>
    </row>
    <row r="5162">
      <c r="A5162" s="234" t="s">
        <v>6071</v>
      </c>
      <c r="B5162" s="234" t="str">
        <f>IFERROR(__xludf.DUMMYFUNCTION("""COMPUTED_VALUE"""),"LM Hub_SP_Mooca_02")</f>
        <v>LM Hub_SP_Mooca_02</v>
      </c>
      <c r="C5162" s="234" t="str">
        <f>IFERROR(__xludf.DUMMYFUNCTION("""COMPUTED_VALUE"""),"HUB-LSP-94")</f>
        <v>HUB-LSP-94</v>
      </c>
      <c r="D5162" s="234"/>
      <c r="E5162" s="237" t="str">
        <f>IFERROR(__xludf.DUMMYFUNCTION("""COMPUTED_VALUE"""),"LT0Q1J01WY0Y1")</f>
        <v>LT0Q1J01WY0Y1</v>
      </c>
      <c r="F5162" s="238" t="str">
        <f>IFERROR(__xludf.DUMMYFUNCTION("""COMPUTED_VALUE"""),"EGJ9547")</f>
        <v>EGJ9547</v>
      </c>
      <c r="G5162" s="238">
        <f>IFERROR(__xludf.DUMMYFUNCTION("""COMPUTED_VALUE"""),46041.91666666667)</f>
        <v>46041.91667</v>
      </c>
      <c r="H5162" s="238">
        <f>IFERROR(__xludf.DUMMYFUNCTION("""COMPUTED_VALUE"""),46042.0)</f>
        <v>46042</v>
      </c>
      <c r="I5162" s="237" t="str">
        <f t="shared" si="1"/>
        <v>Fora</v>
      </c>
      <c r="J5162" s="239">
        <v>119.99999999301508</v>
      </c>
    </row>
    <row r="5163">
      <c r="A5163" s="234" t="s">
        <v>6072</v>
      </c>
      <c r="B5163" s="234" t="str">
        <f>IFERROR(__xludf.DUMMYFUNCTION("""COMPUTED_VALUE"""),"LM Hub_SP_Osasco_02")</f>
        <v>LM Hub_SP_Osasco_02</v>
      </c>
      <c r="C5163" s="234" t="str">
        <f>IFERROR(__xludf.DUMMYFUNCTION("""COMPUTED_VALUE"""),"HUB-LSP-60")</f>
        <v>HUB-LSP-60</v>
      </c>
      <c r="D5163" s="234">
        <f>IFERROR(__xludf.DUMMYFUNCTION("""COMPUTED_VALUE"""),36.0)</f>
        <v>36</v>
      </c>
      <c r="E5163" s="237" t="str">
        <f>IFERROR(__xludf.DUMMYFUNCTION("""COMPUTED_VALUE"""),"LT0Q1J01WTE21")</f>
        <v>LT0Q1J01WTE21</v>
      </c>
      <c r="F5163" s="238" t="str">
        <f>IFERROR(__xludf.DUMMYFUNCTION("""COMPUTED_VALUE"""),"FUZ6B23,FUA8006")</f>
        <v>FUZ6B23,FUA8006</v>
      </c>
      <c r="G5163" s="238">
        <f>IFERROR(__xludf.DUMMYFUNCTION("""COMPUTED_VALUE"""),46041.91666666667)</f>
        <v>46041.91667</v>
      </c>
      <c r="H5163" s="238">
        <f>IFERROR(__xludf.DUMMYFUNCTION("""COMPUTED_VALUE"""),46042.0)</f>
        <v>46042</v>
      </c>
      <c r="I5163" s="237" t="str">
        <f t="shared" si="1"/>
        <v>Fora</v>
      </c>
      <c r="J5163" s="239">
        <v>119.99999999301508</v>
      </c>
    </row>
    <row r="5164">
      <c r="A5164" s="234" t="s">
        <v>6073</v>
      </c>
      <c r="B5164" s="234" t="str">
        <f>IFERROR(__xludf.DUMMYFUNCTION("""COMPUTED_VALUE"""),"LM Hub_SP_Santo André")</f>
        <v>LM Hub_SP_Santo André</v>
      </c>
      <c r="C5164" s="234" t="str">
        <f>IFERROR(__xludf.DUMMYFUNCTION("""COMPUTED_VALUE"""),"HUB-LSP-93")</f>
        <v>HUB-LSP-93</v>
      </c>
      <c r="D5164" s="234">
        <f>IFERROR(__xludf.DUMMYFUNCTION("""COMPUTED_VALUE"""),13.0)</f>
        <v>13</v>
      </c>
      <c r="E5164" s="237" t="str">
        <f>IFERROR(__xludf.DUMMYFUNCTION("""COMPUTED_VALUE"""),"LT0Q1J01WVN11")</f>
        <v>LT0Q1J01WVN11</v>
      </c>
      <c r="F5164" s="238" t="str">
        <f>IFERROR(__xludf.DUMMYFUNCTION("""COMPUTED_VALUE"""),"AUH5C55,FXJ3I27")</f>
        <v>AUH5C55,FXJ3I27</v>
      </c>
      <c r="G5164" s="238">
        <f>IFERROR(__xludf.DUMMYFUNCTION("""COMPUTED_VALUE"""),46041.91666666667)</f>
        <v>46041.91667</v>
      </c>
      <c r="H5164" s="238">
        <f>IFERROR(__xludf.DUMMYFUNCTION("""COMPUTED_VALUE"""),46042.0)</f>
        <v>46042</v>
      </c>
      <c r="I5164" s="237" t="str">
        <f t="shared" si="1"/>
        <v>Fora</v>
      </c>
      <c r="J5164" s="239">
        <v>119.99999999301508</v>
      </c>
    </row>
    <row r="5165">
      <c r="A5165" s="234" t="s">
        <v>6074</v>
      </c>
      <c r="B5165" s="234" t="str">
        <f>IFERROR(__xludf.DUMMYFUNCTION("""COMPUTED_VALUE"""),"LM Hub_SP_São José do Rio P")</f>
        <v>LM Hub_SP_São José do Rio P</v>
      </c>
      <c r="C5165" s="234" t="str">
        <f>IFERROR(__xludf.DUMMYFUNCTION("""COMPUTED_VALUE"""),"HUB-LSP-27")</f>
        <v>HUB-LSP-27</v>
      </c>
      <c r="D5165" s="234"/>
      <c r="E5165" s="237" t="str">
        <f>IFERROR(__xludf.DUMMYFUNCTION("""COMPUTED_VALUE"""),"LT0Q1J01WWY11")</f>
        <v>LT0Q1J01WWY11</v>
      </c>
      <c r="F5165" s="238" t="str">
        <f>IFERROR(__xludf.DUMMYFUNCTION("""COMPUTED_VALUE"""),"UAX8I66")</f>
        <v>UAX8I66</v>
      </c>
      <c r="G5165" s="238">
        <f>IFERROR(__xludf.DUMMYFUNCTION("""COMPUTED_VALUE"""),46041.91666666667)</f>
        <v>46041.91667</v>
      </c>
      <c r="H5165" s="238">
        <f>IFERROR(__xludf.DUMMYFUNCTION("""COMPUTED_VALUE"""),46042.0)</f>
        <v>46042</v>
      </c>
      <c r="I5165" s="237" t="str">
        <f t="shared" si="1"/>
        <v>Fora</v>
      </c>
      <c r="J5165" s="239">
        <v>119.99999999301508</v>
      </c>
    </row>
    <row r="5166">
      <c r="A5166" s="234" t="s">
        <v>6075</v>
      </c>
      <c r="B5166" s="234" t="str">
        <f>IFERROR(__xludf.DUMMYFUNCTION("""COMPUTED_VALUE"""),"LM Hub_SP_Parque Novo Mundo")</f>
        <v>LM Hub_SP_Parque Novo Mundo</v>
      </c>
      <c r="C5166" s="234" t="str">
        <f>IFERROR(__xludf.DUMMYFUNCTION("""COMPUTED_VALUE"""),"HUB-LSP-89")</f>
        <v>HUB-LSP-89</v>
      </c>
      <c r="D5166" s="234">
        <f>IFERROR(__xludf.DUMMYFUNCTION("""COMPUTED_VALUE"""),14.0)</f>
        <v>14</v>
      </c>
      <c r="E5166" s="237" t="str">
        <f>IFERROR(__xludf.DUMMYFUNCTION("""COMPUTED_VALUE"""),"LT0Q1J01WUBI1")</f>
        <v>LT0Q1J01WUBI1</v>
      </c>
      <c r="F5166" s="238" t="str">
        <f>IFERROR(__xludf.DUMMYFUNCTION("""COMPUTED_VALUE"""),"GIQ1C13,AKZ0B43")</f>
        <v>GIQ1C13,AKZ0B43</v>
      </c>
      <c r="G5166" s="238">
        <f>IFERROR(__xludf.DUMMYFUNCTION("""COMPUTED_VALUE"""),46041.9375)</f>
        <v>46041.9375</v>
      </c>
      <c r="H5166" s="238">
        <f>IFERROR(__xludf.DUMMYFUNCTION("""COMPUTED_VALUE"""),46042.02083333333)</f>
        <v>46042.02083</v>
      </c>
      <c r="I5166" s="237" t="str">
        <f t="shared" si="1"/>
        <v>Fora</v>
      </c>
      <c r="J5166" s="239">
        <v>119.99999999301508</v>
      </c>
    </row>
    <row r="5167">
      <c r="A5167" s="234" t="s">
        <v>6076</v>
      </c>
      <c r="B5167" s="234" t="str">
        <f>IFERROR(__xludf.DUMMYFUNCTION("""COMPUTED_VALUE"""),"LM Hub_SP_Piracicaba")</f>
        <v>LM Hub_SP_Piracicaba</v>
      </c>
      <c r="C5167" s="234" t="str">
        <f>IFERROR(__xludf.DUMMYFUNCTION("""COMPUTED_VALUE"""),"HUB-LSP-62")</f>
        <v>HUB-LSP-62</v>
      </c>
      <c r="D5167" s="234">
        <f>IFERROR(__xludf.DUMMYFUNCTION("""COMPUTED_VALUE"""),44.0)</f>
        <v>44</v>
      </c>
      <c r="E5167" s="237" t="str">
        <f>IFERROR(__xludf.DUMMYFUNCTION("""COMPUTED_VALUE"""),"LT0Q1J01WU4M1")</f>
        <v>LT0Q1J01WU4M1</v>
      </c>
      <c r="F5167" s="238" t="str">
        <f>IFERROR(__xludf.DUMMYFUNCTION("""COMPUTED_VALUE"""),"EOF4D32,EOF4D30")</f>
        <v>EOF4D32,EOF4D30</v>
      </c>
      <c r="G5167" s="238">
        <f>IFERROR(__xludf.DUMMYFUNCTION("""COMPUTED_VALUE"""),46041.9375)</f>
        <v>46041.9375</v>
      </c>
      <c r="H5167" s="238">
        <f>IFERROR(__xludf.DUMMYFUNCTION("""COMPUTED_VALUE"""),46042.02083333333)</f>
        <v>46042.02083</v>
      </c>
      <c r="I5167" s="237" t="str">
        <f t="shared" si="1"/>
        <v>Fora</v>
      </c>
      <c r="J5167" s="239">
        <v>119.99999999301508</v>
      </c>
    </row>
    <row r="5168">
      <c r="A5168" s="234" t="s">
        <v>6077</v>
      </c>
      <c r="B5168" s="234" t="str">
        <f>IFERROR(__xludf.DUMMYFUNCTION("""COMPUTED_VALUE"""),"LM Hub_SP_São Paulo_Carandiru")</f>
        <v>LM Hub_SP_São Paulo_Carandiru</v>
      </c>
      <c r="C5168" s="234" t="str">
        <f>IFERROR(__xludf.DUMMYFUNCTION("""COMPUTED_VALUE"""),"HUB-LSP-18")</f>
        <v>HUB-LSP-18</v>
      </c>
      <c r="D5168" s="234">
        <f>IFERROR(__xludf.DUMMYFUNCTION("""COMPUTED_VALUE"""),40.0)</f>
        <v>40</v>
      </c>
      <c r="E5168" s="237" t="str">
        <f>IFERROR(__xludf.DUMMYFUNCTION("""COMPUTED_VALUE"""),"LT0Q1J01WTD91")</f>
        <v>LT0Q1J01WTD91</v>
      </c>
      <c r="F5168" s="238" t="str">
        <f>IFERROR(__xludf.DUMMYFUNCTION("""COMPUTED_VALUE"""),"NVO0561")</f>
        <v>NVO0561</v>
      </c>
      <c r="G5168" s="238">
        <f>IFERROR(__xludf.DUMMYFUNCTION("""COMPUTED_VALUE"""),46041.9375)</f>
        <v>46041.9375</v>
      </c>
      <c r="H5168" s="238">
        <f>IFERROR(__xludf.DUMMYFUNCTION("""COMPUTED_VALUE"""),46042.02083333333)</f>
        <v>46042.02083</v>
      </c>
      <c r="I5168" s="237" t="str">
        <f t="shared" si="1"/>
        <v>Fora</v>
      </c>
      <c r="J5168" s="239">
        <v>119.99999999301508</v>
      </c>
    </row>
    <row r="5169">
      <c r="A5169" s="234" t="s">
        <v>6078</v>
      </c>
      <c r="B5169" s="234" t="str">
        <f>IFERROR(__xludf.DUMMYFUNCTION("""COMPUTED_VALUE"""),"LM Hub_SP_São Paulo_Carandiru")</f>
        <v>LM Hub_SP_São Paulo_Carandiru</v>
      </c>
      <c r="C5169" s="234" t="str">
        <f>IFERROR(__xludf.DUMMYFUNCTION("""COMPUTED_VALUE"""),"HUB-LSP-18")</f>
        <v>HUB-LSP-18</v>
      </c>
      <c r="D5169" s="234">
        <f>IFERROR(__xludf.DUMMYFUNCTION("""COMPUTED_VALUE"""),52.0)</f>
        <v>52</v>
      </c>
      <c r="E5169" s="237" t="str">
        <f>IFERROR(__xludf.DUMMYFUNCTION("""COMPUTED_VALUE"""),"LT0Q1J01WTDB2")</f>
        <v>LT0Q1J01WTDB2</v>
      </c>
      <c r="F5169" s="238" t="str">
        <f>IFERROR(__xludf.DUMMYFUNCTION("""COMPUTED_VALUE"""),"AUH8E91")</f>
        <v>AUH8E91</v>
      </c>
      <c r="G5169" s="238">
        <f>IFERROR(__xludf.DUMMYFUNCTION("""COMPUTED_VALUE"""),46041.9375)</f>
        <v>46041.9375</v>
      </c>
      <c r="H5169" s="238">
        <f>IFERROR(__xludf.DUMMYFUNCTION("""COMPUTED_VALUE"""),46042.02083333333)</f>
        <v>46042.02083</v>
      </c>
      <c r="I5169" s="237" t="str">
        <f t="shared" si="1"/>
        <v>Fora</v>
      </c>
      <c r="J5169" s="239">
        <v>119.99999999301508</v>
      </c>
    </row>
    <row r="5170">
      <c r="A5170" s="234" t="s">
        <v>6079</v>
      </c>
      <c r="B5170" s="234" t="str">
        <f>IFERROR(__xludf.DUMMYFUNCTION("""COMPUTED_VALUE"""),"LM Hub_SP_Suzano_Baruel")</f>
        <v>LM Hub_SP_Suzano_Baruel</v>
      </c>
      <c r="C5170" s="234" t="str">
        <f>IFERROR(__xludf.DUMMYFUNCTION("""COMPUTED_VALUE"""),"HUB-LSP-97")</f>
        <v>HUB-LSP-97</v>
      </c>
      <c r="D5170" s="234">
        <f>IFERROR(__xludf.DUMMYFUNCTION("""COMPUTED_VALUE"""),15.0)</f>
        <v>15</v>
      </c>
      <c r="E5170" s="237" t="str">
        <f>IFERROR(__xludf.DUMMYFUNCTION("""COMPUTED_VALUE"""),"LT0Q1J01WZT81")</f>
        <v>LT0Q1J01WZT81</v>
      </c>
      <c r="F5170" s="238" t="str">
        <f>IFERROR(__xludf.DUMMYFUNCTION("""COMPUTED_VALUE"""),"LTR7J66,BTB3E49")</f>
        <v>LTR7J66,BTB3E49</v>
      </c>
      <c r="G5170" s="238">
        <f>IFERROR(__xludf.DUMMYFUNCTION("""COMPUTED_VALUE"""),46041.9375)</f>
        <v>46041.9375</v>
      </c>
      <c r="H5170" s="238">
        <f>IFERROR(__xludf.DUMMYFUNCTION("""COMPUTED_VALUE"""),46042.02083333333)</f>
        <v>46042.02083</v>
      </c>
      <c r="I5170" s="237" t="str">
        <f t="shared" si="1"/>
        <v>Fora</v>
      </c>
      <c r="J5170" s="239">
        <v>119.99999999301508</v>
      </c>
    </row>
    <row r="5171">
      <c r="A5171" s="234" t="s">
        <v>6080</v>
      </c>
      <c r="B5171" s="234" t="str">
        <f>IFERROR(__xludf.DUMMYFUNCTION("""COMPUTED_VALUE"""),"LM Hub_SP_VilaGuilherme")</f>
        <v>LM Hub_SP_VilaGuilherme</v>
      </c>
      <c r="C5171" s="234" t="str">
        <f>IFERROR(__xludf.DUMMYFUNCTION("""COMPUTED_VALUE"""),"HUB-LSP-68")</f>
        <v>HUB-LSP-68</v>
      </c>
      <c r="D5171" s="234">
        <f>IFERROR(__xludf.DUMMYFUNCTION("""COMPUTED_VALUE"""),39.0)</f>
        <v>39</v>
      </c>
      <c r="E5171" s="237" t="str">
        <f>IFERROR(__xludf.DUMMYFUNCTION("""COMPUTED_VALUE"""),"LT0Q1J01WTEK1")</f>
        <v>LT0Q1J01WTEK1</v>
      </c>
      <c r="F5171" s="238" t="str">
        <f>IFERROR(__xludf.DUMMYFUNCTION("""COMPUTED_VALUE"""),"QPV1A02,ELQ6F04")</f>
        <v>QPV1A02,ELQ6F04</v>
      </c>
      <c r="G5171" s="238">
        <f>IFERROR(__xludf.DUMMYFUNCTION("""COMPUTED_VALUE"""),46041.9375)</f>
        <v>46041.9375</v>
      </c>
      <c r="H5171" s="238">
        <f>IFERROR(__xludf.DUMMYFUNCTION("""COMPUTED_VALUE"""),46042.02083333333)</f>
        <v>46042.02083</v>
      </c>
      <c r="I5171" s="237" t="str">
        <f t="shared" si="1"/>
        <v>Fora</v>
      </c>
      <c r="J5171" s="239">
        <v>120.00000001396984</v>
      </c>
    </row>
    <row r="5172">
      <c r="A5172" s="234" t="s">
        <v>6081</v>
      </c>
      <c r="B5172" s="234" t="str">
        <f>IFERROR(__xludf.DUMMYFUNCTION("""COMPUTED_VALUE"""),"LM Hub_RJ_Nova Iguaçu")</f>
        <v>LM Hub_RJ_Nova Iguaçu</v>
      </c>
      <c r="C5172" s="234" t="str">
        <f>IFERROR(__xludf.DUMMYFUNCTION("""COMPUTED_VALUE"""),"HUB-LRJ-27")</f>
        <v>HUB-LRJ-27</v>
      </c>
      <c r="D5172" s="234">
        <f>IFERROR(__xludf.DUMMYFUNCTION("""COMPUTED_VALUE"""),18.0)</f>
        <v>18</v>
      </c>
      <c r="E5172" s="237" t="str">
        <f>IFERROR(__xludf.DUMMYFUNCTION("""COMPUTED_VALUE"""),"LT0Q1J01WYNW1")</f>
        <v>LT0Q1J01WYNW1</v>
      </c>
      <c r="F5172" s="238" t="str">
        <f>IFERROR(__xludf.DUMMYFUNCTION("""COMPUTED_VALUE"""),"TAX7E42")</f>
        <v>TAX7E42</v>
      </c>
      <c r="G5172" s="238">
        <f>IFERROR(__xludf.DUMMYFUNCTION("""COMPUTED_VALUE"""),46041.95833333333)</f>
        <v>46041.95833</v>
      </c>
      <c r="H5172" s="238">
        <f>IFERROR(__xludf.DUMMYFUNCTION("""COMPUTED_VALUE"""),46042.04166666667)</f>
        <v>46042.04167</v>
      </c>
      <c r="I5172" s="237" t="str">
        <f t="shared" si="1"/>
        <v>Fora</v>
      </c>
      <c r="J5172" s="239">
        <v>120.00000001396984</v>
      </c>
    </row>
    <row r="5173">
      <c r="A5173" s="234" t="s">
        <v>6082</v>
      </c>
      <c r="B5173" s="234" t="str">
        <f>IFERROR(__xludf.DUMMYFUNCTION("""COMPUTED_VALUE"""),"LM Hub_RJ_Rio de Janeiro_Campo G")</f>
        <v>LM Hub_RJ_Rio de Janeiro_Campo G</v>
      </c>
      <c r="C5173" s="234" t="str">
        <f>IFERROR(__xludf.DUMMYFUNCTION("""COMPUTED_VALUE"""),"HUB-LRJ-04")</f>
        <v>HUB-LRJ-04</v>
      </c>
      <c r="D5173" s="234">
        <f>IFERROR(__xludf.DUMMYFUNCTION("""COMPUTED_VALUE"""),54.0)</f>
        <v>54</v>
      </c>
      <c r="E5173" s="237" t="str">
        <f>IFERROR(__xludf.DUMMYFUNCTION("""COMPUTED_VALUE"""),"LT0Q1J01WTIV1")</f>
        <v>LT0Q1J01WTIV1</v>
      </c>
      <c r="F5173" s="238" t="str">
        <f>IFERROR(__xludf.DUMMYFUNCTION("""COMPUTED_VALUE"""),"UBA1H99")</f>
        <v>UBA1H99</v>
      </c>
      <c r="G5173" s="238">
        <f>IFERROR(__xludf.DUMMYFUNCTION("""COMPUTED_VALUE"""),46041.95833333333)</f>
        <v>46041.95833</v>
      </c>
      <c r="H5173" s="238">
        <f>IFERROR(__xludf.DUMMYFUNCTION("""COMPUTED_VALUE"""),46042.04166666667)</f>
        <v>46042.04167</v>
      </c>
      <c r="I5173" s="237" t="str">
        <f t="shared" si="1"/>
        <v>Fora</v>
      </c>
      <c r="J5173" s="239">
        <v>120.00000001396984</v>
      </c>
    </row>
    <row r="5174">
      <c r="A5174" s="234" t="s">
        <v>6083</v>
      </c>
      <c r="B5174" s="234" t="str">
        <f>IFERROR(__xludf.DUMMYFUNCTION("""COMPUTED_VALUE"""),"LM Hub_RJ_São João do Meriti")</f>
        <v>LM Hub_RJ_São João do Meriti</v>
      </c>
      <c r="C5174" s="234" t="str">
        <f>IFERROR(__xludf.DUMMYFUNCTION("""COMPUTED_VALUE"""),"HUB-LRJ-01")</f>
        <v>HUB-LRJ-01</v>
      </c>
      <c r="D5174" s="234">
        <f>IFERROR(__xludf.DUMMYFUNCTION("""COMPUTED_VALUE"""),24.0)</f>
        <v>24</v>
      </c>
      <c r="E5174" s="237" t="str">
        <f>IFERROR(__xludf.DUMMYFUNCTION("""COMPUTED_VALUE"""),"LT0Q1J01WYOQ1")</f>
        <v>LT0Q1J01WYOQ1</v>
      </c>
      <c r="F5174" s="238" t="str">
        <f>IFERROR(__xludf.DUMMYFUNCTION("""COMPUTED_VALUE"""),"CSK6J01")</f>
        <v>CSK6J01</v>
      </c>
      <c r="G5174" s="238">
        <f>IFERROR(__xludf.DUMMYFUNCTION("""COMPUTED_VALUE"""),46041.95833333333)</f>
        <v>46041.95833</v>
      </c>
      <c r="H5174" s="238">
        <f>IFERROR(__xludf.DUMMYFUNCTION("""COMPUTED_VALUE"""),46042.04166666667)</f>
        <v>46042.04167</v>
      </c>
      <c r="I5174" s="237" t="str">
        <f t="shared" si="1"/>
        <v>Fora</v>
      </c>
      <c r="J5174" s="239">
        <v>120.00000001396984</v>
      </c>
    </row>
    <row r="5175">
      <c r="A5175" s="234" t="s">
        <v>6084</v>
      </c>
      <c r="B5175" s="234" t="str">
        <f>IFERROR(__xludf.DUMMYFUNCTION("""COMPUTED_VALUE"""),"LM Hub_SP_Jundiaí")</f>
        <v>LM Hub_SP_Jundiaí</v>
      </c>
      <c r="C5175" s="234" t="str">
        <f>IFERROR(__xludf.DUMMYFUNCTION("""COMPUTED_VALUE"""),"HUB-LSP-100")</f>
        <v>HUB-LSP-100</v>
      </c>
      <c r="D5175" s="234">
        <f>IFERROR(__xludf.DUMMYFUNCTION("""COMPUTED_VALUE"""),28.0)</f>
        <v>28</v>
      </c>
      <c r="E5175" s="237" t="str">
        <f>IFERROR(__xludf.DUMMYFUNCTION("""COMPUTED_VALUE"""),"LT0Q1J01WZHF1")</f>
        <v>LT0Q1J01WZHF1</v>
      </c>
      <c r="F5175" s="238" t="str">
        <f>IFERROR(__xludf.DUMMYFUNCTION("""COMPUTED_VALUE"""),"TBQ8J60,TPO3D75")</f>
        <v>TBQ8J60,TPO3D75</v>
      </c>
      <c r="G5175" s="238">
        <f>IFERROR(__xludf.DUMMYFUNCTION("""COMPUTED_VALUE"""),46041.95833333333)</f>
        <v>46041.95833</v>
      </c>
      <c r="H5175" s="238">
        <f>IFERROR(__xludf.DUMMYFUNCTION("""COMPUTED_VALUE"""),46042.04166666667)</f>
        <v>46042.04167</v>
      </c>
      <c r="I5175" s="237" t="str">
        <f t="shared" si="1"/>
        <v>Fora</v>
      </c>
      <c r="J5175" s="239">
        <v>120.00000001396984</v>
      </c>
    </row>
    <row r="5176">
      <c r="A5176" s="234" t="s">
        <v>6085</v>
      </c>
      <c r="B5176" s="234" t="str">
        <f>IFERROR(__xludf.DUMMYFUNCTION("""COMPUTED_VALUE"""),"LM Hub_SP_Mogi Mirim")</f>
        <v>LM Hub_SP_Mogi Mirim</v>
      </c>
      <c r="C5176" s="234" t="str">
        <f>IFERROR(__xludf.DUMMYFUNCTION("""COMPUTED_VALUE"""),"HUB-LSP-37")</f>
        <v>HUB-LSP-37</v>
      </c>
      <c r="D5176" s="234">
        <f>IFERROR(__xludf.DUMMYFUNCTION("""COMPUTED_VALUE"""),21.0)</f>
        <v>21</v>
      </c>
      <c r="E5176" s="237" t="str">
        <f>IFERROR(__xludf.DUMMYFUNCTION("""COMPUTED_VALUE"""),"LT0Q1J01WTHM1")</f>
        <v>LT0Q1J01WTHM1</v>
      </c>
      <c r="F5176" s="238" t="str">
        <f>IFERROR(__xludf.DUMMYFUNCTION("""COMPUTED_VALUE"""),"FCD0G15,RBB2B81")</f>
        <v>FCD0G15,RBB2B81</v>
      </c>
      <c r="G5176" s="238">
        <f>IFERROR(__xludf.DUMMYFUNCTION("""COMPUTED_VALUE"""),46041.95833333333)</f>
        <v>46041.95833</v>
      </c>
      <c r="H5176" s="238">
        <f>IFERROR(__xludf.DUMMYFUNCTION("""COMPUTED_VALUE"""),46042.04166666667)</f>
        <v>46042.04167</v>
      </c>
      <c r="I5176" s="237" t="str">
        <f t="shared" si="1"/>
        <v>Fora</v>
      </c>
      <c r="J5176" s="239">
        <v>119.99999999301508</v>
      </c>
    </row>
    <row r="5177">
      <c r="A5177" s="234" t="s">
        <v>6086</v>
      </c>
      <c r="B5177" s="234" t="str">
        <f>IFERROR(__xludf.DUMMYFUNCTION("""COMPUTED_VALUE"""),"LM Hub_SP_Araraquara")</f>
        <v>LM Hub_SP_Araraquara</v>
      </c>
      <c r="C5177" s="234" t="str">
        <f>IFERROR(__xludf.DUMMYFUNCTION("""COMPUTED_VALUE"""),"HUB-LSP-29")</f>
        <v>HUB-LSP-29</v>
      </c>
      <c r="D5177" s="234">
        <f>IFERROR(__xludf.DUMMYFUNCTION("""COMPUTED_VALUE"""),15.0)</f>
        <v>15</v>
      </c>
      <c r="E5177" s="237" t="str">
        <f>IFERROR(__xludf.DUMMYFUNCTION("""COMPUTED_VALUE"""),"LT0Q1J01WTHR1")</f>
        <v>LT0Q1J01WTHR1</v>
      </c>
      <c r="F5177" s="238" t="str">
        <f>IFERROR(__xludf.DUMMYFUNCTION("""COMPUTED_VALUE"""),"EPU0B18,EHH6J87")</f>
        <v>EPU0B18,EHH6J87</v>
      </c>
      <c r="G5177" s="238">
        <f>IFERROR(__xludf.DUMMYFUNCTION("""COMPUTED_VALUE"""),46041.97916666667)</f>
        <v>46041.97917</v>
      </c>
      <c r="H5177" s="238">
        <f>IFERROR(__xludf.DUMMYFUNCTION("""COMPUTED_VALUE"""),46042.0625)</f>
        <v>46042.0625</v>
      </c>
      <c r="I5177" s="237" t="str">
        <f t="shared" si="1"/>
        <v>Fora</v>
      </c>
      <c r="J5177" s="239">
        <v>119.99999999301508</v>
      </c>
    </row>
    <row r="5178">
      <c r="A5178" s="234" t="s">
        <v>6087</v>
      </c>
      <c r="B5178" s="234" t="str">
        <f>IFERROR(__xludf.DUMMYFUNCTION("""COMPUTED_VALUE"""),"LM Hub_SP_Atibaia_Ponte_Alta")</f>
        <v>LM Hub_SP_Atibaia_Ponte_Alta</v>
      </c>
      <c r="C5178" s="234" t="str">
        <f>IFERROR(__xludf.DUMMYFUNCTION("""COMPUTED_VALUE"""),"HUB-LSP-87")</f>
        <v>HUB-LSP-87</v>
      </c>
      <c r="D5178" s="234">
        <f>IFERROR(__xludf.DUMMYFUNCTION("""COMPUTED_VALUE"""),23.0)</f>
        <v>23</v>
      </c>
      <c r="E5178" s="237" t="str">
        <f>IFERROR(__xludf.DUMMYFUNCTION("""COMPUTED_VALUE"""),"LT0Q1J01WWTL1")</f>
        <v>LT0Q1J01WWTL1</v>
      </c>
      <c r="F5178" s="238" t="str">
        <f>IFERROR(__xludf.DUMMYFUNCTION("""COMPUTED_VALUE"""),"ECU7G16,GGU5E98")</f>
        <v>ECU7G16,GGU5E98</v>
      </c>
      <c r="G5178" s="238">
        <f>IFERROR(__xludf.DUMMYFUNCTION("""COMPUTED_VALUE"""),46041.97916666667)</f>
        <v>46041.97917</v>
      </c>
      <c r="H5178" s="238">
        <f>IFERROR(__xludf.DUMMYFUNCTION("""COMPUTED_VALUE"""),46042.0625)</f>
        <v>46042.0625</v>
      </c>
      <c r="I5178" s="237" t="str">
        <f t="shared" si="1"/>
        <v>Fora</v>
      </c>
      <c r="J5178" s="239">
        <v>119.99999999301508</v>
      </c>
    </row>
    <row r="5179">
      <c r="A5179" s="234" t="s">
        <v>6088</v>
      </c>
      <c r="B5179" s="234" t="str">
        <f>IFERROR(__xludf.DUMMYFUNCTION("""COMPUTED_VALUE"""),"LM Hub_RJ_Ilha do Governador")</f>
        <v>LM Hub_RJ_Ilha do Governador</v>
      </c>
      <c r="C5179" s="234" t="str">
        <f>IFERROR(__xludf.DUMMYFUNCTION("""COMPUTED_VALUE"""),"HUB-LRJ-32")</f>
        <v>HUB-LRJ-32</v>
      </c>
      <c r="D5179" s="234">
        <f>IFERROR(__xludf.DUMMYFUNCTION("""COMPUTED_VALUE"""),36.0)</f>
        <v>36</v>
      </c>
      <c r="E5179" s="237" t="str">
        <f>IFERROR(__xludf.DUMMYFUNCTION("""COMPUTED_VALUE"""),"LT0Q1K01WYO91")</f>
        <v>LT0Q1K01WYO91</v>
      </c>
      <c r="F5179" s="238" t="str">
        <f>IFERROR(__xludf.DUMMYFUNCTION("""COMPUTED_VALUE"""),"QHK5J11")</f>
        <v>QHK5J11</v>
      </c>
      <c r="G5179" s="238">
        <f>IFERROR(__xludf.DUMMYFUNCTION("""COMPUTED_VALUE"""),46042.0)</f>
        <v>46042</v>
      </c>
      <c r="H5179" s="238">
        <f>IFERROR(__xludf.DUMMYFUNCTION("""COMPUTED_VALUE"""),46042.08333333333)</f>
        <v>46042.08333</v>
      </c>
      <c r="I5179" s="237" t="str">
        <f t="shared" si="1"/>
        <v>Fora</v>
      </c>
      <c r="J5179" s="239">
        <v>119.99999999301508</v>
      </c>
    </row>
    <row r="5180">
      <c r="A5180" s="234" t="s">
        <v>6089</v>
      </c>
      <c r="B5180" s="234" t="str">
        <f>IFERROR(__xludf.DUMMYFUNCTION("""COMPUTED_VALUE"""),"LM Hub_SP_Ribeirão Preto_02")</f>
        <v>LM Hub_SP_Ribeirão Preto_02</v>
      </c>
      <c r="C5180" s="234" t="str">
        <f>IFERROR(__xludf.DUMMYFUNCTION("""COMPUTED_VALUE"""),"HUB-LSP-55")</f>
        <v>HUB-LSP-55</v>
      </c>
      <c r="D5180" s="234">
        <f>IFERROR(__xludf.DUMMYFUNCTION("""COMPUTED_VALUE"""),6.0)</f>
        <v>6</v>
      </c>
      <c r="E5180" s="237" t="str">
        <f>IFERROR(__xludf.DUMMYFUNCTION("""COMPUTED_VALUE"""),"LT1Q1J01X7YH1")</f>
        <v>LT1Q1J01X7YH1</v>
      </c>
      <c r="F5180" s="238" t="str">
        <f>IFERROR(__xludf.DUMMYFUNCTION("""COMPUTED_VALUE"""),"CUB4C26,NCO3G78")</f>
        <v>CUB4C26,NCO3G78</v>
      </c>
      <c r="G5180" s="238">
        <f>IFERROR(__xludf.DUMMYFUNCTION("""COMPUTED_VALUE"""),46042.0)</f>
        <v>46042</v>
      </c>
      <c r="H5180" s="238">
        <f>IFERROR(__xludf.DUMMYFUNCTION("""COMPUTED_VALUE"""),46042.08333333333)</f>
        <v>46042.08333</v>
      </c>
      <c r="I5180" s="237" t="str">
        <f t="shared" si="1"/>
        <v>Fora</v>
      </c>
      <c r="J5180" s="239">
        <v>119.99999999301508</v>
      </c>
    </row>
    <row r="5181">
      <c r="A5181" s="234" t="s">
        <v>6090</v>
      </c>
      <c r="B5181" s="234" t="str">
        <f>IFERROR(__xludf.DUMMYFUNCTION("""COMPUTED_VALUE"""),"LM Hub_SP_Tatuí")</f>
        <v>LM Hub_SP_Tatuí</v>
      </c>
      <c r="C5181" s="234" t="str">
        <f>IFERROR(__xludf.DUMMYFUNCTION("""COMPUTED_VALUE"""),"HUB-LSP-51")</f>
        <v>HUB-LSP-51</v>
      </c>
      <c r="D5181" s="234">
        <f>IFERROR(__xludf.DUMMYFUNCTION("""COMPUTED_VALUE"""),12.0)</f>
        <v>12</v>
      </c>
      <c r="E5181" s="237" t="str">
        <f>IFERROR(__xludf.DUMMYFUNCTION("""COMPUTED_VALUE"""),"LT0Q1K01WTEU1")</f>
        <v>LT0Q1K01WTEU1</v>
      </c>
      <c r="F5181" s="238" t="str">
        <f>IFERROR(__xludf.DUMMYFUNCTION("""COMPUTED_VALUE"""),"FLO1G76,FLO1G70")</f>
        <v>FLO1G76,FLO1G70</v>
      </c>
      <c r="G5181" s="238">
        <f>IFERROR(__xludf.DUMMYFUNCTION("""COMPUTED_VALUE"""),46042.0)</f>
        <v>46042</v>
      </c>
      <c r="H5181" s="238">
        <f>IFERROR(__xludf.DUMMYFUNCTION("""COMPUTED_VALUE"""),46042.08333333333)</f>
        <v>46042.08333</v>
      </c>
      <c r="I5181" s="237" t="str">
        <f t="shared" si="1"/>
        <v>Fora</v>
      </c>
      <c r="J5181" s="239">
        <v>119.99999999301508</v>
      </c>
    </row>
    <row r="5182">
      <c r="A5182" s="234" t="s">
        <v>6091</v>
      </c>
      <c r="B5182" s="234" t="str">
        <f>IFERROR(__xludf.DUMMYFUNCTION("""COMPUTED_VALUE"""),"SoC_PR_Curitiba")</f>
        <v>SoC_PR_Curitiba</v>
      </c>
      <c r="C5182" s="234" t="str">
        <f>IFERROR(__xludf.DUMMYFUNCTION("""COMPUTED_VALUE"""),"SOC-PR1")</f>
        <v>SOC-PR1</v>
      </c>
      <c r="D5182" s="234">
        <f>IFERROR(__xludf.DUMMYFUNCTION("""COMPUTED_VALUE"""),17.0)</f>
        <v>17</v>
      </c>
      <c r="E5182" s="237" t="str">
        <f>IFERROR(__xludf.DUMMYFUNCTION("""COMPUTED_VALUE"""),"LT0Q1K01WT8Q1")</f>
        <v>LT0Q1K01WT8Q1</v>
      </c>
      <c r="F5182" s="238" t="str">
        <f>IFERROR(__xludf.DUMMYFUNCTION("""COMPUTED_VALUE"""),"UAW6H39,TJR6H37")</f>
        <v>UAW6H39,TJR6H37</v>
      </c>
      <c r="G5182" s="238">
        <f>IFERROR(__xludf.DUMMYFUNCTION("""COMPUTED_VALUE"""),46042.0)</f>
        <v>46042</v>
      </c>
      <c r="H5182" s="238">
        <f>IFERROR(__xludf.DUMMYFUNCTION("""COMPUTED_VALUE"""),46042.08333333333)</f>
        <v>46042.08333</v>
      </c>
      <c r="I5182" s="237" t="str">
        <f t="shared" si="1"/>
        <v>Fora</v>
      </c>
      <c r="J5182" s="239">
        <v>119.99999999301508</v>
      </c>
    </row>
    <row r="5183">
      <c r="A5183" s="234" t="s">
        <v>6092</v>
      </c>
      <c r="B5183" s="234" t="str">
        <f>IFERROR(__xludf.DUMMYFUNCTION("""COMPUTED_VALUE"""),"SoC_SP_Louveira")</f>
        <v>SoC_SP_Louveira</v>
      </c>
      <c r="C5183" s="234" t="str">
        <f>IFERROR(__xludf.DUMMYFUNCTION("""COMPUTED_VALUE"""),"SOC-SP7")</f>
        <v>SOC-SP7</v>
      </c>
      <c r="D5183" s="234"/>
      <c r="E5183" s="237" t="str">
        <f>IFERROR(__xludf.DUMMYFUNCTION("""COMPUTED_VALUE"""),"LT0Q1K01X2M01")</f>
        <v>LT0Q1K01X2M01</v>
      </c>
      <c r="F5183" s="238" t="str">
        <f>IFERROR(__xludf.DUMMYFUNCTION("""COMPUTED_VALUE"""),"-")</f>
        <v>-</v>
      </c>
      <c r="G5183" s="238">
        <f>IFERROR(__xludf.DUMMYFUNCTION("""COMPUTED_VALUE"""),46042.0)</f>
        <v>46042</v>
      </c>
      <c r="H5183" s="238">
        <f>IFERROR(__xludf.DUMMYFUNCTION("""COMPUTED_VALUE"""),46042.08333333333)</f>
        <v>46042.08333</v>
      </c>
      <c r="I5183" s="237" t="str">
        <f t="shared" si="1"/>
        <v>Fora</v>
      </c>
      <c r="J5183" s="239">
        <v>120.00000001396984</v>
      </c>
    </row>
    <row r="5184">
      <c r="A5184" s="234" t="s">
        <v>6093</v>
      </c>
      <c r="B5184" s="234" t="str">
        <f>IFERROR(__xludf.DUMMYFUNCTION("""COMPUTED_VALUE"""),"LM Hub_MG_Varginha_Fausto")</f>
        <v>LM Hub_MG_Varginha_Fausto</v>
      </c>
      <c r="C5184" s="234" t="str">
        <f>IFERROR(__xludf.DUMMYFUNCTION("""COMPUTED_VALUE"""),"HUB-LMG-45")</f>
        <v>HUB-LMG-45</v>
      </c>
      <c r="D5184" s="234">
        <f>IFERROR(__xludf.DUMMYFUNCTION("""COMPUTED_VALUE"""),55.0)</f>
        <v>55</v>
      </c>
      <c r="E5184" s="237" t="str">
        <f>IFERROR(__xludf.DUMMYFUNCTION("""COMPUTED_VALUE"""),"LT0Q1K01WY3J1")</f>
        <v>LT0Q1K01WY3J1</v>
      </c>
      <c r="F5184" s="238" t="str">
        <f>IFERROR(__xludf.DUMMYFUNCTION("""COMPUTED_VALUE"""),"EWJ4E09")</f>
        <v>EWJ4E09</v>
      </c>
      <c r="G5184" s="238">
        <f>IFERROR(__xludf.DUMMYFUNCTION("""COMPUTED_VALUE"""),46042.02083333333)</f>
        <v>46042.02083</v>
      </c>
      <c r="H5184" s="238">
        <f>IFERROR(__xludf.DUMMYFUNCTION("""COMPUTED_VALUE"""),46042.10416666667)</f>
        <v>46042.10417</v>
      </c>
      <c r="I5184" s="237" t="str">
        <f t="shared" si="1"/>
        <v>Fora</v>
      </c>
      <c r="J5184" s="239">
        <v>540.0</v>
      </c>
    </row>
    <row r="5185">
      <c r="A5185" s="234" t="s">
        <v>6094</v>
      </c>
      <c r="B5185" s="234" t="str">
        <f>IFERROR(__xludf.DUMMYFUNCTION("""COMPUTED_VALUE"""),"SoC_GO_Goiânia_02")</f>
        <v>SoC_GO_Goiânia_02</v>
      </c>
      <c r="C5185" s="234" t="str">
        <f>IFERROR(__xludf.DUMMYFUNCTION("""COMPUTED_VALUE"""),"SOC-GO2")</f>
        <v>SOC-GO2</v>
      </c>
      <c r="D5185" s="234">
        <f>IFERROR(__xludf.DUMMYFUNCTION("""COMPUTED_VALUE"""),87.0)</f>
        <v>87</v>
      </c>
      <c r="E5185" s="237" t="str">
        <f>IFERROR(__xludf.DUMMYFUNCTION("""COMPUTED_VALUE"""),"LT1Q1J01X7PJ1")</f>
        <v>LT1Q1J01X7PJ1</v>
      </c>
      <c r="F5185" s="238" t="str">
        <f>IFERROR(__xludf.DUMMYFUNCTION("""COMPUTED_VALUE"""),"FXS9D32,LUX1I17")</f>
        <v>FXS9D32,LUX1I17</v>
      </c>
      <c r="G5185" s="238">
        <f>IFERROR(__xludf.DUMMYFUNCTION("""COMPUTED_VALUE"""),46041.75)</f>
        <v>46041.75</v>
      </c>
      <c r="H5185" s="238">
        <f>IFERROR(__xludf.DUMMYFUNCTION("""COMPUTED_VALUE"""),46042.125)</f>
        <v>46042.125</v>
      </c>
      <c r="I5185" s="237" t="str">
        <f t="shared" si="1"/>
        <v>Fora</v>
      </c>
      <c r="J5185" s="239">
        <v>540.0</v>
      </c>
    </row>
    <row r="5186">
      <c r="A5186" s="234" t="s">
        <v>6095</v>
      </c>
      <c r="B5186" s="234" t="str">
        <f>IFERROR(__xludf.DUMMYFUNCTION("""COMPUTED_VALUE"""),"SoC_RJ_Duque de Caxias")</f>
        <v>SoC_RJ_Duque de Caxias</v>
      </c>
      <c r="C5186" s="234" t="str">
        <f>IFERROR(__xludf.DUMMYFUNCTION("""COMPUTED_VALUE"""),"SOC-RJ2")</f>
        <v>SOC-RJ2</v>
      </c>
      <c r="D5186" s="234">
        <f>IFERROR(__xludf.DUMMYFUNCTION("""COMPUTED_VALUE"""),96.0)</f>
        <v>96</v>
      </c>
      <c r="E5186" s="237" t="str">
        <f>IFERROR(__xludf.DUMMYFUNCTION("""COMPUTED_VALUE"""),"LT1Q1J01X7OZ1")</f>
        <v>LT1Q1J01X7OZ1</v>
      </c>
      <c r="F5186" s="238" t="str">
        <f>IFERROR(__xludf.DUMMYFUNCTION("""COMPUTED_VALUE"""),"FST5E90,FFW3E68")</f>
        <v>FST5E90,FFW3E68</v>
      </c>
      <c r="G5186" s="238">
        <f>IFERROR(__xludf.DUMMYFUNCTION("""COMPUTED_VALUE"""),46041.75)</f>
        <v>46041.75</v>
      </c>
      <c r="H5186" s="238">
        <f>IFERROR(__xludf.DUMMYFUNCTION("""COMPUTED_VALUE"""),46042.125)</f>
        <v>46042.125</v>
      </c>
      <c r="I5186" s="237" t="str">
        <f t="shared" si="1"/>
        <v>Fora</v>
      </c>
      <c r="J5186" s="239">
        <v>119.99999999301508</v>
      </c>
    </row>
    <row r="5187">
      <c r="A5187" s="234" t="s">
        <v>6096</v>
      </c>
      <c r="B5187" s="234" t="str">
        <f>IFERROR(__xludf.DUMMYFUNCTION("""COMPUTED_VALUE"""),"SoC_BA_Simoes Filho")</f>
        <v>SoC_BA_Simoes Filho</v>
      </c>
      <c r="C5187" s="234" t="str">
        <f>IFERROR(__xludf.DUMMYFUNCTION("""COMPUTED_VALUE"""),"SOC-BA2")</f>
        <v>SOC-BA2</v>
      </c>
      <c r="D5187" s="234"/>
      <c r="E5187" s="237" t="str">
        <f>IFERROR(__xludf.DUMMYFUNCTION("""COMPUTED_VALUE"""),"LT1Q1K01X7PG1")</f>
        <v>LT1Q1K01X7PG1</v>
      </c>
      <c r="F5187" s="238" t="str">
        <f>IFERROR(__xludf.DUMMYFUNCTION("""COMPUTED_VALUE"""),"TEV1F08")</f>
        <v>TEV1F08</v>
      </c>
      <c r="G5187" s="238">
        <f>IFERROR(__xludf.DUMMYFUNCTION("""COMPUTED_VALUE"""),46042.04166666667)</f>
        <v>46042.04167</v>
      </c>
      <c r="H5187" s="238">
        <f>IFERROR(__xludf.DUMMYFUNCTION("""COMPUTED_VALUE"""),46042.125)</f>
        <v>46042.125</v>
      </c>
      <c r="I5187" s="237" t="str">
        <f t="shared" si="1"/>
        <v>Fora</v>
      </c>
      <c r="J5187" s="239">
        <v>119.99999999301508</v>
      </c>
    </row>
    <row r="5188">
      <c r="A5188" s="234" t="s">
        <v>6097</v>
      </c>
      <c r="B5188" s="234" t="str">
        <f>IFERROR(__xludf.DUMMYFUNCTION("""COMPUTED_VALUE"""),"SoC_SP_Louveira")</f>
        <v>SoC_SP_Louveira</v>
      </c>
      <c r="C5188" s="234" t="str">
        <f>IFERROR(__xludf.DUMMYFUNCTION("""COMPUTED_VALUE"""),"SOC-SP7")</f>
        <v>SOC-SP7</v>
      </c>
      <c r="D5188" s="234">
        <f>IFERROR(__xludf.DUMMYFUNCTION("""COMPUTED_VALUE"""),112.0)</f>
        <v>112</v>
      </c>
      <c r="E5188" s="237" t="str">
        <f>IFERROR(__xludf.DUMMYFUNCTION("""COMPUTED_VALUE"""),"LT0Q1K01WTB61")</f>
        <v>LT0Q1K01WTB61</v>
      </c>
      <c r="F5188" s="238" t="str">
        <f>IFERROR(__xludf.DUMMYFUNCTION("""COMPUTED_VALUE"""),"EFO9D55,CZX6D42")</f>
        <v>EFO9D55,CZX6D42</v>
      </c>
      <c r="G5188" s="238">
        <f>IFERROR(__xludf.DUMMYFUNCTION("""COMPUTED_VALUE"""),46042.04166666667)</f>
        <v>46042.04167</v>
      </c>
      <c r="H5188" s="238">
        <f>IFERROR(__xludf.DUMMYFUNCTION("""COMPUTED_VALUE"""),46042.125)</f>
        <v>46042.125</v>
      </c>
      <c r="I5188" s="237" t="str">
        <f t="shared" si="1"/>
        <v>Fora</v>
      </c>
      <c r="J5188" s="239">
        <v>540.0</v>
      </c>
    </row>
    <row r="5189">
      <c r="A5189" s="234" t="s">
        <v>6098</v>
      </c>
      <c r="B5189" s="234" t="str">
        <f>IFERROR(__xludf.DUMMYFUNCTION("""COMPUTED_VALUE"""),"SoC_BA_Simoes Filho")</f>
        <v>SoC_BA_Simoes Filho</v>
      </c>
      <c r="C5189" s="234" t="str">
        <f>IFERROR(__xludf.DUMMYFUNCTION("""COMPUTED_VALUE"""),"SOC-BA2")</f>
        <v>SOC-BA2</v>
      </c>
      <c r="D5189" s="234">
        <f>IFERROR(__xludf.DUMMYFUNCTION("""COMPUTED_VALUE"""),114.0)</f>
        <v>114</v>
      </c>
      <c r="E5189" s="237" t="str">
        <f>IFERROR(__xludf.DUMMYFUNCTION("""COMPUTED_VALUE"""),"LT1Q1J01X7IS1")</f>
        <v>LT1Q1J01X7IS1</v>
      </c>
      <c r="F5189" s="238" t="str">
        <f>IFERROR(__xludf.DUMMYFUNCTION("""COMPUTED_VALUE"""),"FFE1G68,QQT0J41")</f>
        <v>FFE1G68,QQT0J41</v>
      </c>
      <c r="G5189" s="238">
        <f>IFERROR(__xludf.DUMMYFUNCTION("""COMPUTED_VALUE"""),46041.79166666667)</f>
        <v>46041.79167</v>
      </c>
      <c r="H5189" s="238">
        <f>IFERROR(__xludf.DUMMYFUNCTION("""COMPUTED_VALUE"""),46042.16666666667)</f>
        <v>46042.16667</v>
      </c>
      <c r="I5189" s="237" t="str">
        <f t="shared" si="1"/>
        <v>Fora</v>
      </c>
      <c r="J5189" s="239">
        <v>540.0</v>
      </c>
    </row>
    <row r="5190">
      <c r="A5190" s="234" t="s">
        <v>6099</v>
      </c>
      <c r="B5190" s="234" t="str">
        <f>IFERROR(__xludf.DUMMYFUNCTION("""COMPUTED_VALUE"""),"SoC_BA_Simoes Filho")</f>
        <v>SoC_BA_Simoes Filho</v>
      </c>
      <c r="C5190" s="234" t="str">
        <f>IFERROR(__xludf.DUMMYFUNCTION("""COMPUTED_VALUE"""),"SOC-BA2")</f>
        <v>SOC-BA2</v>
      </c>
      <c r="D5190" s="234">
        <f>IFERROR(__xludf.DUMMYFUNCTION("""COMPUTED_VALUE"""),89.0)</f>
        <v>89</v>
      </c>
      <c r="E5190" s="237" t="str">
        <f>IFERROR(__xludf.DUMMYFUNCTION("""COMPUTED_VALUE"""),"LT0Q1J01WYFP2")</f>
        <v>LT0Q1J01WYFP2</v>
      </c>
      <c r="F5190" s="238" t="str">
        <f>IFERROR(__xludf.DUMMYFUNCTION("""COMPUTED_VALUE"""),"EWJ2B86,EVO2J16")</f>
        <v>EWJ2B86,EVO2J16</v>
      </c>
      <c r="G5190" s="238">
        <f>IFERROR(__xludf.DUMMYFUNCTION("""COMPUTED_VALUE"""),46041.79166666667)</f>
        <v>46041.79167</v>
      </c>
      <c r="H5190" s="238">
        <f>IFERROR(__xludf.DUMMYFUNCTION("""COMPUTED_VALUE"""),46042.16666666667)</f>
        <v>46042.16667</v>
      </c>
      <c r="I5190" s="237" t="str">
        <f t="shared" si="1"/>
        <v>Fora</v>
      </c>
      <c r="J5190" s="239">
        <v>540.0</v>
      </c>
    </row>
    <row r="5191">
      <c r="A5191" s="234" t="s">
        <v>6100</v>
      </c>
      <c r="B5191" s="234" t="str">
        <f>IFERROR(__xludf.DUMMYFUNCTION("""COMPUTED_VALUE"""),"SoC_GO_Goiânia_02")</f>
        <v>SoC_GO_Goiânia_02</v>
      </c>
      <c r="C5191" s="234" t="str">
        <f>IFERROR(__xludf.DUMMYFUNCTION("""COMPUTED_VALUE"""),"SOC-GO2")</f>
        <v>SOC-GO2</v>
      </c>
      <c r="D5191" s="234">
        <f>IFERROR(__xludf.DUMMYFUNCTION("""COMPUTED_VALUE"""),86.0)</f>
        <v>86</v>
      </c>
      <c r="E5191" s="237" t="str">
        <f>IFERROR(__xludf.DUMMYFUNCTION("""COMPUTED_VALUE"""),"LT1Q1J01X7PK1")</f>
        <v>LT1Q1J01X7PK1</v>
      </c>
      <c r="F5191" s="238" t="str">
        <f>IFERROR(__xludf.DUMMYFUNCTION("""COMPUTED_VALUE"""),"DPB6G11,BSF5F35")</f>
        <v>DPB6G11,BSF5F35</v>
      </c>
      <c r="G5191" s="238">
        <f>IFERROR(__xludf.DUMMYFUNCTION("""COMPUTED_VALUE"""),46041.79166666667)</f>
        <v>46041.79167</v>
      </c>
      <c r="H5191" s="238">
        <f>IFERROR(__xludf.DUMMYFUNCTION("""COMPUTED_VALUE"""),46042.16666666667)</f>
        <v>46042.16667</v>
      </c>
      <c r="I5191" s="237" t="str">
        <f t="shared" si="1"/>
        <v>Fora</v>
      </c>
      <c r="J5191" s="239">
        <v>540.0</v>
      </c>
    </row>
    <row r="5192">
      <c r="A5192" s="234" t="s">
        <v>6101</v>
      </c>
      <c r="B5192" s="234" t="str">
        <f>IFERROR(__xludf.DUMMYFUNCTION("""COMPUTED_VALUE"""),"SoC_PE_Jaboatão dos Guararapes")</f>
        <v>SoC_PE_Jaboatão dos Guararapes</v>
      </c>
      <c r="C5192" s="234" t="str">
        <f>IFERROR(__xludf.DUMMYFUNCTION("""COMPUTED_VALUE"""),"SOC-PE2")</f>
        <v>SOC-PE2</v>
      </c>
      <c r="D5192" s="234">
        <f>IFERROR(__xludf.DUMMYFUNCTION("""COMPUTED_VALUE"""),98.0)</f>
        <v>98</v>
      </c>
      <c r="E5192" s="237" t="str">
        <f>IFERROR(__xludf.DUMMYFUNCTION("""COMPUTED_VALUE"""),"LT1Q1J01X7J61")</f>
        <v>LT1Q1J01X7J61</v>
      </c>
      <c r="F5192" s="238" t="str">
        <f>IFERROR(__xludf.DUMMYFUNCTION("""COMPUTED_VALUE"""),"EUC3J49,BSX3I71")</f>
        <v>EUC3J49,BSX3I71</v>
      </c>
      <c r="G5192" s="238">
        <f>IFERROR(__xludf.DUMMYFUNCTION("""COMPUTED_VALUE"""),46041.79166666667)</f>
        <v>46041.79167</v>
      </c>
      <c r="H5192" s="238">
        <f>IFERROR(__xludf.DUMMYFUNCTION("""COMPUTED_VALUE"""),46042.16666666667)</f>
        <v>46042.16667</v>
      </c>
      <c r="I5192" s="237" t="str">
        <f t="shared" si="1"/>
        <v>Fora</v>
      </c>
      <c r="J5192" s="239">
        <v>540.0</v>
      </c>
    </row>
    <row r="5193">
      <c r="A5193" s="234" t="s">
        <v>6102</v>
      </c>
      <c r="B5193" s="234" t="str">
        <f>IFERROR(__xludf.DUMMYFUNCTION("""COMPUTED_VALUE"""),"SoC_SC_Itajaí")</f>
        <v>SoC_SC_Itajaí</v>
      </c>
      <c r="C5193" s="234" t="str">
        <f>IFERROR(__xludf.DUMMYFUNCTION("""COMPUTED_VALUE"""),"SOC-SC1")</f>
        <v>SOC-SC1</v>
      </c>
      <c r="D5193" s="234">
        <f>IFERROR(__xludf.DUMMYFUNCTION("""COMPUTED_VALUE"""),100.0)</f>
        <v>100</v>
      </c>
      <c r="E5193" s="237" t="str">
        <f>IFERROR(__xludf.DUMMYFUNCTION("""COMPUTED_VALUE"""),"LT0Q1J01WXHB1")</f>
        <v>LT0Q1J01WXHB1</v>
      </c>
      <c r="F5193" s="238" t="str">
        <f>IFERROR(__xludf.DUMMYFUNCTION("""COMPUTED_VALUE"""),"FDK4E91,TAX4D15")</f>
        <v>FDK4E91,TAX4D15</v>
      </c>
      <c r="G5193" s="238">
        <f>IFERROR(__xludf.DUMMYFUNCTION("""COMPUTED_VALUE"""),46041.79166666667)</f>
        <v>46041.79167</v>
      </c>
      <c r="H5193" s="238">
        <f>IFERROR(__xludf.DUMMYFUNCTION("""COMPUTED_VALUE"""),46042.16666666667)</f>
        <v>46042.16667</v>
      </c>
      <c r="I5193" s="237" t="str">
        <f t="shared" si="1"/>
        <v>Fora</v>
      </c>
      <c r="J5193" s="239">
        <v>540.0</v>
      </c>
    </row>
    <row r="5194">
      <c r="A5194" s="234" t="s">
        <v>6103</v>
      </c>
      <c r="B5194" s="234" t="str">
        <f>IFERROR(__xludf.DUMMYFUNCTION("""COMPUTED_VALUE"""),"SoC_SP_Cravinhos")</f>
        <v>SoC_SP_Cravinhos</v>
      </c>
      <c r="C5194" s="234" t="str">
        <f>IFERROR(__xludf.DUMMYFUNCTION("""COMPUTED_VALUE"""),"SOC-SP5")</f>
        <v>SOC-SP5</v>
      </c>
      <c r="D5194" s="234">
        <f>IFERROR(__xludf.DUMMYFUNCTION("""COMPUTED_VALUE"""),95.0)</f>
        <v>95</v>
      </c>
      <c r="E5194" s="237" t="str">
        <f>IFERROR(__xludf.DUMMYFUNCTION("""COMPUTED_VALUE"""),"LT0Q1J01WTA32")</f>
        <v>LT0Q1J01WTA32</v>
      </c>
      <c r="F5194" s="238" t="str">
        <f>IFERROR(__xludf.DUMMYFUNCTION("""COMPUTED_VALUE"""),"ETU7688,STM0F98")</f>
        <v>ETU7688,STM0F98</v>
      </c>
      <c r="G5194" s="238">
        <f>IFERROR(__xludf.DUMMYFUNCTION("""COMPUTED_VALUE"""),46041.79166666667)</f>
        <v>46041.79167</v>
      </c>
      <c r="H5194" s="238">
        <f>IFERROR(__xludf.DUMMYFUNCTION("""COMPUTED_VALUE"""),46042.16666666667)</f>
        <v>46042.16667</v>
      </c>
      <c r="I5194" s="237" t="str">
        <f t="shared" si="1"/>
        <v>Fora</v>
      </c>
      <c r="J5194" s="239">
        <v>119.99999999301508</v>
      </c>
    </row>
    <row r="5195">
      <c r="A5195" s="234" t="s">
        <v>6104</v>
      </c>
      <c r="B5195" s="234" t="str">
        <f>IFERROR(__xludf.DUMMYFUNCTION("""COMPUTED_VALUE"""),"LM Hub_SP_Itapetininga")</f>
        <v>LM Hub_SP_Itapetininga</v>
      </c>
      <c r="C5195" s="234" t="str">
        <f>IFERROR(__xludf.DUMMYFUNCTION("""COMPUTED_VALUE"""),"HUB-LSP-53")</f>
        <v>HUB-LSP-53</v>
      </c>
      <c r="D5195" s="234">
        <f>IFERROR(__xludf.DUMMYFUNCTION("""COMPUTED_VALUE"""),32.0)</f>
        <v>32</v>
      </c>
      <c r="E5195" s="237" t="str">
        <f>IFERROR(__xludf.DUMMYFUNCTION("""COMPUTED_VALUE"""),"LT0Q1K01WTEP1")</f>
        <v>LT0Q1K01WTEP1</v>
      </c>
      <c r="F5195" s="238" t="str">
        <f>IFERROR(__xludf.DUMMYFUNCTION("""COMPUTED_VALUE"""),"FZY3F48")</f>
        <v>FZY3F48</v>
      </c>
      <c r="G5195" s="238">
        <f>IFERROR(__xludf.DUMMYFUNCTION("""COMPUTED_VALUE"""),46042.10416666667)</f>
        <v>46042.10417</v>
      </c>
      <c r="H5195" s="238">
        <f>IFERROR(__xludf.DUMMYFUNCTION("""COMPUTED_VALUE"""),46042.1875)</f>
        <v>46042.1875</v>
      </c>
      <c r="I5195" s="237" t="str">
        <f t="shared" si="1"/>
        <v>Fora</v>
      </c>
      <c r="J5195" s="239">
        <v>119.99999999301508</v>
      </c>
    </row>
    <row r="5196">
      <c r="A5196" s="234" t="s">
        <v>6105</v>
      </c>
      <c r="B5196" s="234" t="str">
        <f>IFERROR(__xludf.DUMMYFUNCTION("""COMPUTED_VALUE"""),"LM Hub_SP_São Carlos")</f>
        <v>LM Hub_SP_São Carlos</v>
      </c>
      <c r="C5196" s="234" t="str">
        <f>IFERROR(__xludf.DUMMYFUNCTION("""COMPUTED_VALUE"""),"HUB-LSP-31")</f>
        <v>HUB-LSP-31</v>
      </c>
      <c r="D5196" s="234">
        <f>IFERROR(__xludf.DUMMYFUNCTION("""COMPUTED_VALUE"""),19.0)</f>
        <v>19</v>
      </c>
      <c r="E5196" s="237" t="str">
        <f>IFERROR(__xludf.DUMMYFUNCTION("""COMPUTED_VALUE"""),"LT0Q1K01WTH61")</f>
        <v>LT0Q1K01WTH61</v>
      </c>
      <c r="F5196" s="238" t="str">
        <f>IFERROR(__xludf.DUMMYFUNCTION("""COMPUTED_VALUE"""),"DYL0G56")</f>
        <v>DYL0G56</v>
      </c>
      <c r="G5196" s="238">
        <f>IFERROR(__xludf.DUMMYFUNCTION("""COMPUTED_VALUE"""),46042.10416666667)</f>
        <v>46042.10417</v>
      </c>
      <c r="H5196" s="238">
        <f>IFERROR(__xludf.DUMMYFUNCTION("""COMPUTED_VALUE"""),46042.1875)</f>
        <v>46042.1875</v>
      </c>
      <c r="I5196" s="237" t="str">
        <f t="shared" si="1"/>
        <v>Fora</v>
      </c>
      <c r="J5196" s="239">
        <v>540.0</v>
      </c>
    </row>
    <row r="5197">
      <c r="A5197" s="234" t="s">
        <v>6106</v>
      </c>
      <c r="B5197" s="234" t="str">
        <f>IFERROR(__xludf.DUMMYFUNCTION("""COMPUTED_VALUE"""),"SoC_PE_Jaboatão dos Guararapes")</f>
        <v>SoC_PE_Jaboatão dos Guararapes</v>
      </c>
      <c r="C5197" s="234" t="str">
        <f>IFERROR(__xludf.DUMMYFUNCTION("""COMPUTED_VALUE"""),"SOC-PE2")</f>
        <v>SOC-PE2</v>
      </c>
      <c r="D5197" s="234">
        <f>IFERROR(__xludf.DUMMYFUNCTION("""COMPUTED_VALUE"""),99.0)</f>
        <v>99</v>
      </c>
      <c r="E5197" s="237" t="str">
        <f>IFERROR(__xludf.DUMMYFUNCTION("""COMPUTED_VALUE"""),"LT1Q1J01X7PC1")</f>
        <v>LT1Q1J01X7PC1</v>
      </c>
      <c r="F5197" s="238" t="str">
        <f>IFERROR(__xludf.DUMMYFUNCTION("""COMPUTED_VALUE"""),"GAG5C63,SKG2D79")</f>
        <v>GAG5C63,SKG2D79</v>
      </c>
      <c r="G5197" s="238">
        <f>IFERROR(__xludf.DUMMYFUNCTION("""COMPUTED_VALUE"""),46041.83333333333)</f>
        <v>46041.83333</v>
      </c>
      <c r="H5197" s="238">
        <f>IFERROR(__xludf.DUMMYFUNCTION("""COMPUTED_VALUE"""),46042.20833333333)</f>
        <v>46042.20833</v>
      </c>
      <c r="I5197" s="237" t="str">
        <f t="shared" si="1"/>
        <v>Fora</v>
      </c>
      <c r="J5197" s="239">
        <v>540.0</v>
      </c>
    </row>
    <row r="5198">
      <c r="A5198" s="234" t="s">
        <v>6107</v>
      </c>
      <c r="B5198" s="234" t="str">
        <f>IFERROR(__xludf.DUMMYFUNCTION("""COMPUTED_VALUE"""),"SoC_RJ_Duque de Caxias")</f>
        <v>SoC_RJ_Duque de Caxias</v>
      </c>
      <c r="C5198" s="234" t="str">
        <f>IFERROR(__xludf.DUMMYFUNCTION("""COMPUTED_VALUE"""),"SOC-RJ2")</f>
        <v>SOC-RJ2</v>
      </c>
      <c r="D5198" s="234">
        <f>IFERROR(__xludf.DUMMYFUNCTION("""COMPUTED_VALUE"""),97.0)</f>
        <v>97</v>
      </c>
      <c r="E5198" s="237" t="str">
        <f>IFERROR(__xludf.DUMMYFUNCTION("""COMPUTED_VALUE"""),"LT1Q1J01X7P11")</f>
        <v>LT1Q1J01X7P11</v>
      </c>
      <c r="F5198" s="238" t="str">
        <f>IFERROR(__xludf.DUMMYFUNCTION("""COMPUTED_VALUE"""),"FOT0I16,UFH9F90")</f>
        <v>FOT0I16,UFH9F90</v>
      </c>
      <c r="G5198" s="238">
        <f>IFERROR(__xludf.DUMMYFUNCTION("""COMPUTED_VALUE"""),46041.83333333333)</f>
        <v>46041.83333</v>
      </c>
      <c r="H5198" s="238">
        <f>IFERROR(__xludf.DUMMYFUNCTION("""COMPUTED_VALUE"""),46042.20833333333)</f>
        <v>46042.20833</v>
      </c>
      <c r="I5198" s="237" t="str">
        <f t="shared" si="1"/>
        <v>Fora</v>
      </c>
      <c r="J5198" s="239">
        <v>180.0</v>
      </c>
    </row>
    <row r="5199">
      <c r="A5199" s="234" t="s">
        <v>6108</v>
      </c>
      <c r="B5199" s="234" t="str">
        <f>IFERROR(__xludf.DUMMYFUNCTION("""COMPUTED_VALUE"""),"SoC_SP_Santana")</f>
        <v>SoC_SP_Santana</v>
      </c>
      <c r="C5199" s="234" t="str">
        <f>IFERROR(__xludf.DUMMYFUNCTION("""COMPUTED_VALUE"""),"SOC-SP2")</f>
        <v>SOC-SP2</v>
      </c>
      <c r="D5199" s="234">
        <f>IFERROR(__xludf.DUMMYFUNCTION("""COMPUTED_VALUE"""),29.0)</f>
        <v>29</v>
      </c>
      <c r="E5199" s="237" t="str">
        <f>IFERROR(__xludf.DUMMYFUNCTION("""COMPUTED_VALUE"""),"LT0Q1K01WTWY1")</f>
        <v>LT0Q1K01WTWY1</v>
      </c>
      <c r="F5199" s="238" t="str">
        <f>IFERROR(__xludf.DUMMYFUNCTION("""COMPUTED_VALUE"""),"DPE8C49,LLJ8B74")</f>
        <v>DPE8C49,LLJ8B74</v>
      </c>
      <c r="G5199" s="238">
        <f>IFERROR(__xludf.DUMMYFUNCTION("""COMPUTED_VALUE"""),46042.08333333333)</f>
        <v>46042.08333</v>
      </c>
      <c r="H5199" s="238">
        <f>IFERROR(__xludf.DUMMYFUNCTION("""COMPUTED_VALUE"""),46042.20833333333)</f>
        <v>46042.20833</v>
      </c>
      <c r="I5199" s="237" t="str">
        <f t="shared" si="1"/>
        <v>Fora</v>
      </c>
      <c r="J5199" s="239">
        <v>119.99999999301508</v>
      </c>
    </row>
    <row r="5200">
      <c r="A5200" s="234" t="s">
        <v>6109</v>
      </c>
      <c r="B5200" s="234" t="str">
        <f>IFERROR(__xludf.DUMMYFUNCTION("""COMPUTED_VALUE"""),"LM Hub_SP_Itapeva")</f>
        <v>LM Hub_SP_Itapeva</v>
      </c>
      <c r="C5200" s="234" t="str">
        <f>IFERROR(__xludf.DUMMYFUNCTION("""COMPUTED_VALUE"""),"HUB-LSP-39")</f>
        <v>HUB-LSP-39</v>
      </c>
      <c r="D5200" s="234">
        <f>IFERROR(__xludf.DUMMYFUNCTION("""COMPUTED_VALUE"""),5.0)</f>
        <v>5</v>
      </c>
      <c r="E5200" s="237" t="str">
        <f>IFERROR(__xludf.DUMMYFUNCTION("""COMPUTED_VALUE"""),"LT0Q1K01WTEZ1")</f>
        <v>LT0Q1K01WTEZ1</v>
      </c>
      <c r="F5200" s="238" t="str">
        <f>IFERROR(__xludf.DUMMYFUNCTION("""COMPUTED_VALUE"""),"TKY7J39")</f>
        <v>TKY7J39</v>
      </c>
      <c r="G5200" s="238">
        <f>IFERROR(__xludf.DUMMYFUNCTION("""COMPUTED_VALUE"""),46042.125)</f>
        <v>46042.125</v>
      </c>
      <c r="H5200" s="238">
        <f>IFERROR(__xludf.DUMMYFUNCTION("""COMPUTED_VALUE"""),46042.20833333333)</f>
        <v>46042.20833</v>
      </c>
      <c r="I5200" s="237" t="str">
        <f t="shared" si="1"/>
        <v>Fora</v>
      </c>
      <c r="J5200" s="239">
        <v>119.99999999301508</v>
      </c>
    </row>
    <row r="5201">
      <c r="A5201" s="234" t="s">
        <v>6110</v>
      </c>
      <c r="B5201" s="234" t="str">
        <f>IFERROR(__xludf.DUMMYFUNCTION("""COMPUTED_VALUE"""),"LM Hub_SP_Sumaré_Nova Veneza_1")</f>
        <v>LM Hub_SP_Sumaré_Nova Veneza_1</v>
      </c>
      <c r="C5201" s="234" t="str">
        <f>IFERROR(__xludf.DUMMYFUNCTION("""COMPUTED_VALUE"""),"HUB-LSP-88")</f>
        <v>HUB-LSP-88</v>
      </c>
      <c r="D5201" s="234">
        <f>IFERROR(__xludf.DUMMYFUNCTION("""COMPUTED_VALUE"""),52.0)</f>
        <v>52</v>
      </c>
      <c r="E5201" s="237" t="str">
        <f>IFERROR(__xludf.DUMMYFUNCTION("""COMPUTED_VALUE"""),"LT0Q1K01WXZ41")</f>
        <v>LT0Q1K01WXZ41</v>
      </c>
      <c r="F5201" s="238" t="str">
        <f>IFERROR(__xludf.DUMMYFUNCTION("""COMPUTED_VALUE"""),"BDH5H68")</f>
        <v>BDH5H68</v>
      </c>
      <c r="G5201" s="238">
        <f>IFERROR(__xludf.DUMMYFUNCTION("""COMPUTED_VALUE"""),46042.125)</f>
        <v>46042.125</v>
      </c>
      <c r="H5201" s="238">
        <f>IFERROR(__xludf.DUMMYFUNCTION("""COMPUTED_VALUE"""),46042.20833333333)</f>
        <v>46042.20833</v>
      </c>
      <c r="I5201" s="237" t="str">
        <f t="shared" si="1"/>
        <v>Fora</v>
      </c>
      <c r="J5201" s="239">
        <v>119.99999999301508</v>
      </c>
    </row>
    <row r="5202">
      <c r="A5202" s="234" t="s">
        <v>6111</v>
      </c>
      <c r="B5202" s="234" t="str">
        <f>IFERROR(__xludf.DUMMYFUNCTION("""COMPUTED_VALUE"""),"SoC_BA_Simoes Filho")</f>
        <v>SoC_BA_Simoes Filho</v>
      </c>
      <c r="C5202" s="234" t="str">
        <f>IFERROR(__xludf.DUMMYFUNCTION("""COMPUTED_VALUE"""),"SOC-BA2")</f>
        <v>SOC-BA2</v>
      </c>
      <c r="D5202" s="234"/>
      <c r="E5202" s="237" t="str">
        <f>IFERROR(__xludf.DUMMYFUNCTION("""COMPUTED_VALUE"""),"LT1Q1K01X7PH1")</f>
        <v>LT1Q1K01X7PH1</v>
      </c>
      <c r="F5202" s="238" t="str">
        <f>IFERROR(__xludf.DUMMYFUNCTION("""COMPUTED_VALUE"""),"TEV1F08,TXA9E83")</f>
        <v>TEV1F08,TXA9E83</v>
      </c>
      <c r="G5202" s="238">
        <f>IFERROR(__xludf.DUMMYFUNCTION("""COMPUTED_VALUE"""),46042.125)</f>
        <v>46042.125</v>
      </c>
      <c r="H5202" s="238">
        <f>IFERROR(__xludf.DUMMYFUNCTION("""COMPUTED_VALUE"""),46042.20833333333)</f>
        <v>46042.20833</v>
      </c>
      <c r="I5202" s="237" t="str">
        <f t="shared" si="1"/>
        <v>Fora</v>
      </c>
      <c r="J5202" s="239">
        <v>119.99999999301508</v>
      </c>
    </row>
    <row r="5203">
      <c r="A5203" s="234" t="s">
        <v>6112</v>
      </c>
      <c r="B5203" s="234" t="str">
        <f>IFERROR(__xludf.DUMMYFUNCTION("""COMPUTED_VALUE"""),"SoC_PR_Curitiba")</f>
        <v>SoC_PR_Curitiba</v>
      </c>
      <c r="C5203" s="234" t="str">
        <f>IFERROR(__xludf.DUMMYFUNCTION("""COMPUTED_VALUE"""),"SOC-PR1")</f>
        <v>SOC-PR1</v>
      </c>
      <c r="D5203" s="234"/>
      <c r="E5203" s="237" t="str">
        <f>IFERROR(__xludf.DUMMYFUNCTION("""COMPUTED_VALUE"""),"LT0Q1K01WT8Z1")</f>
        <v>LT0Q1K01WT8Z1</v>
      </c>
      <c r="F5203" s="238" t="str">
        <f>IFERROR(__xludf.DUMMYFUNCTION("""COMPUTED_VALUE"""),"CUC1I14,BEY5C17")</f>
        <v>CUC1I14,BEY5C17</v>
      </c>
      <c r="G5203" s="238">
        <f>IFERROR(__xludf.DUMMYFUNCTION("""COMPUTED_VALUE"""),46042.125)</f>
        <v>46042.125</v>
      </c>
      <c r="H5203" s="238">
        <f>IFERROR(__xludf.DUMMYFUNCTION("""COMPUTED_VALUE"""),46042.20833333333)</f>
        <v>46042.20833</v>
      </c>
      <c r="I5203" s="237" t="str">
        <f t="shared" si="1"/>
        <v>Fora</v>
      </c>
      <c r="J5203" s="239">
        <v>119.99999999301508</v>
      </c>
    </row>
    <row r="5204">
      <c r="A5204" s="234" t="s">
        <v>6113</v>
      </c>
      <c r="B5204" s="234" t="str">
        <f>IFERROR(__xludf.DUMMYFUNCTION("""COMPUTED_VALUE"""),"SoC_SC_Itajaí")</f>
        <v>SoC_SC_Itajaí</v>
      </c>
      <c r="C5204" s="234" t="str">
        <f>IFERROR(__xludf.DUMMYFUNCTION("""COMPUTED_VALUE"""),"SOC-SC1")</f>
        <v>SOC-SC1</v>
      </c>
      <c r="D5204" s="234"/>
      <c r="E5204" s="237" t="str">
        <f>IFERROR(__xludf.DUMMYFUNCTION("""COMPUTED_VALUE"""),"LT1Q1K01X7PI1")</f>
        <v>LT1Q1K01X7PI1</v>
      </c>
      <c r="F5204" s="238" t="str">
        <f>IFERROR(__xludf.DUMMYFUNCTION("""COMPUTED_VALUE"""),"SXB6D75,RLO8A64")</f>
        <v>SXB6D75,RLO8A64</v>
      </c>
      <c r="G5204" s="238">
        <f>IFERROR(__xludf.DUMMYFUNCTION("""COMPUTED_VALUE"""),46042.125)</f>
        <v>46042.125</v>
      </c>
      <c r="H5204" s="238">
        <f>IFERROR(__xludf.DUMMYFUNCTION("""COMPUTED_VALUE"""),46042.20833333333)</f>
        <v>46042.20833</v>
      </c>
      <c r="I5204" s="237" t="str">
        <f t="shared" si="1"/>
        <v>Fora</v>
      </c>
      <c r="J5204" s="239">
        <v>120.00000001396984</v>
      </c>
    </row>
    <row r="5205">
      <c r="A5205" s="234" t="s">
        <v>6114</v>
      </c>
      <c r="B5205" s="234" t="str">
        <f>IFERROR(__xludf.DUMMYFUNCTION("""COMPUTED_VALUE"""),"LM Hub_SP_Campinas_São Martinho")</f>
        <v>LM Hub_SP_Campinas_São Martinho</v>
      </c>
      <c r="C5205" s="234" t="str">
        <f>IFERROR(__xludf.DUMMYFUNCTION("""COMPUTED_VALUE"""),"HUB-LSP-19")</f>
        <v>HUB-LSP-19</v>
      </c>
      <c r="D5205" s="234">
        <f>IFERROR(__xludf.DUMMYFUNCTION("""COMPUTED_VALUE"""),44.0)</f>
        <v>44</v>
      </c>
      <c r="E5205" s="237" t="str">
        <f>IFERROR(__xludf.DUMMYFUNCTION("""COMPUTED_VALUE"""),"LT0Q1K01WTJ01")</f>
        <v>LT0Q1K01WTJ01</v>
      </c>
      <c r="F5205" s="238" t="str">
        <f>IFERROR(__xludf.DUMMYFUNCTION("""COMPUTED_VALUE"""),"GCJ6G71")</f>
        <v>GCJ6G71</v>
      </c>
      <c r="G5205" s="238">
        <f>IFERROR(__xludf.DUMMYFUNCTION("""COMPUTED_VALUE"""),46042.14583333333)</f>
        <v>46042.14583</v>
      </c>
      <c r="H5205" s="238">
        <f>IFERROR(__xludf.DUMMYFUNCTION("""COMPUTED_VALUE"""),46042.22916666667)</f>
        <v>46042.22917</v>
      </c>
      <c r="I5205" s="237" t="str">
        <f t="shared" si="1"/>
        <v>Fora</v>
      </c>
      <c r="J5205" s="239">
        <v>120.00000001396984</v>
      </c>
    </row>
    <row r="5206">
      <c r="A5206" s="234" t="s">
        <v>6115</v>
      </c>
      <c r="B5206" s="234" t="str">
        <f>IFERROR(__xludf.DUMMYFUNCTION("""COMPUTED_VALUE"""),"LM Hub_SP_Mogi Mirim")</f>
        <v>LM Hub_SP_Mogi Mirim</v>
      </c>
      <c r="C5206" s="234" t="str">
        <f>IFERROR(__xludf.DUMMYFUNCTION("""COMPUTED_VALUE"""),"HUB-LSP-37")</f>
        <v>HUB-LSP-37</v>
      </c>
      <c r="D5206" s="234">
        <f>IFERROR(__xludf.DUMMYFUNCTION("""COMPUTED_VALUE"""),42.0)</f>
        <v>42</v>
      </c>
      <c r="E5206" s="237" t="str">
        <f>IFERROR(__xludf.DUMMYFUNCTION("""COMPUTED_VALUE"""),"LT0Q1K01WTHH1")</f>
        <v>LT0Q1K01WTHH1</v>
      </c>
      <c r="F5206" s="238" t="str">
        <f>IFERROR(__xludf.DUMMYFUNCTION("""COMPUTED_VALUE"""),"TLE4D84")</f>
        <v>TLE4D84</v>
      </c>
      <c r="G5206" s="238">
        <f>IFERROR(__xludf.DUMMYFUNCTION("""COMPUTED_VALUE"""),46042.14583333333)</f>
        <v>46042.14583</v>
      </c>
      <c r="H5206" s="238">
        <f>IFERROR(__xludf.DUMMYFUNCTION("""COMPUTED_VALUE"""),46042.22916666667)</f>
        <v>46042.22917</v>
      </c>
      <c r="I5206" s="237" t="str">
        <f t="shared" si="1"/>
        <v>Fora</v>
      </c>
      <c r="J5206" s="239">
        <v>119.00000001071021</v>
      </c>
    </row>
    <row r="5207">
      <c r="A5207" s="234" t="s">
        <v>6116</v>
      </c>
      <c r="B5207" s="234" t="str">
        <f>IFERROR(__xludf.DUMMYFUNCTION("""COMPUTED_VALUE"""),"LM Hub_SP_Sorocaba_Região Norte")</f>
        <v>LM Hub_SP_Sorocaba_Região Norte</v>
      </c>
      <c r="C5207" s="234" t="str">
        <f>IFERROR(__xludf.DUMMYFUNCTION("""COMPUTED_VALUE"""),"HUB-LSP-10")</f>
        <v>HUB-LSP-10</v>
      </c>
      <c r="D5207" s="234">
        <f>IFERROR(__xludf.DUMMYFUNCTION("""COMPUTED_VALUE"""),9.0)</f>
        <v>9</v>
      </c>
      <c r="E5207" s="237" t="str">
        <f>IFERROR(__xludf.DUMMYFUNCTION("""COMPUTED_VALUE"""),"LT0Q1K01X2ND1")</f>
        <v>LT0Q1K01X2ND1</v>
      </c>
      <c r="F5207" s="238" t="str">
        <f>IFERROR(__xludf.DUMMYFUNCTION("""COMPUTED_VALUE"""),"FDZ3A56,KVS1392")</f>
        <v>FDZ3A56,KVS1392</v>
      </c>
      <c r="G5207" s="238">
        <f>IFERROR(__xludf.DUMMYFUNCTION("""COMPUTED_VALUE"""),46042.146527777775)</f>
        <v>46042.14653</v>
      </c>
      <c r="H5207" s="238">
        <f>IFERROR(__xludf.DUMMYFUNCTION("""COMPUTED_VALUE"""),46042.22916666667)</f>
        <v>46042.22917</v>
      </c>
      <c r="I5207" s="237" t="str">
        <f t="shared" si="1"/>
        <v>Fora</v>
      </c>
      <c r="J5207" s="239">
        <v>540.0</v>
      </c>
    </row>
    <row r="5208">
      <c r="A5208" s="234" t="s">
        <v>6117</v>
      </c>
      <c r="B5208" s="234" t="str">
        <f>IFERROR(__xludf.DUMMYFUNCTION("""COMPUTED_VALUE"""),"SoC_RJ_Duque de Caxias")</f>
        <v>SoC_RJ_Duque de Caxias</v>
      </c>
      <c r="C5208" s="234" t="str">
        <f>IFERROR(__xludf.DUMMYFUNCTION("""COMPUTED_VALUE"""),"SOC-RJ2")</f>
        <v>SOC-RJ2</v>
      </c>
      <c r="D5208" s="234">
        <f>IFERROR(__xludf.DUMMYFUNCTION("""COMPUTED_VALUE"""),96.0)</f>
        <v>96</v>
      </c>
      <c r="E5208" s="237" t="str">
        <f>IFERROR(__xludf.DUMMYFUNCTION("""COMPUTED_VALUE"""),"LT1Q1J01X7P21")</f>
        <v>LT1Q1J01X7P21</v>
      </c>
      <c r="F5208" s="238" t="str">
        <f>IFERROR(__xludf.DUMMYFUNCTION("""COMPUTED_VALUE"""),"ETU9F30,CLU2H96")</f>
        <v>ETU9F30,CLU2H96</v>
      </c>
      <c r="G5208" s="238">
        <f>IFERROR(__xludf.DUMMYFUNCTION("""COMPUTED_VALUE"""),46041.875)</f>
        <v>46041.875</v>
      </c>
      <c r="H5208" s="238">
        <f>IFERROR(__xludf.DUMMYFUNCTION("""COMPUTED_VALUE"""),46042.25)</f>
        <v>46042.25</v>
      </c>
      <c r="I5208" s="237" t="str">
        <f t="shared" si="1"/>
        <v>Fora</v>
      </c>
      <c r="J5208" s="239">
        <v>540.0</v>
      </c>
    </row>
    <row r="5209">
      <c r="A5209" s="234" t="s">
        <v>6118</v>
      </c>
      <c r="B5209" s="234" t="str">
        <f>IFERROR(__xludf.DUMMYFUNCTION("""COMPUTED_VALUE"""),"SoC_RS_Gravataí_02")</f>
        <v>SoC_RS_Gravataí_02</v>
      </c>
      <c r="C5209" s="234" t="str">
        <f>IFERROR(__xludf.DUMMYFUNCTION("""COMPUTED_VALUE"""),"SOC-RS2")</f>
        <v>SOC-RS2</v>
      </c>
      <c r="D5209" s="234">
        <f>IFERROR(__xludf.DUMMYFUNCTION("""COMPUTED_VALUE"""),102.0)</f>
        <v>102</v>
      </c>
      <c r="E5209" s="237" t="str">
        <f>IFERROR(__xludf.DUMMYFUNCTION("""COMPUTED_VALUE"""),"LT1Q1J01X7PF1")</f>
        <v>LT1Q1J01X7PF1</v>
      </c>
      <c r="F5209" s="238" t="str">
        <f>IFERROR(__xludf.DUMMYFUNCTION("""COMPUTED_VALUE"""),"RYO1H40,REB1E40")</f>
        <v>RYO1H40,REB1E40</v>
      </c>
      <c r="G5209" s="238">
        <f>IFERROR(__xludf.DUMMYFUNCTION("""COMPUTED_VALUE"""),46041.875)</f>
        <v>46041.875</v>
      </c>
      <c r="H5209" s="238">
        <f>IFERROR(__xludf.DUMMYFUNCTION("""COMPUTED_VALUE"""),46042.25)</f>
        <v>46042.25</v>
      </c>
      <c r="I5209" s="237" t="str">
        <f t="shared" si="1"/>
        <v>Fora</v>
      </c>
      <c r="J5209" s="239">
        <v>180.0</v>
      </c>
    </row>
    <row r="5210">
      <c r="A5210" s="234" t="s">
        <v>990</v>
      </c>
      <c r="B5210" s="234" t="str">
        <f>IFERROR(__xludf.DUMMYFUNCTION("""COMPUTED_VALUE"""),"SoC_SP_Guarulhos")</f>
        <v>SoC_SP_Guarulhos</v>
      </c>
      <c r="C5210" s="234" t="str">
        <f>IFERROR(__xludf.DUMMYFUNCTION("""COMPUTED_VALUE"""),"SOC-SP6")</f>
        <v>SOC-SP6</v>
      </c>
      <c r="D5210" s="234">
        <f>IFERROR(__xludf.DUMMYFUNCTION("""COMPUTED_VALUE"""),21.0)</f>
        <v>21</v>
      </c>
      <c r="E5210" s="237" t="str">
        <f>IFERROR(__xludf.DUMMYFUNCTION("""COMPUTED_VALUE"""),"LT1Q1K01X7J71")</f>
        <v>LT1Q1K01X7J71</v>
      </c>
      <c r="F5210" s="238" t="str">
        <f>IFERROR(__xludf.DUMMYFUNCTION("""COMPUTED_VALUE"""),"MQV9D62,BVT6J01")</f>
        <v>MQV9D62,BVT6J01</v>
      </c>
      <c r="G5210" s="238">
        <f>IFERROR(__xludf.DUMMYFUNCTION("""COMPUTED_VALUE"""),46042.125)</f>
        <v>46042.125</v>
      </c>
      <c r="H5210" s="238">
        <f>IFERROR(__xludf.DUMMYFUNCTION("""COMPUTED_VALUE"""),46042.25)</f>
        <v>46042.25</v>
      </c>
      <c r="I5210" s="237" t="str">
        <f t="shared" si="1"/>
        <v>Fora</v>
      </c>
      <c r="J5210" s="239">
        <v>119.99999999301508</v>
      </c>
    </row>
    <row r="5211">
      <c r="A5211" s="234" t="s">
        <v>991</v>
      </c>
      <c r="B5211" s="234" t="str">
        <f>IFERROR(__xludf.DUMMYFUNCTION("""COMPUTED_VALUE"""),"LM Hub_SP_Limeira_Campo Belo")</f>
        <v>LM Hub_SP_Limeira_Campo Belo</v>
      </c>
      <c r="C5211" s="234" t="str">
        <f>IFERROR(__xludf.DUMMYFUNCTION("""COMPUTED_VALUE"""),"HUB-LSP-24")</f>
        <v>HUB-LSP-24</v>
      </c>
      <c r="D5211" s="234">
        <f>IFERROR(__xludf.DUMMYFUNCTION("""COMPUTED_VALUE"""),25.0)</f>
        <v>25</v>
      </c>
      <c r="E5211" s="237" t="str">
        <f>IFERROR(__xludf.DUMMYFUNCTION("""COMPUTED_VALUE"""),"LT0Q1K01WTGS1")</f>
        <v>LT0Q1K01WTGS1</v>
      </c>
      <c r="F5211" s="238" t="str">
        <f>IFERROR(__xludf.DUMMYFUNCTION("""COMPUTED_VALUE"""),"UDI0A98")</f>
        <v>UDI0A98</v>
      </c>
      <c r="G5211" s="238">
        <f>IFERROR(__xludf.DUMMYFUNCTION("""COMPUTED_VALUE"""),46042.16666666667)</f>
        <v>46042.16667</v>
      </c>
      <c r="H5211" s="238">
        <f>IFERROR(__xludf.DUMMYFUNCTION("""COMPUTED_VALUE"""),46042.25)</f>
        <v>46042.25</v>
      </c>
      <c r="I5211" s="237" t="str">
        <f t="shared" si="1"/>
        <v>Fora</v>
      </c>
      <c r="J5211" s="239">
        <v>119.99999999301508</v>
      </c>
    </row>
    <row r="5212">
      <c r="A5212" s="234" t="s">
        <v>6119</v>
      </c>
      <c r="B5212" s="234" t="str">
        <f>IFERROR(__xludf.DUMMYFUNCTION("""COMPUTED_VALUE"""),"LM Hub_SP_Registro")</f>
        <v>LM Hub_SP_Registro</v>
      </c>
      <c r="C5212" s="234" t="str">
        <f>IFERROR(__xludf.DUMMYFUNCTION("""COMPUTED_VALUE"""),"HUB-LSP-40")</f>
        <v>HUB-LSP-40</v>
      </c>
      <c r="D5212" s="234">
        <f>IFERROR(__xludf.DUMMYFUNCTION("""COMPUTED_VALUE"""),15.0)</f>
        <v>15</v>
      </c>
      <c r="E5212" s="237" t="str">
        <f>IFERROR(__xludf.DUMMYFUNCTION("""COMPUTED_VALUE"""),"LT0Q1K01WTFJ1")</f>
        <v>LT0Q1K01WTFJ1</v>
      </c>
      <c r="F5212" s="238" t="str">
        <f>IFERROR(__xludf.DUMMYFUNCTION("""COMPUTED_VALUE"""),"FLG8F16")</f>
        <v>FLG8F16</v>
      </c>
      <c r="G5212" s="238">
        <f>IFERROR(__xludf.DUMMYFUNCTION("""COMPUTED_VALUE"""),46042.16666666667)</f>
        <v>46042.16667</v>
      </c>
      <c r="H5212" s="238">
        <f>IFERROR(__xludf.DUMMYFUNCTION("""COMPUTED_VALUE"""),46042.25)</f>
        <v>46042.25</v>
      </c>
      <c r="I5212" s="237" t="str">
        <f t="shared" si="1"/>
        <v>Fora</v>
      </c>
      <c r="J5212" s="239">
        <v>119.99999999301508</v>
      </c>
    </row>
    <row r="5213">
      <c r="A5213" s="234" t="s">
        <v>6120</v>
      </c>
      <c r="B5213" s="234" t="str">
        <f>IFERROR(__xludf.DUMMYFUNCTION("""COMPUTED_VALUE"""),"SoC_GO_Goiânia_02")</f>
        <v>SoC_GO_Goiânia_02</v>
      </c>
      <c r="C5213" s="234" t="str">
        <f>IFERROR(__xludf.DUMMYFUNCTION("""COMPUTED_VALUE"""),"SOC-GO2")</f>
        <v>SOC-GO2</v>
      </c>
      <c r="D5213" s="234"/>
      <c r="E5213" s="237" t="str">
        <f>IFERROR(__xludf.DUMMYFUNCTION("""COMPUTED_VALUE"""),"LT1Q1K01X7PL1")</f>
        <v>LT1Q1K01X7PL1</v>
      </c>
      <c r="F5213" s="238" t="str">
        <f>IFERROR(__xludf.DUMMYFUNCTION("""COMPUTED_VALUE"""),"ESU4F58,ENZ0J80")</f>
        <v>ESU4F58,ENZ0J80</v>
      </c>
      <c r="G5213" s="238">
        <f>IFERROR(__xludf.DUMMYFUNCTION("""COMPUTED_VALUE"""),46042.16666666667)</f>
        <v>46042.16667</v>
      </c>
      <c r="H5213" s="238">
        <f>IFERROR(__xludf.DUMMYFUNCTION("""COMPUTED_VALUE"""),46042.25)</f>
        <v>46042.25</v>
      </c>
      <c r="I5213" s="237" t="str">
        <f t="shared" si="1"/>
        <v>Fora</v>
      </c>
      <c r="J5213" s="239">
        <v>119.99999999301508</v>
      </c>
    </row>
    <row r="5214">
      <c r="A5214" s="234" t="s">
        <v>6121</v>
      </c>
      <c r="B5214" s="234" t="str">
        <f>IFERROR(__xludf.DUMMYFUNCTION("""COMPUTED_VALUE"""),"SoC_GO_Goiânia_02")</f>
        <v>SoC_GO_Goiânia_02</v>
      </c>
      <c r="C5214" s="234" t="str">
        <f>IFERROR(__xludf.DUMMYFUNCTION("""COMPUTED_VALUE"""),"SOC-GO2")</f>
        <v>SOC-GO2</v>
      </c>
      <c r="D5214" s="234"/>
      <c r="E5214" s="237" t="str">
        <f>IFERROR(__xludf.DUMMYFUNCTION("""COMPUTED_VALUE"""),"LT1Q1K01X82C1")</f>
        <v>LT1Q1K01X82C1</v>
      </c>
      <c r="F5214" s="238" t="str">
        <f>IFERROR(__xludf.DUMMYFUNCTION("""COMPUTED_VALUE"""),"RUK3E00,TBC7C64")</f>
        <v>RUK3E00,TBC7C64</v>
      </c>
      <c r="G5214" s="238">
        <f>IFERROR(__xludf.DUMMYFUNCTION("""COMPUTED_VALUE"""),46042.16666666667)</f>
        <v>46042.16667</v>
      </c>
      <c r="H5214" s="238">
        <f>IFERROR(__xludf.DUMMYFUNCTION("""COMPUTED_VALUE"""),46042.25)</f>
        <v>46042.25</v>
      </c>
      <c r="I5214" s="237" t="str">
        <f t="shared" si="1"/>
        <v>Fora</v>
      </c>
      <c r="J5214" s="239">
        <v>119.99999999301508</v>
      </c>
    </row>
    <row r="5215">
      <c r="A5215" s="234" t="s">
        <v>6122</v>
      </c>
      <c r="B5215" s="234" t="str">
        <f>IFERROR(__xludf.DUMMYFUNCTION("""COMPUTED_VALUE"""),"SoC_PR_Curitiba")</f>
        <v>SoC_PR_Curitiba</v>
      </c>
      <c r="C5215" s="234" t="str">
        <f>IFERROR(__xludf.DUMMYFUNCTION("""COMPUTED_VALUE"""),"SOC-PR1")</f>
        <v>SOC-PR1</v>
      </c>
      <c r="D5215" s="234"/>
      <c r="E5215" s="237" t="str">
        <f>IFERROR(__xludf.DUMMYFUNCTION("""COMPUTED_VALUE"""),"LT0Q1K01WT941")</f>
        <v>LT0Q1K01WT941</v>
      </c>
      <c r="F5215" s="238" t="str">
        <f>IFERROR(__xludf.DUMMYFUNCTION("""COMPUTED_VALUE"""),"EUK1H71,SXH1B40")</f>
        <v>EUK1H71,SXH1B40</v>
      </c>
      <c r="G5215" s="238">
        <f>IFERROR(__xludf.DUMMYFUNCTION("""COMPUTED_VALUE"""),46042.16666666667)</f>
        <v>46042.16667</v>
      </c>
      <c r="H5215" s="238">
        <f>IFERROR(__xludf.DUMMYFUNCTION("""COMPUTED_VALUE"""),46042.25)</f>
        <v>46042.25</v>
      </c>
      <c r="I5215" s="237" t="str">
        <f t="shared" si="1"/>
        <v>Fora</v>
      </c>
      <c r="J5215" s="239">
        <v>119.99999999301508</v>
      </c>
    </row>
    <row r="5216">
      <c r="A5216" s="234" t="s">
        <v>6123</v>
      </c>
      <c r="B5216" s="234" t="str">
        <f>IFERROR(__xludf.DUMMYFUNCTION("""COMPUTED_VALUE"""),"SoC_SP_Louveira")</f>
        <v>SoC_SP_Louveira</v>
      </c>
      <c r="C5216" s="234" t="str">
        <f>IFERROR(__xludf.DUMMYFUNCTION("""COMPUTED_VALUE"""),"SOC-SP7")</f>
        <v>SOC-SP7</v>
      </c>
      <c r="D5216" s="234">
        <f>IFERROR(__xludf.DUMMYFUNCTION("""COMPUTED_VALUE"""),48.0)</f>
        <v>48</v>
      </c>
      <c r="E5216" s="237" t="str">
        <f>IFERROR(__xludf.DUMMYFUNCTION("""COMPUTED_VALUE"""),"LT0Q1K01WTB91")</f>
        <v>LT0Q1K01WTB91</v>
      </c>
      <c r="F5216" s="238" t="str">
        <f>IFERROR(__xludf.DUMMYFUNCTION("""COMPUTED_VALUE"""),"GCB8A77,DPF2G86")</f>
        <v>GCB8A77,DPF2G86</v>
      </c>
      <c r="G5216" s="238">
        <f>IFERROR(__xludf.DUMMYFUNCTION("""COMPUTED_VALUE"""),46042.16666666667)</f>
        <v>46042.16667</v>
      </c>
      <c r="H5216" s="238">
        <f>IFERROR(__xludf.DUMMYFUNCTION("""COMPUTED_VALUE"""),46042.25)</f>
        <v>46042.25</v>
      </c>
      <c r="I5216" s="237" t="str">
        <f t="shared" si="1"/>
        <v>Fora</v>
      </c>
      <c r="J5216" s="239">
        <v>119.00000000023283</v>
      </c>
    </row>
    <row r="5217">
      <c r="A5217" s="234" t="s">
        <v>992</v>
      </c>
      <c r="B5217" s="234" t="str">
        <f>IFERROR(__xludf.DUMMYFUNCTION("""COMPUTED_VALUE"""),"LM Hub_SP_Guaratinguetá")</f>
        <v>LM Hub_SP_Guaratinguetá</v>
      </c>
      <c r="C5217" s="234" t="str">
        <f>IFERROR(__xludf.DUMMYFUNCTION("""COMPUTED_VALUE"""),"HUB-LSP-33")</f>
        <v>HUB-LSP-33</v>
      </c>
      <c r="D5217" s="234">
        <f>IFERROR(__xludf.DUMMYFUNCTION("""COMPUTED_VALUE"""),23.0)</f>
        <v>23</v>
      </c>
      <c r="E5217" s="237" t="str">
        <f>IFERROR(__xludf.DUMMYFUNCTION("""COMPUTED_VALUE"""),"LT0Q1K01X2N81")</f>
        <v>LT0Q1K01X2N81</v>
      </c>
      <c r="F5217" s="238" t="str">
        <f>IFERROR(__xludf.DUMMYFUNCTION("""COMPUTED_VALUE"""),"NZI9C32")</f>
        <v>NZI9C32</v>
      </c>
      <c r="G5217" s="238">
        <f>IFERROR(__xludf.DUMMYFUNCTION("""COMPUTED_VALUE"""),46042.16736111111)</f>
        <v>46042.16736</v>
      </c>
      <c r="H5217" s="238">
        <f>IFERROR(__xludf.DUMMYFUNCTION("""COMPUTED_VALUE"""),46042.25)</f>
        <v>46042.25</v>
      </c>
      <c r="I5217" s="237" t="str">
        <f t="shared" si="1"/>
        <v>Fora</v>
      </c>
      <c r="J5217" s="239">
        <v>119.99999999301508</v>
      </c>
    </row>
    <row r="5218">
      <c r="A5218" s="234" t="s">
        <v>993</v>
      </c>
      <c r="B5218" s="234" t="str">
        <f>IFERROR(__xludf.DUMMYFUNCTION("""COMPUTED_VALUE"""),"LM Hub_SP_Atibaia_Ponte_Alta")</f>
        <v>LM Hub_SP_Atibaia_Ponte_Alta</v>
      </c>
      <c r="C5218" s="234" t="str">
        <f>IFERROR(__xludf.DUMMYFUNCTION("""COMPUTED_VALUE"""),"HUB-LSP-87")</f>
        <v>HUB-LSP-87</v>
      </c>
      <c r="D5218" s="234">
        <f>IFERROR(__xludf.DUMMYFUNCTION("""COMPUTED_VALUE"""),16.0)</f>
        <v>16</v>
      </c>
      <c r="E5218" s="237" t="str">
        <f>IFERROR(__xludf.DUMMYFUNCTION("""COMPUTED_VALUE"""),"LT0Q1K01WWTG1")</f>
        <v>LT0Q1K01WWTG1</v>
      </c>
      <c r="F5218" s="238" t="str">
        <f>IFERROR(__xludf.DUMMYFUNCTION("""COMPUTED_VALUE"""),"IRG7163")</f>
        <v>IRG7163</v>
      </c>
      <c r="G5218" s="238">
        <f>IFERROR(__xludf.DUMMYFUNCTION("""COMPUTED_VALUE"""),46042.1875)</f>
        <v>46042.1875</v>
      </c>
      <c r="H5218" s="238">
        <f>IFERROR(__xludf.DUMMYFUNCTION("""COMPUTED_VALUE"""),46042.27083333333)</f>
        <v>46042.27083</v>
      </c>
      <c r="I5218" s="237" t="str">
        <f t="shared" si="1"/>
        <v>Fora</v>
      </c>
      <c r="J5218" s="239">
        <v>119.99999999301508</v>
      </c>
    </row>
    <row r="5219">
      <c r="A5219" s="234" t="s">
        <v>994</v>
      </c>
      <c r="B5219" s="234" t="str">
        <f>IFERROR(__xludf.DUMMYFUNCTION("""COMPUTED_VALUE"""),"LM Hub_SP_Taubaté")</f>
        <v>LM Hub_SP_Taubaté</v>
      </c>
      <c r="C5219" s="234" t="str">
        <f>IFERROR(__xludf.DUMMYFUNCTION("""COMPUTED_VALUE"""),"HUB-LSP-08")</f>
        <v>HUB-LSP-08</v>
      </c>
      <c r="D5219" s="234">
        <f>IFERROR(__xludf.DUMMYFUNCTION("""COMPUTED_VALUE"""),47.0)</f>
        <v>47</v>
      </c>
      <c r="E5219" s="237" t="str">
        <f>IFERROR(__xludf.DUMMYFUNCTION("""COMPUTED_VALUE"""),"LT0Q1K01WTG31")</f>
        <v>LT0Q1K01WTG31</v>
      </c>
      <c r="F5219" s="238" t="str">
        <f>IFERROR(__xludf.DUMMYFUNCTION("""COMPUTED_VALUE"""),"FBQ6A90")</f>
        <v>FBQ6A90</v>
      </c>
      <c r="G5219" s="238">
        <f>IFERROR(__xludf.DUMMYFUNCTION("""COMPUTED_VALUE"""),46042.1875)</f>
        <v>46042.1875</v>
      </c>
      <c r="H5219" s="238">
        <f>IFERROR(__xludf.DUMMYFUNCTION("""COMPUTED_VALUE"""),46042.27083333333)</f>
        <v>46042.27083</v>
      </c>
      <c r="I5219" s="237" t="str">
        <f t="shared" si="1"/>
        <v>Fora</v>
      </c>
      <c r="J5219" s="239">
        <v>540.0</v>
      </c>
    </row>
    <row r="5220">
      <c r="A5220" s="234" t="s">
        <v>995</v>
      </c>
      <c r="B5220" s="234" t="str">
        <f>IFERROR(__xludf.DUMMYFUNCTION("""COMPUTED_VALUE"""),"SoC_BA_Simoes Filho")</f>
        <v>SoC_BA_Simoes Filho</v>
      </c>
      <c r="C5220" s="234" t="str">
        <f>IFERROR(__xludf.DUMMYFUNCTION("""COMPUTED_VALUE"""),"SOC-BA2")</f>
        <v>SOC-BA2</v>
      </c>
      <c r="D5220" s="234">
        <f>IFERROR(__xludf.DUMMYFUNCTION("""COMPUTED_VALUE"""),88.0)</f>
        <v>88</v>
      </c>
      <c r="E5220" s="237" t="str">
        <f>IFERROR(__xludf.DUMMYFUNCTION("""COMPUTED_VALUE"""),"LT0Q1J01WYFZ1")</f>
        <v>LT0Q1J01WYFZ1</v>
      </c>
      <c r="F5220" s="238" t="str">
        <f>IFERROR(__xludf.DUMMYFUNCTION("""COMPUTED_VALUE"""),"FWH4D63,FTZ1E12")</f>
        <v>FWH4D63,FTZ1E12</v>
      </c>
      <c r="G5220" s="238">
        <f>IFERROR(__xludf.DUMMYFUNCTION("""COMPUTED_VALUE"""),46041.91666666667)</f>
        <v>46041.91667</v>
      </c>
      <c r="H5220" s="238">
        <f>IFERROR(__xludf.DUMMYFUNCTION("""COMPUTED_VALUE"""),46042.29166666667)</f>
        <v>46042.29167</v>
      </c>
      <c r="I5220" s="237" t="str">
        <f t="shared" si="1"/>
        <v>Fora</v>
      </c>
      <c r="J5220" s="239">
        <v>540.0</v>
      </c>
    </row>
    <row r="5221">
      <c r="A5221" s="234" t="s">
        <v>996</v>
      </c>
      <c r="B5221" s="234" t="str">
        <f>IFERROR(__xludf.DUMMYFUNCTION("""COMPUTED_VALUE"""),"SoC_BA_Simoes Filho")</f>
        <v>SoC_BA_Simoes Filho</v>
      </c>
      <c r="C5221" s="234" t="str">
        <f>IFERROR(__xludf.DUMMYFUNCTION("""COMPUTED_VALUE"""),"SOC-BA2")</f>
        <v>SOC-BA2</v>
      </c>
      <c r="D5221" s="234">
        <f>IFERROR(__xludf.DUMMYFUNCTION("""COMPUTED_VALUE"""),89.0)</f>
        <v>89</v>
      </c>
      <c r="E5221" s="237" t="str">
        <f>IFERROR(__xludf.DUMMYFUNCTION("""COMPUTED_VALUE"""),"LT0Q1J01WYG12")</f>
        <v>LT0Q1J01WYG12</v>
      </c>
      <c r="F5221" s="238" t="str">
        <f>IFERROR(__xludf.DUMMYFUNCTION("""COMPUTED_VALUE"""),"MQW4G16,NFV9C32")</f>
        <v>MQW4G16,NFV9C32</v>
      </c>
      <c r="G5221" s="238">
        <f>IFERROR(__xludf.DUMMYFUNCTION("""COMPUTED_VALUE"""),46041.91666666667)</f>
        <v>46041.91667</v>
      </c>
      <c r="H5221" s="238">
        <f>IFERROR(__xludf.DUMMYFUNCTION("""COMPUTED_VALUE"""),46042.29166666667)</f>
        <v>46042.29167</v>
      </c>
      <c r="I5221" s="237" t="str">
        <f t="shared" si="1"/>
        <v>Fora</v>
      </c>
      <c r="J5221" s="239">
        <v>540.0</v>
      </c>
    </row>
    <row r="5222">
      <c r="A5222" s="234" t="s">
        <v>6124</v>
      </c>
      <c r="B5222" s="234" t="str">
        <f>IFERROR(__xludf.DUMMYFUNCTION("""COMPUTED_VALUE"""),"SoC_GO_Goiânia_02")</f>
        <v>SoC_GO_Goiânia_02</v>
      </c>
      <c r="C5222" s="234" t="str">
        <f>IFERROR(__xludf.DUMMYFUNCTION("""COMPUTED_VALUE"""),"SOC-GO2")</f>
        <v>SOC-GO2</v>
      </c>
      <c r="D5222" s="234">
        <f>IFERROR(__xludf.DUMMYFUNCTION("""COMPUTED_VALUE"""),87.0)</f>
        <v>87</v>
      </c>
      <c r="E5222" s="237" t="str">
        <f>IFERROR(__xludf.DUMMYFUNCTION("""COMPUTED_VALUE"""),"LT0Q1J01WYQZ1")</f>
        <v>LT0Q1J01WYQZ1</v>
      </c>
      <c r="F5222" s="238" t="str">
        <f>IFERROR(__xludf.DUMMYFUNCTION("""COMPUTED_VALUE"""),"MJR4H55,MHP6J82")</f>
        <v>MJR4H55,MHP6J82</v>
      </c>
      <c r="G5222" s="238">
        <f>IFERROR(__xludf.DUMMYFUNCTION("""COMPUTED_VALUE"""),46041.91666666667)</f>
        <v>46041.91667</v>
      </c>
      <c r="H5222" s="238">
        <f>IFERROR(__xludf.DUMMYFUNCTION("""COMPUTED_VALUE"""),46042.29166666667)</f>
        <v>46042.29167</v>
      </c>
      <c r="I5222" s="237" t="str">
        <f t="shared" si="1"/>
        <v>Fora</v>
      </c>
      <c r="J5222" s="239">
        <v>540.0</v>
      </c>
    </row>
    <row r="5223">
      <c r="A5223" s="234" t="s">
        <v>6125</v>
      </c>
      <c r="B5223" s="234" t="str">
        <f>IFERROR(__xludf.DUMMYFUNCTION("""COMPUTED_VALUE"""),"SoC_GO_Goiânia_02")</f>
        <v>SoC_GO_Goiânia_02</v>
      </c>
      <c r="C5223" s="234" t="str">
        <f>IFERROR(__xludf.DUMMYFUNCTION("""COMPUTED_VALUE"""),"SOC-GO2")</f>
        <v>SOC-GO2</v>
      </c>
      <c r="D5223" s="234">
        <f>IFERROR(__xludf.DUMMYFUNCTION("""COMPUTED_VALUE"""),113.0)</f>
        <v>113</v>
      </c>
      <c r="E5223" s="237" t="str">
        <f>IFERROR(__xludf.DUMMYFUNCTION("""COMPUTED_VALUE"""),"LT0Q1J01WYR12")</f>
        <v>LT0Q1J01WYR12</v>
      </c>
      <c r="F5223" s="238" t="str">
        <f>IFERROR(__xludf.DUMMYFUNCTION("""COMPUTED_VALUE"""),"AQW5A12,DBC7D07")</f>
        <v>AQW5A12,DBC7D07</v>
      </c>
      <c r="G5223" s="238">
        <f>IFERROR(__xludf.DUMMYFUNCTION("""COMPUTED_VALUE"""),46041.91666666667)</f>
        <v>46041.91667</v>
      </c>
      <c r="H5223" s="238">
        <f>IFERROR(__xludf.DUMMYFUNCTION("""COMPUTED_VALUE"""),46042.29166666667)</f>
        <v>46042.29167</v>
      </c>
      <c r="I5223" s="237" t="str">
        <f t="shared" si="1"/>
        <v>Fora</v>
      </c>
      <c r="J5223" s="239">
        <v>540.0</v>
      </c>
    </row>
    <row r="5224">
      <c r="A5224" s="234" t="s">
        <v>997</v>
      </c>
      <c r="B5224" s="234" t="str">
        <f>IFERROR(__xludf.DUMMYFUNCTION("""COMPUTED_VALUE"""),"SoC_PE_Jaboatão dos Guararapes")</f>
        <v>SoC_PE_Jaboatão dos Guararapes</v>
      </c>
      <c r="C5224" s="234" t="str">
        <f>IFERROR(__xludf.DUMMYFUNCTION("""COMPUTED_VALUE"""),"SOC-PE2")</f>
        <v>SOC-PE2</v>
      </c>
      <c r="D5224" s="234">
        <f>IFERROR(__xludf.DUMMYFUNCTION("""COMPUTED_VALUE"""),98.0)</f>
        <v>98</v>
      </c>
      <c r="E5224" s="237" t="str">
        <f>IFERROR(__xludf.DUMMYFUNCTION("""COMPUTED_VALUE"""),"LT0Q1J01WYCH1")</f>
        <v>LT0Q1J01WYCH1</v>
      </c>
      <c r="F5224" s="238" t="str">
        <f>IFERROR(__xludf.DUMMYFUNCTION("""COMPUTED_VALUE"""),"HDI9H39,DTC9F57")</f>
        <v>HDI9H39,DTC9F57</v>
      </c>
      <c r="G5224" s="238">
        <f>IFERROR(__xludf.DUMMYFUNCTION("""COMPUTED_VALUE"""),46041.91666666667)</f>
        <v>46041.91667</v>
      </c>
      <c r="H5224" s="238">
        <f>IFERROR(__xludf.DUMMYFUNCTION("""COMPUTED_VALUE"""),46042.29166666667)</f>
        <v>46042.29167</v>
      </c>
      <c r="I5224" s="237" t="str">
        <f t="shared" si="1"/>
        <v>Fora</v>
      </c>
      <c r="J5224" s="239">
        <v>540.0</v>
      </c>
    </row>
    <row r="5225">
      <c r="A5225" s="234" t="s">
        <v>6126</v>
      </c>
      <c r="B5225" s="234" t="str">
        <f>IFERROR(__xludf.DUMMYFUNCTION("""COMPUTED_VALUE"""),"SoC_PE_Jaboatão dos Guararapes")</f>
        <v>SoC_PE_Jaboatão dos Guararapes</v>
      </c>
      <c r="C5225" s="234" t="str">
        <f>IFERROR(__xludf.DUMMYFUNCTION("""COMPUTED_VALUE"""),"SOC-PE2")</f>
        <v>SOC-PE2</v>
      </c>
      <c r="D5225" s="234">
        <f>IFERROR(__xludf.DUMMYFUNCTION("""COMPUTED_VALUE"""),98.0)</f>
        <v>98</v>
      </c>
      <c r="E5225" s="237" t="str">
        <f>IFERROR(__xludf.DUMMYFUNCTION("""COMPUTED_VALUE"""),"LT0Q1J01WYCJ2")</f>
        <v>LT0Q1J01WYCJ2</v>
      </c>
      <c r="F5225" s="238" t="str">
        <f>IFERROR(__xludf.DUMMYFUNCTION("""COMPUTED_VALUE"""),"DVS7J51,EVO3C98")</f>
        <v>DVS7J51,EVO3C98</v>
      </c>
      <c r="G5225" s="238">
        <f>IFERROR(__xludf.DUMMYFUNCTION("""COMPUTED_VALUE"""),46041.91666666667)</f>
        <v>46041.91667</v>
      </c>
      <c r="H5225" s="238">
        <f>IFERROR(__xludf.DUMMYFUNCTION("""COMPUTED_VALUE"""),46042.29166666667)</f>
        <v>46042.29167</v>
      </c>
      <c r="I5225" s="237" t="str">
        <f t="shared" si="1"/>
        <v>Fora</v>
      </c>
      <c r="J5225" s="239">
        <v>540.0</v>
      </c>
    </row>
    <row r="5226">
      <c r="A5226" s="234" t="s">
        <v>6127</v>
      </c>
      <c r="B5226" s="234" t="str">
        <f>IFERROR(__xludf.DUMMYFUNCTION("""COMPUTED_VALUE"""),"SoC_RJ_Duque de Caxias")</f>
        <v>SoC_RJ_Duque de Caxias</v>
      </c>
      <c r="C5226" s="234" t="str">
        <f>IFERROR(__xludf.DUMMYFUNCTION("""COMPUTED_VALUE"""),"SOC-RJ2")</f>
        <v>SOC-RJ2</v>
      </c>
      <c r="D5226" s="234">
        <f>IFERROR(__xludf.DUMMYFUNCTION("""COMPUTED_VALUE"""),96.0)</f>
        <v>96</v>
      </c>
      <c r="E5226" s="237" t="str">
        <f>IFERROR(__xludf.DUMMYFUNCTION("""COMPUTED_VALUE"""),"LT0Q1J01WV6D1")</f>
        <v>LT0Q1J01WV6D1</v>
      </c>
      <c r="F5226" s="238" t="str">
        <f>IFERROR(__xludf.DUMMYFUNCTION("""COMPUTED_VALUE"""),"EQN2H35,ERS9J88")</f>
        <v>EQN2H35,ERS9J88</v>
      </c>
      <c r="G5226" s="238">
        <f>IFERROR(__xludf.DUMMYFUNCTION("""COMPUTED_VALUE"""),46041.91666666667)</f>
        <v>46041.91667</v>
      </c>
      <c r="H5226" s="238">
        <f>IFERROR(__xludf.DUMMYFUNCTION("""COMPUTED_VALUE"""),46042.29166666667)</f>
        <v>46042.29167</v>
      </c>
      <c r="I5226" s="237" t="str">
        <f t="shared" si="1"/>
        <v>Fora</v>
      </c>
      <c r="J5226" s="239">
        <v>540.0</v>
      </c>
    </row>
    <row r="5227">
      <c r="A5227" s="234" t="s">
        <v>998</v>
      </c>
      <c r="B5227" s="234" t="str">
        <f>IFERROR(__xludf.DUMMYFUNCTION("""COMPUTED_VALUE"""),"SoC_RS_Gravataí_02")</f>
        <v>SoC_RS_Gravataí_02</v>
      </c>
      <c r="C5227" s="234" t="str">
        <f>IFERROR(__xludf.DUMMYFUNCTION("""COMPUTED_VALUE"""),"SOC-RS2")</f>
        <v>SOC-RS2</v>
      </c>
      <c r="D5227" s="234">
        <f>IFERROR(__xludf.DUMMYFUNCTION("""COMPUTED_VALUE"""),103.0)</f>
        <v>103</v>
      </c>
      <c r="E5227" s="237" t="str">
        <f>IFERROR(__xludf.DUMMYFUNCTION("""COMPUTED_VALUE"""),"LT0Q1J01WYSX1")</f>
        <v>LT0Q1J01WYSX1</v>
      </c>
      <c r="F5227" s="238" t="str">
        <f>IFERROR(__xludf.DUMMYFUNCTION("""COMPUTED_VALUE"""),"TMD6E28,TPZ5E27")</f>
        <v>TMD6E28,TPZ5E27</v>
      </c>
      <c r="G5227" s="238">
        <f>IFERROR(__xludf.DUMMYFUNCTION("""COMPUTED_VALUE"""),46041.91666666667)</f>
        <v>46041.91667</v>
      </c>
      <c r="H5227" s="238">
        <f>IFERROR(__xludf.DUMMYFUNCTION("""COMPUTED_VALUE"""),46042.29166666667)</f>
        <v>46042.29167</v>
      </c>
      <c r="I5227" s="237" t="str">
        <f t="shared" si="1"/>
        <v>Fora</v>
      </c>
      <c r="J5227" s="239">
        <v>540.0</v>
      </c>
    </row>
    <row r="5228">
      <c r="A5228" s="234" t="s">
        <v>6128</v>
      </c>
      <c r="B5228" s="234" t="str">
        <f>IFERROR(__xludf.DUMMYFUNCTION("""COMPUTED_VALUE"""),"SoC_SC_Itajaí")</f>
        <v>SoC_SC_Itajaí</v>
      </c>
      <c r="C5228" s="234" t="str">
        <f>IFERROR(__xludf.DUMMYFUNCTION("""COMPUTED_VALUE"""),"SOC-SC1")</f>
        <v>SOC-SC1</v>
      </c>
      <c r="D5228" s="234">
        <f>IFERROR(__xludf.DUMMYFUNCTION("""COMPUTED_VALUE"""),101.0)</f>
        <v>101</v>
      </c>
      <c r="E5228" s="237" t="str">
        <f>IFERROR(__xludf.DUMMYFUNCTION("""COMPUTED_VALUE"""),"LT0Q1J01WXHI1")</f>
        <v>LT0Q1J01WXHI1</v>
      </c>
      <c r="F5228" s="238" t="str">
        <f>IFERROR(__xludf.DUMMYFUNCTION("""COMPUTED_VALUE"""),"SXX3G86,TPW5C78")</f>
        <v>SXX3G86,TPW5C78</v>
      </c>
      <c r="G5228" s="238">
        <f>IFERROR(__xludf.DUMMYFUNCTION("""COMPUTED_VALUE"""),46041.91666666667)</f>
        <v>46041.91667</v>
      </c>
      <c r="H5228" s="238">
        <f>IFERROR(__xludf.DUMMYFUNCTION("""COMPUTED_VALUE"""),46042.29166666667)</f>
        <v>46042.29167</v>
      </c>
      <c r="I5228" s="237" t="str">
        <f t="shared" si="1"/>
        <v>Fora</v>
      </c>
      <c r="J5228" s="239">
        <v>540.0</v>
      </c>
    </row>
    <row r="5229">
      <c r="A5229" s="234" t="s">
        <v>6129</v>
      </c>
      <c r="B5229" s="234" t="str">
        <f>IFERROR(__xludf.DUMMYFUNCTION("""COMPUTED_VALUE"""),"SoC_SP_Cravinhos")</f>
        <v>SoC_SP_Cravinhos</v>
      </c>
      <c r="C5229" s="234" t="str">
        <f>IFERROR(__xludf.DUMMYFUNCTION("""COMPUTED_VALUE"""),"SOC-SP5")</f>
        <v>SOC-SP5</v>
      </c>
      <c r="D5229" s="234">
        <f>IFERROR(__xludf.DUMMYFUNCTION("""COMPUTED_VALUE"""),94.0)</f>
        <v>94</v>
      </c>
      <c r="E5229" s="237" t="str">
        <f>IFERROR(__xludf.DUMMYFUNCTION("""COMPUTED_VALUE"""),"LT0Q1J01WTAK1")</f>
        <v>LT0Q1J01WTAK1</v>
      </c>
      <c r="F5229" s="238" t="str">
        <f>IFERROR(__xludf.DUMMYFUNCTION("""COMPUTED_VALUE"""),"EFV3E97,SFK1J98")</f>
        <v>EFV3E97,SFK1J98</v>
      </c>
      <c r="G5229" s="238">
        <f>IFERROR(__xludf.DUMMYFUNCTION("""COMPUTED_VALUE"""),46041.91666666667)</f>
        <v>46041.91667</v>
      </c>
      <c r="H5229" s="238">
        <f>IFERROR(__xludf.DUMMYFUNCTION("""COMPUTED_VALUE"""),46042.29166666667)</f>
        <v>46042.29167</v>
      </c>
      <c r="I5229" s="237" t="str">
        <f t="shared" si="1"/>
        <v>Fora</v>
      </c>
      <c r="J5229" s="239">
        <v>540.0</v>
      </c>
    </row>
    <row r="5230">
      <c r="A5230" s="234" t="s">
        <v>999</v>
      </c>
      <c r="B5230" s="234" t="str">
        <f>IFERROR(__xludf.DUMMYFUNCTION("""COMPUTED_VALUE"""),"SoC_SP_São Bernardo do Campo")</f>
        <v>SoC_SP_São Bernardo do Campo</v>
      </c>
      <c r="C5230" s="234" t="str">
        <f>IFERROR(__xludf.DUMMYFUNCTION("""COMPUTED_VALUE"""),"SOC-SP8")</f>
        <v>SOC-SP8</v>
      </c>
      <c r="D5230" s="234">
        <f>IFERROR(__xludf.DUMMYFUNCTION("""COMPUTED_VALUE"""),102.0)</f>
        <v>102</v>
      </c>
      <c r="E5230" s="237" t="str">
        <f>IFERROR(__xludf.DUMMYFUNCTION("""COMPUTED_VALUE"""),"LT0Q1J01WYSZ2")</f>
        <v>LT0Q1J01WYSZ2</v>
      </c>
      <c r="F5230" s="238" t="str">
        <f>IFERROR(__xludf.DUMMYFUNCTION("""COMPUTED_VALUE"""),"IZY7C13,JDJ7J92")</f>
        <v>IZY7C13,JDJ7J92</v>
      </c>
      <c r="G5230" s="238">
        <f>IFERROR(__xludf.DUMMYFUNCTION("""COMPUTED_VALUE"""),46041.91666666667)</f>
        <v>46041.91667</v>
      </c>
      <c r="H5230" s="238">
        <f>IFERROR(__xludf.DUMMYFUNCTION("""COMPUTED_VALUE"""),46042.29166666667)</f>
        <v>46042.29167</v>
      </c>
      <c r="I5230" s="237" t="str">
        <f t="shared" si="1"/>
        <v>Fora</v>
      </c>
      <c r="J5230" s="239">
        <v>539.0000000072177</v>
      </c>
    </row>
    <row r="5231">
      <c r="A5231" s="234" t="s">
        <v>6130</v>
      </c>
      <c r="B5231" s="234" t="str">
        <f>IFERROR(__xludf.DUMMYFUNCTION("""COMPUTED_VALUE"""),"SoC_MG_Betim")</f>
        <v>SoC_MG_Betim</v>
      </c>
      <c r="C5231" s="234" t="str">
        <f>IFERROR(__xludf.DUMMYFUNCTION("""COMPUTED_VALUE"""),"SOC-MG2")</f>
        <v>SOC-MG2</v>
      </c>
      <c r="D5231" s="234">
        <f>IFERROR(__xludf.DUMMYFUNCTION("""COMPUTED_VALUE"""),90.0)</f>
        <v>90</v>
      </c>
      <c r="E5231" s="237" t="str">
        <f>IFERROR(__xludf.DUMMYFUNCTION("""COMPUTED_VALUE"""),"LT0Q1J01WT8D1")</f>
        <v>LT0Q1J01WT8D1</v>
      </c>
      <c r="F5231" s="238" t="str">
        <f>IFERROR(__xludf.DUMMYFUNCTION("""COMPUTED_VALUE"""),"EZZ2C04,TJK4H86")</f>
        <v>EZZ2C04,TJK4H86</v>
      </c>
      <c r="G5231" s="238">
        <f>IFERROR(__xludf.DUMMYFUNCTION("""COMPUTED_VALUE"""),46041.91736111111)</f>
        <v>46041.91736</v>
      </c>
      <c r="H5231" s="238">
        <f>IFERROR(__xludf.DUMMYFUNCTION("""COMPUTED_VALUE"""),46042.29166666667)</f>
        <v>46042.29167</v>
      </c>
      <c r="I5231" s="237" t="str">
        <f t="shared" si="1"/>
        <v>Fora</v>
      </c>
      <c r="J5231" s="239">
        <v>538.0000000144355</v>
      </c>
    </row>
    <row r="5232">
      <c r="A5232" s="234" t="s">
        <v>6131</v>
      </c>
      <c r="B5232" s="234" t="str">
        <f>IFERROR(__xludf.DUMMYFUNCTION("""COMPUTED_VALUE"""),"SoC_MG_Betim")</f>
        <v>SoC_MG_Betim</v>
      </c>
      <c r="C5232" s="234" t="str">
        <f>IFERROR(__xludf.DUMMYFUNCTION("""COMPUTED_VALUE"""),"SOC-MG2")</f>
        <v>SOC-MG2</v>
      </c>
      <c r="D5232" s="234">
        <f>IFERROR(__xludf.DUMMYFUNCTION("""COMPUTED_VALUE"""),91.0)</f>
        <v>91</v>
      </c>
      <c r="E5232" s="237" t="str">
        <f>IFERROR(__xludf.DUMMYFUNCTION("""COMPUTED_VALUE"""),"LT0Q1J01X2LR1")</f>
        <v>LT0Q1J01X2LR1</v>
      </c>
      <c r="F5232" s="238" t="str">
        <f>IFERROR(__xludf.DUMMYFUNCTION("""COMPUTED_VALUE"""),"HBG0F08,FWO5H10")</f>
        <v>HBG0F08,FWO5H10</v>
      </c>
      <c r="G5232" s="238">
        <f>IFERROR(__xludf.DUMMYFUNCTION("""COMPUTED_VALUE"""),46041.91805555555)</f>
        <v>46041.91806</v>
      </c>
      <c r="H5232" s="238">
        <f>IFERROR(__xludf.DUMMYFUNCTION("""COMPUTED_VALUE"""),46042.29166666667)</f>
        <v>46042.29167</v>
      </c>
      <c r="I5232" s="237" t="str">
        <f t="shared" si="1"/>
        <v>Fora</v>
      </c>
      <c r="J5232" s="239">
        <v>480.00000001396984</v>
      </c>
    </row>
    <row r="5233">
      <c r="A5233" s="234" t="s">
        <v>1001</v>
      </c>
      <c r="B5233" s="234" t="str">
        <f>IFERROR(__xludf.DUMMYFUNCTION("""COMPUTED_VALUE"""),"SoC_RS_Gravataí_02")</f>
        <v>SoC_RS_Gravataí_02</v>
      </c>
      <c r="C5233" s="234" t="str">
        <f>IFERROR(__xludf.DUMMYFUNCTION("""COMPUTED_VALUE"""),"SOC-RS2")</f>
        <v>SOC-RS2</v>
      </c>
      <c r="D5233" s="234"/>
      <c r="E5233" s="237" t="str">
        <f>IFERROR(__xludf.DUMMYFUNCTION("""COMPUTED_VALUE"""),"LT1Q1J01X7PE1")</f>
        <v>LT1Q1J01X7PE1</v>
      </c>
      <c r="F5233" s="238" t="str">
        <f>IFERROR(__xludf.DUMMYFUNCTION("""COMPUTED_VALUE"""),"TQP9I67,JDI5B60")</f>
        <v>TQP9I67,JDI5B60</v>
      </c>
      <c r="G5233" s="238">
        <f>IFERROR(__xludf.DUMMYFUNCTION("""COMPUTED_VALUE"""),46041.95833333333)</f>
        <v>46041.95833</v>
      </c>
      <c r="H5233" s="238">
        <f>IFERROR(__xludf.DUMMYFUNCTION("""COMPUTED_VALUE"""),46042.29166666667)</f>
        <v>46042.29167</v>
      </c>
      <c r="I5233" s="237" t="str">
        <f t="shared" si="1"/>
        <v>Fora</v>
      </c>
      <c r="J5233" s="239">
        <v>180.0</v>
      </c>
    </row>
    <row r="5234">
      <c r="A5234" s="234" t="s">
        <v>1002</v>
      </c>
      <c r="B5234" s="234" t="str">
        <f>IFERROR(__xludf.DUMMYFUNCTION("""COMPUTED_VALUE"""),"SoC_PR_Curitiba")</f>
        <v>SoC_PR_Curitiba</v>
      </c>
      <c r="C5234" s="234" t="str">
        <f>IFERROR(__xludf.DUMMYFUNCTION("""COMPUTED_VALUE"""),"SOC-PR1")</f>
        <v>SOC-PR1</v>
      </c>
      <c r="D5234" s="234">
        <f>IFERROR(__xludf.DUMMYFUNCTION("""COMPUTED_VALUE"""),18.0)</f>
        <v>18</v>
      </c>
      <c r="E5234" s="237" t="str">
        <f>IFERROR(__xludf.DUMMYFUNCTION("""COMPUTED_VALUE"""),"LT1Q1K01X7PB1")</f>
        <v>LT1Q1K01X7PB1</v>
      </c>
      <c r="F5234" s="238" t="str">
        <f>IFERROR(__xludf.DUMMYFUNCTION("""COMPUTED_VALUE"""),"FQJ8B01,UGV7H67")</f>
        <v>FQJ8B01,UGV7H67</v>
      </c>
      <c r="G5234" s="238">
        <f>IFERROR(__xludf.DUMMYFUNCTION("""COMPUTED_VALUE"""),46042.16666666667)</f>
        <v>46042.16667</v>
      </c>
      <c r="H5234" s="238">
        <f>IFERROR(__xludf.DUMMYFUNCTION("""COMPUTED_VALUE"""),46042.29166666667)</f>
        <v>46042.29167</v>
      </c>
      <c r="I5234" s="237" t="str">
        <f t="shared" si="1"/>
        <v>Fora</v>
      </c>
      <c r="J5234" s="239">
        <v>120.00000001396984</v>
      </c>
    </row>
    <row r="5235">
      <c r="A5235" s="234" t="s">
        <v>1003</v>
      </c>
      <c r="B5235" s="234" t="str">
        <f>IFERROR(__xludf.DUMMYFUNCTION("""COMPUTED_VALUE"""),"LM Hub_SP_Barueri_01")</f>
        <v>LM Hub_SP_Barueri_01</v>
      </c>
      <c r="C5235" s="234" t="str">
        <f>IFERROR(__xludf.DUMMYFUNCTION("""COMPUTED_VALUE"""),"HUB-LSP-81")</f>
        <v>HUB-LSP-81</v>
      </c>
      <c r="D5235" s="234">
        <f>IFERROR(__xludf.DUMMYFUNCTION("""COMPUTED_VALUE"""),35.0)</f>
        <v>35</v>
      </c>
      <c r="E5235" s="237" t="str">
        <f>IFERROR(__xludf.DUMMYFUNCTION("""COMPUTED_VALUE"""),"LT0Q1K01WY3U1")</f>
        <v>LT0Q1K01WY3U1</v>
      </c>
      <c r="F5235" s="238" t="str">
        <f>IFERROR(__xludf.DUMMYFUNCTION("""COMPUTED_VALUE"""),"GDB4E59")</f>
        <v>GDB4E59</v>
      </c>
      <c r="G5235" s="238">
        <f>IFERROR(__xludf.DUMMYFUNCTION("""COMPUTED_VALUE"""),46042.20833333333)</f>
        <v>46042.20833</v>
      </c>
      <c r="H5235" s="238">
        <f>IFERROR(__xludf.DUMMYFUNCTION("""COMPUTED_VALUE"""),46042.29166666667)</f>
        <v>46042.29167</v>
      </c>
      <c r="I5235" s="237" t="str">
        <f t="shared" si="1"/>
        <v>Fora</v>
      </c>
      <c r="J5235" s="239">
        <v>120.00000001396984</v>
      </c>
    </row>
    <row r="5236">
      <c r="A5236" s="234" t="s">
        <v>1004</v>
      </c>
      <c r="B5236" s="234" t="str">
        <f>IFERROR(__xludf.DUMMYFUNCTION("""COMPUTED_VALUE"""),"LM Hub_SP_Jundiaí")</f>
        <v>LM Hub_SP_Jundiaí</v>
      </c>
      <c r="C5236" s="234" t="str">
        <f>IFERROR(__xludf.DUMMYFUNCTION("""COMPUTED_VALUE"""),"HUB-LSP-100")</f>
        <v>HUB-LSP-100</v>
      </c>
      <c r="D5236" s="234">
        <f>IFERROR(__xludf.DUMMYFUNCTION("""COMPUTED_VALUE"""),32.0)</f>
        <v>32</v>
      </c>
      <c r="E5236" s="237" t="str">
        <f>IFERROR(__xludf.DUMMYFUNCTION("""COMPUTED_VALUE"""),"LT0Q1K01WZHB1")</f>
        <v>LT0Q1K01WZHB1</v>
      </c>
      <c r="F5236" s="238" t="str">
        <f>IFERROR(__xludf.DUMMYFUNCTION("""COMPUTED_VALUE"""),"TBX6D09")</f>
        <v>TBX6D09</v>
      </c>
      <c r="G5236" s="238">
        <f>IFERROR(__xludf.DUMMYFUNCTION("""COMPUTED_VALUE"""),46042.20833333333)</f>
        <v>46042.20833</v>
      </c>
      <c r="H5236" s="238">
        <f>IFERROR(__xludf.DUMMYFUNCTION("""COMPUTED_VALUE"""),46042.29166666667)</f>
        <v>46042.29167</v>
      </c>
      <c r="I5236" s="237" t="str">
        <f t="shared" si="1"/>
        <v>Fora</v>
      </c>
      <c r="J5236" s="239">
        <v>120.00000001396984</v>
      </c>
    </row>
    <row r="5237">
      <c r="A5237" s="234" t="s">
        <v>1005</v>
      </c>
      <c r="B5237" s="234" t="str">
        <f>IFERROR(__xludf.DUMMYFUNCTION("""COMPUTED_VALUE"""),"LM Hub_SP_Piracicaba")</f>
        <v>LM Hub_SP_Piracicaba</v>
      </c>
      <c r="C5237" s="234" t="str">
        <f>IFERROR(__xludf.DUMMYFUNCTION("""COMPUTED_VALUE"""),"HUB-LSP-62")</f>
        <v>HUB-LSP-62</v>
      </c>
      <c r="D5237" s="234">
        <f>IFERROR(__xludf.DUMMYFUNCTION("""COMPUTED_VALUE"""),46.0)</f>
        <v>46</v>
      </c>
      <c r="E5237" s="237" t="str">
        <f>IFERROR(__xludf.DUMMYFUNCTION("""COMPUTED_VALUE"""),"LT0Q1K01WU4F1")</f>
        <v>LT0Q1K01WU4F1</v>
      </c>
      <c r="F5237" s="238" t="str">
        <f>IFERROR(__xludf.DUMMYFUNCTION("""COMPUTED_VALUE"""),"OMY3I62")</f>
        <v>OMY3I62</v>
      </c>
      <c r="G5237" s="238">
        <f>IFERROR(__xludf.DUMMYFUNCTION("""COMPUTED_VALUE"""),46042.20833333333)</f>
        <v>46042.20833</v>
      </c>
      <c r="H5237" s="238">
        <f>IFERROR(__xludf.DUMMYFUNCTION("""COMPUTED_VALUE"""),46042.29166666667)</f>
        <v>46042.29167</v>
      </c>
      <c r="I5237" s="237" t="str">
        <f t="shared" si="1"/>
        <v>Fora</v>
      </c>
      <c r="J5237" s="239">
        <v>120.00000001396984</v>
      </c>
    </row>
    <row r="5238">
      <c r="A5238" s="234" t="s">
        <v>1006</v>
      </c>
      <c r="B5238" s="234" t="str">
        <f>IFERROR(__xludf.DUMMYFUNCTION("""COMPUTED_VALUE"""),"LM Hub_SP_Santos_PraiaGrande_02")</f>
        <v>LM Hub_SP_Santos_PraiaGrande_02</v>
      </c>
      <c r="C5238" s="234" t="str">
        <f>IFERROR(__xludf.DUMMYFUNCTION("""COMPUTED_VALUE"""),"HUB-LSP-63")</f>
        <v>HUB-LSP-63</v>
      </c>
      <c r="D5238" s="234">
        <f>IFERROR(__xludf.DUMMYFUNCTION("""COMPUTED_VALUE"""),14.0)</f>
        <v>14</v>
      </c>
      <c r="E5238" s="237" t="str">
        <f>IFERROR(__xludf.DUMMYFUNCTION("""COMPUTED_VALUE"""),"LT0Q1K01WUI61")</f>
        <v>LT0Q1K01WUI61</v>
      </c>
      <c r="F5238" s="238" t="str">
        <f>IFERROR(__xludf.DUMMYFUNCTION("""COMPUTED_VALUE"""),"FVG9C61,EGJ9556")</f>
        <v>FVG9C61,EGJ9556</v>
      </c>
      <c r="G5238" s="238">
        <f>IFERROR(__xludf.DUMMYFUNCTION("""COMPUTED_VALUE"""),46042.20833333333)</f>
        <v>46042.20833</v>
      </c>
      <c r="H5238" s="238">
        <f>IFERROR(__xludf.DUMMYFUNCTION("""COMPUTED_VALUE"""),46042.29166666667)</f>
        <v>46042.29167</v>
      </c>
      <c r="I5238" s="237" t="str">
        <f t="shared" si="1"/>
        <v>Fora</v>
      </c>
      <c r="J5238" s="239">
        <v>119.99999999301508</v>
      </c>
    </row>
    <row r="5239">
      <c r="A5239" s="234" t="s">
        <v>1007</v>
      </c>
      <c r="B5239" s="234" t="str">
        <f>IFERROR(__xludf.DUMMYFUNCTION("""COMPUTED_VALUE"""),"LM Hub_SP_Guarujá")</f>
        <v>LM Hub_SP_Guarujá</v>
      </c>
      <c r="C5239" s="234" t="str">
        <f>IFERROR(__xludf.DUMMYFUNCTION("""COMPUTED_VALUE"""),"HUB-LSP-06")</f>
        <v>HUB-LSP-06</v>
      </c>
      <c r="D5239" s="234">
        <f>IFERROR(__xludf.DUMMYFUNCTION("""COMPUTED_VALUE"""),33.0)</f>
        <v>33</v>
      </c>
      <c r="E5239" s="237" t="str">
        <f>IFERROR(__xludf.DUMMYFUNCTION("""COMPUTED_VALUE"""),"LT0Q1K01WUHY1")</f>
        <v>LT0Q1K01WUHY1</v>
      </c>
      <c r="F5239" s="238" t="str">
        <f>IFERROR(__xludf.DUMMYFUNCTION("""COMPUTED_VALUE"""),"SVL5H32")</f>
        <v>SVL5H32</v>
      </c>
      <c r="G5239" s="238">
        <f>IFERROR(__xludf.DUMMYFUNCTION("""COMPUTED_VALUE"""),46042.22916666667)</f>
        <v>46042.22917</v>
      </c>
      <c r="H5239" s="238">
        <f>IFERROR(__xludf.DUMMYFUNCTION("""COMPUTED_VALUE"""),46042.3125)</f>
        <v>46042.3125</v>
      </c>
      <c r="I5239" s="237" t="str">
        <f t="shared" si="1"/>
        <v>Fora</v>
      </c>
      <c r="J5239" s="239">
        <v>119.99999999301508</v>
      </c>
    </row>
    <row r="5240">
      <c r="A5240" s="234" t="s">
        <v>1008</v>
      </c>
      <c r="B5240" s="234" t="str">
        <f>IFERROR(__xludf.DUMMYFUNCTION("""COMPUTED_VALUE"""),"LM Hub_SP_Santos_Praia Grande")</f>
        <v>LM Hub_SP_Santos_Praia Grande</v>
      </c>
      <c r="C5240" s="234" t="str">
        <f>IFERROR(__xludf.DUMMYFUNCTION("""COMPUTED_VALUE"""),"HUB-LSP-09")</f>
        <v>HUB-LSP-09</v>
      </c>
      <c r="D5240" s="234">
        <f>IFERROR(__xludf.DUMMYFUNCTION("""COMPUTED_VALUE"""),34.0)</f>
        <v>34</v>
      </c>
      <c r="E5240" s="237" t="str">
        <f>IFERROR(__xludf.DUMMYFUNCTION("""COMPUTED_VALUE"""),"LT0Q1K01WUI01")</f>
        <v>LT0Q1K01WUI01</v>
      </c>
      <c r="F5240" s="238" t="str">
        <f>IFERROR(__xludf.DUMMYFUNCTION("""COMPUTED_VALUE"""),"CLD1G43")</f>
        <v>CLD1G43</v>
      </c>
      <c r="G5240" s="238">
        <f>IFERROR(__xludf.DUMMYFUNCTION("""COMPUTED_VALUE"""),46042.22916666667)</f>
        <v>46042.22917</v>
      </c>
      <c r="H5240" s="238">
        <f>IFERROR(__xludf.DUMMYFUNCTION("""COMPUTED_VALUE"""),46042.3125)</f>
        <v>46042.3125</v>
      </c>
      <c r="I5240" s="237" t="str">
        <f t="shared" si="1"/>
        <v>Fora</v>
      </c>
      <c r="J5240" s="239">
        <v>119.99999999301508</v>
      </c>
    </row>
    <row r="5241">
      <c r="A5241" s="234" t="s">
        <v>1009</v>
      </c>
      <c r="B5241" s="234" t="str">
        <f>IFERROR(__xludf.DUMMYFUNCTION("""COMPUTED_VALUE"""),"LM Hub_SP_São José dos Campos")</f>
        <v>LM Hub_SP_São José dos Campos</v>
      </c>
      <c r="C5241" s="234" t="str">
        <f>IFERROR(__xludf.DUMMYFUNCTION("""COMPUTED_VALUE"""),"HUB-LSP-04")</f>
        <v>HUB-LSP-04</v>
      </c>
      <c r="D5241" s="234">
        <f>IFERROR(__xludf.DUMMYFUNCTION("""COMPUTED_VALUE"""),17.0)</f>
        <v>17</v>
      </c>
      <c r="E5241" s="237" t="str">
        <f>IFERROR(__xludf.DUMMYFUNCTION("""COMPUTED_VALUE"""),"LT0Q1K01WUI31")</f>
        <v>LT0Q1K01WUI31</v>
      </c>
      <c r="F5241" s="238" t="str">
        <f>IFERROR(__xludf.DUMMYFUNCTION("""COMPUTED_VALUE"""),"TBX6C72")</f>
        <v>TBX6C72</v>
      </c>
      <c r="G5241" s="238">
        <f>IFERROR(__xludf.DUMMYFUNCTION("""COMPUTED_VALUE"""),46042.22916666667)</f>
        <v>46042.22917</v>
      </c>
      <c r="H5241" s="238">
        <f>IFERROR(__xludf.DUMMYFUNCTION("""COMPUTED_VALUE"""),46042.3125)</f>
        <v>46042.3125</v>
      </c>
      <c r="I5241" s="237" t="str">
        <f t="shared" si="1"/>
        <v>Fora</v>
      </c>
      <c r="J5241" s="239">
        <v>119.99999999301508</v>
      </c>
    </row>
    <row r="5242">
      <c r="A5242" s="234" t="s">
        <v>1010</v>
      </c>
      <c r="B5242" s="234" t="str">
        <f>IFERROR(__xludf.DUMMYFUNCTION("""COMPUTED_VALUE"""),"LM Hub_SP_São Paulo_Mooca")</f>
        <v>LM Hub_SP_São Paulo_Mooca</v>
      </c>
      <c r="C5242" s="234" t="str">
        <f>IFERROR(__xludf.DUMMYFUNCTION("""COMPUTED_VALUE"""),"HUB-LSP-13")</f>
        <v>HUB-LSP-13</v>
      </c>
      <c r="D5242" s="234"/>
      <c r="E5242" s="237" t="str">
        <f>IFERROR(__xludf.DUMMYFUNCTION("""COMPUTED_VALUE"""),"LT0Q1K01X2V11")</f>
        <v>LT0Q1K01X2V11</v>
      </c>
      <c r="F5242" s="238" t="str">
        <f>IFERROR(__xludf.DUMMYFUNCTION("""COMPUTED_VALUE"""),"FGI1F79")</f>
        <v>FGI1F79</v>
      </c>
      <c r="G5242" s="238">
        <f>IFERROR(__xludf.DUMMYFUNCTION("""COMPUTED_VALUE"""),46042.22916666667)</f>
        <v>46042.22917</v>
      </c>
      <c r="H5242" s="238">
        <f>IFERROR(__xludf.DUMMYFUNCTION("""COMPUTED_VALUE"""),46042.3125)</f>
        <v>46042.3125</v>
      </c>
      <c r="I5242" s="237" t="str">
        <f t="shared" si="1"/>
        <v>Fora</v>
      </c>
      <c r="J5242" s="239">
        <v>119.00000000023283</v>
      </c>
    </row>
    <row r="5243">
      <c r="A5243" s="234" t="s">
        <v>1011</v>
      </c>
      <c r="B5243" s="234" t="str">
        <f>IFERROR(__xludf.DUMMYFUNCTION("""COMPUTED_VALUE"""),"LM Hub_SP_Itapevi")</f>
        <v>LM Hub_SP_Itapevi</v>
      </c>
      <c r="C5243" s="234" t="str">
        <f>IFERROR(__xludf.DUMMYFUNCTION("""COMPUTED_VALUE"""),"HUB-LSP-41")</f>
        <v>HUB-LSP-41</v>
      </c>
      <c r="D5243" s="234">
        <f>IFERROR(__xludf.DUMMYFUNCTION("""COMPUTED_VALUE"""),6.0)</f>
        <v>6</v>
      </c>
      <c r="E5243" s="237" t="str">
        <f>IFERROR(__xludf.DUMMYFUNCTION("""COMPUTED_VALUE"""),"LT0Q1K01X2MQ1")</f>
        <v>LT0Q1K01X2MQ1</v>
      </c>
      <c r="F5243" s="238" t="str">
        <f>IFERROR(__xludf.DUMMYFUNCTION("""COMPUTED_VALUE"""),"FYQ5533")</f>
        <v>FYQ5533</v>
      </c>
      <c r="G5243" s="238">
        <f>IFERROR(__xludf.DUMMYFUNCTION("""COMPUTED_VALUE"""),46042.22986111111)</f>
        <v>46042.22986</v>
      </c>
      <c r="H5243" s="238">
        <f>IFERROR(__xludf.DUMMYFUNCTION("""COMPUTED_VALUE"""),46042.3125)</f>
        <v>46042.3125</v>
      </c>
      <c r="I5243" s="237" t="str">
        <f t="shared" si="1"/>
        <v>Fora</v>
      </c>
      <c r="J5243" s="239">
        <v>540.0</v>
      </c>
    </row>
    <row r="5244">
      <c r="A5244" s="234" t="s">
        <v>1012</v>
      </c>
      <c r="B5244" s="234" t="str">
        <f>IFERROR(__xludf.DUMMYFUNCTION("""COMPUTED_VALUE"""),"SoC_GO_Goiânia_02")</f>
        <v>SoC_GO_Goiânia_02</v>
      </c>
      <c r="C5244" s="234" t="str">
        <f>IFERROR(__xludf.DUMMYFUNCTION("""COMPUTED_VALUE"""),"SOC-GO2")</f>
        <v>SOC-GO2</v>
      </c>
      <c r="D5244" s="234">
        <f>IFERROR(__xludf.DUMMYFUNCTION("""COMPUTED_VALUE"""),87.0)</f>
        <v>87</v>
      </c>
      <c r="E5244" s="237" t="str">
        <f>IFERROR(__xludf.DUMMYFUNCTION("""COMPUTED_VALUE"""),"LT1Q1J01X8141")</f>
        <v>LT1Q1J01X8141</v>
      </c>
      <c r="F5244" s="238" t="str">
        <f>IFERROR(__xludf.DUMMYFUNCTION("""COMPUTED_VALUE"""),"DPC3D82,MFJ7E04")</f>
        <v>DPC3D82,MFJ7E04</v>
      </c>
      <c r="G5244" s="238">
        <f>IFERROR(__xludf.DUMMYFUNCTION("""COMPUTED_VALUE"""),46041.95833333333)</f>
        <v>46041.95833</v>
      </c>
      <c r="H5244" s="238">
        <f>IFERROR(__xludf.DUMMYFUNCTION("""COMPUTED_VALUE"""),46042.33333333333)</f>
        <v>46042.33333</v>
      </c>
      <c r="I5244" s="237" t="str">
        <f t="shared" si="1"/>
        <v>Fora</v>
      </c>
      <c r="J5244" s="239">
        <v>540.0</v>
      </c>
    </row>
    <row r="5245">
      <c r="A5245" s="234" t="s">
        <v>6132</v>
      </c>
      <c r="B5245" s="234" t="str">
        <f>IFERROR(__xludf.DUMMYFUNCTION("""COMPUTED_VALUE"""),"SoC_SP_São Bernardo do Campo")</f>
        <v>SoC_SP_São Bernardo do Campo</v>
      </c>
      <c r="C5245" s="234" t="str">
        <f>IFERROR(__xludf.DUMMYFUNCTION("""COMPUTED_VALUE"""),"SOC-SP8")</f>
        <v>SOC-SP8</v>
      </c>
      <c r="D5245" s="234">
        <f>IFERROR(__xludf.DUMMYFUNCTION("""COMPUTED_VALUE"""),110.0)</f>
        <v>110</v>
      </c>
      <c r="E5245" s="237" t="str">
        <f>IFERROR(__xludf.DUMMYFUNCTION("""COMPUTED_VALUE"""),"LT1Q1J01X7P31")</f>
        <v>LT1Q1J01X7P31</v>
      </c>
      <c r="F5245" s="238" t="str">
        <f>IFERROR(__xludf.DUMMYFUNCTION("""COMPUTED_VALUE"""),"GIT4F78,FPN2E98")</f>
        <v>GIT4F78,FPN2E98</v>
      </c>
      <c r="G5245" s="238">
        <f>IFERROR(__xludf.DUMMYFUNCTION("""COMPUTED_VALUE"""),46041.95833333333)</f>
        <v>46041.95833</v>
      </c>
      <c r="H5245" s="238">
        <f>IFERROR(__xludf.DUMMYFUNCTION("""COMPUTED_VALUE"""),46042.33333333333)</f>
        <v>46042.33333</v>
      </c>
      <c r="I5245" s="237" t="str">
        <f t="shared" si="1"/>
        <v>Fora</v>
      </c>
      <c r="J5245" s="239">
        <v>119.99999999301508</v>
      </c>
    </row>
    <row r="5246">
      <c r="A5246" s="234" t="s">
        <v>1013</v>
      </c>
      <c r="B5246" s="234" t="str">
        <f>IFERROR(__xludf.DUMMYFUNCTION("""COMPUTED_VALUE"""),"LM Hub_SP_Artur Alvim")</f>
        <v>LM Hub_SP_Artur Alvim</v>
      </c>
      <c r="C5246" s="234" t="str">
        <f>IFERROR(__xludf.DUMMYFUNCTION("""COMPUTED_VALUE"""),"HUB-LSP-07")</f>
        <v>HUB-LSP-07</v>
      </c>
      <c r="D5246" s="234">
        <f>IFERROR(__xludf.DUMMYFUNCTION("""COMPUTED_VALUE"""),12.0)</f>
        <v>12</v>
      </c>
      <c r="E5246" s="237" t="str">
        <f>IFERROR(__xludf.DUMMYFUNCTION("""COMPUTED_VALUE"""),"LT0Q1K01WUHG1")</f>
        <v>LT0Q1K01WUHG1</v>
      </c>
      <c r="F5246" s="238" t="str">
        <f>IFERROR(__xludf.DUMMYFUNCTION("""COMPUTED_VALUE"""),"ASH4C66")</f>
        <v>ASH4C66</v>
      </c>
      <c r="G5246" s="238">
        <f>IFERROR(__xludf.DUMMYFUNCTION("""COMPUTED_VALUE"""),46042.25)</f>
        <v>46042.25</v>
      </c>
      <c r="H5246" s="238">
        <f>IFERROR(__xludf.DUMMYFUNCTION("""COMPUTED_VALUE"""),46042.33333333333)</f>
        <v>46042.33333</v>
      </c>
      <c r="I5246" s="237" t="str">
        <f t="shared" si="1"/>
        <v>Fora</v>
      </c>
      <c r="J5246" s="239">
        <v>119.99999999301508</v>
      </c>
    </row>
    <row r="5247">
      <c r="A5247" s="234" t="s">
        <v>1017</v>
      </c>
      <c r="B5247" s="234" t="str">
        <f>IFERROR(__xludf.DUMMYFUNCTION("""COMPUTED_VALUE"""),"LM Hub_SP_Embu das Artes")</f>
        <v>LM Hub_SP_Embu das Artes</v>
      </c>
      <c r="C5247" s="234" t="str">
        <f>IFERROR(__xludf.DUMMYFUNCTION("""COMPUTED_VALUE"""),"HUB-LSP-36")</f>
        <v>HUB-LSP-36</v>
      </c>
      <c r="D5247" s="234">
        <f>IFERROR(__xludf.DUMMYFUNCTION("""COMPUTED_VALUE"""),9.0)</f>
        <v>9</v>
      </c>
      <c r="E5247" s="237" t="str">
        <f>IFERROR(__xludf.DUMMYFUNCTION("""COMPUTED_VALUE"""),"LT0Q1K01WUI81")</f>
        <v>LT0Q1K01WUI81</v>
      </c>
      <c r="F5247" s="238" t="str">
        <f>IFERROR(__xludf.DUMMYFUNCTION("""COMPUTED_VALUE"""),"UFL4C38")</f>
        <v>UFL4C38</v>
      </c>
      <c r="G5247" s="238">
        <f>IFERROR(__xludf.DUMMYFUNCTION("""COMPUTED_VALUE"""),46042.25)</f>
        <v>46042.25</v>
      </c>
      <c r="H5247" s="238">
        <f>IFERROR(__xludf.DUMMYFUNCTION("""COMPUTED_VALUE"""),46042.33333333333)</f>
        <v>46042.33333</v>
      </c>
      <c r="I5247" s="237" t="str">
        <f t="shared" si="1"/>
        <v>Fora</v>
      </c>
      <c r="J5247" s="239">
        <v>119.99999999301508</v>
      </c>
    </row>
    <row r="5248">
      <c r="A5248" s="234" t="s">
        <v>1014</v>
      </c>
      <c r="B5248" s="234" t="str">
        <f>IFERROR(__xludf.DUMMYFUNCTION("""COMPUTED_VALUE"""),"LM Hub_SP_Guarulhos")</f>
        <v>LM Hub_SP_Guarulhos</v>
      </c>
      <c r="C5248" s="234" t="str">
        <f>IFERROR(__xludf.DUMMYFUNCTION("""COMPUTED_VALUE"""),"HUB-LSP-77")</f>
        <v>HUB-LSP-77</v>
      </c>
      <c r="D5248" s="234">
        <f>IFERROR(__xludf.DUMMYFUNCTION("""COMPUTED_VALUE"""),28.0)</f>
        <v>28</v>
      </c>
      <c r="E5248" s="237" t="str">
        <f>IFERROR(__xludf.DUMMYFUNCTION("""COMPUTED_VALUE"""),"LT0Q1K01WUI41")</f>
        <v>LT0Q1K01WUI41</v>
      </c>
      <c r="F5248" s="238" t="str">
        <f>IFERROR(__xludf.DUMMYFUNCTION("""COMPUTED_VALUE"""),"DJB5B15")</f>
        <v>DJB5B15</v>
      </c>
      <c r="G5248" s="238">
        <f>IFERROR(__xludf.DUMMYFUNCTION("""COMPUTED_VALUE"""),46042.25)</f>
        <v>46042.25</v>
      </c>
      <c r="H5248" s="238">
        <f>IFERROR(__xludf.DUMMYFUNCTION("""COMPUTED_VALUE"""),46042.33333333333)</f>
        <v>46042.33333</v>
      </c>
      <c r="I5248" s="237" t="str">
        <f t="shared" si="1"/>
        <v>Fora</v>
      </c>
      <c r="J5248" s="239">
        <v>119.99999999301508</v>
      </c>
    </row>
    <row r="5249">
      <c r="A5249" s="234" t="s">
        <v>1016</v>
      </c>
      <c r="B5249" s="234" t="str">
        <f>IFERROR(__xludf.DUMMYFUNCTION("""COMPUTED_VALUE"""),"LM Hub_SP_Jurubatuba")</f>
        <v>LM Hub_SP_Jurubatuba</v>
      </c>
      <c r="C5249" s="234" t="str">
        <f>IFERROR(__xludf.DUMMYFUNCTION("""COMPUTED_VALUE"""),"HUB-LSP-16")</f>
        <v>HUB-LSP-16</v>
      </c>
      <c r="D5249" s="234">
        <f>IFERROR(__xludf.DUMMYFUNCTION("""COMPUTED_VALUE"""),41.0)</f>
        <v>41</v>
      </c>
      <c r="E5249" s="237" t="str">
        <f>IFERROR(__xludf.DUMMYFUNCTION("""COMPUTED_VALUE"""),"LT0Q1K01WUHM1")</f>
        <v>LT0Q1K01WUHM1</v>
      </c>
      <c r="F5249" s="238" t="str">
        <f>IFERROR(__xludf.DUMMYFUNCTION("""COMPUTED_VALUE"""),"EFY1G61,CUG2A56")</f>
        <v>EFY1G61,CUG2A56</v>
      </c>
      <c r="G5249" s="238">
        <f>IFERROR(__xludf.DUMMYFUNCTION("""COMPUTED_VALUE"""),46042.25)</f>
        <v>46042.25</v>
      </c>
      <c r="H5249" s="238">
        <f>IFERROR(__xludf.DUMMYFUNCTION("""COMPUTED_VALUE"""),46042.33333333333)</f>
        <v>46042.33333</v>
      </c>
      <c r="I5249" s="237" t="str">
        <f t="shared" si="1"/>
        <v>Fora</v>
      </c>
      <c r="J5249" s="239">
        <v>119.99999999301508</v>
      </c>
    </row>
    <row r="5250">
      <c r="A5250" s="234" t="s">
        <v>1015</v>
      </c>
      <c r="B5250" s="234" t="str">
        <f>IFERROR(__xludf.DUMMYFUNCTION("""COMPUTED_VALUE"""),"LM Hub_SP_Osasco_02")</f>
        <v>LM Hub_SP_Osasco_02</v>
      </c>
      <c r="C5250" s="234" t="str">
        <f>IFERROR(__xludf.DUMMYFUNCTION("""COMPUTED_VALUE"""),"HUB-LSP-60")</f>
        <v>HUB-LSP-60</v>
      </c>
      <c r="D5250" s="234">
        <f>IFERROR(__xludf.DUMMYFUNCTION("""COMPUTED_VALUE"""),27.0)</f>
        <v>27</v>
      </c>
      <c r="E5250" s="237" t="str">
        <f>IFERROR(__xludf.DUMMYFUNCTION("""COMPUTED_VALUE"""),"LT0Q1K01WUHQ1")</f>
        <v>LT0Q1K01WUHQ1</v>
      </c>
      <c r="F5250" s="238" t="str">
        <f>IFERROR(__xludf.DUMMYFUNCTION("""COMPUTED_VALUE"""),"FEU6H63")</f>
        <v>FEU6H63</v>
      </c>
      <c r="G5250" s="238">
        <f>IFERROR(__xludf.DUMMYFUNCTION("""COMPUTED_VALUE"""),46042.25)</f>
        <v>46042.25</v>
      </c>
      <c r="H5250" s="238">
        <f>IFERROR(__xludf.DUMMYFUNCTION("""COMPUTED_VALUE"""),46042.33333333333)</f>
        <v>46042.33333</v>
      </c>
      <c r="I5250" s="237" t="str">
        <f t="shared" si="1"/>
        <v>Fora</v>
      </c>
      <c r="J5250" s="239">
        <v>119.99999999301508</v>
      </c>
    </row>
    <row r="5251">
      <c r="A5251" s="234" t="s">
        <v>1018</v>
      </c>
      <c r="B5251" s="234" t="str">
        <f>IFERROR(__xludf.DUMMYFUNCTION("""COMPUTED_VALUE"""),"LM Hub_SP_São Paulo_Lapa")</f>
        <v>LM Hub_SP_São Paulo_Lapa</v>
      </c>
      <c r="C5251" s="234" t="str">
        <f>IFERROR(__xludf.DUMMYFUNCTION("""COMPUTED_VALUE"""),"HUB-LSP-15")</f>
        <v>HUB-LSP-15</v>
      </c>
      <c r="D5251" s="234">
        <f>IFERROR(__xludf.DUMMYFUNCTION("""COMPUTED_VALUE"""),45.0)</f>
        <v>45</v>
      </c>
      <c r="E5251" s="237" t="str">
        <f>IFERROR(__xludf.DUMMYFUNCTION("""COMPUTED_VALUE"""),"LT1Q1K01X7UO1")</f>
        <v>LT1Q1K01X7UO1</v>
      </c>
      <c r="F5251" s="238" t="str">
        <f>IFERROR(__xludf.DUMMYFUNCTION("""COMPUTED_VALUE"""),"QPV1A02,ELQ6F04")</f>
        <v>QPV1A02,ELQ6F04</v>
      </c>
      <c r="G5251" s="238">
        <f>IFERROR(__xludf.DUMMYFUNCTION("""COMPUTED_VALUE"""),46042.25)</f>
        <v>46042.25</v>
      </c>
      <c r="H5251" s="238">
        <f>IFERROR(__xludf.DUMMYFUNCTION("""COMPUTED_VALUE"""),46042.33333333333)</f>
        <v>46042.33333</v>
      </c>
      <c r="I5251" s="237" t="str">
        <f t="shared" si="1"/>
        <v>Fora</v>
      </c>
      <c r="J5251" s="239">
        <v>119.99999999301508</v>
      </c>
    </row>
    <row r="5252">
      <c r="A5252" s="234" t="s">
        <v>6133</v>
      </c>
      <c r="B5252" s="234" t="str">
        <f>IFERROR(__xludf.DUMMYFUNCTION("""COMPUTED_VALUE"""),"LM Hub_SP_VilaGuilherme")</f>
        <v>LM Hub_SP_VilaGuilherme</v>
      </c>
      <c r="C5252" s="234" t="str">
        <f>IFERROR(__xludf.DUMMYFUNCTION("""COMPUTED_VALUE"""),"HUB-LSP-68")</f>
        <v>HUB-LSP-68</v>
      </c>
      <c r="D5252" s="234">
        <f>IFERROR(__xludf.DUMMYFUNCTION("""COMPUTED_VALUE"""),8.0)</f>
        <v>8</v>
      </c>
      <c r="E5252" s="237" t="str">
        <f>IFERROR(__xludf.DUMMYFUNCTION("""COMPUTED_VALUE"""),"LT0Q1K01WUHU1")</f>
        <v>LT0Q1K01WUHU1</v>
      </c>
      <c r="F5252" s="238" t="str">
        <f>IFERROR(__xludf.DUMMYFUNCTION("""COMPUTED_VALUE"""),"GBC7H76")</f>
        <v>GBC7H76</v>
      </c>
      <c r="G5252" s="238">
        <f>IFERROR(__xludf.DUMMYFUNCTION("""COMPUTED_VALUE"""),46042.25)</f>
        <v>46042.25</v>
      </c>
      <c r="H5252" s="238">
        <f>IFERROR(__xludf.DUMMYFUNCTION("""COMPUTED_VALUE"""),46042.33333333333)</f>
        <v>46042.33333</v>
      </c>
      <c r="I5252" s="237" t="str">
        <f t="shared" si="1"/>
        <v>Fora</v>
      </c>
      <c r="J5252" s="239">
        <v>540.0</v>
      </c>
    </row>
    <row r="5253">
      <c r="A5253" s="234" t="s">
        <v>6134</v>
      </c>
      <c r="B5253" s="234" t="str">
        <f>IFERROR(__xludf.DUMMYFUNCTION("""COMPUTED_VALUE"""),"SoC_BA_Simoes Filho")</f>
        <v>SoC_BA_Simoes Filho</v>
      </c>
      <c r="C5253" s="234" t="str">
        <f>IFERROR(__xludf.DUMMYFUNCTION("""COMPUTED_VALUE"""),"SOC-BA2")</f>
        <v>SOC-BA2</v>
      </c>
      <c r="D5253" s="234">
        <f>IFERROR(__xludf.DUMMYFUNCTION("""COMPUTED_VALUE"""),89.0)</f>
        <v>89</v>
      </c>
      <c r="E5253" s="237" t="str">
        <f>IFERROR(__xludf.DUMMYFUNCTION("""COMPUTED_VALUE"""),"LT1Q1K01X8031")</f>
        <v>LT1Q1K01X8031</v>
      </c>
      <c r="F5253" s="238" t="str">
        <f>IFERROR(__xludf.DUMMYFUNCTION("""COMPUTED_VALUE"""),"DPE4A94,ELQ5F25")</f>
        <v>DPE4A94,ELQ5F25</v>
      </c>
      <c r="G5253" s="238">
        <f>IFERROR(__xludf.DUMMYFUNCTION("""COMPUTED_VALUE"""),46042.0)</f>
        <v>46042</v>
      </c>
      <c r="H5253" s="238">
        <f>IFERROR(__xludf.DUMMYFUNCTION("""COMPUTED_VALUE"""),46042.375)</f>
        <v>46042.375</v>
      </c>
      <c r="I5253" s="237" t="str">
        <f t="shared" si="1"/>
        <v>Fora</v>
      </c>
      <c r="J5253" s="239">
        <v>540.0</v>
      </c>
    </row>
    <row r="5254">
      <c r="A5254" s="234" t="s">
        <v>6135</v>
      </c>
      <c r="B5254" s="234" t="str">
        <f>IFERROR(__xludf.DUMMYFUNCTION("""COMPUTED_VALUE"""),"SoC_RJ_Duque de Caxias")</f>
        <v>SoC_RJ_Duque de Caxias</v>
      </c>
      <c r="C5254" s="234" t="str">
        <f>IFERROR(__xludf.DUMMYFUNCTION("""COMPUTED_VALUE"""),"SOC-RJ2")</f>
        <v>SOC-RJ2</v>
      </c>
      <c r="D5254" s="234">
        <f>IFERROR(__xludf.DUMMYFUNCTION("""COMPUTED_VALUE"""),97.0)</f>
        <v>97</v>
      </c>
      <c r="E5254" s="237" t="str">
        <f>IFERROR(__xludf.DUMMYFUNCTION("""COMPUTED_VALUE"""),"LT1Q1K01X80Q1")</f>
        <v>LT1Q1K01X80Q1</v>
      </c>
      <c r="F5254" s="238" t="str">
        <f>IFERROR(__xludf.DUMMYFUNCTION("""COMPUTED_VALUE"""),"KRT6G35,LLV7B24")</f>
        <v>KRT6G35,LLV7B24</v>
      </c>
      <c r="G5254" s="238">
        <f>IFERROR(__xludf.DUMMYFUNCTION("""COMPUTED_VALUE"""),46042.0)</f>
        <v>46042</v>
      </c>
      <c r="H5254" s="238">
        <f>IFERROR(__xludf.DUMMYFUNCTION("""COMPUTED_VALUE"""),46042.375)</f>
        <v>46042.375</v>
      </c>
      <c r="I5254" s="237" t="str">
        <f t="shared" si="1"/>
        <v>Fora</v>
      </c>
      <c r="J5254" s="239">
        <v>540.0</v>
      </c>
    </row>
    <row r="5255">
      <c r="A5255" s="234" t="s">
        <v>6136</v>
      </c>
      <c r="B5255" s="234" t="str">
        <f>IFERROR(__xludf.DUMMYFUNCTION("""COMPUTED_VALUE"""),"SoC_SP_Cravinhos")</f>
        <v>SoC_SP_Cravinhos</v>
      </c>
      <c r="C5255" s="234" t="str">
        <f>IFERROR(__xludf.DUMMYFUNCTION("""COMPUTED_VALUE"""),"SOC-SP5")</f>
        <v>SOC-SP5</v>
      </c>
      <c r="D5255" s="234">
        <f>IFERROR(__xludf.DUMMYFUNCTION("""COMPUTED_VALUE"""),94.0)</f>
        <v>94</v>
      </c>
      <c r="E5255" s="237" t="str">
        <f>IFERROR(__xludf.DUMMYFUNCTION("""COMPUTED_VALUE"""),"LT1Q1K01X7PA1")</f>
        <v>LT1Q1K01X7PA1</v>
      </c>
      <c r="F5255" s="238" t="str">
        <f>IFERROR(__xludf.DUMMYFUNCTION("""COMPUTED_VALUE"""),"FTS4B75,UGK8E68")</f>
        <v>FTS4B75,UGK8E68</v>
      </c>
      <c r="G5255" s="238">
        <f>IFERROR(__xludf.DUMMYFUNCTION("""COMPUTED_VALUE"""),46042.0)</f>
        <v>46042</v>
      </c>
      <c r="H5255" s="238">
        <f>IFERROR(__xludf.DUMMYFUNCTION("""COMPUTED_VALUE"""),46042.375)</f>
        <v>46042.375</v>
      </c>
      <c r="I5255" s="237" t="str">
        <f t="shared" si="1"/>
        <v>Fora</v>
      </c>
      <c r="J5255" s="239">
        <v>119.00000000023283</v>
      </c>
    </row>
    <row r="5256">
      <c r="A5256" s="234" t="s">
        <v>6137</v>
      </c>
      <c r="B5256" s="234" t="str">
        <f>IFERROR(__xludf.DUMMYFUNCTION("""COMPUTED_VALUE"""),"LM Hub_SP_Suzano_Baruel")</f>
        <v>LM Hub_SP_Suzano_Baruel</v>
      </c>
      <c r="C5256" s="234" t="str">
        <f>IFERROR(__xludf.DUMMYFUNCTION("""COMPUTED_VALUE"""),"HUB-LSP-97")</f>
        <v>HUB-LSP-97</v>
      </c>
      <c r="D5256" s="234">
        <f>IFERROR(__xludf.DUMMYFUNCTION("""COMPUTED_VALUE"""),36.0)</f>
        <v>36</v>
      </c>
      <c r="E5256" s="237" t="str">
        <f>IFERROR(__xludf.DUMMYFUNCTION("""COMPUTED_VALUE"""),"LT0Q1K01WZT51")</f>
        <v>LT0Q1K01WZT51</v>
      </c>
      <c r="F5256" s="238" t="str">
        <f>IFERROR(__xludf.DUMMYFUNCTION("""COMPUTED_VALUE"""),"RJG8E37,FCG5D30")</f>
        <v>RJG8E37,FCG5D30</v>
      </c>
      <c r="G5256" s="238">
        <f>IFERROR(__xludf.DUMMYFUNCTION("""COMPUTED_VALUE"""),46042.29236111111)</f>
        <v>46042.29236</v>
      </c>
      <c r="H5256" s="238">
        <f>IFERROR(__xludf.DUMMYFUNCTION("""COMPUTED_VALUE"""),46042.375)</f>
        <v>46042.375</v>
      </c>
      <c r="I5256" s="237" t="str">
        <f t="shared" si="1"/>
        <v>Fora</v>
      </c>
      <c r="J5256" s="239">
        <v>479.9999999930151</v>
      </c>
    </row>
    <row r="5257">
      <c r="A5257" s="234" t="s">
        <v>6138</v>
      </c>
      <c r="B5257" s="234" t="str">
        <f>IFERROR(__xludf.DUMMYFUNCTION("""COMPUTED_VALUE"""),"SoC_PE_Jaboatão dos Guararapes")</f>
        <v>SoC_PE_Jaboatão dos Guararapes</v>
      </c>
      <c r="C5257" s="234" t="str">
        <f>IFERROR(__xludf.DUMMYFUNCTION("""COMPUTED_VALUE"""),"SOC-PE2")</f>
        <v>SOC-PE2</v>
      </c>
      <c r="D5257" s="234">
        <f>IFERROR(__xludf.DUMMYFUNCTION("""COMPUTED_VALUE"""),99.0)</f>
        <v>99</v>
      </c>
      <c r="E5257" s="237" t="str">
        <f>IFERROR(__xludf.DUMMYFUNCTION("""COMPUTED_VALUE"""),"LT1Q1K01X7SN1")</f>
        <v>LT1Q1K01X7SN1</v>
      </c>
      <c r="F5257" s="238" t="str">
        <f>IFERROR(__xludf.DUMMYFUNCTION("""COMPUTED_VALUE"""),"NMF7A99,NMH2G99")</f>
        <v>NMF7A99,NMH2G99</v>
      </c>
      <c r="G5257" s="238">
        <f>IFERROR(__xludf.DUMMYFUNCTION("""COMPUTED_VALUE"""),46042.25)</f>
        <v>46042.25</v>
      </c>
      <c r="H5257" s="238">
        <f>IFERROR(__xludf.DUMMYFUNCTION("""COMPUTED_VALUE"""),46042.58333333333)</f>
        <v>46042.58333</v>
      </c>
      <c r="I5257" s="237" t="str">
        <f t="shared" si="1"/>
        <v>Fora</v>
      </c>
      <c r="J5257" s="239">
        <v>479.9999999930151</v>
      </c>
    </row>
    <row r="5258">
      <c r="A5258" s="234" t="s">
        <v>6139</v>
      </c>
      <c r="B5258" s="234" t="str">
        <f>IFERROR(__xludf.DUMMYFUNCTION("""COMPUTED_VALUE"""),"SoC_SP_Cravinhos")</f>
        <v>SoC_SP_Cravinhos</v>
      </c>
      <c r="C5258" s="234" t="str">
        <f>IFERROR(__xludf.DUMMYFUNCTION("""COMPUTED_VALUE"""),"SOC-SP5")</f>
        <v>SOC-SP5</v>
      </c>
      <c r="D5258" s="234">
        <f>IFERROR(__xludf.DUMMYFUNCTION("""COMPUTED_VALUE"""),95.0)</f>
        <v>95</v>
      </c>
      <c r="E5258" s="237" t="str">
        <f>IFERROR(__xludf.DUMMYFUNCTION("""COMPUTED_VALUE"""),"LT1Q1K01X7S11")</f>
        <v>LT1Q1K01X7S11</v>
      </c>
      <c r="F5258" s="238" t="str">
        <f>IFERROR(__xludf.DUMMYFUNCTION("""COMPUTED_VALUE"""),"GKI8F28,IPI7C15")</f>
        <v>GKI8F28,IPI7C15</v>
      </c>
      <c r="G5258" s="238">
        <f>IFERROR(__xludf.DUMMYFUNCTION("""COMPUTED_VALUE"""),46042.25)</f>
        <v>46042.25</v>
      </c>
      <c r="H5258" s="238">
        <f>IFERROR(__xludf.DUMMYFUNCTION("""COMPUTED_VALUE"""),46042.58333333333)</f>
        <v>46042.58333</v>
      </c>
      <c r="I5258" s="237" t="str">
        <f t="shared" si="1"/>
        <v>Fora</v>
      </c>
      <c r="J5258" s="239">
        <v>540.0</v>
      </c>
    </row>
    <row r="5259">
      <c r="A5259" s="234" t="s">
        <v>1019</v>
      </c>
      <c r="B5259" s="234" t="str">
        <f>IFERROR(__xludf.DUMMYFUNCTION("""COMPUTED_VALUE"""),"SoC_RJ_Duque de Caxias")</f>
        <v>SoC_RJ_Duque de Caxias</v>
      </c>
      <c r="C5259" s="234" t="str">
        <f>IFERROR(__xludf.DUMMYFUNCTION("""COMPUTED_VALUE"""),"SOC-RJ2")</f>
        <v>SOC-RJ2</v>
      </c>
      <c r="D5259" s="234">
        <f>IFERROR(__xludf.DUMMYFUNCTION("""COMPUTED_VALUE"""),96.0)</f>
        <v>96</v>
      </c>
      <c r="E5259" s="237" t="str">
        <f>IFERROR(__xludf.DUMMYFUNCTION("""COMPUTED_VALUE"""),"LT1Q1K01X82G1")</f>
        <v>LT1Q1K01X82G1</v>
      </c>
      <c r="F5259" s="238" t="str">
        <f>IFERROR(__xludf.DUMMYFUNCTION("""COMPUTED_VALUE"""),"EFO0G04,MRV5H87")</f>
        <v>EFO0G04,MRV5H87</v>
      </c>
      <c r="G5259" s="238">
        <f>IFERROR(__xludf.DUMMYFUNCTION("""COMPUTED_VALUE"""),46042.25)</f>
        <v>46042.25</v>
      </c>
      <c r="H5259" s="238">
        <f>IFERROR(__xludf.DUMMYFUNCTION("""COMPUTED_VALUE"""),46042.625)</f>
        <v>46042.625</v>
      </c>
      <c r="I5259" s="237" t="str">
        <f t="shared" si="1"/>
        <v>Fora</v>
      </c>
      <c r="J5259" s="239">
        <v>599.0000000037253</v>
      </c>
    </row>
    <row r="5260">
      <c r="A5260" s="234" t="s">
        <v>6140</v>
      </c>
      <c r="B5260" s="234" t="str">
        <f>IFERROR(__xludf.DUMMYFUNCTION("""COMPUTED_VALUE"""),"SoC_MG_Betim")</f>
        <v>SoC_MG_Betim</v>
      </c>
      <c r="C5260" s="234" t="str">
        <f>IFERROR(__xludf.DUMMYFUNCTION("""COMPUTED_VALUE"""),"SOC-MG2")</f>
        <v>SOC-MG2</v>
      </c>
      <c r="D5260" s="234">
        <f>IFERROR(__xludf.DUMMYFUNCTION("""COMPUTED_VALUE"""),91.0)</f>
        <v>91</v>
      </c>
      <c r="E5260" s="237" t="str">
        <f>IFERROR(__xludf.DUMMYFUNCTION("""COMPUTED_VALUE"""),"LT0Q1K01X2LL1")</f>
        <v>LT0Q1K01X2LL1</v>
      </c>
      <c r="F5260" s="238" t="str">
        <f>IFERROR(__xludf.DUMMYFUNCTION("""COMPUTED_VALUE"""),"RLG6F20,FSD8H43")</f>
        <v>RLG6F20,FSD8H43</v>
      </c>
      <c r="G5260" s="238">
        <f>IFERROR(__xludf.DUMMYFUNCTION("""COMPUTED_VALUE"""),46042.25069444445)</f>
        <v>46042.25069</v>
      </c>
      <c r="H5260" s="238">
        <f>IFERROR(__xludf.DUMMYFUNCTION("""COMPUTED_VALUE"""),46042.66666666667)</f>
        <v>46042.66667</v>
      </c>
      <c r="I5260" s="237" t="str">
        <f t="shared" si="1"/>
        <v>Fora</v>
      </c>
      <c r="J5260" s="239">
        <v>599.0000000037253</v>
      </c>
    </row>
    <row r="5261">
      <c r="A5261" s="234" t="s">
        <v>6141</v>
      </c>
      <c r="B5261" s="234" t="str">
        <f>IFERROR(__xludf.DUMMYFUNCTION("""COMPUTED_VALUE"""),"SoC_PE_Jaboatão dos Guararapes")</f>
        <v>SoC_PE_Jaboatão dos Guararapes</v>
      </c>
      <c r="C5261" s="234" t="str">
        <f>IFERROR(__xludf.DUMMYFUNCTION("""COMPUTED_VALUE"""),"SOC-PE2")</f>
        <v>SOC-PE2</v>
      </c>
      <c r="D5261" s="234">
        <f>IFERROR(__xludf.DUMMYFUNCTION("""COMPUTED_VALUE"""),99.0)</f>
        <v>99</v>
      </c>
      <c r="E5261" s="237" t="str">
        <f>IFERROR(__xludf.DUMMYFUNCTION("""COMPUTED_VALUE"""),"LT0Q1K01WYC23")</f>
        <v>LT0Q1K01WYC23</v>
      </c>
      <c r="F5261" s="238" t="str">
        <f>IFERROR(__xludf.DUMMYFUNCTION("""COMPUTED_VALUE"""),"FJQ0H33,FXI7040")</f>
        <v>FJQ0H33,FXI7040</v>
      </c>
      <c r="G5261" s="238">
        <f>IFERROR(__xludf.DUMMYFUNCTION("""COMPUTED_VALUE"""),46042.25069444445)</f>
        <v>46042.25069</v>
      </c>
      <c r="H5261" s="238">
        <f>IFERROR(__xludf.DUMMYFUNCTION("""COMPUTED_VALUE"""),46042.66666666667)</f>
        <v>46042.66667</v>
      </c>
      <c r="I5261" s="237" t="str">
        <f t="shared" si="1"/>
        <v>Fora</v>
      </c>
      <c r="J5261" s="239">
        <v>598.0000000004657</v>
      </c>
    </row>
    <row r="5262">
      <c r="A5262" s="234" t="s">
        <v>6142</v>
      </c>
      <c r="B5262" s="234" t="str">
        <f>IFERROR(__xludf.DUMMYFUNCTION("""COMPUTED_VALUE"""),"SoC_GO_Goiânia_02")</f>
        <v>SoC_GO_Goiânia_02</v>
      </c>
      <c r="C5262" s="234" t="str">
        <f>IFERROR(__xludf.DUMMYFUNCTION("""COMPUTED_VALUE"""),"SOC-GO2")</f>
        <v>SOC-GO2</v>
      </c>
      <c r="D5262" s="234"/>
      <c r="E5262" s="237" t="str">
        <f>IFERROR(__xludf.DUMMYFUNCTION("""COMPUTED_VALUE"""),"LT0Q1K01WYQN3")</f>
        <v>LT0Q1K01WYQN3</v>
      </c>
      <c r="F5262" s="238" t="str">
        <f>IFERROR(__xludf.DUMMYFUNCTION("""COMPUTED_VALUE"""),"IZR3100,FSB1A27")</f>
        <v>IZR3100,FSB1A27</v>
      </c>
      <c r="G5262" s="238">
        <f>IFERROR(__xludf.DUMMYFUNCTION("""COMPUTED_VALUE"""),46042.25138888889)</f>
        <v>46042.25139</v>
      </c>
      <c r="H5262" s="238">
        <f>IFERROR(__xludf.DUMMYFUNCTION("""COMPUTED_VALUE"""),46042.66666666667)</f>
        <v>46042.66667</v>
      </c>
      <c r="I5262" s="237" t="str">
        <f t="shared" si="1"/>
        <v>Fora</v>
      </c>
      <c r="J5262" s="239">
        <v>597.0000000076834</v>
      </c>
    </row>
    <row r="5263">
      <c r="A5263" s="234" t="s">
        <v>6143</v>
      </c>
      <c r="B5263" s="234" t="str">
        <f>IFERROR(__xludf.DUMMYFUNCTION("""COMPUTED_VALUE"""),"SoC_MG_Betim")</f>
        <v>SoC_MG_Betim</v>
      </c>
      <c r="C5263" s="234" t="str">
        <f>IFERROR(__xludf.DUMMYFUNCTION("""COMPUTED_VALUE"""),"SOC-MG2")</f>
        <v>SOC-MG2</v>
      </c>
      <c r="D5263" s="234"/>
      <c r="E5263" s="237" t="str">
        <f>IFERROR(__xludf.DUMMYFUNCTION("""COMPUTED_VALUE"""),"LT0Q1K01WT7C1")</f>
        <v>LT0Q1K01WT7C1</v>
      </c>
      <c r="F5263" s="238" t="str">
        <f>IFERROR(__xludf.DUMMYFUNCTION("""COMPUTED_VALUE"""),"STY3A64,TAT8D53")</f>
        <v>STY3A64,TAT8D53</v>
      </c>
      <c r="G5263" s="238">
        <f>IFERROR(__xludf.DUMMYFUNCTION("""COMPUTED_VALUE"""),46042.25208333333)</f>
        <v>46042.25208</v>
      </c>
      <c r="H5263" s="238">
        <f>IFERROR(__xludf.DUMMYFUNCTION("""COMPUTED_VALUE"""),46042.66666666667)</f>
        <v>46042.66667</v>
      </c>
      <c r="I5263" s="237" t="str">
        <f t="shared" si="1"/>
        <v>Fora</v>
      </c>
      <c r="J5263" s="239">
        <v>597.0000000076834</v>
      </c>
    </row>
    <row r="5264">
      <c r="A5264" s="234" t="s">
        <v>6144</v>
      </c>
      <c r="B5264" s="234" t="str">
        <f>IFERROR(__xludf.DUMMYFUNCTION("""COMPUTED_VALUE"""),"SoC_SP_Cravinhos")</f>
        <v>SoC_SP_Cravinhos</v>
      </c>
      <c r="C5264" s="234" t="str">
        <f>IFERROR(__xludf.DUMMYFUNCTION("""COMPUTED_VALUE"""),"SOC-SP5")</f>
        <v>SOC-SP5</v>
      </c>
      <c r="D5264" s="234"/>
      <c r="E5264" s="237" t="str">
        <f>IFERROR(__xludf.DUMMYFUNCTION("""COMPUTED_VALUE"""),"LT0Q1K01WT9T1")</f>
        <v>LT0Q1K01WT9T1</v>
      </c>
      <c r="F5264" s="238" t="str">
        <f>IFERROR(__xludf.DUMMYFUNCTION("""COMPUTED_VALUE"""),"UDG8A89,UFH2E88")</f>
        <v>UDG8A89,UFH2E88</v>
      </c>
      <c r="G5264" s="238">
        <f>IFERROR(__xludf.DUMMYFUNCTION("""COMPUTED_VALUE"""),46042.25208333333)</f>
        <v>46042.25208</v>
      </c>
      <c r="H5264" s="238">
        <f>IFERROR(__xludf.DUMMYFUNCTION("""COMPUTED_VALUE"""),46042.66666666667)</f>
        <v>46042.66667</v>
      </c>
      <c r="I5264" s="237" t="str">
        <f t="shared" si="1"/>
        <v>Fora</v>
      </c>
      <c r="J5264" s="239">
        <v>597.0000000076834</v>
      </c>
    </row>
    <row r="5265">
      <c r="A5265" s="234" t="s">
        <v>6145</v>
      </c>
      <c r="B5265" s="234" t="str">
        <f>IFERROR(__xludf.DUMMYFUNCTION("""COMPUTED_VALUE"""),"SoC_SP_Cravinhos")</f>
        <v>SoC_SP_Cravinhos</v>
      </c>
      <c r="C5265" s="234" t="str">
        <f>IFERROR(__xludf.DUMMYFUNCTION("""COMPUTED_VALUE"""),"SOC-SP5")</f>
        <v>SOC-SP5</v>
      </c>
      <c r="D5265" s="234"/>
      <c r="E5265" s="237" t="str">
        <f>IFERROR(__xludf.DUMMYFUNCTION("""COMPUTED_VALUE"""),"LT0Q1K01WT9Z4")</f>
        <v>LT0Q1K01WT9Z4</v>
      </c>
      <c r="F5265" s="238" t="str">
        <f>IFERROR(__xludf.DUMMYFUNCTION("""COMPUTED_VALUE"""),"UGJ0F16,UDJ0C51")</f>
        <v>UGJ0F16,UDJ0C51</v>
      </c>
      <c r="G5265" s="238">
        <f>IFERROR(__xludf.DUMMYFUNCTION("""COMPUTED_VALUE"""),46042.25208333333)</f>
        <v>46042.25208</v>
      </c>
      <c r="H5265" s="238">
        <f>IFERROR(__xludf.DUMMYFUNCTION("""COMPUTED_VALUE"""),46042.66666666667)</f>
        <v>46042.66667</v>
      </c>
      <c r="I5265" s="237" t="str">
        <f t="shared" si="1"/>
        <v>Fora</v>
      </c>
      <c r="J5265" s="239">
        <v>599.0000000037253</v>
      </c>
    </row>
    <row r="5266">
      <c r="A5266" s="234" t="s">
        <v>6146</v>
      </c>
      <c r="B5266" s="234" t="str">
        <f>IFERROR(__xludf.DUMMYFUNCTION("""COMPUTED_VALUE"""),"SoC_SC_Itajaí")</f>
        <v>SoC_SC_Itajaí</v>
      </c>
      <c r="C5266" s="234" t="str">
        <f>IFERROR(__xludf.DUMMYFUNCTION("""COMPUTED_VALUE"""),"SOC-SC1")</f>
        <v>SOC-SC1</v>
      </c>
      <c r="D5266" s="234">
        <f>IFERROR(__xludf.DUMMYFUNCTION("""COMPUTED_VALUE"""),100.0)</f>
        <v>100</v>
      </c>
      <c r="E5266" s="237" t="str">
        <f>IFERROR(__xludf.DUMMYFUNCTION("""COMPUTED_VALUE"""),"LT0Q1K01WXH82")</f>
        <v>LT0Q1K01WXH82</v>
      </c>
      <c r="F5266" s="238" t="str">
        <f>IFERROR(__xludf.DUMMYFUNCTION("""COMPUTED_VALUE"""),"RYN1D89,SXT9D73")</f>
        <v>RYN1D89,SXT9D73</v>
      </c>
      <c r="G5266" s="238">
        <f>IFERROR(__xludf.DUMMYFUNCTION("""COMPUTED_VALUE"""),46042.334027777775)</f>
        <v>46042.33403</v>
      </c>
      <c r="H5266" s="238">
        <f>IFERROR(__xludf.DUMMYFUNCTION("""COMPUTED_VALUE"""),46042.75)</f>
        <v>46042.75</v>
      </c>
      <c r="I5266" s="237" t="str">
        <f t="shared" si="1"/>
        <v>Fora</v>
      </c>
      <c r="J5266" s="239">
        <v>537.9999999934807</v>
      </c>
    </row>
    <row r="5267">
      <c r="A5267" s="234" t="s">
        <v>6147</v>
      </c>
      <c r="B5267" s="238" t="str">
        <f>IFERROR(__xludf.DUMMYFUNCTION("""COMPUTED_VALUE"""),"SoC_SP_Cravinhos")</f>
        <v>SoC_SP_Cravinhos</v>
      </c>
      <c r="C5267" s="238" t="str">
        <f>IFERROR(__xludf.DUMMYFUNCTION("""COMPUTED_VALUE"""),"SOC-SP5")</f>
        <v>SOC-SP5</v>
      </c>
      <c r="D5267" s="234"/>
      <c r="E5267" s="237" t="str">
        <f>IFERROR(__xludf.DUMMYFUNCTION("""COMPUTED_VALUE"""),"LT0Q1K01WTAI4")</f>
        <v>LT0Q1K01WTAI4</v>
      </c>
      <c r="F5267" s="238" t="str">
        <f>IFERROR(__xludf.DUMMYFUNCTION("""COMPUTED_VALUE"""),"DPB7A93,EZL3A04")</f>
        <v>DPB7A93,EZL3A04</v>
      </c>
      <c r="G5267" s="238">
        <f>IFERROR(__xludf.DUMMYFUNCTION("""COMPUTED_VALUE"""),46042.50138888889)</f>
        <v>46042.50139</v>
      </c>
      <c r="H5267" s="238">
        <f>IFERROR(__xludf.DUMMYFUNCTION("""COMPUTED_VALUE"""),46042.875)</f>
        <v>46042.875</v>
      </c>
      <c r="I5267" s="237" t="str">
        <f t="shared" si="1"/>
        <v>Fora</v>
      </c>
      <c r="J5267" s="239">
        <v>119.99999999301508</v>
      </c>
    </row>
    <row r="5268">
      <c r="A5268" s="234" t="s">
        <v>6148</v>
      </c>
      <c r="B5268" s="238" t="str">
        <f>IFERROR(__xludf.DUMMYFUNCTION("""COMPUTED_VALUE"""),"LM Hub_MG_Belo Horizonte_02")</f>
        <v>LM Hub_MG_Belo Horizonte_02</v>
      </c>
      <c r="C5268" s="238" t="str">
        <f>IFERROR(__xludf.DUMMYFUNCTION("""COMPUTED_VALUE"""),"HUB-LMG-50")</f>
        <v>HUB-LMG-50</v>
      </c>
      <c r="D5268" s="234">
        <f>IFERROR(__xludf.DUMMYFUNCTION("""COMPUTED_VALUE"""),14.0)</f>
        <v>14</v>
      </c>
      <c r="E5268" s="237" t="str">
        <f>IFERROR(__xludf.DUMMYFUNCTION("""COMPUTED_VALUE"""),"LT0Q1K01WWZB1")</f>
        <v>LT0Q1K01WWZB1</v>
      </c>
      <c r="F5268" s="238" t="str">
        <f>IFERROR(__xludf.DUMMYFUNCTION("""COMPUTED_VALUE"""),"TBC8A47")</f>
        <v>TBC8A47</v>
      </c>
      <c r="G5268" s="238">
        <f>IFERROR(__xludf.DUMMYFUNCTION("""COMPUTED_VALUE"""),46042.8125)</f>
        <v>46042.8125</v>
      </c>
      <c r="H5268" s="238">
        <f>IFERROR(__xludf.DUMMYFUNCTION("""COMPUTED_VALUE"""),46042.89583333333)</f>
        <v>46042.89583</v>
      </c>
      <c r="I5268" s="237" t="str">
        <f t="shared" si="1"/>
        <v>Fora</v>
      </c>
      <c r="J5268" s="239">
        <v>537.9999999934807</v>
      </c>
    </row>
    <row r="5269">
      <c r="A5269" s="234" t="s">
        <v>6149</v>
      </c>
      <c r="B5269" s="238" t="str">
        <f>IFERROR(__xludf.DUMMYFUNCTION("""COMPUTED_VALUE"""),"SoC_SP_Cravinhos")</f>
        <v>SoC_SP_Cravinhos</v>
      </c>
      <c r="C5269" s="238" t="str">
        <f>IFERROR(__xludf.DUMMYFUNCTION("""COMPUTED_VALUE"""),"SOC-SP5")</f>
        <v>SOC-SP5</v>
      </c>
      <c r="D5269" s="234">
        <f>IFERROR(__xludf.DUMMYFUNCTION("""COMPUTED_VALUE"""),110.0)</f>
        <v>110</v>
      </c>
      <c r="E5269" s="237" t="str">
        <f>IFERROR(__xludf.DUMMYFUNCTION("""COMPUTED_VALUE"""),"LT0Q1K01WTAC1")</f>
        <v>LT0Q1K01WTAC1</v>
      </c>
      <c r="F5269" s="238" t="str">
        <f>IFERROR(__xludf.DUMMYFUNCTION("""COMPUTED_VALUE"""),"MMK7F34,SVS8F74")</f>
        <v>MMK7F34,SVS8F74</v>
      </c>
      <c r="G5269" s="238">
        <f>IFERROR(__xludf.DUMMYFUNCTION("""COMPUTED_VALUE"""),46042.58472222222)</f>
        <v>46042.58472</v>
      </c>
      <c r="H5269" s="238">
        <f>IFERROR(__xludf.DUMMYFUNCTION("""COMPUTED_VALUE"""),46042.95833333333)</f>
        <v>46042.95833</v>
      </c>
      <c r="I5269" s="237" t="str">
        <f t="shared" si="1"/>
        <v>Fora</v>
      </c>
      <c r="J5269" s="239">
        <v>119.99999999301508</v>
      </c>
    </row>
    <row r="5270">
      <c r="A5270" s="234" t="s">
        <v>6150</v>
      </c>
      <c r="B5270" s="234" t="str">
        <f>IFERROR(__xludf.DUMMYFUNCTION("""COMPUTED_VALUE"""),"LM Hub_PR_Curitiba")</f>
        <v>LM Hub_PR_Curitiba</v>
      </c>
      <c r="C5270" s="234" t="str">
        <f>IFERROR(__xludf.DUMMYFUNCTION("""COMPUTED_VALUE"""),"HUB-LPR-16")</f>
        <v>HUB-LPR-16</v>
      </c>
      <c r="D5270" s="234">
        <f>IFERROR(__xludf.DUMMYFUNCTION("""COMPUTED_VALUE"""),40.0)</f>
        <v>40</v>
      </c>
      <c r="E5270" s="237" t="str">
        <f>IFERROR(__xludf.DUMMYFUNCTION("""COMPUTED_VALUE"""),"LT0Q1K01WTIM1")</f>
        <v>LT0Q1K01WTIM1</v>
      </c>
      <c r="F5270" s="238" t="str">
        <f>IFERROR(__xludf.DUMMYFUNCTION("""COMPUTED_VALUE"""),"SXF0H25")</f>
        <v>SXF0H25</v>
      </c>
      <c r="G5270" s="238">
        <f>IFERROR(__xludf.DUMMYFUNCTION("""COMPUTED_VALUE"""),46042.875)</f>
        <v>46042.875</v>
      </c>
      <c r="H5270" s="238">
        <f>IFERROR(__xludf.DUMMYFUNCTION("""COMPUTED_VALUE"""),46042.95833333333)</f>
        <v>46042.95833</v>
      </c>
      <c r="I5270" s="237" t="str">
        <f t="shared" si="1"/>
        <v>Fora</v>
      </c>
      <c r="J5270" s="239">
        <v>119.99999999301508</v>
      </c>
    </row>
    <row r="5271">
      <c r="A5271" s="234" t="s">
        <v>6151</v>
      </c>
      <c r="B5271" s="234" t="str">
        <f>IFERROR(__xludf.DUMMYFUNCTION("""COMPUTED_VALUE"""),"LM Hub_PR_SaoJosedosPinhais")</f>
        <v>LM Hub_PR_SaoJosedosPinhais</v>
      </c>
      <c r="C5271" s="234" t="str">
        <f>IFERROR(__xludf.DUMMYFUNCTION("""COMPUTED_VALUE"""),"HUB-LPR-24")</f>
        <v>HUB-LPR-24</v>
      </c>
      <c r="D5271" s="234">
        <f>IFERROR(__xludf.DUMMYFUNCTION("""COMPUTED_VALUE"""),25.0)</f>
        <v>25</v>
      </c>
      <c r="E5271" s="237" t="str">
        <f>IFERROR(__xludf.DUMMYFUNCTION("""COMPUTED_VALUE"""),"LT0Q1K01WYO51")</f>
        <v>LT0Q1K01WYO51</v>
      </c>
      <c r="F5271" s="238" t="str">
        <f>IFERROR(__xludf.DUMMYFUNCTION("""COMPUTED_VALUE"""),"MIF9B07")</f>
        <v>MIF9B07</v>
      </c>
      <c r="G5271" s="238">
        <f>IFERROR(__xludf.DUMMYFUNCTION("""COMPUTED_VALUE"""),46042.875)</f>
        <v>46042.875</v>
      </c>
      <c r="H5271" s="238">
        <f>IFERROR(__xludf.DUMMYFUNCTION("""COMPUTED_VALUE"""),46042.95833333333)</f>
        <v>46042.95833</v>
      </c>
      <c r="I5271" s="237" t="str">
        <f t="shared" si="1"/>
        <v>Fora</v>
      </c>
      <c r="J5271" s="239">
        <v>119.99999999301508</v>
      </c>
    </row>
    <row r="5272">
      <c r="A5272" s="234" t="s">
        <v>6152</v>
      </c>
      <c r="B5272" s="234" t="str">
        <f>IFERROR(__xludf.DUMMYFUNCTION("""COMPUTED_VALUE"""),"LM Hub_SP_Embu das Artes")</f>
        <v>LM Hub_SP_Embu das Artes</v>
      </c>
      <c r="C5272" s="234" t="str">
        <f>IFERROR(__xludf.DUMMYFUNCTION("""COMPUTED_VALUE"""),"HUB-LSP-36")</f>
        <v>HUB-LSP-36</v>
      </c>
      <c r="D5272" s="234">
        <f>IFERROR(__xludf.DUMMYFUNCTION("""COMPUTED_VALUE"""),24.0)</f>
        <v>24</v>
      </c>
      <c r="E5272" s="237" t="str">
        <f>IFERROR(__xludf.DUMMYFUNCTION("""COMPUTED_VALUE"""),"LT0Q1K01WTDN1")</f>
        <v>LT0Q1K01WTDN1</v>
      </c>
      <c r="F5272" s="238" t="str">
        <f>IFERROR(__xludf.DUMMYFUNCTION("""COMPUTED_VALUE"""),"FGL3B43,FQB3D75")</f>
        <v>FGL3B43,FQB3D75</v>
      </c>
      <c r="G5272" s="238">
        <f>IFERROR(__xludf.DUMMYFUNCTION("""COMPUTED_VALUE"""),46042.875)</f>
        <v>46042.875</v>
      </c>
      <c r="H5272" s="238">
        <f>IFERROR(__xludf.DUMMYFUNCTION("""COMPUTED_VALUE"""),46042.95833333333)</f>
        <v>46042.95833</v>
      </c>
      <c r="I5272" s="237" t="str">
        <f t="shared" si="1"/>
        <v>Fora</v>
      </c>
      <c r="J5272" s="239">
        <v>119.99999999301508</v>
      </c>
    </row>
    <row r="5273">
      <c r="A5273" s="234" t="s">
        <v>6153</v>
      </c>
      <c r="B5273" s="234" t="str">
        <f>IFERROR(__xludf.DUMMYFUNCTION("""COMPUTED_VALUE"""),"LM Hub_SP_Embu das Artes_02")</f>
        <v>LM Hub_SP_Embu das Artes_02</v>
      </c>
      <c r="C5273" s="234" t="str">
        <f>IFERROR(__xludf.DUMMYFUNCTION("""COMPUTED_VALUE"""),"HUB-LSP-96")</f>
        <v>HUB-LSP-96</v>
      </c>
      <c r="D5273" s="234">
        <f>IFERROR(__xludf.DUMMYFUNCTION("""COMPUTED_VALUE"""),13.0)</f>
        <v>13</v>
      </c>
      <c r="E5273" s="237" t="str">
        <f>IFERROR(__xludf.DUMMYFUNCTION("""COMPUTED_VALUE"""),"LT0Q1K01WWMR1")</f>
        <v>LT0Q1K01WWMR1</v>
      </c>
      <c r="F5273" s="238" t="str">
        <f>IFERROR(__xludf.DUMMYFUNCTION("""COMPUTED_VALUE"""),"FUF6H46,NVV7D82")</f>
        <v>FUF6H46,NVV7D82</v>
      </c>
      <c r="G5273" s="238">
        <f>IFERROR(__xludf.DUMMYFUNCTION("""COMPUTED_VALUE"""),46042.875)</f>
        <v>46042.875</v>
      </c>
      <c r="H5273" s="238">
        <f>IFERROR(__xludf.DUMMYFUNCTION("""COMPUTED_VALUE"""),46042.95833333333)</f>
        <v>46042.95833</v>
      </c>
      <c r="I5273" s="237" t="str">
        <f t="shared" si="1"/>
        <v>Fora</v>
      </c>
      <c r="J5273" s="239">
        <v>118.99999998975545</v>
      </c>
    </row>
    <row r="5274">
      <c r="A5274" s="234" t="s">
        <v>6154</v>
      </c>
      <c r="B5274" s="234" t="str">
        <f>IFERROR(__xludf.DUMMYFUNCTION("""COMPUTED_VALUE"""),"LM Hub_SP_São Bernardo do Campo")</f>
        <v>LM Hub_SP_São Bernardo do Campo</v>
      </c>
      <c r="C5274" s="234" t="str">
        <f>IFERROR(__xludf.DUMMYFUNCTION("""COMPUTED_VALUE"""),"HUB-LSP-79")</f>
        <v>HUB-LSP-79</v>
      </c>
      <c r="D5274" s="234">
        <f>IFERROR(__xludf.DUMMYFUNCTION("""COMPUTED_VALUE"""),34.0)</f>
        <v>34</v>
      </c>
      <c r="E5274" s="237" t="str">
        <f>IFERROR(__xludf.DUMMYFUNCTION("""COMPUTED_VALUE"""),"LT0Q1K01WU1H1")</f>
        <v>LT0Q1K01WU1H1</v>
      </c>
      <c r="F5274" s="238" t="str">
        <f>IFERROR(__xludf.DUMMYFUNCTION("""COMPUTED_VALUE"""),"EBS3J90")</f>
        <v>EBS3J90</v>
      </c>
      <c r="G5274" s="238">
        <f>IFERROR(__xludf.DUMMYFUNCTION("""COMPUTED_VALUE"""),46042.87569444445)</f>
        <v>46042.87569</v>
      </c>
      <c r="H5274" s="238">
        <f>IFERROR(__xludf.DUMMYFUNCTION("""COMPUTED_VALUE"""),46042.95833333333)</f>
        <v>46042.95833</v>
      </c>
      <c r="I5274" s="237" t="str">
        <f t="shared" si="1"/>
        <v>Fora</v>
      </c>
      <c r="J5274" s="239">
        <v>120.00000001396984</v>
      </c>
    </row>
    <row r="5275">
      <c r="A5275" s="234" t="s">
        <v>6155</v>
      </c>
      <c r="B5275" s="234" t="str">
        <f>IFERROR(__xludf.DUMMYFUNCTION("""COMPUTED_VALUE"""),"LM Hub_RJ_Jacarepaguá")</f>
        <v>LM Hub_RJ_Jacarepaguá</v>
      </c>
      <c r="C5275" s="234" t="str">
        <f>IFERROR(__xludf.DUMMYFUNCTION("""COMPUTED_VALUE"""),"HUB-LRJ-29")</f>
        <v>HUB-LRJ-29</v>
      </c>
      <c r="D5275" s="234">
        <f>IFERROR(__xludf.DUMMYFUNCTION("""COMPUTED_VALUE"""),9.0)</f>
        <v>9</v>
      </c>
      <c r="E5275" s="237" t="str">
        <f>IFERROR(__xludf.DUMMYFUNCTION("""COMPUTED_VALUE"""),"LT0Q1K01WYNM1")</f>
        <v>LT0Q1K01WYNM1</v>
      </c>
      <c r="F5275" s="238" t="str">
        <f>IFERROR(__xludf.DUMMYFUNCTION("""COMPUTED_VALUE"""),"TBX6B96")</f>
        <v>TBX6B96</v>
      </c>
      <c r="G5275" s="238">
        <f>IFERROR(__xludf.DUMMYFUNCTION("""COMPUTED_VALUE"""),46042.89583333333)</f>
        <v>46042.89583</v>
      </c>
      <c r="H5275" s="238">
        <f>IFERROR(__xludf.DUMMYFUNCTION("""COMPUTED_VALUE"""),46042.97916666667)</f>
        <v>46042.97917</v>
      </c>
      <c r="I5275" s="237" t="str">
        <f t="shared" si="1"/>
        <v>Fora</v>
      </c>
      <c r="J5275" s="239">
        <v>120.00000001396984</v>
      </c>
    </row>
    <row r="5276">
      <c r="A5276" s="234" t="s">
        <v>6156</v>
      </c>
      <c r="B5276" s="234" t="str">
        <f>IFERROR(__xludf.DUMMYFUNCTION("""COMPUTED_VALUE"""),"LM Hub_SP_Santos_Praia Grande")</f>
        <v>LM Hub_SP_Santos_Praia Grande</v>
      </c>
      <c r="C5276" s="234" t="str">
        <f>IFERROR(__xludf.DUMMYFUNCTION("""COMPUTED_VALUE"""),"HUB-LSP-09")</f>
        <v>HUB-LSP-09</v>
      </c>
      <c r="D5276" s="234">
        <f>IFERROR(__xludf.DUMMYFUNCTION("""COMPUTED_VALUE"""),19.0)</f>
        <v>19</v>
      </c>
      <c r="E5276" s="237" t="str">
        <f>IFERROR(__xludf.DUMMYFUNCTION("""COMPUTED_VALUE"""),"LT0Q1K01WTGF1")</f>
        <v>LT0Q1K01WTGF1</v>
      </c>
      <c r="F5276" s="238" t="str">
        <f>IFERROR(__xludf.DUMMYFUNCTION("""COMPUTED_VALUE"""),"FZO3D72,DKH9I98")</f>
        <v>FZO3D72,DKH9I98</v>
      </c>
      <c r="G5276" s="238">
        <f>IFERROR(__xludf.DUMMYFUNCTION("""COMPUTED_VALUE"""),46042.89583333333)</f>
        <v>46042.89583</v>
      </c>
      <c r="H5276" s="238">
        <f>IFERROR(__xludf.DUMMYFUNCTION("""COMPUTED_VALUE"""),46042.97916666667)</f>
        <v>46042.97917</v>
      </c>
      <c r="I5276" s="237" t="str">
        <f t="shared" si="1"/>
        <v>Fora</v>
      </c>
      <c r="J5276" s="239">
        <v>120.00000001396984</v>
      </c>
    </row>
    <row r="5277">
      <c r="A5277" s="234" t="s">
        <v>6157</v>
      </c>
      <c r="B5277" s="234" t="str">
        <f>IFERROR(__xludf.DUMMYFUNCTION("""COMPUTED_VALUE"""),"LM Hub_SP_São José dos Campos")</f>
        <v>LM Hub_SP_São José dos Campos</v>
      </c>
      <c r="C5277" s="234" t="str">
        <f>IFERROR(__xludf.DUMMYFUNCTION("""COMPUTED_VALUE"""),"HUB-LSP-04")</f>
        <v>HUB-LSP-04</v>
      </c>
      <c r="D5277" s="234">
        <f>IFERROR(__xludf.DUMMYFUNCTION("""COMPUTED_VALUE"""),27.0)</f>
        <v>27</v>
      </c>
      <c r="E5277" s="237" t="str">
        <f>IFERROR(__xludf.DUMMYFUNCTION("""COMPUTED_VALUE"""),"LT0Q1K01X2NO1")</f>
        <v>LT0Q1K01X2NO1</v>
      </c>
      <c r="F5277" s="238" t="str">
        <f>IFERROR(__xludf.DUMMYFUNCTION("""COMPUTED_VALUE"""),"TIR7J78")</f>
        <v>TIR7J78</v>
      </c>
      <c r="G5277" s="238">
        <f>IFERROR(__xludf.DUMMYFUNCTION("""COMPUTED_VALUE"""),46042.89583333333)</f>
        <v>46042.89583</v>
      </c>
      <c r="H5277" s="238">
        <f>IFERROR(__xludf.DUMMYFUNCTION("""COMPUTED_VALUE"""),46042.97916666667)</f>
        <v>46042.97917</v>
      </c>
      <c r="I5277" s="237" t="str">
        <f t="shared" si="1"/>
        <v>Fora</v>
      </c>
      <c r="J5277" s="239">
        <v>120.00000001396984</v>
      </c>
    </row>
    <row r="5278">
      <c r="A5278" s="234" t="s">
        <v>6158</v>
      </c>
      <c r="B5278" s="234" t="str">
        <f>IFERROR(__xludf.DUMMYFUNCTION("""COMPUTED_VALUE"""),"LM Hub_SP_São Paulo_Lapa")</f>
        <v>LM Hub_SP_São Paulo_Lapa</v>
      </c>
      <c r="C5278" s="234" t="str">
        <f>IFERROR(__xludf.DUMMYFUNCTION("""COMPUTED_VALUE"""),"HUB-LSP-15")</f>
        <v>HUB-LSP-15</v>
      </c>
      <c r="D5278" s="234">
        <f>IFERROR(__xludf.DUMMYFUNCTION("""COMPUTED_VALUE"""),29.0)</f>
        <v>29</v>
      </c>
      <c r="E5278" s="237" t="str">
        <f>IFERROR(__xludf.DUMMYFUNCTION("""COMPUTED_VALUE"""),"LT0Q1K01WTCU1")</f>
        <v>LT0Q1K01WTCU1</v>
      </c>
      <c r="F5278" s="238" t="str">
        <f>IFERROR(__xludf.DUMMYFUNCTION("""COMPUTED_VALUE"""),"DVA3A62,DBC7D61")</f>
        <v>DVA3A62,DBC7D61</v>
      </c>
      <c r="G5278" s="238">
        <f>IFERROR(__xludf.DUMMYFUNCTION("""COMPUTED_VALUE"""),46042.89583333333)</f>
        <v>46042.89583</v>
      </c>
      <c r="H5278" s="238">
        <f>IFERROR(__xludf.DUMMYFUNCTION("""COMPUTED_VALUE"""),46042.97916666667)</f>
        <v>46042.97917</v>
      </c>
      <c r="I5278" s="237" t="str">
        <f t="shared" si="1"/>
        <v>Fora</v>
      </c>
      <c r="J5278" s="239">
        <v>119.00000001071021</v>
      </c>
    </row>
    <row r="5279">
      <c r="A5279" s="234" t="s">
        <v>6159</v>
      </c>
      <c r="B5279" s="234" t="str">
        <f>IFERROR(__xludf.DUMMYFUNCTION("""COMPUTED_VALUE"""),"LM Hub_SP_Itaqua_Zimba")</f>
        <v>LM Hub_SP_Itaqua_Zimba</v>
      </c>
      <c r="C5279" s="234" t="str">
        <f>IFERROR(__xludf.DUMMYFUNCTION("""COMPUTED_VALUE"""),"HUB-LSP-74")</f>
        <v>HUB-LSP-74</v>
      </c>
      <c r="D5279" s="234"/>
      <c r="E5279" s="237" t="str">
        <f>IFERROR(__xludf.DUMMYFUNCTION("""COMPUTED_VALUE"""),"LT0Q1K01X2MZ1")</f>
        <v>LT0Q1K01X2MZ1</v>
      </c>
      <c r="F5279" s="238" t="str">
        <f>IFERROR(__xludf.DUMMYFUNCTION("""COMPUTED_VALUE"""),"MEZ3B05,MCK9433")</f>
        <v>MEZ3B05,MCK9433</v>
      </c>
      <c r="G5279" s="238">
        <f>IFERROR(__xludf.DUMMYFUNCTION("""COMPUTED_VALUE"""),46042.896527777775)</f>
        <v>46042.89653</v>
      </c>
      <c r="H5279" s="238">
        <f>IFERROR(__xludf.DUMMYFUNCTION("""COMPUTED_VALUE"""),46042.97916666667)</f>
        <v>46042.97917</v>
      </c>
      <c r="I5279" s="237" t="str">
        <f t="shared" si="1"/>
        <v>Fora</v>
      </c>
      <c r="J5279" s="239">
        <v>119.00000001071021</v>
      </c>
    </row>
    <row r="5280">
      <c r="A5280" s="234" t="s">
        <v>6160</v>
      </c>
      <c r="B5280" s="234" t="str">
        <f>IFERROR(__xludf.DUMMYFUNCTION("""COMPUTED_VALUE"""),"LM Hub_SP_Jurubatuba")</f>
        <v>LM Hub_SP_Jurubatuba</v>
      </c>
      <c r="C5280" s="234" t="str">
        <f>IFERROR(__xludf.DUMMYFUNCTION("""COMPUTED_VALUE"""),"HUB-LSP-16")</f>
        <v>HUB-LSP-16</v>
      </c>
      <c r="D5280" s="234">
        <f>IFERROR(__xludf.DUMMYFUNCTION("""COMPUTED_VALUE"""),17.0)</f>
        <v>17</v>
      </c>
      <c r="E5280" s="237" t="str">
        <f>IFERROR(__xludf.DUMMYFUNCTION("""COMPUTED_VALUE"""),"LT0Q1K01X2MP1")</f>
        <v>LT0Q1K01X2MP1</v>
      </c>
      <c r="F5280" s="238" t="str">
        <f>IFERROR(__xludf.DUMMYFUNCTION("""COMPUTED_VALUE"""),"DTD4722,NCK7E66")</f>
        <v>DTD4722,NCK7E66</v>
      </c>
      <c r="G5280" s="238">
        <f>IFERROR(__xludf.DUMMYFUNCTION("""COMPUTED_VALUE"""),46042.896527777775)</f>
        <v>46042.89653</v>
      </c>
      <c r="H5280" s="238">
        <f>IFERROR(__xludf.DUMMYFUNCTION("""COMPUTED_VALUE"""),46042.97916666667)</f>
        <v>46042.97917</v>
      </c>
      <c r="I5280" s="237" t="str">
        <f t="shared" si="1"/>
        <v>Fora</v>
      </c>
      <c r="J5280" s="239">
        <v>118.99999998975545</v>
      </c>
    </row>
    <row r="5281">
      <c r="A5281" s="234" t="s">
        <v>6161</v>
      </c>
      <c r="B5281" s="234" t="str">
        <f>IFERROR(__xludf.DUMMYFUNCTION("""COMPUTED_VALUE"""),"LM Hub_SP_Guarujá")</f>
        <v>LM Hub_SP_Guarujá</v>
      </c>
      <c r="C5281" s="234" t="str">
        <f>IFERROR(__xludf.DUMMYFUNCTION("""COMPUTED_VALUE"""),"HUB-LSP-06")</f>
        <v>HUB-LSP-06</v>
      </c>
      <c r="D5281" s="234">
        <f>IFERROR(__xludf.DUMMYFUNCTION("""COMPUTED_VALUE"""),33.0)</f>
        <v>33</v>
      </c>
      <c r="E5281" s="237" t="str">
        <f>IFERROR(__xludf.DUMMYFUNCTION("""COMPUTED_VALUE"""),"LT0Q1K01WTFI1")</f>
        <v>LT0Q1K01WTFI1</v>
      </c>
      <c r="F5281" s="238" t="str">
        <f>IFERROR(__xludf.DUMMYFUNCTION("""COMPUTED_VALUE"""),"TJN5H17")</f>
        <v>TJN5H17</v>
      </c>
      <c r="G5281" s="238">
        <f>IFERROR(__xludf.DUMMYFUNCTION("""COMPUTED_VALUE"""),46042.91666666667)</f>
        <v>46042.91667</v>
      </c>
      <c r="H5281" s="238">
        <f>IFERROR(__xludf.DUMMYFUNCTION("""COMPUTED_VALUE"""),46042.99930555555)</f>
        <v>46042.99931</v>
      </c>
      <c r="I5281" s="237" t="str">
        <f t="shared" si="1"/>
        <v>Fora</v>
      </c>
      <c r="J5281" s="239">
        <v>119.99999999301508</v>
      </c>
    </row>
    <row r="5282">
      <c r="A5282" s="234" t="s">
        <v>6162</v>
      </c>
      <c r="B5282" s="234" t="str">
        <f>IFERROR(__xludf.DUMMYFUNCTION("""COMPUTED_VALUE"""),"LM Hub_RS_Porto Alegre_Floresta")</f>
        <v>LM Hub_RS_Porto Alegre_Floresta</v>
      </c>
      <c r="C5282" s="234" t="str">
        <f>IFERROR(__xludf.DUMMYFUNCTION("""COMPUTED_VALUE"""),"HUB-LRS-03")</f>
        <v>HUB-LRS-03</v>
      </c>
      <c r="D5282" s="234">
        <f>IFERROR(__xludf.DUMMYFUNCTION("""COMPUTED_VALUE"""),28.0)</f>
        <v>28</v>
      </c>
      <c r="E5282" s="237" t="str">
        <f>IFERROR(__xludf.DUMMYFUNCTION("""COMPUTED_VALUE"""),"LT0Q1K01WZ731")</f>
        <v>LT0Q1K01WZ731</v>
      </c>
      <c r="F5282" s="238" t="str">
        <f>IFERROR(__xludf.DUMMYFUNCTION("""COMPUTED_VALUE"""),"SSY1F91")</f>
        <v>SSY1F91</v>
      </c>
      <c r="G5282" s="238">
        <f>IFERROR(__xludf.DUMMYFUNCTION("""COMPUTED_VALUE"""),46042.91666666667)</f>
        <v>46042.91667</v>
      </c>
      <c r="H5282" s="238">
        <f>IFERROR(__xludf.DUMMYFUNCTION("""COMPUTED_VALUE"""),46043.0)</f>
        <v>46043</v>
      </c>
      <c r="I5282" s="237" t="str">
        <f t="shared" si="1"/>
        <v>Fora</v>
      </c>
      <c r="J5282" s="239">
        <v>119.99999999301508</v>
      </c>
    </row>
    <row r="5283">
      <c r="A5283" s="234" t="s">
        <v>6163</v>
      </c>
      <c r="B5283" s="234" t="str">
        <f>IFERROR(__xludf.DUMMYFUNCTION("""COMPUTED_VALUE"""),"LM Hub_SP_Barueri_01")</f>
        <v>LM Hub_SP_Barueri_01</v>
      </c>
      <c r="C5283" s="234" t="str">
        <f>IFERROR(__xludf.DUMMYFUNCTION("""COMPUTED_VALUE"""),"HUB-LSP-81")</f>
        <v>HUB-LSP-81</v>
      </c>
      <c r="D5283" s="234">
        <f>IFERROR(__xludf.DUMMYFUNCTION("""COMPUTED_VALUE"""),8.0)</f>
        <v>8</v>
      </c>
      <c r="E5283" s="237" t="str">
        <f>IFERROR(__xludf.DUMMYFUNCTION("""COMPUTED_VALUE"""),"LT0Q1K01WY401")</f>
        <v>LT0Q1K01WY401</v>
      </c>
      <c r="F5283" s="238" t="str">
        <f>IFERROR(__xludf.DUMMYFUNCTION("""COMPUTED_VALUE"""),"SUQ5C99,TLD5B82")</f>
        <v>SUQ5C99,TLD5B82</v>
      </c>
      <c r="G5283" s="238">
        <f>IFERROR(__xludf.DUMMYFUNCTION("""COMPUTED_VALUE"""),46042.91666666667)</f>
        <v>46042.91667</v>
      </c>
      <c r="H5283" s="238">
        <f>IFERROR(__xludf.DUMMYFUNCTION("""COMPUTED_VALUE"""),46043.0)</f>
        <v>46043</v>
      </c>
      <c r="I5283" s="237" t="str">
        <f t="shared" si="1"/>
        <v>Fora</v>
      </c>
      <c r="J5283" s="239">
        <v>119.99999999301508</v>
      </c>
    </row>
    <row r="5284">
      <c r="A5284" s="234" t="s">
        <v>6164</v>
      </c>
      <c r="B5284" s="234" t="str">
        <f>IFERROR(__xludf.DUMMYFUNCTION("""COMPUTED_VALUE"""),"LM Hub_SP_Guarulhos")</f>
        <v>LM Hub_SP_Guarulhos</v>
      </c>
      <c r="C5284" s="234" t="str">
        <f>IFERROR(__xludf.DUMMYFUNCTION("""COMPUTED_VALUE"""),"HUB-LSP-77")</f>
        <v>HUB-LSP-77</v>
      </c>
      <c r="D5284" s="234">
        <f>IFERROR(__xludf.DUMMYFUNCTION("""COMPUTED_VALUE"""),42.0)</f>
        <v>42</v>
      </c>
      <c r="E5284" s="237" t="str">
        <f>IFERROR(__xludf.DUMMYFUNCTION("""COMPUTED_VALUE"""),"LT0Q1K01WU4B1")</f>
        <v>LT0Q1K01WU4B1</v>
      </c>
      <c r="F5284" s="238" t="str">
        <f>IFERROR(__xludf.DUMMYFUNCTION("""COMPUTED_VALUE"""),"DAH7C70,AIY6D73")</f>
        <v>DAH7C70,AIY6D73</v>
      </c>
      <c r="G5284" s="238">
        <f>IFERROR(__xludf.DUMMYFUNCTION("""COMPUTED_VALUE"""),46042.91666666667)</f>
        <v>46042.91667</v>
      </c>
      <c r="H5284" s="238">
        <f>IFERROR(__xludf.DUMMYFUNCTION("""COMPUTED_VALUE"""),46043.0)</f>
        <v>46043</v>
      </c>
      <c r="I5284" s="237" t="str">
        <f t="shared" si="1"/>
        <v>Fora</v>
      </c>
      <c r="J5284" s="239">
        <v>119.99999999301508</v>
      </c>
    </row>
    <row r="5285">
      <c r="A5285" s="234" t="s">
        <v>6165</v>
      </c>
      <c r="B5285" s="234" t="str">
        <f>IFERROR(__xludf.DUMMYFUNCTION("""COMPUTED_VALUE"""),"LM Hub_SP_Itapevi")</f>
        <v>LM Hub_SP_Itapevi</v>
      </c>
      <c r="C5285" s="234" t="str">
        <f>IFERROR(__xludf.DUMMYFUNCTION("""COMPUTED_VALUE"""),"HUB-LSP-41")</f>
        <v>HUB-LSP-41</v>
      </c>
      <c r="D5285" s="234">
        <f>IFERROR(__xludf.DUMMYFUNCTION("""COMPUTED_VALUE"""),36.0)</f>
        <v>36</v>
      </c>
      <c r="E5285" s="237" t="str">
        <f>IFERROR(__xludf.DUMMYFUNCTION("""COMPUTED_VALUE"""),"LT0Q1K01WTDU1")</f>
        <v>LT0Q1K01WTDU1</v>
      </c>
      <c r="F5285" s="238" t="str">
        <f>IFERROR(__xludf.DUMMYFUNCTION("""COMPUTED_VALUE"""),"BCS4J31,DJB0J76")</f>
        <v>BCS4J31,DJB0J76</v>
      </c>
      <c r="G5285" s="238">
        <f>IFERROR(__xludf.DUMMYFUNCTION("""COMPUTED_VALUE"""),46042.91666666667)</f>
        <v>46042.91667</v>
      </c>
      <c r="H5285" s="238">
        <f>IFERROR(__xludf.DUMMYFUNCTION("""COMPUTED_VALUE"""),46043.0)</f>
        <v>46043</v>
      </c>
      <c r="I5285" s="237" t="str">
        <f t="shared" si="1"/>
        <v>Fora</v>
      </c>
      <c r="J5285" s="239">
        <v>119.99999999301508</v>
      </c>
    </row>
    <row r="5286">
      <c r="A5286" s="234" t="s">
        <v>6166</v>
      </c>
      <c r="B5286" s="234" t="str">
        <f>IFERROR(__xludf.DUMMYFUNCTION("""COMPUTED_VALUE"""),"LM Hub_SP_Limeira_Campo Belo")</f>
        <v>LM Hub_SP_Limeira_Campo Belo</v>
      </c>
      <c r="C5286" s="234" t="str">
        <f>IFERROR(__xludf.DUMMYFUNCTION("""COMPUTED_VALUE"""),"HUB-LSP-24")</f>
        <v>HUB-LSP-24</v>
      </c>
      <c r="D5286" s="234">
        <f>IFERROR(__xludf.DUMMYFUNCTION("""COMPUTED_VALUE"""),18.0)</f>
        <v>18</v>
      </c>
      <c r="E5286" s="237" t="str">
        <f>IFERROR(__xludf.DUMMYFUNCTION("""COMPUTED_VALUE"""),"LT0Q1K01WTGY1")</f>
        <v>LT0Q1K01WTGY1</v>
      </c>
      <c r="F5286" s="238" t="str">
        <f>IFERROR(__xludf.DUMMYFUNCTION("""COMPUTED_VALUE"""),"GHB5H18,FZB6G45")</f>
        <v>GHB5H18,FZB6G45</v>
      </c>
      <c r="G5286" s="238">
        <f>IFERROR(__xludf.DUMMYFUNCTION("""COMPUTED_VALUE"""),46042.91666666667)</f>
        <v>46042.91667</v>
      </c>
      <c r="H5286" s="238">
        <f>IFERROR(__xludf.DUMMYFUNCTION("""COMPUTED_VALUE"""),46043.0)</f>
        <v>46043</v>
      </c>
      <c r="I5286" s="237" t="str">
        <f t="shared" si="1"/>
        <v>Fora</v>
      </c>
      <c r="J5286" s="239">
        <v>119.99999999301508</v>
      </c>
    </row>
    <row r="5287">
      <c r="A5287" s="234" t="s">
        <v>6167</v>
      </c>
      <c r="B5287" s="234" t="str">
        <f>IFERROR(__xludf.DUMMYFUNCTION("""COMPUTED_VALUE"""),"LM Hub_SP_Mauá")</f>
        <v>LM Hub_SP_Mauá</v>
      </c>
      <c r="C5287" s="234" t="str">
        <f>IFERROR(__xludf.DUMMYFUNCTION("""COMPUTED_VALUE"""),"HUB-LSP-64")</f>
        <v>HUB-LSP-64</v>
      </c>
      <c r="D5287" s="234">
        <f>IFERROR(__xludf.DUMMYFUNCTION("""COMPUTED_VALUE"""),12.0)</f>
        <v>12</v>
      </c>
      <c r="E5287" s="237" t="str">
        <f>IFERROR(__xludf.DUMMYFUNCTION("""COMPUTED_VALUE"""),"LT0Q1K01WTEC1")</f>
        <v>LT0Q1K01WTEC1</v>
      </c>
      <c r="F5287" s="238" t="str">
        <f>IFERROR(__xludf.DUMMYFUNCTION("""COMPUTED_VALUE"""),"FQF6B98,DTA7802")</f>
        <v>FQF6B98,DTA7802</v>
      </c>
      <c r="G5287" s="238">
        <f>IFERROR(__xludf.DUMMYFUNCTION("""COMPUTED_VALUE"""),46042.91666666667)</f>
        <v>46042.91667</v>
      </c>
      <c r="H5287" s="238">
        <f>IFERROR(__xludf.DUMMYFUNCTION("""COMPUTED_VALUE"""),46043.0)</f>
        <v>46043</v>
      </c>
      <c r="I5287" s="237" t="str">
        <f t="shared" si="1"/>
        <v>Fora</v>
      </c>
      <c r="J5287" s="239">
        <v>119.99999999301508</v>
      </c>
    </row>
    <row r="5288">
      <c r="A5288" s="234" t="s">
        <v>6168</v>
      </c>
      <c r="B5288" s="234" t="str">
        <f>IFERROR(__xludf.DUMMYFUNCTION("""COMPUTED_VALUE"""),"LM Hub_SP_Mooca_02")</f>
        <v>LM Hub_SP_Mooca_02</v>
      </c>
      <c r="C5288" s="234" t="str">
        <f>IFERROR(__xludf.DUMMYFUNCTION("""COMPUTED_VALUE"""),"HUB-LSP-94")</f>
        <v>HUB-LSP-94</v>
      </c>
      <c r="D5288" s="234">
        <f>IFERROR(__xludf.DUMMYFUNCTION("""COMPUTED_VALUE"""),20.0)</f>
        <v>20</v>
      </c>
      <c r="E5288" s="237" t="str">
        <f>IFERROR(__xludf.DUMMYFUNCTION("""COMPUTED_VALUE"""),"LT0Q1K01WY0Z1")</f>
        <v>LT0Q1K01WY0Z1</v>
      </c>
      <c r="F5288" s="238" t="str">
        <f>IFERROR(__xludf.DUMMYFUNCTION("""COMPUTED_VALUE"""),"EGJ9547")</f>
        <v>EGJ9547</v>
      </c>
      <c r="G5288" s="238">
        <f>IFERROR(__xludf.DUMMYFUNCTION("""COMPUTED_VALUE"""),46042.91666666667)</f>
        <v>46042.91667</v>
      </c>
      <c r="H5288" s="238">
        <f>IFERROR(__xludf.DUMMYFUNCTION("""COMPUTED_VALUE"""),46043.0)</f>
        <v>46043</v>
      </c>
      <c r="I5288" s="237" t="str">
        <f t="shared" si="1"/>
        <v>Fora</v>
      </c>
      <c r="J5288" s="239">
        <v>119.99999999301508</v>
      </c>
    </row>
    <row r="5289">
      <c r="A5289" s="234" t="s">
        <v>6169</v>
      </c>
      <c r="B5289" s="234" t="str">
        <f>IFERROR(__xludf.DUMMYFUNCTION("""COMPUTED_VALUE"""),"LM Hub_SP_Osasco_02")</f>
        <v>LM Hub_SP_Osasco_02</v>
      </c>
      <c r="C5289" s="234" t="str">
        <f>IFERROR(__xludf.DUMMYFUNCTION("""COMPUTED_VALUE"""),"HUB-LSP-60")</f>
        <v>HUB-LSP-60</v>
      </c>
      <c r="D5289" s="234"/>
      <c r="E5289" s="237" t="str">
        <f>IFERROR(__xludf.DUMMYFUNCTION("""COMPUTED_VALUE"""),"LT0Q1K01WTE31")</f>
        <v>LT0Q1K01WTE31</v>
      </c>
      <c r="F5289" s="238" t="str">
        <f>IFERROR(__xludf.DUMMYFUNCTION("""COMPUTED_VALUE"""),"OWU2H12,TKF7A41")</f>
        <v>OWU2H12,TKF7A41</v>
      </c>
      <c r="G5289" s="238">
        <f>IFERROR(__xludf.DUMMYFUNCTION("""COMPUTED_VALUE"""),46042.91666666667)</f>
        <v>46042.91667</v>
      </c>
      <c r="H5289" s="238">
        <f>IFERROR(__xludf.DUMMYFUNCTION("""COMPUTED_VALUE"""),46043.0)</f>
        <v>46043</v>
      </c>
      <c r="I5289" s="237" t="str">
        <f t="shared" si="1"/>
        <v>Fora</v>
      </c>
      <c r="J5289" s="239">
        <v>119.99999999301508</v>
      </c>
    </row>
    <row r="5290">
      <c r="A5290" s="234" t="s">
        <v>6170</v>
      </c>
      <c r="B5290" s="234" t="str">
        <f>IFERROR(__xludf.DUMMYFUNCTION("""COMPUTED_VALUE"""),"LM Hub_SP_Santo André")</f>
        <v>LM Hub_SP_Santo André</v>
      </c>
      <c r="C5290" s="234" t="str">
        <f>IFERROR(__xludf.DUMMYFUNCTION("""COMPUTED_VALUE"""),"HUB-LSP-93")</f>
        <v>HUB-LSP-93</v>
      </c>
      <c r="D5290" s="234"/>
      <c r="E5290" s="237" t="str">
        <f>IFERROR(__xludf.DUMMYFUNCTION("""COMPUTED_VALUE"""),"LT0Q1K01WVN21")</f>
        <v>LT0Q1K01WVN21</v>
      </c>
      <c r="F5290" s="238" t="str">
        <f>IFERROR(__xludf.DUMMYFUNCTION("""COMPUTED_VALUE"""),"QQO8H42,FSO9H65")</f>
        <v>QQO8H42,FSO9H65</v>
      </c>
      <c r="G5290" s="238">
        <f>IFERROR(__xludf.DUMMYFUNCTION("""COMPUTED_VALUE"""),46042.91666666667)</f>
        <v>46042.91667</v>
      </c>
      <c r="H5290" s="238">
        <f>IFERROR(__xludf.DUMMYFUNCTION("""COMPUTED_VALUE"""),46043.0)</f>
        <v>46043</v>
      </c>
      <c r="I5290" s="237" t="str">
        <f t="shared" si="1"/>
        <v>Fora</v>
      </c>
      <c r="J5290" s="239">
        <v>119.99999999301508</v>
      </c>
    </row>
    <row r="5291">
      <c r="A5291" s="234" t="s">
        <v>6171</v>
      </c>
      <c r="B5291" s="234" t="str">
        <f>IFERROR(__xludf.DUMMYFUNCTION("""COMPUTED_VALUE"""),"LM Hub_SP_São José do Rio P")</f>
        <v>LM Hub_SP_São José do Rio P</v>
      </c>
      <c r="C5291" s="234" t="str">
        <f>IFERROR(__xludf.DUMMYFUNCTION("""COMPUTED_VALUE"""),"HUB-LSP-27")</f>
        <v>HUB-LSP-27</v>
      </c>
      <c r="D5291" s="234">
        <f>IFERROR(__xludf.DUMMYFUNCTION("""COMPUTED_VALUE"""),48.0)</f>
        <v>48</v>
      </c>
      <c r="E5291" s="237" t="str">
        <f>IFERROR(__xludf.DUMMYFUNCTION("""COMPUTED_VALUE"""),"LT0Q1K01WWY21")</f>
        <v>LT0Q1K01WWY21</v>
      </c>
      <c r="F5291" s="238" t="str">
        <f>IFERROR(__xludf.DUMMYFUNCTION("""COMPUTED_VALUE"""),"IZI7C82")</f>
        <v>IZI7C82</v>
      </c>
      <c r="G5291" s="238">
        <f>IFERROR(__xludf.DUMMYFUNCTION("""COMPUTED_VALUE"""),46042.91666666667)</f>
        <v>46042.91667</v>
      </c>
      <c r="H5291" s="238">
        <f>IFERROR(__xludf.DUMMYFUNCTION("""COMPUTED_VALUE"""),46043.0)</f>
        <v>46043</v>
      </c>
      <c r="I5291" s="237" t="str">
        <f t="shared" si="1"/>
        <v>Fora</v>
      </c>
      <c r="J5291" s="239">
        <v>119.00000000023283</v>
      </c>
    </row>
    <row r="5292">
      <c r="A5292" s="234" t="s">
        <v>6172</v>
      </c>
      <c r="B5292" s="234" t="str">
        <f>IFERROR(__xludf.DUMMYFUNCTION("""COMPUTED_VALUE"""),"LM Hub_SP_Artur Alvim")</f>
        <v>LM Hub_SP_Artur Alvim</v>
      </c>
      <c r="C5292" s="234" t="str">
        <f>IFERROR(__xludf.DUMMYFUNCTION("""COMPUTED_VALUE"""),"HUB-LSP-07")</f>
        <v>HUB-LSP-07</v>
      </c>
      <c r="D5292" s="234"/>
      <c r="E5292" s="237" t="str">
        <f>IFERROR(__xludf.DUMMYFUNCTION("""COMPUTED_VALUE"""),"LT0Q1K01WTC81")</f>
        <v>LT0Q1K01WTC81</v>
      </c>
      <c r="F5292" s="238" t="str">
        <f>IFERROR(__xludf.DUMMYFUNCTION("""COMPUTED_VALUE"""),"DAJ3E28")</f>
        <v>DAJ3E28</v>
      </c>
      <c r="G5292" s="238">
        <f>IFERROR(__xludf.DUMMYFUNCTION("""COMPUTED_VALUE"""),46042.91736111111)</f>
        <v>46042.91736</v>
      </c>
      <c r="H5292" s="238">
        <f>IFERROR(__xludf.DUMMYFUNCTION("""COMPUTED_VALUE"""),46043.0)</f>
        <v>46043</v>
      </c>
      <c r="I5292" s="237" t="str">
        <f t="shared" si="1"/>
        <v>Fora</v>
      </c>
      <c r="J5292" s="239">
        <v>119.99999999301508</v>
      </c>
    </row>
    <row r="5293">
      <c r="A5293" s="234" t="s">
        <v>6173</v>
      </c>
      <c r="B5293" s="234" t="str">
        <f>IFERROR(__xludf.DUMMYFUNCTION("""COMPUTED_VALUE"""),"LM Hub_SP_Jardim Adriana")</f>
        <v>LM Hub_SP_Jardim Adriana</v>
      </c>
      <c r="C5293" s="234" t="str">
        <f>IFERROR(__xludf.DUMMYFUNCTION("""COMPUTED_VALUE"""),"HUB-LSP-12")</f>
        <v>HUB-LSP-12</v>
      </c>
      <c r="D5293" s="234"/>
      <c r="E5293" s="237" t="str">
        <f>IFERROR(__xludf.DUMMYFUNCTION("""COMPUTED_VALUE"""),"LT0Q1K01WTCH1")</f>
        <v>LT0Q1K01WTCH1</v>
      </c>
      <c r="F5293" s="238" t="str">
        <f>IFERROR(__xludf.DUMMYFUNCTION("""COMPUTED_VALUE"""),"GCS0J70")</f>
        <v>GCS0J70</v>
      </c>
      <c r="G5293" s="238">
        <f>IFERROR(__xludf.DUMMYFUNCTION("""COMPUTED_VALUE"""),46042.9375)</f>
        <v>46042.9375</v>
      </c>
      <c r="H5293" s="238">
        <f>IFERROR(__xludf.DUMMYFUNCTION("""COMPUTED_VALUE"""),46043.02083333333)</f>
        <v>46043.02083</v>
      </c>
      <c r="I5293" s="237" t="str">
        <f t="shared" si="1"/>
        <v>Fora</v>
      </c>
      <c r="J5293" s="239">
        <v>119.99999999301508</v>
      </c>
    </row>
    <row r="5294">
      <c r="A5294" s="234" t="s">
        <v>6174</v>
      </c>
      <c r="B5294" s="234" t="str">
        <f>IFERROR(__xludf.DUMMYFUNCTION("""COMPUTED_VALUE"""),"LM Hub_SP_Suzano_Baruel")</f>
        <v>LM Hub_SP_Suzano_Baruel</v>
      </c>
      <c r="C5294" s="234" t="str">
        <f>IFERROR(__xludf.DUMMYFUNCTION("""COMPUTED_VALUE"""),"HUB-LSP-97")</f>
        <v>HUB-LSP-97</v>
      </c>
      <c r="D5294" s="234">
        <f>IFERROR(__xludf.DUMMYFUNCTION("""COMPUTED_VALUE"""),21.0)</f>
        <v>21</v>
      </c>
      <c r="E5294" s="237" t="str">
        <f>IFERROR(__xludf.DUMMYFUNCTION("""COMPUTED_VALUE"""),"LT0Q1K01WZT91")</f>
        <v>LT0Q1K01WZT91</v>
      </c>
      <c r="F5294" s="238" t="str">
        <f>IFERROR(__xludf.DUMMYFUNCTION("""COMPUTED_VALUE"""),"HEL8635,UGE7G44")</f>
        <v>HEL8635,UGE7G44</v>
      </c>
      <c r="G5294" s="238">
        <f>IFERROR(__xludf.DUMMYFUNCTION("""COMPUTED_VALUE"""),46042.9375)</f>
        <v>46042.9375</v>
      </c>
      <c r="H5294" s="238">
        <f>IFERROR(__xludf.DUMMYFUNCTION("""COMPUTED_VALUE"""),46043.02083333333)</f>
        <v>46043.02083</v>
      </c>
      <c r="I5294" s="237" t="str">
        <f t="shared" si="1"/>
        <v>Fora</v>
      </c>
      <c r="J5294" s="239">
        <v>118.99999998975545</v>
      </c>
    </row>
    <row r="5295">
      <c r="A5295" s="234" t="s">
        <v>6175</v>
      </c>
      <c r="B5295" s="234" t="str">
        <f>IFERROR(__xludf.DUMMYFUNCTION("""COMPUTED_VALUE"""),"LM Hub_SP_Parque Novo Mundo")</f>
        <v>LM Hub_SP_Parque Novo Mundo</v>
      </c>
      <c r="C5295" s="234" t="str">
        <f>IFERROR(__xludf.DUMMYFUNCTION("""COMPUTED_VALUE"""),"HUB-LSP-89")</f>
        <v>HUB-LSP-89</v>
      </c>
      <c r="D5295" s="234">
        <f>IFERROR(__xludf.DUMMYFUNCTION("""COMPUTED_VALUE"""),15.0)</f>
        <v>15</v>
      </c>
      <c r="E5295" s="237" t="str">
        <f>IFERROR(__xludf.DUMMYFUNCTION("""COMPUTED_VALUE"""),"LT0Q1K01X2U21")</f>
        <v>LT0Q1K01X2U21</v>
      </c>
      <c r="F5295" s="238" t="str">
        <f>IFERROR(__xludf.DUMMYFUNCTION("""COMPUTED_VALUE"""),"FNK8E47,FAM1829")</f>
        <v>FNK8E47,FAM1829</v>
      </c>
      <c r="G5295" s="238">
        <f>IFERROR(__xludf.DUMMYFUNCTION("""COMPUTED_VALUE"""),46042.93819444445)</f>
        <v>46042.93819</v>
      </c>
      <c r="H5295" s="238">
        <f>IFERROR(__xludf.DUMMYFUNCTION("""COMPUTED_VALUE"""),46043.02083333333)</f>
        <v>46043.02083</v>
      </c>
      <c r="I5295" s="237" t="str">
        <f t="shared" si="1"/>
        <v>Fora</v>
      </c>
      <c r="J5295" s="239">
        <v>118.99999998975545</v>
      </c>
    </row>
    <row r="5296">
      <c r="A5296" s="234" t="s">
        <v>6176</v>
      </c>
      <c r="B5296" s="234" t="str">
        <f>IFERROR(__xludf.DUMMYFUNCTION("""COMPUTED_VALUE"""),"LM Hub_SP_São Paulo_Carandiru")</f>
        <v>LM Hub_SP_São Paulo_Carandiru</v>
      </c>
      <c r="C5296" s="234" t="str">
        <f>IFERROR(__xludf.DUMMYFUNCTION("""COMPUTED_VALUE"""),"HUB-LSP-18")</f>
        <v>HUB-LSP-18</v>
      </c>
      <c r="D5296" s="234">
        <f>IFERROR(__xludf.DUMMYFUNCTION("""COMPUTED_VALUE"""),44.0)</f>
        <v>44</v>
      </c>
      <c r="E5296" s="237" t="str">
        <f>IFERROR(__xludf.DUMMYFUNCTION("""COMPUTED_VALUE"""),"LT0Q1K01WTDH1")</f>
        <v>LT0Q1K01WTDH1</v>
      </c>
      <c r="F5296" s="238" t="str">
        <f>IFERROR(__xludf.DUMMYFUNCTION("""COMPUTED_VALUE"""),"NVO0561")</f>
        <v>NVO0561</v>
      </c>
      <c r="G5296" s="238">
        <f>IFERROR(__xludf.DUMMYFUNCTION("""COMPUTED_VALUE"""),46042.93819444445)</f>
        <v>46042.93819</v>
      </c>
      <c r="H5296" s="238">
        <f>IFERROR(__xludf.DUMMYFUNCTION("""COMPUTED_VALUE"""),46043.02083333333)</f>
        <v>46043.02083</v>
      </c>
      <c r="I5296" s="237" t="str">
        <f t="shared" si="1"/>
        <v>Fora</v>
      </c>
      <c r="J5296" s="239">
        <v>118.99999998975545</v>
      </c>
    </row>
    <row r="5297">
      <c r="A5297" s="234" t="s">
        <v>6177</v>
      </c>
      <c r="B5297" s="234" t="str">
        <f>IFERROR(__xludf.DUMMYFUNCTION("""COMPUTED_VALUE"""),"LM Hub_SP_VilaGuilherme")</f>
        <v>LM Hub_SP_VilaGuilherme</v>
      </c>
      <c r="C5297" s="234" t="str">
        <f>IFERROR(__xludf.DUMMYFUNCTION("""COMPUTED_VALUE"""),"HUB-LSP-68")</f>
        <v>HUB-LSP-68</v>
      </c>
      <c r="D5297" s="234">
        <f>IFERROR(__xludf.DUMMYFUNCTION("""COMPUTED_VALUE"""),35.0)</f>
        <v>35</v>
      </c>
      <c r="E5297" s="237" t="str">
        <f>IFERROR(__xludf.DUMMYFUNCTION("""COMPUTED_VALUE"""),"LT0Q1K01X2MU1")</f>
        <v>LT0Q1K01X2MU1</v>
      </c>
      <c r="F5297" s="238" t="str">
        <f>IFERROR(__xludf.DUMMYFUNCTION("""COMPUTED_VALUE"""),"HFD4H27,JXG9745")</f>
        <v>HFD4H27,JXG9745</v>
      </c>
      <c r="G5297" s="238">
        <f>IFERROR(__xludf.DUMMYFUNCTION("""COMPUTED_VALUE"""),46042.93819444445)</f>
        <v>46042.93819</v>
      </c>
      <c r="H5297" s="238">
        <f>IFERROR(__xludf.DUMMYFUNCTION("""COMPUTED_VALUE"""),46043.02083333333)</f>
        <v>46043.02083</v>
      </c>
      <c r="I5297" s="237" t="str">
        <f t="shared" si="1"/>
        <v>Fora</v>
      </c>
      <c r="J5297" s="239">
        <v>120.00000001396984</v>
      </c>
    </row>
    <row r="5298">
      <c r="A5298" s="234" t="s">
        <v>6178</v>
      </c>
      <c r="B5298" s="234" t="str">
        <f>IFERROR(__xludf.DUMMYFUNCTION("""COMPUTED_VALUE"""),"LM Hub_RJ_Nova Iguaçu")</f>
        <v>LM Hub_RJ_Nova Iguaçu</v>
      </c>
      <c r="C5298" s="234" t="str">
        <f>IFERROR(__xludf.DUMMYFUNCTION("""COMPUTED_VALUE"""),"HUB-LRJ-27")</f>
        <v>HUB-LRJ-27</v>
      </c>
      <c r="D5298" s="234">
        <f>IFERROR(__xludf.DUMMYFUNCTION("""COMPUTED_VALUE"""),13.0)</f>
        <v>13</v>
      </c>
      <c r="E5298" s="237" t="str">
        <f>IFERROR(__xludf.DUMMYFUNCTION("""COMPUTED_VALUE"""),"LT0Q1K01WYNX1")</f>
        <v>LT0Q1K01WYNX1</v>
      </c>
      <c r="F5298" s="238" t="str">
        <f>IFERROR(__xludf.DUMMYFUNCTION("""COMPUTED_VALUE"""),"UBB5B79")</f>
        <v>UBB5B79</v>
      </c>
      <c r="G5298" s="238">
        <f>IFERROR(__xludf.DUMMYFUNCTION("""COMPUTED_VALUE"""),46042.95833333333)</f>
        <v>46042.95833</v>
      </c>
      <c r="H5298" s="238">
        <f>IFERROR(__xludf.DUMMYFUNCTION("""COMPUTED_VALUE"""),46043.04166666667)</f>
        <v>46043.04167</v>
      </c>
      <c r="I5298" s="237" t="str">
        <f t="shared" si="1"/>
        <v>Fora</v>
      </c>
      <c r="J5298" s="239">
        <v>120.00000001396984</v>
      </c>
    </row>
    <row r="5299">
      <c r="A5299" s="234" t="s">
        <v>6179</v>
      </c>
      <c r="B5299" s="234" t="str">
        <f>IFERROR(__xludf.DUMMYFUNCTION("""COMPUTED_VALUE"""),"LM Hub_RJ_Rio de Janeiro_Campo G")</f>
        <v>LM Hub_RJ_Rio de Janeiro_Campo G</v>
      </c>
      <c r="C5299" s="234" t="str">
        <f>IFERROR(__xludf.DUMMYFUNCTION("""COMPUTED_VALUE"""),"HUB-LRJ-04")</f>
        <v>HUB-LRJ-04</v>
      </c>
      <c r="D5299" s="234">
        <f>IFERROR(__xludf.DUMMYFUNCTION("""COMPUTED_VALUE"""),54.0)</f>
        <v>54</v>
      </c>
      <c r="E5299" s="237" t="str">
        <f>IFERROR(__xludf.DUMMYFUNCTION("""COMPUTED_VALUE"""),"LT0Q1K01WTIW1")</f>
        <v>LT0Q1K01WTIW1</v>
      </c>
      <c r="F5299" s="238" t="str">
        <f>IFERROR(__xludf.DUMMYFUNCTION("""COMPUTED_VALUE"""),"UBA1H99")</f>
        <v>UBA1H99</v>
      </c>
      <c r="G5299" s="238">
        <f>IFERROR(__xludf.DUMMYFUNCTION("""COMPUTED_VALUE"""),46042.95833333333)</f>
        <v>46042.95833</v>
      </c>
      <c r="H5299" s="238">
        <f>IFERROR(__xludf.DUMMYFUNCTION("""COMPUTED_VALUE"""),46043.04166666667)</f>
        <v>46043.04167</v>
      </c>
      <c r="I5299" s="237" t="str">
        <f t="shared" si="1"/>
        <v>Fora</v>
      </c>
      <c r="J5299" s="239">
        <v>120.00000001396984</v>
      </c>
    </row>
    <row r="5300">
      <c r="A5300" s="234" t="s">
        <v>6180</v>
      </c>
      <c r="B5300" s="234" t="str">
        <f>IFERROR(__xludf.DUMMYFUNCTION("""COMPUTED_VALUE"""),"LM Hub_RJ_São João do Meriti")</f>
        <v>LM Hub_RJ_São João do Meriti</v>
      </c>
      <c r="C5300" s="234" t="str">
        <f>IFERROR(__xludf.DUMMYFUNCTION("""COMPUTED_VALUE"""),"HUB-LRJ-01")</f>
        <v>HUB-LRJ-01</v>
      </c>
      <c r="D5300" s="234">
        <f>IFERROR(__xludf.DUMMYFUNCTION("""COMPUTED_VALUE"""),29.0)</f>
        <v>29</v>
      </c>
      <c r="E5300" s="237" t="str">
        <f>IFERROR(__xludf.DUMMYFUNCTION("""COMPUTED_VALUE"""),"LT0Q1K01WYOR1")</f>
        <v>LT0Q1K01WYOR1</v>
      </c>
      <c r="F5300" s="238" t="str">
        <f>IFERROR(__xludf.DUMMYFUNCTION("""COMPUTED_VALUE"""),"FCD0G15")</f>
        <v>FCD0G15</v>
      </c>
      <c r="G5300" s="238">
        <f>IFERROR(__xludf.DUMMYFUNCTION("""COMPUTED_VALUE"""),46042.95833333333)</f>
        <v>46042.95833</v>
      </c>
      <c r="H5300" s="238">
        <f>IFERROR(__xludf.DUMMYFUNCTION("""COMPUTED_VALUE"""),46043.04166666667)</f>
        <v>46043.04167</v>
      </c>
      <c r="I5300" s="237" t="str">
        <f t="shared" si="1"/>
        <v>Fora</v>
      </c>
      <c r="J5300" s="239">
        <v>120.00000001396984</v>
      </c>
    </row>
    <row r="5301">
      <c r="A5301" s="234" t="s">
        <v>6181</v>
      </c>
      <c r="B5301" s="234" t="str">
        <f>IFERROR(__xludf.DUMMYFUNCTION("""COMPUTED_VALUE"""),"LM Hub_SP_Jundiaí")</f>
        <v>LM Hub_SP_Jundiaí</v>
      </c>
      <c r="C5301" s="234" t="str">
        <f>IFERROR(__xludf.DUMMYFUNCTION("""COMPUTED_VALUE"""),"HUB-LSP-100")</f>
        <v>HUB-LSP-100</v>
      </c>
      <c r="D5301" s="234">
        <f>IFERROR(__xludf.DUMMYFUNCTION("""COMPUTED_VALUE"""),32.0)</f>
        <v>32</v>
      </c>
      <c r="E5301" s="237" t="str">
        <f>IFERROR(__xludf.DUMMYFUNCTION("""COMPUTED_VALUE"""),"LT0Q1K01WZHG1")</f>
        <v>LT0Q1K01WZHG1</v>
      </c>
      <c r="F5301" s="238" t="str">
        <f>IFERROR(__xludf.DUMMYFUNCTION("""COMPUTED_VALUE"""),"EZU9I70,SWO4H70")</f>
        <v>EZU9I70,SWO4H70</v>
      </c>
      <c r="G5301" s="238">
        <f>IFERROR(__xludf.DUMMYFUNCTION("""COMPUTED_VALUE"""),46042.95833333333)</f>
        <v>46042.95833</v>
      </c>
      <c r="H5301" s="238">
        <f>IFERROR(__xludf.DUMMYFUNCTION("""COMPUTED_VALUE"""),46043.04166666667)</f>
        <v>46043.04167</v>
      </c>
      <c r="I5301" s="237" t="str">
        <f t="shared" si="1"/>
        <v>Fora</v>
      </c>
      <c r="J5301" s="239">
        <v>120.00000001396984</v>
      </c>
    </row>
    <row r="5302">
      <c r="A5302" s="234" t="s">
        <v>6182</v>
      </c>
      <c r="B5302" s="234" t="str">
        <f>IFERROR(__xludf.DUMMYFUNCTION("""COMPUTED_VALUE"""),"LM Hub_SP_Mogi Mirim")</f>
        <v>LM Hub_SP_Mogi Mirim</v>
      </c>
      <c r="C5302" s="234" t="str">
        <f>IFERROR(__xludf.DUMMYFUNCTION("""COMPUTED_VALUE"""),"HUB-LSP-37")</f>
        <v>HUB-LSP-37</v>
      </c>
      <c r="D5302" s="234">
        <f>IFERROR(__xludf.DUMMYFUNCTION("""COMPUTED_VALUE"""),39.0)</f>
        <v>39</v>
      </c>
      <c r="E5302" s="237" t="str">
        <f>IFERROR(__xludf.DUMMYFUNCTION("""COMPUTED_VALUE"""),"LT0Q1K01WTHN1")</f>
        <v>LT0Q1K01WTHN1</v>
      </c>
      <c r="F5302" s="238" t="str">
        <f>IFERROR(__xludf.DUMMYFUNCTION("""COMPUTED_VALUE"""),"SVC6I57,SWO1G45")</f>
        <v>SVC6I57,SWO1G45</v>
      </c>
      <c r="G5302" s="238">
        <f>IFERROR(__xludf.DUMMYFUNCTION("""COMPUTED_VALUE"""),46042.95833333333)</f>
        <v>46042.95833</v>
      </c>
      <c r="H5302" s="238">
        <f>IFERROR(__xludf.DUMMYFUNCTION("""COMPUTED_VALUE"""),46043.04166666667)</f>
        <v>46043.04167</v>
      </c>
      <c r="I5302" s="237" t="str">
        <f t="shared" si="1"/>
        <v>Fora</v>
      </c>
      <c r="J5302" s="239">
        <v>119.99999999301508</v>
      </c>
    </row>
    <row r="5303">
      <c r="A5303" s="234" t="s">
        <v>6183</v>
      </c>
      <c r="B5303" s="234" t="str">
        <f>IFERROR(__xludf.DUMMYFUNCTION("""COMPUTED_VALUE"""),"LM Hub_SP_Araraquara")</f>
        <v>LM Hub_SP_Araraquara</v>
      </c>
      <c r="C5303" s="234" t="str">
        <f>IFERROR(__xludf.DUMMYFUNCTION("""COMPUTED_VALUE"""),"HUB-LSP-29")</f>
        <v>HUB-LSP-29</v>
      </c>
      <c r="D5303" s="234">
        <f>IFERROR(__xludf.DUMMYFUNCTION("""COMPUTED_VALUE"""),16.0)</f>
        <v>16</v>
      </c>
      <c r="E5303" s="237" t="str">
        <f>IFERROR(__xludf.DUMMYFUNCTION("""COMPUTED_VALUE"""),"LT0Q1K01WTHS1")</f>
        <v>LT0Q1K01WTHS1</v>
      </c>
      <c r="F5303" s="238" t="str">
        <f>IFERROR(__xludf.DUMMYFUNCTION("""COMPUTED_VALUE"""),"OZH6G24,OCW6F59")</f>
        <v>OZH6G24,OCW6F59</v>
      </c>
      <c r="G5303" s="238">
        <f>IFERROR(__xludf.DUMMYFUNCTION("""COMPUTED_VALUE"""),46042.97916666667)</f>
        <v>46042.97917</v>
      </c>
      <c r="H5303" s="238">
        <f>IFERROR(__xludf.DUMMYFUNCTION("""COMPUTED_VALUE"""),46043.0625)</f>
        <v>46043.0625</v>
      </c>
      <c r="I5303" s="237" t="str">
        <f t="shared" si="1"/>
        <v>Fora</v>
      </c>
      <c r="J5303" s="239">
        <v>119.99999999301508</v>
      </c>
    </row>
    <row r="5304">
      <c r="A5304" s="234" t="s">
        <v>6184</v>
      </c>
      <c r="B5304" s="234" t="str">
        <f>IFERROR(__xludf.DUMMYFUNCTION("""COMPUTED_VALUE"""),"LM Hub_SP_Atibaia_Ponte_Alta")</f>
        <v>LM Hub_SP_Atibaia_Ponte_Alta</v>
      </c>
      <c r="C5304" s="234" t="str">
        <f>IFERROR(__xludf.DUMMYFUNCTION("""COMPUTED_VALUE"""),"HUB-LSP-87")</f>
        <v>HUB-LSP-87</v>
      </c>
      <c r="D5304" s="234">
        <f>IFERROR(__xludf.DUMMYFUNCTION("""COMPUTED_VALUE"""),24.0)</f>
        <v>24</v>
      </c>
      <c r="E5304" s="237" t="str">
        <f>IFERROR(__xludf.DUMMYFUNCTION("""COMPUTED_VALUE"""),"LT0Q1K01WWTM1")</f>
        <v>LT0Q1K01WWTM1</v>
      </c>
      <c r="F5304" s="238" t="str">
        <f>IFERROR(__xludf.DUMMYFUNCTION("""COMPUTED_VALUE"""),"GGC6C85,TPO5B25")</f>
        <v>GGC6C85,TPO5B25</v>
      </c>
      <c r="G5304" s="238">
        <f>IFERROR(__xludf.DUMMYFUNCTION("""COMPUTED_VALUE"""),46042.97916666667)</f>
        <v>46042.97917</v>
      </c>
      <c r="H5304" s="238">
        <f>IFERROR(__xludf.DUMMYFUNCTION("""COMPUTED_VALUE"""),46043.0625)</f>
        <v>46043.0625</v>
      </c>
      <c r="I5304" s="237" t="str">
        <f t="shared" si="1"/>
        <v>Fora</v>
      </c>
      <c r="J5304" s="239">
        <v>119.99999999301508</v>
      </c>
    </row>
    <row r="5305">
      <c r="A5305" s="234" t="s">
        <v>6185</v>
      </c>
      <c r="B5305" s="234" t="str">
        <f>IFERROR(__xludf.DUMMYFUNCTION("""COMPUTED_VALUE"""),"LM Hub_SP_Várzea Paulista")</f>
        <v>LM Hub_SP_Várzea Paulista</v>
      </c>
      <c r="C5305" s="234" t="str">
        <f>IFERROR(__xludf.DUMMYFUNCTION("""COMPUTED_VALUE"""),"HUB-LSP-20")</f>
        <v>HUB-LSP-20</v>
      </c>
      <c r="D5305" s="234">
        <f>IFERROR(__xludf.DUMMYFUNCTION("""COMPUTED_VALUE"""),27.0)</f>
        <v>27</v>
      </c>
      <c r="E5305" s="237" t="str">
        <f>IFERROR(__xludf.DUMMYFUNCTION("""COMPUTED_VALUE"""),"LT0Q1K01WTIA1")</f>
        <v>LT0Q1K01WTIA1</v>
      </c>
      <c r="F5305" s="238" t="str">
        <f>IFERROR(__xludf.DUMMYFUNCTION("""COMPUTED_VALUE"""),"DPR5J10,TJX9B42")</f>
        <v>DPR5J10,TJX9B42</v>
      </c>
      <c r="G5305" s="238">
        <f>IFERROR(__xludf.DUMMYFUNCTION("""COMPUTED_VALUE"""),46042.97916666667)</f>
        <v>46042.97917</v>
      </c>
      <c r="H5305" s="238">
        <f>IFERROR(__xludf.DUMMYFUNCTION("""COMPUTED_VALUE"""),46043.0625)</f>
        <v>46043.0625</v>
      </c>
      <c r="I5305" s="237" t="str">
        <f t="shared" si="1"/>
        <v>Fora</v>
      </c>
      <c r="J5305" s="239">
        <v>119.99999999301508</v>
      </c>
    </row>
    <row r="5306">
      <c r="A5306" s="234" t="s">
        <v>6186</v>
      </c>
      <c r="B5306" s="234" t="str">
        <f>IFERROR(__xludf.DUMMYFUNCTION("""COMPUTED_VALUE"""),"LM Hub_RJ_Ilha do Governador")</f>
        <v>LM Hub_RJ_Ilha do Governador</v>
      </c>
      <c r="C5306" s="234" t="str">
        <f>IFERROR(__xludf.DUMMYFUNCTION("""COMPUTED_VALUE"""),"HUB-LRJ-32")</f>
        <v>HUB-LRJ-32</v>
      </c>
      <c r="D5306" s="234">
        <f>IFERROR(__xludf.DUMMYFUNCTION("""COMPUTED_VALUE"""),38.0)</f>
        <v>38</v>
      </c>
      <c r="E5306" s="237" t="str">
        <f>IFERROR(__xludf.DUMMYFUNCTION("""COMPUTED_VALUE"""),"LT0Q1L01WYOA1")</f>
        <v>LT0Q1L01WYOA1</v>
      </c>
      <c r="F5306" s="238" t="str">
        <f>IFERROR(__xludf.DUMMYFUNCTION("""COMPUTED_VALUE"""),"QHK5J11")</f>
        <v>QHK5J11</v>
      </c>
      <c r="G5306" s="238">
        <f>IFERROR(__xludf.DUMMYFUNCTION("""COMPUTED_VALUE"""),46043.0)</f>
        <v>46043</v>
      </c>
      <c r="H5306" s="238">
        <f>IFERROR(__xludf.DUMMYFUNCTION("""COMPUTED_VALUE"""),46043.08333333333)</f>
        <v>46043.08333</v>
      </c>
      <c r="I5306" s="237" t="str">
        <f t="shared" si="1"/>
        <v>Fora</v>
      </c>
      <c r="J5306" s="239">
        <v>119.99999999301508</v>
      </c>
    </row>
    <row r="5307">
      <c r="A5307" s="234" t="s">
        <v>6187</v>
      </c>
      <c r="B5307" s="234" t="str">
        <f>IFERROR(__xludf.DUMMYFUNCTION("""COMPUTED_VALUE"""),"LM Hub_SP_Tatuí")</f>
        <v>LM Hub_SP_Tatuí</v>
      </c>
      <c r="C5307" s="234" t="str">
        <f>IFERROR(__xludf.DUMMYFUNCTION("""COMPUTED_VALUE"""),"HUB-LSP-51")</f>
        <v>HUB-LSP-51</v>
      </c>
      <c r="D5307" s="234"/>
      <c r="E5307" s="237" t="str">
        <f>IFERROR(__xludf.DUMMYFUNCTION("""COMPUTED_VALUE"""),"LT0Q1L01WTEV1")</f>
        <v>LT0Q1L01WTEV1</v>
      </c>
      <c r="F5307" s="238" t="str">
        <f>IFERROR(__xludf.DUMMYFUNCTION("""COMPUTED_VALUE"""),"FLO1G76,FLO1G70")</f>
        <v>FLO1G76,FLO1G70</v>
      </c>
      <c r="G5307" s="238">
        <f>IFERROR(__xludf.DUMMYFUNCTION("""COMPUTED_VALUE"""),46043.0)</f>
        <v>46043</v>
      </c>
      <c r="H5307" s="238">
        <f>IFERROR(__xludf.DUMMYFUNCTION("""COMPUTED_VALUE"""),46043.08333333333)</f>
        <v>46043.08333</v>
      </c>
      <c r="I5307" s="237" t="str">
        <f t="shared" si="1"/>
        <v>Fora</v>
      </c>
      <c r="J5307" s="239">
        <v>119.99999999301508</v>
      </c>
    </row>
    <row r="5308">
      <c r="A5308" s="234" t="s">
        <v>6188</v>
      </c>
      <c r="B5308" s="234" t="str">
        <f>IFERROR(__xludf.DUMMYFUNCTION("""COMPUTED_VALUE"""),"SoC_PR_Curitiba")</f>
        <v>SoC_PR_Curitiba</v>
      </c>
      <c r="C5308" s="234" t="str">
        <f>IFERROR(__xludf.DUMMYFUNCTION("""COMPUTED_VALUE"""),"SOC-PR1")</f>
        <v>SOC-PR1</v>
      </c>
      <c r="D5308" s="234">
        <f>IFERROR(__xludf.DUMMYFUNCTION("""COMPUTED_VALUE"""),19.0)</f>
        <v>19</v>
      </c>
      <c r="E5308" s="237" t="str">
        <f>IFERROR(__xludf.DUMMYFUNCTION("""COMPUTED_VALUE"""),"LT0Q1L01WT8S1")</f>
        <v>LT0Q1L01WT8S1</v>
      </c>
      <c r="F5308" s="238" t="str">
        <f>IFERROR(__xludf.DUMMYFUNCTION("""COMPUTED_VALUE"""),"MLL0J68,MEA5I23")</f>
        <v>MLL0J68,MEA5I23</v>
      </c>
      <c r="G5308" s="238">
        <f>IFERROR(__xludf.DUMMYFUNCTION("""COMPUTED_VALUE"""),46043.0)</f>
        <v>46043</v>
      </c>
      <c r="H5308" s="238">
        <f>IFERROR(__xludf.DUMMYFUNCTION("""COMPUTED_VALUE"""),46043.08333333333)</f>
        <v>46043.08333</v>
      </c>
      <c r="I5308" s="237" t="str">
        <f t="shared" si="1"/>
        <v>Fora</v>
      </c>
      <c r="J5308" s="239">
        <v>118.99999998975545</v>
      </c>
    </row>
    <row r="5309">
      <c r="A5309" s="234" t="s">
        <v>6189</v>
      </c>
      <c r="B5309" s="234" t="str">
        <f>IFERROR(__xludf.DUMMYFUNCTION("""COMPUTED_VALUE"""),"SoC_SP_Louveira")</f>
        <v>SoC_SP_Louveira</v>
      </c>
      <c r="C5309" s="234" t="str">
        <f>IFERROR(__xludf.DUMMYFUNCTION("""COMPUTED_VALUE"""),"SOC-SP7")</f>
        <v>SOC-SP7</v>
      </c>
      <c r="D5309" s="234">
        <f>IFERROR(__xludf.DUMMYFUNCTION("""COMPUTED_VALUE"""),17.0)</f>
        <v>17</v>
      </c>
      <c r="E5309" s="237" t="str">
        <f>IFERROR(__xludf.DUMMYFUNCTION("""COMPUTED_VALUE"""),"LT0Q1L01WTB21")</f>
        <v>LT0Q1L01WTB21</v>
      </c>
      <c r="F5309" s="238" t="str">
        <f>IFERROR(__xludf.DUMMYFUNCTION("""COMPUTED_VALUE"""),"EFO9D55,CZX6D42")</f>
        <v>EFO9D55,CZX6D42</v>
      </c>
      <c r="G5309" s="238">
        <f>IFERROR(__xludf.DUMMYFUNCTION("""COMPUTED_VALUE"""),46043.00069444445)</f>
        <v>46043.00069</v>
      </c>
      <c r="H5309" s="238">
        <f>IFERROR(__xludf.DUMMYFUNCTION("""COMPUTED_VALUE"""),46043.08333333333)</f>
        <v>46043.08333</v>
      </c>
      <c r="I5309" s="237" t="str">
        <f t="shared" si="1"/>
        <v>Fora</v>
      </c>
      <c r="J5309" s="239">
        <v>120.00000001396984</v>
      </c>
    </row>
    <row r="5310">
      <c r="A5310" s="234" t="s">
        <v>6190</v>
      </c>
      <c r="B5310" s="234" t="str">
        <f>IFERROR(__xludf.DUMMYFUNCTION("""COMPUTED_VALUE"""),"LM Hub_MG_Varginha_Fausto")</f>
        <v>LM Hub_MG_Varginha_Fausto</v>
      </c>
      <c r="C5310" s="234" t="str">
        <f>IFERROR(__xludf.DUMMYFUNCTION("""COMPUTED_VALUE"""),"HUB-LMG-45")</f>
        <v>HUB-LMG-45</v>
      </c>
      <c r="D5310" s="234">
        <f>IFERROR(__xludf.DUMMYFUNCTION("""COMPUTED_VALUE"""),5.0)</f>
        <v>5</v>
      </c>
      <c r="E5310" s="237" t="str">
        <f>IFERROR(__xludf.DUMMYFUNCTION("""COMPUTED_VALUE"""),"LT0Q1L01WY3K1")</f>
        <v>LT0Q1L01WY3K1</v>
      </c>
      <c r="F5310" s="238" t="str">
        <f>IFERROR(__xludf.DUMMYFUNCTION("""COMPUTED_VALUE"""),"GGT7B46")</f>
        <v>GGT7B46</v>
      </c>
      <c r="G5310" s="238">
        <f>IFERROR(__xludf.DUMMYFUNCTION("""COMPUTED_VALUE"""),46043.02083333333)</f>
        <v>46043.02083</v>
      </c>
      <c r="H5310" s="238">
        <f>IFERROR(__xludf.DUMMYFUNCTION("""COMPUTED_VALUE"""),46043.10416666667)</f>
        <v>46043.10417</v>
      </c>
      <c r="I5310" s="237" t="str">
        <f t="shared" si="1"/>
        <v>Fora</v>
      </c>
      <c r="J5310" s="239">
        <v>540.0</v>
      </c>
    </row>
    <row r="5311">
      <c r="A5311" s="234" t="s">
        <v>6191</v>
      </c>
      <c r="B5311" s="234" t="str">
        <f>IFERROR(__xludf.DUMMYFUNCTION("""COMPUTED_VALUE"""),"SoC_GO_Goiânia_02")</f>
        <v>SoC_GO_Goiânia_02</v>
      </c>
      <c r="C5311" s="234" t="str">
        <f>IFERROR(__xludf.DUMMYFUNCTION("""COMPUTED_VALUE"""),"SOC-GO2")</f>
        <v>SOC-GO2</v>
      </c>
      <c r="D5311" s="234">
        <f>IFERROR(__xludf.DUMMYFUNCTION("""COMPUTED_VALUE"""),114.0)</f>
        <v>114</v>
      </c>
      <c r="E5311" s="237" t="str">
        <f>IFERROR(__xludf.DUMMYFUNCTION("""COMPUTED_VALUE"""),"LT1Q1K01X7SY1")</f>
        <v>LT1Q1K01X7SY1</v>
      </c>
      <c r="F5311" s="238" t="str">
        <f>IFERROR(__xludf.DUMMYFUNCTION("""COMPUTED_VALUE"""),"ESU4F58,AXE7I13")</f>
        <v>ESU4F58,AXE7I13</v>
      </c>
      <c r="G5311" s="238">
        <f>IFERROR(__xludf.DUMMYFUNCTION("""COMPUTED_VALUE"""),46042.75)</f>
        <v>46042.75</v>
      </c>
      <c r="H5311" s="238">
        <f>IFERROR(__xludf.DUMMYFUNCTION("""COMPUTED_VALUE"""),46043.125)</f>
        <v>46043.125</v>
      </c>
      <c r="I5311" s="237" t="str">
        <f t="shared" si="1"/>
        <v>Fora</v>
      </c>
      <c r="J5311" s="239">
        <v>119.99999999301508</v>
      </c>
    </row>
    <row r="5312">
      <c r="A5312" s="234" t="s">
        <v>6192</v>
      </c>
      <c r="B5312" s="234" t="str">
        <f>IFERROR(__xludf.DUMMYFUNCTION("""COMPUTED_VALUE"""),"SoC_SP_Louveira")</f>
        <v>SoC_SP_Louveira</v>
      </c>
      <c r="C5312" s="234" t="str">
        <f>IFERROR(__xludf.DUMMYFUNCTION("""COMPUTED_VALUE"""),"SOC-SP7")</f>
        <v>SOC-SP7</v>
      </c>
      <c r="D5312" s="234">
        <f>IFERROR(__xludf.DUMMYFUNCTION("""COMPUTED_VALUE"""),35.0)</f>
        <v>35</v>
      </c>
      <c r="E5312" s="237" t="str">
        <f>IFERROR(__xludf.DUMMYFUNCTION("""COMPUTED_VALUE"""),"LT0Q1L01WTB71")</f>
        <v>LT0Q1L01WTB71</v>
      </c>
      <c r="F5312" s="238" t="str">
        <f>IFERROR(__xludf.DUMMYFUNCTION("""COMPUTED_VALUE"""),"FPJ8F20,EVO2942")</f>
        <v>FPJ8F20,EVO2942</v>
      </c>
      <c r="G5312" s="238">
        <f>IFERROR(__xludf.DUMMYFUNCTION("""COMPUTED_VALUE"""),46043.04166666667)</f>
        <v>46043.04167</v>
      </c>
      <c r="H5312" s="238">
        <f>IFERROR(__xludf.DUMMYFUNCTION("""COMPUTED_VALUE"""),46043.125)</f>
        <v>46043.125</v>
      </c>
      <c r="I5312" s="237" t="str">
        <f t="shared" si="1"/>
        <v>Fora</v>
      </c>
      <c r="J5312" s="239" t="e">
        <v>#VALUE!</v>
      </c>
    </row>
    <row r="5313">
      <c r="A5313" s="234" t="s">
        <v>6193</v>
      </c>
      <c r="B5313" s="234" t="str">
        <f>IFERROR(__xludf.DUMMYFUNCTION("""COMPUTED_VALUE"""),"Fanout Desconhecido")</f>
        <v>Fanout Desconhecido</v>
      </c>
      <c r="C5313" s="234" t="str">
        <f>IFERROR(__xludf.DUMMYFUNCTION("""COMPUTED_VALUE"""),"-")</f>
        <v>-</v>
      </c>
      <c r="D5313" s="234">
        <f>IFERROR(__xludf.DUMMYFUNCTION("""COMPUTED_VALUE"""),88.0)</f>
        <v>88</v>
      </c>
      <c r="E5313" s="237" t="str">
        <f>IFERROR(__xludf.DUMMYFUNCTION("""COMPUTED_VALUE"""),"LT0Q1K01WYFE2")</f>
        <v>LT0Q1K01WYFE2</v>
      </c>
      <c r="F5313" s="238" t="str">
        <f>IFERROR(__xludf.DUMMYFUNCTION("""COMPUTED_VALUE"""),"-")</f>
        <v>-</v>
      </c>
      <c r="G5313" s="238" t="str">
        <f>IFERROR(__xludf.DUMMYFUNCTION("""COMPUTED_VALUE"""),"-")</f>
        <v>-</v>
      </c>
      <c r="H5313" s="238" t="str">
        <f>IFERROR(__xludf.DUMMYFUNCTION("""COMPUTED_VALUE"""),"-")</f>
        <v>-</v>
      </c>
      <c r="I5313" s="237" t="str">
        <f t="shared" si="1"/>
        <v>Dentro</v>
      </c>
      <c r="J5313" s="239">
        <v>540.0</v>
      </c>
    </row>
    <row r="5314">
      <c r="A5314" s="234" t="s">
        <v>6194</v>
      </c>
      <c r="B5314" s="234" t="str">
        <f>IFERROR(__xludf.DUMMYFUNCTION("""COMPUTED_VALUE"""),"SoC_BA_Simoes Filho")</f>
        <v>SoC_BA_Simoes Filho</v>
      </c>
      <c r="C5314" s="234" t="str">
        <f>IFERROR(__xludf.DUMMYFUNCTION("""COMPUTED_VALUE"""),"SOC-BA2")</f>
        <v>SOC-BA2</v>
      </c>
      <c r="D5314" s="234">
        <f>IFERROR(__xludf.DUMMYFUNCTION("""COMPUTED_VALUE"""),89.0)</f>
        <v>89</v>
      </c>
      <c r="E5314" s="237" t="str">
        <f>IFERROR(__xludf.DUMMYFUNCTION("""COMPUTED_VALUE"""),"LT0Q1K01WYFQ2")</f>
        <v>LT0Q1K01WYFQ2</v>
      </c>
      <c r="F5314" s="238" t="str">
        <f>IFERROR(__xludf.DUMMYFUNCTION("""COMPUTED_VALUE"""),"FQL8A85,SWA4H51")</f>
        <v>FQL8A85,SWA4H51</v>
      </c>
      <c r="G5314" s="238">
        <f>IFERROR(__xludf.DUMMYFUNCTION("""COMPUTED_VALUE"""),46042.79166666667)</f>
        <v>46042.79167</v>
      </c>
      <c r="H5314" s="238">
        <f>IFERROR(__xludf.DUMMYFUNCTION("""COMPUTED_VALUE"""),46043.16666666667)</f>
        <v>46043.16667</v>
      </c>
      <c r="I5314" s="237" t="str">
        <f t="shared" si="1"/>
        <v>Fora</v>
      </c>
      <c r="J5314" s="239">
        <v>540.0</v>
      </c>
    </row>
    <row r="5315">
      <c r="A5315" s="234" t="s">
        <v>6195</v>
      </c>
      <c r="B5315" s="234" t="str">
        <f>IFERROR(__xludf.DUMMYFUNCTION("""COMPUTED_VALUE"""),"SoC_GO_Goiânia_02")</f>
        <v>SoC_GO_Goiânia_02</v>
      </c>
      <c r="C5315" s="234" t="str">
        <f>IFERROR(__xludf.DUMMYFUNCTION("""COMPUTED_VALUE"""),"SOC-GO2")</f>
        <v>SOC-GO2</v>
      </c>
      <c r="D5315" s="234">
        <f>IFERROR(__xludf.DUMMYFUNCTION("""COMPUTED_VALUE"""),87.0)</f>
        <v>87</v>
      </c>
      <c r="E5315" s="237" t="str">
        <f>IFERROR(__xludf.DUMMYFUNCTION("""COMPUTED_VALUE"""),"LT0Q1K01WYQR1")</f>
        <v>LT0Q1K01WYQR1</v>
      </c>
      <c r="F5315" s="238" t="str">
        <f>IFERROR(__xludf.DUMMYFUNCTION("""COMPUTED_VALUE"""),"MMI4A98,SXS3E41")</f>
        <v>MMI4A98,SXS3E41</v>
      </c>
      <c r="G5315" s="238">
        <f>IFERROR(__xludf.DUMMYFUNCTION("""COMPUTED_VALUE"""),46042.79166666667)</f>
        <v>46042.79167</v>
      </c>
      <c r="H5315" s="238">
        <f>IFERROR(__xludf.DUMMYFUNCTION("""COMPUTED_VALUE"""),46043.16666666667)</f>
        <v>46043.16667</v>
      </c>
      <c r="I5315" s="237" t="str">
        <f t="shared" si="1"/>
        <v>Fora</v>
      </c>
      <c r="J5315" s="239">
        <v>540.0</v>
      </c>
    </row>
    <row r="5316">
      <c r="A5316" s="234" t="s">
        <v>6196</v>
      </c>
      <c r="B5316" s="234" t="str">
        <f>IFERROR(__xludf.DUMMYFUNCTION("""COMPUTED_VALUE"""),"SoC_MG_Betim")</f>
        <v>SoC_MG_Betim</v>
      </c>
      <c r="C5316" s="234" t="str">
        <f>IFERROR(__xludf.DUMMYFUNCTION("""COMPUTED_VALUE"""),"SOC-MG2")</f>
        <v>SOC-MG2</v>
      </c>
      <c r="D5316" s="234">
        <f>IFERROR(__xludf.DUMMYFUNCTION("""COMPUTED_VALUE"""),90.0)</f>
        <v>90</v>
      </c>
      <c r="E5316" s="237" t="str">
        <f>IFERROR(__xludf.DUMMYFUNCTION("""COMPUTED_VALUE"""),"LT0Q1K01WT7G3")</f>
        <v>LT0Q1K01WT7G3</v>
      </c>
      <c r="F5316" s="238" t="str">
        <f>IFERROR(__xludf.DUMMYFUNCTION("""COMPUTED_VALUE"""),"UEY6G90,TAX1I61")</f>
        <v>UEY6G90,TAX1I61</v>
      </c>
      <c r="G5316" s="238">
        <f>IFERROR(__xludf.DUMMYFUNCTION("""COMPUTED_VALUE"""),46042.79166666667)</f>
        <v>46042.79167</v>
      </c>
      <c r="H5316" s="238">
        <f>IFERROR(__xludf.DUMMYFUNCTION("""COMPUTED_VALUE"""),46043.16666666667)</f>
        <v>46043.16667</v>
      </c>
      <c r="I5316" s="237" t="str">
        <f t="shared" si="1"/>
        <v>Fora</v>
      </c>
      <c r="J5316" s="239">
        <v>120.00000001396984</v>
      </c>
    </row>
    <row r="5317">
      <c r="A5317" s="234" t="s">
        <v>6197</v>
      </c>
      <c r="B5317" s="238" t="str">
        <f>IFERROR(__xludf.DUMMYFUNCTION("""COMPUTED_VALUE"""),"SoC_GO_Goiânia_02")</f>
        <v>SoC_GO_Goiânia_02</v>
      </c>
      <c r="C5317" s="238" t="str">
        <f>IFERROR(__xludf.DUMMYFUNCTION("""COMPUTED_VALUE"""),"SOC-GO2")</f>
        <v>SOC-GO2</v>
      </c>
      <c r="D5317" s="234">
        <f>IFERROR(__xludf.DUMMYFUNCTION("""COMPUTED_VALUE"""),87.0)</f>
        <v>87</v>
      </c>
      <c r="E5317" s="237" t="str">
        <f>IFERROR(__xludf.DUMMYFUNCTION("""COMPUTED_VALUE"""),"LT1Q1L01X8AW1")</f>
        <v>LT1Q1L01X8AW1</v>
      </c>
      <c r="F5317" s="238" t="str">
        <f>IFERROR(__xludf.DUMMYFUNCTION("""COMPUTED_VALUE"""),"MLO3H08,RKX7D16")</f>
        <v>MLO3H08,RKX7D16</v>
      </c>
      <c r="G5317" s="238">
        <f>IFERROR(__xludf.DUMMYFUNCTION("""COMPUTED_VALUE"""),46043.08333333333)</f>
        <v>46043.08333</v>
      </c>
      <c r="H5317" s="238">
        <f>IFERROR(__xludf.DUMMYFUNCTION("""COMPUTED_VALUE"""),46043.16666666667)</f>
        <v>46043.16667</v>
      </c>
      <c r="I5317" s="237" t="str">
        <f t="shared" si="1"/>
        <v>Fora</v>
      </c>
      <c r="J5317" s="239">
        <v>120.00000001396984</v>
      </c>
    </row>
    <row r="5318">
      <c r="A5318" s="234" t="s">
        <v>6198</v>
      </c>
      <c r="B5318" s="234" t="str">
        <f>IFERROR(__xludf.DUMMYFUNCTION("""COMPUTED_VALUE"""),"SoC_PE_Jaboatão dos Guararapes")</f>
        <v>SoC_PE_Jaboatão dos Guararapes</v>
      </c>
      <c r="C5318" s="234" t="str">
        <f>IFERROR(__xludf.DUMMYFUNCTION("""COMPUTED_VALUE"""),"SOC-PE2")</f>
        <v>SOC-PE2</v>
      </c>
      <c r="D5318" s="234">
        <f>IFERROR(__xludf.DUMMYFUNCTION("""COMPUTED_VALUE"""),98.0)</f>
        <v>98</v>
      </c>
      <c r="E5318" s="237" t="str">
        <f>IFERROR(__xludf.DUMMYFUNCTION("""COMPUTED_VALUE"""),"LT1Q1L01X8AP1")</f>
        <v>LT1Q1L01X8AP1</v>
      </c>
      <c r="F5318" s="238" t="str">
        <f>IFERROR(__xludf.DUMMYFUNCTION("""COMPUTED_VALUE"""),"PNV2B04,SRD4J42")</f>
        <v>PNV2B04,SRD4J42</v>
      </c>
      <c r="G5318" s="238">
        <f>IFERROR(__xludf.DUMMYFUNCTION("""COMPUTED_VALUE"""),46043.08333333333)</f>
        <v>46043.08333</v>
      </c>
      <c r="H5318" s="238">
        <f>IFERROR(__xludf.DUMMYFUNCTION("""COMPUTED_VALUE"""),46043.16666666667)</f>
        <v>46043.16667</v>
      </c>
      <c r="I5318" s="237" t="str">
        <f t="shared" si="1"/>
        <v>Fora</v>
      </c>
      <c r="J5318" s="239">
        <v>120.00000001396984</v>
      </c>
    </row>
    <row r="5319">
      <c r="A5319" s="234" t="s">
        <v>6199</v>
      </c>
      <c r="B5319" s="234" t="str">
        <f>IFERROR(__xludf.DUMMYFUNCTION("""COMPUTED_VALUE"""),"SoC_RS_Gravataí_02")</f>
        <v>SoC_RS_Gravataí_02</v>
      </c>
      <c r="C5319" s="234" t="str">
        <f>IFERROR(__xludf.DUMMYFUNCTION("""COMPUTED_VALUE"""),"SOC-RS2")</f>
        <v>SOC-RS2</v>
      </c>
      <c r="D5319" s="234">
        <f>IFERROR(__xludf.DUMMYFUNCTION("""COMPUTED_VALUE"""),113.0)</f>
        <v>113</v>
      </c>
      <c r="E5319" s="237" t="str">
        <f>IFERROR(__xludf.DUMMYFUNCTION("""COMPUTED_VALUE"""),"LT1Q1L01X8AT1")</f>
        <v>LT1Q1L01X8AT1</v>
      </c>
      <c r="F5319" s="238" t="str">
        <f>IFERROR(__xludf.DUMMYFUNCTION("""COMPUTED_VALUE"""),"FLN7A59,BQU9H62")</f>
        <v>FLN7A59,BQU9H62</v>
      </c>
      <c r="G5319" s="238">
        <f>IFERROR(__xludf.DUMMYFUNCTION("""COMPUTED_VALUE"""),46043.08333333333)</f>
        <v>46043.08333</v>
      </c>
      <c r="H5319" s="238">
        <f>IFERROR(__xludf.DUMMYFUNCTION("""COMPUTED_VALUE"""),46043.16666666667)</f>
        <v>46043.16667</v>
      </c>
      <c r="I5319" s="237" t="str">
        <f t="shared" si="1"/>
        <v>Fora</v>
      </c>
      <c r="J5319" s="239">
        <v>120.00000001396984</v>
      </c>
    </row>
    <row r="5320">
      <c r="A5320" s="234" t="s">
        <v>6200</v>
      </c>
      <c r="B5320" s="234" t="str">
        <f>IFERROR(__xludf.DUMMYFUNCTION("""COMPUTED_VALUE"""),"SoC_SP_Cravinhos")</f>
        <v>SoC_SP_Cravinhos</v>
      </c>
      <c r="C5320" s="234" t="str">
        <f>IFERROR(__xludf.DUMMYFUNCTION("""COMPUTED_VALUE"""),"SOC-SP5")</f>
        <v>SOC-SP5</v>
      </c>
      <c r="D5320" s="234">
        <f>IFERROR(__xludf.DUMMYFUNCTION("""COMPUTED_VALUE"""),6.0)</f>
        <v>6</v>
      </c>
      <c r="E5320" s="237" t="str">
        <f>IFERROR(__xludf.DUMMYFUNCTION("""COMPUTED_VALUE"""),"LT1Q1L01X8AM1")</f>
        <v>LT1Q1L01X8AM1</v>
      </c>
      <c r="F5320" s="238" t="str">
        <f>IFERROR(__xludf.DUMMYFUNCTION("""COMPUTED_VALUE"""),"DCN5A45,GAM2E32")</f>
        <v>DCN5A45,GAM2E32</v>
      </c>
      <c r="G5320" s="238">
        <f>IFERROR(__xludf.DUMMYFUNCTION("""COMPUTED_VALUE"""),46043.08333333333)</f>
        <v>46043.08333</v>
      </c>
      <c r="H5320" s="238">
        <f>IFERROR(__xludf.DUMMYFUNCTION("""COMPUTED_VALUE"""),46043.16666666667)</f>
        <v>46043.16667</v>
      </c>
      <c r="I5320" s="237" t="str">
        <f t="shared" si="1"/>
        <v>Fora</v>
      </c>
      <c r="J5320" s="239">
        <v>120.00000001396984</v>
      </c>
    </row>
    <row r="5321">
      <c r="A5321" s="234" t="s">
        <v>6201</v>
      </c>
      <c r="B5321" s="234" t="str">
        <f>IFERROR(__xludf.DUMMYFUNCTION("""COMPUTED_VALUE"""),"SoC_SP_Cravinhos")</f>
        <v>SoC_SP_Cravinhos</v>
      </c>
      <c r="C5321" s="234" t="str">
        <f>IFERROR(__xludf.DUMMYFUNCTION("""COMPUTED_VALUE"""),"SOC-SP5")</f>
        <v>SOC-SP5</v>
      </c>
      <c r="D5321" s="234">
        <f>IFERROR(__xludf.DUMMYFUNCTION("""COMPUTED_VALUE"""),95.0)</f>
        <v>95</v>
      </c>
      <c r="E5321" s="237" t="str">
        <f>IFERROR(__xludf.DUMMYFUNCTION("""COMPUTED_VALUE"""),"LT1Q1L01X8AN1")</f>
        <v>LT1Q1L01X8AN1</v>
      </c>
      <c r="F5321" s="238" t="str">
        <f>IFERROR(__xludf.DUMMYFUNCTION("""COMPUTED_VALUE"""),"FUZ4C73,TLL9H76")</f>
        <v>FUZ4C73,TLL9H76</v>
      </c>
      <c r="G5321" s="238">
        <f>IFERROR(__xludf.DUMMYFUNCTION("""COMPUTED_VALUE"""),46043.08333333333)</f>
        <v>46043.08333</v>
      </c>
      <c r="H5321" s="238">
        <f>IFERROR(__xludf.DUMMYFUNCTION("""COMPUTED_VALUE"""),46043.16666666667)</f>
        <v>46043.16667</v>
      </c>
      <c r="I5321" s="237" t="str">
        <f t="shared" si="1"/>
        <v>Fora</v>
      </c>
      <c r="J5321" s="239">
        <v>119.99999999301508</v>
      </c>
    </row>
    <row r="5322">
      <c r="A5322" s="234" t="s">
        <v>6202</v>
      </c>
      <c r="B5322" s="234" t="str">
        <f>IFERROR(__xludf.DUMMYFUNCTION("""COMPUTED_VALUE"""),"LM Hub_SP_Itapetininga")</f>
        <v>LM Hub_SP_Itapetininga</v>
      </c>
      <c r="C5322" s="234" t="str">
        <f>IFERROR(__xludf.DUMMYFUNCTION("""COMPUTED_VALUE"""),"HUB-LSP-53")</f>
        <v>HUB-LSP-53</v>
      </c>
      <c r="D5322" s="234">
        <f>IFERROR(__xludf.DUMMYFUNCTION("""COMPUTED_VALUE"""),29.0)</f>
        <v>29</v>
      </c>
      <c r="E5322" s="237" t="str">
        <f>IFERROR(__xludf.DUMMYFUNCTION("""COMPUTED_VALUE"""),"LT0Q1L01WTEQ1")</f>
        <v>LT0Q1L01WTEQ1</v>
      </c>
      <c r="F5322" s="238" t="str">
        <f>IFERROR(__xludf.DUMMYFUNCTION("""COMPUTED_VALUE"""),"FZY3F48")</f>
        <v>FZY3F48</v>
      </c>
      <c r="G5322" s="238">
        <f>IFERROR(__xludf.DUMMYFUNCTION("""COMPUTED_VALUE"""),46043.10416666667)</f>
        <v>46043.10417</v>
      </c>
      <c r="H5322" s="238">
        <f>IFERROR(__xludf.DUMMYFUNCTION("""COMPUTED_VALUE"""),46043.1875)</f>
        <v>46043.1875</v>
      </c>
      <c r="I5322" s="237" t="str">
        <f t="shared" si="1"/>
        <v>Fora</v>
      </c>
      <c r="J5322" s="239">
        <v>119.99999999301508</v>
      </c>
    </row>
    <row r="5323">
      <c r="A5323" s="234" t="s">
        <v>6203</v>
      </c>
      <c r="B5323" s="234" t="str">
        <f>IFERROR(__xludf.DUMMYFUNCTION("""COMPUTED_VALUE"""),"LM Hub_SP_São Carlos")</f>
        <v>LM Hub_SP_São Carlos</v>
      </c>
      <c r="C5323" s="234" t="str">
        <f>IFERROR(__xludf.DUMMYFUNCTION("""COMPUTED_VALUE"""),"HUB-LSP-31")</f>
        <v>HUB-LSP-31</v>
      </c>
      <c r="D5323" s="234">
        <f>IFERROR(__xludf.DUMMYFUNCTION("""COMPUTED_VALUE"""),28.0)</f>
        <v>28</v>
      </c>
      <c r="E5323" s="237" t="str">
        <f>IFERROR(__xludf.DUMMYFUNCTION("""COMPUTED_VALUE"""),"LT0Q1L01WTH71")</f>
        <v>LT0Q1L01WTH71</v>
      </c>
      <c r="F5323" s="238" t="str">
        <f>IFERROR(__xludf.DUMMYFUNCTION("""COMPUTED_VALUE"""),"DYL0G56")</f>
        <v>DYL0G56</v>
      </c>
      <c r="G5323" s="238">
        <f>IFERROR(__xludf.DUMMYFUNCTION("""COMPUTED_VALUE"""),46043.10416666667)</f>
        <v>46043.10417</v>
      </c>
      <c r="H5323" s="238">
        <f>IFERROR(__xludf.DUMMYFUNCTION("""COMPUTED_VALUE"""),46043.1875)</f>
        <v>46043.1875</v>
      </c>
      <c r="I5323" s="237" t="str">
        <f t="shared" si="1"/>
        <v>Fora</v>
      </c>
      <c r="J5323" s="239">
        <v>540.0</v>
      </c>
    </row>
    <row r="5324">
      <c r="A5324" s="234" t="s">
        <v>6204</v>
      </c>
      <c r="B5324" s="234" t="str">
        <f>IFERROR(__xludf.DUMMYFUNCTION("""COMPUTED_VALUE"""),"SoC_PE_Jaboatão dos Guararapes")</f>
        <v>SoC_PE_Jaboatão dos Guararapes</v>
      </c>
      <c r="C5324" s="234" t="str">
        <f>IFERROR(__xludf.DUMMYFUNCTION("""COMPUTED_VALUE"""),"SOC-PE2")</f>
        <v>SOC-PE2</v>
      </c>
      <c r="D5324" s="234">
        <f>IFERROR(__xludf.DUMMYFUNCTION("""COMPUTED_VALUE"""),99.0)</f>
        <v>99</v>
      </c>
      <c r="E5324" s="237" t="str">
        <f>IFERROR(__xludf.DUMMYFUNCTION("""COMPUTED_VALUE"""),"LT0Q1K01WYC92")</f>
        <v>LT0Q1K01WYC92</v>
      </c>
      <c r="F5324" s="238" t="str">
        <f>IFERROR(__xludf.DUMMYFUNCTION("""COMPUTED_VALUE"""),"FSS0G90,TEG8F69")</f>
        <v>FSS0G90,TEG8F69</v>
      </c>
      <c r="G5324" s="238">
        <f>IFERROR(__xludf.DUMMYFUNCTION("""COMPUTED_VALUE"""),46042.83333333333)</f>
        <v>46042.83333</v>
      </c>
      <c r="H5324" s="238">
        <f>IFERROR(__xludf.DUMMYFUNCTION("""COMPUTED_VALUE"""),46043.20833333333)</f>
        <v>46043.20833</v>
      </c>
      <c r="I5324" s="237" t="str">
        <f t="shared" si="1"/>
        <v>Fora</v>
      </c>
      <c r="J5324" s="239">
        <v>540.0</v>
      </c>
    </row>
    <row r="5325">
      <c r="A5325" s="234" t="s">
        <v>6205</v>
      </c>
      <c r="B5325" s="234" t="str">
        <f>IFERROR(__xludf.DUMMYFUNCTION("""COMPUTED_VALUE"""),"SoC_RS_Gravataí_02")</f>
        <v>SoC_RS_Gravataí_02</v>
      </c>
      <c r="C5325" s="234" t="str">
        <f>IFERROR(__xludf.DUMMYFUNCTION("""COMPUTED_VALUE"""),"SOC-RS2")</f>
        <v>SOC-RS2</v>
      </c>
      <c r="D5325" s="234">
        <f>IFERROR(__xludf.DUMMYFUNCTION("""COMPUTED_VALUE"""),92.0)</f>
        <v>92</v>
      </c>
      <c r="E5325" s="237" t="str">
        <f>IFERROR(__xludf.DUMMYFUNCTION("""COMPUTED_VALUE"""),"LT0Q1K01WYT22")</f>
        <v>LT0Q1K01WYT22</v>
      </c>
      <c r="F5325" s="238" t="str">
        <f>IFERROR(__xludf.DUMMYFUNCTION("""COMPUTED_VALUE"""),"GIB6B68,BAW1I35")</f>
        <v>GIB6B68,BAW1I35</v>
      </c>
      <c r="G5325" s="238">
        <f>IFERROR(__xludf.DUMMYFUNCTION("""COMPUTED_VALUE"""),46042.83333333333)</f>
        <v>46042.83333</v>
      </c>
      <c r="H5325" s="238">
        <f>IFERROR(__xludf.DUMMYFUNCTION("""COMPUTED_VALUE"""),46043.20833333333)</f>
        <v>46043.20833</v>
      </c>
      <c r="I5325" s="237" t="str">
        <f t="shared" si="1"/>
        <v>Fora</v>
      </c>
      <c r="J5325" s="239">
        <v>540.0</v>
      </c>
    </row>
    <row r="5326">
      <c r="A5326" s="234" t="s">
        <v>6206</v>
      </c>
      <c r="B5326" s="234" t="str">
        <f>IFERROR(__xludf.DUMMYFUNCTION("""COMPUTED_VALUE"""),"SoC_SC_Itajaí")</f>
        <v>SoC_SC_Itajaí</v>
      </c>
      <c r="C5326" s="234" t="str">
        <f>IFERROR(__xludf.DUMMYFUNCTION("""COMPUTED_VALUE"""),"SOC-SC1")</f>
        <v>SOC-SC1</v>
      </c>
      <c r="D5326" s="234">
        <f>IFERROR(__xludf.DUMMYFUNCTION("""COMPUTED_VALUE"""),101.0)</f>
        <v>101</v>
      </c>
      <c r="E5326" s="237" t="str">
        <f>IFERROR(__xludf.DUMMYFUNCTION("""COMPUTED_VALUE"""),"LT0Q1K01WXHD1")</f>
        <v>LT0Q1K01WXHD1</v>
      </c>
      <c r="F5326" s="238" t="str">
        <f>IFERROR(__xludf.DUMMYFUNCTION("""COMPUTED_VALUE"""),"RAF2D89,RLI1G86")</f>
        <v>RAF2D89,RLI1G86</v>
      </c>
      <c r="G5326" s="238">
        <f>IFERROR(__xludf.DUMMYFUNCTION("""COMPUTED_VALUE"""),46042.83333333333)</f>
        <v>46042.83333</v>
      </c>
      <c r="H5326" s="238">
        <f>IFERROR(__xludf.DUMMYFUNCTION("""COMPUTED_VALUE"""),46043.20833333333)</f>
        <v>46043.20833</v>
      </c>
      <c r="I5326" s="237" t="str">
        <f t="shared" si="1"/>
        <v>Fora</v>
      </c>
      <c r="J5326" s="239">
        <v>538.9999999967404</v>
      </c>
    </row>
    <row r="5327">
      <c r="A5327" s="234" t="s">
        <v>6207</v>
      </c>
      <c r="B5327" s="234" t="str">
        <f>IFERROR(__xludf.DUMMYFUNCTION("""COMPUTED_VALUE"""),"SoC_SC_Itajaí")</f>
        <v>SoC_SC_Itajaí</v>
      </c>
      <c r="C5327" s="234" t="str">
        <f>IFERROR(__xludf.DUMMYFUNCTION("""COMPUTED_VALUE"""),"SOC-SC1")</f>
        <v>SOC-SC1</v>
      </c>
      <c r="D5327" s="234">
        <f>IFERROR(__xludf.DUMMYFUNCTION("""COMPUTED_VALUE"""),100.0)</f>
        <v>100</v>
      </c>
      <c r="E5327" s="237" t="str">
        <f>IFERROR(__xludf.DUMMYFUNCTION("""COMPUTED_VALUE"""),"LT0Q1K01WXHJ1")</f>
        <v>LT0Q1K01WXHJ1</v>
      </c>
      <c r="F5327" s="238" t="str">
        <f>IFERROR(__xludf.DUMMYFUNCTION("""COMPUTED_VALUE"""),"RXZ0J01,RYK4D86")</f>
        <v>RXZ0J01,RYK4D86</v>
      </c>
      <c r="G5327" s="238">
        <f>IFERROR(__xludf.DUMMYFUNCTION("""COMPUTED_VALUE"""),46042.834027777775)</f>
        <v>46042.83403</v>
      </c>
      <c r="H5327" s="238">
        <f>IFERROR(__xludf.DUMMYFUNCTION("""COMPUTED_VALUE"""),46043.20833333333)</f>
        <v>46043.20833</v>
      </c>
      <c r="I5327" s="237" t="str">
        <f t="shared" si="1"/>
        <v>Fora</v>
      </c>
      <c r="J5327" s="239">
        <v>537.9999999934807</v>
      </c>
    </row>
    <row r="5328">
      <c r="A5328" s="234" t="s">
        <v>6208</v>
      </c>
      <c r="B5328" s="234" t="str">
        <f>IFERROR(__xludf.DUMMYFUNCTION("""COMPUTED_VALUE"""),"SoC_RJ_Duque de Caxias")</f>
        <v>SoC_RJ_Duque de Caxias</v>
      </c>
      <c r="C5328" s="234" t="str">
        <f>IFERROR(__xludf.DUMMYFUNCTION("""COMPUTED_VALUE"""),"SOC-RJ2")</f>
        <v>SOC-RJ2</v>
      </c>
      <c r="D5328" s="234">
        <f>IFERROR(__xludf.DUMMYFUNCTION("""COMPUTED_VALUE"""),113.0)</f>
        <v>113</v>
      </c>
      <c r="E5328" s="237" t="str">
        <f>IFERROR(__xludf.DUMMYFUNCTION("""COMPUTED_VALUE"""),"LT0Q1K01X2ZK1")</f>
        <v>LT0Q1K01X2ZK1</v>
      </c>
      <c r="F5328" s="238" t="str">
        <f>IFERROR(__xludf.DUMMYFUNCTION("""COMPUTED_VALUE"""),"GEI0C29,TUS2A30")</f>
        <v>GEI0C29,TUS2A30</v>
      </c>
      <c r="G5328" s="238">
        <f>IFERROR(__xludf.DUMMYFUNCTION("""COMPUTED_VALUE"""),46042.83472222222)</f>
        <v>46042.83472</v>
      </c>
      <c r="H5328" s="238">
        <f>IFERROR(__xludf.DUMMYFUNCTION("""COMPUTED_VALUE"""),46043.20833333333)</f>
        <v>46043.20833</v>
      </c>
      <c r="I5328" s="237" t="str">
        <f t="shared" si="1"/>
        <v>Fora</v>
      </c>
      <c r="J5328" s="239">
        <v>537.9999999934807</v>
      </c>
    </row>
    <row r="5329">
      <c r="A5329" s="234" t="s">
        <v>6209</v>
      </c>
      <c r="B5329" s="234" t="str">
        <f>IFERROR(__xludf.DUMMYFUNCTION("""COMPUTED_VALUE"""),"SoC_SP_Cravinhos")</f>
        <v>SoC_SP_Cravinhos</v>
      </c>
      <c r="C5329" s="234" t="str">
        <f>IFERROR(__xludf.DUMMYFUNCTION("""COMPUTED_VALUE"""),"SOC-SP5")</f>
        <v>SOC-SP5</v>
      </c>
      <c r="D5329" s="234">
        <f>IFERROR(__xludf.DUMMYFUNCTION("""COMPUTED_VALUE"""),94.0)</f>
        <v>94</v>
      </c>
      <c r="E5329" s="237" t="str">
        <f>IFERROR(__xludf.DUMMYFUNCTION("""COMPUTED_VALUE"""),"LT0Q1K01WTAP1")</f>
        <v>LT0Q1K01WTAP1</v>
      </c>
      <c r="F5329" s="238" t="str">
        <f>IFERROR(__xludf.DUMMYFUNCTION("""COMPUTED_VALUE"""),"DTD5J99,DTA2J13")</f>
        <v>DTD5J99,DTA2J13</v>
      </c>
      <c r="G5329" s="238">
        <f>IFERROR(__xludf.DUMMYFUNCTION("""COMPUTED_VALUE"""),46042.83472222222)</f>
        <v>46042.83472</v>
      </c>
      <c r="H5329" s="238">
        <f>IFERROR(__xludf.DUMMYFUNCTION("""COMPUTED_VALUE"""),46043.20833333333)</f>
        <v>46043.20833</v>
      </c>
      <c r="I5329" s="237" t="str">
        <f t="shared" si="1"/>
        <v>Fora</v>
      </c>
      <c r="J5329" s="239">
        <v>535.9999999869615</v>
      </c>
    </row>
    <row r="5330">
      <c r="A5330" s="234" t="s">
        <v>6210</v>
      </c>
      <c r="B5330" s="234" t="str">
        <f>IFERROR(__xludf.DUMMYFUNCTION("""COMPUTED_VALUE"""),"SoC_MG_Betim")</f>
        <v>SoC_MG_Betim</v>
      </c>
      <c r="C5330" s="234" t="str">
        <f>IFERROR(__xludf.DUMMYFUNCTION("""COMPUTED_VALUE"""),"SOC-MG2")</f>
        <v>SOC-MG2</v>
      </c>
      <c r="D5330" s="234">
        <f>IFERROR(__xludf.DUMMYFUNCTION("""COMPUTED_VALUE"""),112.0)</f>
        <v>112</v>
      </c>
      <c r="E5330" s="237" t="str">
        <f>IFERROR(__xludf.DUMMYFUNCTION("""COMPUTED_VALUE"""),"LT0Q1K01WT844")</f>
        <v>LT0Q1K01WT844</v>
      </c>
      <c r="F5330" s="238" t="str">
        <f>IFERROR(__xludf.DUMMYFUNCTION("""COMPUTED_VALUE"""),"UGL9D30,SJN7D07")</f>
        <v>UGL9D30,SJN7D07</v>
      </c>
      <c r="G5330" s="238">
        <f>IFERROR(__xludf.DUMMYFUNCTION("""COMPUTED_VALUE"""),46042.836111111115)</f>
        <v>46042.83611</v>
      </c>
      <c r="H5330" s="238">
        <f>IFERROR(__xludf.DUMMYFUNCTION("""COMPUTED_VALUE"""),46043.20833333333)</f>
        <v>46043.20833</v>
      </c>
      <c r="I5330" s="237" t="str">
        <f t="shared" si="1"/>
        <v>Fora</v>
      </c>
      <c r="J5330" s="239">
        <v>419.99999998603016</v>
      </c>
    </row>
    <row r="5331">
      <c r="A5331" s="234" t="s">
        <v>6211</v>
      </c>
      <c r="B5331" s="234" t="str">
        <f>IFERROR(__xludf.DUMMYFUNCTION("""COMPUTED_VALUE"""),"SoC_MG_Betim")</f>
        <v>SoC_MG_Betim</v>
      </c>
      <c r="C5331" s="234" t="str">
        <f>IFERROR(__xludf.DUMMYFUNCTION("""COMPUTED_VALUE"""),"SOC-MG2")</f>
        <v>SOC-MG2</v>
      </c>
      <c r="D5331" s="234">
        <f>IFERROR(__xludf.DUMMYFUNCTION("""COMPUTED_VALUE"""),91.0)</f>
        <v>91</v>
      </c>
      <c r="E5331" s="237" t="str">
        <f>IFERROR(__xludf.DUMMYFUNCTION("""COMPUTED_VALUE"""),"LT1Q1K01X7SJ1")</f>
        <v>LT1Q1K01X7SJ1</v>
      </c>
      <c r="F5331" s="238" t="str">
        <f>IFERROR(__xludf.DUMMYFUNCTION("""COMPUTED_VALUE"""),"EBG4E32,FPD8B99")</f>
        <v>EBG4E32,FPD8B99</v>
      </c>
      <c r="G5331" s="238">
        <f>IFERROR(__xludf.DUMMYFUNCTION("""COMPUTED_VALUE"""),46042.91666666667)</f>
        <v>46042.91667</v>
      </c>
      <c r="H5331" s="238">
        <f>IFERROR(__xludf.DUMMYFUNCTION("""COMPUTED_VALUE"""),46043.20833333333)</f>
        <v>46043.20833</v>
      </c>
      <c r="I5331" s="237" t="str">
        <f t="shared" si="1"/>
        <v>Fora</v>
      </c>
      <c r="J5331" s="239">
        <v>419.99999998603016</v>
      </c>
    </row>
    <row r="5332">
      <c r="A5332" s="234" t="s">
        <v>6212</v>
      </c>
      <c r="B5332" s="234" t="str">
        <f>IFERROR(__xludf.DUMMYFUNCTION("""COMPUTED_VALUE"""),"SoC_PR_Curitiba")</f>
        <v>SoC_PR_Curitiba</v>
      </c>
      <c r="C5332" s="234" t="str">
        <f>IFERROR(__xludf.DUMMYFUNCTION("""COMPUTED_VALUE"""),"SOC-PR1")</f>
        <v>SOC-PR1</v>
      </c>
      <c r="D5332" s="234">
        <f>IFERROR(__xludf.DUMMYFUNCTION("""COMPUTED_VALUE"""),26.0)</f>
        <v>26</v>
      </c>
      <c r="E5332" s="237" t="str">
        <f>IFERROR(__xludf.DUMMYFUNCTION("""COMPUTED_VALUE"""),"LT1Q1K01X7SL1")</f>
        <v>LT1Q1K01X7SL1</v>
      </c>
      <c r="F5332" s="238" t="str">
        <f>IFERROR(__xludf.DUMMYFUNCTION("""COMPUTED_VALUE"""),"RAG7228,RYZ0F99")</f>
        <v>RAG7228,RYZ0F99</v>
      </c>
      <c r="G5332" s="238">
        <f>IFERROR(__xludf.DUMMYFUNCTION("""COMPUTED_VALUE"""),46042.91666666667)</f>
        <v>46042.91667</v>
      </c>
      <c r="H5332" s="238">
        <f>IFERROR(__xludf.DUMMYFUNCTION("""COMPUTED_VALUE"""),46043.20833333333)</f>
        <v>46043.20833</v>
      </c>
      <c r="I5332" s="237" t="str">
        <f t="shared" si="1"/>
        <v>Fora</v>
      </c>
      <c r="J5332" s="239">
        <v>419.99999998603016</v>
      </c>
    </row>
    <row r="5333">
      <c r="A5333" s="234" t="s">
        <v>6213</v>
      </c>
      <c r="B5333" s="234" t="str">
        <f>IFERROR(__xludf.DUMMYFUNCTION("""COMPUTED_VALUE"""),"SoC_RS_Gravataí_02")</f>
        <v>SoC_RS_Gravataí_02</v>
      </c>
      <c r="C5333" s="234" t="str">
        <f>IFERROR(__xludf.DUMMYFUNCTION("""COMPUTED_VALUE"""),"SOC-RS2")</f>
        <v>SOC-RS2</v>
      </c>
      <c r="D5333" s="234">
        <f>IFERROR(__xludf.DUMMYFUNCTION("""COMPUTED_VALUE"""),93.0)</f>
        <v>93</v>
      </c>
      <c r="E5333" s="237" t="str">
        <f>IFERROR(__xludf.DUMMYFUNCTION("""COMPUTED_VALUE"""),"LT1Q1K01X7SU1")</f>
        <v>LT1Q1K01X7SU1</v>
      </c>
      <c r="F5333" s="238" t="str">
        <f>IFERROR(__xludf.DUMMYFUNCTION("""COMPUTED_VALUE"""),"EZU3H00,JRK1F85")</f>
        <v>EZU3H00,JRK1F85</v>
      </c>
      <c r="G5333" s="238">
        <f>IFERROR(__xludf.DUMMYFUNCTION("""COMPUTED_VALUE"""),46042.91666666667)</f>
        <v>46042.91667</v>
      </c>
      <c r="H5333" s="238">
        <f>IFERROR(__xludf.DUMMYFUNCTION("""COMPUTED_VALUE"""),46043.20833333333)</f>
        <v>46043.20833</v>
      </c>
      <c r="I5333" s="237" t="str">
        <f t="shared" si="1"/>
        <v>Fora</v>
      </c>
      <c r="J5333" s="239">
        <v>419.99999998603016</v>
      </c>
    </row>
    <row r="5334">
      <c r="A5334" s="234" t="s">
        <v>6214</v>
      </c>
      <c r="B5334" s="234" t="str">
        <f>IFERROR(__xludf.DUMMYFUNCTION("""COMPUTED_VALUE"""),"SoC_SC_Itajaí")</f>
        <v>SoC_SC_Itajaí</v>
      </c>
      <c r="C5334" s="234" t="str">
        <f>IFERROR(__xludf.DUMMYFUNCTION("""COMPUTED_VALUE"""),"SOC-SC1")</f>
        <v>SOC-SC1</v>
      </c>
      <c r="D5334" s="234">
        <f>IFERROR(__xludf.DUMMYFUNCTION("""COMPUTED_VALUE"""),100.0)</f>
        <v>100</v>
      </c>
      <c r="E5334" s="237" t="str">
        <f>IFERROR(__xludf.DUMMYFUNCTION("""COMPUTED_VALUE"""),"LT1Q1K01X7SX1")</f>
        <v>LT1Q1K01X7SX1</v>
      </c>
      <c r="F5334" s="238" t="str">
        <f>IFERROR(__xludf.DUMMYFUNCTION("""COMPUTED_VALUE"""),"EML7C22,ETM0J86")</f>
        <v>EML7C22,ETM0J86</v>
      </c>
      <c r="G5334" s="238">
        <f>IFERROR(__xludf.DUMMYFUNCTION("""COMPUTED_VALUE"""),46042.91666666667)</f>
        <v>46042.91667</v>
      </c>
      <c r="H5334" s="238">
        <f>IFERROR(__xludf.DUMMYFUNCTION("""COMPUTED_VALUE"""),46043.20833333333)</f>
        <v>46043.20833</v>
      </c>
      <c r="I5334" s="237" t="str">
        <f t="shared" si="1"/>
        <v>Fora</v>
      </c>
      <c r="J5334" s="239">
        <v>419.99999998603016</v>
      </c>
    </row>
    <row r="5335">
      <c r="A5335" s="234" t="s">
        <v>6215</v>
      </c>
      <c r="B5335" s="234" t="str">
        <f>IFERROR(__xludf.DUMMYFUNCTION("""COMPUTED_VALUE"""),"SoC_SP_Guarulhos")</f>
        <v>SoC_SP_Guarulhos</v>
      </c>
      <c r="C5335" s="234" t="str">
        <f>IFERROR(__xludf.DUMMYFUNCTION("""COMPUTED_VALUE"""),"SOC-SP6")</f>
        <v>SOC-SP6</v>
      </c>
      <c r="D5335" s="234"/>
      <c r="E5335" s="237" t="str">
        <f>IFERROR(__xludf.DUMMYFUNCTION("""COMPUTED_VALUE"""),"LT1Q1K01X7S31")</f>
        <v>LT1Q1K01X7S31</v>
      </c>
      <c r="F5335" s="234"/>
      <c r="G5335" s="238">
        <f>IFERROR(__xludf.DUMMYFUNCTION("""COMPUTED_VALUE"""),46042.91666666667)</f>
        <v>46042.91667</v>
      </c>
      <c r="H5335" s="238">
        <f>IFERROR(__xludf.DUMMYFUNCTION("""COMPUTED_VALUE"""),46043.20833333333)</f>
        <v>46043.20833</v>
      </c>
      <c r="I5335" s="237" t="str">
        <f t="shared" si="1"/>
        <v>Fora</v>
      </c>
      <c r="J5335" s="239">
        <v>419.99999998603016</v>
      </c>
    </row>
    <row r="5336">
      <c r="A5336" s="234" t="s">
        <v>6216</v>
      </c>
      <c r="B5336" s="234" t="str">
        <f>IFERROR(__xludf.DUMMYFUNCTION("""COMPUTED_VALUE"""),"SoC_SP_Louveira")</f>
        <v>SoC_SP_Louveira</v>
      </c>
      <c r="C5336" s="234" t="str">
        <f>IFERROR(__xludf.DUMMYFUNCTION("""COMPUTED_VALUE"""),"SOC-SP7")</f>
        <v>SOC-SP7</v>
      </c>
      <c r="D5336" s="234"/>
      <c r="E5336" s="237" t="str">
        <f>IFERROR(__xludf.DUMMYFUNCTION("""COMPUTED_VALUE"""),"LT1Q1K01X7RZ1")</f>
        <v>LT1Q1K01X7RZ1</v>
      </c>
      <c r="F5336" s="234"/>
      <c r="G5336" s="238">
        <f>IFERROR(__xludf.DUMMYFUNCTION("""COMPUTED_VALUE"""),46042.91666666667)</f>
        <v>46042.91667</v>
      </c>
      <c r="H5336" s="238">
        <f>IFERROR(__xludf.DUMMYFUNCTION("""COMPUTED_VALUE"""),46043.20833333333)</f>
        <v>46043.20833</v>
      </c>
      <c r="I5336" s="237" t="str">
        <f t="shared" si="1"/>
        <v>Fora</v>
      </c>
      <c r="J5336" s="239">
        <v>360.0</v>
      </c>
    </row>
    <row r="5337">
      <c r="A5337" s="234" t="s">
        <v>6217</v>
      </c>
      <c r="B5337" s="234" t="str">
        <f>IFERROR(__xludf.DUMMYFUNCTION("""COMPUTED_VALUE"""),"SoC_PR_Curitiba")</f>
        <v>SoC_PR_Curitiba</v>
      </c>
      <c r="C5337" s="234" t="str">
        <f>IFERROR(__xludf.DUMMYFUNCTION("""COMPUTED_VALUE"""),"SOC-PR1")</f>
        <v>SOC-PR1</v>
      </c>
      <c r="D5337" s="234">
        <f>IFERROR(__xludf.DUMMYFUNCTION("""COMPUTED_VALUE"""),15.0)</f>
        <v>15</v>
      </c>
      <c r="E5337" s="237" t="str">
        <f>IFERROR(__xludf.DUMMYFUNCTION("""COMPUTED_VALUE"""),"LT1Q1K01X7SM1")</f>
        <v>LT1Q1K01X7SM1</v>
      </c>
      <c r="F5337" s="238" t="str">
        <f>IFERROR(__xludf.DUMMYFUNCTION("""COMPUTED_VALUE"""),"TAP7G13,BEY5C20")</f>
        <v>TAP7G13,BEY5C20</v>
      </c>
      <c r="G5337" s="238">
        <f>IFERROR(__xludf.DUMMYFUNCTION("""COMPUTED_VALUE"""),46042.95833333333)</f>
        <v>46042.95833</v>
      </c>
      <c r="H5337" s="238">
        <f>IFERROR(__xludf.DUMMYFUNCTION("""COMPUTED_VALUE"""),46043.20833333333)</f>
        <v>46043.20833</v>
      </c>
      <c r="I5337" s="237" t="str">
        <f t="shared" si="1"/>
        <v>Fora</v>
      </c>
      <c r="J5337" s="239">
        <v>360.0</v>
      </c>
    </row>
    <row r="5338">
      <c r="A5338" s="234" t="s">
        <v>6218</v>
      </c>
      <c r="B5338" s="234" t="str">
        <f>IFERROR(__xludf.DUMMYFUNCTION("""COMPUTED_VALUE"""),"SoC_RJ_Duque de Caxias")</f>
        <v>SoC_RJ_Duque de Caxias</v>
      </c>
      <c r="C5338" s="234" t="str">
        <f>IFERROR(__xludf.DUMMYFUNCTION("""COMPUTED_VALUE"""),"SOC-RJ2")</f>
        <v>SOC-RJ2</v>
      </c>
      <c r="D5338" s="234">
        <f>IFERROR(__xludf.DUMMYFUNCTION("""COMPUTED_VALUE"""),96.0)</f>
        <v>96</v>
      </c>
      <c r="E5338" s="237" t="str">
        <f>IFERROR(__xludf.DUMMYFUNCTION("""COMPUTED_VALUE"""),"LT1Q1K01X7SF1")</f>
        <v>LT1Q1K01X7SF1</v>
      </c>
      <c r="F5338" s="238" t="str">
        <f>IFERROR(__xludf.DUMMYFUNCTION("""COMPUTED_VALUE"""),"IUC3E41,UDH7B27")</f>
        <v>IUC3E41,UDH7B27</v>
      </c>
      <c r="G5338" s="238">
        <f>IFERROR(__xludf.DUMMYFUNCTION("""COMPUTED_VALUE"""),46042.95833333333)</f>
        <v>46042.95833</v>
      </c>
      <c r="H5338" s="238">
        <f>IFERROR(__xludf.DUMMYFUNCTION("""COMPUTED_VALUE"""),46043.20833333333)</f>
        <v>46043.20833</v>
      </c>
      <c r="I5338" s="237" t="str">
        <f t="shared" si="1"/>
        <v>Fora</v>
      </c>
      <c r="J5338" s="239">
        <v>360.0</v>
      </c>
    </row>
    <row r="5339">
      <c r="A5339" s="234" t="s">
        <v>6219</v>
      </c>
      <c r="B5339" s="234" t="str">
        <f>IFERROR(__xludf.DUMMYFUNCTION("""COMPUTED_VALUE"""),"SoC_RS_Gravataí_02")</f>
        <v>SoC_RS_Gravataí_02</v>
      </c>
      <c r="C5339" s="234" t="str">
        <f>IFERROR(__xludf.DUMMYFUNCTION("""COMPUTED_VALUE"""),"SOC-RS2")</f>
        <v>SOC-RS2</v>
      </c>
      <c r="D5339" s="234">
        <f>IFERROR(__xludf.DUMMYFUNCTION("""COMPUTED_VALUE"""),92.0)</f>
        <v>92</v>
      </c>
      <c r="E5339" s="237" t="str">
        <f>IFERROR(__xludf.DUMMYFUNCTION("""COMPUTED_VALUE"""),"LT1Q1K01X7SV1")</f>
        <v>LT1Q1K01X7SV1</v>
      </c>
      <c r="F5339" s="238" t="str">
        <f>IFERROR(__xludf.DUMMYFUNCTION("""COMPUTED_VALUE"""),"HJF7C38,CLK7A64")</f>
        <v>HJF7C38,CLK7A64</v>
      </c>
      <c r="G5339" s="238">
        <f>IFERROR(__xludf.DUMMYFUNCTION("""COMPUTED_VALUE"""),46042.95833333333)</f>
        <v>46042.95833</v>
      </c>
      <c r="H5339" s="238">
        <f>IFERROR(__xludf.DUMMYFUNCTION("""COMPUTED_VALUE"""),46043.20833333333)</f>
        <v>46043.20833</v>
      </c>
      <c r="I5339" s="237" t="str">
        <f t="shared" si="1"/>
        <v>Fora</v>
      </c>
      <c r="J5339" s="239">
        <v>360.0</v>
      </c>
    </row>
    <row r="5340">
      <c r="A5340" s="234" t="s">
        <v>6220</v>
      </c>
      <c r="B5340" s="234" t="str">
        <f>IFERROR(__xludf.DUMMYFUNCTION("""COMPUTED_VALUE"""),"SoC_SP_Louveira")</f>
        <v>SoC_SP_Louveira</v>
      </c>
      <c r="C5340" s="234" t="str">
        <f>IFERROR(__xludf.DUMMYFUNCTION("""COMPUTED_VALUE"""),"SOC-SP7")</f>
        <v>SOC-SP7</v>
      </c>
      <c r="D5340" s="234"/>
      <c r="E5340" s="237" t="str">
        <f>IFERROR(__xludf.DUMMYFUNCTION("""COMPUTED_VALUE"""),"LT1Q1K01X7S01")</f>
        <v>LT1Q1K01X7S01</v>
      </c>
      <c r="F5340" s="234"/>
      <c r="G5340" s="238">
        <f>IFERROR(__xludf.DUMMYFUNCTION("""COMPUTED_VALUE"""),46042.95833333333)</f>
        <v>46042.95833</v>
      </c>
      <c r="H5340" s="238">
        <f>IFERROR(__xludf.DUMMYFUNCTION("""COMPUTED_VALUE"""),46043.20833333333)</f>
        <v>46043.20833</v>
      </c>
      <c r="I5340" s="237" t="str">
        <f t="shared" si="1"/>
        <v>Fora</v>
      </c>
      <c r="J5340" s="239">
        <v>119.99999999301508</v>
      </c>
    </row>
    <row r="5341">
      <c r="A5341" s="234" t="s">
        <v>6221</v>
      </c>
      <c r="B5341" s="234" t="str">
        <f>IFERROR(__xludf.DUMMYFUNCTION("""COMPUTED_VALUE"""),"LM Hub_SP_Itapeva")</f>
        <v>LM Hub_SP_Itapeva</v>
      </c>
      <c r="C5341" s="234" t="str">
        <f>IFERROR(__xludf.DUMMYFUNCTION("""COMPUTED_VALUE"""),"HUB-LSP-39")</f>
        <v>HUB-LSP-39</v>
      </c>
      <c r="D5341" s="234">
        <f>IFERROR(__xludf.DUMMYFUNCTION("""COMPUTED_VALUE"""),6.0)</f>
        <v>6</v>
      </c>
      <c r="E5341" s="237" t="str">
        <f>IFERROR(__xludf.DUMMYFUNCTION("""COMPUTED_VALUE"""),"LT0Q1L01WTF01")</f>
        <v>LT0Q1L01WTF01</v>
      </c>
      <c r="F5341" s="238" t="str">
        <f>IFERROR(__xludf.DUMMYFUNCTION("""COMPUTED_VALUE"""),"TKY7J39")</f>
        <v>TKY7J39</v>
      </c>
      <c r="G5341" s="238">
        <f>IFERROR(__xludf.DUMMYFUNCTION("""COMPUTED_VALUE"""),46043.125)</f>
        <v>46043.125</v>
      </c>
      <c r="H5341" s="238">
        <f>IFERROR(__xludf.DUMMYFUNCTION("""COMPUTED_VALUE"""),46043.20833333333)</f>
        <v>46043.20833</v>
      </c>
      <c r="I5341" s="237" t="str">
        <f t="shared" si="1"/>
        <v>Fora</v>
      </c>
      <c r="J5341" s="239">
        <v>119.99999999301508</v>
      </c>
    </row>
    <row r="5342">
      <c r="A5342" s="234" t="s">
        <v>6222</v>
      </c>
      <c r="B5342" s="234" t="str">
        <f>IFERROR(__xludf.DUMMYFUNCTION("""COMPUTED_VALUE"""),"LM Hub_SP_Sumaré_Nova Veneza_1")</f>
        <v>LM Hub_SP_Sumaré_Nova Veneza_1</v>
      </c>
      <c r="C5342" s="234" t="str">
        <f>IFERROR(__xludf.DUMMYFUNCTION("""COMPUTED_VALUE"""),"HUB-LSP-88")</f>
        <v>HUB-LSP-88</v>
      </c>
      <c r="D5342" s="234">
        <f>IFERROR(__xludf.DUMMYFUNCTION("""COMPUTED_VALUE"""),49.0)</f>
        <v>49</v>
      </c>
      <c r="E5342" s="237" t="str">
        <f>IFERROR(__xludf.DUMMYFUNCTION("""COMPUTED_VALUE"""),"LT0Q1L01WXZ51")</f>
        <v>LT0Q1L01WXZ51</v>
      </c>
      <c r="F5342" s="238" t="str">
        <f>IFERROR(__xludf.DUMMYFUNCTION("""COMPUTED_VALUE"""),"CKU3I68")</f>
        <v>CKU3I68</v>
      </c>
      <c r="G5342" s="238">
        <f>IFERROR(__xludf.DUMMYFUNCTION("""COMPUTED_VALUE"""),46043.125)</f>
        <v>46043.125</v>
      </c>
      <c r="H5342" s="238">
        <f>IFERROR(__xludf.DUMMYFUNCTION("""COMPUTED_VALUE"""),46043.20833333333)</f>
        <v>46043.20833</v>
      </c>
      <c r="I5342" s="237" t="str">
        <f t="shared" si="1"/>
        <v>Fora</v>
      </c>
      <c r="J5342" s="239">
        <v>119.99999999301508</v>
      </c>
    </row>
    <row r="5343">
      <c r="A5343" s="234" t="s">
        <v>6223</v>
      </c>
      <c r="B5343" s="234" t="str">
        <f>IFERROR(__xludf.DUMMYFUNCTION("""COMPUTED_VALUE"""),"SoC_BA_Simoes Filho")</f>
        <v>SoC_BA_Simoes Filho</v>
      </c>
      <c r="C5343" s="234" t="str">
        <f>IFERROR(__xludf.DUMMYFUNCTION("""COMPUTED_VALUE"""),"SOC-BA2")</f>
        <v>SOC-BA2</v>
      </c>
      <c r="D5343" s="234"/>
      <c r="E5343" s="237" t="str">
        <f>IFERROR(__xludf.DUMMYFUNCTION("""COMPUTED_VALUE"""),"LT1Q1L01X8AS1")</f>
        <v>LT1Q1L01X8AS1</v>
      </c>
      <c r="F5343" s="238" t="str">
        <f>IFERROR(__xludf.DUMMYFUNCTION("""COMPUTED_VALUE"""),"JPW4G74,ARU6918")</f>
        <v>JPW4G74,ARU6918</v>
      </c>
      <c r="G5343" s="238">
        <f>IFERROR(__xludf.DUMMYFUNCTION("""COMPUTED_VALUE"""),46043.125)</f>
        <v>46043.125</v>
      </c>
      <c r="H5343" s="238">
        <f>IFERROR(__xludf.DUMMYFUNCTION("""COMPUTED_VALUE"""),46043.20833333333)</f>
        <v>46043.20833</v>
      </c>
      <c r="I5343" s="237" t="str">
        <f t="shared" si="1"/>
        <v>Fora</v>
      </c>
      <c r="J5343" s="239">
        <v>119.99999999301508</v>
      </c>
    </row>
    <row r="5344">
      <c r="A5344" s="234" t="s">
        <v>6224</v>
      </c>
      <c r="B5344" s="234" t="str">
        <f>IFERROR(__xludf.DUMMYFUNCTION("""COMPUTED_VALUE"""),"SoC_SC_Itajaí")</f>
        <v>SoC_SC_Itajaí</v>
      </c>
      <c r="C5344" s="234" t="str">
        <f>IFERROR(__xludf.DUMMYFUNCTION("""COMPUTED_VALUE"""),"SOC-SC1")</f>
        <v>SOC-SC1</v>
      </c>
      <c r="D5344" s="234"/>
      <c r="E5344" s="237" t="str">
        <f>IFERROR(__xludf.DUMMYFUNCTION("""COMPUTED_VALUE"""),"LT1Q1L01X8AV1")</f>
        <v>LT1Q1L01X8AV1</v>
      </c>
      <c r="F5344" s="238" t="str">
        <f>IFERROR(__xludf.DUMMYFUNCTION("""COMPUTED_VALUE"""),"UDK3C10,UDB6I30")</f>
        <v>UDK3C10,UDB6I30</v>
      </c>
      <c r="G5344" s="238">
        <f>IFERROR(__xludf.DUMMYFUNCTION("""COMPUTED_VALUE"""),46043.125)</f>
        <v>46043.125</v>
      </c>
      <c r="H5344" s="238">
        <f>IFERROR(__xludf.DUMMYFUNCTION("""COMPUTED_VALUE"""),46043.20833333333)</f>
        <v>46043.20833</v>
      </c>
      <c r="I5344" s="237" t="str">
        <f t="shared" si="1"/>
        <v>Fora</v>
      </c>
      <c r="J5344" s="239">
        <v>120.00000001396984</v>
      </c>
    </row>
    <row r="5345">
      <c r="A5345" s="234" t="s">
        <v>6225</v>
      </c>
      <c r="B5345" s="234" t="str">
        <f>IFERROR(__xludf.DUMMYFUNCTION("""COMPUTED_VALUE"""),"LM Hub_SP_Campinas_São Martinho")</f>
        <v>LM Hub_SP_Campinas_São Martinho</v>
      </c>
      <c r="C5345" s="234" t="str">
        <f>IFERROR(__xludf.DUMMYFUNCTION("""COMPUTED_VALUE"""),"HUB-LSP-19")</f>
        <v>HUB-LSP-19</v>
      </c>
      <c r="D5345" s="234">
        <f>IFERROR(__xludf.DUMMYFUNCTION("""COMPUTED_VALUE"""),48.0)</f>
        <v>48</v>
      </c>
      <c r="E5345" s="237" t="str">
        <f>IFERROR(__xludf.DUMMYFUNCTION("""COMPUTED_VALUE"""),"LT0Q1L01WTJ11")</f>
        <v>LT0Q1L01WTJ11</v>
      </c>
      <c r="F5345" s="238" t="str">
        <f>IFERROR(__xludf.DUMMYFUNCTION("""COMPUTED_VALUE"""),"GCJ6G71")</f>
        <v>GCJ6G71</v>
      </c>
      <c r="G5345" s="238">
        <f>IFERROR(__xludf.DUMMYFUNCTION("""COMPUTED_VALUE"""),46043.14583333333)</f>
        <v>46043.14583</v>
      </c>
      <c r="H5345" s="238">
        <f>IFERROR(__xludf.DUMMYFUNCTION("""COMPUTED_VALUE"""),46043.22916666667)</f>
        <v>46043.22917</v>
      </c>
      <c r="I5345" s="237" t="str">
        <f t="shared" si="1"/>
        <v>Fora</v>
      </c>
      <c r="J5345" s="239">
        <v>120.00000001396984</v>
      </c>
    </row>
    <row r="5346">
      <c r="A5346" s="234" t="s">
        <v>6226</v>
      </c>
      <c r="B5346" s="234" t="str">
        <f>IFERROR(__xludf.DUMMYFUNCTION("""COMPUTED_VALUE"""),"LM Hub_SP_Mogi Mirim")</f>
        <v>LM Hub_SP_Mogi Mirim</v>
      </c>
      <c r="C5346" s="234" t="str">
        <f>IFERROR(__xludf.DUMMYFUNCTION("""COMPUTED_VALUE"""),"HUB-LSP-37")</f>
        <v>HUB-LSP-37</v>
      </c>
      <c r="D5346" s="234">
        <f>IFERROR(__xludf.DUMMYFUNCTION("""COMPUTED_VALUE"""),42.0)</f>
        <v>42</v>
      </c>
      <c r="E5346" s="237" t="str">
        <f>IFERROR(__xludf.DUMMYFUNCTION("""COMPUTED_VALUE"""),"LT0Q1L01WTHI1")</f>
        <v>LT0Q1L01WTHI1</v>
      </c>
      <c r="F5346" s="238" t="str">
        <f>IFERROR(__xludf.DUMMYFUNCTION("""COMPUTED_VALUE"""),"TLE4D84")</f>
        <v>TLE4D84</v>
      </c>
      <c r="G5346" s="238">
        <f>IFERROR(__xludf.DUMMYFUNCTION("""COMPUTED_VALUE"""),46043.14583333333)</f>
        <v>46043.14583</v>
      </c>
      <c r="H5346" s="238">
        <f>IFERROR(__xludf.DUMMYFUNCTION("""COMPUTED_VALUE"""),46043.22916666667)</f>
        <v>46043.22917</v>
      </c>
      <c r="I5346" s="237" t="str">
        <f t="shared" si="1"/>
        <v>Fora</v>
      </c>
      <c r="J5346" s="239">
        <v>119.00000001071021</v>
      </c>
    </row>
    <row r="5347">
      <c r="A5347" s="234" t="s">
        <v>6227</v>
      </c>
      <c r="B5347" s="234" t="str">
        <f>IFERROR(__xludf.DUMMYFUNCTION("""COMPUTED_VALUE"""),"LM Hub_SP_Sorocaba_Região Norte")</f>
        <v>LM Hub_SP_Sorocaba_Região Norte</v>
      </c>
      <c r="C5347" s="234" t="str">
        <f>IFERROR(__xludf.DUMMYFUNCTION("""COMPUTED_VALUE"""),"HUB-LSP-10")</f>
        <v>HUB-LSP-10</v>
      </c>
      <c r="D5347" s="234">
        <f>IFERROR(__xludf.DUMMYFUNCTION("""COMPUTED_VALUE"""),14.0)</f>
        <v>14</v>
      </c>
      <c r="E5347" s="237" t="str">
        <f>IFERROR(__xludf.DUMMYFUNCTION("""COMPUTED_VALUE"""),"LT0Q1L01X2NE1")</f>
        <v>LT0Q1L01X2NE1</v>
      </c>
      <c r="F5347" s="238" t="str">
        <f>IFERROR(__xludf.DUMMYFUNCTION("""COMPUTED_VALUE"""),"FDZ3A56,KVS1392")</f>
        <v>FDZ3A56,KVS1392</v>
      </c>
      <c r="G5347" s="238">
        <f>IFERROR(__xludf.DUMMYFUNCTION("""COMPUTED_VALUE"""),46043.146527777775)</f>
        <v>46043.14653</v>
      </c>
      <c r="H5347" s="238">
        <f>IFERROR(__xludf.DUMMYFUNCTION("""COMPUTED_VALUE"""),46043.22916666667)</f>
        <v>46043.22917</v>
      </c>
      <c r="I5347" s="237" t="str">
        <f t="shared" si="1"/>
        <v>Fora</v>
      </c>
      <c r="J5347" s="239" t="e">
        <v>#VALUE!</v>
      </c>
    </row>
    <row r="5348">
      <c r="A5348" s="234" t="s">
        <v>6228</v>
      </c>
      <c r="B5348" s="234" t="str">
        <f>IFERROR(__xludf.DUMMYFUNCTION("""COMPUTED_VALUE"""),"Fanout Desconhecido")</f>
        <v>Fanout Desconhecido</v>
      </c>
      <c r="C5348" s="234" t="str">
        <f>IFERROR(__xludf.DUMMYFUNCTION("""COMPUTED_VALUE"""),"-")</f>
        <v>-</v>
      </c>
      <c r="D5348" s="234">
        <f>IFERROR(__xludf.DUMMYFUNCTION("""COMPUTED_VALUE"""),97.0)</f>
        <v>97</v>
      </c>
      <c r="E5348" s="237" t="str">
        <f>IFERROR(__xludf.DUMMYFUNCTION("""COMPUTED_VALUE"""),"LT1Q1K01X7SC1")</f>
        <v>LT1Q1K01X7SC1</v>
      </c>
      <c r="F5348" s="238" t="str">
        <f>IFERROR(__xludf.DUMMYFUNCTION("""COMPUTED_VALUE"""),"-")</f>
        <v>-</v>
      </c>
      <c r="G5348" s="238" t="str">
        <f>IFERROR(__xludf.DUMMYFUNCTION("""COMPUTED_VALUE"""),"-")</f>
        <v>-</v>
      </c>
      <c r="H5348" s="238" t="str">
        <f>IFERROR(__xludf.DUMMYFUNCTION("""COMPUTED_VALUE"""),"-")</f>
        <v>-</v>
      </c>
      <c r="I5348" s="237" t="str">
        <f t="shared" si="1"/>
        <v>Dentro</v>
      </c>
      <c r="J5348" s="239">
        <v>240.00000000698492</v>
      </c>
    </row>
    <row r="5349">
      <c r="A5349" s="234" t="s">
        <v>1020</v>
      </c>
      <c r="B5349" s="234" t="str">
        <f>IFERROR(__xludf.DUMMYFUNCTION("""COMPUTED_VALUE"""),"SoC_RJ_Duque de Caxias")</f>
        <v>SoC_RJ_Duque de Caxias</v>
      </c>
      <c r="C5349" s="234" t="str">
        <f>IFERROR(__xludf.DUMMYFUNCTION("""COMPUTED_VALUE"""),"SOC-RJ2")</f>
        <v>SOC-RJ2</v>
      </c>
      <c r="D5349" s="234">
        <f>IFERROR(__xludf.DUMMYFUNCTION("""COMPUTED_VALUE"""),96.0)</f>
        <v>96</v>
      </c>
      <c r="E5349" s="237" t="str">
        <f>IFERROR(__xludf.DUMMYFUNCTION("""COMPUTED_VALUE"""),"LT1Q1K01X7SB1")</f>
        <v>LT1Q1K01X7SB1</v>
      </c>
      <c r="F5349" s="238" t="str">
        <f>IFERROR(__xludf.DUMMYFUNCTION("""COMPUTED_VALUE"""),"CUC8E98,EMU6E12")</f>
        <v>CUC8E98,EMU6E12</v>
      </c>
      <c r="G5349" s="238">
        <f>IFERROR(__xludf.DUMMYFUNCTION("""COMPUTED_VALUE"""),46043.08333333333)</f>
        <v>46043.08333</v>
      </c>
      <c r="H5349" s="238">
        <f>IFERROR(__xludf.DUMMYFUNCTION("""COMPUTED_VALUE"""),46043.25)</f>
        <v>46043.25</v>
      </c>
      <c r="I5349" s="237" t="str">
        <f t="shared" si="1"/>
        <v>Fora</v>
      </c>
      <c r="J5349" s="239">
        <v>180.0</v>
      </c>
    </row>
    <row r="5350">
      <c r="A5350" s="234" t="s">
        <v>6229</v>
      </c>
      <c r="B5350" s="234" t="str">
        <f>IFERROR(__xludf.DUMMYFUNCTION("""COMPUTED_VALUE"""),"SoC_SP_Guarulhos")</f>
        <v>SoC_SP_Guarulhos</v>
      </c>
      <c r="C5350" s="234" t="str">
        <f>IFERROR(__xludf.DUMMYFUNCTION("""COMPUTED_VALUE"""),"SOC-SP6")</f>
        <v>SOC-SP6</v>
      </c>
      <c r="D5350" s="234">
        <f>IFERROR(__xludf.DUMMYFUNCTION("""COMPUTED_VALUE"""),27.0)</f>
        <v>27</v>
      </c>
      <c r="E5350" s="237" t="str">
        <f>IFERROR(__xludf.DUMMYFUNCTION("""COMPUTED_VALUE"""),"LT0Q1L01WUD31")</f>
        <v>LT0Q1L01WUD31</v>
      </c>
      <c r="F5350" s="238" t="str">
        <f>IFERROR(__xludf.DUMMYFUNCTION("""COMPUTED_VALUE"""),"EWJ2F50,EVO3C99")</f>
        <v>EWJ2F50,EVO3C99</v>
      </c>
      <c r="G5350" s="238">
        <f>IFERROR(__xludf.DUMMYFUNCTION("""COMPUTED_VALUE"""),46043.125)</f>
        <v>46043.125</v>
      </c>
      <c r="H5350" s="238">
        <f>IFERROR(__xludf.DUMMYFUNCTION("""COMPUTED_VALUE"""),46043.25)</f>
        <v>46043.25</v>
      </c>
      <c r="I5350" s="237" t="str">
        <f t="shared" si="1"/>
        <v>Fora</v>
      </c>
      <c r="J5350" s="239" t="e">
        <v>#VALUE!</v>
      </c>
    </row>
    <row r="5351">
      <c r="A5351" s="234" t="s">
        <v>6230</v>
      </c>
      <c r="B5351" s="234" t="str">
        <f>IFERROR(__xludf.DUMMYFUNCTION("""COMPUTED_VALUE"""),"Fanout Desconhecido")</f>
        <v>Fanout Desconhecido</v>
      </c>
      <c r="C5351" s="234" t="str">
        <f>IFERROR(__xludf.DUMMYFUNCTION("""COMPUTED_VALUE"""),"-")</f>
        <v>-</v>
      </c>
      <c r="D5351" s="234">
        <f>IFERROR(__xludf.DUMMYFUNCTION("""COMPUTED_VALUE"""),25.0)</f>
        <v>25</v>
      </c>
      <c r="E5351" s="237" t="str">
        <f>IFERROR(__xludf.DUMMYFUNCTION("""COMPUTED_VALUE"""),"LT0Q1L01WTGT1")</f>
        <v>LT0Q1L01WTGT1</v>
      </c>
      <c r="F5351" s="238" t="str">
        <f>IFERROR(__xludf.DUMMYFUNCTION("""COMPUTED_VALUE"""),"-")</f>
        <v>-</v>
      </c>
      <c r="G5351" s="238" t="str">
        <f>IFERROR(__xludf.DUMMYFUNCTION("""COMPUTED_VALUE"""),"-")</f>
        <v>-</v>
      </c>
      <c r="H5351" s="238" t="str">
        <f>IFERROR(__xludf.DUMMYFUNCTION("""COMPUTED_VALUE"""),"-")</f>
        <v>-</v>
      </c>
      <c r="I5351" s="237" t="str">
        <f t="shared" si="1"/>
        <v>Dentro</v>
      </c>
      <c r="J5351" s="239" t="e">
        <v>#VALUE!</v>
      </c>
    </row>
    <row r="5352">
      <c r="A5352" s="234" t="s">
        <v>6231</v>
      </c>
      <c r="B5352" s="234" t="str">
        <f>IFERROR(__xludf.DUMMYFUNCTION("""COMPUTED_VALUE"""),"Fanout Desconhecido")</f>
        <v>Fanout Desconhecido</v>
      </c>
      <c r="C5352" s="234" t="str">
        <f>IFERROR(__xludf.DUMMYFUNCTION("""COMPUTED_VALUE"""),"-")</f>
        <v>-</v>
      </c>
      <c r="D5352" s="234">
        <f>IFERROR(__xludf.DUMMYFUNCTION("""COMPUTED_VALUE"""),35.0)</f>
        <v>35</v>
      </c>
      <c r="E5352" s="237" t="str">
        <f>IFERROR(__xludf.DUMMYFUNCTION("""COMPUTED_VALUE"""),"LT0Q1L01WTFK1")</f>
        <v>LT0Q1L01WTFK1</v>
      </c>
      <c r="F5352" s="238" t="str">
        <f>IFERROR(__xludf.DUMMYFUNCTION("""COMPUTED_VALUE"""),"-")</f>
        <v>-</v>
      </c>
      <c r="G5352" s="238" t="str">
        <f>IFERROR(__xludf.DUMMYFUNCTION("""COMPUTED_VALUE"""),"-")</f>
        <v>-</v>
      </c>
      <c r="H5352" s="238" t="str">
        <f>IFERROR(__xludf.DUMMYFUNCTION("""COMPUTED_VALUE"""),"-")</f>
        <v>-</v>
      </c>
      <c r="I5352" s="237" t="str">
        <f t="shared" si="1"/>
        <v>Dentro</v>
      </c>
      <c r="J5352" s="239">
        <v>119.99999999301508</v>
      </c>
    </row>
    <row r="5353">
      <c r="A5353" s="234" t="s">
        <v>6232</v>
      </c>
      <c r="B5353" s="234" t="str">
        <f>IFERROR(__xludf.DUMMYFUNCTION("""COMPUTED_VALUE"""),"SoC_BA_Simoes Filho")</f>
        <v>SoC_BA_Simoes Filho</v>
      </c>
      <c r="C5353" s="234" t="str">
        <f>IFERROR(__xludf.DUMMYFUNCTION("""COMPUTED_VALUE"""),"SOC-BA2")</f>
        <v>SOC-BA2</v>
      </c>
      <c r="D5353" s="234"/>
      <c r="E5353" s="237" t="str">
        <f>IFERROR(__xludf.DUMMYFUNCTION("""COMPUTED_VALUE"""),"LT1Q1L01X8AR1")</f>
        <v>LT1Q1L01X8AR1</v>
      </c>
      <c r="F5353" s="238" t="str">
        <f>IFERROR(__xludf.DUMMYFUNCTION("""COMPUTED_VALUE"""),"NYV0D94,ATP5E33")</f>
        <v>NYV0D94,ATP5E33</v>
      </c>
      <c r="G5353" s="238">
        <f>IFERROR(__xludf.DUMMYFUNCTION("""COMPUTED_VALUE"""),46043.16666666667)</f>
        <v>46043.16667</v>
      </c>
      <c r="H5353" s="238">
        <f>IFERROR(__xludf.DUMMYFUNCTION("""COMPUTED_VALUE"""),46043.25)</f>
        <v>46043.25</v>
      </c>
      <c r="I5353" s="237" t="str">
        <f t="shared" si="1"/>
        <v>Fora</v>
      </c>
      <c r="J5353" s="239">
        <v>119.99999999301508</v>
      </c>
    </row>
    <row r="5354">
      <c r="A5354" s="234" t="s">
        <v>6233</v>
      </c>
      <c r="B5354" s="234" t="str">
        <f>IFERROR(__xludf.DUMMYFUNCTION("""COMPUTED_VALUE"""),"SoC_GO_Goiânia_02")</f>
        <v>SoC_GO_Goiânia_02</v>
      </c>
      <c r="C5354" s="234" t="str">
        <f>IFERROR(__xludf.DUMMYFUNCTION("""COMPUTED_VALUE"""),"SOC-GO2")</f>
        <v>SOC-GO2</v>
      </c>
      <c r="D5354" s="234"/>
      <c r="E5354" s="237" t="str">
        <f>IFERROR(__xludf.DUMMYFUNCTION("""COMPUTED_VALUE"""),"LT1Q1L01X8AX1")</f>
        <v>LT1Q1L01X8AX1</v>
      </c>
      <c r="F5354" s="238" t="str">
        <f>IFERROR(__xludf.DUMMYFUNCTION("""COMPUTED_VALUE"""),"EGK6I72,HHG5600")</f>
        <v>EGK6I72,HHG5600</v>
      </c>
      <c r="G5354" s="238">
        <f>IFERROR(__xludf.DUMMYFUNCTION("""COMPUTED_VALUE"""),46043.16666666667)</f>
        <v>46043.16667</v>
      </c>
      <c r="H5354" s="238">
        <f>IFERROR(__xludf.DUMMYFUNCTION("""COMPUTED_VALUE"""),46043.25)</f>
        <v>46043.25</v>
      </c>
      <c r="I5354" s="237" t="str">
        <f t="shared" si="1"/>
        <v>Fora</v>
      </c>
      <c r="J5354" s="239">
        <v>119.99999999301508</v>
      </c>
    </row>
    <row r="5355">
      <c r="A5355" s="234" t="s">
        <v>6234</v>
      </c>
      <c r="B5355" s="234" t="str">
        <f>IFERROR(__xludf.DUMMYFUNCTION("""COMPUTED_VALUE"""),"SoC_PE_Jaboatão dos Guararapes")</f>
        <v>SoC_PE_Jaboatão dos Guararapes</v>
      </c>
      <c r="C5355" s="234" t="str">
        <f>IFERROR(__xludf.DUMMYFUNCTION("""COMPUTED_VALUE"""),"SOC-PE2")</f>
        <v>SOC-PE2</v>
      </c>
      <c r="D5355" s="234"/>
      <c r="E5355" s="237" t="str">
        <f>IFERROR(__xludf.DUMMYFUNCTION("""COMPUTED_VALUE"""),"LT1Q1L01X8AQ1")</f>
        <v>LT1Q1L01X8AQ1</v>
      </c>
      <c r="F5355" s="238" t="str">
        <f>IFERROR(__xludf.DUMMYFUNCTION("""COMPUTED_VALUE"""),"TDO1D68,TCS7D80")</f>
        <v>TDO1D68,TCS7D80</v>
      </c>
      <c r="G5355" s="238">
        <f>IFERROR(__xludf.DUMMYFUNCTION("""COMPUTED_VALUE"""),46043.16666666667)</f>
        <v>46043.16667</v>
      </c>
      <c r="H5355" s="238">
        <f>IFERROR(__xludf.DUMMYFUNCTION("""COMPUTED_VALUE"""),46043.25)</f>
        <v>46043.25</v>
      </c>
      <c r="I5355" s="237" t="str">
        <f t="shared" si="1"/>
        <v>Fora</v>
      </c>
      <c r="J5355" s="239">
        <v>119.99999999301508</v>
      </c>
    </row>
    <row r="5356">
      <c r="A5356" s="234" t="s">
        <v>6235</v>
      </c>
      <c r="B5356" s="234" t="str">
        <f>IFERROR(__xludf.DUMMYFUNCTION("""COMPUTED_VALUE"""),"SoC_PR_Curitiba")</f>
        <v>SoC_PR_Curitiba</v>
      </c>
      <c r="C5356" s="234" t="str">
        <f>IFERROR(__xludf.DUMMYFUNCTION("""COMPUTED_VALUE"""),"SOC-PR1")</f>
        <v>SOC-PR1</v>
      </c>
      <c r="D5356" s="234"/>
      <c r="E5356" s="237" t="str">
        <f>IFERROR(__xludf.DUMMYFUNCTION("""COMPUTED_VALUE"""),"LT0Q1L01WT901")</f>
        <v>LT0Q1L01WT901</v>
      </c>
      <c r="F5356" s="238" t="str">
        <f>IFERROR(__xludf.DUMMYFUNCTION("""COMPUTED_VALUE"""),"FQJ8B01,UGV7H67")</f>
        <v>FQJ8B01,UGV7H67</v>
      </c>
      <c r="G5356" s="238">
        <f>IFERROR(__xludf.DUMMYFUNCTION("""COMPUTED_VALUE"""),46043.16666666667)</f>
        <v>46043.16667</v>
      </c>
      <c r="H5356" s="238">
        <f>IFERROR(__xludf.DUMMYFUNCTION("""COMPUTED_VALUE"""),46043.25)</f>
        <v>46043.25</v>
      </c>
      <c r="I5356" s="237" t="str">
        <f t="shared" si="1"/>
        <v>Fora</v>
      </c>
      <c r="J5356" s="239">
        <v>119.99999999301508</v>
      </c>
    </row>
    <row r="5357">
      <c r="A5357" s="234" t="s">
        <v>6236</v>
      </c>
      <c r="B5357" s="234" t="str">
        <f>IFERROR(__xludf.DUMMYFUNCTION("""COMPUTED_VALUE"""),"SoC_RS_Gravataí_02")</f>
        <v>SoC_RS_Gravataí_02</v>
      </c>
      <c r="C5357" s="234" t="str">
        <f>IFERROR(__xludf.DUMMYFUNCTION("""COMPUTED_VALUE"""),"SOC-RS2")</f>
        <v>SOC-RS2</v>
      </c>
      <c r="D5357" s="234">
        <f>IFERROR(__xludf.DUMMYFUNCTION("""COMPUTED_VALUE"""),109.0)</f>
        <v>109</v>
      </c>
      <c r="E5357" s="237" t="str">
        <f>IFERROR(__xludf.DUMMYFUNCTION("""COMPUTED_VALUE"""),"LT1Q1L01X8AU1")</f>
        <v>LT1Q1L01X8AU1</v>
      </c>
      <c r="F5357" s="238" t="str">
        <f>IFERROR(__xludf.DUMMYFUNCTION("""COMPUTED_VALUE"""),"RLH0D27,SXG8A87")</f>
        <v>RLH0D27,SXG8A87</v>
      </c>
      <c r="G5357" s="238">
        <f>IFERROR(__xludf.DUMMYFUNCTION("""COMPUTED_VALUE"""),46043.16666666667)</f>
        <v>46043.16667</v>
      </c>
      <c r="H5357" s="238">
        <f>IFERROR(__xludf.DUMMYFUNCTION("""COMPUTED_VALUE"""),46043.25)</f>
        <v>46043.25</v>
      </c>
      <c r="I5357" s="237" t="str">
        <f t="shared" si="1"/>
        <v>Fora</v>
      </c>
      <c r="J5357" s="239">
        <v>119.00000000023283</v>
      </c>
    </row>
    <row r="5358">
      <c r="A5358" s="234" t="s">
        <v>6237</v>
      </c>
      <c r="B5358" s="234" t="str">
        <f>IFERROR(__xludf.DUMMYFUNCTION("""COMPUTED_VALUE"""),"LM Hub_SP_Guaratinguetá")</f>
        <v>LM Hub_SP_Guaratinguetá</v>
      </c>
      <c r="C5358" s="234" t="str">
        <f>IFERROR(__xludf.DUMMYFUNCTION("""COMPUTED_VALUE"""),"HUB-LSP-33")</f>
        <v>HUB-LSP-33</v>
      </c>
      <c r="D5358" s="234">
        <f>IFERROR(__xludf.DUMMYFUNCTION("""COMPUTED_VALUE"""),24.0)</f>
        <v>24</v>
      </c>
      <c r="E5358" s="237" t="str">
        <f>IFERROR(__xludf.DUMMYFUNCTION("""COMPUTED_VALUE"""),"LT0Q1L01X2N91")</f>
        <v>LT0Q1L01X2N91</v>
      </c>
      <c r="F5358" s="238" t="str">
        <f>IFERROR(__xludf.DUMMYFUNCTION("""COMPUTED_VALUE"""),"NZI9C32")</f>
        <v>NZI9C32</v>
      </c>
      <c r="G5358" s="238">
        <f>IFERROR(__xludf.DUMMYFUNCTION("""COMPUTED_VALUE"""),46043.16736111111)</f>
        <v>46043.16736</v>
      </c>
      <c r="H5358" s="238">
        <f>IFERROR(__xludf.DUMMYFUNCTION("""COMPUTED_VALUE"""),46043.25)</f>
        <v>46043.25</v>
      </c>
      <c r="I5358" s="237" t="str">
        <f t="shared" si="1"/>
        <v>Fora</v>
      </c>
      <c r="J5358" s="239" t="e">
        <v>#VALUE!</v>
      </c>
    </row>
    <row r="5359">
      <c r="A5359" s="234" t="s">
        <v>6238</v>
      </c>
      <c r="B5359" s="234" t="str">
        <f>IFERROR(__xludf.DUMMYFUNCTION("""COMPUTED_VALUE"""),"Fanout Desconhecido")</f>
        <v>Fanout Desconhecido</v>
      </c>
      <c r="C5359" s="234" t="str">
        <f>IFERROR(__xludf.DUMMYFUNCTION("""COMPUTED_VALUE"""),"-")</f>
        <v>-</v>
      </c>
      <c r="D5359" s="234">
        <f>IFERROR(__xludf.DUMMYFUNCTION("""COMPUTED_VALUE"""),111.0)</f>
        <v>111</v>
      </c>
      <c r="E5359" s="237" t="str">
        <f>IFERROR(__xludf.DUMMYFUNCTION("""COMPUTED_VALUE"""),"LT0Q1L01X2M11")</f>
        <v>LT0Q1L01X2M11</v>
      </c>
      <c r="F5359" s="238" t="str">
        <f>IFERROR(__xludf.DUMMYFUNCTION("""COMPUTED_VALUE"""),"-")</f>
        <v>-</v>
      </c>
      <c r="G5359" s="238" t="str">
        <f>IFERROR(__xludf.DUMMYFUNCTION("""COMPUTED_VALUE"""),"-")</f>
        <v>-</v>
      </c>
      <c r="H5359" s="238" t="str">
        <f>IFERROR(__xludf.DUMMYFUNCTION("""COMPUTED_VALUE"""),"-")</f>
        <v>-</v>
      </c>
      <c r="I5359" s="237" t="str">
        <f t="shared" si="1"/>
        <v>Dentro</v>
      </c>
      <c r="J5359" s="239">
        <v>119.99999999301508</v>
      </c>
    </row>
    <row r="5360">
      <c r="A5360" s="234" t="s">
        <v>1021</v>
      </c>
      <c r="B5360" s="234" t="str">
        <f>IFERROR(__xludf.DUMMYFUNCTION("""COMPUTED_VALUE"""),"LM Hub_SP_Atibaia_Ponte_Alta")</f>
        <v>LM Hub_SP_Atibaia_Ponte_Alta</v>
      </c>
      <c r="C5360" s="234" t="str">
        <f>IFERROR(__xludf.DUMMYFUNCTION("""COMPUTED_VALUE"""),"HUB-LSP-87")</f>
        <v>HUB-LSP-87</v>
      </c>
      <c r="D5360" s="234">
        <f>IFERROR(__xludf.DUMMYFUNCTION("""COMPUTED_VALUE"""),22.0)</f>
        <v>22</v>
      </c>
      <c r="E5360" s="237" t="str">
        <f>IFERROR(__xludf.DUMMYFUNCTION("""COMPUTED_VALUE"""),"LT0Q1L01WWTH1")</f>
        <v>LT0Q1L01WWTH1</v>
      </c>
      <c r="F5360" s="238" t="str">
        <f>IFERROR(__xludf.DUMMYFUNCTION("""COMPUTED_VALUE"""),"UGN4B10")</f>
        <v>UGN4B10</v>
      </c>
      <c r="G5360" s="238">
        <f>IFERROR(__xludf.DUMMYFUNCTION("""COMPUTED_VALUE"""),46043.1875)</f>
        <v>46043.1875</v>
      </c>
      <c r="H5360" s="238">
        <f>IFERROR(__xludf.DUMMYFUNCTION("""COMPUTED_VALUE"""),46043.27083333333)</f>
        <v>46043.27083</v>
      </c>
      <c r="I5360" s="237" t="str">
        <f t="shared" si="1"/>
        <v>Fora</v>
      </c>
      <c r="J5360" s="239">
        <v>119.99999999301508</v>
      </c>
    </row>
    <row r="5361">
      <c r="A5361" s="234" t="s">
        <v>1022</v>
      </c>
      <c r="B5361" s="234" t="str">
        <f>IFERROR(__xludf.DUMMYFUNCTION("""COMPUTED_VALUE"""),"LM Hub_SP_Taubaté")</f>
        <v>LM Hub_SP_Taubaté</v>
      </c>
      <c r="C5361" s="234" t="str">
        <f>IFERROR(__xludf.DUMMYFUNCTION("""COMPUTED_VALUE"""),"HUB-LSP-08")</f>
        <v>HUB-LSP-08</v>
      </c>
      <c r="D5361" s="234">
        <f>IFERROR(__xludf.DUMMYFUNCTION("""COMPUTED_VALUE"""),47.0)</f>
        <v>47</v>
      </c>
      <c r="E5361" s="237" t="str">
        <f>IFERROR(__xludf.DUMMYFUNCTION("""COMPUTED_VALUE"""),"LT0Q1L01WTG41")</f>
        <v>LT0Q1L01WTG41</v>
      </c>
      <c r="F5361" s="238" t="str">
        <f>IFERROR(__xludf.DUMMYFUNCTION("""COMPUTED_VALUE"""),"QSR7H29")</f>
        <v>QSR7H29</v>
      </c>
      <c r="G5361" s="238">
        <f>IFERROR(__xludf.DUMMYFUNCTION("""COMPUTED_VALUE"""),46043.1875)</f>
        <v>46043.1875</v>
      </c>
      <c r="H5361" s="238">
        <f>IFERROR(__xludf.DUMMYFUNCTION("""COMPUTED_VALUE"""),46043.27083333333)</f>
        <v>46043.27083</v>
      </c>
      <c r="I5361" s="237" t="str">
        <f t="shared" si="1"/>
        <v>Fora</v>
      </c>
      <c r="J5361" s="239">
        <v>539.0000000072177</v>
      </c>
    </row>
    <row r="5362">
      <c r="A5362" s="234" t="s">
        <v>6239</v>
      </c>
      <c r="B5362" s="234" t="str">
        <f>IFERROR(__xludf.DUMMYFUNCTION("""COMPUTED_VALUE"""),"SoC_GO_Goiânia_02")</f>
        <v>SoC_GO_Goiânia_02</v>
      </c>
      <c r="C5362" s="234" t="str">
        <f>IFERROR(__xludf.DUMMYFUNCTION("""COMPUTED_VALUE"""),"SOC-GO2")</f>
        <v>SOC-GO2</v>
      </c>
      <c r="D5362" s="234">
        <f>IFERROR(__xludf.DUMMYFUNCTION("""COMPUTED_VALUE"""),87.0)</f>
        <v>87</v>
      </c>
      <c r="E5362" s="237" t="str">
        <f>IFERROR(__xludf.DUMMYFUNCTION("""COMPUTED_VALUE"""),"LT0Q1K01WYR71")</f>
        <v>LT0Q1K01WYR71</v>
      </c>
      <c r="F5362" s="238" t="str">
        <f>IFERROR(__xludf.DUMMYFUNCTION("""COMPUTED_VALUE"""),"SEN2G44,TMH6J67")</f>
        <v>SEN2G44,TMH6J67</v>
      </c>
      <c r="G5362" s="238">
        <f>IFERROR(__xludf.DUMMYFUNCTION("""COMPUTED_VALUE"""),46042.91736111111)</f>
        <v>46042.91736</v>
      </c>
      <c r="H5362" s="238">
        <f>IFERROR(__xludf.DUMMYFUNCTION("""COMPUTED_VALUE"""),46043.29166666667)</f>
        <v>46043.29167</v>
      </c>
      <c r="I5362" s="237" t="str">
        <f t="shared" si="1"/>
        <v>Fora</v>
      </c>
      <c r="J5362" s="239">
        <v>539.0000000072177</v>
      </c>
    </row>
    <row r="5363">
      <c r="A5363" s="234" t="s">
        <v>1023</v>
      </c>
      <c r="B5363" s="234" t="str">
        <f>IFERROR(__xludf.DUMMYFUNCTION("""COMPUTED_VALUE"""),"SoC_GO_Goiânia_02")</f>
        <v>SoC_GO_Goiânia_02</v>
      </c>
      <c r="C5363" s="234" t="str">
        <f>IFERROR(__xludf.DUMMYFUNCTION("""COMPUTED_VALUE"""),"SOC-GO2")</f>
        <v>SOC-GO2</v>
      </c>
      <c r="D5363" s="234">
        <f>IFERROR(__xludf.DUMMYFUNCTION("""COMPUTED_VALUE"""),87.0)</f>
        <v>87</v>
      </c>
      <c r="E5363" s="237" t="str">
        <f>IFERROR(__xludf.DUMMYFUNCTION("""COMPUTED_VALUE"""),"LT0Q1K01WYR92")</f>
        <v>LT0Q1K01WYR92</v>
      </c>
      <c r="F5363" s="238" t="str">
        <f>IFERROR(__xludf.DUMMYFUNCTION("""COMPUTED_VALUE"""),"FDB0D73,EFU2I35")</f>
        <v>FDB0D73,EFU2I35</v>
      </c>
      <c r="G5363" s="238">
        <f>IFERROR(__xludf.DUMMYFUNCTION("""COMPUTED_VALUE"""),46042.91736111111)</f>
        <v>46042.91736</v>
      </c>
      <c r="H5363" s="238">
        <f>IFERROR(__xludf.DUMMYFUNCTION("""COMPUTED_VALUE"""),46043.29166666667)</f>
        <v>46043.29167</v>
      </c>
      <c r="I5363" s="237" t="str">
        <f t="shared" si="1"/>
        <v>Fora</v>
      </c>
      <c r="J5363" s="239">
        <v>538.0000000144355</v>
      </c>
    </row>
    <row r="5364">
      <c r="A5364" s="234" t="s">
        <v>1024</v>
      </c>
      <c r="B5364" s="234" t="str">
        <f>IFERROR(__xludf.DUMMYFUNCTION("""COMPUTED_VALUE"""),"SoC_RJ_Duque de Caxias")</f>
        <v>SoC_RJ_Duque de Caxias</v>
      </c>
      <c r="C5364" s="234" t="str">
        <f>IFERROR(__xludf.DUMMYFUNCTION("""COMPUTED_VALUE"""),"SOC-RJ2")</f>
        <v>SOC-RJ2</v>
      </c>
      <c r="D5364" s="234"/>
      <c r="E5364" s="237" t="str">
        <f>IFERROR(__xludf.DUMMYFUNCTION("""COMPUTED_VALUE"""),"LT0Q1K01X2ZM2")</f>
        <v>LT0Q1K01X2ZM2</v>
      </c>
      <c r="F5364" s="238" t="str">
        <f>IFERROR(__xludf.DUMMYFUNCTION("""COMPUTED_VALUE"""),"HBZ5F88,KPW6C08")</f>
        <v>HBZ5F88,KPW6C08</v>
      </c>
      <c r="G5364" s="238">
        <f>IFERROR(__xludf.DUMMYFUNCTION("""COMPUTED_VALUE"""),46042.91805555555)</f>
        <v>46042.91806</v>
      </c>
      <c r="H5364" s="238">
        <f>IFERROR(__xludf.DUMMYFUNCTION("""COMPUTED_VALUE"""),46043.29166666667)</f>
        <v>46043.29167</v>
      </c>
      <c r="I5364" s="237" t="str">
        <f t="shared" si="1"/>
        <v>Fora</v>
      </c>
      <c r="J5364" s="239">
        <v>538.0000000144355</v>
      </c>
    </row>
    <row r="5365">
      <c r="A5365" s="234" t="s">
        <v>1025</v>
      </c>
      <c r="B5365" s="234" t="str">
        <f>IFERROR(__xludf.DUMMYFUNCTION("""COMPUTED_VALUE"""),"SoC_SP_Cravinhos")</f>
        <v>SoC_SP_Cravinhos</v>
      </c>
      <c r="C5365" s="234" t="str">
        <f>IFERROR(__xludf.DUMMYFUNCTION("""COMPUTED_VALUE"""),"SOC-SP5")</f>
        <v>SOC-SP5</v>
      </c>
      <c r="D5365" s="234">
        <f>IFERROR(__xludf.DUMMYFUNCTION("""COMPUTED_VALUE"""),94.0)</f>
        <v>94</v>
      </c>
      <c r="E5365" s="237" t="str">
        <f>IFERROR(__xludf.DUMMYFUNCTION("""COMPUTED_VALUE"""),"LT0Q1K01WTAR2")</f>
        <v>LT0Q1K01WTAR2</v>
      </c>
      <c r="F5365" s="238" t="str">
        <f>IFERROR(__xludf.DUMMYFUNCTION("""COMPUTED_VALUE"""),"NWP7A07,LOX8J40")</f>
        <v>NWP7A07,LOX8J40</v>
      </c>
      <c r="G5365" s="238">
        <f>IFERROR(__xludf.DUMMYFUNCTION("""COMPUTED_VALUE"""),46042.91805555555)</f>
        <v>46042.91806</v>
      </c>
      <c r="H5365" s="238">
        <f>IFERROR(__xludf.DUMMYFUNCTION("""COMPUTED_VALUE"""),46043.29166666667)</f>
        <v>46043.29167</v>
      </c>
      <c r="I5365" s="237" t="str">
        <f t="shared" si="1"/>
        <v>Fora</v>
      </c>
      <c r="J5365" s="239">
        <v>537.0000000111759</v>
      </c>
    </row>
    <row r="5366">
      <c r="A5366" s="234" t="s">
        <v>6240</v>
      </c>
      <c r="B5366" s="234" t="str">
        <f>IFERROR(__xludf.DUMMYFUNCTION("""COMPUTED_VALUE"""),"SoC_MG_Betim")</f>
        <v>SoC_MG_Betim</v>
      </c>
      <c r="C5366" s="234" t="str">
        <f>IFERROR(__xludf.DUMMYFUNCTION("""COMPUTED_VALUE"""),"SOC-MG2")</f>
        <v>SOC-MG2</v>
      </c>
      <c r="D5366" s="234">
        <f>IFERROR(__xludf.DUMMYFUNCTION("""COMPUTED_VALUE"""),91.0)</f>
        <v>91</v>
      </c>
      <c r="E5366" s="237" t="str">
        <f>IFERROR(__xludf.DUMMYFUNCTION("""COMPUTED_VALUE"""),"LT0Q1K01WT8J3")</f>
        <v>LT0Q1K01WT8J3</v>
      </c>
      <c r="F5366" s="238" t="str">
        <f>IFERROR(__xludf.DUMMYFUNCTION("""COMPUTED_VALUE"""),"SWX1C68,TBC8A43")</f>
        <v>SWX1C68,TBC8A43</v>
      </c>
      <c r="G5366" s="238">
        <f>IFERROR(__xludf.DUMMYFUNCTION("""COMPUTED_VALUE"""),46042.91875)</f>
        <v>46042.91875</v>
      </c>
      <c r="H5366" s="238">
        <f>IFERROR(__xludf.DUMMYFUNCTION("""COMPUTED_VALUE"""),46043.29166666667)</f>
        <v>46043.29167</v>
      </c>
      <c r="I5366" s="237" t="str">
        <f t="shared" si="1"/>
        <v>Fora</v>
      </c>
      <c r="J5366" s="239">
        <v>537.0000000111759</v>
      </c>
    </row>
    <row r="5367">
      <c r="A5367" s="234" t="s">
        <v>6241</v>
      </c>
      <c r="B5367" s="234" t="str">
        <f>IFERROR(__xludf.DUMMYFUNCTION("""COMPUTED_VALUE"""),"SoC_MG_Betim")</f>
        <v>SoC_MG_Betim</v>
      </c>
      <c r="C5367" s="234" t="str">
        <f>IFERROR(__xludf.DUMMYFUNCTION("""COMPUTED_VALUE"""),"SOC-MG2")</f>
        <v>SOC-MG2</v>
      </c>
      <c r="D5367" s="234">
        <f>IFERROR(__xludf.DUMMYFUNCTION("""COMPUTED_VALUE"""),90.0)</f>
        <v>90</v>
      </c>
      <c r="E5367" s="237" t="str">
        <f>IFERROR(__xludf.DUMMYFUNCTION("""COMPUTED_VALUE"""),"LT0Q1K01WT8L4")</f>
        <v>LT0Q1K01WT8L4</v>
      </c>
      <c r="F5367" s="238" t="str">
        <f>IFERROR(__xludf.DUMMYFUNCTION("""COMPUTED_VALUE"""),"FEJ1E97,UEF4J87")</f>
        <v>FEJ1E97,UEF4J87</v>
      </c>
      <c r="G5367" s="238">
        <f>IFERROR(__xludf.DUMMYFUNCTION("""COMPUTED_VALUE"""),46042.91875)</f>
        <v>46042.91875</v>
      </c>
      <c r="H5367" s="238">
        <f>IFERROR(__xludf.DUMMYFUNCTION("""COMPUTED_VALUE"""),46043.29166666667)</f>
        <v>46043.29167</v>
      </c>
      <c r="I5367" s="237" t="str">
        <f t="shared" si="1"/>
        <v>Fora</v>
      </c>
      <c r="J5367" s="239">
        <v>360.0</v>
      </c>
    </row>
    <row r="5368">
      <c r="A5368" s="234" t="s">
        <v>6242</v>
      </c>
      <c r="B5368" s="234" t="str">
        <f>IFERROR(__xludf.DUMMYFUNCTION("""COMPUTED_VALUE"""),"SoC_PE_Jaboatão dos Guararapes")</f>
        <v>SoC_PE_Jaboatão dos Guararapes</v>
      </c>
      <c r="C5368" s="234" t="str">
        <f>IFERROR(__xludf.DUMMYFUNCTION("""COMPUTED_VALUE"""),"SOC-PE2")</f>
        <v>SOC-PE2</v>
      </c>
      <c r="D5368" s="234"/>
      <c r="E5368" s="237" t="str">
        <f>IFERROR(__xludf.DUMMYFUNCTION("""COMPUTED_VALUE"""),"LT1Q1K01X7PD1")</f>
        <v>LT1Q1K01X7PD1</v>
      </c>
      <c r="F5368" s="238" t="str">
        <f>IFERROR(__xludf.DUMMYFUNCTION("""COMPUTED_VALUE"""),"MLV8A62,EZD8I44")</f>
        <v>MLV8A62,EZD8I44</v>
      </c>
      <c r="G5368" s="238">
        <f>IFERROR(__xludf.DUMMYFUNCTION("""COMPUTED_VALUE"""),46043.04166666667)</f>
        <v>46043.04167</v>
      </c>
      <c r="H5368" s="238">
        <f>IFERROR(__xludf.DUMMYFUNCTION("""COMPUTED_VALUE"""),46043.29166666667)</f>
        <v>46043.29167</v>
      </c>
      <c r="I5368" s="237" t="str">
        <f t="shared" si="1"/>
        <v>Fora</v>
      </c>
      <c r="J5368" s="239">
        <v>360.0</v>
      </c>
    </row>
    <row r="5369">
      <c r="A5369" s="234" t="s">
        <v>6243</v>
      </c>
      <c r="B5369" s="234" t="str">
        <f>IFERROR(__xludf.DUMMYFUNCTION("""COMPUTED_VALUE"""),"SoC_SP_Louveira")</f>
        <v>SoC_SP_Louveira</v>
      </c>
      <c r="C5369" s="234" t="str">
        <f>IFERROR(__xludf.DUMMYFUNCTION("""COMPUTED_VALUE"""),"SOC-SP7")</f>
        <v>SOC-SP7</v>
      </c>
      <c r="D5369" s="246">
        <f>IFERROR(__xludf.DUMMYFUNCTION("""COMPUTED_VALUE"""),46272.0)</f>
        <v>46272</v>
      </c>
      <c r="E5369" s="237" t="str">
        <f>IFERROR(__xludf.DUMMYFUNCTION("""COMPUTED_VALUE"""),"LT1Q1L01X8LP1")</f>
        <v>LT1Q1L01X8LP1</v>
      </c>
      <c r="F5369" s="238" t="str">
        <f>IFERROR(__xludf.DUMMYFUNCTION("""COMPUTED_VALUE"""),"GHH8J91,EZU9D94,EZU9D62")</f>
        <v>GHH8J91,EZU9D94,EZU9D62</v>
      </c>
      <c r="G5369" s="238">
        <f>IFERROR(__xludf.DUMMYFUNCTION("""COMPUTED_VALUE"""),46043.04166666667)</f>
        <v>46043.04167</v>
      </c>
      <c r="H5369" s="238">
        <f>IFERROR(__xludf.DUMMYFUNCTION("""COMPUTED_VALUE"""),46043.29166666667)</f>
        <v>46043.29167</v>
      </c>
      <c r="I5369" s="237" t="str">
        <f t="shared" si="1"/>
        <v>Fora</v>
      </c>
      <c r="J5369" s="239">
        <v>300.00000001396984</v>
      </c>
    </row>
    <row r="5370">
      <c r="A5370" s="234" t="s">
        <v>1026</v>
      </c>
      <c r="B5370" s="234" t="str">
        <f>IFERROR(__xludf.DUMMYFUNCTION("""COMPUTED_VALUE"""),"SoC_BA_Simoes Filho")</f>
        <v>SoC_BA_Simoes Filho</v>
      </c>
      <c r="C5370" s="234" t="str">
        <f>IFERROR(__xludf.DUMMYFUNCTION("""COMPUTED_VALUE"""),"SOC-BA2")</f>
        <v>SOC-BA2</v>
      </c>
      <c r="D5370" s="234">
        <f>IFERROR(__xludf.DUMMYFUNCTION("""COMPUTED_VALUE"""),89.0)</f>
        <v>89</v>
      </c>
      <c r="E5370" s="237" t="str">
        <f>IFERROR(__xludf.DUMMYFUNCTION("""COMPUTED_VALUE"""),"LT0Q1K01WYG22")</f>
        <v>LT0Q1K01WYG22</v>
      </c>
      <c r="F5370" s="238" t="str">
        <f>IFERROR(__xludf.DUMMYFUNCTION("""COMPUTED_VALUE"""),"STV3B74,SWM1B12")</f>
        <v>STV3B74,SWM1B12</v>
      </c>
      <c r="G5370" s="238">
        <f>IFERROR(__xludf.DUMMYFUNCTION("""COMPUTED_VALUE"""),46043.08333333333)</f>
        <v>46043.08333</v>
      </c>
      <c r="H5370" s="238">
        <f>IFERROR(__xludf.DUMMYFUNCTION("""COMPUTED_VALUE"""),46043.29166666667)</f>
        <v>46043.29167</v>
      </c>
      <c r="I5370" s="237" t="str">
        <f t="shared" si="1"/>
        <v>Fora</v>
      </c>
      <c r="J5370" s="239">
        <v>180.0</v>
      </c>
    </row>
    <row r="5371">
      <c r="A5371" s="234" t="s">
        <v>1027</v>
      </c>
      <c r="B5371" s="234" t="str">
        <f>IFERROR(__xludf.DUMMYFUNCTION("""COMPUTED_VALUE"""),"SoC_SP_Santana")</f>
        <v>SoC_SP_Santana</v>
      </c>
      <c r="C5371" s="234" t="str">
        <f>IFERROR(__xludf.DUMMYFUNCTION("""COMPUTED_VALUE"""),"SOC-SP2")</f>
        <v>SOC-SP2</v>
      </c>
      <c r="D5371" s="234">
        <f>IFERROR(__xludf.DUMMYFUNCTION("""COMPUTED_VALUE"""),36.0)</f>
        <v>36</v>
      </c>
      <c r="E5371" s="237" t="str">
        <f>IFERROR(__xludf.DUMMYFUNCTION("""COMPUTED_VALUE"""),"LT0Q1L01WTWZ1")</f>
        <v>LT0Q1L01WTWZ1</v>
      </c>
      <c r="F5371" s="238" t="str">
        <f>IFERROR(__xludf.DUMMYFUNCTION("""COMPUTED_VALUE"""),"STN7J16,DAE4E21")</f>
        <v>STN7J16,DAE4E21</v>
      </c>
      <c r="G5371" s="238">
        <f>IFERROR(__xludf.DUMMYFUNCTION("""COMPUTED_VALUE"""),46043.16666666667)</f>
        <v>46043.16667</v>
      </c>
      <c r="H5371" s="238">
        <f>IFERROR(__xludf.DUMMYFUNCTION("""COMPUTED_VALUE"""),46043.29166666667)</f>
        <v>46043.29167</v>
      </c>
      <c r="I5371" s="237" t="str">
        <f t="shared" si="1"/>
        <v>Fora</v>
      </c>
      <c r="J5371" s="239">
        <v>120.00000001396984</v>
      </c>
    </row>
    <row r="5372">
      <c r="A5372" s="234" t="s">
        <v>1028</v>
      </c>
      <c r="B5372" s="234" t="str">
        <f>IFERROR(__xludf.DUMMYFUNCTION("""COMPUTED_VALUE"""),"LM Hub_SP_Barueri_01")</f>
        <v>LM Hub_SP_Barueri_01</v>
      </c>
      <c r="C5372" s="234" t="str">
        <f>IFERROR(__xludf.DUMMYFUNCTION("""COMPUTED_VALUE"""),"HUB-LSP-81")</f>
        <v>HUB-LSP-81</v>
      </c>
      <c r="D5372" s="234"/>
      <c r="E5372" s="237" t="str">
        <f>IFERROR(__xludf.DUMMYFUNCTION("""COMPUTED_VALUE"""),"LT0Q1L01WY3V1")</f>
        <v>LT0Q1L01WY3V1</v>
      </c>
      <c r="F5372" s="238" t="str">
        <f>IFERROR(__xludf.DUMMYFUNCTION("""COMPUTED_VALUE"""),"SUQ5C99")</f>
        <v>SUQ5C99</v>
      </c>
      <c r="G5372" s="238">
        <f>IFERROR(__xludf.DUMMYFUNCTION("""COMPUTED_VALUE"""),46043.20833333333)</f>
        <v>46043.20833</v>
      </c>
      <c r="H5372" s="238">
        <f>IFERROR(__xludf.DUMMYFUNCTION("""COMPUTED_VALUE"""),46043.29166666667)</f>
        <v>46043.29167</v>
      </c>
      <c r="I5372" s="237" t="str">
        <f t="shared" si="1"/>
        <v>Fora</v>
      </c>
      <c r="J5372" s="239">
        <v>120.00000001396984</v>
      </c>
    </row>
    <row r="5373">
      <c r="A5373" s="234" t="s">
        <v>1029</v>
      </c>
      <c r="B5373" s="234" t="str">
        <f>IFERROR(__xludf.DUMMYFUNCTION("""COMPUTED_VALUE"""),"LM Hub_SP_Jundiaí")</f>
        <v>LM Hub_SP_Jundiaí</v>
      </c>
      <c r="C5373" s="234" t="str">
        <f>IFERROR(__xludf.DUMMYFUNCTION("""COMPUTED_VALUE"""),"HUB-LSP-100")</f>
        <v>HUB-LSP-100</v>
      </c>
      <c r="D5373" s="234">
        <f>IFERROR(__xludf.DUMMYFUNCTION("""COMPUTED_VALUE"""),29.0)</f>
        <v>29</v>
      </c>
      <c r="E5373" s="237" t="str">
        <f>IFERROR(__xludf.DUMMYFUNCTION("""COMPUTED_VALUE"""),"LT0Q1L01WZHC1")</f>
        <v>LT0Q1L01WZHC1</v>
      </c>
      <c r="F5373" s="238" t="str">
        <f>IFERROR(__xludf.DUMMYFUNCTION("""COMPUTED_VALUE"""),"TBQ8J43")</f>
        <v>TBQ8J43</v>
      </c>
      <c r="G5373" s="238">
        <f>IFERROR(__xludf.DUMMYFUNCTION("""COMPUTED_VALUE"""),46043.20833333333)</f>
        <v>46043.20833</v>
      </c>
      <c r="H5373" s="238">
        <f>IFERROR(__xludf.DUMMYFUNCTION("""COMPUTED_VALUE"""),46043.29166666667)</f>
        <v>46043.29167</v>
      </c>
      <c r="I5373" s="237" t="str">
        <f t="shared" si="1"/>
        <v>Fora</v>
      </c>
      <c r="J5373" s="239">
        <v>120.00000001396984</v>
      </c>
    </row>
    <row r="5374">
      <c r="A5374" s="234" t="s">
        <v>1031</v>
      </c>
      <c r="B5374" s="234" t="str">
        <f>IFERROR(__xludf.DUMMYFUNCTION("""COMPUTED_VALUE"""),"LM Hub_SP_Piracicaba")</f>
        <v>LM Hub_SP_Piracicaba</v>
      </c>
      <c r="C5374" s="234" t="str">
        <f>IFERROR(__xludf.DUMMYFUNCTION("""COMPUTED_VALUE"""),"HUB-LSP-62")</f>
        <v>HUB-LSP-62</v>
      </c>
      <c r="D5374" s="234">
        <f>IFERROR(__xludf.DUMMYFUNCTION("""COMPUTED_VALUE"""),46.0)</f>
        <v>46</v>
      </c>
      <c r="E5374" s="237" t="str">
        <f>IFERROR(__xludf.DUMMYFUNCTION("""COMPUTED_VALUE"""),"LT0Q1L01WU4H1")</f>
        <v>LT0Q1L01WU4H1</v>
      </c>
      <c r="F5374" s="238" t="str">
        <f>IFERROR(__xludf.DUMMYFUNCTION("""COMPUTED_VALUE"""),"OMY3I62")</f>
        <v>OMY3I62</v>
      </c>
      <c r="G5374" s="238">
        <f>IFERROR(__xludf.DUMMYFUNCTION("""COMPUTED_VALUE"""),46043.20833333333)</f>
        <v>46043.20833</v>
      </c>
      <c r="H5374" s="238">
        <f>IFERROR(__xludf.DUMMYFUNCTION("""COMPUTED_VALUE"""),46043.29166666667)</f>
        <v>46043.29167</v>
      </c>
      <c r="I5374" s="237" t="str">
        <f t="shared" si="1"/>
        <v>Fora</v>
      </c>
      <c r="J5374" s="239">
        <v>120.00000001396984</v>
      </c>
    </row>
    <row r="5375">
      <c r="A5375" s="234" t="s">
        <v>1032</v>
      </c>
      <c r="B5375" s="234" t="str">
        <f>IFERROR(__xludf.DUMMYFUNCTION("""COMPUTED_VALUE"""),"LM Hub_SP_Santos_PraiaGrande_02")</f>
        <v>LM Hub_SP_Santos_PraiaGrande_02</v>
      </c>
      <c r="C5375" s="234" t="str">
        <f>IFERROR(__xludf.DUMMYFUNCTION("""COMPUTED_VALUE"""),"HUB-LSP-63")</f>
        <v>HUB-LSP-63</v>
      </c>
      <c r="D5375" s="234">
        <f>IFERROR(__xludf.DUMMYFUNCTION("""COMPUTED_VALUE"""),38.0)</f>
        <v>38</v>
      </c>
      <c r="E5375" s="237" t="str">
        <f>IFERROR(__xludf.DUMMYFUNCTION("""COMPUTED_VALUE"""),"LT0Q1L01WUI71")</f>
        <v>LT0Q1L01WUI71</v>
      </c>
      <c r="F5375" s="238" t="str">
        <f>IFERROR(__xludf.DUMMYFUNCTION("""COMPUTED_VALUE"""),"DJJ8025,DUJ9D51")</f>
        <v>DJJ8025,DUJ9D51</v>
      </c>
      <c r="G5375" s="238">
        <f>IFERROR(__xludf.DUMMYFUNCTION("""COMPUTED_VALUE"""),46043.20833333333)</f>
        <v>46043.20833</v>
      </c>
      <c r="H5375" s="238">
        <f>IFERROR(__xludf.DUMMYFUNCTION("""COMPUTED_VALUE"""),46043.29166666667)</f>
        <v>46043.29167</v>
      </c>
      <c r="I5375" s="237" t="str">
        <f t="shared" si="1"/>
        <v>Fora</v>
      </c>
      <c r="J5375" s="239">
        <v>119.99999999301508</v>
      </c>
    </row>
    <row r="5376">
      <c r="A5376" s="234" t="s">
        <v>1033</v>
      </c>
      <c r="B5376" s="234" t="str">
        <f>IFERROR(__xludf.DUMMYFUNCTION("""COMPUTED_VALUE"""),"LM Hub_SP_Guarujá")</f>
        <v>LM Hub_SP_Guarujá</v>
      </c>
      <c r="C5376" s="234" t="str">
        <f>IFERROR(__xludf.DUMMYFUNCTION("""COMPUTED_VALUE"""),"HUB-LSP-06")</f>
        <v>HUB-LSP-06</v>
      </c>
      <c r="D5376" s="234">
        <f>IFERROR(__xludf.DUMMYFUNCTION("""COMPUTED_VALUE"""),33.0)</f>
        <v>33</v>
      </c>
      <c r="E5376" s="237" t="str">
        <f>IFERROR(__xludf.DUMMYFUNCTION("""COMPUTED_VALUE"""),"LT0Q1L01WUHZ1")</f>
        <v>LT0Q1L01WUHZ1</v>
      </c>
      <c r="F5376" s="238" t="str">
        <f>IFERROR(__xludf.DUMMYFUNCTION("""COMPUTED_VALUE"""),"GFQ6J64")</f>
        <v>GFQ6J64</v>
      </c>
      <c r="G5376" s="238">
        <f>IFERROR(__xludf.DUMMYFUNCTION("""COMPUTED_VALUE"""),46043.22916666667)</f>
        <v>46043.22917</v>
      </c>
      <c r="H5376" s="238">
        <f>IFERROR(__xludf.DUMMYFUNCTION("""COMPUTED_VALUE"""),46043.3125)</f>
        <v>46043.3125</v>
      </c>
      <c r="I5376" s="237" t="str">
        <f t="shared" si="1"/>
        <v>Fora</v>
      </c>
      <c r="J5376" s="239">
        <v>119.99999999301508</v>
      </c>
    </row>
    <row r="5377">
      <c r="A5377" s="234" t="s">
        <v>1034</v>
      </c>
      <c r="B5377" s="234" t="str">
        <f>IFERROR(__xludf.DUMMYFUNCTION("""COMPUTED_VALUE"""),"LM Hub_SP_Santos_Praia Grande")</f>
        <v>LM Hub_SP_Santos_Praia Grande</v>
      </c>
      <c r="C5377" s="234" t="str">
        <f>IFERROR(__xludf.DUMMYFUNCTION("""COMPUTED_VALUE"""),"HUB-LSP-09")</f>
        <v>HUB-LSP-09</v>
      </c>
      <c r="D5377" s="234"/>
      <c r="E5377" s="237" t="str">
        <f>IFERROR(__xludf.DUMMYFUNCTION("""COMPUTED_VALUE"""),"LT0Q1L01WUI11")</f>
        <v>LT0Q1L01WUI11</v>
      </c>
      <c r="F5377" s="238" t="str">
        <f>IFERROR(__xludf.DUMMYFUNCTION("""COMPUTED_VALUE"""),"CLD1G43")</f>
        <v>CLD1G43</v>
      </c>
      <c r="G5377" s="238">
        <f>IFERROR(__xludf.DUMMYFUNCTION("""COMPUTED_VALUE"""),46043.22916666667)</f>
        <v>46043.22917</v>
      </c>
      <c r="H5377" s="238">
        <f>IFERROR(__xludf.DUMMYFUNCTION("""COMPUTED_VALUE"""),46043.3125)</f>
        <v>46043.3125</v>
      </c>
      <c r="I5377" s="237" t="str">
        <f t="shared" si="1"/>
        <v>Fora</v>
      </c>
      <c r="J5377" s="239">
        <v>119.99999999301508</v>
      </c>
    </row>
    <row r="5378">
      <c r="A5378" s="234" t="s">
        <v>1035</v>
      </c>
      <c r="B5378" s="234" t="str">
        <f>IFERROR(__xludf.DUMMYFUNCTION("""COMPUTED_VALUE"""),"LM Hub_SP_São José dos Campos")</f>
        <v>LM Hub_SP_São José dos Campos</v>
      </c>
      <c r="C5378" s="234" t="str">
        <f>IFERROR(__xludf.DUMMYFUNCTION("""COMPUTED_VALUE"""),"HUB-LSP-04")</f>
        <v>HUB-LSP-04</v>
      </c>
      <c r="D5378" s="234">
        <f>IFERROR(__xludf.DUMMYFUNCTION("""COMPUTED_VALUE"""),18.0)</f>
        <v>18</v>
      </c>
      <c r="E5378" s="237" t="str">
        <f>IFERROR(__xludf.DUMMYFUNCTION("""COMPUTED_VALUE"""),"LT0Q1L01WUI21")</f>
        <v>LT0Q1L01WUI21</v>
      </c>
      <c r="F5378" s="238" t="str">
        <f>IFERROR(__xludf.DUMMYFUNCTION("""COMPUTED_VALUE"""),"EXF3J05")</f>
        <v>EXF3J05</v>
      </c>
      <c r="G5378" s="238">
        <f>IFERROR(__xludf.DUMMYFUNCTION("""COMPUTED_VALUE"""),46043.22916666667)</f>
        <v>46043.22917</v>
      </c>
      <c r="H5378" s="238">
        <f>IFERROR(__xludf.DUMMYFUNCTION("""COMPUTED_VALUE"""),46043.3125)</f>
        <v>46043.3125</v>
      </c>
      <c r="I5378" s="237" t="str">
        <f t="shared" si="1"/>
        <v>Fora</v>
      </c>
      <c r="J5378" s="239">
        <v>119.99999999301508</v>
      </c>
    </row>
    <row r="5379">
      <c r="A5379" s="234" t="s">
        <v>1036</v>
      </c>
      <c r="B5379" s="234" t="str">
        <f>IFERROR(__xludf.DUMMYFUNCTION("""COMPUTED_VALUE"""),"LM Hub_SP_São Paulo_Mooca")</f>
        <v>LM Hub_SP_São Paulo_Mooca</v>
      </c>
      <c r="C5379" s="234" t="str">
        <f>IFERROR(__xludf.DUMMYFUNCTION("""COMPUTED_VALUE"""),"HUB-LSP-13")</f>
        <v>HUB-LSP-13</v>
      </c>
      <c r="D5379" s="234"/>
      <c r="E5379" s="237" t="str">
        <f>IFERROR(__xludf.DUMMYFUNCTION("""COMPUTED_VALUE"""),"LT0Q1L01X2V21")</f>
        <v>LT0Q1L01X2V21</v>
      </c>
      <c r="F5379" s="238" t="str">
        <f>IFERROR(__xludf.DUMMYFUNCTION("""COMPUTED_VALUE"""),"FGI1F79")</f>
        <v>FGI1F79</v>
      </c>
      <c r="G5379" s="238">
        <f>IFERROR(__xludf.DUMMYFUNCTION("""COMPUTED_VALUE"""),46043.22916666667)</f>
        <v>46043.22917</v>
      </c>
      <c r="H5379" s="238">
        <f>IFERROR(__xludf.DUMMYFUNCTION("""COMPUTED_VALUE"""),46043.3125)</f>
        <v>46043.3125</v>
      </c>
      <c r="I5379" s="237" t="str">
        <f t="shared" si="1"/>
        <v>Fora</v>
      </c>
      <c r="J5379" s="239">
        <v>119.99999999301508</v>
      </c>
    </row>
    <row r="5380">
      <c r="A5380" s="234" t="s">
        <v>1037</v>
      </c>
      <c r="B5380" s="234" t="str">
        <f>IFERROR(__xludf.DUMMYFUNCTION("""COMPUTED_VALUE"""),"LM Hub_SP_Várzea Paulista")</f>
        <v>LM Hub_SP_Várzea Paulista</v>
      </c>
      <c r="C5380" s="234" t="str">
        <f>IFERROR(__xludf.DUMMYFUNCTION("""COMPUTED_VALUE"""),"HUB-LSP-20")</f>
        <v>HUB-LSP-20</v>
      </c>
      <c r="D5380" s="234"/>
      <c r="E5380" s="237" t="str">
        <f>IFERROR(__xludf.DUMMYFUNCTION("""COMPUTED_VALUE"""),"LT0Q1L01WTHY1")</f>
        <v>LT0Q1L01WTHY1</v>
      </c>
      <c r="F5380" s="238" t="str">
        <f>IFERROR(__xludf.DUMMYFUNCTION("""COMPUTED_VALUE"""),"GBZ3E18")</f>
        <v>GBZ3E18</v>
      </c>
      <c r="G5380" s="238">
        <f>IFERROR(__xludf.DUMMYFUNCTION("""COMPUTED_VALUE"""),46043.22916666667)</f>
        <v>46043.22917</v>
      </c>
      <c r="H5380" s="238">
        <f>IFERROR(__xludf.DUMMYFUNCTION("""COMPUTED_VALUE"""),46043.3125)</f>
        <v>46043.3125</v>
      </c>
      <c r="I5380" s="237" t="str">
        <f t="shared" si="1"/>
        <v>Fora</v>
      </c>
      <c r="J5380" s="239">
        <v>119.00000000023283</v>
      </c>
    </row>
    <row r="5381">
      <c r="A5381" s="234" t="s">
        <v>1038</v>
      </c>
      <c r="B5381" s="234" t="str">
        <f>IFERROR(__xludf.DUMMYFUNCTION("""COMPUTED_VALUE"""),"LM Hub_SP_Itapevi")</f>
        <v>LM Hub_SP_Itapevi</v>
      </c>
      <c r="C5381" s="234" t="str">
        <f>IFERROR(__xludf.DUMMYFUNCTION("""COMPUTED_VALUE"""),"HUB-LSP-41")</f>
        <v>HUB-LSP-41</v>
      </c>
      <c r="D5381" s="234"/>
      <c r="E5381" s="237" t="str">
        <f>IFERROR(__xludf.DUMMYFUNCTION("""COMPUTED_VALUE"""),"LT0Q1L01X2MR1")</f>
        <v>LT0Q1L01X2MR1</v>
      </c>
      <c r="F5381" s="238" t="str">
        <f>IFERROR(__xludf.DUMMYFUNCTION("""COMPUTED_VALUE"""),"FYQ5533")</f>
        <v>FYQ5533</v>
      </c>
      <c r="G5381" s="238">
        <f>IFERROR(__xludf.DUMMYFUNCTION("""COMPUTED_VALUE"""),46043.22986111111)</f>
        <v>46043.22986</v>
      </c>
      <c r="H5381" s="238">
        <f>IFERROR(__xludf.DUMMYFUNCTION("""COMPUTED_VALUE"""),46043.3125)</f>
        <v>46043.3125</v>
      </c>
      <c r="I5381" s="237" t="str">
        <f t="shared" si="1"/>
        <v>Fora</v>
      </c>
      <c r="J5381" s="239">
        <v>360.0</v>
      </c>
    </row>
    <row r="5382">
      <c r="A5382" s="234" t="s">
        <v>1039</v>
      </c>
      <c r="B5382" s="238" t="str">
        <f>IFERROR(__xludf.DUMMYFUNCTION("""COMPUTED_VALUE"""),"SoC_MG_Betim")</f>
        <v>SoC_MG_Betim</v>
      </c>
      <c r="C5382" s="238" t="str">
        <f>IFERROR(__xludf.DUMMYFUNCTION("""COMPUTED_VALUE"""),"SOC-MG2")</f>
        <v>SOC-MG2</v>
      </c>
      <c r="D5382" s="234">
        <f>IFERROR(__xludf.DUMMYFUNCTION("""COMPUTED_VALUE"""),110.0)</f>
        <v>110</v>
      </c>
      <c r="E5382" s="237" t="str">
        <f>IFERROR(__xludf.DUMMYFUNCTION("""COMPUTED_VALUE"""),"LT1Q1K01X7SK1")</f>
        <v>LT1Q1K01X7SK1</v>
      </c>
      <c r="F5382" s="238" t="str">
        <f>IFERROR(__xludf.DUMMYFUNCTION("""COMPUTED_VALUE"""),"GBR4G52,EOS2J31")</f>
        <v>GBR4G52,EOS2J31</v>
      </c>
      <c r="G5382" s="238">
        <f>IFERROR(__xludf.DUMMYFUNCTION("""COMPUTED_VALUE"""),46043.08333333333)</f>
        <v>46043.08333</v>
      </c>
      <c r="H5382" s="238">
        <f>IFERROR(__xludf.DUMMYFUNCTION("""COMPUTED_VALUE"""),46043.33333333333)</f>
        <v>46043.33333</v>
      </c>
      <c r="I5382" s="237" t="str">
        <f t="shared" si="1"/>
        <v>Fora</v>
      </c>
      <c r="J5382" s="239">
        <v>356.9999999902211</v>
      </c>
    </row>
    <row r="5383">
      <c r="A5383" s="234" t="s">
        <v>6244</v>
      </c>
      <c r="B5383" s="238" t="str">
        <f>IFERROR(__xludf.DUMMYFUNCTION("""COMPUTED_VALUE"""),"SoC_MG_Betim")</f>
        <v>SoC_MG_Betim</v>
      </c>
      <c r="C5383" s="238" t="str">
        <f>IFERROR(__xludf.DUMMYFUNCTION("""COMPUTED_VALUE"""),"SOC-MG2")</f>
        <v>SOC-MG2</v>
      </c>
      <c r="D5383" s="234">
        <f>IFERROR(__xludf.DUMMYFUNCTION("""COMPUTED_VALUE"""),112.0)</f>
        <v>112</v>
      </c>
      <c r="E5383" s="237" t="str">
        <f>IFERROR(__xludf.DUMMYFUNCTION("""COMPUTED_VALUE"""),"LT0Q1K01WT8N5")</f>
        <v>LT0Q1K01WT8N5</v>
      </c>
      <c r="F5383" s="238" t="str">
        <f>IFERROR(__xludf.DUMMYFUNCTION("""COMPUTED_VALUE"""),"FIL1H94,STT6A13")</f>
        <v>FIL1H94,STT6A13</v>
      </c>
      <c r="G5383" s="238">
        <f>IFERROR(__xludf.DUMMYFUNCTION("""COMPUTED_VALUE"""),46043.08541666667)</f>
        <v>46043.08542</v>
      </c>
      <c r="H5383" s="238">
        <f>IFERROR(__xludf.DUMMYFUNCTION("""COMPUTED_VALUE"""),46043.33333333333)</f>
        <v>46043.33333</v>
      </c>
      <c r="I5383" s="237" t="str">
        <f t="shared" si="1"/>
        <v>Fora</v>
      </c>
      <c r="J5383" s="239">
        <v>119.99999999301508</v>
      </c>
    </row>
    <row r="5384">
      <c r="A5384" s="234" t="s">
        <v>1040</v>
      </c>
      <c r="B5384" s="238" t="str">
        <f>IFERROR(__xludf.DUMMYFUNCTION("""COMPUTED_VALUE"""),"LM Hub_SP_Artur Alvim")</f>
        <v>LM Hub_SP_Artur Alvim</v>
      </c>
      <c r="C5384" s="238" t="str">
        <f>IFERROR(__xludf.DUMMYFUNCTION("""COMPUTED_VALUE"""),"HUB-LSP-07")</f>
        <v>HUB-LSP-07</v>
      </c>
      <c r="D5384" s="234">
        <f>IFERROR(__xludf.DUMMYFUNCTION("""COMPUTED_VALUE"""),13.0)</f>
        <v>13</v>
      </c>
      <c r="E5384" s="237" t="str">
        <f>IFERROR(__xludf.DUMMYFUNCTION("""COMPUTED_VALUE"""),"LT0Q1L01WUHH1")</f>
        <v>LT0Q1L01WUHH1</v>
      </c>
      <c r="F5384" s="238" t="str">
        <f>IFERROR(__xludf.DUMMYFUNCTION("""COMPUTED_VALUE"""),"ASH4C66")</f>
        <v>ASH4C66</v>
      </c>
      <c r="G5384" s="238">
        <f>IFERROR(__xludf.DUMMYFUNCTION("""COMPUTED_VALUE"""),46043.25)</f>
        <v>46043.25</v>
      </c>
      <c r="H5384" s="238">
        <f>IFERROR(__xludf.DUMMYFUNCTION("""COMPUTED_VALUE"""),46043.33333333333)</f>
        <v>46043.33333</v>
      </c>
      <c r="I5384" s="237" t="str">
        <f t="shared" si="1"/>
        <v>Fora</v>
      </c>
      <c r="J5384" s="239">
        <v>119.99999999301508</v>
      </c>
    </row>
    <row r="5385">
      <c r="A5385" s="234" t="s">
        <v>1041</v>
      </c>
      <c r="B5385" s="238" t="str">
        <f>IFERROR(__xludf.DUMMYFUNCTION("""COMPUTED_VALUE"""),"LM Hub_SP_Osasco_02")</f>
        <v>LM Hub_SP_Osasco_02</v>
      </c>
      <c r="C5385" s="238" t="str">
        <f>IFERROR(__xludf.DUMMYFUNCTION("""COMPUTED_VALUE"""),"HUB-LSP-60")</f>
        <v>HUB-LSP-60</v>
      </c>
      <c r="D5385" s="234">
        <f>IFERROR(__xludf.DUMMYFUNCTION("""COMPUTED_VALUE"""),34.0)</f>
        <v>34</v>
      </c>
      <c r="E5385" s="237" t="str">
        <f>IFERROR(__xludf.DUMMYFUNCTION("""COMPUTED_VALUE"""),"LT0Q1L01WUHR1")</f>
        <v>LT0Q1L01WUHR1</v>
      </c>
      <c r="F5385" s="238" t="str">
        <f>IFERROR(__xludf.DUMMYFUNCTION("""COMPUTED_VALUE"""),"FEU6H63")</f>
        <v>FEU6H63</v>
      </c>
      <c r="G5385" s="238">
        <f>IFERROR(__xludf.DUMMYFUNCTION("""COMPUTED_VALUE"""),46043.25)</f>
        <v>46043.25</v>
      </c>
      <c r="H5385" s="238">
        <f>IFERROR(__xludf.DUMMYFUNCTION("""COMPUTED_VALUE"""),46043.33333333333)</f>
        <v>46043.33333</v>
      </c>
      <c r="I5385" s="237" t="str">
        <f t="shared" si="1"/>
        <v>Fora</v>
      </c>
      <c r="J5385" s="239">
        <v>119.99999999301508</v>
      </c>
    </row>
    <row r="5386">
      <c r="A5386" s="234" t="s">
        <v>1042</v>
      </c>
      <c r="B5386" s="238" t="str">
        <f>IFERROR(__xludf.DUMMYFUNCTION("""COMPUTED_VALUE"""),"LM Hub_SP_São Paulo_Lapa")</f>
        <v>LM Hub_SP_São Paulo_Lapa</v>
      </c>
      <c r="C5386" s="238" t="str">
        <f>IFERROR(__xludf.DUMMYFUNCTION("""COMPUTED_VALUE"""),"HUB-LSP-15")</f>
        <v>HUB-LSP-15</v>
      </c>
      <c r="D5386" s="234">
        <f>IFERROR(__xludf.DUMMYFUNCTION("""COMPUTED_VALUE"""),23.0)</f>
        <v>23</v>
      </c>
      <c r="E5386" s="237" t="str">
        <f>IFERROR(__xludf.DUMMYFUNCTION("""COMPUTED_VALUE"""),"LT0Q1L01WUHL1")</f>
        <v>LT0Q1L01WUHL1</v>
      </c>
      <c r="F5386" s="238" t="str">
        <f>IFERROR(__xludf.DUMMYFUNCTION("""COMPUTED_VALUE"""),"CUA8366")</f>
        <v>CUA8366</v>
      </c>
      <c r="G5386" s="238">
        <f>IFERROR(__xludf.DUMMYFUNCTION("""COMPUTED_VALUE"""),46043.25)</f>
        <v>46043.25</v>
      </c>
      <c r="H5386" s="238">
        <f>IFERROR(__xludf.DUMMYFUNCTION("""COMPUTED_VALUE"""),46043.33333333333)</f>
        <v>46043.33333</v>
      </c>
      <c r="I5386" s="237" t="str">
        <f t="shared" si="1"/>
        <v>Fora</v>
      </c>
      <c r="J5386" s="239">
        <v>120.00000001396984</v>
      </c>
    </row>
    <row r="5387">
      <c r="A5387" s="234" t="s">
        <v>1043</v>
      </c>
      <c r="B5387" s="238" t="str">
        <f>IFERROR(__xludf.DUMMYFUNCTION("""COMPUTED_VALUE"""),"LM Hub_SP_São Bernardo do Campo")</f>
        <v>LM Hub_SP_São Bernardo do Campo</v>
      </c>
      <c r="C5387" s="238" t="str">
        <f>IFERROR(__xludf.DUMMYFUNCTION("""COMPUTED_VALUE"""),"HUB-LSP-79")</f>
        <v>HUB-LSP-79</v>
      </c>
      <c r="D5387" s="234">
        <f>IFERROR(__xludf.DUMMYFUNCTION("""COMPUTED_VALUE"""),32.0)</f>
        <v>32</v>
      </c>
      <c r="E5387" s="237" t="str">
        <f>IFERROR(__xludf.DUMMYFUNCTION("""COMPUTED_VALUE"""),"LT0Q1L01WU1D1")</f>
        <v>LT0Q1L01WU1D1</v>
      </c>
      <c r="F5387" s="238" t="str">
        <f>IFERROR(__xludf.DUMMYFUNCTION("""COMPUTED_VALUE"""),"EBS3J90")</f>
        <v>EBS3J90</v>
      </c>
      <c r="G5387" s="238">
        <f>IFERROR(__xludf.DUMMYFUNCTION("""COMPUTED_VALUE"""),46043.27083333333)</f>
        <v>46043.27083</v>
      </c>
      <c r="H5387" s="238">
        <f>IFERROR(__xludf.DUMMYFUNCTION("""COMPUTED_VALUE"""),46043.35416666667)</f>
        <v>46043.35417</v>
      </c>
      <c r="I5387" s="237" t="str">
        <f t="shared" si="1"/>
        <v>Fora</v>
      </c>
      <c r="J5387" s="239">
        <v>600.0000000069849</v>
      </c>
    </row>
    <row r="5388">
      <c r="A5388" s="234" t="s">
        <v>1044</v>
      </c>
      <c r="B5388" s="238" t="str">
        <f>IFERROR(__xludf.DUMMYFUNCTION("""COMPUTED_VALUE"""),"SoC_BA_Simoes Filho")</f>
        <v>SoC_BA_Simoes Filho</v>
      </c>
      <c r="C5388" s="238" t="str">
        <f>IFERROR(__xludf.DUMMYFUNCTION("""COMPUTED_VALUE"""),"SOC-BA2")</f>
        <v>SOC-BA2</v>
      </c>
      <c r="D5388" s="234">
        <f>IFERROR(__xludf.DUMMYFUNCTION("""COMPUTED_VALUE"""),114.0)</f>
        <v>114</v>
      </c>
      <c r="E5388" s="237" t="str">
        <f>IFERROR(__xludf.DUMMYFUNCTION("""COMPUTED_VALUE"""),"LT0Q1K01WYG01")</f>
        <v>LT0Q1K01WYG01</v>
      </c>
      <c r="F5388" s="238" t="str">
        <f>IFERROR(__xludf.DUMMYFUNCTION("""COMPUTED_VALUE"""),"CSK5647,AUH0J56")</f>
        <v>CSK5647,AUH0J56</v>
      </c>
      <c r="G5388" s="238">
        <f>IFERROR(__xludf.DUMMYFUNCTION("""COMPUTED_VALUE"""),46042.95833333333)</f>
        <v>46042.95833</v>
      </c>
      <c r="H5388" s="238">
        <f>IFERROR(__xludf.DUMMYFUNCTION("""COMPUTED_VALUE"""),46043.375)</f>
        <v>46043.375</v>
      </c>
      <c r="I5388" s="237" t="str">
        <f t="shared" si="1"/>
        <v>Fora</v>
      </c>
      <c r="J5388" s="239">
        <v>540.0</v>
      </c>
    </row>
    <row r="5389">
      <c r="A5389" s="234" t="s">
        <v>1045</v>
      </c>
      <c r="B5389" s="238" t="str">
        <f>IFERROR(__xludf.DUMMYFUNCTION("""COMPUTED_VALUE"""),"SoC_RJ_Duque de Caxias")</f>
        <v>SoC_RJ_Duque de Caxias</v>
      </c>
      <c r="C5389" s="238" t="str">
        <f>IFERROR(__xludf.DUMMYFUNCTION("""COMPUTED_VALUE"""),"SOC-RJ2")</f>
        <v>SOC-RJ2</v>
      </c>
      <c r="D5389" s="234">
        <f>IFERROR(__xludf.DUMMYFUNCTION("""COMPUTED_VALUE"""),113.0)</f>
        <v>113</v>
      </c>
      <c r="E5389" s="237" t="str">
        <f>IFERROR(__xludf.DUMMYFUNCTION("""COMPUTED_VALUE"""),"LT1Q1K01X7SD1")</f>
        <v>LT1Q1K01X7SD1</v>
      </c>
      <c r="F5389" s="238" t="str">
        <f>IFERROR(__xludf.DUMMYFUNCTION("""COMPUTED_VALUE"""),"DVS4I61,CVN8B07")</f>
        <v>DVS4I61,CVN8B07</v>
      </c>
      <c r="G5389" s="238">
        <f>IFERROR(__xludf.DUMMYFUNCTION("""COMPUTED_VALUE"""),46043.0)</f>
        <v>46043</v>
      </c>
      <c r="H5389" s="238">
        <f>IFERROR(__xludf.DUMMYFUNCTION("""COMPUTED_VALUE"""),46043.375)</f>
        <v>46043.375</v>
      </c>
      <c r="I5389" s="237" t="str">
        <f t="shared" si="1"/>
        <v>Fora</v>
      </c>
      <c r="J5389" s="239" t="e">
        <v>#VALUE!</v>
      </c>
    </row>
    <row r="5390">
      <c r="A5390" s="234" t="s">
        <v>6245</v>
      </c>
      <c r="B5390" s="238" t="str">
        <f>IFERROR(__xludf.DUMMYFUNCTION("""COMPUTED_VALUE"""),"Fanout Desconhecido")</f>
        <v>Fanout Desconhecido</v>
      </c>
      <c r="C5390" s="238" t="str">
        <f>IFERROR(__xludf.DUMMYFUNCTION("""COMPUTED_VALUE"""),"-")</f>
        <v>-</v>
      </c>
      <c r="D5390" s="234">
        <f>IFERROR(__xludf.DUMMYFUNCTION("""COMPUTED_VALUE"""),113.0)</f>
        <v>113</v>
      </c>
      <c r="E5390" s="237" t="str">
        <f>IFERROR(__xludf.DUMMYFUNCTION("""COMPUTED_VALUE"""),"LT0Q1K01WT8F1")</f>
        <v>LT0Q1K01WT8F1</v>
      </c>
      <c r="F5390" s="238" t="str">
        <f>IFERROR(__xludf.DUMMYFUNCTION("""COMPUTED_VALUE"""),"-")</f>
        <v>-</v>
      </c>
      <c r="G5390" s="238" t="str">
        <f>IFERROR(__xludf.DUMMYFUNCTION("""COMPUTED_VALUE"""),"-")</f>
        <v>-</v>
      </c>
      <c r="H5390" s="238" t="str">
        <f>IFERROR(__xludf.DUMMYFUNCTION("""COMPUTED_VALUE"""),"-")</f>
        <v>-</v>
      </c>
      <c r="I5390" s="237" t="str">
        <f t="shared" si="1"/>
        <v>Dentro</v>
      </c>
      <c r="J5390" s="239">
        <v>119.99999999301508</v>
      </c>
    </row>
    <row r="5391">
      <c r="A5391" s="234" t="s">
        <v>1046</v>
      </c>
      <c r="B5391" s="238" t="str">
        <f>IFERROR(__xludf.DUMMYFUNCTION("""COMPUTED_VALUE"""),"LM Hub_SP_Embu das Artes_02")</f>
        <v>LM Hub_SP_Embu das Artes_02</v>
      </c>
      <c r="C5391" s="238" t="str">
        <f>IFERROR(__xludf.DUMMYFUNCTION("""COMPUTED_VALUE"""),"HUB-LSP-96")</f>
        <v>HUB-LSP-96</v>
      </c>
      <c r="D5391" s="234">
        <f>IFERROR(__xludf.DUMMYFUNCTION("""COMPUTED_VALUE"""),21.0)</f>
        <v>21</v>
      </c>
      <c r="E5391" s="237" t="str">
        <f>IFERROR(__xludf.DUMMYFUNCTION("""COMPUTED_VALUE"""),"LT0Q1L01WWMM1")</f>
        <v>LT0Q1L01WWMM1</v>
      </c>
      <c r="F5391" s="238" t="str">
        <f>IFERROR(__xludf.DUMMYFUNCTION("""COMPUTED_VALUE"""),"FUF6H46")</f>
        <v>FUF6H46</v>
      </c>
      <c r="G5391" s="238">
        <f>IFERROR(__xludf.DUMMYFUNCTION("""COMPUTED_VALUE"""),46043.29166666667)</f>
        <v>46043.29167</v>
      </c>
      <c r="H5391" s="238">
        <f>IFERROR(__xludf.DUMMYFUNCTION("""COMPUTED_VALUE"""),46043.375)</f>
        <v>46043.375</v>
      </c>
      <c r="I5391" s="237" t="str">
        <f t="shared" si="1"/>
        <v>Fora</v>
      </c>
      <c r="J5391" s="239">
        <v>538.0000000144355</v>
      </c>
    </row>
    <row r="5392">
      <c r="A5392" s="234" t="s">
        <v>1047</v>
      </c>
      <c r="B5392" s="238" t="str">
        <f>IFERROR(__xludf.DUMMYFUNCTION("""COMPUTED_VALUE"""),"SoC_MG_Betim")</f>
        <v>SoC_MG_Betim</v>
      </c>
      <c r="C5392" s="238" t="str">
        <f>IFERROR(__xludf.DUMMYFUNCTION("""COMPUTED_VALUE"""),"SOC-MG2")</f>
        <v>SOC-MG2</v>
      </c>
      <c r="D5392" s="234">
        <f>IFERROR(__xludf.DUMMYFUNCTION("""COMPUTED_VALUE"""),90.0)</f>
        <v>90</v>
      </c>
      <c r="E5392" s="237" t="str">
        <f>IFERROR(__xludf.DUMMYFUNCTION("""COMPUTED_VALUE"""),"LT0Q1K01X2LT1")</f>
        <v>LT0Q1K01X2LT1</v>
      </c>
      <c r="F5392" s="238" t="str">
        <f>IFERROR(__xludf.DUMMYFUNCTION("""COMPUTED_VALUE"""),"DPF1E65,EWJ1I10")</f>
        <v>DPF1E65,EWJ1I10</v>
      </c>
      <c r="G5392" s="238">
        <f>IFERROR(__xludf.DUMMYFUNCTION("""COMPUTED_VALUE"""),46043.04305555555)</f>
        <v>46043.04306</v>
      </c>
      <c r="H5392" s="238">
        <f>IFERROR(__xludf.DUMMYFUNCTION("""COMPUTED_VALUE"""),46043.41666666667)</f>
        <v>46043.41667</v>
      </c>
      <c r="I5392" s="237" t="str">
        <f t="shared" si="1"/>
        <v>Fora</v>
      </c>
      <c r="J5392" s="239" t="e">
        <v>#VALUE!</v>
      </c>
    </row>
    <row r="5393">
      <c r="A5393" s="234" t="s">
        <v>6246</v>
      </c>
      <c r="B5393" s="238" t="str">
        <f>IFERROR(__xludf.DUMMYFUNCTION("""COMPUTED_VALUE"""),"Fanout Desconhecido")</f>
        <v>Fanout Desconhecido</v>
      </c>
      <c r="C5393" s="238" t="str">
        <f>IFERROR(__xludf.DUMMYFUNCTION("""COMPUTED_VALUE"""),"-")</f>
        <v>-</v>
      </c>
      <c r="D5393" s="234">
        <f>IFERROR(__xludf.DUMMYFUNCTION("""COMPUTED_VALUE"""),112.0)</f>
        <v>112</v>
      </c>
      <c r="E5393" s="237" t="str">
        <f>IFERROR(__xludf.DUMMYFUNCTION("""COMPUTED_VALUE"""),"LT0Q1K01WT8H2")</f>
        <v>LT0Q1K01WT8H2</v>
      </c>
      <c r="F5393" s="238" t="str">
        <f>IFERROR(__xludf.DUMMYFUNCTION("""COMPUTED_VALUE"""),"-")</f>
        <v>-</v>
      </c>
      <c r="G5393" s="238" t="str">
        <f>IFERROR(__xludf.DUMMYFUNCTION("""COMPUTED_VALUE"""),"-")</f>
        <v>-</v>
      </c>
      <c r="H5393" s="238" t="str">
        <f>IFERROR(__xludf.DUMMYFUNCTION("""COMPUTED_VALUE"""),"-")</f>
        <v>-</v>
      </c>
      <c r="I5393" s="237" t="str">
        <f t="shared" si="1"/>
        <v>Dentro</v>
      </c>
      <c r="J5393" s="239">
        <v>419.99999998603016</v>
      </c>
    </row>
    <row r="5394">
      <c r="A5394" s="234" t="s">
        <v>1048</v>
      </c>
      <c r="B5394" s="238" t="str">
        <f>IFERROR(__xludf.DUMMYFUNCTION("""COMPUTED_VALUE"""),"SoC_BA_Simoes Filho")</f>
        <v>SoC_BA_Simoes Filho</v>
      </c>
      <c r="C5394" s="238" t="str">
        <f>IFERROR(__xludf.DUMMYFUNCTION("""COMPUTED_VALUE"""),"SOC-BA2")</f>
        <v>SOC-BA2</v>
      </c>
      <c r="D5394" s="234"/>
      <c r="E5394" s="237" t="str">
        <f>IFERROR(__xludf.DUMMYFUNCTION("""COMPUTED_VALUE"""),"LT1Q1K01X7ST1")</f>
        <v>LT1Q1K01X7ST1</v>
      </c>
      <c r="F5394" s="238" t="str">
        <f>IFERROR(__xludf.DUMMYFUNCTION("""COMPUTED_VALUE"""),"PVI7E63,TYD4J10")</f>
        <v>PVI7E63,TYD4J10</v>
      </c>
      <c r="G5394" s="238">
        <f>IFERROR(__xludf.DUMMYFUNCTION("""COMPUTED_VALUE"""),46043.16666666667)</f>
        <v>46043.16667</v>
      </c>
      <c r="H5394" s="238">
        <f>IFERROR(__xludf.DUMMYFUNCTION("""COMPUTED_VALUE"""),46043.45833333333)</f>
        <v>46043.45833</v>
      </c>
      <c r="I5394" s="237" t="str">
        <f t="shared" si="1"/>
        <v>Fora</v>
      </c>
      <c r="J5394" s="239">
        <v>600.0000000069849</v>
      </c>
    </row>
    <row r="5395">
      <c r="A5395" s="234" t="s">
        <v>1049</v>
      </c>
      <c r="B5395" s="234" t="str">
        <f>IFERROR(__xludf.DUMMYFUNCTION("""COMPUTED_VALUE"""),"SoC_BA_Simoes Filho")</f>
        <v>SoC_BA_Simoes Filho</v>
      </c>
      <c r="C5395" s="234" t="str">
        <f>IFERROR(__xludf.DUMMYFUNCTION("""COMPUTED_VALUE"""),"SOC-BA2")</f>
        <v>SOC-BA2</v>
      </c>
      <c r="D5395" s="234">
        <f>IFERROR(__xludf.DUMMYFUNCTION("""COMPUTED_VALUE"""),89.0)</f>
        <v>89</v>
      </c>
      <c r="E5395" s="237" t="str">
        <f>IFERROR(__xludf.DUMMYFUNCTION("""COMPUTED_VALUE"""),"LT0Q1L01WYFF1")</f>
        <v>LT0Q1L01WYFF1</v>
      </c>
      <c r="F5395" s="238" t="str">
        <f>IFERROR(__xludf.DUMMYFUNCTION("""COMPUTED_VALUE"""),"FRZ1J00,EKD6D95")</f>
        <v>FRZ1J00,EKD6D95</v>
      </c>
      <c r="G5395" s="238">
        <f>IFERROR(__xludf.DUMMYFUNCTION("""COMPUTED_VALUE"""),46043.25)</f>
        <v>46043.25</v>
      </c>
      <c r="H5395" s="238">
        <f>IFERROR(__xludf.DUMMYFUNCTION("""COMPUTED_VALUE"""),46043.66666666667)</f>
        <v>46043.66667</v>
      </c>
      <c r="I5395" s="237" t="str">
        <f t="shared" si="1"/>
        <v>Fora</v>
      </c>
      <c r="J5395" s="239">
        <v>419.99999998603016</v>
      </c>
    </row>
    <row r="5396">
      <c r="A5396" s="234" t="s">
        <v>1050</v>
      </c>
      <c r="B5396" s="238" t="str">
        <f>IFERROR(__xludf.DUMMYFUNCTION("""COMPUTED_VALUE"""),"SoC_PE_Jaboatão dos Guararapes")</f>
        <v>SoC_PE_Jaboatão dos Guararapes</v>
      </c>
      <c r="C5396" s="238" t="str">
        <f>IFERROR(__xludf.DUMMYFUNCTION("""COMPUTED_VALUE"""),"SOC-PE2")</f>
        <v>SOC-PE2</v>
      </c>
      <c r="D5396" s="234"/>
      <c r="E5396" s="237" t="str">
        <f>IFERROR(__xludf.DUMMYFUNCTION("""COMPUTED_VALUE"""),"LT1Q1K01X7SS1")</f>
        <v>LT1Q1K01X7SS1</v>
      </c>
      <c r="F5396" s="238" t="str">
        <f>IFERROR(__xludf.DUMMYFUNCTION("""COMPUTED_VALUE"""),"GCV0G53,SJI8E27")</f>
        <v>GCV0G53,SJI8E27</v>
      </c>
      <c r="G5396" s="238">
        <f>IFERROR(__xludf.DUMMYFUNCTION("""COMPUTED_VALUE"""),46043.04166666667)</f>
        <v>46043.04167</v>
      </c>
      <c r="H5396" s="238">
        <f>IFERROR(__xludf.DUMMYFUNCTION("""COMPUTED_VALUE"""),46043.33333333333)</f>
        <v>46043.33333</v>
      </c>
      <c r="I5396" s="237" t="str">
        <f t="shared" si="1"/>
        <v>Fora</v>
      </c>
      <c r="J5396" s="239">
        <v>119.99999999301508</v>
      </c>
    </row>
    <row r="5397">
      <c r="A5397" s="234" t="s">
        <v>1051</v>
      </c>
      <c r="B5397" s="238" t="str">
        <f>IFERROR(__xludf.DUMMYFUNCTION("""COMPUTED_VALUE"""),"LM Hub_SP_Jurubatuba")</f>
        <v>LM Hub_SP_Jurubatuba</v>
      </c>
      <c r="C5397" s="238" t="str">
        <f>IFERROR(__xludf.DUMMYFUNCTION("""COMPUTED_VALUE"""),"HUB-LSP-16")</f>
        <v>HUB-LSP-16</v>
      </c>
      <c r="D5397" s="234">
        <f>IFERROR(__xludf.DUMMYFUNCTION("""COMPUTED_VALUE"""),12.0)</f>
        <v>12</v>
      </c>
      <c r="E5397" s="237" t="str">
        <f>IFERROR(__xludf.DUMMYFUNCTION("""COMPUTED_VALUE"""),"LT0Q1L01WUHN1")</f>
        <v>LT0Q1L01WUHN1</v>
      </c>
      <c r="F5397" s="238" t="str">
        <f>IFERROR(__xludf.DUMMYFUNCTION("""COMPUTED_VALUE"""),"EFY1G61,CUG2A56")</f>
        <v>EFY1G61,CUG2A56</v>
      </c>
      <c r="G5397" s="238">
        <f>IFERROR(__xludf.DUMMYFUNCTION("""COMPUTED_VALUE"""),46043.25)</f>
        <v>46043.25</v>
      </c>
      <c r="H5397" s="238">
        <f>IFERROR(__xludf.DUMMYFUNCTION("""COMPUTED_VALUE"""),46043.33333333333)</f>
        <v>46043.33333</v>
      </c>
      <c r="I5397" s="237" t="str">
        <f t="shared" si="1"/>
        <v>Fora</v>
      </c>
      <c r="J5397" s="239">
        <v>119.99999999301508</v>
      </c>
    </row>
    <row r="5398">
      <c r="A5398" s="234" t="s">
        <v>1052</v>
      </c>
      <c r="B5398" s="238" t="str">
        <f>IFERROR(__xludf.DUMMYFUNCTION("""COMPUTED_VALUE"""),"LM Hub_SP_VilaGuilherme")</f>
        <v>LM Hub_SP_VilaGuilherme</v>
      </c>
      <c r="C5398" s="238" t="str">
        <f>IFERROR(__xludf.DUMMYFUNCTION("""COMPUTED_VALUE"""),"HUB-LSP-68")</f>
        <v>HUB-LSP-68</v>
      </c>
      <c r="D5398" s="234">
        <f>IFERROR(__xludf.DUMMYFUNCTION("""COMPUTED_VALUE"""),40.0)</f>
        <v>40</v>
      </c>
      <c r="E5398" s="237" t="str">
        <f>IFERROR(__xludf.DUMMYFUNCTION("""COMPUTED_VALUE"""),"LT0Q1L01WUHV1")</f>
        <v>LT0Q1L01WUHV1</v>
      </c>
      <c r="F5398" s="238" t="str">
        <f>IFERROR(__xludf.DUMMYFUNCTION("""COMPUTED_VALUE"""),"DAJ3E28")</f>
        <v>DAJ3E28</v>
      </c>
      <c r="G5398" s="238">
        <f>IFERROR(__xludf.DUMMYFUNCTION("""COMPUTED_VALUE"""),46043.25)</f>
        <v>46043.25</v>
      </c>
      <c r="H5398" s="238">
        <f>IFERROR(__xludf.DUMMYFUNCTION("""COMPUTED_VALUE"""),46043.33333333333)</f>
        <v>46043.33333</v>
      </c>
      <c r="I5398" s="237" t="str">
        <f t="shared" si="1"/>
        <v>Fora</v>
      </c>
      <c r="J5398" s="239">
        <v>119.99999999301508</v>
      </c>
    </row>
    <row r="5399">
      <c r="A5399" s="234" t="s">
        <v>6247</v>
      </c>
      <c r="B5399" s="238" t="str">
        <f>IFERROR(__xludf.DUMMYFUNCTION("""COMPUTED_VALUE"""),"LM Hub_SP_Embu das Artes")</f>
        <v>LM Hub_SP_Embu das Artes</v>
      </c>
      <c r="C5399" s="238" t="str">
        <f>IFERROR(__xludf.DUMMYFUNCTION("""COMPUTED_VALUE"""),"HUB-LSP-36")</f>
        <v>HUB-LSP-36</v>
      </c>
      <c r="D5399" s="234">
        <f>IFERROR(__xludf.DUMMYFUNCTION("""COMPUTED_VALUE"""),16.0)</f>
        <v>16</v>
      </c>
      <c r="E5399" s="237" t="str">
        <f>IFERROR(__xludf.DUMMYFUNCTION("""COMPUTED_VALUE"""),"LT0Q1L01WUI91")</f>
        <v>LT0Q1L01WUI91</v>
      </c>
      <c r="F5399" s="238" t="str">
        <f>IFERROR(__xludf.DUMMYFUNCTION("""COMPUTED_VALUE"""),"UFL4C38")</f>
        <v>UFL4C38</v>
      </c>
      <c r="G5399" s="238">
        <f>IFERROR(__xludf.DUMMYFUNCTION("""COMPUTED_VALUE"""),46043.25)</f>
        <v>46043.25</v>
      </c>
      <c r="H5399" s="238">
        <f>IFERROR(__xludf.DUMMYFUNCTION("""COMPUTED_VALUE"""),46043.33333333333)</f>
        <v>46043.33333</v>
      </c>
      <c r="I5399" s="237" t="str">
        <f t="shared" si="1"/>
        <v>Fora</v>
      </c>
      <c r="J5399" s="239">
        <v>600.0000000069849</v>
      </c>
    </row>
    <row r="5400">
      <c r="A5400" s="234" t="s">
        <v>1055</v>
      </c>
      <c r="B5400" s="238" t="str">
        <f>IFERROR(__xludf.DUMMYFUNCTION("""COMPUTED_VALUE"""),"SoC_RS_Gravataí_02")</f>
        <v>SoC_RS_Gravataí_02</v>
      </c>
      <c r="C5400" s="238" t="str">
        <f>IFERROR(__xludf.DUMMYFUNCTION("""COMPUTED_VALUE"""),"SOC-RS2")</f>
        <v>SOC-RS2</v>
      </c>
      <c r="D5400" s="234">
        <f>IFERROR(__xludf.DUMMYFUNCTION("""COMPUTED_VALUE"""),102.0)</f>
        <v>102</v>
      </c>
      <c r="E5400" s="237" t="str">
        <f>IFERROR(__xludf.DUMMYFUNCTION("""COMPUTED_VALUE"""),"LT0Q1K01WYT01")</f>
        <v>LT0Q1K01WYT01</v>
      </c>
      <c r="F5400" s="238" t="str">
        <f>IFERROR(__xludf.DUMMYFUNCTION("""COMPUTED_VALUE"""),"EWU2H29,BPQ7B46")</f>
        <v>EWU2H29,BPQ7B46</v>
      </c>
      <c r="G5400" s="238">
        <f>IFERROR(__xludf.DUMMYFUNCTION("""COMPUTED_VALUE"""),46043.0)</f>
        <v>46043</v>
      </c>
      <c r="H5400" s="238">
        <f>IFERROR(__xludf.DUMMYFUNCTION("""COMPUTED_VALUE"""),46043.41666666667)</f>
        <v>46043.41667</v>
      </c>
      <c r="I5400" s="237" t="str">
        <f t="shared" si="1"/>
        <v>Fora</v>
      </c>
      <c r="J5400" s="239">
        <v>538.9999999967404</v>
      </c>
    </row>
    <row r="5401">
      <c r="A5401" s="234" t="s">
        <v>1056</v>
      </c>
      <c r="B5401" s="238" t="str">
        <f>IFERROR(__xludf.DUMMYFUNCTION("""COMPUTED_VALUE"""),"SoC_SC_Itajaí")</f>
        <v>SoC_SC_Itajaí</v>
      </c>
      <c r="C5401" s="238" t="str">
        <f>IFERROR(__xludf.DUMMYFUNCTION("""COMPUTED_VALUE"""),"SOC-SC1")</f>
        <v>SOC-SC1</v>
      </c>
      <c r="D5401" s="234">
        <f>IFERROR(__xludf.DUMMYFUNCTION("""COMPUTED_VALUE"""),101.0)</f>
        <v>101</v>
      </c>
      <c r="E5401" s="237" t="str">
        <f>IFERROR(__xludf.DUMMYFUNCTION("""COMPUTED_VALUE"""),"LT0Q1K01WXHL2")</f>
        <v>LT0Q1K01WXHL2</v>
      </c>
      <c r="F5401" s="238" t="str">
        <f>IFERROR(__xludf.DUMMYFUNCTION("""COMPUTED_VALUE"""),"OPN3H95,IPN8J87")</f>
        <v>OPN3H95,IPN8J87</v>
      </c>
      <c r="G5401" s="238">
        <f>IFERROR(__xludf.DUMMYFUNCTION("""COMPUTED_VALUE"""),46043.084027777775)</f>
        <v>46043.08403</v>
      </c>
      <c r="H5401" s="238">
        <f>IFERROR(__xludf.DUMMYFUNCTION("""COMPUTED_VALUE"""),46043.45833333333)</f>
        <v>46043.45833</v>
      </c>
      <c r="I5401" s="237" t="str">
        <f t="shared" si="1"/>
        <v>Fora</v>
      </c>
      <c r="J5401" s="239">
        <v>479.9999999930151</v>
      </c>
    </row>
    <row r="5402">
      <c r="A5402" s="234" t="s">
        <v>1057</v>
      </c>
      <c r="B5402" s="238" t="str">
        <f>IFERROR(__xludf.DUMMYFUNCTION("""COMPUTED_VALUE"""),"SoC_GO_Goiânia_02")</f>
        <v>SoC_GO_Goiânia_02</v>
      </c>
      <c r="C5402" s="238" t="str">
        <f>IFERROR(__xludf.DUMMYFUNCTION("""COMPUTED_VALUE"""),"SOC-GO2")</f>
        <v>SOC-GO2</v>
      </c>
      <c r="D5402" s="234">
        <f>IFERROR(__xludf.DUMMYFUNCTION("""COMPUTED_VALUE"""),111.0)</f>
        <v>111</v>
      </c>
      <c r="E5402" s="237" t="str">
        <f>IFERROR(__xludf.DUMMYFUNCTION("""COMPUTED_VALUE"""),"LT0Q1K01WYQT2")</f>
        <v>LT0Q1K01WYQT2</v>
      </c>
      <c r="F5402" s="238" t="str">
        <f>IFERROR(__xludf.DUMMYFUNCTION("""COMPUTED_VALUE"""),"CUE4I17,SWF2J67")</f>
        <v>CUE4I17,SWF2J67</v>
      </c>
      <c r="G5402" s="238">
        <f>IFERROR(__xludf.DUMMYFUNCTION("""COMPUTED_VALUE"""),46043.16666666667)</f>
        <v>46043.16667</v>
      </c>
      <c r="H5402" s="238">
        <f>IFERROR(__xludf.DUMMYFUNCTION("""COMPUTED_VALUE"""),46043.5)</f>
        <v>46043.5</v>
      </c>
      <c r="I5402" s="237" t="str">
        <f t="shared" si="1"/>
        <v>Fora</v>
      </c>
      <c r="J5402" s="239">
        <v>479.00000000023283</v>
      </c>
    </row>
    <row r="5403">
      <c r="A5403" s="234" t="s">
        <v>1058</v>
      </c>
      <c r="B5403" s="238" t="str">
        <f>IFERROR(__xludf.DUMMYFUNCTION("""COMPUTED_VALUE"""),"SoC_PE_Jaboatão dos Guararapes")</f>
        <v>SoC_PE_Jaboatão dos Guararapes</v>
      </c>
      <c r="C5403" s="238" t="str">
        <f>IFERROR(__xludf.DUMMYFUNCTION("""COMPUTED_VALUE"""),"SOC-PE2")</f>
        <v>SOC-PE2</v>
      </c>
      <c r="D5403" s="234">
        <f>IFERROR(__xludf.DUMMYFUNCTION("""COMPUTED_VALUE"""),98.0)</f>
        <v>98</v>
      </c>
      <c r="E5403" s="237" t="str">
        <f>IFERROR(__xludf.DUMMYFUNCTION("""COMPUTED_VALUE"""),"LT0Q1K01WYCU3")</f>
        <v>LT0Q1K01WYCU3</v>
      </c>
      <c r="F5403" s="238" t="str">
        <f>IFERROR(__xludf.DUMMYFUNCTION("""COMPUTED_VALUE"""),"MLV8A62,EZD8I44")</f>
        <v>MLV8A62,EZD8I44</v>
      </c>
      <c r="G5403" s="238">
        <f>IFERROR(__xludf.DUMMYFUNCTION("""COMPUTED_VALUE"""),46043.16736111111)</f>
        <v>46043.16736</v>
      </c>
      <c r="H5403" s="238">
        <f>IFERROR(__xludf.DUMMYFUNCTION("""COMPUTED_VALUE"""),46043.5)</f>
        <v>46043.5</v>
      </c>
      <c r="I5403" s="237" t="str">
        <f t="shared" si="1"/>
        <v>Fora</v>
      </c>
      <c r="J5403" s="239">
        <v>540.0</v>
      </c>
    </row>
    <row r="5404">
      <c r="A5404" s="234" t="s">
        <v>6248</v>
      </c>
      <c r="B5404" s="238" t="str">
        <f>IFERROR(__xludf.DUMMYFUNCTION("""COMPUTED_VALUE"""),"SoC_PE_Jaboatão dos Guararapes")</f>
        <v>SoC_PE_Jaboatão dos Guararapes</v>
      </c>
      <c r="C5404" s="238" t="str">
        <f>IFERROR(__xludf.DUMMYFUNCTION("""COMPUTED_VALUE"""),"SOC-PE2")</f>
        <v>SOC-PE2</v>
      </c>
      <c r="D5404" s="234"/>
      <c r="E5404" s="237" t="str">
        <f>IFERROR(__xludf.DUMMYFUNCTION("""COMPUTED_VALUE"""),"LT0Q1K01WYCB3")</f>
        <v>LT0Q1K01WYCB3</v>
      </c>
      <c r="F5404" s="238" t="str">
        <f>IFERROR(__xludf.DUMMYFUNCTION("""COMPUTED_VALUE"""),"EWJ4880,RLI5H60")</f>
        <v>EWJ4880,RLI5H60</v>
      </c>
      <c r="G5404" s="238">
        <f>IFERROR(__xludf.DUMMYFUNCTION("""COMPUTED_VALUE"""),46043.16666666667)</f>
        <v>46043.16667</v>
      </c>
      <c r="H5404" s="238">
        <f>IFERROR(__xludf.DUMMYFUNCTION("""COMPUTED_VALUE"""),46043.54166666667)</f>
        <v>46043.54167</v>
      </c>
      <c r="I5404" s="237" t="str">
        <f t="shared" si="1"/>
        <v>Fora</v>
      </c>
      <c r="J5404" s="239">
        <v>539.0000000072177</v>
      </c>
    </row>
    <row r="5405">
      <c r="A5405" s="234" t="s">
        <v>1059</v>
      </c>
      <c r="B5405" s="238" t="str">
        <f>IFERROR(__xludf.DUMMYFUNCTION("""COMPUTED_VALUE"""),"SoC_PE_Jaboatão dos Guararapes")</f>
        <v>SoC_PE_Jaboatão dos Guararapes</v>
      </c>
      <c r="C5405" s="238" t="str">
        <f>IFERROR(__xludf.DUMMYFUNCTION("""COMPUTED_VALUE"""),"SOC-PE2")</f>
        <v>SOC-PE2</v>
      </c>
      <c r="D5405" s="234">
        <f>IFERROR(__xludf.DUMMYFUNCTION("""COMPUTED_VALUE"""),99.0)</f>
        <v>99</v>
      </c>
      <c r="E5405" s="237" t="str">
        <f>IFERROR(__xludf.DUMMYFUNCTION("""COMPUTED_VALUE"""),"LT0Q1K01WYCR2")</f>
        <v>LT0Q1K01WYCR2</v>
      </c>
      <c r="F5405" s="238" t="str">
        <f>IFERROR(__xludf.DUMMYFUNCTION("""COMPUTED_VALUE"""),"HIJ7G75,APK7J99")</f>
        <v>HIJ7G75,APK7J99</v>
      </c>
      <c r="G5405" s="238">
        <f>IFERROR(__xludf.DUMMYFUNCTION("""COMPUTED_VALUE"""),46043.16736111111)</f>
        <v>46043.16736</v>
      </c>
      <c r="H5405" s="238">
        <f>IFERROR(__xludf.DUMMYFUNCTION("""COMPUTED_VALUE"""),46043.54166666667)</f>
        <v>46043.54167</v>
      </c>
      <c r="I5405" s="237" t="str">
        <f t="shared" si="1"/>
        <v>Fora</v>
      </c>
      <c r="J5405" s="239">
        <v>119.99999999301508</v>
      </c>
    </row>
    <row r="5406">
      <c r="A5406" s="234" t="s">
        <v>1060</v>
      </c>
      <c r="B5406" s="238" t="str">
        <f>IFERROR(__xludf.DUMMYFUNCTION("""COMPUTED_VALUE"""),"LM Hub_PR_Londrina_Parque ABC II")</f>
        <v>LM Hub_PR_Londrina_Parque ABC II</v>
      </c>
      <c r="C5406" s="238" t="str">
        <f>IFERROR(__xludf.DUMMYFUNCTION("""COMPUTED_VALUE"""),"HUB-LPR-20")</f>
        <v>HUB-LPR-20</v>
      </c>
      <c r="D5406" s="234">
        <f>IFERROR(__xludf.DUMMYFUNCTION("""COMPUTED_VALUE"""),6.0)</f>
        <v>6</v>
      </c>
      <c r="E5406" s="237" t="str">
        <f>IFERROR(__xludf.DUMMYFUNCTION("""COMPUTED_VALUE"""),"LT0Q1L01WZWO1")</f>
        <v>LT0Q1L01WZWO1</v>
      </c>
      <c r="F5406" s="238" t="str">
        <f>IFERROR(__xludf.DUMMYFUNCTION("""COMPUTED_VALUE"""),"SDU9C60,BEX7I50")</f>
        <v>SDU9C60,BEX7I50</v>
      </c>
      <c r="G5406" s="238">
        <f>IFERROR(__xludf.DUMMYFUNCTION("""COMPUTED_VALUE"""),46043.5)</f>
        <v>46043.5</v>
      </c>
      <c r="H5406" s="238">
        <f>IFERROR(__xludf.DUMMYFUNCTION("""COMPUTED_VALUE"""),46043.58333333333)</f>
        <v>46043.58333</v>
      </c>
      <c r="I5406" s="237" t="str">
        <f t="shared" si="1"/>
        <v>Fora</v>
      </c>
      <c r="J5406" s="239">
        <v>596.0000000044238</v>
      </c>
    </row>
    <row r="5407">
      <c r="A5407" s="234" t="s">
        <v>1063</v>
      </c>
      <c r="B5407" s="238" t="str">
        <f>IFERROR(__xludf.DUMMYFUNCTION("""COMPUTED_VALUE"""),"SoC_MG_Betim")</f>
        <v>SoC_MG_Betim</v>
      </c>
      <c r="C5407" s="238" t="str">
        <f>IFERROR(__xludf.DUMMYFUNCTION("""COMPUTED_VALUE"""),"SOC-MG2")</f>
        <v>SOC-MG2</v>
      </c>
      <c r="D5407" s="234">
        <f>IFERROR(__xludf.DUMMYFUNCTION("""COMPUTED_VALUE"""),91.0)</f>
        <v>91</v>
      </c>
      <c r="E5407" s="237" t="str">
        <f>IFERROR(__xludf.DUMMYFUNCTION("""COMPUTED_VALUE"""),"LT0Q1L01WT7I1")</f>
        <v>LT0Q1L01WT7I1</v>
      </c>
      <c r="F5407" s="238" t="str">
        <f>IFERROR(__xludf.DUMMYFUNCTION("""COMPUTED_VALUE"""),"STO4D24,SWV4F52")</f>
        <v>STO4D24,SWV4F52</v>
      </c>
      <c r="G5407" s="238">
        <f>IFERROR(__xludf.DUMMYFUNCTION("""COMPUTED_VALUE"""),46043.25277777778)</f>
        <v>46043.25278</v>
      </c>
      <c r="H5407" s="238">
        <f>IFERROR(__xludf.DUMMYFUNCTION("""COMPUTED_VALUE"""),46043.66666666667)</f>
        <v>46043.66667</v>
      </c>
      <c r="I5407" s="237" t="str">
        <f t="shared" si="1"/>
        <v>Fora</v>
      </c>
      <c r="J5407" s="239">
        <v>599.0000000037253</v>
      </c>
    </row>
    <row r="5408">
      <c r="A5408" s="234" t="s">
        <v>1064</v>
      </c>
      <c r="B5408" s="238" t="str">
        <f>IFERROR(__xludf.DUMMYFUNCTION("""COMPUTED_VALUE"""),"SoC_RS_Gravataí_02")</f>
        <v>SoC_RS_Gravataí_02</v>
      </c>
      <c r="C5408" s="238" t="str">
        <f>IFERROR(__xludf.DUMMYFUNCTION("""COMPUTED_VALUE"""),"SOC-RS2")</f>
        <v>SOC-RS2</v>
      </c>
      <c r="D5408" s="234">
        <f>IFERROR(__xludf.DUMMYFUNCTION("""COMPUTED_VALUE"""),93.0)</f>
        <v>93</v>
      </c>
      <c r="E5408" s="237" t="str">
        <f>IFERROR(__xludf.DUMMYFUNCTION("""COMPUTED_VALUE"""),"LT0Q1L01WYSM2")</f>
        <v>LT0Q1L01WYSM2</v>
      </c>
      <c r="F5408" s="238" t="str">
        <f>IFERROR(__xludf.DUMMYFUNCTION("""COMPUTED_VALUE"""),"IYW0B61,IXJ5H12")</f>
        <v>IYW0B61,IXJ5H12</v>
      </c>
      <c r="G5408" s="238">
        <f>IFERROR(__xludf.DUMMYFUNCTION("""COMPUTED_VALUE"""),46043.25069444445)</f>
        <v>46043.25069</v>
      </c>
      <c r="H5408" s="238">
        <f>IFERROR(__xludf.DUMMYFUNCTION("""COMPUTED_VALUE"""),46043.66666666667)</f>
        <v>46043.66667</v>
      </c>
      <c r="I5408" s="237" t="str">
        <f t="shared" si="1"/>
        <v>Fora</v>
      </c>
      <c r="J5408" s="239">
        <v>119.99999999301508</v>
      </c>
    </row>
    <row r="5409">
      <c r="A5409" s="234" t="s">
        <v>6249</v>
      </c>
      <c r="B5409" s="238" t="str">
        <f>IFERROR(__xludf.DUMMYFUNCTION("""COMPUTED_VALUE"""),"LM Hub_PR_Curitiba")</f>
        <v>LM Hub_PR_Curitiba</v>
      </c>
      <c r="C5409" s="238" t="str">
        <f>IFERROR(__xludf.DUMMYFUNCTION("""COMPUTED_VALUE"""),"HUB-LPR-16")</f>
        <v>HUB-LPR-16</v>
      </c>
      <c r="D5409" s="234">
        <f>IFERROR(__xludf.DUMMYFUNCTION("""COMPUTED_VALUE"""),17.0)</f>
        <v>17</v>
      </c>
      <c r="E5409" s="237" t="str">
        <f>IFERROR(__xludf.DUMMYFUNCTION("""COMPUTED_VALUE"""),"LT0Q1L01WTIN1")</f>
        <v>LT0Q1L01WTIN1</v>
      </c>
      <c r="F5409" s="238" t="str">
        <f>IFERROR(__xludf.DUMMYFUNCTION("""COMPUTED_VALUE"""),"FLG8F16")</f>
        <v>FLG8F16</v>
      </c>
      <c r="G5409" s="238">
        <f>IFERROR(__xludf.DUMMYFUNCTION("""COMPUTED_VALUE"""),46043.875)</f>
        <v>46043.875</v>
      </c>
      <c r="H5409" s="238">
        <f>IFERROR(__xludf.DUMMYFUNCTION("""COMPUTED_VALUE"""),46043.95833333333)</f>
        <v>46043.95833</v>
      </c>
      <c r="I5409" s="237" t="str">
        <f t="shared" si="1"/>
        <v>Fora</v>
      </c>
      <c r="J5409" s="239">
        <v>119.99999999301508</v>
      </c>
    </row>
    <row r="5410">
      <c r="A5410" s="234" t="s">
        <v>6250</v>
      </c>
      <c r="B5410" s="238" t="str">
        <f>IFERROR(__xludf.DUMMYFUNCTION("""COMPUTED_VALUE"""),"LM Hub_SP_Embu das Artes_02")</f>
        <v>LM Hub_SP_Embu das Artes_02</v>
      </c>
      <c r="C5410" s="238" t="str">
        <f>IFERROR(__xludf.DUMMYFUNCTION("""COMPUTED_VALUE"""),"HUB-LSP-96")</f>
        <v>HUB-LSP-96</v>
      </c>
      <c r="D5410" s="234">
        <f>IFERROR(__xludf.DUMMYFUNCTION("""COMPUTED_VALUE"""),22.0)</f>
        <v>22</v>
      </c>
      <c r="E5410" s="237" t="str">
        <f>IFERROR(__xludf.DUMMYFUNCTION("""COMPUTED_VALUE"""),"LT0Q1L01WWMS1")</f>
        <v>LT0Q1L01WWMS1</v>
      </c>
      <c r="F5410" s="238" t="str">
        <f>IFERROR(__xludf.DUMMYFUNCTION("""COMPUTED_VALUE"""),"FUF6H46,NVV7D82")</f>
        <v>FUF6H46,NVV7D82</v>
      </c>
      <c r="G5410" s="238">
        <f>IFERROR(__xludf.DUMMYFUNCTION("""COMPUTED_VALUE"""),46043.875)</f>
        <v>46043.875</v>
      </c>
      <c r="H5410" s="238">
        <f>IFERROR(__xludf.DUMMYFUNCTION("""COMPUTED_VALUE"""),46043.95833333333)</f>
        <v>46043.95833</v>
      </c>
      <c r="I5410" s="237" t="str">
        <f t="shared" si="1"/>
        <v>Fora</v>
      </c>
      <c r="J5410" s="239">
        <v>118.99999998975545</v>
      </c>
    </row>
    <row r="5411">
      <c r="A5411" s="234" t="s">
        <v>6251</v>
      </c>
      <c r="B5411" s="238" t="str">
        <f>IFERROR(__xludf.DUMMYFUNCTION("""COMPUTED_VALUE"""),"LM Hub_SP_Taubaté")</f>
        <v>LM Hub_SP_Taubaté</v>
      </c>
      <c r="C5411" s="238" t="str">
        <f>IFERROR(__xludf.DUMMYFUNCTION("""COMPUTED_VALUE"""),"HUB-LSP-08")</f>
        <v>HUB-LSP-08</v>
      </c>
      <c r="D5411" s="234">
        <f>IFERROR(__xludf.DUMMYFUNCTION("""COMPUTED_VALUE"""),47.0)</f>
        <v>47</v>
      </c>
      <c r="E5411" s="237" t="str">
        <f>IFERROR(__xludf.DUMMYFUNCTION("""COMPUTED_VALUE"""),"LT0Q1L01X2NB1")</f>
        <v>LT0Q1L01X2NB1</v>
      </c>
      <c r="F5411" s="238" t="str">
        <f>IFERROR(__xludf.DUMMYFUNCTION("""COMPUTED_VALUE"""),"DVA4185,FWZ1H59")</f>
        <v>DVA4185,FWZ1H59</v>
      </c>
      <c r="G5411" s="238">
        <f>IFERROR(__xludf.DUMMYFUNCTION("""COMPUTED_VALUE"""),46043.87569444445)</f>
        <v>46043.87569</v>
      </c>
      <c r="H5411" s="238">
        <f>IFERROR(__xludf.DUMMYFUNCTION("""COMPUTED_VALUE"""),46043.95833333333)</f>
        <v>46043.95833</v>
      </c>
      <c r="I5411" s="237" t="str">
        <f t="shared" si="1"/>
        <v>Fora</v>
      </c>
      <c r="J5411" s="239">
        <v>59.99999998603016</v>
      </c>
    </row>
    <row r="5412">
      <c r="A5412" s="234" t="s">
        <v>6252</v>
      </c>
      <c r="B5412" s="238" t="str">
        <f>IFERROR(__xludf.DUMMYFUNCTION("""COMPUTED_VALUE"""),"LM Hub_SP_Itaqua_Zimba")</f>
        <v>LM Hub_SP_Itaqua_Zimba</v>
      </c>
      <c r="C5412" s="238" t="str">
        <f>IFERROR(__xludf.DUMMYFUNCTION("""COMPUTED_VALUE"""),"HUB-LSP-74")</f>
        <v>HUB-LSP-74</v>
      </c>
      <c r="D5412" s="234">
        <f>IFERROR(__xludf.DUMMYFUNCTION("""COMPUTED_VALUE"""),6.0)</f>
        <v>6</v>
      </c>
      <c r="E5412" s="237" t="str">
        <f>IFERROR(__xludf.DUMMYFUNCTION("""COMPUTED_VALUE"""),"LT1Q1L01X8IX1")</f>
        <v>LT1Q1L01X8IX1</v>
      </c>
      <c r="F5412" s="238" t="str">
        <f>IFERROR(__xludf.DUMMYFUNCTION("""COMPUTED_VALUE"""),"EKH3880")</f>
        <v>EKH3880</v>
      </c>
      <c r="G5412" s="238">
        <f>IFERROR(__xludf.DUMMYFUNCTION("""COMPUTED_VALUE"""),46043.91666666667)</f>
        <v>46043.91667</v>
      </c>
      <c r="H5412" s="238">
        <f>IFERROR(__xludf.DUMMYFUNCTION("""COMPUTED_VALUE"""),46043.95833333333)</f>
        <v>46043.95833</v>
      </c>
      <c r="I5412" s="237" t="str">
        <f t="shared" si="1"/>
        <v>Fora</v>
      </c>
      <c r="J5412" s="239">
        <v>59.99999998603016</v>
      </c>
    </row>
    <row r="5413">
      <c r="A5413" s="234" t="s">
        <v>6253</v>
      </c>
      <c r="B5413" s="238" t="str">
        <f>IFERROR(__xludf.DUMMYFUNCTION("""COMPUTED_VALUE"""),"LM Hub_SP_Mooca_02")</f>
        <v>LM Hub_SP_Mooca_02</v>
      </c>
      <c r="C5413" s="238" t="str">
        <f>IFERROR(__xludf.DUMMYFUNCTION("""COMPUTED_VALUE"""),"HUB-LSP-94")</f>
        <v>HUB-LSP-94</v>
      </c>
      <c r="D5413" s="234">
        <f>IFERROR(__xludf.DUMMYFUNCTION("""COMPUTED_VALUE"""),48.0)</f>
        <v>48</v>
      </c>
      <c r="E5413" s="237" t="str">
        <f>IFERROR(__xludf.DUMMYFUNCTION("""COMPUTED_VALUE"""),"LT1Q1L01X9741")</f>
        <v>LT1Q1L01X9741</v>
      </c>
      <c r="F5413" s="238" t="str">
        <f>IFERROR(__xludf.DUMMYFUNCTION("""COMPUTED_VALUE"""),"DAJ3E28")</f>
        <v>DAJ3E28</v>
      </c>
      <c r="G5413" s="238">
        <f>IFERROR(__xludf.DUMMYFUNCTION("""COMPUTED_VALUE"""),46043.91666666667)</f>
        <v>46043.91667</v>
      </c>
      <c r="H5413" s="238">
        <f>IFERROR(__xludf.DUMMYFUNCTION("""COMPUTED_VALUE"""),46043.95833333333)</f>
        <v>46043.95833</v>
      </c>
      <c r="I5413" s="237" t="str">
        <f t="shared" si="1"/>
        <v>Fora</v>
      </c>
      <c r="J5413" s="239">
        <v>120.00000001396984</v>
      </c>
    </row>
    <row r="5414">
      <c r="A5414" s="234" t="s">
        <v>6254</v>
      </c>
      <c r="B5414" s="238" t="str">
        <f>IFERROR(__xludf.DUMMYFUNCTION("""COMPUTED_VALUE"""),"LM Hub_RJ_Jacarepaguá")</f>
        <v>LM Hub_RJ_Jacarepaguá</v>
      </c>
      <c r="C5414" s="238" t="str">
        <f>IFERROR(__xludf.DUMMYFUNCTION("""COMPUTED_VALUE"""),"HUB-LRJ-29")</f>
        <v>HUB-LRJ-29</v>
      </c>
      <c r="D5414" s="234">
        <f>IFERROR(__xludf.DUMMYFUNCTION("""COMPUTED_VALUE"""),9.0)</f>
        <v>9</v>
      </c>
      <c r="E5414" s="237" t="str">
        <f>IFERROR(__xludf.DUMMYFUNCTION("""COMPUTED_VALUE"""),"LT0Q1L01WYNN1")</f>
        <v>LT0Q1L01WYNN1</v>
      </c>
      <c r="F5414" s="238" t="str">
        <f>IFERROR(__xludf.DUMMYFUNCTION("""COMPUTED_VALUE"""),"TBX6D09")</f>
        <v>TBX6D09</v>
      </c>
      <c r="G5414" s="238">
        <f>IFERROR(__xludf.DUMMYFUNCTION("""COMPUTED_VALUE"""),46043.89583333333)</f>
        <v>46043.89583</v>
      </c>
      <c r="H5414" s="238">
        <f>IFERROR(__xludf.DUMMYFUNCTION("""COMPUTED_VALUE"""),46043.97916666667)</f>
        <v>46043.97917</v>
      </c>
      <c r="I5414" s="237" t="str">
        <f t="shared" si="1"/>
        <v>Fora</v>
      </c>
      <c r="J5414" s="239">
        <v>120.00000001396984</v>
      </c>
    </row>
    <row r="5415">
      <c r="A5415" s="234" t="s">
        <v>6255</v>
      </c>
      <c r="B5415" s="238" t="str">
        <f>IFERROR(__xludf.DUMMYFUNCTION("""COMPUTED_VALUE"""),"LM Hub_SP_Santos_Praia Grande")</f>
        <v>LM Hub_SP_Santos_Praia Grande</v>
      </c>
      <c r="C5415" s="238" t="str">
        <f>IFERROR(__xludf.DUMMYFUNCTION("""COMPUTED_VALUE"""),"HUB-LSP-09")</f>
        <v>HUB-LSP-09</v>
      </c>
      <c r="D5415" s="234">
        <f>IFERROR(__xludf.DUMMYFUNCTION("""COMPUTED_VALUE"""),35.0)</f>
        <v>35</v>
      </c>
      <c r="E5415" s="237" t="str">
        <f>IFERROR(__xludf.DUMMYFUNCTION("""COMPUTED_VALUE"""),"LT0Q1L01WTGG1")</f>
        <v>LT0Q1L01WTGG1</v>
      </c>
      <c r="F5415" s="238" t="str">
        <f>IFERROR(__xludf.DUMMYFUNCTION("""COMPUTED_VALUE"""),"SWJ8J34,SXN5B19")</f>
        <v>SWJ8J34,SXN5B19</v>
      </c>
      <c r="G5415" s="238">
        <f>IFERROR(__xludf.DUMMYFUNCTION("""COMPUTED_VALUE"""),46043.89583333333)</f>
        <v>46043.89583</v>
      </c>
      <c r="H5415" s="238">
        <f>IFERROR(__xludf.DUMMYFUNCTION("""COMPUTED_VALUE"""),46043.97916666667)</f>
        <v>46043.97917</v>
      </c>
      <c r="I5415" s="237" t="str">
        <f t="shared" si="1"/>
        <v>Fora</v>
      </c>
      <c r="J5415" s="239">
        <v>120.00000001396984</v>
      </c>
    </row>
    <row r="5416">
      <c r="A5416" s="234" t="s">
        <v>6256</v>
      </c>
      <c r="B5416" s="238" t="str">
        <f>IFERROR(__xludf.DUMMYFUNCTION("""COMPUTED_VALUE"""),"LM Hub_SP_São José dos Campos")</f>
        <v>LM Hub_SP_São José dos Campos</v>
      </c>
      <c r="C5416" s="238" t="str">
        <f>IFERROR(__xludf.DUMMYFUNCTION("""COMPUTED_VALUE"""),"HUB-LSP-04")</f>
        <v>HUB-LSP-04</v>
      </c>
      <c r="D5416" s="234">
        <f>IFERROR(__xludf.DUMMYFUNCTION("""COMPUTED_VALUE"""),28.0)</f>
        <v>28</v>
      </c>
      <c r="E5416" s="237" t="str">
        <f>IFERROR(__xludf.DUMMYFUNCTION("""COMPUTED_VALUE"""),"LT0Q1L01X2NP1")</f>
        <v>LT0Q1L01X2NP1</v>
      </c>
      <c r="F5416" s="238" t="str">
        <f>IFERROR(__xludf.DUMMYFUNCTION("""COMPUTED_VALUE"""),"TIR7J78")</f>
        <v>TIR7J78</v>
      </c>
      <c r="G5416" s="238">
        <f>IFERROR(__xludf.DUMMYFUNCTION("""COMPUTED_VALUE"""),46043.89583333333)</f>
        <v>46043.89583</v>
      </c>
      <c r="H5416" s="238">
        <f>IFERROR(__xludf.DUMMYFUNCTION("""COMPUTED_VALUE"""),46043.97916666667)</f>
        <v>46043.97917</v>
      </c>
      <c r="I5416" s="237" t="str">
        <f t="shared" si="1"/>
        <v>Fora</v>
      </c>
      <c r="J5416" s="239">
        <v>120.00000001396984</v>
      </c>
    </row>
    <row r="5417">
      <c r="A5417" s="234" t="s">
        <v>6257</v>
      </c>
      <c r="B5417" s="238" t="str">
        <f>IFERROR(__xludf.DUMMYFUNCTION("""COMPUTED_VALUE"""),"LM Hub_SP_São Paulo_Lapa")</f>
        <v>LM Hub_SP_São Paulo_Lapa</v>
      </c>
      <c r="C5417" s="238" t="str">
        <f>IFERROR(__xludf.DUMMYFUNCTION("""COMPUTED_VALUE"""),"HUB-LSP-15")</f>
        <v>HUB-LSP-15</v>
      </c>
      <c r="D5417" s="234">
        <f>IFERROR(__xludf.DUMMYFUNCTION("""COMPUTED_VALUE"""),26.0)</f>
        <v>26</v>
      </c>
      <c r="E5417" s="237" t="str">
        <f>IFERROR(__xludf.DUMMYFUNCTION("""COMPUTED_VALUE"""),"LT0Q1L01WTCV1")</f>
        <v>LT0Q1L01WTCV1</v>
      </c>
      <c r="F5417" s="238" t="str">
        <f>IFERROR(__xludf.DUMMYFUNCTION("""COMPUTED_VALUE"""),"DVA3A62,DBC7D61")</f>
        <v>DVA3A62,DBC7D61</v>
      </c>
      <c r="G5417" s="238">
        <f>IFERROR(__xludf.DUMMYFUNCTION("""COMPUTED_VALUE"""),46043.89583333333)</f>
        <v>46043.89583</v>
      </c>
      <c r="H5417" s="238">
        <f>IFERROR(__xludf.DUMMYFUNCTION("""COMPUTED_VALUE"""),46043.97916666667)</f>
        <v>46043.97917</v>
      </c>
      <c r="I5417" s="237" t="str">
        <f t="shared" si="1"/>
        <v>Fora</v>
      </c>
      <c r="J5417" s="239">
        <v>119.00000001071021</v>
      </c>
    </row>
    <row r="5418">
      <c r="A5418" s="234" t="s">
        <v>6258</v>
      </c>
      <c r="B5418" s="238" t="str">
        <f>IFERROR(__xludf.DUMMYFUNCTION("""COMPUTED_VALUE"""),"LM Hub_SP_Itaqua_Zimba")</f>
        <v>LM Hub_SP_Itaqua_Zimba</v>
      </c>
      <c r="C5418" s="238" t="str">
        <f>IFERROR(__xludf.DUMMYFUNCTION("""COMPUTED_VALUE"""),"HUB-LSP-74")</f>
        <v>HUB-LSP-74</v>
      </c>
      <c r="D5418" s="234">
        <f>IFERROR(__xludf.DUMMYFUNCTION("""COMPUTED_VALUE"""),32.0)</f>
        <v>32</v>
      </c>
      <c r="E5418" s="237" t="str">
        <f>IFERROR(__xludf.DUMMYFUNCTION("""COMPUTED_VALUE"""),"LT0Q1L01X2N01")</f>
        <v>LT0Q1L01X2N01</v>
      </c>
      <c r="F5418" s="238" t="str">
        <f>IFERROR(__xludf.DUMMYFUNCTION("""COMPUTED_VALUE"""),"MEZ3B05,MCK9433")</f>
        <v>MEZ3B05,MCK9433</v>
      </c>
      <c r="G5418" s="238">
        <f>IFERROR(__xludf.DUMMYFUNCTION("""COMPUTED_VALUE"""),46043.896527777775)</f>
        <v>46043.89653</v>
      </c>
      <c r="H5418" s="238">
        <f>IFERROR(__xludf.DUMMYFUNCTION("""COMPUTED_VALUE"""),46043.97916666667)</f>
        <v>46043.97917</v>
      </c>
      <c r="I5418" s="237" t="str">
        <f t="shared" si="1"/>
        <v>Fora</v>
      </c>
      <c r="J5418" s="239">
        <v>117.9999999969732</v>
      </c>
    </row>
    <row r="5419">
      <c r="A5419" s="234" t="s">
        <v>6259</v>
      </c>
      <c r="B5419" s="238" t="str">
        <f>IFERROR(__xludf.DUMMYFUNCTION("""COMPUTED_VALUE"""),"LM Hub_SP_Guarujá")</f>
        <v>LM Hub_SP_Guarujá</v>
      </c>
      <c r="C5419" s="238" t="str">
        <f>IFERROR(__xludf.DUMMYFUNCTION("""COMPUTED_VALUE"""),"HUB-LSP-06")</f>
        <v>HUB-LSP-06</v>
      </c>
      <c r="D5419" s="234">
        <f>IFERROR(__xludf.DUMMYFUNCTION("""COMPUTED_VALUE"""),41.0)</f>
        <v>41</v>
      </c>
      <c r="E5419" s="237" t="str">
        <f>IFERROR(__xludf.DUMMYFUNCTION("""COMPUTED_VALUE"""),"LT0Q1L01X2N41")</f>
        <v>LT0Q1L01X2N41</v>
      </c>
      <c r="F5419" s="238" t="str">
        <f>IFERROR(__xludf.DUMMYFUNCTION("""COMPUTED_VALUE"""),"FPX2D52")</f>
        <v>FPX2D52</v>
      </c>
      <c r="G5419" s="238">
        <f>IFERROR(__xludf.DUMMYFUNCTION("""COMPUTED_VALUE"""),46043.91736111111)</f>
        <v>46043.91736</v>
      </c>
      <c r="H5419" s="238">
        <f>IFERROR(__xludf.DUMMYFUNCTION("""COMPUTED_VALUE"""),46043.99930555555)</f>
        <v>46043.99931</v>
      </c>
      <c r="I5419" s="237" t="str">
        <f t="shared" si="1"/>
        <v>Fora</v>
      </c>
      <c r="J5419" s="239">
        <v>119.99999999301508</v>
      </c>
    </row>
    <row r="5420">
      <c r="A5420" s="234" t="s">
        <v>6260</v>
      </c>
      <c r="B5420" s="238" t="str">
        <f>IFERROR(__xludf.DUMMYFUNCTION("""COMPUTED_VALUE"""),"LM Hub_SP_Artur Alvim")</f>
        <v>LM Hub_SP_Artur Alvim</v>
      </c>
      <c r="C5420" s="238" t="str">
        <f>IFERROR(__xludf.DUMMYFUNCTION("""COMPUTED_VALUE"""),"HUB-LSP-07")</f>
        <v>HUB-LSP-07</v>
      </c>
      <c r="D5420" s="234">
        <f>IFERROR(__xludf.DUMMYFUNCTION("""COMPUTED_VALUE"""),36.0)</f>
        <v>36</v>
      </c>
      <c r="E5420" s="237" t="str">
        <f>IFERROR(__xludf.DUMMYFUNCTION("""COMPUTED_VALUE"""),"LT0Q1L01WTC41")</f>
        <v>LT0Q1L01WTC41</v>
      </c>
      <c r="F5420" s="238" t="str">
        <f>IFERROR(__xludf.DUMMYFUNCTION("""COMPUTED_VALUE"""),"BWN8361,JRC7G68")</f>
        <v>BWN8361,JRC7G68</v>
      </c>
      <c r="G5420" s="238">
        <f>IFERROR(__xludf.DUMMYFUNCTION("""COMPUTED_VALUE"""),46043.91666666667)</f>
        <v>46043.91667</v>
      </c>
      <c r="H5420" s="238">
        <f>IFERROR(__xludf.DUMMYFUNCTION("""COMPUTED_VALUE"""),46044.0)</f>
        <v>46044</v>
      </c>
      <c r="I5420" s="237" t="str">
        <f t="shared" si="1"/>
        <v>Fora</v>
      </c>
      <c r="J5420" s="239">
        <v>119.99999999301508</v>
      </c>
    </row>
    <row r="5421">
      <c r="A5421" s="234" t="s">
        <v>6261</v>
      </c>
      <c r="B5421" s="238" t="str">
        <f>IFERROR(__xludf.DUMMYFUNCTION("""COMPUTED_VALUE"""),"LM Hub_SP_Barueri_01")</f>
        <v>LM Hub_SP_Barueri_01</v>
      </c>
      <c r="C5421" s="238" t="str">
        <f>IFERROR(__xludf.DUMMYFUNCTION("""COMPUTED_VALUE"""),"HUB-LSP-81")</f>
        <v>HUB-LSP-81</v>
      </c>
      <c r="D5421" s="234">
        <f>IFERROR(__xludf.DUMMYFUNCTION("""COMPUTED_VALUE"""),8.0)</f>
        <v>8</v>
      </c>
      <c r="E5421" s="237" t="str">
        <f>IFERROR(__xludf.DUMMYFUNCTION("""COMPUTED_VALUE"""),"LT0Q1L01WY411")</f>
        <v>LT0Q1L01WY411</v>
      </c>
      <c r="F5421" s="238" t="str">
        <f>IFERROR(__xludf.DUMMYFUNCTION("""COMPUTED_VALUE"""),"SUQ5C99,TLD5B82")</f>
        <v>SUQ5C99,TLD5B82</v>
      </c>
      <c r="G5421" s="238">
        <f>IFERROR(__xludf.DUMMYFUNCTION("""COMPUTED_VALUE"""),46043.91666666667)</f>
        <v>46043.91667</v>
      </c>
      <c r="H5421" s="238">
        <f>IFERROR(__xludf.DUMMYFUNCTION("""COMPUTED_VALUE"""),46044.0)</f>
        <v>46044</v>
      </c>
      <c r="I5421" s="237" t="str">
        <f t="shared" si="1"/>
        <v>Fora</v>
      </c>
      <c r="J5421" s="239">
        <v>119.99999999301508</v>
      </c>
    </row>
    <row r="5422">
      <c r="A5422" s="234" t="s">
        <v>6262</v>
      </c>
      <c r="B5422" s="238" t="str">
        <f>IFERROR(__xludf.DUMMYFUNCTION("""COMPUTED_VALUE"""),"LM Hub_SP_Guarulhos")</f>
        <v>LM Hub_SP_Guarulhos</v>
      </c>
      <c r="C5422" s="238" t="str">
        <f>IFERROR(__xludf.DUMMYFUNCTION("""COMPUTED_VALUE"""),"HUB-LSP-77")</f>
        <v>HUB-LSP-77</v>
      </c>
      <c r="D5422" s="234">
        <f>IFERROR(__xludf.DUMMYFUNCTION("""COMPUTED_VALUE"""),37.0)</f>
        <v>37</v>
      </c>
      <c r="E5422" s="237" t="str">
        <f>IFERROR(__xludf.DUMMYFUNCTION("""COMPUTED_VALUE"""),"LT0Q1L01WU4C1")</f>
        <v>LT0Q1L01WU4C1</v>
      </c>
      <c r="F5422" s="238" t="str">
        <f>IFERROR(__xludf.DUMMYFUNCTION("""COMPUTED_VALUE"""),"CUE1J71,GLB6C22")</f>
        <v>CUE1J71,GLB6C22</v>
      </c>
      <c r="G5422" s="238">
        <f>IFERROR(__xludf.DUMMYFUNCTION("""COMPUTED_VALUE"""),46043.91666666667)</f>
        <v>46043.91667</v>
      </c>
      <c r="H5422" s="238">
        <f>IFERROR(__xludf.DUMMYFUNCTION("""COMPUTED_VALUE"""),46044.0)</f>
        <v>46044</v>
      </c>
      <c r="I5422" s="237" t="str">
        <f t="shared" si="1"/>
        <v>Fora</v>
      </c>
      <c r="J5422" s="239">
        <v>119.99999999301508</v>
      </c>
    </row>
    <row r="5423">
      <c r="A5423" s="234" t="s">
        <v>6263</v>
      </c>
      <c r="B5423" s="238" t="str">
        <f>IFERROR(__xludf.DUMMYFUNCTION("""COMPUTED_VALUE"""),"LM Hub_SP_Itapevi")</f>
        <v>LM Hub_SP_Itapevi</v>
      </c>
      <c r="C5423" s="238" t="str">
        <f>IFERROR(__xludf.DUMMYFUNCTION("""COMPUTED_VALUE"""),"HUB-LSP-41")</f>
        <v>HUB-LSP-41</v>
      </c>
      <c r="D5423" s="234">
        <f>IFERROR(__xludf.DUMMYFUNCTION("""COMPUTED_VALUE"""),38.0)</f>
        <v>38</v>
      </c>
      <c r="E5423" s="237" t="str">
        <f>IFERROR(__xludf.DUMMYFUNCTION("""COMPUTED_VALUE"""),"LT0Q1L01WTDV1")</f>
        <v>LT0Q1L01WTDV1</v>
      </c>
      <c r="F5423" s="238" t="str">
        <f>IFERROR(__xludf.DUMMYFUNCTION("""COMPUTED_VALUE"""),"BCS4J31,DJB0J76")</f>
        <v>BCS4J31,DJB0J76</v>
      </c>
      <c r="G5423" s="238">
        <f>IFERROR(__xludf.DUMMYFUNCTION("""COMPUTED_VALUE"""),46043.91666666667)</f>
        <v>46043.91667</v>
      </c>
      <c r="H5423" s="238">
        <f>IFERROR(__xludf.DUMMYFUNCTION("""COMPUTED_VALUE"""),46044.0)</f>
        <v>46044</v>
      </c>
      <c r="I5423" s="237" t="str">
        <f t="shared" si="1"/>
        <v>Fora</v>
      </c>
      <c r="J5423" s="239">
        <v>119.99999999301508</v>
      </c>
    </row>
    <row r="5424">
      <c r="A5424" s="234" t="s">
        <v>6264</v>
      </c>
      <c r="B5424" s="238" t="str">
        <f>IFERROR(__xludf.DUMMYFUNCTION("""COMPUTED_VALUE"""),"LM Hub_SP_Limeira_Campo Belo")</f>
        <v>LM Hub_SP_Limeira_Campo Belo</v>
      </c>
      <c r="C5424" s="238" t="str">
        <f>IFERROR(__xludf.DUMMYFUNCTION("""COMPUTED_VALUE"""),"HUB-LSP-24")</f>
        <v>HUB-LSP-24</v>
      </c>
      <c r="D5424" s="234">
        <f>IFERROR(__xludf.DUMMYFUNCTION("""COMPUTED_VALUE"""),23.0)</f>
        <v>23</v>
      </c>
      <c r="E5424" s="237" t="str">
        <f>IFERROR(__xludf.DUMMYFUNCTION("""COMPUTED_VALUE"""),"LT0Q1L01WTGZ1")</f>
        <v>LT0Q1L01WTGZ1</v>
      </c>
      <c r="F5424" s="238" t="str">
        <f>IFERROR(__xludf.DUMMYFUNCTION("""COMPUTED_VALUE"""),"GHB5H18,FZB6G45")</f>
        <v>GHB5H18,FZB6G45</v>
      </c>
      <c r="G5424" s="238">
        <f>IFERROR(__xludf.DUMMYFUNCTION("""COMPUTED_VALUE"""),46043.91666666667)</f>
        <v>46043.91667</v>
      </c>
      <c r="H5424" s="238">
        <f>IFERROR(__xludf.DUMMYFUNCTION("""COMPUTED_VALUE"""),46044.0)</f>
        <v>46044</v>
      </c>
      <c r="I5424" s="237" t="str">
        <f t="shared" si="1"/>
        <v>Fora</v>
      </c>
      <c r="J5424" s="239">
        <v>119.99999999301508</v>
      </c>
    </row>
    <row r="5425">
      <c r="A5425" s="234" t="s">
        <v>6265</v>
      </c>
      <c r="B5425" s="238" t="str">
        <f>IFERROR(__xludf.DUMMYFUNCTION("""COMPUTED_VALUE"""),"LM Hub_SP_Mauá")</f>
        <v>LM Hub_SP_Mauá</v>
      </c>
      <c r="C5425" s="238" t="str">
        <f>IFERROR(__xludf.DUMMYFUNCTION("""COMPUTED_VALUE"""),"HUB-LSP-64")</f>
        <v>HUB-LSP-64</v>
      </c>
      <c r="D5425" s="234">
        <f>IFERROR(__xludf.DUMMYFUNCTION("""COMPUTED_VALUE"""),14.0)</f>
        <v>14</v>
      </c>
      <c r="E5425" s="237" t="str">
        <f>IFERROR(__xludf.DUMMYFUNCTION("""COMPUTED_VALUE"""),"LT0Q1L01WTED1")</f>
        <v>LT0Q1L01WTED1</v>
      </c>
      <c r="F5425" s="238" t="str">
        <f>IFERROR(__xludf.DUMMYFUNCTION("""COMPUTED_VALUE"""),"FQF6B98,DTA7802")</f>
        <v>FQF6B98,DTA7802</v>
      </c>
      <c r="G5425" s="238">
        <f>IFERROR(__xludf.DUMMYFUNCTION("""COMPUTED_VALUE"""),46043.91666666667)</f>
        <v>46043.91667</v>
      </c>
      <c r="H5425" s="238">
        <f>IFERROR(__xludf.DUMMYFUNCTION("""COMPUTED_VALUE"""),46044.0)</f>
        <v>46044</v>
      </c>
      <c r="I5425" s="237" t="str">
        <f t="shared" si="1"/>
        <v>Fora</v>
      </c>
      <c r="J5425" s="239">
        <v>119.99999999301508</v>
      </c>
    </row>
    <row r="5426">
      <c r="A5426" s="234" t="s">
        <v>6266</v>
      </c>
      <c r="B5426" s="238" t="str">
        <f>IFERROR(__xludf.DUMMYFUNCTION("""COMPUTED_VALUE"""),"LM Hub_SP_Osasco_02")</f>
        <v>LM Hub_SP_Osasco_02</v>
      </c>
      <c r="C5426" s="238" t="str">
        <f>IFERROR(__xludf.DUMMYFUNCTION("""COMPUTED_VALUE"""),"HUB-LSP-60")</f>
        <v>HUB-LSP-60</v>
      </c>
      <c r="D5426" s="234">
        <f>IFERROR(__xludf.DUMMYFUNCTION("""COMPUTED_VALUE"""),29.0)</f>
        <v>29</v>
      </c>
      <c r="E5426" s="237" t="str">
        <f>IFERROR(__xludf.DUMMYFUNCTION("""COMPUTED_VALUE"""),"LT0Q1L01WTE41")</f>
        <v>LT0Q1L01WTE41</v>
      </c>
      <c r="F5426" s="238" t="str">
        <f>IFERROR(__xludf.DUMMYFUNCTION("""COMPUTED_VALUE"""),"EWJ9H05,BFZ9072")</f>
        <v>EWJ9H05,BFZ9072</v>
      </c>
      <c r="G5426" s="238">
        <f>IFERROR(__xludf.DUMMYFUNCTION("""COMPUTED_VALUE"""),46043.91666666667)</f>
        <v>46043.91667</v>
      </c>
      <c r="H5426" s="238">
        <f>IFERROR(__xludf.DUMMYFUNCTION("""COMPUTED_VALUE"""),46044.0)</f>
        <v>46044</v>
      </c>
      <c r="I5426" s="237" t="str">
        <f t="shared" si="1"/>
        <v>Fora</v>
      </c>
      <c r="J5426" s="239">
        <v>119.99999999301508</v>
      </c>
    </row>
    <row r="5427">
      <c r="A5427" s="234" t="s">
        <v>6267</v>
      </c>
      <c r="B5427" s="238" t="str">
        <f>IFERROR(__xludf.DUMMYFUNCTION("""COMPUTED_VALUE"""),"LM Hub_SP_Santo André")</f>
        <v>LM Hub_SP_Santo André</v>
      </c>
      <c r="C5427" s="238" t="str">
        <f>IFERROR(__xludf.DUMMYFUNCTION("""COMPUTED_VALUE"""),"HUB-LSP-93")</f>
        <v>HUB-LSP-93</v>
      </c>
      <c r="D5427" s="234">
        <f>IFERROR(__xludf.DUMMYFUNCTION("""COMPUTED_VALUE"""),16.0)</f>
        <v>16</v>
      </c>
      <c r="E5427" s="237" t="str">
        <f>IFERROR(__xludf.DUMMYFUNCTION("""COMPUTED_VALUE"""),"LT0Q1L01WVN31")</f>
        <v>LT0Q1L01WVN31</v>
      </c>
      <c r="F5427" s="238" t="str">
        <f>IFERROR(__xludf.DUMMYFUNCTION("""COMPUTED_VALUE"""),"LLM1I97,AOF6828")</f>
        <v>LLM1I97,AOF6828</v>
      </c>
      <c r="G5427" s="238">
        <f>IFERROR(__xludf.DUMMYFUNCTION("""COMPUTED_VALUE"""),46043.91666666667)</f>
        <v>46043.91667</v>
      </c>
      <c r="H5427" s="238">
        <f>IFERROR(__xludf.DUMMYFUNCTION("""COMPUTED_VALUE"""),46044.0)</f>
        <v>46044</v>
      </c>
      <c r="I5427" s="237" t="str">
        <f t="shared" si="1"/>
        <v>Fora</v>
      </c>
      <c r="J5427" s="239">
        <v>119.99999999301508</v>
      </c>
    </row>
    <row r="5428">
      <c r="A5428" s="234" t="s">
        <v>6268</v>
      </c>
      <c r="B5428" s="238" t="str">
        <f>IFERROR(__xludf.DUMMYFUNCTION("""COMPUTED_VALUE"""),"LM Hub_SP_São Paulo_Carandiru")</f>
        <v>LM Hub_SP_São Paulo_Carandiru</v>
      </c>
      <c r="C5428" s="238" t="str">
        <f>IFERROR(__xludf.DUMMYFUNCTION("""COMPUTED_VALUE"""),"HUB-LSP-18")</f>
        <v>HUB-LSP-18</v>
      </c>
      <c r="D5428" s="234">
        <f>IFERROR(__xludf.DUMMYFUNCTION("""COMPUTED_VALUE"""),39.0)</f>
        <v>39</v>
      </c>
      <c r="E5428" s="237" t="str">
        <f>IFERROR(__xludf.DUMMYFUNCTION("""COMPUTED_VALUE"""),"LT1Q1L01X8RO1")</f>
        <v>LT1Q1L01X8RO1</v>
      </c>
      <c r="F5428" s="238" t="str">
        <f>IFERROR(__xludf.DUMMYFUNCTION("""COMPUTED_VALUE"""),"AXH9D10")</f>
        <v>AXH9D10</v>
      </c>
      <c r="G5428" s="238">
        <f>IFERROR(__xludf.DUMMYFUNCTION("""COMPUTED_VALUE"""),46043.91666666667)</f>
        <v>46043.91667</v>
      </c>
      <c r="H5428" s="238">
        <f>IFERROR(__xludf.DUMMYFUNCTION("""COMPUTED_VALUE"""),46044.0)</f>
        <v>46044</v>
      </c>
      <c r="I5428" s="237" t="str">
        <f t="shared" si="1"/>
        <v>Fora</v>
      </c>
      <c r="J5428" s="239">
        <v>119.99999999301508</v>
      </c>
    </row>
    <row r="5429">
      <c r="A5429" s="234" t="s">
        <v>6269</v>
      </c>
      <c r="B5429" s="238" t="str">
        <f>IFERROR(__xludf.DUMMYFUNCTION("""COMPUTED_VALUE"""),"LM Hub_SP_Jardim Adriana")</f>
        <v>LM Hub_SP_Jardim Adriana</v>
      </c>
      <c r="C5429" s="238" t="str">
        <f>IFERROR(__xludf.DUMMYFUNCTION("""COMPUTED_VALUE"""),"HUB-LSP-12")</f>
        <v>HUB-LSP-12</v>
      </c>
      <c r="D5429" s="234">
        <f>IFERROR(__xludf.DUMMYFUNCTION("""COMPUTED_VALUE"""),33.0)</f>
        <v>33</v>
      </c>
      <c r="E5429" s="237" t="str">
        <f>IFERROR(__xludf.DUMMYFUNCTION("""COMPUTED_VALUE"""),"LT0Q1L01WTCI1")</f>
        <v>LT0Q1L01WTCI1</v>
      </c>
      <c r="F5429" s="238" t="str">
        <f>IFERROR(__xludf.DUMMYFUNCTION("""COMPUTED_VALUE"""),"OHQ3D06")</f>
        <v>OHQ3D06</v>
      </c>
      <c r="G5429" s="238">
        <f>IFERROR(__xludf.DUMMYFUNCTION("""COMPUTED_VALUE"""),46043.9375)</f>
        <v>46043.9375</v>
      </c>
      <c r="H5429" s="238">
        <f>IFERROR(__xludf.DUMMYFUNCTION("""COMPUTED_VALUE"""),46044.02083333333)</f>
        <v>46044.02083</v>
      </c>
      <c r="I5429" s="237" t="str">
        <f t="shared" si="1"/>
        <v>Fora</v>
      </c>
      <c r="J5429" s="239">
        <v>119.99999999301508</v>
      </c>
    </row>
    <row r="5430">
      <c r="A5430" s="234" t="s">
        <v>6270</v>
      </c>
      <c r="B5430" s="238" t="str">
        <f>IFERROR(__xludf.DUMMYFUNCTION("""COMPUTED_VALUE"""),"LM Hub_SP_Piracicaba")</f>
        <v>LM Hub_SP_Piracicaba</v>
      </c>
      <c r="C5430" s="238" t="str">
        <f>IFERROR(__xludf.DUMMYFUNCTION("""COMPUTED_VALUE"""),"HUB-LSP-62")</f>
        <v>HUB-LSP-62</v>
      </c>
      <c r="D5430" s="234">
        <f>IFERROR(__xludf.DUMMYFUNCTION("""COMPUTED_VALUE"""),49.0)</f>
        <v>49</v>
      </c>
      <c r="E5430" s="237" t="str">
        <f>IFERROR(__xludf.DUMMYFUNCTION("""COMPUTED_VALUE"""),"LT0Q1L01WU4O1")</f>
        <v>LT0Q1L01WU4O1</v>
      </c>
      <c r="F5430" s="238" t="str">
        <f>IFERROR(__xludf.DUMMYFUNCTION("""COMPUTED_VALUE"""),"EOF4D32,EOF4D30")</f>
        <v>EOF4D32,EOF4D30</v>
      </c>
      <c r="G5430" s="238">
        <f>IFERROR(__xludf.DUMMYFUNCTION("""COMPUTED_VALUE"""),46043.9375)</f>
        <v>46043.9375</v>
      </c>
      <c r="H5430" s="238">
        <f>IFERROR(__xludf.DUMMYFUNCTION("""COMPUTED_VALUE"""),46044.02083333333)</f>
        <v>46044.02083</v>
      </c>
      <c r="I5430" s="237" t="str">
        <f t="shared" si="1"/>
        <v>Fora</v>
      </c>
      <c r="J5430" s="239">
        <v>119.99999999301508</v>
      </c>
    </row>
    <row r="5431">
      <c r="A5431" s="234" t="s">
        <v>6271</v>
      </c>
      <c r="B5431" s="238" t="str">
        <f>IFERROR(__xludf.DUMMYFUNCTION("""COMPUTED_VALUE"""),"LM Hub_SP_São Paulo_Carandiru")</f>
        <v>LM Hub_SP_São Paulo_Carandiru</v>
      </c>
      <c r="C5431" s="238" t="str">
        <f>IFERROR(__xludf.DUMMYFUNCTION("""COMPUTED_VALUE"""),"HUB-LSP-18")</f>
        <v>HUB-LSP-18</v>
      </c>
      <c r="D5431" s="234">
        <f>IFERROR(__xludf.DUMMYFUNCTION("""COMPUTED_VALUE"""),34.0)</f>
        <v>34</v>
      </c>
      <c r="E5431" s="237" t="str">
        <f>IFERROR(__xludf.DUMMYFUNCTION("""COMPUTED_VALUE"""),"LT0Q1L01WTDC2")</f>
        <v>LT0Q1L01WTDC2</v>
      </c>
      <c r="F5431" s="238" t="str">
        <f>IFERROR(__xludf.DUMMYFUNCTION("""COMPUTED_VALUE"""),"NVO0561")</f>
        <v>NVO0561</v>
      </c>
      <c r="G5431" s="238">
        <f>IFERROR(__xludf.DUMMYFUNCTION("""COMPUTED_VALUE"""),46043.9375)</f>
        <v>46043.9375</v>
      </c>
      <c r="H5431" s="238">
        <f>IFERROR(__xludf.DUMMYFUNCTION("""COMPUTED_VALUE"""),46044.02083333333)</f>
        <v>46044.02083</v>
      </c>
      <c r="I5431" s="237" t="str">
        <f t="shared" si="1"/>
        <v>Fora</v>
      </c>
      <c r="J5431" s="239">
        <v>119.99999999301508</v>
      </c>
    </row>
    <row r="5432">
      <c r="A5432" s="234" t="s">
        <v>6272</v>
      </c>
      <c r="B5432" s="238" t="str">
        <f>IFERROR(__xludf.DUMMYFUNCTION("""COMPUTED_VALUE"""),"LM Hub_SP_Suzano_Baruel")</f>
        <v>LM Hub_SP_Suzano_Baruel</v>
      </c>
      <c r="C5432" s="238" t="str">
        <f>IFERROR(__xludf.DUMMYFUNCTION("""COMPUTED_VALUE"""),"HUB-LSP-97")</f>
        <v>HUB-LSP-97</v>
      </c>
      <c r="D5432" s="234">
        <f>IFERROR(__xludf.DUMMYFUNCTION("""COMPUTED_VALUE"""),18.0)</f>
        <v>18</v>
      </c>
      <c r="E5432" s="237" t="str">
        <f>IFERROR(__xludf.DUMMYFUNCTION("""COMPUTED_VALUE"""),"LT0Q1L01WZTA1")</f>
        <v>LT0Q1L01WZTA1</v>
      </c>
      <c r="F5432" s="238" t="str">
        <f>IFERROR(__xludf.DUMMYFUNCTION("""COMPUTED_VALUE"""),"RJG8E37,FCG5D30")</f>
        <v>RJG8E37,FCG5D30</v>
      </c>
      <c r="G5432" s="238">
        <f>IFERROR(__xludf.DUMMYFUNCTION("""COMPUTED_VALUE"""),46043.9375)</f>
        <v>46043.9375</v>
      </c>
      <c r="H5432" s="238">
        <f>IFERROR(__xludf.DUMMYFUNCTION("""COMPUTED_VALUE"""),46044.02083333333)</f>
        <v>46044.02083</v>
      </c>
      <c r="I5432" s="237" t="str">
        <f t="shared" si="1"/>
        <v>Fora</v>
      </c>
      <c r="J5432" s="239">
        <v>118.99999998975545</v>
      </c>
    </row>
    <row r="5433">
      <c r="A5433" s="234" t="s">
        <v>6273</v>
      </c>
      <c r="B5433" s="238" t="str">
        <f>IFERROR(__xludf.DUMMYFUNCTION("""COMPUTED_VALUE"""),"LM Hub_SP_Parque Novo Mundo")</f>
        <v>LM Hub_SP_Parque Novo Mundo</v>
      </c>
      <c r="C5433" s="238" t="str">
        <f>IFERROR(__xludf.DUMMYFUNCTION("""COMPUTED_VALUE"""),"HUB-LSP-89")</f>
        <v>HUB-LSP-89</v>
      </c>
      <c r="D5433" s="234">
        <f>IFERROR(__xludf.DUMMYFUNCTION("""COMPUTED_VALUE"""),15.0)</f>
        <v>15</v>
      </c>
      <c r="E5433" s="237" t="str">
        <f>IFERROR(__xludf.DUMMYFUNCTION("""COMPUTED_VALUE"""),"LT0Q1L01X2U31")</f>
        <v>LT0Q1L01X2U31</v>
      </c>
      <c r="F5433" s="238" t="str">
        <f>IFERROR(__xludf.DUMMYFUNCTION("""COMPUTED_VALUE"""),"FNK8E47,FAM1829")</f>
        <v>FNK8E47,FAM1829</v>
      </c>
      <c r="G5433" s="238">
        <f>IFERROR(__xludf.DUMMYFUNCTION("""COMPUTED_VALUE"""),46043.93819444445)</f>
        <v>46043.93819</v>
      </c>
      <c r="H5433" s="238">
        <f>IFERROR(__xludf.DUMMYFUNCTION("""COMPUTED_VALUE"""),46044.02083333333)</f>
        <v>46044.02083</v>
      </c>
      <c r="I5433" s="237" t="str">
        <f t="shared" si="1"/>
        <v>Fora</v>
      </c>
      <c r="J5433" s="239">
        <v>118.99999998975545</v>
      </c>
    </row>
    <row r="5434">
      <c r="A5434" s="234" t="s">
        <v>6274</v>
      </c>
      <c r="B5434" s="238" t="str">
        <f>IFERROR(__xludf.DUMMYFUNCTION("""COMPUTED_VALUE"""),"LM Hub_SP_VilaGuilherme")</f>
        <v>LM Hub_SP_VilaGuilherme</v>
      </c>
      <c r="C5434" s="238" t="str">
        <f>IFERROR(__xludf.DUMMYFUNCTION("""COMPUTED_VALUE"""),"HUB-LSP-68")</f>
        <v>HUB-LSP-68</v>
      </c>
      <c r="D5434" s="234">
        <f>IFERROR(__xludf.DUMMYFUNCTION("""COMPUTED_VALUE"""),13.0)</f>
        <v>13</v>
      </c>
      <c r="E5434" s="237" t="str">
        <f>IFERROR(__xludf.DUMMYFUNCTION("""COMPUTED_VALUE"""),"LT0Q1L01X2MV1")</f>
        <v>LT0Q1L01X2MV1</v>
      </c>
      <c r="F5434" s="238" t="str">
        <f>IFERROR(__xludf.DUMMYFUNCTION("""COMPUTED_VALUE"""),"HFD4H27,JXG9745")</f>
        <v>HFD4H27,JXG9745</v>
      </c>
      <c r="G5434" s="238">
        <f>IFERROR(__xludf.DUMMYFUNCTION("""COMPUTED_VALUE"""),46043.93819444445)</f>
        <v>46043.93819</v>
      </c>
      <c r="H5434" s="238">
        <f>IFERROR(__xludf.DUMMYFUNCTION("""COMPUTED_VALUE"""),46044.02083333333)</f>
        <v>46044.02083</v>
      </c>
      <c r="I5434" s="237" t="str">
        <f t="shared" si="1"/>
        <v>Fora</v>
      </c>
      <c r="J5434" s="239">
        <v>120.00000001396984</v>
      </c>
    </row>
    <row r="5435">
      <c r="A5435" s="234" t="s">
        <v>6275</v>
      </c>
      <c r="B5435" s="238" t="str">
        <f>IFERROR(__xludf.DUMMYFUNCTION("""COMPUTED_VALUE"""),"LM Hub_RJ_Nova Iguaçu")</f>
        <v>LM Hub_RJ_Nova Iguaçu</v>
      </c>
      <c r="C5435" s="238" t="str">
        <f>IFERROR(__xludf.DUMMYFUNCTION("""COMPUTED_VALUE"""),"HUB-LRJ-27")</f>
        <v>HUB-LRJ-27</v>
      </c>
      <c r="D5435" s="234">
        <f>IFERROR(__xludf.DUMMYFUNCTION("""COMPUTED_VALUE"""),12.0)</f>
        <v>12</v>
      </c>
      <c r="E5435" s="237" t="str">
        <f>IFERROR(__xludf.DUMMYFUNCTION("""COMPUTED_VALUE"""),"LT0Q1L01WYNY1")</f>
        <v>LT0Q1L01WYNY1</v>
      </c>
      <c r="F5435" s="238" t="str">
        <f>IFERROR(__xludf.DUMMYFUNCTION("""COMPUTED_VALUE"""),"TAX7E42")</f>
        <v>TAX7E42</v>
      </c>
      <c r="G5435" s="238">
        <f>IFERROR(__xludf.DUMMYFUNCTION("""COMPUTED_VALUE"""),46043.95833333333)</f>
        <v>46043.95833</v>
      </c>
      <c r="H5435" s="238">
        <f>IFERROR(__xludf.DUMMYFUNCTION("""COMPUTED_VALUE"""),46044.04166666667)</f>
        <v>46044.04167</v>
      </c>
      <c r="I5435" s="237" t="str">
        <f t="shared" si="1"/>
        <v>Fora</v>
      </c>
      <c r="J5435" s="239">
        <v>120.00000001396984</v>
      </c>
    </row>
    <row r="5436">
      <c r="A5436" s="234" t="s">
        <v>6276</v>
      </c>
      <c r="B5436" s="238" t="str">
        <f>IFERROR(__xludf.DUMMYFUNCTION("""COMPUTED_VALUE"""),"LM Hub_RJ_Rio de Janeiro_Campo G")</f>
        <v>LM Hub_RJ_Rio de Janeiro_Campo G</v>
      </c>
      <c r="C5436" s="238" t="str">
        <f>IFERROR(__xludf.DUMMYFUNCTION("""COMPUTED_VALUE"""),"HUB-LRJ-04")</f>
        <v>HUB-LRJ-04</v>
      </c>
      <c r="D5436" s="234">
        <f>IFERROR(__xludf.DUMMYFUNCTION("""COMPUTED_VALUE"""),53.0)</f>
        <v>53</v>
      </c>
      <c r="E5436" s="237" t="str">
        <f>IFERROR(__xludf.DUMMYFUNCTION("""COMPUTED_VALUE"""),"LT0Q1L01WTIX1")</f>
        <v>LT0Q1L01WTIX1</v>
      </c>
      <c r="F5436" s="238" t="str">
        <f>IFERROR(__xludf.DUMMYFUNCTION("""COMPUTED_VALUE"""),"UBA1H99")</f>
        <v>UBA1H99</v>
      </c>
      <c r="G5436" s="238">
        <f>IFERROR(__xludf.DUMMYFUNCTION("""COMPUTED_VALUE"""),46043.95833333333)</f>
        <v>46043.95833</v>
      </c>
      <c r="H5436" s="238">
        <f>IFERROR(__xludf.DUMMYFUNCTION("""COMPUTED_VALUE"""),46044.04166666667)</f>
        <v>46044.04167</v>
      </c>
      <c r="I5436" s="237" t="str">
        <f t="shared" si="1"/>
        <v>Fora</v>
      </c>
      <c r="J5436" s="239">
        <v>120.00000001396984</v>
      </c>
    </row>
    <row r="5437">
      <c r="A5437" s="234" t="s">
        <v>6277</v>
      </c>
      <c r="B5437" s="238" t="str">
        <f>IFERROR(__xludf.DUMMYFUNCTION("""COMPUTED_VALUE"""),"LM Hub_RJ_São João do Meriti")</f>
        <v>LM Hub_RJ_São João do Meriti</v>
      </c>
      <c r="C5437" s="238" t="str">
        <f>IFERROR(__xludf.DUMMYFUNCTION("""COMPUTED_VALUE"""),"HUB-LRJ-01")</f>
        <v>HUB-LRJ-01</v>
      </c>
      <c r="D5437" s="234">
        <f>IFERROR(__xludf.DUMMYFUNCTION("""COMPUTED_VALUE"""),27.0)</f>
        <v>27</v>
      </c>
      <c r="E5437" s="237" t="str">
        <f>IFERROR(__xludf.DUMMYFUNCTION("""COMPUTED_VALUE"""),"LT0Q1L01WYOS1")</f>
        <v>LT0Q1L01WYOS1</v>
      </c>
      <c r="F5437" s="238" t="str">
        <f>IFERROR(__xludf.DUMMYFUNCTION("""COMPUTED_VALUE"""),"CUG3E95")</f>
        <v>CUG3E95</v>
      </c>
      <c r="G5437" s="238">
        <f>IFERROR(__xludf.DUMMYFUNCTION("""COMPUTED_VALUE"""),46043.95833333333)</f>
        <v>46043.95833</v>
      </c>
      <c r="H5437" s="238">
        <f>IFERROR(__xludf.DUMMYFUNCTION("""COMPUTED_VALUE"""),46044.04166666667)</f>
        <v>46044.04167</v>
      </c>
      <c r="I5437" s="237" t="str">
        <f t="shared" si="1"/>
        <v>Fora</v>
      </c>
      <c r="J5437" s="239">
        <v>120.00000001396984</v>
      </c>
    </row>
    <row r="5438">
      <c r="A5438" s="234" t="s">
        <v>6278</v>
      </c>
      <c r="B5438" s="238" t="str">
        <f>IFERROR(__xludf.DUMMYFUNCTION("""COMPUTED_VALUE"""),"LM Hub_SP_Jundiaí")</f>
        <v>LM Hub_SP_Jundiaí</v>
      </c>
      <c r="C5438" s="238" t="str">
        <f>IFERROR(__xludf.DUMMYFUNCTION("""COMPUTED_VALUE"""),"HUB-LSP-100")</f>
        <v>HUB-LSP-100</v>
      </c>
      <c r="D5438" s="234">
        <f>IFERROR(__xludf.DUMMYFUNCTION("""COMPUTED_VALUE"""),25.0)</f>
        <v>25</v>
      </c>
      <c r="E5438" s="237" t="str">
        <f>IFERROR(__xludf.DUMMYFUNCTION("""COMPUTED_VALUE"""),"LT0Q1L01WZHH1")</f>
        <v>LT0Q1L01WZHH1</v>
      </c>
      <c r="F5438" s="238" t="str">
        <f>IFERROR(__xludf.DUMMYFUNCTION("""COMPUTED_VALUE"""),"IZQ5I98,AVB1G49")</f>
        <v>IZQ5I98,AVB1G49</v>
      </c>
      <c r="G5438" s="238">
        <f>IFERROR(__xludf.DUMMYFUNCTION("""COMPUTED_VALUE"""),46043.95833333333)</f>
        <v>46043.95833</v>
      </c>
      <c r="H5438" s="238">
        <f>IFERROR(__xludf.DUMMYFUNCTION("""COMPUTED_VALUE"""),46044.04166666667)</f>
        <v>46044.04167</v>
      </c>
      <c r="I5438" s="237" t="str">
        <f t="shared" si="1"/>
        <v>Fora</v>
      </c>
      <c r="J5438" s="239">
        <v>120.00000001396984</v>
      </c>
    </row>
    <row r="5439">
      <c r="A5439" s="234" t="s">
        <v>6279</v>
      </c>
      <c r="B5439" s="238" t="str">
        <f>IFERROR(__xludf.DUMMYFUNCTION("""COMPUTED_VALUE"""),"LM Hub_SP_Mogi Mirim")</f>
        <v>LM Hub_SP_Mogi Mirim</v>
      </c>
      <c r="C5439" s="238" t="str">
        <f>IFERROR(__xludf.DUMMYFUNCTION("""COMPUTED_VALUE"""),"HUB-LSP-37")</f>
        <v>HUB-LSP-37</v>
      </c>
      <c r="D5439" s="234">
        <f>IFERROR(__xludf.DUMMYFUNCTION("""COMPUTED_VALUE"""),40.0)</f>
        <v>40</v>
      </c>
      <c r="E5439" s="237" t="str">
        <f>IFERROR(__xludf.DUMMYFUNCTION("""COMPUTED_VALUE"""),"LT0Q1L01WTHO1")</f>
        <v>LT0Q1L01WTHO1</v>
      </c>
      <c r="F5439" s="238" t="str">
        <f>IFERROR(__xludf.DUMMYFUNCTION("""COMPUTED_VALUE"""),"SVC6I57,SWO1G45")</f>
        <v>SVC6I57,SWO1G45</v>
      </c>
      <c r="G5439" s="238">
        <f>IFERROR(__xludf.DUMMYFUNCTION("""COMPUTED_VALUE"""),46043.95833333333)</f>
        <v>46043.95833</v>
      </c>
      <c r="H5439" s="238">
        <f>IFERROR(__xludf.DUMMYFUNCTION("""COMPUTED_VALUE"""),46044.04166666667)</f>
        <v>46044.04167</v>
      </c>
      <c r="I5439" s="237" t="str">
        <f t="shared" si="1"/>
        <v>Fora</v>
      </c>
      <c r="J5439" s="239">
        <v>119.99999999301508</v>
      </c>
    </row>
    <row r="5440">
      <c r="A5440" s="234" t="s">
        <v>6280</v>
      </c>
      <c r="B5440" s="238" t="str">
        <f>IFERROR(__xludf.DUMMYFUNCTION("""COMPUTED_VALUE"""),"LM Hub_SP_Araraquara")</f>
        <v>LM Hub_SP_Araraquara</v>
      </c>
      <c r="C5440" s="238" t="str">
        <f>IFERROR(__xludf.DUMMYFUNCTION("""COMPUTED_VALUE"""),"HUB-LSP-29")</f>
        <v>HUB-LSP-29</v>
      </c>
      <c r="D5440" s="234">
        <f>IFERROR(__xludf.DUMMYFUNCTION("""COMPUTED_VALUE"""),24.0)</f>
        <v>24</v>
      </c>
      <c r="E5440" s="237" t="str">
        <f>IFERROR(__xludf.DUMMYFUNCTION("""COMPUTED_VALUE"""),"LT0Q1L01WTHT1")</f>
        <v>LT0Q1L01WTHT1</v>
      </c>
      <c r="F5440" s="238" t="str">
        <f>IFERROR(__xludf.DUMMYFUNCTION("""COMPUTED_VALUE"""),"ISQ7F01,ANM9G89")</f>
        <v>ISQ7F01,ANM9G89</v>
      </c>
      <c r="G5440" s="238">
        <f>IFERROR(__xludf.DUMMYFUNCTION("""COMPUTED_VALUE"""),46043.97916666667)</f>
        <v>46043.97917</v>
      </c>
      <c r="H5440" s="238">
        <f>IFERROR(__xludf.DUMMYFUNCTION("""COMPUTED_VALUE"""),46044.0625)</f>
        <v>46044.0625</v>
      </c>
      <c r="I5440" s="237" t="str">
        <f t="shared" si="1"/>
        <v>Fora</v>
      </c>
      <c r="J5440" s="239">
        <v>119.99999999301508</v>
      </c>
    </row>
    <row r="5441">
      <c r="A5441" s="234" t="s">
        <v>6281</v>
      </c>
      <c r="B5441" s="238" t="str">
        <f>IFERROR(__xludf.DUMMYFUNCTION("""COMPUTED_VALUE"""),"LM Hub_SP_Atibaia_Ponte_Alta")</f>
        <v>LM Hub_SP_Atibaia_Ponte_Alta</v>
      </c>
      <c r="C5441" s="238" t="str">
        <f>IFERROR(__xludf.DUMMYFUNCTION("""COMPUTED_VALUE"""),"HUB-LSP-87")</f>
        <v>HUB-LSP-87</v>
      </c>
      <c r="D5441" s="234">
        <f>IFERROR(__xludf.DUMMYFUNCTION("""COMPUTED_VALUE"""),19.0)</f>
        <v>19</v>
      </c>
      <c r="E5441" s="237" t="str">
        <f>IFERROR(__xludf.DUMMYFUNCTION("""COMPUTED_VALUE"""),"LT0Q1L01WWTN1")</f>
        <v>LT0Q1L01WWTN1</v>
      </c>
      <c r="F5441" s="238" t="str">
        <f>IFERROR(__xludf.DUMMYFUNCTION("""COMPUTED_VALUE"""),"ECU7G16,GGU5E98")</f>
        <v>ECU7G16,GGU5E98</v>
      </c>
      <c r="G5441" s="238">
        <f>IFERROR(__xludf.DUMMYFUNCTION("""COMPUTED_VALUE"""),46043.97916666667)</f>
        <v>46043.97917</v>
      </c>
      <c r="H5441" s="238">
        <f>IFERROR(__xludf.DUMMYFUNCTION("""COMPUTED_VALUE"""),46044.0625)</f>
        <v>46044.0625</v>
      </c>
      <c r="I5441" s="237" t="str">
        <f t="shared" si="1"/>
        <v>Fora</v>
      </c>
      <c r="J5441" s="239">
        <v>119.99999999301508</v>
      </c>
    </row>
    <row r="5442">
      <c r="A5442" s="234" t="s">
        <v>6282</v>
      </c>
      <c r="B5442" s="238" t="str">
        <f>IFERROR(__xludf.DUMMYFUNCTION("""COMPUTED_VALUE"""),"LM Hub_RJ_Ilha do Governador")</f>
        <v>LM Hub_RJ_Ilha do Governador</v>
      </c>
      <c r="C5442" s="238" t="str">
        <f>IFERROR(__xludf.DUMMYFUNCTION("""COMPUTED_VALUE"""),"HUB-LRJ-32")</f>
        <v>HUB-LRJ-32</v>
      </c>
      <c r="D5442" s="234">
        <f>IFERROR(__xludf.DUMMYFUNCTION("""COMPUTED_VALUE"""),39.0)</f>
        <v>39</v>
      </c>
      <c r="E5442" s="237" t="str">
        <f>IFERROR(__xludf.DUMMYFUNCTION("""COMPUTED_VALUE"""),"LT0Q1M01WYOB1")</f>
        <v>LT0Q1M01WYOB1</v>
      </c>
      <c r="F5442" s="238" t="str">
        <f>IFERROR(__xludf.DUMMYFUNCTION("""COMPUTED_VALUE"""),"QHK5J11")</f>
        <v>QHK5J11</v>
      </c>
      <c r="G5442" s="238">
        <f>IFERROR(__xludf.DUMMYFUNCTION("""COMPUTED_VALUE"""),46044.0)</f>
        <v>46044</v>
      </c>
      <c r="H5442" s="238">
        <f>IFERROR(__xludf.DUMMYFUNCTION("""COMPUTED_VALUE"""),46044.08333333333)</f>
        <v>46044.08333</v>
      </c>
      <c r="I5442" s="237" t="str">
        <f t="shared" si="1"/>
        <v>Fora</v>
      </c>
      <c r="J5442" s="239">
        <v>119.99999999301508</v>
      </c>
    </row>
    <row r="5443">
      <c r="A5443" s="234" t="s">
        <v>6283</v>
      </c>
      <c r="B5443" s="238" t="str">
        <f>IFERROR(__xludf.DUMMYFUNCTION("""COMPUTED_VALUE"""),"LM Hub_SP_Tatuí")</f>
        <v>LM Hub_SP_Tatuí</v>
      </c>
      <c r="C5443" s="238" t="str">
        <f>IFERROR(__xludf.DUMMYFUNCTION("""COMPUTED_VALUE"""),"HUB-LSP-51")</f>
        <v>HUB-LSP-51</v>
      </c>
      <c r="D5443" s="234">
        <f>IFERROR(__xludf.DUMMYFUNCTION("""COMPUTED_VALUE"""),5.0)</f>
        <v>5</v>
      </c>
      <c r="E5443" s="237" t="str">
        <f>IFERROR(__xludf.DUMMYFUNCTION("""COMPUTED_VALUE"""),"LT0Q1M01WTEW1")</f>
        <v>LT0Q1M01WTEW1</v>
      </c>
      <c r="F5443" s="238" t="str">
        <f>IFERROR(__xludf.DUMMYFUNCTION("""COMPUTED_VALUE"""),"FGU5I81,JXA7D06")</f>
        <v>FGU5I81,JXA7D06</v>
      </c>
      <c r="G5443" s="238">
        <f>IFERROR(__xludf.DUMMYFUNCTION("""COMPUTED_VALUE"""),46044.0)</f>
        <v>46044</v>
      </c>
      <c r="H5443" s="238">
        <f>IFERROR(__xludf.DUMMYFUNCTION("""COMPUTED_VALUE"""),46044.08333333333)</f>
        <v>46044.08333</v>
      </c>
      <c r="I5443" s="237" t="str">
        <f t="shared" si="1"/>
        <v>Fora</v>
      </c>
      <c r="J5443" s="239">
        <v>119.99999999301508</v>
      </c>
    </row>
    <row r="5444">
      <c r="A5444" s="234" t="s">
        <v>6284</v>
      </c>
      <c r="B5444" s="238" t="str">
        <f>IFERROR(__xludf.DUMMYFUNCTION("""COMPUTED_VALUE"""),"SoC_PR_Curitiba")</f>
        <v>SoC_PR_Curitiba</v>
      </c>
      <c r="C5444" s="238" t="str">
        <f>IFERROR(__xludf.DUMMYFUNCTION("""COMPUTED_VALUE"""),"SOC-PR1")</f>
        <v>SOC-PR1</v>
      </c>
      <c r="D5444" s="234">
        <f>IFERROR(__xludf.DUMMYFUNCTION("""COMPUTED_VALUE"""),21.0)</f>
        <v>21</v>
      </c>
      <c r="E5444" s="237" t="str">
        <f>IFERROR(__xludf.DUMMYFUNCTION("""COMPUTED_VALUE"""),"LT0Q1M01WT8V1")</f>
        <v>LT0Q1M01WT8V1</v>
      </c>
      <c r="F5444" s="238" t="str">
        <f>IFERROR(__xludf.DUMMYFUNCTION("""COMPUTED_VALUE"""),"TAU0C14,RXU1H23")</f>
        <v>TAU0C14,RXU1H23</v>
      </c>
      <c r="G5444" s="238">
        <f>IFERROR(__xludf.DUMMYFUNCTION("""COMPUTED_VALUE"""),46044.0)</f>
        <v>46044</v>
      </c>
      <c r="H5444" s="238">
        <f>IFERROR(__xludf.DUMMYFUNCTION("""COMPUTED_VALUE"""),46044.08333333333)</f>
        <v>46044.08333</v>
      </c>
      <c r="I5444" s="237" t="str">
        <f t="shared" si="1"/>
        <v>Fora</v>
      </c>
      <c r="J5444" s="239">
        <v>118.99999998975545</v>
      </c>
    </row>
    <row r="5445">
      <c r="A5445" s="234" t="s">
        <v>6285</v>
      </c>
      <c r="B5445" s="238" t="str">
        <f>IFERROR(__xludf.DUMMYFUNCTION("""COMPUTED_VALUE"""),"SoC_SP_Louveira")</f>
        <v>SoC_SP_Louveira</v>
      </c>
      <c r="C5445" s="238" t="str">
        <f>IFERROR(__xludf.DUMMYFUNCTION("""COMPUTED_VALUE"""),"SOC-SP7")</f>
        <v>SOC-SP7</v>
      </c>
      <c r="D5445" s="234">
        <f>IFERROR(__xludf.DUMMYFUNCTION("""COMPUTED_VALUE"""),14.0)</f>
        <v>14</v>
      </c>
      <c r="E5445" s="237" t="str">
        <f>IFERROR(__xludf.DUMMYFUNCTION("""COMPUTED_VALUE"""),"LT0Q1M01WTB31")</f>
        <v>LT0Q1M01WTB31</v>
      </c>
      <c r="F5445" s="238" t="str">
        <f>IFERROR(__xludf.DUMMYFUNCTION("""COMPUTED_VALUE"""),"EFO6B06,MJH0C66")</f>
        <v>EFO6B06,MJH0C66</v>
      </c>
      <c r="G5445" s="238">
        <f>IFERROR(__xludf.DUMMYFUNCTION("""COMPUTED_VALUE"""),46044.00069444445)</f>
        <v>46044.00069</v>
      </c>
      <c r="H5445" s="238">
        <f>IFERROR(__xludf.DUMMYFUNCTION("""COMPUTED_VALUE"""),46044.08333333333)</f>
        <v>46044.08333</v>
      </c>
      <c r="I5445" s="237" t="str">
        <f t="shared" si="1"/>
        <v>Fora</v>
      </c>
      <c r="J5445" s="239">
        <v>119.99999999301508</v>
      </c>
    </row>
    <row r="5446">
      <c r="A5446" s="234" t="s">
        <v>6286</v>
      </c>
      <c r="B5446" s="238" t="str">
        <f>IFERROR(__xludf.DUMMYFUNCTION("""COMPUTED_VALUE"""),"SoC_SP_Guarulhos")</f>
        <v>SoC_SP_Guarulhos</v>
      </c>
      <c r="C5446" s="238" t="str">
        <f>IFERROR(__xludf.DUMMYFUNCTION("""COMPUTED_VALUE"""),"SOC-SP6")</f>
        <v>SOC-SP6</v>
      </c>
      <c r="D5446" s="234">
        <f>IFERROR(__xludf.DUMMYFUNCTION("""COMPUTED_VALUE"""),32.0)</f>
        <v>32</v>
      </c>
      <c r="E5446" s="237" t="str">
        <f>IFERROR(__xludf.DUMMYFUNCTION("""COMPUTED_VALUE"""),"LT0Q1M01WUD41")</f>
        <v>LT0Q1M01WUD41</v>
      </c>
      <c r="F5446" s="238" t="str">
        <f>IFERROR(__xludf.DUMMYFUNCTION("""COMPUTED_VALUE"""),"EMU7J50,MDL1B13")</f>
        <v>EMU7J50,MDL1B13</v>
      </c>
      <c r="G5446" s="238">
        <f>IFERROR(__xludf.DUMMYFUNCTION("""COMPUTED_VALUE"""),46044.04166666667)</f>
        <v>46044.04167</v>
      </c>
      <c r="H5446" s="238">
        <f>IFERROR(__xludf.DUMMYFUNCTION("""COMPUTED_VALUE"""),46044.125)</f>
        <v>46044.125</v>
      </c>
      <c r="I5446" s="237" t="str">
        <f t="shared" si="1"/>
        <v>Fora</v>
      </c>
      <c r="J5446" s="239">
        <v>119.99999999301508</v>
      </c>
    </row>
    <row r="5447">
      <c r="A5447" s="234" t="s">
        <v>6287</v>
      </c>
      <c r="B5447" s="238" t="str">
        <f>IFERROR(__xludf.DUMMYFUNCTION("""COMPUTED_VALUE"""),"SoC_SP_Louveira")</f>
        <v>SoC_SP_Louveira</v>
      </c>
      <c r="C5447" s="238" t="str">
        <f>IFERROR(__xludf.DUMMYFUNCTION("""COMPUTED_VALUE"""),"SOC-SP7")</f>
        <v>SOC-SP7</v>
      </c>
      <c r="D5447" s="234"/>
      <c r="E5447" s="237" t="str">
        <f>IFERROR(__xludf.DUMMYFUNCTION("""COMPUTED_VALUE"""),"LT0Q1M01WTB81")</f>
        <v>LT0Q1M01WTB81</v>
      </c>
      <c r="F5447" s="238" t="str">
        <f>IFERROR(__xludf.DUMMYFUNCTION("""COMPUTED_VALUE"""),"EFO9D55,CZX6D42")</f>
        <v>EFO9D55,CZX6D42</v>
      </c>
      <c r="G5447" s="238">
        <f>IFERROR(__xludf.DUMMYFUNCTION("""COMPUTED_VALUE"""),46044.04166666667)</f>
        <v>46044.04167</v>
      </c>
      <c r="H5447" s="238">
        <f>IFERROR(__xludf.DUMMYFUNCTION("""COMPUTED_VALUE"""),46044.125)</f>
        <v>46044.125</v>
      </c>
      <c r="I5447" s="237" t="str">
        <f t="shared" si="1"/>
        <v>Fora</v>
      </c>
      <c r="J5447" s="239">
        <v>600.0000000069849</v>
      </c>
    </row>
    <row r="5448">
      <c r="A5448" s="234" t="s">
        <v>6288</v>
      </c>
      <c r="B5448" s="238" t="str">
        <f>IFERROR(__xludf.DUMMYFUNCTION("""COMPUTED_VALUE"""),"SoC_GO_Goiânia_02")</f>
        <v>SoC_GO_Goiânia_02</v>
      </c>
      <c r="C5448" s="238" t="str">
        <f>IFERROR(__xludf.DUMMYFUNCTION("""COMPUTED_VALUE"""),"SOC-GO2")</f>
        <v>SOC-GO2</v>
      </c>
      <c r="D5448" s="234">
        <f>IFERROR(__xludf.DUMMYFUNCTION("""COMPUTED_VALUE"""),86.0)</f>
        <v>86</v>
      </c>
      <c r="E5448" s="237" t="str">
        <f>IFERROR(__xludf.DUMMYFUNCTION("""COMPUTED_VALUE"""),"LT0Q1L01WYQO3")</f>
        <v>LT0Q1L01WYQO3</v>
      </c>
      <c r="F5448" s="238" t="str">
        <f>IFERROR(__xludf.DUMMYFUNCTION("""COMPUTED_VALUE"""),"FVS7J52,FJP9A87")</f>
        <v>FVS7J52,FJP9A87</v>
      </c>
      <c r="G5448" s="238">
        <f>IFERROR(__xludf.DUMMYFUNCTION("""COMPUTED_VALUE"""),46043.75)</f>
        <v>46043.75</v>
      </c>
      <c r="H5448" s="238">
        <f>IFERROR(__xludf.DUMMYFUNCTION("""COMPUTED_VALUE"""),46044.16666666667)</f>
        <v>46044.16667</v>
      </c>
      <c r="I5448" s="237" t="str">
        <f t="shared" si="1"/>
        <v>Fora</v>
      </c>
      <c r="J5448" s="239">
        <v>540.0</v>
      </c>
    </row>
    <row r="5449">
      <c r="A5449" s="234" t="s">
        <v>6289</v>
      </c>
      <c r="B5449" s="238" t="str">
        <f>IFERROR(__xludf.DUMMYFUNCTION("""COMPUTED_VALUE"""),"SoC_BA_Simoes Filho")</f>
        <v>SoC_BA_Simoes Filho</v>
      </c>
      <c r="C5449" s="238" t="str">
        <f>IFERROR(__xludf.DUMMYFUNCTION("""COMPUTED_VALUE"""),"SOC-BA2")</f>
        <v>SOC-BA2</v>
      </c>
      <c r="D5449" s="234">
        <f>IFERROR(__xludf.DUMMYFUNCTION("""COMPUTED_VALUE"""),89.0)</f>
        <v>89</v>
      </c>
      <c r="E5449" s="237" t="str">
        <f>IFERROR(__xludf.DUMMYFUNCTION("""COMPUTED_VALUE"""),"LT0Q1L01WYFT2")</f>
        <v>LT0Q1L01WYFT2</v>
      </c>
      <c r="F5449" s="238" t="str">
        <f>IFERROR(__xludf.DUMMYFUNCTION("""COMPUTED_VALUE"""),"EJY4H56,EJZ8J08")</f>
        <v>EJY4H56,EJZ8J08</v>
      </c>
      <c r="G5449" s="238">
        <f>IFERROR(__xludf.DUMMYFUNCTION("""COMPUTED_VALUE"""),46043.79166666667)</f>
        <v>46043.79167</v>
      </c>
      <c r="H5449" s="238">
        <f>IFERROR(__xludf.DUMMYFUNCTION("""COMPUTED_VALUE"""),46044.16666666667)</f>
        <v>46044.16667</v>
      </c>
      <c r="I5449" s="237" t="str">
        <f t="shared" si="1"/>
        <v>Fora</v>
      </c>
      <c r="J5449" s="239">
        <v>120.00000001396984</v>
      </c>
    </row>
    <row r="5450">
      <c r="A5450" s="234" t="s">
        <v>6290</v>
      </c>
      <c r="B5450" s="238" t="str">
        <f>IFERROR(__xludf.DUMMYFUNCTION("""COMPUTED_VALUE"""),"SoC_RJ_Duque de Caxias")</f>
        <v>SoC_RJ_Duque de Caxias</v>
      </c>
      <c r="C5450" s="238" t="str">
        <f>IFERROR(__xludf.DUMMYFUNCTION("""COMPUTED_VALUE"""),"SOC-RJ2")</f>
        <v>SOC-RJ2</v>
      </c>
      <c r="D5450" s="234">
        <f>IFERROR(__xludf.DUMMYFUNCTION("""COMPUTED_VALUE"""),113.0)</f>
        <v>113</v>
      </c>
      <c r="E5450" s="237" t="str">
        <f>IFERROR(__xludf.DUMMYFUNCTION("""COMPUTED_VALUE"""),"LT1Q1L01X8IB1")</f>
        <v>LT1Q1L01X8IB1</v>
      </c>
      <c r="F5450" s="238" t="str">
        <f>IFERROR(__xludf.DUMMYFUNCTION("""COMPUTED_VALUE"""),"UDG8A89,UFH2E88")</f>
        <v>UDG8A89,UFH2E88</v>
      </c>
      <c r="G5450" s="238">
        <f>IFERROR(__xludf.DUMMYFUNCTION("""COMPUTED_VALUE"""),46044.08333333333)</f>
        <v>46044.08333</v>
      </c>
      <c r="H5450" s="238">
        <f>IFERROR(__xludf.DUMMYFUNCTION("""COMPUTED_VALUE"""),46044.16666666667)</f>
        <v>46044.16667</v>
      </c>
      <c r="I5450" s="237" t="str">
        <f t="shared" si="1"/>
        <v>Fora</v>
      </c>
      <c r="J5450" s="239">
        <v>120.00000001396984</v>
      </c>
    </row>
    <row r="5451">
      <c r="A5451" s="234" t="s">
        <v>6291</v>
      </c>
      <c r="B5451" s="238" t="str">
        <f>IFERROR(__xludf.DUMMYFUNCTION("""COMPUTED_VALUE"""),"SoC_SP_Louveira")</f>
        <v>SoC_SP_Louveira</v>
      </c>
      <c r="C5451" s="238" t="str">
        <f>IFERROR(__xludf.DUMMYFUNCTION("""COMPUTED_VALUE"""),"SOC-SP7")</f>
        <v>SOC-SP7</v>
      </c>
      <c r="D5451" s="234">
        <f>IFERROR(__xludf.DUMMYFUNCTION("""COMPUTED_VALUE"""),7.0)</f>
        <v>7</v>
      </c>
      <c r="E5451" s="237" t="str">
        <f>IFERROR(__xludf.DUMMYFUNCTION("""COMPUTED_VALUE"""),"LT0Q1L01WTBM1")</f>
        <v>LT0Q1L01WTBM1</v>
      </c>
      <c r="F5451" s="238" t="str">
        <f>IFERROR(__xludf.DUMMYFUNCTION("""COMPUTED_VALUE"""),"ESU5B56,FYE9H96")</f>
        <v>ESU5B56,FYE9H96</v>
      </c>
      <c r="G5451" s="238">
        <f>IFERROR(__xludf.DUMMYFUNCTION("""COMPUTED_VALUE"""),46044.08333333333)</f>
        <v>46044.08333</v>
      </c>
      <c r="H5451" s="238">
        <f>IFERROR(__xludf.DUMMYFUNCTION("""COMPUTED_VALUE"""),46044.16666666667)</f>
        <v>46044.16667</v>
      </c>
      <c r="I5451" s="237" t="str">
        <f t="shared" si="1"/>
        <v>Fora</v>
      </c>
      <c r="J5451" s="239">
        <v>119.99999999301508</v>
      </c>
    </row>
    <row r="5452">
      <c r="A5452" s="234" t="s">
        <v>6292</v>
      </c>
      <c r="B5452" s="238" t="str">
        <f>IFERROR(__xludf.DUMMYFUNCTION("""COMPUTED_VALUE"""),"LM Hub_SP_Itapetininga")</f>
        <v>LM Hub_SP_Itapetininga</v>
      </c>
      <c r="C5452" s="238" t="str">
        <f>IFERROR(__xludf.DUMMYFUNCTION("""COMPUTED_VALUE"""),"HUB-LSP-53")</f>
        <v>HUB-LSP-53</v>
      </c>
      <c r="D5452" s="234">
        <f>IFERROR(__xludf.DUMMYFUNCTION("""COMPUTED_VALUE"""),34.0)</f>
        <v>34</v>
      </c>
      <c r="E5452" s="237" t="str">
        <f>IFERROR(__xludf.DUMMYFUNCTION("""COMPUTED_VALUE"""),"LT0Q1M01WTER1")</f>
        <v>LT0Q1M01WTER1</v>
      </c>
      <c r="F5452" s="238" t="str">
        <f>IFERROR(__xludf.DUMMYFUNCTION("""COMPUTED_VALUE"""),"FZY3F48")</f>
        <v>FZY3F48</v>
      </c>
      <c r="G5452" s="238">
        <f>IFERROR(__xludf.DUMMYFUNCTION("""COMPUTED_VALUE"""),46044.10416666667)</f>
        <v>46044.10417</v>
      </c>
      <c r="H5452" s="238">
        <f>IFERROR(__xludf.DUMMYFUNCTION("""COMPUTED_VALUE"""),46044.1875)</f>
        <v>46044.1875</v>
      </c>
      <c r="I5452" s="237" t="str">
        <f t="shared" si="1"/>
        <v>Fora</v>
      </c>
      <c r="J5452" s="239">
        <v>119.99999999301508</v>
      </c>
    </row>
    <row r="5453">
      <c r="A5453" s="234" t="s">
        <v>6293</v>
      </c>
      <c r="B5453" s="238" t="str">
        <f>IFERROR(__xludf.DUMMYFUNCTION("""COMPUTED_VALUE"""),"LM Hub_SP_São Carlos")</f>
        <v>LM Hub_SP_São Carlos</v>
      </c>
      <c r="C5453" s="238" t="str">
        <f>IFERROR(__xludf.DUMMYFUNCTION("""COMPUTED_VALUE"""),"HUB-LSP-31")</f>
        <v>HUB-LSP-31</v>
      </c>
      <c r="D5453" s="234">
        <f>IFERROR(__xludf.DUMMYFUNCTION("""COMPUTED_VALUE"""),25.0)</f>
        <v>25</v>
      </c>
      <c r="E5453" s="237" t="str">
        <f>IFERROR(__xludf.DUMMYFUNCTION("""COMPUTED_VALUE"""),"LT0Q1M01WTH81")</f>
        <v>LT0Q1M01WTH81</v>
      </c>
      <c r="F5453" s="238" t="str">
        <f>IFERROR(__xludf.DUMMYFUNCTION("""COMPUTED_VALUE"""),"DYL0G56")</f>
        <v>DYL0G56</v>
      </c>
      <c r="G5453" s="238">
        <f>IFERROR(__xludf.DUMMYFUNCTION("""COMPUTED_VALUE"""),46044.10416666667)</f>
        <v>46044.10417</v>
      </c>
      <c r="H5453" s="238">
        <f>IFERROR(__xludf.DUMMYFUNCTION("""COMPUTED_VALUE"""),46044.1875)</f>
        <v>46044.1875</v>
      </c>
      <c r="I5453" s="237" t="str">
        <f t="shared" si="1"/>
        <v>Fora</v>
      </c>
      <c r="J5453" s="239">
        <v>599.9999999860302</v>
      </c>
    </row>
    <row r="5454">
      <c r="A5454" s="234" t="s">
        <v>6294</v>
      </c>
      <c r="B5454" s="238" t="str">
        <f>IFERROR(__xludf.DUMMYFUNCTION("""COMPUTED_VALUE"""),"SoC_GO_Goiânia_02")</f>
        <v>SoC_GO_Goiânia_02</v>
      </c>
      <c r="C5454" s="238" t="str">
        <f>IFERROR(__xludf.DUMMYFUNCTION("""COMPUTED_VALUE"""),"SOC-GO2")</f>
        <v>SOC-GO2</v>
      </c>
      <c r="D5454" s="234">
        <f>IFERROR(__xludf.DUMMYFUNCTION("""COMPUTED_VALUE"""),114.0)</f>
        <v>114</v>
      </c>
      <c r="E5454" s="237" t="str">
        <f>IFERROR(__xludf.DUMMYFUNCTION("""COMPUTED_VALUE"""),"LT0Q1L01WYQU2")</f>
        <v>LT0Q1L01WYQU2</v>
      </c>
      <c r="F5454" s="238" t="str">
        <f>IFERROR(__xludf.DUMMYFUNCTION("""COMPUTED_VALUE"""),"RFD3G51,EFW6D40")</f>
        <v>RFD3G51,EFW6D40</v>
      </c>
      <c r="G5454" s="238">
        <f>IFERROR(__xludf.DUMMYFUNCTION("""COMPUTED_VALUE"""),46043.79166666667)</f>
        <v>46043.79167</v>
      </c>
      <c r="H5454" s="238">
        <f>IFERROR(__xludf.DUMMYFUNCTION("""COMPUTED_VALUE"""),46044.20833333333)</f>
        <v>46044.20833</v>
      </c>
      <c r="I5454" s="237" t="str">
        <f t="shared" si="1"/>
        <v>Fora</v>
      </c>
      <c r="J5454" s="239">
        <v>599.9999999860302</v>
      </c>
    </row>
    <row r="5455">
      <c r="A5455" s="234" t="s">
        <v>6295</v>
      </c>
      <c r="B5455" s="238" t="str">
        <f>IFERROR(__xludf.DUMMYFUNCTION("""COMPUTED_VALUE"""),"SoC_PE_Jaboatão dos Guararapes")</f>
        <v>SoC_PE_Jaboatão dos Guararapes</v>
      </c>
      <c r="C5455" s="238" t="str">
        <f>IFERROR(__xludf.DUMMYFUNCTION("""COMPUTED_VALUE"""),"SOC-PE2")</f>
        <v>SOC-PE2</v>
      </c>
      <c r="D5455" s="234">
        <f>IFERROR(__xludf.DUMMYFUNCTION("""COMPUTED_VALUE"""),98.0)</f>
        <v>98</v>
      </c>
      <c r="E5455" s="237" t="str">
        <f>IFERROR(__xludf.DUMMYFUNCTION("""COMPUTED_VALUE"""),"LT1Q1L01X8IG1")</f>
        <v>LT1Q1L01X8IG1</v>
      </c>
      <c r="F5455" s="238" t="str">
        <f>IFERROR(__xludf.DUMMYFUNCTION("""COMPUTED_VALUE"""),"QMC3499,OVK8C91")</f>
        <v>QMC3499,OVK8C91</v>
      </c>
      <c r="G5455" s="238">
        <f>IFERROR(__xludf.DUMMYFUNCTION("""COMPUTED_VALUE"""),46043.79166666667)</f>
        <v>46043.79167</v>
      </c>
      <c r="H5455" s="238">
        <f>IFERROR(__xludf.DUMMYFUNCTION("""COMPUTED_VALUE"""),46044.20833333333)</f>
        <v>46044.20833</v>
      </c>
      <c r="I5455" s="237" t="str">
        <f t="shared" si="1"/>
        <v>Fora</v>
      </c>
      <c r="J5455" s="239">
        <v>599.9999999860302</v>
      </c>
    </row>
    <row r="5456">
      <c r="A5456" s="234" t="s">
        <v>6296</v>
      </c>
      <c r="B5456" s="238" t="str">
        <f>IFERROR(__xludf.DUMMYFUNCTION("""COMPUTED_VALUE"""),"SoC_SC_Itajaí")</f>
        <v>SoC_SC_Itajaí</v>
      </c>
      <c r="C5456" s="238" t="str">
        <f>IFERROR(__xludf.DUMMYFUNCTION("""COMPUTED_VALUE"""),"SOC-SC1")</f>
        <v>SOC-SC1</v>
      </c>
      <c r="D5456" s="234">
        <f>IFERROR(__xludf.DUMMYFUNCTION("""COMPUTED_VALUE"""),100.0)</f>
        <v>100</v>
      </c>
      <c r="E5456" s="237" t="str">
        <f>IFERROR(__xludf.DUMMYFUNCTION("""COMPUTED_VALUE"""),"LT0Q1L01WXHF1")</f>
        <v>LT0Q1L01WXHF1</v>
      </c>
      <c r="F5456" s="238" t="str">
        <f>IFERROR(__xludf.DUMMYFUNCTION("""COMPUTED_VALUE"""),"RLH2B54,RAJ1147")</f>
        <v>RLH2B54,RAJ1147</v>
      </c>
      <c r="G5456" s="238">
        <f>IFERROR(__xludf.DUMMYFUNCTION("""COMPUTED_VALUE"""),46043.79166666667)</f>
        <v>46043.79167</v>
      </c>
      <c r="H5456" s="238">
        <f>IFERROR(__xludf.DUMMYFUNCTION("""COMPUTED_VALUE"""),46044.20833333333)</f>
        <v>46044.20833</v>
      </c>
      <c r="I5456" s="237" t="str">
        <f t="shared" si="1"/>
        <v>Fora</v>
      </c>
      <c r="J5456" s="239">
        <v>119.99999999301508</v>
      </c>
    </row>
    <row r="5457">
      <c r="A5457" s="234" t="s">
        <v>6297</v>
      </c>
      <c r="B5457" s="238" t="str">
        <f>IFERROR(__xludf.DUMMYFUNCTION("""COMPUTED_VALUE"""),"LM Hub_SP_Itapeva")</f>
        <v>LM Hub_SP_Itapeva</v>
      </c>
      <c r="C5457" s="238" t="str">
        <f>IFERROR(__xludf.DUMMYFUNCTION("""COMPUTED_VALUE"""),"HUB-LSP-39")</f>
        <v>HUB-LSP-39</v>
      </c>
      <c r="D5457" s="234">
        <f>IFERROR(__xludf.DUMMYFUNCTION("""COMPUTED_VALUE"""),5.0)</f>
        <v>5</v>
      </c>
      <c r="E5457" s="237" t="str">
        <f>IFERROR(__xludf.DUMMYFUNCTION("""COMPUTED_VALUE"""),"LT0Q1M01WTF11")</f>
        <v>LT0Q1M01WTF11</v>
      </c>
      <c r="F5457" s="238" t="str">
        <f>IFERROR(__xludf.DUMMYFUNCTION("""COMPUTED_VALUE"""),"TKY7J39")</f>
        <v>TKY7J39</v>
      </c>
      <c r="G5457" s="238">
        <f>IFERROR(__xludf.DUMMYFUNCTION("""COMPUTED_VALUE"""),46044.125)</f>
        <v>46044.125</v>
      </c>
      <c r="H5457" s="238">
        <f>IFERROR(__xludf.DUMMYFUNCTION("""COMPUTED_VALUE"""),46044.20833333333)</f>
        <v>46044.20833</v>
      </c>
      <c r="I5457" s="237" t="str">
        <f t="shared" si="1"/>
        <v>Fora</v>
      </c>
      <c r="J5457" s="239">
        <v>119.99999999301508</v>
      </c>
    </row>
    <row r="5458">
      <c r="A5458" s="234" t="s">
        <v>6298</v>
      </c>
      <c r="B5458" s="238" t="str">
        <f>IFERROR(__xludf.DUMMYFUNCTION("""COMPUTED_VALUE"""),"LM Hub_SP_Sumaré_Nova Veneza_1")</f>
        <v>LM Hub_SP_Sumaré_Nova Veneza_1</v>
      </c>
      <c r="C5458" s="238" t="str">
        <f>IFERROR(__xludf.DUMMYFUNCTION("""COMPUTED_VALUE"""),"HUB-LSP-88")</f>
        <v>HUB-LSP-88</v>
      </c>
      <c r="D5458" s="234">
        <f>IFERROR(__xludf.DUMMYFUNCTION("""COMPUTED_VALUE"""),9.0)</f>
        <v>9</v>
      </c>
      <c r="E5458" s="237" t="str">
        <f>IFERROR(__xludf.DUMMYFUNCTION("""COMPUTED_VALUE"""),"LT0Q1M01WXZ61")</f>
        <v>LT0Q1M01WXZ61</v>
      </c>
      <c r="F5458" s="238" t="str">
        <f>IFERROR(__xludf.DUMMYFUNCTION("""COMPUTED_VALUE"""),"GGQ5I15")</f>
        <v>GGQ5I15</v>
      </c>
      <c r="G5458" s="238">
        <f>IFERROR(__xludf.DUMMYFUNCTION("""COMPUTED_VALUE"""),46044.125)</f>
        <v>46044.125</v>
      </c>
      <c r="H5458" s="238">
        <f>IFERROR(__xludf.DUMMYFUNCTION("""COMPUTED_VALUE"""),46044.20833333333)</f>
        <v>46044.20833</v>
      </c>
      <c r="I5458" s="237" t="str">
        <f t="shared" si="1"/>
        <v>Fora</v>
      </c>
      <c r="J5458" s="239">
        <v>119.99999999301508</v>
      </c>
    </row>
    <row r="5459">
      <c r="A5459" s="234" t="s">
        <v>6299</v>
      </c>
      <c r="B5459" s="238" t="str">
        <f>IFERROR(__xludf.DUMMYFUNCTION("""COMPUTED_VALUE"""),"SoC_PR_Curitiba")</f>
        <v>SoC_PR_Curitiba</v>
      </c>
      <c r="C5459" s="238" t="str">
        <f>IFERROR(__xludf.DUMMYFUNCTION("""COMPUTED_VALUE"""),"SOC-PR1")</f>
        <v>SOC-PR1</v>
      </c>
      <c r="D5459" s="234">
        <f>IFERROR(__xludf.DUMMYFUNCTION("""COMPUTED_VALUE"""),17.0)</f>
        <v>17</v>
      </c>
      <c r="E5459" s="237" t="str">
        <f>IFERROR(__xludf.DUMMYFUNCTION("""COMPUTED_VALUE"""),"LT0Q1M01WT911")</f>
        <v>LT0Q1M01WT911</v>
      </c>
      <c r="F5459" s="238" t="str">
        <f>IFERROR(__xludf.DUMMYFUNCTION("""COMPUTED_VALUE"""),"TAO4G33,BEY5C16")</f>
        <v>TAO4G33,BEY5C16</v>
      </c>
      <c r="G5459" s="238">
        <f>IFERROR(__xludf.DUMMYFUNCTION("""COMPUTED_VALUE"""),46044.125)</f>
        <v>46044.125</v>
      </c>
      <c r="H5459" s="238">
        <f>IFERROR(__xludf.DUMMYFUNCTION("""COMPUTED_VALUE"""),46044.20833333333)</f>
        <v>46044.20833</v>
      </c>
      <c r="I5459" s="237" t="str">
        <f t="shared" si="1"/>
        <v>Fora</v>
      </c>
      <c r="J5459" s="239">
        <v>119.99999999301508</v>
      </c>
    </row>
    <row r="5460">
      <c r="A5460" s="234" t="s">
        <v>6300</v>
      </c>
      <c r="B5460" s="238" t="str">
        <f>IFERROR(__xludf.DUMMYFUNCTION("""COMPUTED_VALUE"""),"SoC_RS_Gravataí_02")</f>
        <v>SoC_RS_Gravataí_02</v>
      </c>
      <c r="C5460" s="238" t="str">
        <f>IFERROR(__xludf.DUMMYFUNCTION("""COMPUTED_VALUE"""),"SOC-RS2")</f>
        <v>SOC-RS2</v>
      </c>
      <c r="D5460" s="234">
        <f>IFERROR(__xludf.DUMMYFUNCTION("""COMPUTED_VALUE"""),109.0)</f>
        <v>109</v>
      </c>
      <c r="E5460" s="237" t="str">
        <f>IFERROR(__xludf.DUMMYFUNCTION("""COMPUTED_VALUE"""),"LT1Q1M01X91M1")</f>
        <v>LT1Q1M01X91M1</v>
      </c>
      <c r="F5460" s="238" t="str">
        <f>IFERROR(__xludf.DUMMYFUNCTION("""COMPUTED_VALUE"""),"OKD4D78,RXU0G48")</f>
        <v>OKD4D78,RXU0G48</v>
      </c>
      <c r="G5460" s="238">
        <f>IFERROR(__xludf.DUMMYFUNCTION("""COMPUTED_VALUE"""),46044.125)</f>
        <v>46044.125</v>
      </c>
      <c r="H5460" s="238">
        <f>IFERROR(__xludf.DUMMYFUNCTION("""COMPUTED_VALUE"""),46044.20833333333)</f>
        <v>46044.20833</v>
      </c>
      <c r="I5460" s="237" t="str">
        <f t="shared" si="1"/>
        <v>Fora</v>
      </c>
      <c r="J5460" s="239">
        <v>119.99999999301508</v>
      </c>
    </row>
    <row r="5461">
      <c r="A5461" s="234" t="s">
        <v>6301</v>
      </c>
      <c r="B5461" s="238" t="str">
        <f>IFERROR(__xludf.DUMMYFUNCTION("""COMPUTED_VALUE"""),"SoC_RS_Gravataí_02")</f>
        <v>SoC_RS_Gravataí_02</v>
      </c>
      <c r="C5461" s="238" t="str">
        <f>IFERROR(__xludf.DUMMYFUNCTION("""COMPUTED_VALUE"""),"SOC-RS2")</f>
        <v>SOC-RS2</v>
      </c>
      <c r="D5461" s="234">
        <f>IFERROR(__xludf.DUMMYFUNCTION("""COMPUTED_VALUE"""),92.0)</f>
        <v>92</v>
      </c>
      <c r="E5461" s="237" t="str">
        <f>IFERROR(__xludf.DUMMYFUNCTION("""COMPUTED_VALUE"""),"LT1Q1M01X91N1")</f>
        <v>LT1Q1M01X91N1</v>
      </c>
      <c r="F5461" s="238" t="str">
        <f>IFERROR(__xludf.DUMMYFUNCTION("""COMPUTED_VALUE"""),"QJT2H39,JCY9J80")</f>
        <v>QJT2H39,JCY9J80</v>
      </c>
      <c r="G5461" s="238">
        <f>IFERROR(__xludf.DUMMYFUNCTION("""COMPUTED_VALUE"""),46044.125)</f>
        <v>46044.125</v>
      </c>
      <c r="H5461" s="238">
        <f>IFERROR(__xludf.DUMMYFUNCTION("""COMPUTED_VALUE"""),46044.20833333333)</f>
        <v>46044.20833</v>
      </c>
      <c r="I5461" s="237" t="str">
        <f t="shared" si="1"/>
        <v>Fora</v>
      </c>
      <c r="J5461" s="239">
        <v>119.99999999301508</v>
      </c>
    </row>
    <row r="5462">
      <c r="A5462" s="234" t="s">
        <v>6302</v>
      </c>
      <c r="B5462" s="238" t="str">
        <f>IFERROR(__xludf.DUMMYFUNCTION("""COMPUTED_VALUE"""),"SoC_SP_Louveira")</f>
        <v>SoC_SP_Louveira</v>
      </c>
      <c r="C5462" s="238" t="str">
        <f>IFERROR(__xludf.DUMMYFUNCTION("""COMPUTED_VALUE"""),"SOC-SP7")</f>
        <v>SOC-SP7</v>
      </c>
      <c r="D5462" s="234"/>
      <c r="E5462" s="237" t="str">
        <f>IFERROR(__xludf.DUMMYFUNCTION("""COMPUTED_VALUE"""),"LT1Q1M01X91L1")</f>
        <v>LT1Q1M01X91L1</v>
      </c>
      <c r="F5462" s="238" t="str">
        <f>IFERROR(__xludf.DUMMYFUNCTION("""COMPUTED_VALUE"""),"GGP5G56,JXH7C36")</f>
        <v>GGP5G56,JXH7C36</v>
      </c>
      <c r="G5462" s="238">
        <f>IFERROR(__xludf.DUMMYFUNCTION("""COMPUTED_VALUE"""),46044.125)</f>
        <v>46044.125</v>
      </c>
      <c r="H5462" s="238">
        <f>IFERROR(__xludf.DUMMYFUNCTION("""COMPUTED_VALUE"""),46044.20833333333)</f>
        <v>46044.20833</v>
      </c>
      <c r="I5462" s="237" t="str">
        <f t="shared" si="1"/>
        <v>Fora</v>
      </c>
      <c r="J5462" s="239">
        <v>120.00000001396984</v>
      </c>
    </row>
    <row r="5463">
      <c r="A5463" s="234" t="s">
        <v>6303</v>
      </c>
      <c r="B5463" s="238" t="str">
        <f>IFERROR(__xludf.DUMMYFUNCTION("""COMPUTED_VALUE"""),"LM Hub_SP_Campinas_São Martinho")</f>
        <v>LM Hub_SP_Campinas_São Martinho</v>
      </c>
      <c r="C5463" s="238" t="str">
        <f>IFERROR(__xludf.DUMMYFUNCTION("""COMPUTED_VALUE"""),"HUB-LSP-19")</f>
        <v>HUB-LSP-19</v>
      </c>
      <c r="D5463" s="234">
        <f>IFERROR(__xludf.DUMMYFUNCTION("""COMPUTED_VALUE"""),41.0)</f>
        <v>41</v>
      </c>
      <c r="E5463" s="237" t="str">
        <f>IFERROR(__xludf.DUMMYFUNCTION("""COMPUTED_VALUE"""),"LT0Q1M01WTJ21")</f>
        <v>LT0Q1M01WTJ21</v>
      </c>
      <c r="F5463" s="238" t="str">
        <f>IFERROR(__xludf.DUMMYFUNCTION("""COMPUTED_VALUE"""),"GCJ6G71")</f>
        <v>GCJ6G71</v>
      </c>
      <c r="G5463" s="238">
        <f>IFERROR(__xludf.DUMMYFUNCTION("""COMPUTED_VALUE"""),46044.14583333333)</f>
        <v>46044.14583</v>
      </c>
      <c r="H5463" s="238">
        <f>IFERROR(__xludf.DUMMYFUNCTION("""COMPUTED_VALUE"""),46044.22916666667)</f>
        <v>46044.22917</v>
      </c>
      <c r="I5463" s="237" t="str">
        <f t="shared" si="1"/>
        <v>Fora</v>
      </c>
      <c r="J5463" s="239">
        <v>120.00000001396984</v>
      </c>
    </row>
    <row r="5464">
      <c r="A5464" s="234" t="s">
        <v>6304</v>
      </c>
      <c r="B5464" s="238" t="str">
        <f>IFERROR(__xludf.DUMMYFUNCTION("""COMPUTED_VALUE"""),"LM Hub_SP_Mogi Mirim")</f>
        <v>LM Hub_SP_Mogi Mirim</v>
      </c>
      <c r="C5464" s="238" t="str">
        <f>IFERROR(__xludf.DUMMYFUNCTION("""COMPUTED_VALUE"""),"HUB-LSP-37")</f>
        <v>HUB-LSP-37</v>
      </c>
      <c r="D5464" s="234">
        <f>IFERROR(__xludf.DUMMYFUNCTION("""COMPUTED_VALUE"""),35.0)</f>
        <v>35</v>
      </c>
      <c r="E5464" s="237" t="str">
        <f>IFERROR(__xludf.DUMMYFUNCTION("""COMPUTED_VALUE"""),"LT0Q1M01WTHJ1")</f>
        <v>LT0Q1M01WTHJ1</v>
      </c>
      <c r="F5464" s="238" t="str">
        <f>IFERROR(__xludf.DUMMYFUNCTION("""COMPUTED_VALUE"""),"TLE4D84")</f>
        <v>TLE4D84</v>
      </c>
      <c r="G5464" s="238">
        <f>IFERROR(__xludf.DUMMYFUNCTION("""COMPUTED_VALUE"""),46044.14583333333)</f>
        <v>46044.14583</v>
      </c>
      <c r="H5464" s="238">
        <f>IFERROR(__xludf.DUMMYFUNCTION("""COMPUTED_VALUE"""),46044.22916666667)</f>
        <v>46044.22917</v>
      </c>
      <c r="I5464" s="237" t="str">
        <f t="shared" si="1"/>
        <v>Fora</v>
      </c>
      <c r="J5464" s="239">
        <v>119.00000001071021</v>
      </c>
    </row>
    <row r="5465">
      <c r="A5465" s="234" t="s">
        <v>6305</v>
      </c>
      <c r="B5465" s="238" t="str">
        <f>IFERROR(__xludf.DUMMYFUNCTION("""COMPUTED_VALUE"""),"LM Hub_SP_Sorocaba_Região Norte")</f>
        <v>LM Hub_SP_Sorocaba_Região Norte</v>
      </c>
      <c r="C5465" s="238" t="str">
        <f>IFERROR(__xludf.DUMMYFUNCTION("""COMPUTED_VALUE"""),"HUB-LSP-10")</f>
        <v>HUB-LSP-10</v>
      </c>
      <c r="D5465" s="234">
        <f>IFERROR(__xludf.DUMMYFUNCTION("""COMPUTED_VALUE"""),44.0)</f>
        <v>44</v>
      </c>
      <c r="E5465" s="237" t="str">
        <f>IFERROR(__xludf.DUMMYFUNCTION("""COMPUTED_VALUE"""),"LT0Q1M01X2NF1")</f>
        <v>LT0Q1M01X2NF1</v>
      </c>
      <c r="F5465" s="238" t="str">
        <f>IFERROR(__xludf.DUMMYFUNCTION("""COMPUTED_VALUE"""),"FDZ3A56,KVS1392")</f>
        <v>FDZ3A56,KVS1392</v>
      </c>
      <c r="G5465" s="238">
        <f>IFERROR(__xludf.DUMMYFUNCTION("""COMPUTED_VALUE"""),46044.146527777775)</f>
        <v>46044.14653</v>
      </c>
      <c r="H5465" s="238">
        <f>IFERROR(__xludf.DUMMYFUNCTION("""COMPUTED_VALUE"""),46044.22916666667)</f>
        <v>46044.22917</v>
      </c>
      <c r="I5465" s="237" t="str">
        <f t="shared" si="1"/>
        <v>Fora</v>
      </c>
      <c r="J5465" s="239">
        <v>180.0</v>
      </c>
    </row>
    <row r="5466">
      <c r="A5466" s="234" t="s">
        <v>6306</v>
      </c>
      <c r="B5466" s="238" t="str">
        <f>IFERROR(__xludf.DUMMYFUNCTION("""COMPUTED_VALUE"""),"SoC_SP_Santana")</f>
        <v>SoC_SP_Santana</v>
      </c>
      <c r="C5466" s="238" t="str">
        <f>IFERROR(__xludf.DUMMYFUNCTION("""COMPUTED_VALUE"""),"SOC-SP2")</f>
        <v>SOC-SP2</v>
      </c>
      <c r="D5466" s="234">
        <f>IFERROR(__xludf.DUMMYFUNCTION("""COMPUTED_VALUE"""),29.0)</f>
        <v>29</v>
      </c>
      <c r="E5466" s="237" t="str">
        <f>IFERROR(__xludf.DUMMYFUNCTION("""COMPUTED_VALUE"""),"LT0Q1M01WTX01")</f>
        <v>LT0Q1M01WTX01</v>
      </c>
      <c r="F5466" s="238" t="str">
        <f>IFERROR(__xludf.DUMMYFUNCTION("""COMPUTED_VALUE"""),"STN7J16,DAE4E21")</f>
        <v>STN7J16,DAE4E21</v>
      </c>
      <c r="G5466" s="238">
        <f>IFERROR(__xludf.DUMMYFUNCTION("""COMPUTED_VALUE"""),46044.125)</f>
        <v>46044.125</v>
      </c>
      <c r="H5466" s="238">
        <f>IFERROR(__xludf.DUMMYFUNCTION("""COMPUTED_VALUE"""),46044.25)</f>
        <v>46044.25</v>
      </c>
      <c r="I5466" s="237" t="str">
        <f t="shared" si="1"/>
        <v>Fora</v>
      </c>
      <c r="J5466" s="239">
        <v>119.99999999301508</v>
      </c>
    </row>
    <row r="5467">
      <c r="A5467" s="234" t="s">
        <v>6307</v>
      </c>
      <c r="B5467" s="238" t="str">
        <f>IFERROR(__xludf.DUMMYFUNCTION("""COMPUTED_VALUE"""),"LM Hub_SP_Guaratinguetá")</f>
        <v>LM Hub_SP_Guaratinguetá</v>
      </c>
      <c r="C5467" s="238" t="str">
        <f>IFERROR(__xludf.DUMMYFUNCTION("""COMPUTED_VALUE"""),"HUB-LSP-33")</f>
        <v>HUB-LSP-33</v>
      </c>
      <c r="D5467" s="234">
        <f>IFERROR(__xludf.DUMMYFUNCTION("""COMPUTED_VALUE"""),18.0)</f>
        <v>18</v>
      </c>
      <c r="E5467" s="237" t="str">
        <f>IFERROR(__xludf.DUMMYFUNCTION("""COMPUTED_VALUE"""),"LT0Q1M01WTFU1")</f>
        <v>LT0Q1M01WTFU1</v>
      </c>
      <c r="F5467" s="238" t="str">
        <f>IFERROR(__xludf.DUMMYFUNCTION("""COMPUTED_VALUE"""),"TAJ5D50")</f>
        <v>TAJ5D50</v>
      </c>
      <c r="G5467" s="238">
        <f>IFERROR(__xludf.DUMMYFUNCTION("""COMPUTED_VALUE"""),46044.16666666667)</f>
        <v>46044.16667</v>
      </c>
      <c r="H5467" s="238">
        <f>IFERROR(__xludf.DUMMYFUNCTION("""COMPUTED_VALUE"""),46044.25)</f>
        <v>46044.25</v>
      </c>
      <c r="I5467" s="237" t="str">
        <f t="shared" si="1"/>
        <v>Fora</v>
      </c>
      <c r="J5467" s="239">
        <v>119.99999999301508</v>
      </c>
    </row>
    <row r="5468">
      <c r="A5468" s="234" t="s">
        <v>6308</v>
      </c>
      <c r="B5468" s="238" t="str">
        <f>IFERROR(__xludf.DUMMYFUNCTION("""COMPUTED_VALUE"""),"LM Hub_SP_Limeira_Campo Belo")</f>
        <v>LM Hub_SP_Limeira_Campo Belo</v>
      </c>
      <c r="C5468" s="238" t="str">
        <f>IFERROR(__xludf.DUMMYFUNCTION("""COMPUTED_VALUE"""),"HUB-LSP-24")</f>
        <v>HUB-LSP-24</v>
      </c>
      <c r="D5468" s="234">
        <f>IFERROR(__xludf.DUMMYFUNCTION("""COMPUTED_VALUE"""),16.0)</f>
        <v>16</v>
      </c>
      <c r="E5468" s="237" t="str">
        <f>IFERROR(__xludf.DUMMYFUNCTION("""COMPUTED_VALUE"""),"LT0Q1M01WTGU1")</f>
        <v>LT0Q1M01WTGU1</v>
      </c>
      <c r="F5468" s="238" t="str">
        <f>IFERROR(__xludf.DUMMYFUNCTION("""COMPUTED_VALUE"""),"UDI0A98")</f>
        <v>UDI0A98</v>
      </c>
      <c r="G5468" s="238">
        <f>IFERROR(__xludf.DUMMYFUNCTION("""COMPUTED_VALUE"""),46044.16666666667)</f>
        <v>46044.16667</v>
      </c>
      <c r="H5468" s="238">
        <f>IFERROR(__xludf.DUMMYFUNCTION("""COMPUTED_VALUE"""),46044.25)</f>
        <v>46044.25</v>
      </c>
      <c r="I5468" s="237" t="str">
        <f t="shared" si="1"/>
        <v>Fora</v>
      </c>
      <c r="J5468" s="239">
        <v>119.99999999301508</v>
      </c>
    </row>
    <row r="5469">
      <c r="A5469" s="234" t="s">
        <v>6309</v>
      </c>
      <c r="B5469" s="238" t="str">
        <f>IFERROR(__xludf.DUMMYFUNCTION("""COMPUTED_VALUE"""),"LM Hub_SP_Registro")</f>
        <v>LM Hub_SP_Registro</v>
      </c>
      <c r="C5469" s="238" t="str">
        <f>IFERROR(__xludf.DUMMYFUNCTION("""COMPUTED_VALUE"""),"HUB-LSP-40")</f>
        <v>HUB-LSP-40</v>
      </c>
      <c r="D5469" s="234">
        <f>IFERROR(__xludf.DUMMYFUNCTION("""COMPUTED_VALUE"""),33.0)</f>
        <v>33</v>
      </c>
      <c r="E5469" s="237" t="str">
        <f>IFERROR(__xludf.DUMMYFUNCTION("""COMPUTED_VALUE"""),"LT0Q1M01WTFL1")</f>
        <v>LT0Q1M01WTFL1</v>
      </c>
      <c r="F5469" s="238" t="str">
        <f>IFERROR(__xludf.DUMMYFUNCTION("""COMPUTED_VALUE"""),"CSK6J01")</f>
        <v>CSK6J01</v>
      </c>
      <c r="G5469" s="238">
        <f>IFERROR(__xludf.DUMMYFUNCTION("""COMPUTED_VALUE"""),46044.16666666667)</f>
        <v>46044.16667</v>
      </c>
      <c r="H5469" s="238">
        <f>IFERROR(__xludf.DUMMYFUNCTION("""COMPUTED_VALUE"""),46044.25)</f>
        <v>46044.25</v>
      </c>
      <c r="I5469" s="237" t="str">
        <f t="shared" si="1"/>
        <v>Fora</v>
      </c>
      <c r="J5469" s="239">
        <v>119.00000000023283</v>
      </c>
    </row>
    <row r="5470">
      <c r="A5470" s="234" t="s">
        <v>6310</v>
      </c>
      <c r="B5470" s="238" t="str">
        <f>IFERROR(__xludf.DUMMYFUNCTION("""COMPUTED_VALUE"""),"SoC_SP_Louveira")</f>
        <v>SoC_SP_Louveira</v>
      </c>
      <c r="C5470" s="238" t="str">
        <f>IFERROR(__xludf.DUMMYFUNCTION("""COMPUTED_VALUE"""),"SOC-SP7")</f>
        <v>SOC-SP7</v>
      </c>
      <c r="D5470" s="234"/>
      <c r="E5470" s="237" t="str">
        <f>IFERROR(__xludf.DUMMYFUNCTION("""COMPUTED_VALUE"""),"LT0Q1M01X2M21")</f>
        <v>LT0Q1M01X2M21</v>
      </c>
      <c r="F5470" s="238" t="str">
        <f>IFERROR(__xludf.DUMMYFUNCTION("""COMPUTED_VALUE"""),"ECM7486,OAH3B11")</f>
        <v>ECM7486,OAH3B11</v>
      </c>
      <c r="G5470" s="238">
        <f>IFERROR(__xludf.DUMMYFUNCTION("""COMPUTED_VALUE"""),46044.16736111111)</f>
        <v>46044.16736</v>
      </c>
      <c r="H5470" s="238">
        <f>IFERROR(__xludf.DUMMYFUNCTION("""COMPUTED_VALUE"""),46044.25)</f>
        <v>46044.25</v>
      </c>
      <c r="I5470" s="237" t="str">
        <f t="shared" si="1"/>
        <v>Fora</v>
      </c>
      <c r="J5470" s="239">
        <v>119.99999999301508</v>
      </c>
    </row>
    <row r="5471">
      <c r="A5471" s="234" t="s">
        <v>1065</v>
      </c>
      <c r="B5471" s="238" t="str">
        <f>IFERROR(__xludf.DUMMYFUNCTION("""COMPUTED_VALUE"""),"LM Hub_SP_Atibaia_Ponte_Alta")</f>
        <v>LM Hub_SP_Atibaia_Ponte_Alta</v>
      </c>
      <c r="C5471" s="238" t="str">
        <f>IFERROR(__xludf.DUMMYFUNCTION("""COMPUTED_VALUE"""),"HUB-LSP-87")</f>
        <v>HUB-LSP-87</v>
      </c>
      <c r="D5471" s="234">
        <f>IFERROR(__xludf.DUMMYFUNCTION("""COMPUTED_VALUE"""),19.0)</f>
        <v>19</v>
      </c>
      <c r="E5471" s="237" t="str">
        <f>IFERROR(__xludf.DUMMYFUNCTION("""COMPUTED_VALUE"""),"LT0Q1M01WWTI1")</f>
        <v>LT0Q1M01WWTI1</v>
      </c>
      <c r="F5471" s="238" t="str">
        <f>IFERROR(__xludf.DUMMYFUNCTION("""COMPUTED_VALUE"""),"FFE0G82")</f>
        <v>FFE0G82</v>
      </c>
      <c r="G5471" s="238">
        <f>IFERROR(__xludf.DUMMYFUNCTION("""COMPUTED_VALUE"""),46044.1875)</f>
        <v>46044.1875</v>
      </c>
      <c r="H5471" s="238">
        <f>IFERROR(__xludf.DUMMYFUNCTION("""COMPUTED_VALUE"""),46044.27083333333)</f>
        <v>46044.27083</v>
      </c>
      <c r="I5471" s="237" t="str">
        <f t="shared" si="1"/>
        <v>Fora</v>
      </c>
      <c r="J5471" s="239">
        <v>119.99999999301508</v>
      </c>
    </row>
    <row r="5472">
      <c r="A5472" s="234" t="s">
        <v>1066</v>
      </c>
      <c r="B5472" s="238" t="str">
        <f>IFERROR(__xludf.DUMMYFUNCTION("""COMPUTED_VALUE"""),"LM Hub_SP_Taubaté")</f>
        <v>LM Hub_SP_Taubaté</v>
      </c>
      <c r="C5472" s="238" t="str">
        <f>IFERROR(__xludf.DUMMYFUNCTION("""COMPUTED_VALUE"""),"HUB-LSP-08")</f>
        <v>HUB-LSP-08</v>
      </c>
      <c r="D5472" s="234">
        <f>IFERROR(__xludf.DUMMYFUNCTION("""COMPUTED_VALUE"""),13.0)</f>
        <v>13</v>
      </c>
      <c r="E5472" s="237" t="str">
        <f>IFERROR(__xludf.DUMMYFUNCTION("""COMPUTED_VALUE"""),"LT0Q1M01WTG51")</f>
        <v>LT0Q1M01WTG51</v>
      </c>
      <c r="F5472" s="238" t="str">
        <f>IFERROR(__xludf.DUMMYFUNCTION("""COMPUTED_VALUE"""),"FBQ6A90")</f>
        <v>FBQ6A90</v>
      </c>
      <c r="G5472" s="238">
        <f>IFERROR(__xludf.DUMMYFUNCTION("""COMPUTED_VALUE"""),46044.1875)</f>
        <v>46044.1875</v>
      </c>
      <c r="H5472" s="238">
        <f>IFERROR(__xludf.DUMMYFUNCTION("""COMPUTED_VALUE"""),46044.27083333333)</f>
        <v>46044.27083</v>
      </c>
      <c r="I5472" s="237" t="str">
        <f t="shared" si="1"/>
        <v>Fora</v>
      </c>
      <c r="J5472" s="239">
        <v>540.0</v>
      </c>
    </row>
    <row r="5473">
      <c r="A5473" s="234" t="s">
        <v>1067</v>
      </c>
      <c r="B5473" s="238" t="str">
        <f>IFERROR(__xludf.DUMMYFUNCTION("""COMPUTED_VALUE"""),"SoC_PE_Jaboatão dos Guararapes")</f>
        <v>SoC_PE_Jaboatão dos Guararapes</v>
      </c>
      <c r="C5473" s="238" t="str">
        <f>IFERROR(__xludf.DUMMYFUNCTION("""COMPUTED_VALUE"""),"SOC-PE2")</f>
        <v>SOC-PE2</v>
      </c>
      <c r="D5473" s="234">
        <f>IFERROR(__xludf.DUMMYFUNCTION("""COMPUTED_VALUE"""),98.0)</f>
        <v>98</v>
      </c>
      <c r="E5473" s="237" t="str">
        <f>IFERROR(__xludf.DUMMYFUNCTION("""COMPUTED_VALUE"""),"LT0Q1L01WYCK1")</f>
        <v>LT0Q1L01WYCK1</v>
      </c>
      <c r="F5473" s="238" t="str">
        <f>IFERROR(__xludf.DUMMYFUNCTION("""COMPUTED_VALUE"""),"QRB6E95,TOH2G21")</f>
        <v>QRB6E95,TOH2G21</v>
      </c>
      <c r="G5473" s="238">
        <f>IFERROR(__xludf.DUMMYFUNCTION("""COMPUTED_VALUE"""),46043.91666666667)</f>
        <v>46043.91667</v>
      </c>
      <c r="H5473" s="238">
        <f>IFERROR(__xludf.DUMMYFUNCTION("""COMPUTED_VALUE"""),46044.29166666667)</f>
        <v>46044.29167</v>
      </c>
      <c r="I5473" s="237" t="str">
        <f t="shared" si="1"/>
        <v>Fora</v>
      </c>
      <c r="J5473" s="239">
        <v>540.0</v>
      </c>
    </row>
    <row r="5474">
      <c r="A5474" s="234" t="s">
        <v>6311</v>
      </c>
      <c r="B5474" s="238" t="str">
        <f>IFERROR(__xludf.DUMMYFUNCTION("""COMPUTED_VALUE"""),"SoC_PE_Jaboatão dos Guararapes")</f>
        <v>SoC_PE_Jaboatão dos Guararapes</v>
      </c>
      <c r="C5474" s="238" t="str">
        <f>IFERROR(__xludf.DUMMYFUNCTION("""COMPUTED_VALUE"""),"SOC-PE2")</f>
        <v>SOC-PE2</v>
      </c>
      <c r="D5474" s="234">
        <f>IFERROR(__xludf.DUMMYFUNCTION("""COMPUTED_VALUE"""),99.0)</f>
        <v>99</v>
      </c>
      <c r="E5474" s="237" t="str">
        <f>IFERROR(__xludf.DUMMYFUNCTION("""COMPUTED_VALUE"""),"LT0Q1L01WYCM2")</f>
        <v>LT0Q1L01WYCM2</v>
      </c>
      <c r="F5474" s="238" t="str">
        <f>IFERROR(__xludf.DUMMYFUNCTION("""COMPUTED_VALUE"""),"DTE8B66,GFJ1E01")</f>
        <v>DTE8B66,GFJ1E01</v>
      </c>
      <c r="G5474" s="238">
        <f>IFERROR(__xludf.DUMMYFUNCTION("""COMPUTED_VALUE"""),46043.91666666667)</f>
        <v>46043.91667</v>
      </c>
      <c r="H5474" s="238">
        <f>IFERROR(__xludf.DUMMYFUNCTION("""COMPUTED_VALUE"""),46044.29166666667)</f>
        <v>46044.29167</v>
      </c>
      <c r="I5474" s="237" t="str">
        <f t="shared" si="1"/>
        <v>Fora</v>
      </c>
      <c r="J5474" s="239">
        <v>540.0</v>
      </c>
    </row>
    <row r="5475">
      <c r="A5475" s="234" t="s">
        <v>6312</v>
      </c>
      <c r="B5475" s="238" t="str">
        <f>IFERROR(__xludf.DUMMYFUNCTION("""COMPUTED_VALUE"""),"SoC_RJ_Duque de Caxias")</f>
        <v>SoC_RJ_Duque de Caxias</v>
      </c>
      <c r="C5475" s="238" t="str">
        <f>IFERROR(__xludf.DUMMYFUNCTION("""COMPUTED_VALUE"""),"SOC-RJ2")</f>
        <v>SOC-RJ2</v>
      </c>
      <c r="D5475" s="234" t="str">
        <f>IFERROR(__xludf.DUMMYFUNCTION("""COMPUTED_VALUE"""),"96/112")</f>
        <v>96/112</v>
      </c>
      <c r="E5475" s="237" t="str">
        <f>IFERROR(__xludf.DUMMYFUNCTION("""COMPUTED_VALUE"""),"LT0Q1L01X2Z51")</f>
        <v>LT0Q1L01X2Z51</v>
      </c>
      <c r="F5475" s="238" t="str">
        <f>IFERROR(__xludf.DUMMYFUNCTION("""COMPUTED_VALUE"""),"EVO9D64,DJE4A81")</f>
        <v>EVO9D64,DJE4A81</v>
      </c>
      <c r="G5475" s="238">
        <f>IFERROR(__xludf.DUMMYFUNCTION("""COMPUTED_VALUE"""),46043.91666666667)</f>
        <v>46043.91667</v>
      </c>
      <c r="H5475" s="238">
        <f>IFERROR(__xludf.DUMMYFUNCTION("""COMPUTED_VALUE"""),46044.29166666667)</f>
        <v>46044.29167</v>
      </c>
      <c r="I5475" s="237" t="str">
        <f t="shared" si="1"/>
        <v>Fora</v>
      </c>
      <c r="J5475" s="239">
        <v>540.0</v>
      </c>
    </row>
    <row r="5476">
      <c r="A5476" s="234" t="s">
        <v>6313</v>
      </c>
      <c r="B5476" s="238" t="str">
        <f>IFERROR(__xludf.DUMMYFUNCTION("""COMPUTED_VALUE"""),"SoC_RS_Gravataí_02")</f>
        <v>SoC_RS_Gravataí_02</v>
      </c>
      <c r="C5476" s="238" t="str">
        <f>IFERROR(__xludf.DUMMYFUNCTION("""COMPUTED_VALUE"""),"SOC-RS2")</f>
        <v>SOC-RS2</v>
      </c>
      <c r="D5476" s="234">
        <f>IFERROR(__xludf.DUMMYFUNCTION("""COMPUTED_VALUE"""),93.0)</f>
        <v>93</v>
      </c>
      <c r="E5476" s="237" t="str">
        <f>IFERROR(__xludf.DUMMYFUNCTION("""COMPUTED_VALUE"""),"LT0Q1L01WYT11")</f>
        <v>LT0Q1L01WYT11</v>
      </c>
      <c r="F5476" s="238" t="str">
        <f>IFERROR(__xludf.DUMMYFUNCTION("""COMPUTED_VALUE"""),"MEZ4C58,ITQ0A32")</f>
        <v>MEZ4C58,ITQ0A32</v>
      </c>
      <c r="G5476" s="238">
        <f>IFERROR(__xludf.DUMMYFUNCTION("""COMPUTED_VALUE"""),46043.91666666667)</f>
        <v>46043.91667</v>
      </c>
      <c r="H5476" s="238">
        <f>IFERROR(__xludf.DUMMYFUNCTION("""COMPUTED_VALUE"""),46044.29166666667)</f>
        <v>46044.29167</v>
      </c>
      <c r="I5476" s="237" t="str">
        <f t="shared" si="1"/>
        <v>Fora</v>
      </c>
      <c r="J5476" s="239">
        <v>539.0000000072177</v>
      </c>
    </row>
    <row r="5477">
      <c r="A5477" s="234" t="s">
        <v>1068</v>
      </c>
      <c r="B5477" s="238" t="str">
        <f>IFERROR(__xludf.DUMMYFUNCTION("""COMPUTED_VALUE"""),"SoC_GO_Goiânia_02")</f>
        <v>SoC_GO_Goiânia_02</v>
      </c>
      <c r="C5477" s="238" t="str">
        <f>IFERROR(__xludf.DUMMYFUNCTION("""COMPUTED_VALUE"""),"SOC-GO2")</f>
        <v>SOC-GO2</v>
      </c>
      <c r="D5477" s="234">
        <f>IFERROR(__xludf.DUMMYFUNCTION("""COMPUTED_VALUE"""),86.0)</f>
        <v>86</v>
      </c>
      <c r="E5477" s="237" t="str">
        <f>IFERROR(__xludf.DUMMYFUNCTION("""COMPUTED_VALUE"""),"LT0Q1L01WYR81")</f>
        <v>LT0Q1L01WYR81</v>
      </c>
      <c r="F5477" s="238" t="str">
        <f>IFERROR(__xludf.DUMMYFUNCTION("""COMPUTED_VALUE"""),"EGK6I72,HHG5600")</f>
        <v>EGK6I72,HHG5600</v>
      </c>
      <c r="G5477" s="238">
        <f>IFERROR(__xludf.DUMMYFUNCTION("""COMPUTED_VALUE"""),46043.91736111111)</f>
        <v>46043.91736</v>
      </c>
      <c r="H5477" s="238">
        <f>IFERROR(__xludf.DUMMYFUNCTION("""COMPUTED_VALUE"""),46044.29166666667)</f>
        <v>46044.29167</v>
      </c>
      <c r="I5477" s="237" t="str">
        <f t="shared" si="1"/>
        <v>Fora</v>
      </c>
      <c r="J5477" s="239">
        <v>539.0000000072177</v>
      </c>
    </row>
    <row r="5478">
      <c r="A5478" s="234" t="s">
        <v>6314</v>
      </c>
      <c r="B5478" s="238" t="str">
        <f>IFERROR(__xludf.DUMMYFUNCTION("""COMPUTED_VALUE"""),"SoC_GO_Goiânia_02")</f>
        <v>SoC_GO_Goiânia_02</v>
      </c>
      <c r="C5478" s="238" t="str">
        <f>IFERROR(__xludf.DUMMYFUNCTION("""COMPUTED_VALUE"""),"SOC-GO2")</f>
        <v>SOC-GO2</v>
      </c>
      <c r="D5478" s="234">
        <f>IFERROR(__xludf.DUMMYFUNCTION("""COMPUTED_VALUE"""),87.0)</f>
        <v>87</v>
      </c>
      <c r="E5478" s="237" t="str">
        <f>IFERROR(__xludf.DUMMYFUNCTION("""COMPUTED_VALUE"""),"LT0Q1L01WYRA2")</f>
        <v>LT0Q1L01WYRA2</v>
      </c>
      <c r="F5478" s="238" t="str">
        <f>IFERROR(__xludf.DUMMYFUNCTION("""COMPUTED_VALUE"""),"QJY2005,MEU9C82")</f>
        <v>QJY2005,MEU9C82</v>
      </c>
      <c r="G5478" s="238">
        <f>IFERROR(__xludf.DUMMYFUNCTION("""COMPUTED_VALUE"""),46043.91736111111)</f>
        <v>46043.91736</v>
      </c>
      <c r="H5478" s="238">
        <f>IFERROR(__xludf.DUMMYFUNCTION("""COMPUTED_VALUE"""),46044.29166666667)</f>
        <v>46044.29167</v>
      </c>
      <c r="I5478" s="237" t="str">
        <f t="shared" si="1"/>
        <v>Fora</v>
      </c>
      <c r="J5478" s="239">
        <v>539.0000000072177</v>
      </c>
    </row>
    <row r="5479">
      <c r="A5479" s="234" t="s">
        <v>6315</v>
      </c>
      <c r="B5479" s="238" t="str">
        <f>IFERROR(__xludf.DUMMYFUNCTION("""COMPUTED_VALUE"""),"SoC_SC_Itajaí")</f>
        <v>SoC_SC_Itajaí</v>
      </c>
      <c r="C5479" s="238" t="str">
        <f>IFERROR(__xludf.DUMMYFUNCTION("""COMPUTED_VALUE"""),"SOC-SC1")</f>
        <v>SOC-SC1</v>
      </c>
      <c r="D5479" s="234">
        <f>IFERROR(__xludf.DUMMYFUNCTION("""COMPUTED_VALUE"""),101.0)</f>
        <v>101</v>
      </c>
      <c r="E5479" s="237" t="str">
        <f>IFERROR(__xludf.DUMMYFUNCTION("""COMPUTED_VALUE"""),"LT0Q1L01WXHK1")</f>
        <v>LT0Q1L01WXHK1</v>
      </c>
      <c r="F5479" s="238" t="str">
        <f>IFERROR(__xludf.DUMMYFUNCTION("""COMPUTED_VALUE"""),"MIY3A35,MKY9684")</f>
        <v>MIY3A35,MKY9684</v>
      </c>
      <c r="G5479" s="238">
        <f>IFERROR(__xludf.DUMMYFUNCTION("""COMPUTED_VALUE"""),46043.91736111111)</f>
        <v>46043.91736</v>
      </c>
      <c r="H5479" s="238">
        <f>IFERROR(__xludf.DUMMYFUNCTION("""COMPUTED_VALUE"""),46044.29166666667)</f>
        <v>46044.29167</v>
      </c>
      <c r="I5479" s="237" t="str">
        <f t="shared" si="1"/>
        <v>Fora</v>
      </c>
      <c r="J5479" s="239">
        <v>539.0000000072177</v>
      </c>
    </row>
    <row r="5480">
      <c r="A5480" s="234" t="s">
        <v>1069</v>
      </c>
      <c r="B5480" s="238" t="str">
        <f>IFERROR(__xludf.DUMMYFUNCTION("""COMPUTED_VALUE"""),"SoC_SC_Itajaí")</f>
        <v>SoC_SC_Itajaí</v>
      </c>
      <c r="C5480" s="238" t="str">
        <f>IFERROR(__xludf.DUMMYFUNCTION("""COMPUTED_VALUE"""),"SOC-SC1")</f>
        <v>SOC-SC1</v>
      </c>
      <c r="D5480" s="234">
        <f>IFERROR(__xludf.DUMMYFUNCTION("""COMPUTED_VALUE"""),100.0)</f>
        <v>100</v>
      </c>
      <c r="E5480" s="237" t="str">
        <f>IFERROR(__xludf.DUMMYFUNCTION("""COMPUTED_VALUE"""),"LT0Q1L01WXHM2")</f>
        <v>LT0Q1L01WXHM2</v>
      </c>
      <c r="F5480" s="238" t="str">
        <f>IFERROR(__xludf.DUMMYFUNCTION("""COMPUTED_VALUE"""),"RYS4J85,SXJ6A32")</f>
        <v>RYS4J85,SXJ6A32</v>
      </c>
      <c r="G5480" s="238">
        <f>IFERROR(__xludf.DUMMYFUNCTION("""COMPUTED_VALUE"""),46043.91736111111)</f>
        <v>46043.91736</v>
      </c>
      <c r="H5480" s="238">
        <f>IFERROR(__xludf.DUMMYFUNCTION("""COMPUTED_VALUE"""),46044.29166666667)</f>
        <v>46044.29167</v>
      </c>
      <c r="I5480" s="237" t="str">
        <f t="shared" si="1"/>
        <v>Fora</v>
      </c>
      <c r="J5480" s="239">
        <v>538.0000000144355</v>
      </c>
    </row>
    <row r="5481">
      <c r="A5481" s="234" t="s">
        <v>6316</v>
      </c>
      <c r="B5481" s="238" t="str">
        <f>IFERROR(__xludf.DUMMYFUNCTION("""COMPUTED_VALUE"""),"SoC_MG_Betim")</f>
        <v>SoC_MG_Betim</v>
      </c>
      <c r="C5481" s="238" t="str">
        <f>IFERROR(__xludf.DUMMYFUNCTION("""COMPUTED_VALUE"""),"SOC-MG2")</f>
        <v>SOC-MG2</v>
      </c>
      <c r="D5481" s="234">
        <f>IFERROR(__xludf.DUMMYFUNCTION("""COMPUTED_VALUE"""),111.0)</f>
        <v>111</v>
      </c>
      <c r="E5481" s="237" t="str">
        <f>IFERROR(__xludf.DUMMYFUNCTION("""COMPUTED_VALUE"""),"LT0Q1L01X2LU1")</f>
        <v>LT0Q1L01X2LU1</v>
      </c>
      <c r="F5481" s="238" t="str">
        <f>IFERROR(__xludf.DUMMYFUNCTION("""COMPUTED_VALUE"""),"RFC7I57,TEV1A97")</f>
        <v>RFC7I57,TEV1A97</v>
      </c>
      <c r="G5481" s="238">
        <f>IFERROR(__xludf.DUMMYFUNCTION("""COMPUTED_VALUE"""),46043.91805555555)</f>
        <v>46043.91806</v>
      </c>
      <c r="H5481" s="238">
        <f>IFERROR(__xludf.DUMMYFUNCTION("""COMPUTED_VALUE"""),46044.29166666667)</f>
        <v>46044.29167</v>
      </c>
      <c r="I5481" s="237" t="str">
        <f t="shared" si="1"/>
        <v>Fora</v>
      </c>
      <c r="J5481" s="239">
        <v>537.0000000111759</v>
      </c>
    </row>
    <row r="5482">
      <c r="A5482" s="234" t="s">
        <v>6317</v>
      </c>
      <c r="B5482" s="238" t="str">
        <f>IFERROR(__xludf.DUMMYFUNCTION("""COMPUTED_VALUE"""),"SoC_MG_Betim")</f>
        <v>SoC_MG_Betim</v>
      </c>
      <c r="C5482" s="238" t="str">
        <f>IFERROR(__xludf.DUMMYFUNCTION("""COMPUTED_VALUE"""),"SOC-MG2")</f>
        <v>SOC-MG2</v>
      </c>
      <c r="D5482" s="234">
        <f>IFERROR(__xludf.DUMMYFUNCTION("""COMPUTED_VALUE"""),90.0)</f>
        <v>90</v>
      </c>
      <c r="E5482" s="237" t="str">
        <f>IFERROR(__xludf.DUMMYFUNCTION("""COMPUTED_VALUE"""),"LT0Q1L01WT8G1")</f>
        <v>LT0Q1L01WT8G1</v>
      </c>
      <c r="F5482" s="238" t="str">
        <f>IFERROR(__xludf.DUMMYFUNCTION("""COMPUTED_VALUE"""),"STO4D24,SWV4F52")</f>
        <v>STO4D24,SWV4F52</v>
      </c>
      <c r="G5482" s="238">
        <f>IFERROR(__xludf.DUMMYFUNCTION("""COMPUTED_VALUE"""),46043.91875)</f>
        <v>46043.91875</v>
      </c>
      <c r="H5482" s="238">
        <f>IFERROR(__xludf.DUMMYFUNCTION("""COMPUTED_VALUE"""),46044.29166666667)</f>
        <v>46044.29167</v>
      </c>
      <c r="I5482" s="237" t="str">
        <f t="shared" si="1"/>
        <v>Fora</v>
      </c>
      <c r="J5482" s="239">
        <v>537.0000000111759</v>
      </c>
    </row>
    <row r="5483">
      <c r="A5483" s="234" t="s">
        <v>6318</v>
      </c>
      <c r="B5483" s="238" t="str">
        <f>IFERROR(__xludf.DUMMYFUNCTION("""COMPUTED_VALUE"""),"SoC_MG_Betim")</f>
        <v>SoC_MG_Betim</v>
      </c>
      <c r="C5483" s="238" t="str">
        <f>IFERROR(__xludf.DUMMYFUNCTION("""COMPUTED_VALUE"""),"SOC-MG2")</f>
        <v>SOC-MG2</v>
      </c>
      <c r="D5483" s="234">
        <f>IFERROR(__xludf.DUMMYFUNCTION("""COMPUTED_VALUE"""),91.0)</f>
        <v>91</v>
      </c>
      <c r="E5483" s="237" t="str">
        <f>IFERROR(__xludf.DUMMYFUNCTION("""COMPUTED_VALUE"""),"LT0Q1L01WT8I2")</f>
        <v>LT0Q1L01WT8I2</v>
      </c>
      <c r="F5483" s="238" t="str">
        <f>IFERROR(__xludf.DUMMYFUNCTION("""COMPUTED_VALUE"""),"FUR8D94,UDF4J25")</f>
        <v>FUR8D94,UDF4J25</v>
      </c>
      <c r="G5483" s="238">
        <f>IFERROR(__xludf.DUMMYFUNCTION("""COMPUTED_VALUE"""),46043.91875)</f>
        <v>46043.91875</v>
      </c>
      <c r="H5483" s="238">
        <f>IFERROR(__xludf.DUMMYFUNCTION("""COMPUTED_VALUE"""),46044.29166666667)</f>
        <v>46044.29167</v>
      </c>
      <c r="I5483" s="237" t="str">
        <f t="shared" si="1"/>
        <v>Fora</v>
      </c>
      <c r="J5483" s="239">
        <v>537.0000000111759</v>
      </c>
    </row>
    <row r="5484">
      <c r="A5484" s="234" t="s">
        <v>6319</v>
      </c>
      <c r="B5484" s="238" t="str">
        <f>IFERROR(__xludf.DUMMYFUNCTION("""COMPUTED_VALUE"""),"SoC_MG_Betim")</f>
        <v>SoC_MG_Betim</v>
      </c>
      <c r="C5484" s="238" t="str">
        <f>IFERROR(__xludf.DUMMYFUNCTION("""COMPUTED_VALUE"""),"SOC-MG2")</f>
        <v>SOC-MG2</v>
      </c>
      <c r="D5484" s="234">
        <f>IFERROR(__xludf.DUMMYFUNCTION("""COMPUTED_VALUE"""),91.0)</f>
        <v>91</v>
      </c>
      <c r="E5484" s="237" t="str">
        <f>IFERROR(__xludf.DUMMYFUNCTION("""COMPUTED_VALUE"""),"LT0Q1L01WT8K3")</f>
        <v>LT0Q1L01WT8K3</v>
      </c>
      <c r="F5484" s="238" t="str">
        <f>IFERROR(__xludf.DUMMYFUNCTION("""COMPUTED_VALUE"""),"SWG2G22,EDH7D24")</f>
        <v>SWG2G22,EDH7D24</v>
      </c>
      <c r="G5484" s="238">
        <f>IFERROR(__xludf.DUMMYFUNCTION("""COMPUTED_VALUE"""),46043.91875)</f>
        <v>46043.91875</v>
      </c>
      <c r="H5484" s="238">
        <f>IFERROR(__xludf.DUMMYFUNCTION("""COMPUTED_VALUE"""),46044.29166666667)</f>
        <v>46044.29167</v>
      </c>
      <c r="I5484" s="237" t="str">
        <f t="shared" si="1"/>
        <v>Fora</v>
      </c>
      <c r="J5484" s="239">
        <v>537.0000000111759</v>
      </c>
    </row>
    <row r="5485">
      <c r="A5485" s="234" t="s">
        <v>6320</v>
      </c>
      <c r="B5485" s="238" t="str">
        <f>IFERROR(__xludf.DUMMYFUNCTION("""COMPUTED_VALUE"""),"SoC_MG_Betim")</f>
        <v>SoC_MG_Betim</v>
      </c>
      <c r="C5485" s="238" t="str">
        <f>IFERROR(__xludf.DUMMYFUNCTION("""COMPUTED_VALUE"""),"SOC-MG2")</f>
        <v>SOC-MG2</v>
      </c>
      <c r="D5485" s="234">
        <f>IFERROR(__xludf.DUMMYFUNCTION("""COMPUTED_VALUE"""),91.0)</f>
        <v>91</v>
      </c>
      <c r="E5485" s="237" t="str">
        <f>IFERROR(__xludf.DUMMYFUNCTION("""COMPUTED_VALUE"""),"LT0Q1L01WT8M4")</f>
        <v>LT0Q1L01WT8M4</v>
      </c>
      <c r="F5485" s="238" t="str">
        <f>IFERROR(__xludf.DUMMYFUNCTION("""COMPUTED_VALUE"""),"SUS0E35,FXG4H42")</f>
        <v>SUS0E35,FXG4H42</v>
      </c>
      <c r="G5485" s="238">
        <f>IFERROR(__xludf.DUMMYFUNCTION("""COMPUTED_VALUE"""),46043.91875)</f>
        <v>46043.91875</v>
      </c>
      <c r="H5485" s="238">
        <f>IFERROR(__xludf.DUMMYFUNCTION("""COMPUTED_VALUE"""),46044.29166666667)</f>
        <v>46044.29167</v>
      </c>
      <c r="I5485" s="237" t="str">
        <f t="shared" si="1"/>
        <v>Fora</v>
      </c>
      <c r="J5485" s="239">
        <v>537.0000000111759</v>
      </c>
    </row>
    <row r="5486">
      <c r="A5486" s="234" t="s">
        <v>6321</v>
      </c>
      <c r="B5486" s="238" t="str">
        <f>IFERROR(__xludf.DUMMYFUNCTION("""COMPUTED_VALUE"""),"SoC_MG_Betim")</f>
        <v>SoC_MG_Betim</v>
      </c>
      <c r="C5486" s="238" t="str">
        <f>IFERROR(__xludf.DUMMYFUNCTION("""COMPUTED_VALUE"""),"SOC-MG2")</f>
        <v>SOC-MG2</v>
      </c>
      <c r="D5486" s="234">
        <f>IFERROR(__xludf.DUMMYFUNCTION("""COMPUTED_VALUE"""),112.0)</f>
        <v>112</v>
      </c>
      <c r="E5486" s="237" t="str">
        <f>IFERROR(__xludf.DUMMYFUNCTION("""COMPUTED_VALUE"""),"LT0Q1L01WT8O5")</f>
        <v>LT0Q1L01WT8O5</v>
      </c>
      <c r="F5486" s="238" t="str">
        <f>IFERROR(__xludf.DUMMYFUNCTION("""COMPUTED_VALUE"""),"CUR8I80,EOD1A69")</f>
        <v>CUR8I80,EOD1A69</v>
      </c>
      <c r="G5486" s="238">
        <f>IFERROR(__xludf.DUMMYFUNCTION("""COMPUTED_VALUE"""),46043.91875)</f>
        <v>46043.91875</v>
      </c>
      <c r="H5486" s="238">
        <f>IFERROR(__xludf.DUMMYFUNCTION("""COMPUTED_VALUE"""),46044.29166666667)</f>
        <v>46044.29167</v>
      </c>
      <c r="I5486" s="237" t="str">
        <f t="shared" si="1"/>
        <v>Fora</v>
      </c>
      <c r="J5486" s="239">
        <v>537.0000000111759</v>
      </c>
    </row>
    <row r="5487">
      <c r="A5487" s="234" t="s">
        <v>6322</v>
      </c>
      <c r="B5487" s="238" t="str">
        <f>IFERROR(__xludf.DUMMYFUNCTION("""COMPUTED_VALUE"""),"SoC_RJ_Duque de Caxias")</f>
        <v>SoC_RJ_Duque de Caxias</v>
      </c>
      <c r="C5487" s="238" t="str">
        <f>IFERROR(__xludf.DUMMYFUNCTION("""COMPUTED_VALUE"""),"SOC-RJ2")</f>
        <v>SOC-RJ2</v>
      </c>
      <c r="D5487" s="234">
        <f>IFERROR(__xludf.DUMMYFUNCTION("""COMPUTED_VALUE"""),97.0)</f>
        <v>97</v>
      </c>
      <c r="E5487" s="237" t="str">
        <f>IFERROR(__xludf.DUMMYFUNCTION("""COMPUTED_VALUE"""),"LT0Q1L01X2ZL1")</f>
        <v>LT0Q1L01X2ZL1</v>
      </c>
      <c r="F5487" s="238" t="str">
        <f>IFERROR(__xludf.DUMMYFUNCTION("""COMPUTED_VALUE"""),"PQI2I80,LUP4273")</f>
        <v>PQI2I80,LUP4273</v>
      </c>
      <c r="G5487" s="238">
        <f>IFERROR(__xludf.DUMMYFUNCTION("""COMPUTED_VALUE"""),46043.91875)</f>
        <v>46043.91875</v>
      </c>
      <c r="H5487" s="238">
        <f>IFERROR(__xludf.DUMMYFUNCTION("""COMPUTED_VALUE"""),46044.29166666667)</f>
        <v>46044.29167</v>
      </c>
      <c r="I5487" s="237" t="str">
        <f t="shared" si="1"/>
        <v>Fora</v>
      </c>
      <c r="J5487" s="239">
        <v>537.0000000111759</v>
      </c>
    </row>
    <row r="5488">
      <c r="A5488" s="234" t="s">
        <v>6323</v>
      </c>
      <c r="B5488" s="238" t="str">
        <f>IFERROR(__xludf.DUMMYFUNCTION("""COMPUTED_VALUE"""),"SoC_RJ_Duque de Caxias")</f>
        <v>SoC_RJ_Duque de Caxias</v>
      </c>
      <c r="C5488" s="238" t="str">
        <f>IFERROR(__xludf.DUMMYFUNCTION("""COMPUTED_VALUE"""),"SOC-RJ2")</f>
        <v>SOC-RJ2</v>
      </c>
      <c r="D5488" s="234">
        <f>IFERROR(__xludf.DUMMYFUNCTION("""COMPUTED_VALUE"""),96.0)</f>
        <v>96</v>
      </c>
      <c r="E5488" s="237" t="str">
        <f>IFERROR(__xludf.DUMMYFUNCTION("""COMPUTED_VALUE"""),"LT0Q1L01X2ZN2")</f>
        <v>LT0Q1L01X2ZN2</v>
      </c>
      <c r="F5488" s="238" t="str">
        <f>IFERROR(__xludf.DUMMYFUNCTION("""COMPUTED_VALUE"""),"LRU9A27,MQA9B36")</f>
        <v>LRU9A27,MQA9B36</v>
      </c>
      <c r="G5488" s="238">
        <f>IFERROR(__xludf.DUMMYFUNCTION("""COMPUTED_VALUE"""),46043.91875)</f>
        <v>46043.91875</v>
      </c>
      <c r="H5488" s="238">
        <f>IFERROR(__xludf.DUMMYFUNCTION("""COMPUTED_VALUE"""),46044.29166666667)</f>
        <v>46044.29167</v>
      </c>
      <c r="I5488" s="237" t="str">
        <f t="shared" si="1"/>
        <v>Fora</v>
      </c>
      <c r="J5488" s="239">
        <v>536.0000000079162</v>
      </c>
    </row>
    <row r="5489">
      <c r="A5489" s="234" t="s">
        <v>6324</v>
      </c>
      <c r="B5489" s="238" t="str">
        <f>IFERROR(__xludf.DUMMYFUNCTION("""COMPUTED_VALUE"""),"SoC_SP_Cravinhos")</f>
        <v>SoC_SP_Cravinhos</v>
      </c>
      <c r="C5489" s="238" t="str">
        <f>IFERROR(__xludf.DUMMYFUNCTION("""COMPUTED_VALUE"""),"SOC-SP5")</f>
        <v>SOC-SP5</v>
      </c>
      <c r="D5489" s="234">
        <f>IFERROR(__xludf.DUMMYFUNCTION("""COMPUTED_VALUE"""),95.0)</f>
        <v>95</v>
      </c>
      <c r="E5489" s="237" t="str">
        <f>IFERROR(__xludf.DUMMYFUNCTION("""COMPUTED_VALUE"""),"LT0Q1L01WTAS2")</f>
        <v>LT0Q1L01WTAS2</v>
      </c>
      <c r="F5489" s="238" t="str">
        <f>IFERROR(__xludf.DUMMYFUNCTION("""COMPUTED_VALUE"""),"FDB7E79,IRG8J25")</f>
        <v>FDB7E79,IRG8J25</v>
      </c>
      <c r="G5489" s="238">
        <f>IFERROR(__xludf.DUMMYFUNCTION("""COMPUTED_VALUE"""),46043.919444444444)</f>
        <v>46043.91944</v>
      </c>
      <c r="H5489" s="238">
        <f>IFERROR(__xludf.DUMMYFUNCTION("""COMPUTED_VALUE"""),46044.29166666667)</f>
        <v>46044.29167</v>
      </c>
      <c r="I5489" s="237" t="str">
        <f t="shared" si="1"/>
        <v>Fora</v>
      </c>
      <c r="J5489" s="239">
        <v>419.0000000037253</v>
      </c>
    </row>
    <row r="5490">
      <c r="A5490" s="234" t="s">
        <v>1070</v>
      </c>
      <c r="B5490" s="238" t="str">
        <f>IFERROR(__xludf.DUMMYFUNCTION("""COMPUTED_VALUE"""),"SoC_GO_Goiânia_02")</f>
        <v>SoC_GO_Goiânia_02</v>
      </c>
      <c r="C5490" s="238" t="str">
        <f>IFERROR(__xludf.DUMMYFUNCTION("""COMPUTED_VALUE"""),"SOC-GO2")</f>
        <v>SOC-GO2</v>
      </c>
      <c r="D5490" s="234"/>
      <c r="E5490" s="237" t="str">
        <f>IFERROR(__xludf.DUMMYFUNCTION("""COMPUTED_VALUE"""),"LT0Q1L01WYRC3")</f>
        <v>LT0Q1L01WYRC3</v>
      </c>
      <c r="F5490" s="238" t="str">
        <f>IFERROR(__xludf.DUMMYFUNCTION("""COMPUTED_VALUE"""),"EQU3E93,SDH4E02")</f>
        <v>EQU3E93,SDH4E02</v>
      </c>
      <c r="G5490" s="238">
        <f>IFERROR(__xludf.DUMMYFUNCTION("""COMPUTED_VALUE"""),46044.00069444445)</f>
        <v>46044.00069</v>
      </c>
      <c r="H5490" s="238">
        <f>IFERROR(__xludf.DUMMYFUNCTION("""COMPUTED_VALUE"""),46044.29166666667)</f>
        <v>46044.29167</v>
      </c>
      <c r="I5490" s="237" t="str">
        <f t="shared" si="1"/>
        <v>Fora</v>
      </c>
      <c r="J5490" s="239">
        <v>300.00000001396984</v>
      </c>
    </row>
    <row r="5491">
      <c r="A5491" s="234" t="s">
        <v>1071</v>
      </c>
      <c r="B5491" s="238" t="str">
        <f>IFERROR(__xludf.DUMMYFUNCTION("""COMPUTED_VALUE"""),"SoC_BA_Simoes Filho")</f>
        <v>SoC_BA_Simoes Filho</v>
      </c>
      <c r="C5491" s="238" t="str">
        <f>IFERROR(__xludf.DUMMYFUNCTION("""COMPUTED_VALUE"""),"SOC-BA2")</f>
        <v>SOC-BA2</v>
      </c>
      <c r="D5491" s="234">
        <f>IFERROR(__xludf.DUMMYFUNCTION("""COMPUTED_VALUE"""),112.0)</f>
        <v>112</v>
      </c>
      <c r="E5491" s="237" t="str">
        <f>IFERROR(__xludf.DUMMYFUNCTION("""COMPUTED_VALUE"""),"LT0Q1L01WYG31")</f>
        <v>LT0Q1L01WYG31</v>
      </c>
      <c r="F5491" s="238" t="str">
        <f>IFERROR(__xludf.DUMMYFUNCTION("""COMPUTED_VALUE"""),"FQH6G88,GJR8I07")</f>
        <v>FQH6G88,GJR8I07</v>
      </c>
      <c r="G5491" s="238">
        <f>IFERROR(__xludf.DUMMYFUNCTION("""COMPUTED_VALUE"""),46044.08333333333)</f>
        <v>46044.08333</v>
      </c>
      <c r="H5491" s="238">
        <f>IFERROR(__xludf.DUMMYFUNCTION("""COMPUTED_VALUE"""),46044.29166666667)</f>
        <v>46044.29167</v>
      </c>
      <c r="I5491" s="237" t="str">
        <f t="shared" si="1"/>
        <v>Fora</v>
      </c>
      <c r="J5491" s="239">
        <v>300.00000001396984</v>
      </c>
    </row>
    <row r="5492">
      <c r="A5492" s="234" t="s">
        <v>6325</v>
      </c>
      <c r="B5492" s="238" t="str">
        <f>IFERROR(__xludf.DUMMYFUNCTION("""COMPUTED_VALUE"""),"SoC_MG_Betim")</f>
        <v>SoC_MG_Betim</v>
      </c>
      <c r="C5492" s="238" t="str">
        <f>IFERROR(__xludf.DUMMYFUNCTION("""COMPUTED_VALUE"""),"SOC-MG2")</f>
        <v>SOC-MG2</v>
      </c>
      <c r="D5492" s="234">
        <f>IFERROR(__xludf.DUMMYFUNCTION("""COMPUTED_VALUE"""),111.0)</f>
        <v>111</v>
      </c>
      <c r="E5492" s="237" t="str">
        <f>IFERROR(__xludf.DUMMYFUNCTION("""COMPUTED_VALUE"""),"LT0Q1L01WT7O4")</f>
        <v>LT0Q1L01WT7O4</v>
      </c>
      <c r="F5492" s="238" t="str">
        <f>IFERROR(__xludf.DUMMYFUNCTION("""COMPUTED_VALUE"""),"STY3A64,TAT8D53")</f>
        <v>STY3A64,TAT8D53</v>
      </c>
      <c r="G5492" s="238">
        <f>IFERROR(__xludf.DUMMYFUNCTION("""COMPUTED_VALUE"""),46044.08333333333)</f>
        <v>46044.08333</v>
      </c>
      <c r="H5492" s="238">
        <f>IFERROR(__xludf.DUMMYFUNCTION("""COMPUTED_VALUE"""),46044.29166666667)</f>
        <v>46044.29167</v>
      </c>
      <c r="I5492" s="237" t="str">
        <f t="shared" si="1"/>
        <v>Fora</v>
      </c>
      <c r="J5492" s="239">
        <v>120.00000001396984</v>
      </c>
    </row>
    <row r="5493">
      <c r="A5493" s="234" t="s">
        <v>1072</v>
      </c>
      <c r="B5493" s="238" t="str">
        <f>IFERROR(__xludf.DUMMYFUNCTION("""COMPUTED_VALUE"""),"LM Hub_SP_Barueri_01")</f>
        <v>LM Hub_SP_Barueri_01</v>
      </c>
      <c r="C5493" s="238" t="str">
        <f>IFERROR(__xludf.DUMMYFUNCTION("""COMPUTED_VALUE"""),"HUB-LSP-81")</f>
        <v>HUB-LSP-81</v>
      </c>
      <c r="D5493" s="234">
        <f>IFERROR(__xludf.DUMMYFUNCTION("""COMPUTED_VALUE"""),8.0)</f>
        <v>8</v>
      </c>
      <c r="E5493" s="237" t="str">
        <f>IFERROR(__xludf.DUMMYFUNCTION("""COMPUTED_VALUE"""),"LT0Q1M01WY3W1")</f>
        <v>LT0Q1M01WY3W1</v>
      </c>
      <c r="F5493" s="238" t="str">
        <f>IFERROR(__xludf.DUMMYFUNCTION("""COMPUTED_VALUE"""),"SUQ5C99")</f>
        <v>SUQ5C99</v>
      </c>
      <c r="G5493" s="238">
        <f>IFERROR(__xludf.DUMMYFUNCTION("""COMPUTED_VALUE"""),46044.20833333333)</f>
        <v>46044.20833</v>
      </c>
      <c r="H5493" s="238">
        <f>IFERROR(__xludf.DUMMYFUNCTION("""COMPUTED_VALUE"""),46044.29166666667)</f>
        <v>46044.29167</v>
      </c>
      <c r="I5493" s="237" t="str">
        <f t="shared" si="1"/>
        <v>Fora</v>
      </c>
      <c r="J5493" s="239">
        <v>120.00000001396984</v>
      </c>
    </row>
    <row r="5494">
      <c r="A5494" s="234" t="s">
        <v>1073</v>
      </c>
      <c r="B5494" s="238" t="str">
        <f>IFERROR(__xludf.DUMMYFUNCTION("""COMPUTED_VALUE"""),"LM Hub_SP_Jundiaí")</f>
        <v>LM Hub_SP_Jundiaí</v>
      </c>
      <c r="C5494" s="238" t="str">
        <f>IFERROR(__xludf.DUMMYFUNCTION("""COMPUTED_VALUE"""),"HUB-LSP-100")</f>
        <v>HUB-LSP-100</v>
      </c>
      <c r="D5494" s="234">
        <f>IFERROR(__xludf.DUMMYFUNCTION("""COMPUTED_VALUE"""),36.0)</f>
        <v>36</v>
      </c>
      <c r="E5494" s="237" t="str">
        <f>IFERROR(__xludf.DUMMYFUNCTION("""COMPUTED_VALUE"""),"LT0Q1M01WZHD1")</f>
        <v>LT0Q1M01WZHD1</v>
      </c>
      <c r="F5494" s="238" t="str">
        <f>IFERROR(__xludf.DUMMYFUNCTION("""COMPUTED_VALUE"""),"DPF9J21")</f>
        <v>DPF9J21</v>
      </c>
      <c r="G5494" s="238">
        <f>IFERROR(__xludf.DUMMYFUNCTION("""COMPUTED_VALUE"""),46044.20833333333)</f>
        <v>46044.20833</v>
      </c>
      <c r="H5494" s="238">
        <f>IFERROR(__xludf.DUMMYFUNCTION("""COMPUTED_VALUE"""),46044.29166666667)</f>
        <v>46044.29167</v>
      </c>
      <c r="I5494" s="237" t="str">
        <f t="shared" si="1"/>
        <v>Fora</v>
      </c>
      <c r="J5494" s="239">
        <v>120.00000001396984</v>
      </c>
    </row>
    <row r="5495">
      <c r="A5495" s="234" t="s">
        <v>1074</v>
      </c>
      <c r="B5495" s="238" t="str">
        <f>IFERROR(__xludf.DUMMYFUNCTION("""COMPUTED_VALUE"""),"LM Hub_SP_Piracicaba")</f>
        <v>LM Hub_SP_Piracicaba</v>
      </c>
      <c r="C5495" s="238" t="str">
        <f>IFERROR(__xludf.DUMMYFUNCTION("""COMPUTED_VALUE"""),"HUB-LSP-62")</f>
        <v>HUB-LSP-62</v>
      </c>
      <c r="D5495" s="234">
        <f>IFERROR(__xludf.DUMMYFUNCTION("""COMPUTED_VALUE"""),39.0)</f>
        <v>39</v>
      </c>
      <c r="E5495" s="237" t="str">
        <f>IFERROR(__xludf.DUMMYFUNCTION("""COMPUTED_VALUE"""),"LT0Q1M01WU4I1")</f>
        <v>LT0Q1M01WU4I1</v>
      </c>
      <c r="F5495" s="238" t="str">
        <f>IFERROR(__xludf.DUMMYFUNCTION("""COMPUTED_VALUE"""),"OMY3I62")</f>
        <v>OMY3I62</v>
      </c>
      <c r="G5495" s="238">
        <f>IFERROR(__xludf.DUMMYFUNCTION("""COMPUTED_VALUE"""),46044.20833333333)</f>
        <v>46044.20833</v>
      </c>
      <c r="H5495" s="238">
        <f>IFERROR(__xludf.DUMMYFUNCTION("""COMPUTED_VALUE"""),46044.29166666667)</f>
        <v>46044.29167</v>
      </c>
      <c r="I5495" s="237" t="str">
        <f t="shared" si="1"/>
        <v>Fora</v>
      </c>
      <c r="J5495" s="239">
        <v>120.00000001396984</v>
      </c>
    </row>
    <row r="5496">
      <c r="A5496" s="234" t="s">
        <v>1076</v>
      </c>
      <c r="B5496" s="238" t="str">
        <f>IFERROR(__xludf.DUMMYFUNCTION("""COMPUTED_VALUE"""),"LM Hub_SP_Santos_PraiaGrande_02")</f>
        <v>LM Hub_SP_Santos_PraiaGrande_02</v>
      </c>
      <c r="C5496" s="238" t="str">
        <f>IFERROR(__xludf.DUMMYFUNCTION("""COMPUTED_VALUE"""),"HUB-LSP-63")</f>
        <v>HUB-LSP-63</v>
      </c>
      <c r="D5496" s="234">
        <f>IFERROR(__xludf.DUMMYFUNCTION("""COMPUTED_VALUE"""),17.0)</f>
        <v>17</v>
      </c>
      <c r="E5496" s="237" t="str">
        <f>IFERROR(__xludf.DUMMYFUNCTION("""COMPUTED_VALUE"""),"LT0Q1M01WUDU1")</f>
        <v>LT0Q1M01WUDU1</v>
      </c>
      <c r="F5496" s="238" t="str">
        <f>IFERROR(__xludf.DUMMYFUNCTION("""COMPUTED_VALUE"""),"ENZ4737,EEZ3E62")</f>
        <v>ENZ4737,EEZ3E62</v>
      </c>
      <c r="G5496" s="238">
        <f>IFERROR(__xludf.DUMMYFUNCTION("""COMPUTED_VALUE"""),46044.20833333333)</f>
        <v>46044.20833</v>
      </c>
      <c r="H5496" s="238">
        <f>IFERROR(__xludf.DUMMYFUNCTION("""COMPUTED_VALUE"""),46044.29166666667)</f>
        <v>46044.29167</v>
      </c>
      <c r="I5496" s="237" t="str">
        <f t="shared" si="1"/>
        <v>Fora</v>
      </c>
      <c r="J5496" s="239">
        <v>537.0000000111759</v>
      </c>
    </row>
    <row r="5497">
      <c r="A5497" s="234" t="s">
        <v>6319</v>
      </c>
      <c r="B5497" s="238" t="str">
        <f>IFERROR(__xludf.DUMMYFUNCTION("""COMPUTED_VALUE"""),"SoC_MG_Betim")</f>
        <v>SoC_MG_Betim</v>
      </c>
      <c r="C5497" s="238" t="str">
        <f>IFERROR(__xludf.DUMMYFUNCTION("""COMPUTED_VALUE"""),"SOC-MG2")</f>
        <v>SOC-MG2</v>
      </c>
      <c r="D5497" s="234">
        <f>IFERROR(__xludf.DUMMYFUNCTION("""COMPUTED_VALUE"""),90.0)</f>
        <v>90</v>
      </c>
      <c r="E5497" s="237" t="str">
        <f>IFERROR(__xludf.DUMMYFUNCTION("""COMPUTED_VALUE"""),"LT0Q1L01WT8K3")</f>
        <v>LT0Q1L01WT8K3</v>
      </c>
      <c r="F5497" s="238" t="str">
        <f>IFERROR(__xludf.DUMMYFUNCTION("""COMPUTED_VALUE"""),"SWG2G22,EDH7D24")</f>
        <v>SWG2G22,EDH7D24</v>
      </c>
      <c r="G5497" s="238">
        <f>IFERROR(__xludf.DUMMYFUNCTION("""COMPUTED_VALUE"""),46043.91875)</f>
        <v>46043.91875</v>
      </c>
      <c r="H5497" s="238">
        <f>IFERROR(__xludf.DUMMYFUNCTION("""COMPUTED_VALUE"""),46044.29166666667)</f>
        <v>46044.29167</v>
      </c>
      <c r="I5497" s="237" t="str">
        <f t="shared" si="1"/>
        <v>Fora</v>
      </c>
      <c r="J5497" s="239">
        <v>119.99999999301508</v>
      </c>
    </row>
    <row r="5498">
      <c r="A5498" s="234" t="s">
        <v>1077</v>
      </c>
      <c r="B5498" s="238" t="str">
        <f>IFERROR(__xludf.DUMMYFUNCTION("""COMPUTED_VALUE"""),"LM Hub_SP_Guarujá")</f>
        <v>LM Hub_SP_Guarujá</v>
      </c>
      <c r="C5498" s="238" t="str">
        <f>IFERROR(__xludf.DUMMYFUNCTION("""COMPUTED_VALUE"""),"HUB-LSP-06")</f>
        <v>HUB-LSP-06</v>
      </c>
      <c r="D5498" s="234"/>
      <c r="E5498" s="237" t="str">
        <f>IFERROR(__xludf.DUMMYFUNCTION("""COMPUTED_VALUE"""),"LT0Q1M01WTF91")</f>
        <v>LT0Q1M01WTF91</v>
      </c>
      <c r="F5498" s="238" t="str">
        <f>IFERROR(__xludf.DUMMYFUNCTION("""COMPUTED_VALUE"""),"TJN5H17")</f>
        <v>TJN5H17</v>
      </c>
      <c r="G5498" s="238">
        <f>IFERROR(__xludf.DUMMYFUNCTION("""COMPUTED_VALUE"""),46044.22916666667)</f>
        <v>46044.22917</v>
      </c>
      <c r="H5498" s="238">
        <f>IFERROR(__xludf.DUMMYFUNCTION("""COMPUTED_VALUE"""),46044.3125)</f>
        <v>46044.3125</v>
      </c>
      <c r="I5498" s="237" t="str">
        <f t="shared" si="1"/>
        <v>Fora</v>
      </c>
      <c r="J5498" s="239">
        <v>119.99999999301508</v>
      </c>
    </row>
    <row r="5499">
      <c r="A5499" s="234" t="s">
        <v>1078</v>
      </c>
      <c r="B5499" s="238" t="str">
        <f>IFERROR(__xludf.DUMMYFUNCTION("""COMPUTED_VALUE"""),"LM Hub_SP_Santos_Praia Grande")</f>
        <v>LM Hub_SP_Santos_Praia Grande</v>
      </c>
      <c r="C5499" s="238" t="str">
        <f>IFERROR(__xludf.DUMMYFUNCTION("""COMPUTED_VALUE"""),"HUB-LSP-09")</f>
        <v>HUB-LSP-09</v>
      </c>
      <c r="D5499" s="234">
        <f>IFERROR(__xludf.DUMMYFUNCTION("""COMPUTED_VALUE"""),32.0)</f>
        <v>32</v>
      </c>
      <c r="E5499" s="237" t="str">
        <f>IFERROR(__xludf.DUMMYFUNCTION("""COMPUTED_VALUE"""),"LT0Q1M01WTGB1")</f>
        <v>LT0Q1M01WTGB1</v>
      </c>
      <c r="F5499" s="238" t="str">
        <f>IFERROR(__xludf.DUMMYFUNCTION("""COMPUTED_VALUE"""),"DOT3E21")</f>
        <v>DOT3E21</v>
      </c>
      <c r="G5499" s="238">
        <f>IFERROR(__xludf.DUMMYFUNCTION("""COMPUTED_VALUE"""),46044.22916666667)</f>
        <v>46044.22917</v>
      </c>
      <c r="H5499" s="238">
        <f>IFERROR(__xludf.DUMMYFUNCTION("""COMPUTED_VALUE"""),46044.3125)</f>
        <v>46044.3125</v>
      </c>
      <c r="I5499" s="237" t="str">
        <f t="shared" si="1"/>
        <v>Fora</v>
      </c>
      <c r="J5499" s="239">
        <v>119.99999999301508</v>
      </c>
    </row>
    <row r="5500">
      <c r="A5500" s="234" t="s">
        <v>1079</v>
      </c>
      <c r="B5500" s="238" t="str">
        <f>IFERROR(__xludf.DUMMYFUNCTION("""COMPUTED_VALUE"""),"LM Hub_SP_São José dos Campos")</f>
        <v>LM Hub_SP_São José dos Campos</v>
      </c>
      <c r="C5500" s="238" t="str">
        <f>IFERROR(__xludf.DUMMYFUNCTION("""COMPUTED_VALUE"""),"HUB-LSP-04")</f>
        <v>HUB-LSP-04</v>
      </c>
      <c r="D5500" s="234">
        <f>IFERROR(__xludf.DUMMYFUNCTION("""COMPUTED_VALUE"""),15.0)</f>
        <v>15</v>
      </c>
      <c r="E5500" s="237" t="str">
        <f>IFERROR(__xludf.DUMMYFUNCTION("""COMPUTED_VALUE"""),"LT0Q1M01WTH21")</f>
        <v>LT0Q1M01WTH21</v>
      </c>
      <c r="F5500" s="238" t="str">
        <f>IFERROR(__xludf.DUMMYFUNCTION("""COMPUTED_VALUE"""),"TBX6B96")</f>
        <v>TBX6B96</v>
      </c>
      <c r="G5500" s="238">
        <f>IFERROR(__xludf.DUMMYFUNCTION("""COMPUTED_VALUE"""),46044.22916666667)</f>
        <v>46044.22917</v>
      </c>
      <c r="H5500" s="238">
        <f>IFERROR(__xludf.DUMMYFUNCTION("""COMPUTED_VALUE"""),46044.3125)</f>
        <v>46044.3125</v>
      </c>
      <c r="I5500" s="237" t="str">
        <f t="shared" si="1"/>
        <v>Fora</v>
      </c>
      <c r="J5500" s="239">
        <v>119.99999999301508</v>
      </c>
    </row>
    <row r="5501">
      <c r="A5501" s="234" t="s">
        <v>1080</v>
      </c>
      <c r="B5501" s="238" t="str">
        <f>IFERROR(__xludf.DUMMYFUNCTION("""COMPUTED_VALUE"""),"LM Hub_SP_São Paulo_Mooca")</f>
        <v>LM Hub_SP_São Paulo_Mooca</v>
      </c>
      <c r="C5501" s="238" t="str">
        <f>IFERROR(__xludf.DUMMYFUNCTION("""COMPUTED_VALUE"""),"HUB-LSP-13")</f>
        <v>HUB-LSP-13</v>
      </c>
      <c r="D5501" s="234">
        <f>IFERROR(__xludf.DUMMYFUNCTION("""COMPUTED_VALUE"""),49.0)</f>
        <v>49</v>
      </c>
      <c r="E5501" s="237" t="str">
        <f>IFERROR(__xludf.DUMMYFUNCTION("""COMPUTED_VALUE"""),"LT0Q1M01X2M71")</f>
        <v>LT0Q1M01X2M71</v>
      </c>
      <c r="F5501" s="238" t="str">
        <f>IFERROR(__xludf.DUMMYFUNCTION("""COMPUTED_VALUE"""),"PEP9J38")</f>
        <v>PEP9J38</v>
      </c>
      <c r="G5501" s="238">
        <f>IFERROR(__xludf.DUMMYFUNCTION("""COMPUTED_VALUE"""),46044.22916666667)</f>
        <v>46044.22917</v>
      </c>
      <c r="H5501" s="238">
        <f>IFERROR(__xludf.DUMMYFUNCTION("""COMPUTED_VALUE"""),46044.3125)</f>
        <v>46044.3125</v>
      </c>
      <c r="I5501" s="237" t="str">
        <f t="shared" si="1"/>
        <v>Fora</v>
      </c>
      <c r="J5501" s="239">
        <v>119.99999999301508</v>
      </c>
    </row>
    <row r="5502">
      <c r="A5502" s="234" t="s">
        <v>1081</v>
      </c>
      <c r="B5502" s="238" t="str">
        <f>IFERROR(__xludf.DUMMYFUNCTION("""COMPUTED_VALUE"""),"LM Hub_SP_Várzea Paulista")</f>
        <v>LM Hub_SP_Várzea Paulista</v>
      </c>
      <c r="C5502" s="238" t="str">
        <f>IFERROR(__xludf.DUMMYFUNCTION("""COMPUTED_VALUE"""),"HUB-LSP-20")</f>
        <v>HUB-LSP-20</v>
      </c>
      <c r="D5502" s="234">
        <f>IFERROR(__xludf.DUMMYFUNCTION("""COMPUTED_VALUE"""),26.0)</f>
        <v>26</v>
      </c>
      <c r="E5502" s="237" t="str">
        <f>IFERROR(__xludf.DUMMYFUNCTION("""COMPUTED_VALUE"""),"LT0Q1M01WTHZ1")</f>
        <v>LT0Q1M01WTHZ1</v>
      </c>
      <c r="F5502" s="238" t="str">
        <f>IFERROR(__xludf.DUMMYFUNCTION("""COMPUTED_VALUE"""),"GDC9B69")</f>
        <v>GDC9B69</v>
      </c>
      <c r="G5502" s="238">
        <f>IFERROR(__xludf.DUMMYFUNCTION("""COMPUTED_VALUE"""),46044.22916666667)</f>
        <v>46044.22917</v>
      </c>
      <c r="H5502" s="238">
        <f>IFERROR(__xludf.DUMMYFUNCTION("""COMPUTED_VALUE"""),46044.3125)</f>
        <v>46044.3125</v>
      </c>
      <c r="I5502" s="237" t="str">
        <f t="shared" si="1"/>
        <v>Fora</v>
      </c>
      <c r="J5502" s="239">
        <v>119.00000000023283</v>
      </c>
    </row>
    <row r="5503">
      <c r="A5503" s="234" t="s">
        <v>1082</v>
      </c>
      <c r="B5503" s="238" t="str">
        <f>IFERROR(__xludf.DUMMYFUNCTION("""COMPUTED_VALUE"""),"LM Hub_SP_Itapevi")</f>
        <v>LM Hub_SP_Itapevi</v>
      </c>
      <c r="C5503" s="238" t="str">
        <f>IFERROR(__xludf.DUMMYFUNCTION("""COMPUTED_VALUE"""),"HUB-LSP-41")</f>
        <v>HUB-LSP-41</v>
      </c>
      <c r="D5503" s="234">
        <f>IFERROR(__xludf.DUMMYFUNCTION("""COMPUTED_VALUE"""),12.0)</f>
        <v>12</v>
      </c>
      <c r="E5503" s="237" t="str">
        <f>IFERROR(__xludf.DUMMYFUNCTION("""COMPUTED_VALUE"""),"LT0Q1M01X2MS1")</f>
        <v>LT0Q1M01X2MS1</v>
      </c>
      <c r="F5503" s="238" t="str">
        <f>IFERROR(__xludf.DUMMYFUNCTION("""COMPUTED_VALUE"""),"FYQ5533")</f>
        <v>FYQ5533</v>
      </c>
      <c r="G5503" s="238">
        <f>IFERROR(__xludf.DUMMYFUNCTION("""COMPUTED_VALUE"""),46044.22986111111)</f>
        <v>46044.22986</v>
      </c>
      <c r="H5503" s="238">
        <f>IFERROR(__xludf.DUMMYFUNCTION("""COMPUTED_VALUE"""),46044.3125)</f>
        <v>46044.3125</v>
      </c>
      <c r="I5503" s="237" t="str">
        <f t="shared" si="1"/>
        <v>Fora</v>
      </c>
      <c r="J5503" s="239">
        <v>119.99999999301508</v>
      </c>
    </row>
    <row r="5504">
      <c r="A5504" s="234" t="s">
        <v>6326</v>
      </c>
      <c r="B5504" s="238" t="str">
        <f>IFERROR(__xludf.DUMMYFUNCTION("""COMPUTED_VALUE"""),"LM Hub_SP_Jurubatuba")</f>
        <v>LM Hub_SP_Jurubatuba</v>
      </c>
      <c r="C5504" s="238" t="str">
        <f>IFERROR(__xludf.DUMMYFUNCTION("""COMPUTED_VALUE"""),"HUB-LSP-16")</f>
        <v>HUB-LSP-16</v>
      </c>
      <c r="D5504" s="234">
        <f>IFERROR(__xludf.DUMMYFUNCTION("""COMPUTED_VALUE"""),22.0)</f>
        <v>22</v>
      </c>
      <c r="E5504" s="237" t="str">
        <f>IFERROR(__xludf.DUMMYFUNCTION("""COMPUTED_VALUE"""),"LT0Q1M01X2MK1")</f>
        <v>LT0Q1M01X2MK1</v>
      </c>
      <c r="F5504" s="238" t="str">
        <f>IFERROR(__xludf.DUMMYFUNCTION("""COMPUTED_VALUE"""),"DTD4722,NCK7E66")</f>
        <v>DTD4722,NCK7E66</v>
      </c>
      <c r="G5504" s="238">
        <f>IFERROR(__xludf.DUMMYFUNCTION("""COMPUTED_VALUE"""),46044.25)</f>
        <v>46044.25</v>
      </c>
      <c r="H5504" s="238">
        <f>IFERROR(__xludf.DUMMYFUNCTION("""COMPUTED_VALUE"""),46044.33333333333)</f>
        <v>46044.33333</v>
      </c>
      <c r="I5504" s="237" t="str">
        <f t="shared" si="1"/>
        <v>Fora</v>
      </c>
      <c r="J5504" s="239">
        <v>119.99999999301508</v>
      </c>
    </row>
    <row r="5505">
      <c r="A5505" s="234" t="s">
        <v>1083</v>
      </c>
      <c r="B5505" s="238" t="str">
        <f>IFERROR(__xludf.DUMMYFUNCTION("""COMPUTED_VALUE"""),"LM Hub_SP_Osasco_02")</f>
        <v>LM Hub_SP_Osasco_02</v>
      </c>
      <c r="C5505" s="238" t="str">
        <f>IFERROR(__xludf.DUMMYFUNCTION("""COMPUTED_VALUE"""),"HUB-LSP-60")</f>
        <v>HUB-LSP-60</v>
      </c>
      <c r="D5505" s="234">
        <f>IFERROR(__xludf.DUMMYFUNCTION("""COMPUTED_VALUE"""),28.0)</f>
        <v>28</v>
      </c>
      <c r="E5505" s="237" t="str">
        <f>IFERROR(__xludf.DUMMYFUNCTION("""COMPUTED_VALUE"""),"LT0Q1M01WTDZ1")</f>
        <v>LT0Q1M01WTDZ1</v>
      </c>
      <c r="F5505" s="238" t="str">
        <f>IFERROR(__xludf.DUMMYFUNCTION("""COMPUTED_VALUE"""),"FEU6H63")</f>
        <v>FEU6H63</v>
      </c>
      <c r="G5505" s="238">
        <f>IFERROR(__xludf.DUMMYFUNCTION("""COMPUTED_VALUE"""),46044.25)</f>
        <v>46044.25</v>
      </c>
      <c r="H5505" s="238">
        <f>IFERROR(__xludf.DUMMYFUNCTION("""COMPUTED_VALUE"""),46044.33333333333)</f>
        <v>46044.33333</v>
      </c>
      <c r="I5505" s="237" t="str">
        <f t="shared" si="1"/>
        <v>Fora</v>
      </c>
      <c r="J5505" s="239">
        <v>119.99999999301508</v>
      </c>
    </row>
    <row r="5506">
      <c r="A5506" s="234" t="s">
        <v>1084</v>
      </c>
      <c r="B5506" s="238" t="str">
        <f>IFERROR(__xludf.DUMMYFUNCTION("""COMPUTED_VALUE"""),"LM Hub_SP_São Paulo_Lapa")</f>
        <v>LM Hub_SP_São Paulo_Lapa</v>
      </c>
      <c r="C5506" s="238" t="str">
        <f>IFERROR(__xludf.DUMMYFUNCTION("""COMPUTED_VALUE"""),"HUB-LSP-15")</f>
        <v>HUB-LSP-15</v>
      </c>
      <c r="D5506" s="234">
        <f>IFERROR(__xludf.DUMMYFUNCTION("""COMPUTED_VALUE"""),24.0)</f>
        <v>24</v>
      </c>
      <c r="E5506" s="237" t="str">
        <f>IFERROR(__xludf.DUMMYFUNCTION("""COMPUTED_VALUE"""),"LT0Q1M01WTCM1")</f>
        <v>LT0Q1M01WTCM1</v>
      </c>
      <c r="F5506" s="238" t="str">
        <f>IFERROR(__xludf.DUMMYFUNCTION("""COMPUTED_VALUE"""),"LQB3J21")</f>
        <v>LQB3J21</v>
      </c>
      <c r="G5506" s="238">
        <f>IFERROR(__xludf.DUMMYFUNCTION("""COMPUTED_VALUE"""),46044.25)</f>
        <v>46044.25</v>
      </c>
      <c r="H5506" s="238">
        <f>IFERROR(__xludf.DUMMYFUNCTION("""COMPUTED_VALUE"""),46044.33333333333)</f>
        <v>46044.33333</v>
      </c>
      <c r="I5506" s="237" t="str">
        <f t="shared" si="1"/>
        <v>Fora</v>
      </c>
      <c r="J5506" s="239">
        <v>119.99999999301508</v>
      </c>
    </row>
    <row r="5507">
      <c r="A5507" s="234" t="s">
        <v>1085</v>
      </c>
      <c r="B5507" s="238" t="str">
        <f>IFERROR(__xludf.DUMMYFUNCTION("""COMPUTED_VALUE"""),"LM Hub_SP_Jardim Adriana")</f>
        <v>LM Hub_SP_Jardim Adriana</v>
      </c>
      <c r="C5507" s="238" t="str">
        <f>IFERROR(__xludf.DUMMYFUNCTION("""COMPUTED_VALUE"""),"HUB-LSP-12")</f>
        <v>HUB-LSP-12</v>
      </c>
      <c r="D5507" s="234">
        <f>IFERROR(__xludf.DUMMYFUNCTION("""COMPUTED_VALUE"""),5.0)</f>
        <v>5</v>
      </c>
      <c r="E5507" s="237" t="str">
        <f>IFERROR(__xludf.DUMMYFUNCTION("""COMPUTED_VALUE"""),"LT0Q1M01WTC91")</f>
        <v>LT0Q1M01WTC91</v>
      </c>
      <c r="F5507" s="238" t="str">
        <f>IFERROR(__xludf.DUMMYFUNCTION("""COMPUTED_VALUE"""),"FYZ2D15")</f>
        <v>FYZ2D15</v>
      </c>
      <c r="G5507" s="238">
        <f>IFERROR(__xludf.DUMMYFUNCTION("""COMPUTED_VALUE"""),46044.25)</f>
        <v>46044.25</v>
      </c>
      <c r="H5507" s="238">
        <f>IFERROR(__xludf.DUMMYFUNCTION("""COMPUTED_VALUE"""),46044.33333333333)</f>
        <v>46044.33333</v>
      </c>
      <c r="I5507" s="237" t="str">
        <f t="shared" si="1"/>
        <v>Fora</v>
      </c>
      <c r="J5507" s="239">
        <v>119.99999999301508</v>
      </c>
    </row>
    <row r="5508">
      <c r="A5508" s="234" t="s">
        <v>1086</v>
      </c>
      <c r="B5508" s="238" t="str">
        <f>IFERROR(__xludf.DUMMYFUNCTION("""COMPUTED_VALUE"""),"LM Hub_SP_VilaGuilherme")</f>
        <v>LM Hub_SP_VilaGuilherme</v>
      </c>
      <c r="C5508" s="238" t="str">
        <f>IFERROR(__xludf.DUMMYFUNCTION("""COMPUTED_VALUE"""),"HUB-LSP-68")</f>
        <v>HUB-LSP-68</v>
      </c>
      <c r="D5508" s="234">
        <f>IFERROR(__xludf.DUMMYFUNCTION("""COMPUTED_VALUE"""),40.0)</f>
        <v>40</v>
      </c>
      <c r="E5508" s="237" t="str">
        <f>IFERROR(__xludf.DUMMYFUNCTION("""COMPUTED_VALUE"""),"LT0Q1M01WTEH1")</f>
        <v>LT0Q1M01WTEH1</v>
      </c>
      <c r="F5508" s="238" t="str">
        <f>IFERROR(__xludf.DUMMYFUNCTION("""COMPUTED_VALUE"""),"DAJ3E28")</f>
        <v>DAJ3E28</v>
      </c>
      <c r="G5508" s="238">
        <f>IFERROR(__xludf.DUMMYFUNCTION("""COMPUTED_VALUE"""),46044.25)</f>
        <v>46044.25</v>
      </c>
      <c r="H5508" s="238">
        <f>IFERROR(__xludf.DUMMYFUNCTION("""COMPUTED_VALUE"""),46044.33333333333)</f>
        <v>46044.33333</v>
      </c>
      <c r="I5508" s="237" t="str">
        <f t="shared" si="1"/>
        <v>Fora</v>
      </c>
      <c r="J5508" s="239">
        <v>119.99999999301508</v>
      </c>
    </row>
    <row r="5509">
      <c r="A5509" s="234" t="s">
        <v>1087</v>
      </c>
      <c r="B5509" s="238" t="str">
        <f>IFERROR(__xludf.DUMMYFUNCTION("""COMPUTED_VALUE"""),"LM Hub_SP_Itaqua_Zimba")</f>
        <v>LM Hub_SP_Itaqua_Zimba</v>
      </c>
      <c r="C5509" s="238" t="str">
        <f>IFERROR(__xludf.DUMMYFUNCTION("""COMPUTED_VALUE"""),"HUB-LSP-74")</f>
        <v>HUB-LSP-74</v>
      </c>
      <c r="D5509" s="234">
        <f>IFERROR(__xludf.DUMMYFUNCTION("""COMPUTED_VALUE"""),25.0)</f>
        <v>25</v>
      </c>
      <c r="E5509" s="237" t="str">
        <f>IFERROR(__xludf.DUMMYFUNCTION("""COMPUTED_VALUE"""),"LT0Q1M01WTEL1")</f>
        <v>LT0Q1M01WTEL1</v>
      </c>
      <c r="F5509" s="238" t="str">
        <f>IFERROR(__xludf.DUMMYFUNCTION("""COMPUTED_VALUE"""),"UFL4C38")</f>
        <v>UFL4C38</v>
      </c>
      <c r="G5509" s="238">
        <f>IFERROR(__xludf.DUMMYFUNCTION("""COMPUTED_VALUE"""),46044.25)</f>
        <v>46044.25</v>
      </c>
      <c r="H5509" s="238">
        <f>IFERROR(__xludf.DUMMYFUNCTION("""COMPUTED_VALUE"""),46044.33333333333)</f>
        <v>46044.33333</v>
      </c>
      <c r="I5509" s="237" t="str">
        <f t="shared" si="1"/>
        <v>Fora</v>
      </c>
      <c r="J5509" s="239">
        <v>119.99999999301508</v>
      </c>
    </row>
    <row r="5510">
      <c r="A5510" s="234" t="s">
        <v>1088</v>
      </c>
      <c r="B5510" s="238" t="str">
        <f>IFERROR(__xludf.DUMMYFUNCTION("""COMPUTED_VALUE"""),"LM Hub_SP_Artur Alvim")</f>
        <v>LM Hub_SP_Artur Alvim</v>
      </c>
      <c r="C5510" s="238" t="str">
        <f>IFERROR(__xludf.DUMMYFUNCTION("""COMPUTED_VALUE"""),"HUB-LSP-07")</f>
        <v>HUB-LSP-07</v>
      </c>
      <c r="D5510" s="234">
        <f>IFERROR(__xludf.DUMMYFUNCTION("""COMPUTED_VALUE"""),21.0)</f>
        <v>21</v>
      </c>
      <c r="E5510" s="237" t="str">
        <f>IFERROR(__xludf.DUMMYFUNCTION("""COMPUTED_VALUE"""),"LT0Q1M01WTBZ1")</f>
        <v>LT0Q1M01WTBZ1</v>
      </c>
      <c r="F5510" s="238" t="str">
        <f>IFERROR(__xludf.DUMMYFUNCTION("""COMPUTED_VALUE"""),"ASH4C66")</f>
        <v>ASH4C66</v>
      </c>
      <c r="G5510" s="238">
        <f>IFERROR(__xludf.DUMMYFUNCTION("""COMPUTED_VALUE"""),46044.25)</f>
        <v>46044.25</v>
      </c>
      <c r="H5510" s="238">
        <f>IFERROR(__xludf.DUMMYFUNCTION("""COMPUTED_VALUE"""),46044.33333333333)</f>
        <v>46044.33333</v>
      </c>
      <c r="I5510" s="237" t="str">
        <f t="shared" si="1"/>
        <v>Fora</v>
      </c>
      <c r="J5510" s="239">
        <v>119.99999999301508</v>
      </c>
    </row>
    <row r="5511">
      <c r="A5511" s="234" t="s">
        <v>1089</v>
      </c>
      <c r="B5511" s="238" t="str">
        <f>IFERROR(__xludf.DUMMYFUNCTION("""COMPUTED_VALUE"""),"SoC_RJ_Duque de Caxias")</f>
        <v>SoC_RJ_Duque de Caxias</v>
      </c>
      <c r="C5511" s="238" t="str">
        <f>IFERROR(__xludf.DUMMYFUNCTION("""COMPUTED_VALUE"""),"SOC-RJ2")</f>
        <v>SOC-RJ2</v>
      </c>
      <c r="D5511" s="234">
        <f>IFERROR(__xludf.DUMMYFUNCTION("""COMPUTED_VALUE"""),97.0)</f>
        <v>97</v>
      </c>
      <c r="E5511" s="237" t="str">
        <f>IFERROR(__xludf.DUMMYFUNCTION("""COMPUTED_VALUE"""),"LT1Q1M01X99S1")</f>
        <v>LT1Q1M01X99S1</v>
      </c>
      <c r="F5511" s="238" t="str">
        <f>IFERROR(__xludf.DUMMYFUNCTION("""COMPUTED_VALUE"""),"GEN4H09,TMC6F28")</f>
        <v>GEN4H09,TMC6F28</v>
      </c>
      <c r="G5511" s="238">
        <f>IFERROR(__xludf.DUMMYFUNCTION("""COMPUTED_VALUE"""),46044.25)</f>
        <v>46044.25</v>
      </c>
      <c r="H5511" s="238">
        <f>IFERROR(__xludf.DUMMYFUNCTION("""COMPUTED_VALUE"""),46044.33333333333)</f>
        <v>46044.33333</v>
      </c>
      <c r="I5511" s="237" t="str">
        <f t="shared" si="1"/>
        <v>Fora</v>
      </c>
      <c r="J5511" s="239">
        <v>119.99999999301508</v>
      </c>
    </row>
    <row r="5512">
      <c r="A5512" s="234" t="s">
        <v>1090</v>
      </c>
      <c r="B5512" s="238" t="str">
        <f>IFERROR(__xludf.DUMMYFUNCTION("""COMPUTED_VALUE"""),"SoC_SP_Louveira")</f>
        <v>SoC_SP_Louveira</v>
      </c>
      <c r="C5512" s="238" t="str">
        <f>IFERROR(__xludf.DUMMYFUNCTION("""COMPUTED_VALUE"""),"SOC-SP7")</f>
        <v>SOC-SP7</v>
      </c>
      <c r="D5512" s="234">
        <f>IFERROR(__xludf.DUMMYFUNCTION("""COMPUTED_VALUE"""),45.0)</f>
        <v>45</v>
      </c>
      <c r="E5512" s="237" t="str">
        <f>IFERROR(__xludf.DUMMYFUNCTION("""COMPUTED_VALUE"""),"LT0Q1M01X2M31")</f>
        <v>LT0Q1M01X2M31</v>
      </c>
      <c r="F5512" s="238" t="str">
        <f>IFERROR(__xludf.DUMMYFUNCTION("""COMPUTED_VALUE"""),"DPE8C49,LLJ8B74")</f>
        <v>DPE8C49,LLJ8B74</v>
      </c>
      <c r="G5512" s="238">
        <f>IFERROR(__xludf.DUMMYFUNCTION("""COMPUTED_VALUE"""),46044.25)</f>
        <v>46044.25</v>
      </c>
      <c r="H5512" s="238">
        <f>IFERROR(__xludf.DUMMYFUNCTION("""COMPUTED_VALUE"""),46044.33333333333)</f>
        <v>46044.33333</v>
      </c>
      <c r="I5512" s="237" t="str">
        <f t="shared" si="1"/>
        <v>Fora</v>
      </c>
      <c r="J5512" s="239">
        <v>120.00000001396984</v>
      </c>
    </row>
    <row r="5513">
      <c r="A5513" s="234" t="s">
        <v>1091</v>
      </c>
      <c r="B5513" s="238" t="str">
        <f>IFERROR(__xludf.DUMMYFUNCTION("""COMPUTED_VALUE"""),"LM Hub_SP_Parque Novo Mundo")</f>
        <v>LM Hub_SP_Parque Novo Mundo</v>
      </c>
      <c r="C5513" s="238" t="str">
        <f>IFERROR(__xludf.DUMMYFUNCTION("""COMPUTED_VALUE"""),"HUB-LSP-89")</f>
        <v>HUB-LSP-89</v>
      </c>
      <c r="D5513" s="234"/>
      <c r="E5513" s="237" t="str">
        <f>IFERROR(__xludf.DUMMYFUNCTION("""COMPUTED_VALUE"""),"LT0Q1M01WUBF1")</f>
        <v>LT0Q1M01WUBF1</v>
      </c>
      <c r="F5513" s="238" t="str">
        <f>IFERROR(__xludf.DUMMYFUNCTION("""COMPUTED_VALUE"""),"GIQ1C13")</f>
        <v>GIQ1C13</v>
      </c>
      <c r="G5513" s="238">
        <f>IFERROR(__xludf.DUMMYFUNCTION("""COMPUTED_VALUE"""),46044.27083333333)</f>
        <v>46044.27083</v>
      </c>
      <c r="H5513" s="238">
        <f>IFERROR(__xludf.DUMMYFUNCTION("""COMPUTED_VALUE"""),46044.35416666667)</f>
        <v>46044.35417</v>
      </c>
      <c r="I5513" s="237" t="str">
        <f t="shared" si="1"/>
        <v>Fora</v>
      </c>
      <c r="J5513" s="239">
        <v>120.00000001396984</v>
      </c>
    </row>
    <row r="5514">
      <c r="A5514" s="234" t="s">
        <v>1093</v>
      </c>
      <c r="B5514" s="238" t="str">
        <f>IFERROR(__xludf.DUMMYFUNCTION("""COMPUTED_VALUE"""),"LM Hub_SP_São Bernardo do Campo")</f>
        <v>LM Hub_SP_São Bernardo do Campo</v>
      </c>
      <c r="C5514" s="238" t="str">
        <f>IFERROR(__xludf.DUMMYFUNCTION("""COMPUTED_VALUE"""),"HUB-LSP-79")</f>
        <v>HUB-LSP-79</v>
      </c>
      <c r="D5514" s="234">
        <f>IFERROR(__xludf.DUMMYFUNCTION("""COMPUTED_VALUE"""),27.0)</f>
        <v>27</v>
      </c>
      <c r="E5514" s="237" t="str">
        <f>IFERROR(__xludf.DUMMYFUNCTION("""COMPUTED_VALUE"""),"LT0Q1M01WU1E1")</f>
        <v>LT0Q1M01WU1E1</v>
      </c>
      <c r="F5514" s="238" t="str">
        <f>IFERROR(__xludf.DUMMYFUNCTION("""COMPUTED_VALUE"""),"EFW0H81")</f>
        <v>EFW0H81</v>
      </c>
      <c r="G5514" s="238">
        <f>IFERROR(__xludf.DUMMYFUNCTION("""COMPUTED_VALUE"""),46044.27083333333)</f>
        <v>46044.27083</v>
      </c>
      <c r="H5514" s="238">
        <f>IFERROR(__xludf.DUMMYFUNCTION("""COMPUTED_VALUE"""),46044.35416666667)</f>
        <v>46044.35417</v>
      </c>
      <c r="I5514" s="237" t="str">
        <f t="shared" si="1"/>
        <v>Fora</v>
      </c>
      <c r="J5514" s="239">
        <v>119.00000000023283</v>
      </c>
    </row>
    <row r="5515">
      <c r="A5515" s="234" t="s">
        <v>1094</v>
      </c>
      <c r="B5515" s="238" t="str">
        <f>IFERROR(__xludf.DUMMYFUNCTION("""COMPUTED_VALUE"""),"LM Hub_SP_Mooca_02")</f>
        <v>LM Hub_SP_Mooca_02</v>
      </c>
      <c r="C5515" s="238" t="str">
        <f>IFERROR(__xludf.DUMMYFUNCTION("""COMPUTED_VALUE"""),"HUB-LSP-94")</f>
        <v>HUB-LSP-94</v>
      </c>
      <c r="D5515" s="234">
        <f>IFERROR(__xludf.DUMMYFUNCTION("""COMPUTED_VALUE"""),48.0)</f>
        <v>48</v>
      </c>
      <c r="E5515" s="237" t="str">
        <f>IFERROR(__xludf.DUMMYFUNCTION("""COMPUTED_VALUE"""),"LT0Q1M01WY0V1")</f>
        <v>LT0Q1M01WY0V1</v>
      </c>
      <c r="F5515" s="238" t="str">
        <f>IFERROR(__xludf.DUMMYFUNCTION("""COMPUTED_VALUE"""),"EGJ9547")</f>
        <v>EGJ9547</v>
      </c>
      <c r="G5515" s="238">
        <f>IFERROR(__xludf.DUMMYFUNCTION("""COMPUTED_VALUE"""),46044.29236111111)</f>
        <v>46044.29236</v>
      </c>
      <c r="H5515" s="238">
        <f>IFERROR(__xludf.DUMMYFUNCTION("""COMPUTED_VALUE"""),46044.375)</f>
        <v>46044.375</v>
      </c>
      <c r="I5515" s="237" t="str">
        <f t="shared" si="1"/>
        <v>Fora</v>
      </c>
      <c r="J5515" s="239">
        <v>119.99999999301508</v>
      </c>
    </row>
    <row r="5516">
      <c r="A5516" s="234" t="s">
        <v>1095</v>
      </c>
      <c r="B5516" s="238" t="str">
        <f>IFERROR(__xludf.DUMMYFUNCTION("""COMPUTED_VALUE"""),"LM Hub_SP_Embu das Artes_02")</f>
        <v>LM Hub_SP_Embu das Artes_02</v>
      </c>
      <c r="C5516" s="238" t="str">
        <f>IFERROR(__xludf.DUMMYFUNCTION("""COMPUTED_VALUE"""),"HUB-LSP-96")</f>
        <v>HUB-LSP-96</v>
      </c>
      <c r="D5516" s="234">
        <f>IFERROR(__xludf.DUMMYFUNCTION("""COMPUTED_VALUE"""),14.0)</f>
        <v>14</v>
      </c>
      <c r="E5516" s="237" t="str">
        <f>IFERROR(__xludf.DUMMYFUNCTION("""COMPUTED_VALUE"""),"LT0Q1M01WWMN1")</f>
        <v>LT0Q1M01WWMN1</v>
      </c>
      <c r="F5516" s="238" t="str">
        <f>IFERROR(__xludf.DUMMYFUNCTION("""COMPUTED_VALUE"""),"FUF6H46")</f>
        <v>FUF6H46</v>
      </c>
      <c r="G5516" s="238">
        <f>IFERROR(__xludf.DUMMYFUNCTION("""COMPUTED_VALUE"""),46044.29166666667)</f>
        <v>46044.29167</v>
      </c>
      <c r="H5516" s="238">
        <f>IFERROR(__xludf.DUMMYFUNCTION("""COMPUTED_VALUE"""),46044.375)</f>
        <v>46044.375</v>
      </c>
      <c r="I5516" s="237" t="str">
        <f t="shared" si="1"/>
        <v>Fora</v>
      </c>
      <c r="J5516" s="239">
        <v>119.99999999301508</v>
      </c>
    </row>
    <row r="5517">
      <c r="A5517" s="234" t="s">
        <v>1096</v>
      </c>
      <c r="B5517" s="238" t="str">
        <f>IFERROR(__xludf.DUMMYFUNCTION("""COMPUTED_VALUE"""),"LM Hub_SP_São Paulo_Carandiru")</f>
        <v>LM Hub_SP_São Paulo_Carandiru</v>
      </c>
      <c r="C5517" s="238" t="str">
        <f>IFERROR(__xludf.DUMMYFUNCTION("""COMPUTED_VALUE"""),"HUB-LSP-18")</f>
        <v>HUB-LSP-18</v>
      </c>
      <c r="D5517" s="234">
        <f>IFERROR(__xludf.DUMMYFUNCTION("""COMPUTED_VALUE"""),34.0)</f>
        <v>34</v>
      </c>
      <c r="E5517" s="237" t="str">
        <f>IFERROR(__xludf.DUMMYFUNCTION("""COMPUTED_VALUE"""),"LT0Q1M01WTD61")</f>
        <v>LT0Q1M01WTD61</v>
      </c>
      <c r="F5517" s="238" t="str">
        <f>IFERROR(__xludf.DUMMYFUNCTION("""COMPUTED_VALUE"""),"NVO0561")</f>
        <v>NVO0561</v>
      </c>
      <c r="G5517" s="238">
        <f>IFERROR(__xludf.DUMMYFUNCTION("""COMPUTED_VALUE"""),46044.29166666667)</f>
        <v>46044.29167</v>
      </c>
      <c r="H5517" s="238">
        <f>IFERROR(__xludf.DUMMYFUNCTION("""COMPUTED_VALUE"""),46044.375)</f>
        <v>46044.375</v>
      </c>
      <c r="I5517" s="237" t="str">
        <f t="shared" si="1"/>
        <v>Fora</v>
      </c>
      <c r="J5517" s="239">
        <v>540.0</v>
      </c>
    </row>
    <row r="5518">
      <c r="A5518" s="234" t="s">
        <v>6327</v>
      </c>
      <c r="B5518" s="238" t="str">
        <f>IFERROR(__xludf.DUMMYFUNCTION("""COMPUTED_VALUE"""),"SoC_RJ_Duque de Caxias")</f>
        <v>SoC_RJ_Duque de Caxias</v>
      </c>
      <c r="C5518" s="238" t="str">
        <f>IFERROR(__xludf.DUMMYFUNCTION("""COMPUTED_VALUE"""),"SOC-RJ2")</f>
        <v>SOC-RJ2</v>
      </c>
      <c r="D5518" s="234">
        <f>IFERROR(__xludf.DUMMYFUNCTION("""COMPUTED_VALUE"""),96.0)</f>
        <v>96</v>
      </c>
      <c r="E5518" s="237" t="str">
        <f>IFERROR(__xludf.DUMMYFUNCTION("""COMPUTED_VALUE"""),"LT0Q1L01X2ZF1")</f>
        <v>LT0Q1L01X2ZF1</v>
      </c>
      <c r="F5518" s="238" t="str">
        <f>IFERROR(__xludf.DUMMYFUNCTION("""COMPUTED_VALUE"""),"IYX1J37,ODH9G75")</f>
        <v>IYX1J37,ODH9G75</v>
      </c>
      <c r="G5518" s="238">
        <f>IFERROR(__xludf.DUMMYFUNCTION("""COMPUTED_VALUE"""),46044.04166666667)</f>
        <v>46044.04167</v>
      </c>
      <c r="H5518" s="238">
        <f>IFERROR(__xludf.DUMMYFUNCTION("""COMPUTED_VALUE"""),46044.41666666667)</f>
        <v>46044.41667</v>
      </c>
      <c r="I5518" s="237" t="str">
        <f t="shared" si="1"/>
        <v>Fora</v>
      </c>
      <c r="J5518" s="239">
        <v>540.0</v>
      </c>
    </row>
    <row r="5519">
      <c r="A5519" s="234" t="s">
        <v>6328</v>
      </c>
      <c r="B5519" s="238" t="str">
        <f>IFERROR(__xludf.DUMMYFUNCTION("""COMPUTED_VALUE"""),"SoC_SP_Cravinhos")</f>
        <v>SoC_SP_Cravinhos</v>
      </c>
      <c r="C5519" s="238" t="str">
        <f>IFERROR(__xludf.DUMMYFUNCTION("""COMPUTED_VALUE"""),"SOC-SP5")</f>
        <v>SOC-SP5</v>
      </c>
      <c r="D5519" s="234" t="str">
        <f>IFERROR(__xludf.DUMMYFUNCTION("""COMPUTED_VALUE"""),"94/46")</f>
        <v>94/46</v>
      </c>
      <c r="E5519" s="237" t="str">
        <f>IFERROR(__xludf.DUMMYFUNCTION("""COMPUTED_VALUE"""),"LT0Q1L01WTAL3")</f>
        <v>LT0Q1L01WTAL3</v>
      </c>
      <c r="F5519" s="238" t="str">
        <f>IFERROR(__xludf.DUMMYFUNCTION("""COMPUTED_VALUE"""),"IZV5G00,TBL5F97")</f>
        <v>IZV5G00,TBL5F97</v>
      </c>
      <c r="G5519" s="238">
        <f>IFERROR(__xludf.DUMMYFUNCTION("""COMPUTED_VALUE"""),46044.04166666667)</f>
        <v>46044.04167</v>
      </c>
      <c r="H5519" s="238">
        <f>IFERROR(__xludf.DUMMYFUNCTION("""COMPUTED_VALUE"""),46044.41666666667)</f>
        <v>46044.41667</v>
      </c>
      <c r="I5519" s="237" t="str">
        <f t="shared" si="1"/>
        <v>Fora</v>
      </c>
      <c r="J5519" s="239">
        <v>535.9999999869615</v>
      </c>
    </row>
    <row r="5520">
      <c r="A5520" s="234" t="s">
        <v>1097</v>
      </c>
      <c r="B5520" s="238" t="str">
        <f>IFERROR(__xludf.DUMMYFUNCTION("""COMPUTED_VALUE"""),"SoC_SP_Cravinhos")</f>
        <v>SoC_SP_Cravinhos</v>
      </c>
      <c r="C5520" s="238" t="str">
        <f>IFERROR(__xludf.DUMMYFUNCTION("""COMPUTED_VALUE"""),"SOC-SP5")</f>
        <v>SOC-SP5</v>
      </c>
      <c r="D5520" s="234">
        <f>IFERROR(__xludf.DUMMYFUNCTION("""COMPUTED_VALUE"""),95.0)</f>
        <v>95</v>
      </c>
      <c r="E5520" s="237" t="str">
        <f>IFERROR(__xludf.DUMMYFUNCTION("""COMPUTED_VALUE"""),"LT0Q1L01WTAQ1")</f>
        <v>LT0Q1L01WTAQ1</v>
      </c>
      <c r="F5520" s="238" t="str">
        <f>IFERROR(__xludf.DUMMYFUNCTION("""COMPUTED_VALUE"""),"GGE4F98,IUX6B24")</f>
        <v>GGE4F98,IUX6B24</v>
      </c>
      <c r="G5520" s="238">
        <f>IFERROR(__xludf.DUMMYFUNCTION("""COMPUTED_VALUE"""),46044.086111111115)</f>
        <v>46044.08611</v>
      </c>
      <c r="H5520" s="238">
        <f>IFERROR(__xludf.DUMMYFUNCTION("""COMPUTED_VALUE"""),46044.45833333333)</f>
        <v>46044.45833</v>
      </c>
      <c r="I5520" s="237" t="str">
        <f t="shared" si="1"/>
        <v>Fora</v>
      </c>
      <c r="J5520" s="239">
        <v>535.9999999869615</v>
      </c>
    </row>
    <row r="5521">
      <c r="A5521" s="234" t="s">
        <v>1098</v>
      </c>
      <c r="B5521" s="238" t="str">
        <f>IFERROR(__xludf.DUMMYFUNCTION("""COMPUTED_VALUE"""),"SoC_SP_Cravinhos")</f>
        <v>SoC_SP_Cravinhos</v>
      </c>
      <c r="C5521" s="238" t="str">
        <f>IFERROR(__xludf.DUMMYFUNCTION("""COMPUTED_VALUE"""),"SOC-SP5")</f>
        <v>SOC-SP5</v>
      </c>
      <c r="D5521" s="234">
        <f>IFERROR(__xludf.DUMMYFUNCTION("""COMPUTED_VALUE"""),94.0)</f>
        <v>94</v>
      </c>
      <c r="E5521" s="237" t="str">
        <f>IFERROR(__xludf.DUMMYFUNCTION("""COMPUTED_VALUE"""),"LT0Q1L01WTAU3")</f>
        <v>LT0Q1L01WTAU3</v>
      </c>
      <c r="F5521" s="238" t="str">
        <f>IFERROR(__xludf.DUMMYFUNCTION("""COMPUTED_VALUE"""),"PLA4B06,TKU4B08")</f>
        <v>PLA4B06,TKU4B08</v>
      </c>
      <c r="G5521" s="238">
        <f>IFERROR(__xludf.DUMMYFUNCTION("""COMPUTED_VALUE"""),46044.086111111115)</f>
        <v>46044.08611</v>
      </c>
      <c r="H5521" s="238">
        <f>IFERROR(__xludf.DUMMYFUNCTION("""COMPUTED_VALUE"""),46044.45833333333)</f>
        <v>46044.45833</v>
      </c>
      <c r="I5521" s="237" t="str">
        <f t="shared" si="1"/>
        <v>Fora</v>
      </c>
      <c r="J5521" s="239">
        <v>419.99999998603016</v>
      </c>
    </row>
    <row r="5522">
      <c r="A5522" s="234" t="s">
        <v>6329</v>
      </c>
      <c r="B5522" s="238" t="str">
        <f>IFERROR(__xludf.DUMMYFUNCTION("""COMPUTED_VALUE"""),"SoC_BA_Simoes Filho")</f>
        <v>SoC_BA_Simoes Filho</v>
      </c>
      <c r="C5522" s="238" t="str">
        <f>IFERROR(__xludf.DUMMYFUNCTION("""COMPUTED_VALUE"""),"SOC-BA2")</f>
        <v>SOC-BA2</v>
      </c>
      <c r="D5522" s="234">
        <f>IFERROR(__xludf.DUMMYFUNCTION("""COMPUTED_VALUE"""),89.0)</f>
        <v>89</v>
      </c>
      <c r="E5522" s="237" t="str">
        <f>IFERROR(__xludf.DUMMYFUNCTION("""COMPUTED_VALUE"""),"LT0Q1L01WYFR1")</f>
        <v>LT0Q1L01WYFR1</v>
      </c>
      <c r="F5522" s="238" t="str">
        <f>IFERROR(__xludf.DUMMYFUNCTION("""COMPUTED_VALUE"""),"TDO1D68,TCS7D80")</f>
        <v>TDO1D68,TCS7D80</v>
      </c>
      <c r="G5522" s="238">
        <f>IFERROR(__xludf.DUMMYFUNCTION("""COMPUTED_VALUE"""),46044.16666666667)</f>
        <v>46044.16667</v>
      </c>
      <c r="H5522" s="238">
        <f>IFERROR(__xludf.DUMMYFUNCTION("""COMPUTED_VALUE"""),46044.45833333333)</f>
        <v>46044.45833</v>
      </c>
      <c r="I5522" s="237" t="str">
        <f t="shared" si="1"/>
        <v>Fora</v>
      </c>
      <c r="J5522" s="239">
        <v>600.0000000069849</v>
      </c>
    </row>
    <row r="5523">
      <c r="A5523" s="234" t="s">
        <v>1099</v>
      </c>
      <c r="B5523" s="238" t="str">
        <f>IFERROR(__xludf.DUMMYFUNCTION("""COMPUTED_VALUE"""),"SoC_GO_Goiânia_02")</f>
        <v>SoC_GO_Goiânia_02</v>
      </c>
      <c r="C5523" s="238" t="str">
        <f>IFERROR(__xludf.DUMMYFUNCTION("""COMPUTED_VALUE"""),"SOC-GO2")</f>
        <v>SOC-GO2</v>
      </c>
      <c r="D5523" s="234">
        <f>IFERROR(__xludf.DUMMYFUNCTION("""COMPUTED_VALUE"""),87.0)</f>
        <v>87</v>
      </c>
      <c r="E5523" s="237" t="str">
        <f>IFERROR(__xludf.DUMMYFUNCTION("""COMPUTED_VALUE"""),"LT0Q1M01WYQF1")</f>
        <v>LT0Q1M01WYQF1</v>
      </c>
      <c r="F5523" s="238" t="str">
        <f>IFERROR(__xludf.DUMMYFUNCTION("""COMPUTED_VALUE"""),"TLN8C37,AXI9D02")</f>
        <v>TLN8C37,AXI9D02</v>
      </c>
      <c r="G5523" s="238">
        <f>IFERROR(__xludf.DUMMYFUNCTION("""COMPUTED_VALUE"""),46044.25)</f>
        <v>46044.25</v>
      </c>
      <c r="H5523" s="238">
        <f>IFERROR(__xludf.DUMMYFUNCTION("""COMPUTED_VALUE"""),46044.66666666667)</f>
        <v>46044.66667</v>
      </c>
      <c r="I5523" s="237" t="str">
        <f t="shared" si="1"/>
        <v>Fora</v>
      </c>
      <c r="J5523" s="239">
        <v>597.0000000076834</v>
      </c>
    </row>
    <row r="5524">
      <c r="A5524" s="234" t="s">
        <v>1100</v>
      </c>
      <c r="B5524" s="238" t="str">
        <f>IFERROR(__xludf.DUMMYFUNCTION("""COMPUTED_VALUE"""),"SoC_MG_Betim")</f>
        <v>SoC_MG_Betim</v>
      </c>
      <c r="C5524" s="238" t="str">
        <f>IFERROR(__xludf.DUMMYFUNCTION("""COMPUTED_VALUE"""),"SOC-MG2")</f>
        <v>SOC-MG2</v>
      </c>
      <c r="D5524" s="234">
        <f>IFERROR(__xludf.DUMMYFUNCTION("""COMPUTED_VALUE"""),90.0)</f>
        <v>90</v>
      </c>
      <c r="E5524" s="237" t="str">
        <f>IFERROR(__xludf.DUMMYFUNCTION("""COMPUTED_VALUE"""),"LT0Q1M01WT7H3")</f>
        <v>LT0Q1M01WT7H3</v>
      </c>
      <c r="F5524" s="238" t="str">
        <f>IFERROR(__xludf.DUMMYFUNCTION("""COMPUTED_VALUE"""),"DOO5C11,TLC8C54")</f>
        <v>DOO5C11,TLC8C54</v>
      </c>
      <c r="G5524" s="238">
        <f>IFERROR(__xludf.DUMMYFUNCTION("""COMPUTED_VALUE"""),46044.25208333333)</f>
        <v>46044.25208</v>
      </c>
      <c r="H5524" s="238">
        <f>IFERROR(__xludf.DUMMYFUNCTION("""COMPUTED_VALUE"""),46044.66666666667)</f>
        <v>46044.66667</v>
      </c>
      <c r="I5524" s="237" t="str">
        <f t="shared" si="1"/>
        <v>Fora</v>
      </c>
      <c r="J5524" s="239">
        <v>600.0000000069849</v>
      </c>
    </row>
    <row r="5525">
      <c r="A5525" s="234" t="s">
        <v>1101</v>
      </c>
      <c r="B5525" s="238" t="str">
        <f>IFERROR(__xludf.DUMMYFUNCTION("""COMPUTED_VALUE"""),"SoC_BA_Simoes Filho")</f>
        <v>SoC_BA_Simoes Filho</v>
      </c>
      <c r="C5525" s="238" t="str">
        <f>IFERROR(__xludf.DUMMYFUNCTION("""COMPUTED_VALUE"""),"SOC-BA2")</f>
        <v>SOC-BA2</v>
      </c>
      <c r="D5525" s="234">
        <f>IFERROR(__xludf.DUMMYFUNCTION("""COMPUTED_VALUE"""),89.0)</f>
        <v>89</v>
      </c>
      <c r="E5525" s="237" t="str">
        <f>IFERROR(__xludf.DUMMYFUNCTION("""COMPUTED_VALUE"""),"LT0Q1M01WYFG1")</f>
        <v>LT0Q1M01WYFG1</v>
      </c>
      <c r="F5525" s="238" t="str">
        <f>IFERROR(__xludf.DUMMYFUNCTION("""COMPUTED_VALUE"""),"DBL8961,GCU2I65")</f>
        <v>DBL8961,GCU2I65</v>
      </c>
      <c r="G5525" s="238">
        <f>IFERROR(__xludf.DUMMYFUNCTION("""COMPUTED_VALUE"""),46044.25)</f>
        <v>46044.25</v>
      </c>
      <c r="H5525" s="238">
        <f>IFERROR(__xludf.DUMMYFUNCTION("""COMPUTED_VALUE"""),46044.66666666667)</f>
        <v>46044.66667</v>
      </c>
      <c r="I5525" s="237" t="str">
        <f t="shared" si="1"/>
        <v>Fora</v>
      </c>
      <c r="J5525" s="239">
        <v>599.0000000037253</v>
      </c>
    </row>
    <row r="5526">
      <c r="A5526" s="234" t="s">
        <v>1102</v>
      </c>
      <c r="B5526" s="238" t="str">
        <f>IFERROR(__xludf.DUMMYFUNCTION("""COMPUTED_VALUE"""),"SoC_RJ_Duque de Caxias")</f>
        <v>SoC_RJ_Duque de Caxias</v>
      </c>
      <c r="C5526" s="238" t="str">
        <f>IFERROR(__xludf.DUMMYFUNCTION("""COMPUTED_VALUE"""),"SOC-RJ2")</f>
        <v>SOC-RJ2</v>
      </c>
      <c r="D5526" s="234">
        <f>IFERROR(__xludf.DUMMYFUNCTION("""COMPUTED_VALUE"""),96.0)</f>
        <v>96</v>
      </c>
      <c r="E5526" s="237" t="str">
        <f>IFERROR(__xludf.DUMMYFUNCTION("""COMPUTED_VALUE"""),"LT0Q1M01WV631")</f>
        <v>LT0Q1M01WV631</v>
      </c>
      <c r="F5526" s="238" t="str">
        <f>IFERROR(__xludf.DUMMYFUNCTION("""COMPUTED_VALUE"""),"EPU5B08,DBC5I22")</f>
        <v>EPU5B08,DBC5I22</v>
      </c>
      <c r="G5526" s="238">
        <f>IFERROR(__xludf.DUMMYFUNCTION("""COMPUTED_VALUE"""),46044.25069444445)</f>
        <v>46044.25069</v>
      </c>
      <c r="H5526" s="238">
        <f>IFERROR(__xludf.DUMMYFUNCTION("""COMPUTED_VALUE"""),46044.66666666667)</f>
        <v>46044.66667</v>
      </c>
      <c r="I5526" s="237" t="str">
        <f t="shared" si="1"/>
        <v>Fora</v>
      </c>
      <c r="J5526" s="239">
        <v>540.0</v>
      </c>
    </row>
    <row r="5527">
      <c r="A5527" s="234"/>
      <c r="B5527" s="238" t="str">
        <f>IFERROR(__xludf.DUMMYFUNCTION("""COMPUTED_VALUE"""),"SoC_SC_Itajaí")</f>
        <v>SoC_SC_Itajaí</v>
      </c>
      <c r="C5527" s="238" t="str">
        <f>IFERROR(__xludf.DUMMYFUNCTION("""COMPUTED_VALUE"""),"SOC-SC1")</f>
        <v>SOC-SC1</v>
      </c>
      <c r="D5527" s="234">
        <f>IFERROR(__xludf.DUMMYFUNCTION("""COMPUTED_VALUE"""),100.0)</f>
        <v>100</v>
      </c>
      <c r="E5527" s="237" t="str">
        <f>IFERROR(__xludf.DUMMYFUNCTION("""COMPUTED_VALUE"""),"LT0Q1M01WXHG1")</f>
        <v>LT0Q1M01WXHG1</v>
      </c>
      <c r="F5527" s="238" t="str">
        <f>IFERROR(__xludf.DUMMYFUNCTION("""COMPUTED_VALUE"""),"RYV5F80,SXU5J57")</f>
        <v>RYV5F80,SXU5J57</v>
      </c>
      <c r="G5527" s="238">
        <f>IFERROR(__xludf.DUMMYFUNCTION("""COMPUTED_VALUE"""),46044.58333333333)</f>
        <v>46044.58333</v>
      </c>
      <c r="H5527" s="238">
        <f>IFERROR(__xludf.DUMMYFUNCTION("""COMPUTED_VALUE"""),46044.95833333333)</f>
        <v>46044.95833</v>
      </c>
      <c r="I5527" s="237" t="str">
        <f t="shared" si="1"/>
        <v>Fora</v>
      </c>
      <c r="J5527" s="239">
        <v>59.99999998603016</v>
      </c>
    </row>
    <row r="5528">
      <c r="A5528" s="234"/>
      <c r="B5528" s="238" t="str">
        <f>IFERROR(__xludf.DUMMYFUNCTION("""COMPUTED_VALUE"""),"LM Hub_SP_Mooca_02")</f>
        <v>LM Hub_SP_Mooca_02</v>
      </c>
      <c r="C5528" s="238" t="str">
        <f>IFERROR(__xludf.DUMMYFUNCTION("""COMPUTED_VALUE"""),"HUB-LSP-94")</f>
        <v>HUB-LSP-94</v>
      </c>
      <c r="D5528" s="234">
        <f>IFERROR(__xludf.DUMMYFUNCTION("""COMPUTED_VALUE"""),48.0)</f>
        <v>48</v>
      </c>
      <c r="E5528" s="237" t="str">
        <f>IFERROR(__xludf.DUMMYFUNCTION("""COMPUTED_VALUE"""),"LT1Q1L01X97N1")</f>
        <v>LT1Q1L01X97N1</v>
      </c>
      <c r="F5528" s="238" t="str">
        <f>IFERROR(__xludf.DUMMYFUNCTION("""COMPUTED_VALUE"""),"MTB1C44")</f>
        <v>MTB1C44</v>
      </c>
      <c r="G5528" s="238">
        <f>IFERROR(__xludf.DUMMYFUNCTION("""COMPUTED_VALUE"""),46044.91666666667)</f>
        <v>46044.91667</v>
      </c>
      <c r="H5528" s="238">
        <f>IFERROR(__xludf.DUMMYFUNCTION("""COMPUTED_VALUE"""),46044.95833333333)</f>
        <v>46044.95833</v>
      </c>
      <c r="I5528" s="237" t="str">
        <f t="shared" si="1"/>
        <v>Fora</v>
      </c>
      <c r="J5528" s="239">
        <v>59.99999998603016</v>
      </c>
    </row>
    <row r="5529">
      <c r="A5529" s="234"/>
      <c r="B5529" s="238" t="str">
        <f>IFERROR(__xludf.DUMMYFUNCTION("""COMPUTED_VALUE"""),"LM Hub_SP_Itaqua_Zimba")</f>
        <v>LM Hub_SP_Itaqua_Zimba</v>
      </c>
      <c r="C5529" s="238" t="str">
        <f>IFERROR(__xludf.DUMMYFUNCTION("""COMPUTED_VALUE"""),"HUB-LSP-74")</f>
        <v>HUB-LSP-74</v>
      </c>
      <c r="D5529" s="234"/>
      <c r="E5529" s="237" t="str">
        <f>IFERROR(__xludf.DUMMYFUNCTION("""COMPUTED_VALUE"""),"LT1Q1M01X9B21")</f>
        <v>LT1Q1M01X9B21</v>
      </c>
      <c r="F5529" s="238" t="str">
        <f>IFERROR(__xludf.DUMMYFUNCTION("""COMPUTED_VALUE"""),"AUH8E91")</f>
        <v>AUH8E91</v>
      </c>
      <c r="G5529" s="238">
        <f>IFERROR(__xludf.DUMMYFUNCTION("""COMPUTED_VALUE"""),46044.91666666667)</f>
        <v>46044.91667</v>
      </c>
      <c r="H5529" s="238">
        <f>IFERROR(__xludf.DUMMYFUNCTION("""COMPUTED_VALUE"""),46044.95833333333)</f>
        <v>46044.95833</v>
      </c>
      <c r="I5529" s="237" t="str">
        <f t="shared" si="1"/>
        <v>Fora</v>
      </c>
      <c r="J5529" s="239">
        <v>120.00000001396984</v>
      </c>
    </row>
    <row r="5530">
      <c r="A5530" s="234"/>
      <c r="B5530" s="238" t="str">
        <f>IFERROR(__xludf.DUMMYFUNCTION("""COMPUTED_VALUE"""),"LM Hub_SP_Jurubatuba")</f>
        <v>LM Hub_SP_Jurubatuba</v>
      </c>
      <c r="C5530" s="238" t="str">
        <f>IFERROR(__xludf.DUMMYFUNCTION("""COMPUTED_VALUE"""),"HUB-LSP-16")</f>
        <v>HUB-LSP-16</v>
      </c>
      <c r="D5530" s="234">
        <f>IFERROR(__xludf.DUMMYFUNCTION("""COMPUTED_VALUE"""),38.0)</f>
        <v>38</v>
      </c>
      <c r="E5530" s="237" t="str">
        <f>IFERROR(__xludf.DUMMYFUNCTION("""COMPUTED_VALUE"""),"LT0Q1M01WTD31")</f>
        <v>LT0Q1M01WTD31</v>
      </c>
      <c r="F5530" s="238" t="str">
        <f>IFERROR(__xludf.DUMMYFUNCTION("""COMPUTED_VALUE"""),"MQV9D62,BVT6J01")</f>
        <v>MQV9D62,BVT6J01</v>
      </c>
      <c r="G5530" s="238">
        <f>IFERROR(__xludf.DUMMYFUNCTION("""COMPUTED_VALUE"""),46044.89583333333)</f>
        <v>46044.89583</v>
      </c>
      <c r="H5530" s="238">
        <f>IFERROR(__xludf.DUMMYFUNCTION("""COMPUTED_VALUE"""),46044.97916666667)</f>
        <v>46044.97917</v>
      </c>
      <c r="I5530" s="237" t="str">
        <f t="shared" si="1"/>
        <v>Fora</v>
      </c>
      <c r="J5530" s="239">
        <v>120.00000001396984</v>
      </c>
    </row>
    <row r="5531">
      <c r="A5531" s="234"/>
      <c r="B5531" s="238" t="str">
        <f>IFERROR(__xludf.DUMMYFUNCTION("""COMPUTED_VALUE"""),"LM Hub_SP_Santos_Praia Grande")</f>
        <v>LM Hub_SP_Santos_Praia Grande</v>
      </c>
      <c r="C5531" s="238" t="str">
        <f>IFERROR(__xludf.DUMMYFUNCTION("""COMPUTED_VALUE"""),"HUB-LSP-09")</f>
        <v>HUB-LSP-09</v>
      </c>
      <c r="D5531" s="234">
        <f>IFERROR(__xludf.DUMMYFUNCTION("""COMPUTED_VALUE"""),35.0)</f>
        <v>35</v>
      </c>
      <c r="E5531" s="237" t="str">
        <f>IFERROR(__xludf.DUMMYFUNCTION("""COMPUTED_VALUE"""),"LT0Q1M01WTGH1")</f>
        <v>LT0Q1M01WTGH1</v>
      </c>
      <c r="F5531" s="238" t="str">
        <f>IFERROR(__xludf.DUMMYFUNCTION("""COMPUTED_VALUE"""),"TPV1I59,TPU0B29")</f>
        <v>TPV1I59,TPU0B29</v>
      </c>
      <c r="G5531" s="238">
        <f>IFERROR(__xludf.DUMMYFUNCTION("""COMPUTED_VALUE"""),46044.89583333333)</f>
        <v>46044.89583</v>
      </c>
      <c r="H5531" s="238">
        <f>IFERROR(__xludf.DUMMYFUNCTION("""COMPUTED_VALUE"""),46044.97916666667)</f>
        <v>46044.97917</v>
      </c>
      <c r="I5531" s="237" t="str">
        <f t="shared" si="1"/>
        <v>Fora</v>
      </c>
      <c r="J5531" s="239">
        <v>120.00000001396984</v>
      </c>
    </row>
    <row r="5532">
      <c r="A5532" s="234"/>
      <c r="B5532" s="238" t="str">
        <f>IFERROR(__xludf.DUMMYFUNCTION("""COMPUTED_VALUE"""),"LM Hub_SP_São José dos Campos")</f>
        <v>LM Hub_SP_São José dos Campos</v>
      </c>
      <c r="C5532" s="238" t="str">
        <f>IFERROR(__xludf.DUMMYFUNCTION("""COMPUTED_VALUE"""),"HUB-LSP-04")</f>
        <v>HUB-LSP-04</v>
      </c>
      <c r="D5532" s="234">
        <f>IFERROR(__xludf.DUMMYFUNCTION("""COMPUTED_VALUE"""),27.0)</f>
        <v>27</v>
      </c>
      <c r="E5532" s="237" t="str">
        <f>IFERROR(__xludf.DUMMYFUNCTION("""COMPUTED_VALUE"""),"LT0Q1M01X2NQ1")</f>
        <v>LT0Q1M01X2NQ1</v>
      </c>
      <c r="F5532" s="238" t="str">
        <f>IFERROR(__xludf.DUMMYFUNCTION("""COMPUTED_VALUE"""),"TIR7J78")</f>
        <v>TIR7J78</v>
      </c>
      <c r="G5532" s="238">
        <f>IFERROR(__xludf.DUMMYFUNCTION("""COMPUTED_VALUE"""),46044.89583333333)</f>
        <v>46044.89583</v>
      </c>
      <c r="H5532" s="238">
        <f>IFERROR(__xludf.DUMMYFUNCTION("""COMPUTED_VALUE"""),46044.97916666667)</f>
        <v>46044.97917</v>
      </c>
      <c r="I5532" s="237" t="str">
        <f t="shared" si="1"/>
        <v>Fora</v>
      </c>
      <c r="J5532" s="239">
        <v>117.9999999969732</v>
      </c>
    </row>
    <row r="5533">
      <c r="A5533" s="234"/>
      <c r="B5533" s="238" t="str">
        <f>IFERROR(__xludf.DUMMYFUNCTION("""COMPUTED_VALUE"""),"LM Hub_SP_Guarujá")</f>
        <v>LM Hub_SP_Guarujá</v>
      </c>
      <c r="C5533" s="238" t="str">
        <f>IFERROR(__xludf.DUMMYFUNCTION("""COMPUTED_VALUE"""),"HUB-LSP-06")</f>
        <v>HUB-LSP-06</v>
      </c>
      <c r="D5533" s="234">
        <f>IFERROR(__xludf.DUMMYFUNCTION("""COMPUTED_VALUE"""),34.0)</f>
        <v>34</v>
      </c>
      <c r="E5533" s="237" t="str">
        <f>IFERROR(__xludf.DUMMYFUNCTION("""COMPUTED_VALUE"""),"LT0Q1M01X2N51")</f>
        <v>LT0Q1M01X2N51</v>
      </c>
      <c r="F5533" s="238" t="str">
        <f>IFERROR(__xludf.DUMMYFUNCTION("""COMPUTED_VALUE"""),"FPX2D52")</f>
        <v>FPX2D52</v>
      </c>
      <c r="G5533" s="238">
        <f>IFERROR(__xludf.DUMMYFUNCTION("""COMPUTED_VALUE"""),46044.91736111111)</f>
        <v>46044.91736</v>
      </c>
      <c r="H5533" s="238">
        <f>IFERROR(__xludf.DUMMYFUNCTION("""COMPUTED_VALUE"""),46044.99930555555)</f>
        <v>46044.99931</v>
      </c>
      <c r="I5533" s="237" t="str">
        <f t="shared" si="1"/>
        <v>Fora</v>
      </c>
      <c r="J5533" s="239">
        <v>119.99999999301508</v>
      </c>
    </row>
    <row r="5534">
      <c r="A5534" s="234"/>
      <c r="B5534" s="238" t="str">
        <f>IFERROR(__xludf.DUMMYFUNCTION("""COMPUTED_VALUE"""),"LM Hub_SP_Artur Alvim")</f>
        <v>LM Hub_SP_Artur Alvim</v>
      </c>
      <c r="C5534" s="238" t="str">
        <f>IFERROR(__xludf.DUMMYFUNCTION("""COMPUTED_VALUE"""),"HUB-LSP-07")</f>
        <v>HUB-LSP-07</v>
      </c>
      <c r="D5534" s="234">
        <f>IFERROR(__xludf.DUMMYFUNCTION("""COMPUTED_VALUE"""),23.0)</f>
        <v>23</v>
      </c>
      <c r="E5534" s="237" t="str">
        <f>IFERROR(__xludf.DUMMYFUNCTION("""COMPUTED_VALUE"""),"LT0Q1M01WTC51")</f>
        <v>LT0Q1M01WTC51</v>
      </c>
      <c r="F5534" s="238" t="str">
        <f>IFERROR(__xludf.DUMMYFUNCTION("""COMPUTED_VALUE"""),"BWN8361,JRC7G68")</f>
        <v>BWN8361,JRC7G68</v>
      </c>
      <c r="G5534" s="238">
        <f>IFERROR(__xludf.DUMMYFUNCTION("""COMPUTED_VALUE"""),46044.91666666667)</f>
        <v>46044.91667</v>
      </c>
      <c r="H5534" s="238">
        <f>IFERROR(__xludf.DUMMYFUNCTION("""COMPUTED_VALUE"""),46045.0)</f>
        <v>46045</v>
      </c>
      <c r="I5534" s="237" t="str">
        <f t="shared" si="1"/>
        <v>Fora</v>
      </c>
      <c r="J5534" s="239">
        <v>119.99999999301508</v>
      </c>
    </row>
    <row r="5535">
      <c r="A5535" s="234"/>
      <c r="B5535" s="238" t="str">
        <f>IFERROR(__xludf.DUMMYFUNCTION("""COMPUTED_VALUE"""),"LM Hub_SP_Itapevi")</f>
        <v>LM Hub_SP_Itapevi</v>
      </c>
      <c r="C5535" s="238" t="str">
        <f>IFERROR(__xludf.DUMMYFUNCTION("""COMPUTED_VALUE"""),"HUB-LSP-41")</f>
        <v>HUB-LSP-41</v>
      </c>
      <c r="D5535" s="234">
        <f>IFERROR(__xludf.DUMMYFUNCTION("""COMPUTED_VALUE"""),12.0)</f>
        <v>12</v>
      </c>
      <c r="E5535" s="237" t="str">
        <f>IFERROR(__xludf.DUMMYFUNCTION("""COMPUTED_VALUE"""),"LT0Q1M01WTDW1")</f>
        <v>LT0Q1M01WTDW1</v>
      </c>
      <c r="F5535" s="238" t="str">
        <f>IFERROR(__xludf.DUMMYFUNCTION("""COMPUTED_VALUE"""),"BCS4J31,DJB0J76")</f>
        <v>BCS4J31,DJB0J76</v>
      </c>
      <c r="G5535" s="238">
        <f>IFERROR(__xludf.DUMMYFUNCTION("""COMPUTED_VALUE"""),46044.91666666667)</f>
        <v>46044.91667</v>
      </c>
      <c r="H5535" s="238">
        <f>IFERROR(__xludf.DUMMYFUNCTION("""COMPUTED_VALUE"""),46045.0)</f>
        <v>46045</v>
      </c>
      <c r="I5535" s="237" t="str">
        <f t="shared" si="1"/>
        <v>Fora</v>
      </c>
      <c r="J5535" s="239">
        <v>119.99999999301508</v>
      </c>
    </row>
    <row r="5536">
      <c r="A5536" s="234"/>
      <c r="B5536" s="238" t="str">
        <f>IFERROR(__xludf.DUMMYFUNCTION("""COMPUTED_VALUE"""),"LM Hub_SP_Osasco_02")</f>
        <v>LM Hub_SP_Osasco_02</v>
      </c>
      <c r="C5536" s="238" t="str">
        <f>IFERROR(__xludf.DUMMYFUNCTION("""COMPUTED_VALUE"""),"HUB-LSP-60")</f>
        <v>HUB-LSP-60</v>
      </c>
      <c r="D5536" s="234">
        <f>IFERROR(__xludf.DUMMYFUNCTION("""COMPUTED_VALUE"""),24.0)</f>
        <v>24</v>
      </c>
      <c r="E5536" s="237" t="str">
        <f>IFERROR(__xludf.DUMMYFUNCTION("""COMPUTED_VALUE"""),"LT0Q1M01WTE51")</f>
        <v>LT0Q1M01WTE51</v>
      </c>
      <c r="F5536" s="238" t="str">
        <f>IFERROR(__xludf.DUMMYFUNCTION("""COMPUTED_VALUE"""),"FUZ6B23,FUA8006")</f>
        <v>FUZ6B23,FUA8006</v>
      </c>
      <c r="G5536" s="238">
        <f>IFERROR(__xludf.DUMMYFUNCTION("""COMPUTED_VALUE"""),46044.91666666667)</f>
        <v>46044.91667</v>
      </c>
      <c r="H5536" s="238">
        <f>IFERROR(__xludf.DUMMYFUNCTION("""COMPUTED_VALUE"""),46045.0)</f>
        <v>46045</v>
      </c>
      <c r="I5536" s="237" t="str">
        <f t="shared" si="1"/>
        <v>Fora</v>
      </c>
      <c r="J5536" s="239">
        <v>119.99999999301508</v>
      </c>
    </row>
    <row r="5537">
      <c r="A5537" s="234"/>
      <c r="B5537" s="238" t="str">
        <f>IFERROR(__xludf.DUMMYFUNCTION("""COMPUTED_VALUE"""),"LM Hub_SP_Mauá")</f>
        <v>LM Hub_SP_Mauá</v>
      </c>
      <c r="C5537" s="238" t="str">
        <f>IFERROR(__xludf.DUMMYFUNCTION("""COMPUTED_VALUE"""),"HUB-LSP-64")</f>
        <v>HUB-LSP-64</v>
      </c>
      <c r="D5537" s="234">
        <f>IFERROR(__xludf.DUMMYFUNCTION("""COMPUTED_VALUE"""),22.0)</f>
        <v>22</v>
      </c>
      <c r="E5537" s="237" t="str">
        <f>IFERROR(__xludf.DUMMYFUNCTION("""COMPUTED_VALUE"""),"LT0Q1M01WTEE1")</f>
        <v>LT0Q1M01WTEE1</v>
      </c>
      <c r="F5537" s="238" t="str">
        <f>IFERROR(__xludf.DUMMYFUNCTION("""COMPUTED_VALUE"""),"FQF6B98,DTA7802")</f>
        <v>FQF6B98,DTA7802</v>
      </c>
      <c r="G5537" s="238">
        <f>IFERROR(__xludf.DUMMYFUNCTION("""COMPUTED_VALUE"""),46044.91666666667)</f>
        <v>46044.91667</v>
      </c>
      <c r="H5537" s="238">
        <f>IFERROR(__xludf.DUMMYFUNCTION("""COMPUTED_VALUE"""),46045.0)</f>
        <v>46045</v>
      </c>
      <c r="I5537" s="237" t="str">
        <f t="shared" si="1"/>
        <v>Fora</v>
      </c>
      <c r="J5537" s="239">
        <v>119.99999999301508</v>
      </c>
    </row>
    <row r="5538">
      <c r="A5538" s="234"/>
      <c r="B5538" s="238" t="str">
        <f>IFERROR(__xludf.DUMMYFUNCTION("""COMPUTED_VALUE"""),"LM Hub_SP_Limeira_Campo Belo")</f>
        <v>LM Hub_SP_Limeira_Campo Belo</v>
      </c>
      <c r="C5538" s="238" t="str">
        <f>IFERROR(__xludf.DUMMYFUNCTION("""COMPUTED_VALUE"""),"HUB-LSP-24")</f>
        <v>HUB-LSP-24</v>
      </c>
      <c r="D5538" s="234">
        <f>IFERROR(__xludf.DUMMYFUNCTION("""COMPUTED_VALUE"""),21.0)</f>
        <v>21</v>
      </c>
      <c r="E5538" s="237" t="str">
        <f>IFERROR(__xludf.DUMMYFUNCTION("""COMPUTED_VALUE"""),"LT0Q1M01WTH01")</f>
        <v>LT0Q1M01WTH01</v>
      </c>
      <c r="F5538" s="238" t="str">
        <f>IFERROR(__xludf.DUMMYFUNCTION("""COMPUTED_VALUE"""),"GHB5H18,FZB6G45")</f>
        <v>GHB5H18,FZB6G45</v>
      </c>
      <c r="G5538" s="238">
        <f>IFERROR(__xludf.DUMMYFUNCTION("""COMPUTED_VALUE"""),46044.91666666667)</f>
        <v>46044.91667</v>
      </c>
      <c r="H5538" s="238">
        <f>IFERROR(__xludf.DUMMYFUNCTION("""COMPUTED_VALUE"""),46045.0)</f>
        <v>46045</v>
      </c>
      <c r="I5538" s="237" t="str">
        <f t="shared" si="1"/>
        <v>Fora</v>
      </c>
      <c r="J5538" s="239">
        <v>119.99999999301508</v>
      </c>
    </row>
    <row r="5539">
      <c r="A5539" s="234"/>
      <c r="B5539" s="238" t="str">
        <f>IFERROR(__xludf.DUMMYFUNCTION("""COMPUTED_VALUE"""),"LM Hub_SP_Guarulhos")</f>
        <v>LM Hub_SP_Guarulhos</v>
      </c>
      <c r="C5539" s="238" t="str">
        <f>IFERROR(__xludf.DUMMYFUNCTION("""COMPUTED_VALUE"""),"HUB-LSP-77")</f>
        <v>HUB-LSP-77</v>
      </c>
      <c r="D5539" s="234">
        <f>IFERROR(__xludf.DUMMYFUNCTION("""COMPUTED_VALUE"""),43.0)</f>
        <v>43</v>
      </c>
      <c r="E5539" s="237" t="str">
        <f>IFERROR(__xludf.DUMMYFUNCTION("""COMPUTED_VALUE"""),"LT0Q1M01WU4D1")</f>
        <v>LT0Q1M01WU4D1</v>
      </c>
      <c r="F5539" s="238" t="str">
        <f>IFERROR(__xludf.DUMMYFUNCTION("""COMPUTED_VALUE"""),"FEB5I21,FRT9A70")</f>
        <v>FEB5I21,FRT9A70</v>
      </c>
      <c r="G5539" s="238">
        <f>IFERROR(__xludf.DUMMYFUNCTION("""COMPUTED_VALUE"""),46044.91666666667)</f>
        <v>46044.91667</v>
      </c>
      <c r="H5539" s="238">
        <f>IFERROR(__xludf.DUMMYFUNCTION("""COMPUTED_VALUE"""),46045.0)</f>
        <v>46045</v>
      </c>
      <c r="I5539" s="237" t="str">
        <f t="shared" si="1"/>
        <v>Fora</v>
      </c>
      <c r="J5539" s="239">
        <v>119.99999999301508</v>
      </c>
    </row>
    <row r="5540">
      <c r="A5540" s="234"/>
      <c r="B5540" s="238" t="str">
        <f>IFERROR(__xludf.DUMMYFUNCTION("""COMPUTED_VALUE"""),"LM Hub_SP_Santo André")</f>
        <v>LM Hub_SP_Santo André</v>
      </c>
      <c r="C5540" s="238" t="str">
        <f>IFERROR(__xludf.DUMMYFUNCTION("""COMPUTED_VALUE"""),"HUB-LSP-93")</f>
        <v>HUB-LSP-93</v>
      </c>
      <c r="D5540" s="234">
        <f>IFERROR(__xludf.DUMMYFUNCTION("""COMPUTED_VALUE"""),26.0)</f>
        <v>26</v>
      </c>
      <c r="E5540" s="237" t="str">
        <f>IFERROR(__xludf.DUMMYFUNCTION("""COMPUTED_VALUE"""),"LT0Q1M01WVN41")</f>
        <v>LT0Q1M01WVN41</v>
      </c>
      <c r="F5540" s="238" t="str">
        <f>IFERROR(__xludf.DUMMYFUNCTION("""COMPUTED_VALUE"""),"LLM1I97,AOF6828")</f>
        <v>LLM1I97,AOF6828</v>
      </c>
      <c r="G5540" s="238">
        <f>IFERROR(__xludf.DUMMYFUNCTION("""COMPUTED_VALUE"""),46044.91666666667)</f>
        <v>46044.91667</v>
      </c>
      <c r="H5540" s="238">
        <f>IFERROR(__xludf.DUMMYFUNCTION("""COMPUTED_VALUE"""),46045.0)</f>
        <v>46045</v>
      </c>
      <c r="I5540" s="237" t="str">
        <f t="shared" si="1"/>
        <v>Fora</v>
      </c>
      <c r="J5540" s="239">
        <v>119.99999999301508</v>
      </c>
    </row>
    <row r="5541">
      <c r="A5541" s="234"/>
      <c r="B5541" s="238" t="str">
        <f>IFERROR(__xludf.DUMMYFUNCTION("""COMPUTED_VALUE"""),"LM Hub_SP_São José do Rio P")</f>
        <v>LM Hub_SP_São José do Rio P</v>
      </c>
      <c r="C5541" s="238" t="str">
        <f>IFERROR(__xludf.DUMMYFUNCTION("""COMPUTED_VALUE"""),"HUB-LSP-27")</f>
        <v>HUB-LSP-27</v>
      </c>
      <c r="D5541" s="234">
        <f>IFERROR(__xludf.DUMMYFUNCTION("""COMPUTED_VALUE"""),46.0)</f>
        <v>46</v>
      </c>
      <c r="E5541" s="237" t="str">
        <f>IFERROR(__xludf.DUMMYFUNCTION("""COMPUTED_VALUE"""),"LT0Q1M01WWY41")</f>
        <v>LT0Q1M01WWY41</v>
      </c>
      <c r="F5541" s="238" t="str">
        <f>IFERROR(__xludf.DUMMYFUNCTION("""COMPUTED_VALUE"""),"SDW9F38")</f>
        <v>SDW9F38</v>
      </c>
      <c r="G5541" s="238">
        <f>IFERROR(__xludf.DUMMYFUNCTION("""COMPUTED_VALUE"""),46044.91666666667)</f>
        <v>46044.91667</v>
      </c>
      <c r="H5541" s="238">
        <f>IFERROR(__xludf.DUMMYFUNCTION("""COMPUTED_VALUE"""),46045.0)</f>
        <v>46045</v>
      </c>
      <c r="I5541" s="237" t="str">
        <f t="shared" si="1"/>
        <v>Fora</v>
      </c>
      <c r="J5541" s="239">
        <v>119.99999999301508</v>
      </c>
    </row>
    <row r="5542">
      <c r="A5542" s="234"/>
      <c r="B5542" s="238" t="str">
        <f>IFERROR(__xludf.DUMMYFUNCTION("""COMPUTED_VALUE"""),"LM Hub_SP_Barueri_01")</f>
        <v>LM Hub_SP_Barueri_01</v>
      </c>
      <c r="C5542" s="238" t="str">
        <f>IFERROR(__xludf.DUMMYFUNCTION("""COMPUTED_VALUE"""),"HUB-LSP-81")</f>
        <v>HUB-LSP-81</v>
      </c>
      <c r="D5542" s="234">
        <f>IFERROR(__xludf.DUMMYFUNCTION("""COMPUTED_VALUE"""),7.0)</f>
        <v>7</v>
      </c>
      <c r="E5542" s="237" t="str">
        <f>IFERROR(__xludf.DUMMYFUNCTION("""COMPUTED_VALUE"""),"LT0Q1M01WY421")</f>
        <v>LT0Q1M01WY421</v>
      </c>
      <c r="F5542" s="238" t="str">
        <f>IFERROR(__xludf.DUMMYFUNCTION("""COMPUTED_VALUE"""),"SUQ5C99,TLD5B82")</f>
        <v>SUQ5C99,TLD5B82</v>
      </c>
      <c r="G5542" s="238">
        <f>IFERROR(__xludf.DUMMYFUNCTION("""COMPUTED_VALUE"""),46044.91666666667)</f>
        <v>46044.91667</v>
      </c>
      <c r="H5542" s="238">
        <f>IFERROR(__xludf.DUMMYFUNCTION("""COMPUTED_VALUE"""),46045.0)</f>
        <v>46045</v>
      </c>
      <c r="I5542" s="237" t="str">
        <f t="shared" si="1"/>
        <v>Fora</v>
      </c>
      <c r="J5542" s="239">
        <v>119.99999999301508</v>
      </c>
    </row>
    <row r="5543">
      <c r="A5543" s="234"/>
      <c r="B5543" s="238" t="str">
        <f>IFERROR(__xludf.DUMMYFUNCTION("""COMPUTED_VALUE"""),"LM Hub_SP_Jardim Adriana")</f>
        <v>LM Hub_SP_Jardim Adriana</v>
      </c>
      <c r="C5543" s="238" t="str">
        <f>IFERROR(__xludf.DUMMYFUNCTION("""COMPUTED_VALUE"""),"HUB-LSP-12")</f>
        <v>HUB-LSP-12</v>
      </c>
      <c r="D5543" s="234"/>
      <c r="E5543" s="237" t="str">
        <f>IFERROR(__xludf.DUMMYFUNCTION("""COMPUTED_VALUE"""),"LT0Q1M01WTCJ1")</f>
        <v>LT0Q1M01WTCJ1</v>
      </c>
      <c r="F5543" s="238" t="str">
        <f>IFERROR(__xludf.DUMMYFUNCTION("""COMPUTED_VALUE"""),"IYS3C29")</f>
        <v>IYS3C29</v>
      </c>
      <c r="G5543" s="238">
        <f>IFERROR(__xludf.DUMMYFUNCTION("""COMPUTED_VALUE"""),46044.9375)</f>
        <v>46044.9375</v>
      </c>
      <c r="H5543" s="238">
        <f>IFERROR(__xludf.DUMMYFUNCTION("""COMPUTED_VALUE"""),46045.02083333333)</f>
        <v>46045.02083</v>
      </c>
      <c r="I5543" s="237" t="str">
        <f t="shared" si="1"/>
        <v>Fora</v>
      </c>
      <c r="J5543" s="239">
        <v>119.99999999301508</v>
      </c>
    </row>
    <row r="5544">
      <c r="A5544" s="234"/>
      <c r="B5544" s="238" t="str">
        <f>IFERROR(__xludf.DUMMYFUNCTION("""COMPUTED_VALUE"""),"LM Hub_SP_São Paulo_Carandiru")</f>
        <v>LM Hub_SP_São Paulo_Carandiru</v>
      </c>
      <c r="C5544" s="238" t="str">
        <f>IFERROR(__xludf.DUMMYFUNCTION("""COMPUTED_VALUE"""),"HUB-LSP-18")</f>
        <v>HUB-LSP-18</v>
      </c>
      <c r="D5544" s="234">
        <f>IFERROR(__xludf.DUMMYFUNCTION("""COMPUTED_VALUE"""),20.0)</f>
        <v>20</v>
      </c>
      <c r="E5544" s="237" t="str">
        <f>IFERROR(__xludf.DUMMYFUNCTION("""COMPUTED_VALUE"""),"LT0Q1M01WTDF2")</f>
        <v>LT0Q1M01WTDF2</v>
      </c>
      <c r="F5544" s="238" t="str">
        <f>IFERROR(__xludf.DUMMYFUNCTION("""COMPUTED_VALUE"""),"NVO0561")</f>
        <v>NVO0561</v>
      </c>
      <c r="G5544" s="238">
        <f>IFERROR(__xludf.DUMMYFUNCTION("""COMPUTED_VALUE"""),46044.9375)</f>
        <v>46044.9375</v>
      </c>
      <c r="H5544" s="238">
        <f>IFERROR(__xludf.DUMMYFUNCTION("""COMPUTED_VALUE"""),46045.02083333333)</f>
        <v>46045.02083</v>
      </c>
      <c r="I5544" s="237" t="str">
        <f t="shared" si="1"/>
        <v>Fora</v>
      </c>
      <c r="J5544" s="239">
        <v>119.99999999301508</v>
      </c>
    </row>
    <row r="5545">
      <c r="A5545" s="234"/>
      <c r="B5545" s="238" t="str">
        <f>IFERROR(__xludf.DUMMYFUNCTION("""COMPUTED_VALUE"""),"LM Hub_SP_Piracicaba")</f>
        <v>LM Hub_SP_Piracicaba</v>
      </c>
      <c r="C5545" s="238" t="str">
        <f>IFERROR(__xludf.DUMMYFUNCTION("""COMPUTED_VALUE"""),"HUB-LSP-62")</f>
        <v>HUB-LSP-62</v>
      </c>
      <c r="D5545" s="234">
        <f>IFERROR(__xludf.DUMMYFUNCTION("""COMPUTED_VALUE"""),45.0)</f>
        <v>45</v>
      </c>
      <c r="E5545" s="237" t="str">
        <f>IFERROR(__xludf.DUMMYFUNCTION("""COMPUTED_VALUE"""),"LT0Q1M01WU4P1")</f>
        <v>LT0Q1M01WU4P1</v>
      </c>
      <c r="F5545" s="238" t="str">
        <f>IFERROR(__xludf.DUMMYFUNCTION("""COMPUTED_VALUE"""),"EGB0G74,BKO8351")</f>
        <v>EGB0G74,BKO8351</v>
      </c>
      <c r="G5545" s="238">
        <f>IFERROR(__xludf.DUMMYFUNCTION("""COMPUTED_VALUE"""),46044.9375)</f>
        <v>46044.9375</v>
      </c>
      <c r="H5545" s="238">
        <f>IFERROR(__xludf.DUMMYFUNCTION("""COMPUTED_VALUE"""),46045.02083333333)</f>
        <v>46045.02083</v>
      </c>
      <c r="I5545" s="237" t="str">
        <f t="shared" si="1"/>
        <v>Fora</v>
      </c>
      <c r="J5545" s="239">
        <v>119.99999999301508</v>
      </c>
    </row>
    <row r="5546">
      <c r="A5546" s="234"/>
      <c r="B5546" s="238" t="str">
        <f>IFERROR(__xludf.DUMMYFUNCTION("""COMPUTED_VALUE"""),"LM Hub_SP_Suzano_Baruel")</f>
        <v>LM Hub_SP_Suzano_Baruel</v>
      </c>
      <c r="C5546" s="238" t="str">
        <f>IFERROR(__xludf.DUMMYFUNCTION("""COMPUTED_VALUE"""),"HUB-LSP-97")</f>
        <v>HUB-LSP-97</v>
      </c>
      <c r="D5546" s="234">
        <f>IFERROR(__xludf.DUMMYFUNCTION("""COMPUTED_VALUE"""),37.0)</f>
        <v>37</v>
      </c>
      <c r="E5546" s="237" t="str">
        <f>IFERROR(__xludf.DUMMYFUNCTION("""COMPUTED_VALUE"""),"LT0Q1M01WZTB1")</f>
        <v>LT0Q1M01WZTB1</v>
      </c>
      <c r="F5546" s="238" t="str">
        <f>IFERROR(__xludf.DUMMYFUNCTION("""COMPUTED_VALUE"""),"HEL8635,UGE7G44")</f>
        <v>HEL8635,UGE7G44</v>
      </c>
      <c r="G5546" s="238">
        <f>IFERROR(__xludf.DUMMYFUNCTION("""COMPUTED_VALUE"""),46044.9375)</f>
        <v>46044.9375</v>
      </c>
      <c r="H5546" s="238">
        <f>IFERROR(__xludf.DUMMYFUNCTION("""COMPUTED_VALUE"""),46045.02083333333)</f>
        <v>46045.02083</v>
      </c>
      <c r="I5546" s="237" t="str">
        <f t="shared" si="1"/>
        <v>Fora</v>
      </c>
      <c r="J5546" s="239">
        <v>118.99999998975545</v>
      </c>
    </row>
    <row r="5547">
      <c r="A5547" s="234"/>
      <c r="B5547" s="238" t="str">
        <f>IFERROR(__xludf.DUMMYFUNCTION("""COMPUTED_VALUE"""),"LM Hub_SP_Suzano_Baruel")</f>
        <v>LM Hub_SP_Suzano_Baruel</v>
      </c>
      <c r="C5547" s="238" t="str">
        <f>IFERROR(__xludf.DUMMYFUNCTION("""COMPUTED_VALUE"""),"HUB-LSP-97")</f>
        <v>HUB-LSP-97</v>
      </c>
      <c r="D5547" s="234">
        <f>IFERROR(__xludf.DUMMYFUNCTION("""COMPUTED_VALUE"""),33.0)</f>
        <v>33</v>
      </c>
      <c r="E5547" s="237" t="str">
        <f>IFERROR(__xludf.DUMMYFUNCTION("""COMPUTED_VALUE"""),"LT0Q1M01WZTE1")</f>
        <v>LT0Q1M01WZTE1</v>
      </c>
      <c r="F5547" s="238" t="str">
        <f>IFERROR(__xludf.DUMMYFUNCTION("""COMPUTED_VALUE"""),"RNE2H82,TLW4C75")</f>
        <v>RNE2H82,TLW4C75</v>
      </c>
      <c r="G5547" s="238">
        <f>IFERROR(__xludf.DUMMYFUNCTION("""COMPUTED_VALUE"""),46044.93819444445)</f>
        <v>46044.93819</v>
      </c>
      <c r="H5547" s="238">
        <f>IFERROR(__xludf.DUMMYFUNCTION("""COMPUTED_VALUE"""),46045.02083333333)</f>
        <v>46045.02083</v>
      </c>
      <c r="I5547" s="237" t="str">
        <f t="shared" si="1"/>
        <v>Fora</v>
      </c>
      <c r="J5547" s="239">
        <v>118.99999998975545</v>
      </c>
    </row>
    <row r="5548">
      <c r="A5548" s="234"/>
      <c r="B5548" s="238" t="str">
        <f>IFERROR(__xludf.DUMMYFUNCTION("""COMPUTED_VALUE"""),"LM Hub_SP_VilaGuilherme")</f>
        <v>LM Hub_SP_VilaGuilherme</v>
      </c>
      <c r="C5548" s="238" t="str">
        <f>IFERROR(__xludf.DUMMYFUNCTION("""COMPUTED_VALUE"""),"HUB-LSP-68")</f>
        <v>HUB-LSP-68</v>
      </c>
      <c r="D5548" s="234">
        <f>IFERROR(__xludf.DUMMYFUNCTION("""COMPUTED_VALUE"""),49.0)</f>
        <v>49</v>
      </c>
      <c r="E5548" s="237" t="str">
        <f>IFERROR(__xludf.DUMMYFUNCTION("""COMPUTED_VALUE"""),"LT0Q1M01X2MW1")</f>
        <v>LT0Q1M01X2MW1</v>
      </c>
      <c r="F5548" s="238" t="str">
        <f>IFERROR(__xludf.DUMMYFUNCTION("""COMPUTED_VALUE"""),"HFD4H27,JXG9745")</f>
        <v>HFD4H27,JXG9745</v>
      </c>
      <c r="G5548" s="238">
        <f>IFERROR(__xludf.DUMMYFUNCTION("""COMPUTED_VALUE"""),46044.93819444445)</f>
        <v>46044.93819</v>
      </c>
      <c r="H5548" s="238">
        <f>IFERROR(__xludf.DUMMYFUNCTION("""COMPUTED_VALUE"""),46045.02083333333)</f>
        <v>46045.02083</v>
      </c>
      <c r="I5548" s="237" t="str">
        <f t="shared" si="1"/>
        <v>Fora</v>
      </c>
      <c r="J5548" s="239">
        <v>118.99999998975545</v>
      </c>
    </row>
    <row r="5549">
      <c r="A5549" s="234"/>
      <c r="B5549" s="238" t="str">
        <f>IFERROR(__xludf.DUMMYFUNCTION("""COMPUTED_VALUE"""),"LM Hub_SP_Parque Novo Mundo")</f>
        <v>LM Hub_SP_Parque Novo Mundo</v>
      </c>
      <c r="C5549" s="238" t="str">
        <f>IFERROR(__xludf.DUMMYFUNCTION("""COMPUTED_VALUE"""),"HUB-LSP-89")</f>
        <v>HUB-LSP-89</v>
      </c>
      <c r="D5549" s="234">
        <f>IFERROR(__xludf.DUMMYFUNCTION("""COMPUTED_VALUE"""),18.0)</f>
        <v>18</v>
      </c>
      <c r="E5549" s="237" t="str">
        <f>IFERROR(__xludf.DUMMYFUNCTION("""COMPUTED_VALUE"""),"LT0Q1M01X2U41")</f>
        <v>LT0Q1M01X2U41</v>
      </c>
      <c r="F5549" s="238" t="str">
        <f>IFERROR(__xludf.DUMMYFUNCTION("""COMPUTED_VALUE"""),"FNK8E47,FAM1829")</f>
        <v>FNK8E47,FAM1829</v>
      </c>
      <c r="G5549" s="238">
        <f>IFERROR(__xludf.DUMMYFUNCTION("""COMPUTED_VALUE"""),46044.93819444445)</f>
        <v>46044.93819</v>
      </c>
      <c r="H5549" s="238">
        <f>IFERROR(__xludf.DUMMYFUNCTION("""COMPUTED_VALUE"""),46045.02083333333)</f>
        <v>46045.02083</v>
      </c>
      <c r="J5549" s="239">
        <v>120.00000001396984</v>
      </c>
    </row>
    <row r="5550">
      <c r="A5550" s="234"/>
      <c r="B5550" s="238" t="str">
        <f>IFERROR(__xludf.DUMMYFUNCTION("""COMPUTED_VALUE"""),"LM Hub_SP_Mogi Mirim")</f>
        <v>LM Hub_SP_Mogi Mirim</v>
      </c>
      <c r="C5550" s="238" t="str">
        <f>IFERROR(__xludf.DUMMYFUNCTION("""COMPUTED_VALUE"""),"HUB-LSP-37")</f>
        <v>HUB-LSP-37</v>
      </c>
      <c r="D5550" s="234">
        <f>IFERROR(__xludf.DUMMYFUNCTION("""COMPUTED_VALUE"""),47.0)</f>
        <v>47</v>
      </c>
      <c r="E5550" s="237" t="str">
        <f>IFERROR(__xludf.DUMMYFUNCTION("""COMPUTED_VALUE"""),"LT0Q1M01WTHP1")</f>
        <v>LT0Q1M01WTHP1</v>
      </c>
      <c r="F5550" s="238" t="str">
        <f>IFERROR(__xludf.DUMMYFUNCTION("""COMPUTED_VALUE"""),"SVC6I57,SWO1G45")</f>
        <v>SVC6I57,SWO1G45</v>
      </c>
      <c r="G5550" s="238">
        <f>IFERROR(__xludf.DUMMYFUNCTION("""COMPUTED_VALUE"""),46044.95833333333)</f>
        <v>46044.95833</v>
      </c>
      <c r="H5550" s="238">
        <f>IFERROR(__xludf.DUMMYFUNCTION("""COMPUTED_VALUE"""),46045.04166666667)</f>
        <v>46045.04167</v>
      </c>
      <c r="J5550" s="239">
        <v>120.00000001396984</v>
      </c>
    </row>
    <row r="5551">
      <c r="A5551" s="234"/>
      <c r="B5551" s="238" t="str">
        <f>IFERROR(__xludf.DUMMYFUNCTION("""COMPUTED_VALUE"""),"LM Hub_RJ_Rio de Janeiro_Campo G")</f>
        <v>LM Hub_RJ_Rio de Janeiro_Campo G</v>
      </c>
      <c r="C5551" s="238" t="str">
        <f>IFERROR(__xludf.DUMMYFUNCTION("""COMPUTED_VALUE"""),"HUB-LRJ-04")</f>
        <v>HUB-LRJ-04</v>
      </c>
      <c r="D5551" s="234">
        <f>IFERROR(__xludf.DUMMYFUNCTION("""COMPUTED_VALUE"""),52.0)</f>
        <v>52</v>
      </c>
      <c r="E5551" s="237" t="str">
        <f>IFERROR(__xludf.DUMMYFUNCTION("""COMPUTED_VALUE"""),"LT0Q1M01WTIY1")</f>
        <v>LT0Q1M01WTIY1</v>
      </c>
      <c r="F5551" s="238" t="str">
        <f>IFERROR(__xludf.DUMMYFUNCTION("""COMPUTED_VALUE"""),"TBB5J93")</f>
        <v>TBB5J93</v>
      </c>
      <c r="G5551" s="238">
        <f>IFERROR(__xludf.DUMMYFUNCTION("""COMPUTED_VALUE"""),46044.95833333333)</f>
        <v>46044.95833</v>
      </c>
      <c r="H5551" s="238">
        <f>IFERROR(__xludf.DUMMYFUNCTION("""COMPUTED_VALUE"""),46045.04166666667)</f>
        <v>46045.04167</v>
      </c>
      <c r="J5551" s="239">
        <v>120.00000001396984</v>
      </c>
    </row>
    <row r="5552">
      <c r="A5552" s="234"/>
      <c r="B5552" s="238" t="str">
        <f>IFERROR(__xludf.DUMMYFUNCTION("""COMPUTED_VALUE"""),"SoC_SP_Guarulhos")</f>
        <v>SoC_SP_Guarulhos</v>
      </c>
      <c r="C5552" s="238" t="str">
        <f>IFERROR(__xludf.DUMMYFUNCTION("""COMPUTED_VALUE"""),"SOC-SP6")</f>
        <v>SOC-SP6</v>
      </c>
      <c r="D5552" s="234">
        <f>IFERROR(__xludf.DUMMYFUNCTION("""COMPUTED_VALUE"""),16.0)</f>
        <v>16</v>
      </c>
      <c r="E5552" s="237" t="str">
        <f>IFERROR(__xludf.DUMMYFUNCTION("""COMPUTED_VALUE"""),"LT0Q1M01WUDB1")</f>
        <v>LT0Q1M01WUDB1</v>
      </c>
      <c r="F5552" s="238" t="str">
        <f>IFERROR(__xludf.DUMMYFUNCTION("""COMPUTED_VALUE"""),"DBM1F51,MDA3C82")</f>
        <v>DBM1F51,MDA3C82</v>
      </c>
      <c r="G5552" s="238">
        <f>IFERROR(__xludf.DUMMYFUNCTION("""COMPUTED_VALUE"""),46044.95833333333)</f>
        <v>46044.95833</v>
      </c>
      <c r="H5552" s="238">
        <f>IFERROR(__xludf.DUMMYFUNCTION("""COMPUTED_VALUE"""),46045.04166666667)</f>
        <v>46045.04167</v>
      </c>
      <c r="J5552" s="239">
        <v>120.00000001396984</v>
      </c>
    </row>
    <row r="5553">
      <c r="A5553" s="234"/>
      <c r="B5553" s="238" t="str">
        <f>IFERROR(__xludf.DUMMYFUNCTION("""COMPUTED_VALUE"""),"LM Hub_RJ_Nova Iguaçu")</f>
        <v>LM Hub_RJ_Nova Iguaçu</v>
      </c>
      <c r="C5553" s="238" t="str">
        <f>IFERROR(__xludf.DUMMYFUNCTION("""COMPUTED_VALUE"""),"HUB-LRJ-27")</f>
        <v>HUB-LRJ-27</v>
      </c>
      <c r="D5553" s="234">
        <f>IFERROR(__xludf.DUMMYFUNCTION("""COMPUTED_VALUE"""),14.0)</f>
        <v>14</v>
      </c>
      <c r="E5553" s="237" t="str">
        <f>IFERROR(__xludf.DUMMYFUNCTION("""COMPUTED_VALUE"""),"LT0Q1M01WYNZ1")</f>
        <v>LT0Q1M01WYNZ1</v>
      </c>
      <c r="F5553" s="238" t="str">
        <f>IFERROR(__xludf.DUMMYFUNCTION("""COMPUTED_VALUE"""),"UBA1I06")</f>
        <v>UBA1I06</v>
      </c>
      <c r="G5553" s="238">
        <f>IFERROR(__xludf.DUMMYFUNCTION("""COMPUTED_VALUE"""),46044.95833333333)</f>
        <v>46044.95833</v>
      </c>
      <c r="H5553" s="238">
        <f>IFERROR(__xludf.DUMMYFUNCTION("""COMPUTED_VALUE"""),46045.04166666667)</f>
        <v>46045.04167</v>
      </c>
      <c r="J5553" s="239">
        <v>120.00000001396984</v>
      </c>
    </row>
    <row r="5554">
      <c r="A5554" s="234"/>
      <c r="B5554" s="238" t="str">
        <f>IFERROR(__xludf.DUMMYFUNCTION("""COMPUTED_VALUE"""),"LM Hub_RJ_São João do Meriti")</f>
        <v>LM Hub_RJ_São João do Meriti</v>
      </c>
      <c r="C5554" s="238" t="str">
        <f>IFERROR(__xludf.DUMMYFUNCTION("""COMPUTED_VALUE"""),"HUB-LRJ-01")</f>
        <v>HUB-LRJ-01</v>
      </c>
      <c r="D5554" s="234">
        <f>IFERROR(__xludf.DUMMYFUNCTION("""COMPUTED_VALUE"""),19.0)</f>
        <v>19</v>
      </c>
      <c r="E5554" s="237" t="str">
        <f>IFERROR(__xludf.DUMMYFUNCTION("""COMPUTED_VALUE"""),"LT0Q1M01WYOT1")</f>
        <v>LT0Q1M01WYOT1</v>
      </c>
      <c r="F5554" s="238" t="str">
        <f>IFERROR(__xludf.DUMMYFUNCTION("""COMPUTED_VALUE"""),"GES8A28")</f>
        <v>GES8A28</v>
      </c>
      <c r="G5554" s="238">
        <f>IFERROR(__xludf.DUMMYFUNCTION("""COMPUTED_VALUE"""),46044.95833333333)</f>
        <v>46044.95833</v>
      </c>
      <c r="H5554" s="238">
        <f>IFERROR(__xludf.DUMMYFUNCTION("""COMPUTED_VALUE"""),46045.04166666667)</f>
        <v>46045.04167</v>
      </c>
      <c r="J5554" s="239">
        <v>120.00000001396984</v>
      </c>
    </row>
    <row r="5555">
      <c r="A5555" s="234"/>
      <c r="B5555" s="238" t="str">
        <f>IFERROR(__xludf.DUMMYFUNCTION("""COMPUTED_VALUE"""),"LM Hub_SP_Jundiaí")</f>
        <v>LM Hub_SP_Jundiaí</v>
      </c>
      <c r="C5555" s="238" t="str">
        <f>IFERROR(__xludf.DUMMYFUNCTION("""COMPUTED_VALUE"""),"HUB-LSP-100")</f>
        <v>HUB-LSP-100</v>
      </c>
      <c r="D5555" s="234">
        <f>IFERROR(__xludf.DUMMYFUNCTION("""COMPUTED_VALUE"""),28.0)</f>
        <v>28</v>
      </c>
      <c r="E5555" s="237" t="str">
        <f>IFERROR(__xludf.DUMMYFUNCTION("""COMPUTED_VALUE"""),"LT0Q1M01WZHI1")</f>
        <v>LT0Q1M01WZHI1</v>
      </c>
      <c r="F5555" s="238" t="str">
        <f>IFERROR(__xludf.DUMMYFUNCTION("""COMPUTED_VALUE"""),"EXS3J90,APX1C88")</f>
        <v>EXS3J90,APX1C88</v>
      </c>
      <c r="G5555" s="238">
        <f>IFERROR(__xludf.DUMMYFUNCTION("""COMPUTED_VALUE"""),46044.95833333333)</f>
        <v>46044.95833</v>
      </c>
      <c r="H5555" s="238">
        <f>IFERROR(__xludf.DUMMYFUNCTION("""COMPUTED_VALUE"""),46045.04166666667)</f>
        <v>46045.04167</v>
      </c>
      <c r="J5555" s="239">
        <v>120.00000001396984</v>
      </c>
    </row>
    <row r="5556">
      <c r="A5556" s="234"/>
      <c r="B5556" s="238" t="str">
        <f>IFERROR(__xludf.DUMMYFUNCTION("""COMPUTED_VALUE"""),"SoC_RJ_Duque de Caxias")</f>
        <v>SoC_RJ_Duque de Caxias</v>
      </c>
      <c r="C5556" s="238" t="str">
        <f>IFERROR(__xludf.DUMMYFUNCTION("""COMPUTED_VALUE"""),"SOC-RJ2")</f>
        <v>SOC-RJ2</v>
      </c>
      <c r="D5556" s="234">
        <f>IFERROR(__xludf.DUMMYFUNCTION("""COMPUTED_VALUE"""),112.0)</f>
        <v>112</v>
      </c>
      <c r="E5556" s="237" t="str">
        <f>IFERROR(__xludf.DUMMYFUNCTION("""COMPUTED_VALUE"""),"LT1Q1M01X99W1")</f>
        <v>LT1Q1M01X99W1</v>
      </c>
      <c r="F5556" s="238" t="str">
        <f>IFERROR(__xludf.DUMMYFUNCTION("""COMPUTED_VALUE"""),"OVB9B40,EFW2H14")</f>
        <v>OVB9B40,EFW2H14</v>
      </c>
      <c r="G5556" s="238">
        <f>IFERROR(__xludf.DUMMYFUNCTION("""COMPUTED_VALUE"""),46044.95833333333)</f>
        <v>46044.95833</v>
      </c>
      <c r="H5556" s="238">
        <f>IFERROR(__xludf.DUMMYFUNCTION("""COMPUTED_VALUE"""),46045.04166666667)</f>
        <v>46045.04167</v>
      </c>
      <c r="J5556" s="239">
        <v>119.99999999301508</v>
      </c>
    </row>
    <row r="5557">
      <c r="A5557" s="234"/>
      <c r="B5557" s="238" t="str">
        <f>IFERROR(__xludf.DUMMYFUNCTION("""COMPUTED_VALUE"""),"LM Hub_SP_Araraquara")</f>
        <v>LM Hub_SP_Araraquara</v>
      </c>
      <c r="C5557" s="238" t="str">
        <f>IFERROR(__xludf.DUMMYFUNCTION("""COMPUTED_VALUE"""),"HUB-LSP-29")</f>
        <v>HUB-LSP-29</v>
      </c>
      <c r="D5557" s="234">
        <f>IFERROR(__xludf.DUMMYFUNCTION("""COMPUTED_VALUE"""),32.0)</f>
        <v>32</v>
      </c>
      <c r="E5557" s="237" t="str">
        <f>IFERROR(__xludf.DUMMYFUNCTION("""COMPUTED_VALUE"""),"LT0Q1M01WTHU1")</f>
        <v>LT0Q1M01WTHU1</v>
      </c>
      <c r="F5557" s="238" t="str">
        <f>IFERROR(__xludf.DUMMYFUNCTION("""COMPUTED_VALUE"""),"ISQ7F01,ANM9G89")</f>
        <v>ISQ7F01,ANM9G89</v>
      </c>
      <c r="G5557" s="238">
        <f>IFERROR(__xludf.DUMMYFUNCTION("""COMPUTED_VALUE"""),46044.97916666667)</f>
        <v>46044.97917</v>
      </c>
      <c r="H5557" s="238">
        <f>IFERROR(__xludf.DUMMYFUNCTION("""COMPUTED_VALUE"""),46045.0625)</f>
        <v>46045.0625</v>
      </c>
      <c r="J5557" s="239">
        <v>119.99999999301508</v>
      </c>
    </row>
    <row r="5558">
      <c r="A5558" s="234"/>
      <c r="B5558" s="238" t="str">
        <f>IFERROR(__xludf.DUMMYFUNCTION("""COMPUTED_VALUE"""),"LM Hub_SP_Várzea Paulista")</f>
        <v>LM Hub_SP_Várzea Paulista</v>
      </c>
      <c r="C5558" s="238" t="str">
        <f>IFERROR(__xludf.DUMMYFUNCTION("""COMPUTED_VALUE"""),"HUB-LSP-20")</f>
        <v>HUB-LSP-20</v>
      </c>
      <c r="D5558" s="234">
        <f>IFERROR(__xludf.DUMMYFUNCTION("""COMPUTED_VALUE"""),15.0)</f>
        <v>15</v>
      </c>
      <c r="E5558" s="237" t="str">
        <f>IFERROR(__xludf.DUMMYFUNCTION("""COMPUTED_VALUE"""),"LT0Q1M01WTIC1")</f>
        <v>LT0Q1M01WTIC1</v>
      </c>
      <c r="F5558" s="238" t="str">
        <f>IFERROR(__xludf.DUMMYFUNCTION("""COMPUTED_VALUE"""),"LTR7J66,BTB3E49")</f>
        <v>LTR7J66,BTB3E49</v>
      </c>
      <c r="G5558" s="238">
        <f>IFERROR(__xludf.DUMMYFUNCTION("""COMPUTED_VALUE"""),46044.97916666667)</f>
        <v>46044.97917</v>
      </c>
      <c r="H5558" s="238">
        <f>IFERROR(__xludf.DUMMYFUNCTION("""COMPUTED_VALUE"""),46045.0625)</f>
        <v>46045.0625</v>
      </c>
      <c r="J5558" s="239">
        <v>119.99999999301508</v>
      </c>
    </row>
    <row r="5559">
      <c r="A5559" s="234"/>
      <c r="B5559" s="238" t="str">
        <f>IFERROR(__xludf.DUMMYFUNCTION("""COMPUTED_VALUE"""),"LM Hub_SP_Atibaia_Ponte_Alta")</f>
        <v>LM Hub_SP_Atibaia_Ponte_Alta</v>
      </c>
      <c r="C5559" s="238" t="str">
        <f>IFERROR(__xludf.DUMMYFUNCTION("""COMPUTED_VALUE"""),"HUB-LSP-87")</f>
        <v>HUB-LSP-87</v>
      </c>
      <c r="D5559" s="234">
        <f>IFERROR(__xludf.DUMMYFUNCTION("""COMPUTED_VALUE"""),13.0)</f>
        <v>13</v>
      </c>
      <c r="E5559" s="237" t="str">
        <f>IFERROR(__xludf.DUMMYFUNCTION("""COMPUTED_VALUE"""),"LT0Q1M01WWTO1")</f>
        <v>LT0Q1M01WWTO1</v>
      </c>
      <c r="F5559" s="238" t="str">
        <f>IFERROR(__xludf.DUMMYFUNCTION("""COMPUTED_VALUE"""),"QTV3A48,SWT3F46")</f>
        <v>QTV3A48,SWT3F46</v>
      </c>
      <c r="G5559" s="238">
        <f>IFERROR(__xludf.DUMMYFUNCTION("""COMPUTED_VALUE"""),46044.97916666667)</f>
        <v>46044.97917</v>
      </c>
      <c r="H5559" s="238">
        <f>IFERROR(__xludf.DUMMYFUNCTION("""COMPUTED_VALUE"""),46045.0625)</f>
        <v>46045.0625</v>
      </c>
      <c r="J5559" s="239">
        <v>119.99999999301508</v>
      </c>
    </row>
    <row r="5560">
      <c r="A5560" s="234"/>
      <c r="B5560" s="238" t="str">
        <f>IFERROR(__xludf.DUMMYFUNCTION("""COMPUTED_VALUE"""),"SoC_PR_Curitiba")</f>
        <v>SoC_PR_Curitiba</v>
      </c>
      <c r="C5560" s="238" t="str">
        <f>IFERROR(__xludf.DUMMYFUNCTION("""COMPUTED_VALUE"""),"SOC-PR1")</f>
        <v>SOC-PR1</v>
      </c>
      <c r="D5560" s="234">
        <f>IFERROR(__xludf.DUMMYFUNCTION("""COMPUTED_VALUE"""),17.0)</f>
        <v>17</v>
      </c>
      <c r="E5560" s="237" t="str">
        <f>IFERROR(__xludf.DUMMYFUNCTION("""COMPUTED_VALUE"""),"LT0Q1N01WT8X1")</f>
        <v>LT0Q1N01WT8X1</v>
      </c>
      <c r="F5560" s="238" t="str">
        <f>IFERROR(__xludf.DUMMYFUNCTION("""COMPUTED_VALUE"""),"FQJ8B01,UGV7H67")</f>
        <v>FQJ8B01,UGV7H67</v>
      </c>
      <c r="G5560" s="238">
        <f>IFERROR(__xludf.DUMMYFUNCTION("""COMPUTED_VALUE"""),46045.0)</f>
        <v>46045</v>
      </c>
      <c r="H5560" s="238">
        <f>IFERROR(__xludf.DUMMYFUNCTION("""COMPUTED_VALUE"""),46045.08333333333)</f>
        <v>46045.08333</v>
      </c>
      <c r="J5560" s="239">
        <v>119.99999999301508</v>
      </c>
    </row>
    <row r="5561">
      <c r="A5561" s="234"/>
      <c r="B5561" s="238" t="str">
        <f>IFERROR(__xludf.DUMMYFUNCTION("""COMPUTED_VALUE"""),"LM Hub_SP_Tatuí")</f>
        <v>LM Hub_SP_Tatuí</v>
      </c>
      <c r="C5561" s="238" t="str">
        <f>IFERROR(__xludf.DUMMYFUNCTION("""COMPUTED_VALUE"""),"HUB-LSP-51")</f>
        <v>HUB-LSP-51</v>
      </c>
      <c r="D5561" s="234">
        <f>IFERROR(__xludf.DUMMYFUNCTION("""COMPUTED_VALUE"""),42.0)</f>
        <v>42</v>
      </c>
      <c r="E5561" s="237" t="str">
        <f>IFERROR(__xludf.DUMMYFUNCTION("""COMPUTED_VALUE"""),"LT0Q1N01WTEX1")</f>
        <v>LT0Q1N01WTEX1</v>
      </c>
      <c r="F5561" s="238" t="str">
        <f>IFERROR(__xludf.DUMMYFUNCTION("""COMPUTED_VALUE"""),"SWD2I13,STN3J57")</f>
        <v>SWD2I13,STN3J57</v>
      </c>
      <c r="G5561" s="238">
        <f>IFERROR(__xludf.DUMMYFUNCTION("""COMPUTED_VALUE"""),46045.0)</f>
        <v>46045</v>
      </c>
      <c r="H5561" s="238">
        <f>IFERROR(__xludf.DUMMYFUNCTION("""COMPUTED_VALUE"""),46045.08333333333)</f>
        <v>46045.08333</v>
      </c>
      <c r="J5561" s="239">
        <v>119.99999999301508</v>
      </c>
    </row>
    <row r="5562">
      <c r="A5562" s="234"/>
      <c r="B5562" s="238" t="str">
        <f>IFERROR(__xludf.DUMMYFUNCTION("""COMPUTED_VALUE"""),"LM Hub_RJ_Ilha do Governador")</f>
        <v>LM Hub_RJ_Ilha do Governador</v>
      </c>
      <c r="C5562" s="238" t="str">
        <f>IFERROR(__xludf.DUMMYFUNCTION("""COMPUTED_VALUE"""),"HUB-LRJ-32")</f>
        <v>HUB-LRJ-32</v>
      </c>
      <c r="D5562" s="234">
        <f>IFERROR(__xludf.DUMMYFUNCTION("""COMPUTED_VALUE"""),36.0)</f>
        <v>36</v>
      </c>
      <c r="E5562" s="237" t="str">
        <f>IFERROR(__xludf.DUMMYFUNCTION("""COMPUTED_VALUE"""),"LT0Q1N01WYOC1")</f>
        <v>LT0Q1N01WYOC1</v>
      </c>
      <c r="F5562" s="238" t="str">
        <f>IFERROR(__xludf.DUMMYFUNCTION("""COMPUTED_VALUE"""),"QHK5J11")</f>
        <v>QHK5J11</v>
      </c>
      <c r="G5562" s="238">
        <f>IFERROR(__xludf.DUMMYFUNCTION("""COMPUTED_VALUE"""),46045.0)</f>
        <v>46045</v>
      </c>
      <c r="H5562" s="238">
        <f>IFERROR(__xludf.DUMMYFUNCTION("""COMPUTED_VALUE"""),46045.08333333333)</f>
        <v>46045.08333</v>
      </c>
      <c r="J5562" s="239">
        <v>118.99999998975545</v>
      </c>
    </row>
    <row r="5563">
      <c r="A5563" s="234"/>
      <c r="B5563" s="238" t="str">
        <f>IFERROR(__xludf.DUMMYFUNCTION("""COMPUTED_VALUE"""),"SoC_SP_Louveira")</f>
        <v>SoC_SP_Louveira</v>
      </c>
      <c r="C5563" s="238" t="str">
        <f>IFERROR(__xludf.DUMMYFUNCTION("""COMPUTED_VALUE"""),"SOC-SP7")</f>
        <v>SOC-SP7</v>
      </c>
      <c r="D5563" s="234">
        <f>IFERROR(__xludf.DUMMYFUNCTION("""COMPUTED_VALUE"""),40.0)</f>
        <v>40</v>
      </c>
      <c r="E5563" s="237" t="str">
        <f>IFERROR(__xludf.DUMMYFUNCTION("""COMPUTED_VALUE"""),"LT0Q1N01WTB41")</f>
        <v>LT0Q1N01WTB41</v>
      </c>
      <c r="F5563" s="238" t="str">
        <f>IFERROR(__xludf.DUMMYFUNCTION("""COMPUTED_VALUE"""),"DVS7G78,DJE5J16")</f>
        <v>DVS7G78,DJE5J16</v>
      </c>
      <c r="G5563" s="238">
        <f>IFERROR(__xludf.DUMMYFUNCTION("""COMPUTED_VALUE"""),46045.00069444445)</f>
        <v>46045.00069</v>
      </c>
      <c r="H5563" s="238">
        <f>IFERROR(__xludf.DUMMYFUNCTION("""COMPUTED_VALUE"""),46045.08333333333)</f>
        <v>46045.08333</v>
      </c>
      <c r="J5563" s="239">
        <v>120.00000001396984</v>
      </c>
    </row>
    <row r="5564">
      <c r="A5564" s="234"/>
      <c r="B5564" s="238" t="str">
        <f>IFERROR(__xludf.DUMMYFUNCTION("""COMPUTED_VALUE"""),"LM Hub_MG_Varginha_Fausto")</f>
        <v>LM Hub_MG_Varginha_Fausto</v>
      </c>
      <c r="C5564" s="238" t="str">
        <f>IFERROR(__xludf.DUMMYFUNCTION("""COMPUTED_VALUE"""),"HUB-LMG-45")</f>
        <v>HUB-LMG-45</v>
      </c>
      <c r="D5564" s="234">
        <f>IFERROR(__xludf.DUMMYFUNCTION("""COMPUTED_VALUE"""),9.0)</f>
        <v>9</v>
      </c>
      <c r="E5564" s="237" t="str">
        <f>IFERROR(__xludf.DUMMYFUNCTION("""COMPUTED_VALUE"""),"LT0Q1N01WY3M1")</f>
        <v>LT0Q1N01WY3M1</v>
      </c>
      <c r="F5564" s="238" t="str">
        <f>IFERROR(__xludf.DUMMYFUNCTION("""COMPUTED_VALUE"""),"TEZ1B65")</f>
        <v>TEZ1B65</v>
      </c>
      <c r="G5564" s="238">
        <f>IFERROR(__xludf.DUMMYFUNCTION("""COMPUTED_VALUE"""),46045.02083333333)</f>
        <v>46045.02083</v>
      </c>
      <c r="H5564" s="238">
        <f>IFERROR(__xludf.DUMMYFUNCTION("""COMPUTED_VALUE"""),46045.10416666667)</f>
        <v>46045.10417</v>
      </c>
      <c r="J5564" s="239">
        <v>540.0</v>
      </c>
    </row>
    <row r="5565">
      <c r="A5565" s="234"/>
      <c r="B5565" s="238" t="str">
        <f>IFERROR(__xludf.DUMMYFUNCTION("""COMPUTED_VALUE"""),"SoC_SP_Cravinhos")</f>
        <v>SoC_SP_Cravinhos</v>
      </c>
      <c r="C5565" s="238" t="str">
        <f>IFERROR(__xludf.DUMMYFUNCTION("""COMPUTED_VALUE"""),"SOC-SP5")</f>
        <v>SOC-SP5</v>
      </c>
      <c r="D5565" s="234">
        <f>IFERROR(__xludf.DUMMYFUNCTION("""COMPUTED_VALUE"""),94.0)</f>
        <v>94</v>
      </c>
      <c r="E5565" s="237" t="str">
        <f>IFERROR(__xludf.DUMMYFUNCTION("""COMPUTED_VALUE"""),"LT0Q1M01WTA72")</f>
        <v>LT0Q1M01WTA72</v>
      </c>
      <c r="F5565" s="238" t="str">
        <f>IFERROR(__xludf.DUMMYFUNCTION("""COMPUTED_VALUE"""),"TEC8J72,BEF4I43")</f>
        <v>TEC8J72,BEF4I43</v>
      </c>
      <c r="G5565" s="238">
        <f>IFERROR(__xludf.DUMMYFUNCTION("""COMPUTED_VALUE"""),46044.79166666667)</f>
        <v>46044.79167</v>
      </c>
      <c r="H5565" s="238">
        <f>IFERROR(__xludf.DUMMYFUNCTION("""COMPUTED_VALUE"""),46045.16666666667)</f>
        <v>46045.16667</v>
      </c>
      <c r="J5565" s="239">
        <v>540.0</v>
      </c>
    </row>
    <row r="5566">
      <c r="A5566" s="234"/>
      <c r="B5566" s="238" t="str">
        <f>IFERROR(__xludf.DUMMYFUNCTION("""COMPUTED_VALUE"""),"SoC_BA_Simoes Filho")</f>
        <v>SoC_BA_Simoes Filho</v>
      </c>
      <c r="C5566" s="238" t="str">
        <f>IFERROR(__xludf.DUMMYFUNCTION("""COMPUTED_VALUE"""),"SOC-BA2")</f>
        <v>SOC-BA2</v>
      </c>
      <c r="D5566" s="234">
        <f>IFERROR(__xludf.DUMMYFUNCTION("""COMPUTED_VALUE"""),89.0)</f>
        <v>89</v>
      </c>
      <c r="E5566" s="237" t="str">
        <f>IFERROR(__xludf.DUMMYFUNCTION("""COMPUTED_VALUE"""),"LT0Q1M01WYFU2")</f>
        <v>LT0Q1M01WYFU2</v>
      </c>
      <c r="F5566" s="238" t="str">
        <f>IFERROR(__xludf.DUMMYFUNCTION("""COMPUTED_VALUE"""),"PYH8J12,TLY2E73")</f>
        <v>PYH8J12,TLY2E73</v>
      </c>
      <c r="G5566" s="238">
        <f>IFERROR(__xludf.DUMMYFUNCTION("""COMPUTED_VALUE"""),46044.79166666667)</f>
        <v>46044.79167</v>
      </c>
      <c r="H5566" s="238">
        <f>IFERROR(__xludf.DUMMYFUNCTION("""COMPUTED_VALUE"""),46045.16666666667)</f>
        <v>46045.16667</v>
      </c>
      <c r="J5566" s="239">
        <v>540.0</v>
      </c>
    </row>
    <row r="5567">
      <c r="A5567" s="234"/>
      <c r="B5567" s="238" t="str">
        <f>IFERROR(__xludf.DUMMYFUNCTION("""COMPUTED_VALUE"""),"SoC_MG_Betim")</f>
        <v>SoC_MG_Betim</v>
      </c>
      <c r="C5567" s="238" t="str">
        <f>IFERROR(__xludf.DUMMYFUNCTION("""COMPUTED_VALUE"""),"SOC-MG2")</f>
        <v>SOC-MG2</v>
      </c>
      <c r="D5567" s="234">
        <f>IFERROR(__xludf.DUMMYFUNCTION("""COMPUTED_VALUE"""),90.0)</f>
        <v>90</v>
      </c>
      <c r="E5567" s="237" t="str">
        <f>IFERROR(__xludf.DUMMYFUNCTION("""COMPUTED_VALUE"""),"LT0Q1M01X2LS2")</f>
        <v>LT0Q1M01X2LS2</v>
      </c>
      <c r="F5567" s="238" t="str">
        <f>IFERROR(__xludf.DUMMYFUNCTION("""COMPUTED_VALUE"""),"DPF1E65,EWJ1I10")</f>
        <v>DPF1E65,EWJ1I10</v>
      </c>
      <c r="G5567" s="238">
        <f>IFERROR(__xludf.DUMMYFUNCTION("""COMPUTED_VALUE"""),46044.79166666667)</f>
        <v>46044.79167</v>
      </c>
      <c r="H5567" s="238">
        <f>IFERROR(__xludf.DUMMYFUNCTION("""COMPUTED_VALUE"""),46045.16666666667)</f>
        <v>46045.16667</v>
      </c>
      <c r="J5567" s="239">
        <v>480.00000001396984</v>
      </c>
    </row>
    <row r="5568">
      <c r="A5568" s="234"/>
      <c r="B5568" s="238" t="str">
        <f>IFERROR(__xludf.DUMMYFUNCTION("""COMPUTED_VALUE"""),"SoC_BA_Simoes Filho")</f>
        <v>SoC_BA_Simoes Filho</v>
      </c>
      <c r="C5568" s="238" t="str">
        <f>IFERROR(__xludf.DUMMYFUNCTION("""COMPUTED_VALUE"""),"SOC-BA2")</f>
        <v>SOC-BA2</v>
      </c>
      <c r="D5568" s="234">
        <f>IFERROR(__xludf.DUMMYFUNCTION("""COMPUTED_VALUE"""),88.0)</f>
        <v>88</v>
      </c>
      <c r="E5568" s="237" t="str">
        <f>IFERROR(__xludf.DUMMYFUNCTION("""COMPUTED_VALUE"""),"LT0Q1M01WYFS1")</f>
        <v>LT0Q1M01WYFS1</v>
      </c>
      <c r="F5568" s="238" t="str">
        <f>IFERROR(__xludf.DUMMYFUNCTION("""COMPUTED_VALUE"""),"HJF7423,FFN4G60")</f>
        <v>HJF7423,FFN4G60</v>
      </c>
      <c r="G5568" s="238">
        <f>IFERROR(__xludf.DUMMYFUNCTION("""COMPUTED_VALUE"""),46044.83333333333)</f>
        <v>46044.83333</v>
      </c>
      <c r="H5568" s="238">
        <f>IFERROR(__xludf.DUMMYFUNCTION("""COMPUTED_VALUE"""),46045.16666666667)</f>
        <v>46045.16667</v>
      </c>
      <c r="J5568" s="239">
        <v>119.99999999301508</v>
      </c>
    </row>
    <row r="5569">
      <c r="A5569" s="234"/>
      <c r="B5569" s="238" t="str">
        <f>IFERROR(__xludf.DUMMYFUNCTION("""COMPUTED_VALUE"""),"LM Hub_SP_Itapetininga")</f>
        <v>LM Hub_SP_Itapetininga</v>
      </c>
      <c r="C5569" s="238" t="str">
        <f>IFERROR(__xludf.DUMMYFUNCTION("""COMPUTED_VALUE"""),"HUB-LSP-53")</f>
        <v>HUB-LSP-53</v>
      </c>
      <c r="D5569" s="234">
        <f>IFERROR(__xludf.DUMMYFUNCTION("""COMPUTED_VALUE"""),28.0)</f>
        <v>28</v>
      </c>
      <c r="E5569" s="237" t="str">
        <f>IFERROR(__xludf.DUMMYFUNCTION("""COMPUTED_VALUE"""),"LT0Q1N01WTES1")</f>
        <v>LT0Q1N01WTES1</v>
      </c>
      <c r="F5569" s="238" t="str">
        <f>IFERROR(__xludf.DUMMYFUNCTION("""COMPUTED_VALUE"""),"FZY3F48")</f>
        <v>FZY3F48</v>
      </c>
      <c r="G5569" s="238">
        <f>IFERROR(__xludf.DUMMYFUNCTION("""COMPUTED_VALUE"""),46045.10416666667)</f>
        <v>46045.10417</v>
      </c>
      <c r="H5569" s="238">
        <f>IFERROR(__xludf.DUMMYFUNCTION("""COMPUTED_VALUE"""),46045.1875)</f>
        <v>46045.1875</v>
      </c>
      <c r="J5569" s="239">
        <v>119.99999999301508</v>
      </c>
    </row>
    <row r="5570">
      <c r="A5570" s="234"/>
      <c r="B5570" s="238" t="str">
        <f>IFERROR(__xludf.DUMMYFUNCTION("""COMPUTED_VALUE"""),"LM Hub_SP_São Carlos")</f>
        <v>LM Hub_SP_São Carlos</v>
      </c>
      <c r="C5570" s="238" t="str">
        <f>IFERROR(__xludf.DUMMYFUNCTION("""COMPUTED_VALUE"""),"HUB-LSP-31")</f>
        <v>HUB-LSP-31</v>
      </c>
      <c r="D5570" s="234">
        <f>IFERROR(__xludf.DUMMYFUNCTION("""COMPUTED_VALUE"""),25.0)</f>
        <v>25</v>
      </c>
      <c r="E5570" s="237" t="str">
        <f>IFERROR(__xludf.DUMMYFUNCTION("""COMPUTED_VALUE"""),"LT0Q1N01WTH91")</f>
        <v>LT0Q1N01WTH91</v>
      </c>
      <c r="F5570" s="238" t="str">
        <f>IFERROR(__xludf.DUMMYFUNCTION("""COMPUTED_VALUE"""),"DYL0G56")</f>
        <v>DYL0G56</v>
      </c>
      <c r="G5570" s="238">
        <f>IFERROR(__xludf.DUMMYFUNCTION("""COMPUTED_VALUE"""),46045.10416666667)</f>
        <v>46045.10417</v>
      </c>
      <c r="H5570" s="238">
        <f>IFERROR(__xludf.DUMMYFUNCTION("""COMPUTED_VALUE"""),46045.1875)</f>
        <v>46045.1875</v>
      </c>
      <c r="J5570" s="239">
        <v>540.0</v>
      </c>
    </row>
    <row r="5571">
      <c r="A5571" s="234"/>
      <c r="B5571" s="238" t="str">
        <f>IFERROR(__xludf.DUMMYFUNCTION("""COMPUTED_VALUE"""),"SoC_GO_Goiânia_02")</f>
        <v>SoC_GO_Goiânia_02</v>
      </c>
      <c r="C5571" s="238" t="str">
        <f>IFERROR(__xludf.DUMMYFUNCTION("""COMPUTED_VALUE"""),"SOC-GO2")</f>
        <v>SOC-GO2</v>
      </c>
      <c r="D5571" s="234">
        <f>IFERROR(__xludf.DUMMYFUNCTION("""COMPUTED_VALUE"""),87.0)</f>
        <v>87</v>
      </c>
      <c r="E5571" s="237" t="str">
        <f>IFERROR(__xludf.DUMMYFUNCTION("""COMPUTED_VALUE"""),"LT0Q1M01WYR22")</f>
        <v>LT0Q1M01WYR22</v>
      </c>
      <c r="F5571" s="238" t="str">
        <f>IFERROR(__xludf.DUMMYFUNCTION("""COMPUTED_VALUE"""),"JBH6G85,JBH6G86")</f>
        <v>JBH6G85,JBH6G86</v>
      </c>
      <c r="G5571" s="238">
        <f>IFERROR(__xludf.DUMMYFUNCTION("""COMPUTED_VALUE"""),46044.83333333333)</f>
        <v>46044.83333</v>
      </c>
      <c r="H5571" s="238">
        <f>IFERROR(__xludf.DUMMYFUNCTION("""COMPUTED_VALUE"""),46045.20833333333)</f>
        <v>46045.20833</v>
      </c>
      <c r="J5571" s="239">
        <v>538.9999999967404</v>
      </c>
    </row>
    <row r="5572">
      <c r="A5572" s="234"/>
      <c r="B5572" s="238" t="str">
        <f>IFERROR(__xludf.DUMMYFUNCTION("""COMPUTED_VALUE"""),"SoC_SC_Itajaí")</f>
        <v>SoC_SC_Itajaí</v>
      </c>
      <c r="C5572" s="238" t="str">
        <f>IFERROR(__xludf.DUMMYFUNCTION("""COMPUTED_VALUE"""),"SOC-SC1")</f>
        <v>SOC-SC1</v>
      </c>
      <c r="D5572" s="234">
        <f>IFERROR(__xludf.DUMMYFUNCTION("""COMPUTED_VALUE"""),101.0)</f>
        <v>101</v>
      </c>
      <c r="E5572" s="237" t="str">
        <f>IFERROR(__xludf.DUMMYFUNCTION("""COMPUTED_VALUE"""),"LT0Q1M01WXHN1")</f>
        <v>LT0Q1M01WXHN1</v>
      </c>
      <c r="F5572" s="238" t="str">
        <f>IFERROR(__xludf.DUMMYFUNCTION("""COMPUTED_VALUE"""),"MJI3860,ETU6I12")</f>
        <v>MJI3860,ETU6I12</v>
      </c>
      <c r="G5572" s="238">
        <f>IFERROR(__xludf.DUMMYFUNCTION("""COMPUTED_VALUE"""),46044.834027777775)</f>
        <v>46044.83403</v>
      </c>
      <c r="H5572" s="238">
        <f>IFERROR(__xludf.DUMMYFUNCTION("""COMPUTED_VALUE"""),46045.20833333333)</f>
        <v>46045.20833</v>
      </c>
      <c r="J5572" s="239">
        <v>119.99999999301508</v>
      </c>
    </row>
    <row r="5573">
      <c r="A5573" s="234"/>
      <c r="B5573" s="238" t="str">
        <f>IFERROR(__xludf.DUMMYFUNCTION("""COMPUTED_VALUE"""),"SoC_PR_Curitiba")</f>
        <v>SoC_PR_Curitiba</v>
      </c>
      <c r="C5573" s="238" t="str">
        <f>IFERROR(__xludf.DUMMYFUNCTION("""COMPUTED_VALUE"""),"SOC-PR1")</f>
        <v>SOC-PR1</v>
      </c>
      <c r="D5573" s="234">
        <f>IFERROR(__xludf.DUMMYFUNCTION("""COMPUTED_VALUE"""),16.0)</f>
        <v>16</v>
      </c>
      <c r="E5573" s="237" t="str">
        <f>IFERROR(__xludf.DUMMYFUNCTION("""COMPUTED_VALUE"""),"LT0Q1N01WT921")</f>
        <v>LT0Q1N01WT921</v>
      </c>
      <c r="F5573" s="238" t="str">
        <f>IFERROR(__xludf.DUMMYFUNCTION("""COMPUTED_VALUE"""),"RDX1I08,RYK3I01")</f>
        <v>RDX1I08,RYK3I01</v>
      </c>
      <c r="G5573" s="238">
        <f>IFERROR(__xludf.DUMMYFUNCTION("""COMPUTED_VALUE"""),46045.125)</f>
        <v>46045.125</v>
      </c>
      <c r="H5573" s="238">
        <f>IFERROR(__xludf.DUMMYFUNCTION("""COMPUTED_VALUE"""),46045.20833333333)</f>
        <v>46045.20833</v>
      </c>
      <c r="J5573" s="239">
        <v>119.99999999301508</v>
      </c>
    </row>
    <row r="5574">
      <c r="A5574" s="234"/>
      <c r="B5574" s="238" t="str">
        <f>IFERROR(__xludf.DUMMYFUNCTION("""COMPUTED_VALUE"""),"LM Hub_SP_Itapeva")</f>
        <v>LM Hub_SP_Itapeva</v>
      </c>
      <c r="C5574" s="238" t="str">
        <f>IFERROR(__xludf.DUMMYFUNCTION("""COMPUTED_VALUE"""),"HUB-LSP-39")</f>
        <v>HUB-LSP-39</v>
      </c>
      <c r="D5574" s="234">
        <f>IFERROR(__xludf.DUMMYFUNCTION("""COMPUTED_VALUE"""),6.0)</f>
        <v>6</v>
      </c>
      <c r="E5574" s="237" t="str">
        <f>IFERROR(__xludf.DUMMYFUNCTION("""COMPUTED_VALUE"""),"LT0Q1N01WTF21")</f>
        <v>LT0Q1N01WTF21</v>
      </c>
      <c r="F5574" s="238" t="str">
        <f>IFERROR(__xludf.DUMMYFUNCTION("""COMPUTED_VALUE"""),"TKY7J39")</f>
        <v>TKY7J39</v>
      </c>
      <c r="G5574" s="238">
        <f>IFERROR(__xludf.DUMMYFUNCTION("""COMPUTED_VALUE"""),46045.125)</f>
        <v>46045.125</v>
      </c>
      <c r="H5574" s="238">
        <f>IFERROR(__xludf.DUMMYFUNCTION("""COMPUTED_VALUE"""),46045.20833333333)</f>
        <v>46045.20833</v>
      </c>
      <c r="J5574" s="239">
        <v>119.99999999301508</v>
      </c>
    </row>
    <row r="5575">
      <c r="A5575" s="234"/>
      <c r="B5575" s="238" t="str">
        <f>IFERROR(__xludf.DUMMYFUNCTION("""COMPUTED_VALUE"""),"LM Hub_SP_Sumaré_Nova Veneza_1")</f>
        <v>LM Hub_SP_Sumaré_Nova Veneza_1</v>
      </c>
      <c r="C5575" s="238" t="str">
        <f>IFERROR(__xludf.DUMMYFUNCTION("""COMPUTED_VALUE"""),"HUB-LSP-88")</f>
        <v>HUB-LSP-88</v>
      </c>
      <c r="D5575" s="234">
        <f>IFERROR(__xludf.DUMMYFUNCTION("""COMPUTED_VALUE"""),7.0)</f>
        <v>7</v>
      </c>
      <c r="E5575" s="237" t="str">
        <f>IFERROR(__xludf.DUMMYFUNCTION("""COMPUTED_VALUE"""),"LT0Q1N01WXZ71")</f>
        <v>LT0Q1N01WXZ71</v>
      </c>
      <c r="F5575" s="238" t="str">
        <f>IFERROR(__xludf.DUMMYFUNCTION("""COMPUTED_VALUE"""),"GGQ5I15")</f>
        <v>GGQ5I15</v>
      </c>
      <c r="G5575" s="238">
        <f>IFERROR(__xludf.DUMMYFUNCTION("""COMPUTED_VALUE"""),46045.125)</f>
        <v>46045.125</v>
      </c>
      <c r="H5575" s="238">
        <f>IFERROR(__xludf.DUMMYFUNCTION("""COMPUTED_VALUE"""),46045.20833333333)</f>
        <v>46045.20833</v>
      </c>
      <c r="J5575" s="239">
        <v>120.00000001396984</v>
      </c>
    </row>
    <row r="5576">
      <c r="A5576" s="234"/>
      <c r="B5576" s="238" t="str">
        <f>IFERROR(__xludf.DUMMYFUNCTION("""COMPUTED_VALUE"""),"LM Hub_SP_Sorocaba_Região Norte")</f>
        <v>LM Hub_SP_Sorocaba_Região Norte</v>
      </c>
      <c r="C5576" s="238" t="str">
        <f>IFERROR(__xludf.DUMMYFUNCTION("""COMPUTED_VALUE"""),"HUB-LSP-10")</f>
        <v>HUB-LSP-10</v>
      </c>
      <c r="D5576" s="234">
        <f>IFERROR(__xludf.DUMMYFUNCTION("""COMPUTED_VALUE"""),8.0)</f>
        <v>8</v>
      </c>
      <c r="E5576" s="237" t="str">
        <f>IFERROR(__xludf.DUMMYFUNCTION("""COMPUTED_VALUE"""),"LT0Q1N01WTGK1")</f>
        <v>LT0Q1N01WTGK1</v>
      </c>
      <c r="F5576" s="238" t="str">
        <f>IFERROR(__xludf.DUMMYFUNCTION("""COMPUTED_VALUE"""),"TBP9J17,TPQ0G25")</f>
        <v>TBP9J17,TPQ0G25</v>
      </c>
      <c r="G5576" s="238">
        <f>IFERROR(__xludf.DUMMYFUNCTION("""COMPUTED_VALUE"""),46045.14583333333)</f>
        <v>46045.14583</v>
      </c>
      <c r="H5576" s="238">
        <f>IFERROR(__xludf.DUMMYFUNCTION("""COMPUTED_VALUE"""),46045.22916666667)</f>
        <v>46045.22917</v>
      </c>
      <c r="J5576" s="239">
        <v>120.00000001396984</v>
      </c>
    </row>
    <row r="5577">
      <c r="A5577" s="234"/>
      <c r="B5577" s="238" t="str">
        <f>IFERROR(__xludf.DUMMYFUNCTION("""COMPUTED_VALUE"""),"LM Hub_SP_Mogi Mirim")</f>
        <v>LM Hub_SP_Mogi Mirim</v>
      </c>
      <c r="C5577" s="238" t="str">
        <f>IFERROR(__xludf.DUMMYFUNCTION("""COMPUTED_VALUE"""),"HUB-LSP-37")</f>
        <v>HUB-LSP-37</v>
      </c>
      <c r="D5577" s="234">
        <f>IFERROR(__xludf.DUMMYFUNCTION("""COMPUTED_VALUE"""),42.0)</f>
        <v>42</v>
      </c>
      <c r="E5577" s="237" t="str">
        <f>IFERROR(__xludf.DUMMYFUNCTION("""COMPUTED_VALUE"""),"LT0Q1N01WTHK1")</f>
        <v>LT0Q1N01WTHK1</v>
      </c>
      <c r="F5577" s="238" t="str">
        <f>IFERROR(__xludf.DUMMYFUNCTION("""COMPUTED_VALUE"""),"TLE4D84")</f>
        <v>TLE4D84</v>
      </c>
      <c r="G5577" s="238">
        <f>IFERROR(__xludf.DUMMYFUNCTION("""COMPUTED_VALUE"""),46045.14583333333)</f>
        <v>46045.14583</v>
      </c>
      <c r="H5577" s="238">
        <f>IFERROR(__xludf.DUMMYFUNCTION("""COMPUTED_VALUE"""),46045.22916666667)</f>
        <v>46045.22917</v>
      </c>
      <c r="J5577" s="239">
        <v>120.00000001396984</v>
      </c>
    </row>
    <row r="5578">
      <c r="A5578" s="234"/>
      <c r="B5578" s="238" t="str">
        <f>IFERROR(__xludf.DUMMYFUNCTION("""COMPUTED_VALUE"""),"LM Hub_SP_Campinas_São Martinho")</f>
        <v>LM Hub_SP_Campinas_São Martinho</v>
      </c>
      <c r="C5578" s="238" t="str">
        <f>IFERROR(__xludf.DUMMYFUNCTION("""COMPUTED_VALUE"""),"HUB-LSP-19")</f>
        <v>HUB-LSP-19</v>
      </c>
      <c r="D5578" s="234">
        <f>IFERROR(__xludf.DUMMYFUNCTION("""COMPUTED_VALUE"""),48.0)</f>
        <v>48</v>
      </c>
      <c r="E5578" s="237" t="str">
        <f>IFERROR(__xludf.DUMMYFUNCTION("""COMPUTED_VALUE"""),"LT0Q1N01WTJ31")</f>
        <v>LT0Q1N01WTJ31</v>
      </c>
      <c r="F5578" s="238" t="str">
        <f>IFERROR(__xludf.DUMMYFUNCTION("""COMPUTED_VALUE"""),"GCJ6G71")</f>
        <v>GCJ6G71</v>
      </c>
      <c r="G5578" s="238">
        <f>IFERROR(__xludf.DUMMYFUNCTION("""COMPUTED_VALUE"""),46045.14583333333)</f>
        <v>46045.14583</v>
      </c>
      <c r="H5578" s="238">
        <f>IFERROR(__xludf.DUMMYFUNCTION("""COMPUTED_VALUE"""),46045.22916666667)</f>
        <v>46045.22917</v>
      </c>
      <c r="J5578" s="239">
        <v>119.99999999301508</v>
      </c>
    </row>
    <row r="5579">
      <c r="A5579" s="234"/>
      <c r="B5579" s="238" t="str">
        <f>IFERROR(__xludf.DUMMYFUNCTION("""COMPUTED_VALUE"""),"SoC_SP_Louveira")</f>
        <v>SoC_SP_Louveira</v>
      </c>
      <c r="C5579" s="238" t="str">
        <f>IFERROR(__xludf.DUMMYFUNCTION("""COMPUTED_VALUE"""),"SOC-SP7")</f>
        <v>SOC-SP7</v>
      </c>
      <c r="D5579" s="234">
        <f>IFERROR(__xludf.DUMMYFUNCTION("""COMPUTED_VALUE"""),38.0)</f>
        <v>38</v>
      </c>
      <c r="E5579" s="237" t="str">
        <f>IFERROR(__xludf.DUMMYFUNCTION("""COMPUTED_VALUE"""),"LT0Q1N01WTBA1")</f>
        <v>LT0Q1N01WTBA1</v>
      </c>
      <c r="F5579" s="238" t="str">
        <f>IFERROR(__xludf.DUMMYFUNCTION("""COMPUTED_VALUE"""),"GGC6C85,GHP6B14")</f>
        <v>GGC6C85,GHP6B14</v>
      </c>
      <c r="G5579" s="238">
        <f>IFERROR(__xludf.DUMMYFUNCTION("""COMPUTED_VALUE"""),46045.16666666667)</f>
        <v>46045.16667</v>
      </c>
      <c r="H5579" s="238">
        <f>IFERROR(__xludf.DUMMYFUNCTION("""COMPUTED_VALUE"""),46045.25)</f>
        <v>46045.25</v>
      </c>
      <c r="J5579" s="239">
        <v>119.99999999301508</v>
      </c>
    </row>
    <row r="5580">
      <c r="A5580" s="234"/>
      <c r="B5580" s="238" t="str">
        <f>IFERROR(__xludf.DUMMYFUNCTION("""COMPUTED_VALUE"""),"SoC_SP_Santana")</f>
        <v>SoC_SP_Santana</v>
      </c>
      <c r="C5580" s="238" t="str">
        <f>IFERROR(__xludf.DUMMYFUNCTION("""COMPUTED_VALUE"""),"SOC-SP2")</f>
        <v>SOC-SP2</v>
      </c>
      <c r="D5580" s="234">
        <f>IFERROR(__xludf.DUMMYFUNCTION("""COMPUTED_VALUE"""),29.0)</f>
        <v>29</v>
      </c>
      <c r="E5580" s="237" t="str">
        <f>IFERROR(__xludf.DUMMYFUNCTION("""COMPUTED_VALUE"""),"LT0Q1N01WTX11")</f>
        <v>LT0Q1N01WTX11</v>
      </c>
      <c r="F5580" s="238" t="str">
        <f>IFERROR(__xludf.DUMMYFUNCTION("""COMPUTED_VALUE"""),"STN7J16,DAE4E21")</f>
        <v>STN7J16,DAE4E21</v>
      </c>
      <c r="G5580" s="238">
        <f>IFERROR(__xludf.DUMMYFUNCTION("""COMPUTED_VALUE"""),46045.16666666667)</f>
        <v>46045.16667</v>
      </c>
      <c r="H5580" s="238">
        <f>IFERROR(__xludf.DUMMYFUNCTION("""COMPUTED_VALUE"""),46045.25)</f>
        <v>46045.25</v>
      </c>
      <c r="J5580" s="239">
        <v>119.99999999301508</v>
      </c>
    </row>
    <row r="5581">
      <c r="A5581" s="234"/>
      <c r="B5581" s="238" t="str">
        <f>IFERROR(__xludf.DUMMYFUNCTION("""COMPUTED_VALUE"""),"LM Hub_SP_Registro")</f>
        <v>LM Hub_SP_Registro</v>
      </c>
      <c r="C5581" s="238" t="str">
        <f>IFERROR(__xludf.DUMMYFUNCTION("""COMPUTED_VALUE"""),"HUB-LSP-40")</f>
        <v>HUB-LSP-40</v>
      </c>
      <c r="D5581" s="234">
        <f>IFERROR(__xludf.DUMMYFUNCTION("""COMPUTED_VALUE"""),32.0)</f>
        <v>32</v>
      </c>
      <c r="E5581" s="237" t="str">
        <f>IFERROR(__xludf.DUMMYFUNCTION("""COMPUTED_VALUE"""),"LT0Q1N01WTFM1")</f>
        <v>LT0Q1N01WTFM1</v>
      </c>
      <c r="F5581" s="238" t="str">
        <f>IFERROR(__xludf.DUMMYFUNCTION("""COMPUTED_VALUE"""),"EWU9F04")</f>
        <v>EWU9F04</v>
      </c>
      <c r="G5581" s="238">
        <f>IFERROR(__xludf.DUMMYFUNCTION("""COMPUTED_VALUE"""),46045.16666666667)</f>
        <v>46045.16667</v>
      </c>
      <c r="H5581" s="238">
        <f>IFERROR(__xludf.DUMMYFUNCTION("""COMPUTED_VALUE"""),46045.25)</f>
        <v>46045.25</v>
      </c>
      <c r="J5581" s="239">
        <v>119.99999999301508</v>
      </c>
    </row>
    <row r="5582">
      <c r="A5582" s="234"/>
      <c r="B5582" s="238" t="str">
        <f>IFERROR(__xludf.DUMMYFUNCTION("""COMPUTED_VALUE"""),"LM Hub_SP_Guaratinguetá")</f>
        <v>LM Hub_SP_Guaratinguetá</v>
      </c>
      <c r="C5582" s="238" t="str">
        <f>IFERROR(__xludf.DUMMYFUNCTION("""COMPUTED_VALUE"""),"HUB-LSP-33")</f>
        <v>HUB-LSP-33</v>
      </c>
      <c r="D5582" s="234">
        <f>IFERROR(__xludf.DUMMYFUNCTION("""COMPUTED_VALUE"""),14.0)</f>
        <v>14</v>
      </c>
      <c r="E5582" s="237" t="str">
        <f>IFERROR(__xludf.DUMMYFUNCTION("""COMPUTED_VALUE"""),"LT0Q1N01WTFV1")</f>
        <v>LT0Q1N01WTFV1</v>
      </c>
      <c r="F5582" s="238" t="str">
        <f>IFERROR(__xludf.DUMMYFUNCTION("""COMPUTED_VALUE"""),"TAJ5D50")</f>
        <v>TAJ5D50</v>
      </c>
      <c r="G5582" s="238">
        <f>IFERROR(__xludf.DUMMYFUNCTION("""COMPUTED_VALUE"""),46045.16666666667)</f>
        <v>46045.16667</v>
      </c>
      <c r="H5582" s="238">
        <f>IFERROR(__xludf.DUMMYFUNCTION("""COMPUTED_VALUE"""),46045.25)</f>
        <v>46045.25</v>
      </c>
      <c r="J5582" s="239">
        <v>119.99999999301508</v>
      </c>
    </row>
    <row r="5583">
      <c r="A5583" s="234"/>
      <c r="B5583" s="238" t="str">
        <f>IFERROR(__xludf.DUMMYFUNCTION("""COMPUTED_VALUE"""),"LM Hub_SP_Limeira_Campo Belo")</f>
        <v>LM Hub_SP_Limeira_Campo Belo</v>
      </c>
      <c r="C5583" s="238" t="str">
        <f>IFERROR(__xludf.DUMMYFUNCTION("""COMPUTED_VALUE"""),"HUB-LSP-24")</f>
        <v>HUB-LSP-24</v>
      </c>
      <c r="D5583" s="234">
        <f>IFERROR(__xludf.DUMMYFUNCTION("""COMPUTED_VALUE"""),22.0)</f>
        <v>22</v>
      </c>
      <c r="E5583" s="237" t="str">
        <f>IFERROR(__xludf.DUMMYFUNCTION("""COMPUTED_VALUE"""),"LT0Q1N01WTGV1")</f>
        <v>LT0Q1N01WTGV1</v>
      </c>
      <c r="F5583" s="238" t="str">
        <f>IFERROR(__xludf.DUMMYFUNCTION("""COMPUTED_VALUE"""),"UDI0A98")</f>
        <v>UDI0A98</v>
      </c>
      <c r="G5583" s="238">
        <f>IFERROR(__xludf.DUMMYFUNCTION("""COMPUTED_VALUE"""),46045.16666666667)</f>
        <v>46045.16667</v>
      </c>
      <c r="H5583" s="238">
        <f>IFERROR(__xludf.DUMMYFUNCTION("""COMPUTED_VALUE"""),46045.25)</f>
        <v>46045.25</v>
      </c>
      <c r="J5583" s="239">
        <v>119.99999999301508</v>
      </c>
    </row>
    <row r="5584">
      <c r="A5584" s="234"/>
      <c r="B5584" s="238" t="str">
        <f>IFERROR(__xludf.DUMMYFUNCTION("""COMPUTED_VALUE"""),"SoC_RJ_Duque de Caxias")</f>
        <v>SoC_RJ_Duque de Caxias</v>
      </c>
      <c r="C5584" s="238" t="str">
        <f>IFERROR(__xludf.DUMMYFUNCTION("""COMPUTED_VALUE"""),"SOC-RJ2")</f>
        <v>SOC-RJ2</v>
      </c>
      <c r="D5584" s="234">
        <f>IFERROR(__xludf.DUMMYFUNCTION("""COMPUTED_VALUE"""),111.0)</f>
        <v>111</v>
      </c>
      <c r="E5584" s="237" t="str">
        <f>IFERROR(__xludf.DUMMYFUNCTION("""COMPUTED_VALUE"""),"LT1Q1N01X9A11")</f>
        <v>LT1Q1N01X9A11</v>
      </c>
      <c r="F5584" s="238" t="str">
        <f>IFERROR(__xludf.DUMMYFUNCTION("""COMPUTED_VALUE"""),"HBF0565,EOE8420")</f>
        <v>HBF0565,EOE8420</v>
      </c>
      <c r="G5584" s="238">
        <f>IFERROR(__xludf.DUMMYFUNCTION("""COMPUTED_VALUE"""),46045.16666666667)</f>
        <v>46045.16667</v>
      </c>
      <c r="H5584" s="238">
        <f>IFERROR(__xludf.DUMMYFUNCTION("""COMPUTED_VALUE"""),46045.25)</f>
        <v>46045.25</v>
      </c>
      <c r="J5584" s="239">
        <v>119.99999999301508</v>
      </c>
    </row>
    <row r="5585">
      <c r="A5585" s="234"/>
      <c r="B5585" s="238" t="str">
        <f>IFERROR(__xludf.DUMMYFUNCTION("""COMPUTED_VALUE"""),"LM Hub_SP_Taubaté")</f>
        <v>LM Hub_SP_Taubaté</v>
      </c>
      <c r="C5585" s="238" t="str">
        <f>IFERROR(__xludf.DUMMYFUNCTION("""COMPUTED_VALUE"""),"HUB-LSP-08")</f>
        <v>HUB-LSP-08</v>
      </c>
      <c r="D5585" s="234">
        <f>IFERROR(__xludf.DUMMYFUNCTION("""COMPUTED_VALUE"""),49.0)</f>
        <v>49</v>
      </c>
      <c r="E5585" s="237" t="str">
        <f>IFERROR(__xludf.DUMMYFUNCTION("""COMPUTED_VALUE"""),"LT0Q1N01WTG61")</f>
        <v>LT0Q1N01WTG61</v>
      </c>
      <c r="F5585" s="238" t="str">
        <f>IFERROR(__xludf.DUMMYFUNCTION("""COMPUTED_VALUE"""),"FBQ6A90")</f>
        <v>FBQ6A90</v>
      </c>
      <c r="G5585" s="238">
        <f>IFERROR(__xludf.DUMMYFUNCTION("""COMPUTED_VALUE"""),46045.1875)</f>
        <v>46045.1875</v>
      </c>
      <c r="H5585" s="238">
        <f>IFERROR(__xludf.DUMMYFUNCTION("""COMPUTED_VALUE"""),46045.27083333333)</f>
        <v>46045.27083</v>
      </c>
      <c r="J5585" s="239">
        <v>119.99999999301508</v>
      </c>
    </row>
    <row r="5586">
      <c r="A5586" s="234"/>
      <c r="B5586" s="238" t="str">
        <f>IFERROR(__xludf.DUMMYFUNCTION("""COMPUTED_VALUE"""),"LM Hub_SP_Atibaia_Ponte_Alta")</f>
        <v>LM Hub_SP_Atibaia_Ponte_Alta</v>
      </c>
      <c r="C5586" s="238" t="str">
        <f>IFERROR(__xludf.DUMMYFUNCTION("""COMPUTED_VALUE"""),"HUB-LSP-87")</f>
        <v>HUB-LSP-87</v>
      </c>
      <c r="D5586" s="234"/>
      <c r="E5586" s="237" t="str">
        <f>IFERROR(__xludf.DUMMYFUNCTION("""COMPUTED_VALUE"""),"LT0Q1N01WWTJ1")</f>
        <v>LT0Q1N01WWTJ1</v>
      </c>
      <c r="F5586" s="238" t="str">
        <f>IFERROR(__xludf.DUMMYFUNCTION("""COMPUTED_VALUE"""),"CFM9D51")</f>
        <v>CFM9D51</v>
      </c>
      <c r="G5586" s="238">
        <f>IFERROR(__xludf.DUMMYFUNCTION("""COMPUTED_VALUE"""),46045.1875)</f>
        <v>46045.1875</v>
      </c>
      <c r="H5586" s="238">
        <f>IFERROR(__xludf.DUMMYFUNCTION("""COMPUTED_VALUE"""),46045.27083333333)</f>
        <v>46045.27083</v>
      </c>
      <c r="J5586" s="239">
        <v>540.0</v>
      </c>
    </row>
    <row r="5587">
      <c r="A5587" s="234"/>
      <c r="B5587" s="238" t="str">
        <f>IFERROR(__xludf.DUMMYFUNCTION("""COMPUTED_VALUE"""),"SoC_GO_Goiânia_02")</f>
        <v>SoC_GO_Goiânia_02</v>
      </c>
      <c r="C5587" s="238" t="str">
        <f>IFERROR(__xludf.DUMMYFUNCTION("""COMPUTED_VALUE"""),"SOC-GO2")</f>
        <v>SOC-GO2</v>
      </c>
      <c r="D5587" s="234">
        <f>IFERROR(__xludf.DUMMYFUNCTION("""COMPUTED_VALUE"""),86.0)</f>
        <v>86</v>
      </c>
      <c r="E5587" s="237" t="str">
        <f>IFERROR(__xludf.DUMMYFUNCTION("""COMPUTED_VALUE"""),"LT0Q1M01WYR01")</f>
        <v>LT0Q1M01WYR01</v>
      </c>
      <c r="F5587" s="238" t="str">
        <f>IFERROR(__xludf.DUMMYFUNCTION("""COMPUTED_VALUE"""),"EFU3C41,BSY3H87")</f>
        <v>EFU3C41,BSY3H87</v>
      </c>
      <c r="G5587" s="238">
        <f>IFERROR(__xludf.DUMMYFUNCTION("""COMPUTED_VALUE"""),46044.91666666667)</f>
        <v>46044.91667</v>
      </c>
      <c r="H5587" s="238">
        <f>IFERROR(__xludf.DUMMYFUNCTION("""COMPUTED_VALUE"""),46045.29166666667)</f>
        <v>46045.29167</v>
      </c>
      <c r="J5587" s="239">
        <v>539.0000000072177</v>
      </c>
    </row>
    <row r="5588">
      <c r="A5588" s="234"/>
      <c r="B5588" s="238" t="str">
        <f>IFERROR(__xludf.DUMMYFUNCTION("""COMPUTED_VALUE"""),"SoC_PE_Jaboatão dos Guararapes")</f>
        <v>SoC_PE_Jaboatão dos Guararapes</v>
      </c>
      <c r="C5588" s="238" t="str">
        <f>IFERROR(__xludf.DUMMYFUNCTION("""COMPUTED_VALUE"""),"SOC-PE2")</f>
        <v>SOC-PE2</v>
      </c>
      <c r="D5588" s="234">
        <f>IFERROR(__xludf.DUMMYFUNCTION("""COMPUTED_VALUE"""),98.0)</f>
        <v>98</v>
      </c>
      <c r="E5588" s="237" t="str">
        <f>IFERROR(__xludf.DUMMYFUNCTION("""COMPUTED_VALUE"""),"LT0Q1M01WYCS1")</f>
        <v>LT0Q1M01WYCS1</v>
      </c>
      <c r="F5588" s="238" t="str">
        <f>IFERROR(__xludf.DUMMYFUNCTION("""COMPUTED_VALUE"""),"QWW2B04,TEJ7G21")</f>
        <v>QWW2B04,TEJ7G21</v>
      </c>
      <c r="G5588" s="238">
        <f>IFERROR(__xludf.DUMMYFUNCTION("""COMPUTED_VALUE"""),46044.91736111111)</f>
        <v>46044.91736</v>
      </c>
      <c r="H5588" s="238">
        <f>IFERROR(__xludf.DUMMYFUNCTION("""COMPUTED_VALUE"""),46045.29166666667)</f>
        <v>46045.29167</v>
      </c>
      <c r="J5588" s="239">
        <v>537.0000000111759</v>
      </c>
    </row>
    <row r="5589">
      <c r="A5589" s="234"/>
      <c r="B5589" s="238" t="str">
        <f>IFERROR(__xludf.DUMMYFUNCTION("""COMPUTED_VALUE"""),"SoC_MG_Betim")</f>
        <v>SoC_MG_Betim</v>
      </c>
      <c r="C5589" s="238" t="str">
        <f>IFERROR(__xludf.DUMMYFUNCTION("""COMPUTED_VALUE"""),"SOC-MG2")</f>
        <v>SOC-MG2</v>
      </c>
      <c r="D5589" s="234">
        <f>IFERROR(__xludf.DUMMYFUNCTION("""COMPUTED_VALUE"""),113.0)</f>
        <v>113</v>
      </c>
      <c r="E5589" s="237" t="str">
        <f>IFERROR(__xludf.DUMMYFUNCTION("""COMPUTED_VALUE"""),"LT0Q1M01WT8R2")</f>
        <v>LT0Q1M01WT8R2</v>
      </c>
      <c r="F5589" s="238" t="str">
        <f>IFERROR(__xludf.DUMMYFUNCTION("""COMPUTED_VALUE"""),"EHO5B88,MRM3F79")</f>
        <v>EHO5B88,MRM3F79</v>
      </c>
      <c r="G5589" s="238">
        <f>IFERROR(__xludf.DUMMYFUNCTION("""COMPUTED_VALUE"""),46044.91875)</f>
        <v>46044.91875</v>
      </c>
      <c r="H5589" s="238">
        <f>IFERROR(__xludf.DUMMYFUNCTION("""COMPUTED_VALUE"""),46045.29166666667)</f>
        <v>46045.29167</v>
      </c>
      <c r="J5589" s="239">
        <v>300.00000001396984</v>
      </c>
    </row>
    <row r="5590">
      <c r="A5590" s="234"/>
      <c r="B5590" s="238" t="str">
        <f>IFERROR(__xludf.DUMMYFUNCTION("""COMPUTED_VALUE"""),"SoC_BA_Simoes Filho")</f>
        <v>SoC_BA_Simoes Filho</v>
      </c>
      <c r="C5590" s="238" t="str">
        <f>IFERROR(__xludf.DUMMYFUNCTION("""COMPUTED_VALUE"""),"SOC-BA2")</f>
        <v>SOC-BA2</v>
      </c>
      <c r="D5590" s="234">
        <f>IFERROR(__xludf.DUMMYFUNCTION("""COMPUTED_VALUE"""),89.0)</f>
        <v>89</v>
      </c>
      <c r="E5590" s="237" t="str">
        <f>IFERROR(__xludf.DUMMYFUNCTION("""COMPUTED_VALUE"""),"LT0Q1M01WYG62")</f>
        <v>LT0Q1M01WYG62</v>
      </c>
      <c r="F5590" s="238" t="str">
        <f>IFERROR(__xludf.DUMMYFUNCTION("""COMPUTED_VALUE"""),"ECM7E91,EFW2E94")</f>
        <v>ECM7E91,EFW2E94</v>
      </c>
      <c r="G5590" s="238">
        <f>IFERROR(__xludf.DUMMYFUNCTION("""COMPUTED_VALUE"""),46045.08333333333)</f>
        <v>46045.08333</v>
      </c>
      <c r="H5590" s="238">
        <f>IFERROR(__xludf.DUMMYFUNCTION("""COMPUTED_VALUE"""),46045.29166666667)</f>
        <v>46045.29167</v>
      </c>
      <c r="J5590" s="239">
        <v>120.00000001396984</v>
      </c>
    </row>
    <row r="5591">
      <c r="A5591" s="234"/>
      <c r="B5591" s="238" t="str">
        <f>IFERROR(__xludf.DUMMYFUNCTION("""COMPUTED_VALUE"""),"LM Hub_SP_Piracicaba")</f>
        <v>LM Hub_SP_Piracicaba</v>
      </c>
      <c r="C5591" s="238" t="str">
        <f>IFERROR(__xludf.DUMMYFUNCTION("""COMPUTED_VALUE"""),"HUB-LSP-62")</f>
        <v>HUB-LSP-62</v>
      </c>
      <c r="D5591" s="234"/>
      <c r="E5591" s="237" t="str">
        <f>IFERROR(__xludf.DUMMYFUNCTION("""COMPUTED_VALUE"""),"LT0Q1N01WU4J1")</f>
        <v>LT0Q1N01WU4J1</v>
      </c>
      <c r="F5591" s="238" t="str">
        <f>IFERROR(__xludf.DUMMYFUNCTION("""COMPUTED_VALUE"""),"EOF4D32")</f>
        <v>EOF4D32</v>
      </c>
      <c r="G5591" s="238">
        <f>IFERROR(__xludf.DUMMYFUNCTION("""COMPUTED_VALUE"""),46045.20833333333)</f>
        <v>46045.20833</v>
      </c>
      <c r="H5591" s="238">
        <f>IFERROR(__xludf.DUMMYFUNCTION("""COMPUTED_VALUE"""),46045.29166666667)</f>
        <v>46045.29167</v>
      </c>
      <c r="J5591" s="239">
        <v>120.00000001396984</v>
      </c>
    </row>
    <row r="5592">
      <c r="A5592" s="234"/>
      <c r="B5592" s="238" t="str">
        <f>IFERROR(__xludf.DUMMYFUNCTION("""COMPUTED_VALUE"""),"LM Hub_SP_Santos_PraiaGrande_02")</f>
        <v>LM Hub_SP_Santos_PraiaGrande_02</v>
      </c>
      <c r="C5592" s="238" t="str">
        <f>IFERROR(__xludf.DUMMYFUNCTION("""COMPUTED_VALUE"""),"HUB-LSP-63")</f>
        <v>HUB-LSP-63</v>
      </c>
      <c r="D5592" s="234">
        <f>IFERROR(__xludf.DUMMYFUNCTION("""COMPUTED_VALUE"""),13.0)</f>
        <v>13</v>
      </c>
      <c r="E5592" s="237" t="str">
        <f>IFERROR(__xludf.DUMMYFUNCTION("""COMPUTED_VALUE"""),"LT0Q1N01WUDV1")</f>
        <v>LT0Q1N01WUDV1</v>
      </c>
      <c r="F5592" s="238" t="str">
        <f>IFERROR(__xludf.DUMMYFUNCTION("""COMPUTED_VALUE"""),"CLD1G43,EGJ9640")</f>
        <v>CLD1G43,EGJ9640</v>
      </c>
      <c r="G5592" s="238">
        <f>IFERROR(__xludf.DUMMYFUNCTION("""COMPUTED_VALUE"""),46045.20833333333)</f>
        <v>46045.20833</v>
      </c>
      <c r="H5592" s="238">
        <f>IFERROR(__xludf.DUMMYFUNCTION("""COMPUTED_VALUE"""),46045.29166666667)</f>
        <v>46045.29167</v>
      </c>
      <c r="J5592" s="239">
        <v>120.00000001396984</v>
      </c>
    </row>
    <row r="5593">
      <c r="A5593" s="234"/>
      <c r="B5593" s="238" t="str">
        <f>IFERROR(__xludf.DUMMYFUNCTION("""COMPUTED_VALUE"""),"LM Hub_SP_Barueri_01")</f>
        <v>LM Hub_SP_Barueri_01</v>
      </c>
      <c r="C5593" s="238" t="str">
        <f>IFERROR(__xludf.DUMMYFUNCTION("""COMPUTED_VALUE"""),"HUB-LSP-81")</f>
        <v>HUB-LSP-81</v>
      </c>
      <c r="D5593" s="234">
        <f>IFERROR(__xludf.DUMMYFUNCTION("""COMPUTED_VALUE"""),18.0)</f>
        <v>18</v>
      </c>
      <c r="E5593" s="237" t="str">
        <f>IFERROR(__xludf.DUMMYFUNCTION("""COMPUTED_VALUE"""),"LT0Q1N01WY3X1")</f>
        <v>LT0Q1N01WY3X1</v>
      </c>
      <c r="F5593" s="238" t="str">
        <f>IFERROR(__xludf.DUMMYFUNCTION("""COMPUTED_VALUE"""),"SUQ5C99")</f>
        <v>SUQ5C99</v>
      </c>
      <c r="G5593" s="238">
        <f>IFERROR(__xludf.DUMMYFUNCTION("""COMPUTED_VALUE"""),46045.20833333333)</f>
        <v>46045.20833</v>
      </c>
      <c r="H5593" s="238">
        <f>IFERROR(__xludf.DUMMYFUNCTION("""COMPUTED_VALUE"""),46045.29166666667)</f>
        <v>46045.29167</v>
      </c>
      <c r="J5593" s="239">
        <v>119.99999999301508</v>
      </c>
    </row>
    <row r="5594">
      <c r="A5594" s="234"/>
      <c r="B5594" s="238" t="str">
        <f>IFERROR(__xludf.DUMMYFUNCTION("""COMPUTED_VALUE"""),"LM Hub_SP_Guarujá")</f>
        <v>LM Hub_SP_Guarujá</v>
      </c>
      <c r="C5594" s="238" t="str">
        <f>IFERROR(__xludf.DUMMYFUNCTION("""COMPUTED_VALUE"""),"HUB-LSP-06")</f>
        <v>HUB-LSP-06</v>
      </c>
      <c r="D5594" s="234">
        <f>IFERROR(__xludf.DUMMYFUNCTION("""COMPUTED_VALUE"""),34.0)</f>
        <v>34</v>
      </c>
      <c r="E5594" s="237" t="str">
        <f>IFERROR(__xludf.DUMMYFUNCTION("""COMPUTED_VALUE"""),"LT0Q1N01WTFA1")</f>
        <v>LT0Q1N01WTFA1</v>
      </c>
      <c r="F5594" s="238" t="str">
        <f>IFERROR(__xludf.DUMMYFUNCTION("""COMPUTED_VALUE"""),"SVL5H32")</f>
        <v>SVL5H32</v>
      </c>
      <c r="G5594" s="238">
        <f>IFERROR(__xludf.DUMMYFUNCTION("""COMPUTED_VALUE"""),46045.22916666667)</f>
        <v>46045.22917</v>
      </c>
      <c r="H5594" s="238">
        <f>IFERROR(__xludf.DUMMYFUNCTION("""COMPUTED_VALUE"""),46045.3125)</f>
        <v>46045.3125</v>
      </c>
      <c r="J5594" s="239">
        <v>119.99999999301508</v>
      </c>
    </row>
    <row r="5595">
      <c r="A5595" s="234"/>
      <c r="B5595" s="238" t="str">
        <f>IFERROR(__xludf.DUMMYFUNCTION("""COMPUTED_VALUE"""),"LM Hub_SP_Santos_Praia Grande")</f>
        <v>LM Hub_SP_Santos_Praia Grande</v>
      </c>
      <c r="C5595" s="238" t="str">
        <f>IFERROR(__xludf.DUMMYFUNCTION("""COMPUTED_VALUE"""),"HUB-LSP-09")</f>
        <v>HUB-LSP-09</v>
      </c>
      <c r="D5595" s="234">
        <f>IFERROR(__xludf.DUMMYFUNCTION("""COMPUTED_VALUE"""),36.0)</f>
        <v>36</v>
      </c>
      <c r="E5595" s="237" t="str">
        <f>IFERROR(__xludf.DUMMYFUNCTION("""COMPUTED_VALUE"""),"LT0Q1N01WTGC1")</f>
        <v>LT0Q1N01WTGC1</v>
      </c>
      <c r="F5595" s="238" t="str">
        <f>IFERROR(__xludf.DUMMYFUNCTION("""COMPUTED_VALUE"""),"GJK2F83")</f>
        <v>GJK2F83</v>
      </c>
      <c r="G5595" s="238">
        <f>IFERROR(__xludf.DUMMYFUNCTION("""COMPUTED_VALUE"""),46045.22916666667)</f>
        <v>46045.22917</v>
      </c>
      <c r="H5595" s="238">
        <f>IFERROR(__xludf.DUMMYFUNCTION("""COMPUTED_VALUE"""),46045.3125)</f>
        <v>46045.3125</v>
      </c>
      <c r="J5595" s="239">
        <v>119.99999999301508</v>
      </c>
    </row>
    <row r="5596">
      <c r="A5596" s="234"/>
      <c r="B5596" s="238" t="str">
        <f>IFERROR(__xludf.DUMMYFUNCTION("""COMPUTED_VALUE"""),"LM Hub_SP_São José dos Campos")</f>
        <v>LM Hub_SP_São José dos Campos</v>
      </c>
      <c r="C5596" s="238" t="str">
        <f>IFERROR(__xludf.DUMMYFUNCTION("""COMPUTED_VALUE"""),"HUB-LSP-04")</f>
        <v>HUB-LSP-04</v>
      </c>
      <c r="D5596" s="234">
        <f>IFERROR(__xludf.DUMMYFUNCTION("""COMPUTED_VALUE"""),19.0)</f>
        <v>19</v>
      </c>
      <c r="E5596" s="237" t="str">
        <f>IFERROR(__xludf.DUMMYFUNCTION("""COMPUTED_VALUE"""),"LT0Q1N01WTH31")</f>
        <v>LT0Q1N01WTH31</v>
      </c>
      <c r="F5596" s="238" t="str">
        <f>IFERROR(__xludf.DUMMYFUNCTION("""COMPUTED_VALUE"""),"PRI3H29")</f>
        <v>PRI3H29</v>
      </c>
      <c r="G5596" s="238">
        <f>IFERROR(__xludf.DUMMYFUNCTION("""COMPUTED_VALUE"""),46045.22916666667)</f>
        <v>46045.22917</v>
      </c>
      <c r="H5596" s="238">
        <f>IFERROR(__xludf.DUMMYFUNCTION("""COMPUTED_VALUE"""),46045.3125)</f>
        <v>46045.3125</v>
      </c>
      <c r="J5596" s="239">
        <v>119.99999999301508</v>
      </c>
    </row>
    <row r="5597">
      <c r="A5597" s="234"/>
      <c r="B5597" s="238" t="str">
        <f>IFERROR(__xludf.DUMMYFUNCTION("""COMPUTED_VALUE"""),"LM Hub_SP_Várzea Paulista")</f>
        <v>LM Hub_SP_Várzea Paulista</v>
      </c>
      <c r="C5597" s="238" t="str">
        <f>IFERROR(__xludf.DUMMYFUNCTION("""COMPUTED_VALUE"""),"HUB-LSP-20")</f>
        <v>HUB-LSP-20</v>
      </c>
      <c r="D5597" s="234">
        <f>IFERROR(__xludf.DUMMYFUNCTION("""COMPUTED_VALUE"""),21.0)</f>
        <v>21</v>
      </c>
      <c r="E5597" s="237" t="str">
        <f>IFERROR(__xludf.DUMMYFUNCTION("""COMPUTED_VALUE"""),"LT0Q1N01WTI01")</f>
        <v>LT0Q1N01WTI01</v>
      </c>
      <c r="F5597" s="238" t="str">
        <f>IFERROR(__xludf.DUMMYFUNCTION("""COMPUTED_VALUE"""),"GDC9B69")</f>
        <v>GDC9B69</v>
      </c>
      <c r="G5597" s="238">
        <f>IFERROR(__xludf.DUMMYFUNCTION("""COMPUTED_VALUE"""),46045.22916666667)</f>
        <v>46045.22917</v>
      </c>
      <c r="H5597" s="238">
        <f>IFERROR(__xludf.DUMMYFUNCTION("""COMPUTED_VALUE"""),46045.3125)</f>
        <v>46045.3125</v>
      </c>
      <c r="J5597" s="239">
        <v>119.00000000023283</v>
      </c>
    </row>
    <row r="5598">
      <c r="A5598" s="234"/>
      <c r="B5598" s="238" t="str">
        <f>IFERROR(__xludf.DUMMYFUNCTION("""COMPUTED_VALUE"""),"LM Hub_SP_Itapevi")</f>
        <v>LM Hub_SP_Itapevi</v>
      </c>
      <c r="C5598" s="238" t="str">
        <f>IFERROR(__xludf.DUMMYFUNCTION("""COMPUTED_VALUE"""),"HUB-LSP-41")</f>
        <v>HUB-LSP-41</v>
      </c>
      <c r="D5598" s="234">
        <f>IFERROR(__xludf.DUMMYFUNCTION("""COMPUTED_VALUE"""),39.0)</f>
        <v>39</v>
      </c>
      <c r="E5598" s="237" t="str">
        <f>IFERROR(__xludf.DUMMYFUNCTION("""COMPUTED_VALUE"""),"LT0Q1N01X2MT1")</f>
        <v>LT0Q1N01X2MT1</v>
      </c>
      <c r="F5598" s="238" t="str">
        <f>IFERROR(__xludf.DUMMYFUNCTION("""COMPUTED_VALUE"""),"FYQ5533")</f>
        <v>FYQ5533</v>
      </c>
      <c r="G5598" s="238">
        <f>IFERROR(__xludf.DUMMYFUNCTION("""COMPUTED_VALUE"""),46045.22986111111)</f>
        <v>46045.22986</v>
      </c>
      <c r="H5598" s="238">
        <f>IFERROR(__xludf.DUMMYFUNCTION("""COMPUTED_VALUE"""),46045.3125)</f>
        <v>46045.3125</v>
      </c>
      <c r="J5598" s="239">
        <v>119.99999999301508</v>
      </c>
    </row>
    <row r="5599">
      <c r="A5599" s="234"/>
      <c r="B5599" s="238" t="str">
        <f>IFERROR(__xludf.DUMMYFUNCTION("""COMPUTED_VALUE"""),"LM Hub_SP_São Paulo_Mooca")</f>
        <v>LM Hub_SP_São Paulo_Mooca</v>
      </c>
      <c r="C5599" s="238" t="str">
        <f>IFERROR(__xludf.DUMMYFUNCTION("""COMPUTED_VALUE"""),"HUB-LSP-13")</f>
        <v>HUB-LSP-13</v>
      </c>
      <c r="D5599" s="234"/>
      <c r="E5599" s="237" t="str">
        <f>IFERROR(__xludf.DUMMYFUNCTION("""COMPUTED_VALUE"""),"LT0Q1N01X2M81")</f>
        <v>LT0Q1N01X2M81</v>
      </c>
      <c r="F5599" s="238" t="str">
        <f>IFERROR(__xludf.DUMMYFUNCTION("""COMPUTED_VALUE"""),"PEP9J38")</f>
        <v>PEP9J38</v>
      </c>
      <c r="G5599" s="238">
        <f>IFERROR(__xludf.DUMMYFUNCTION("""COMPUTED_VALUE"""),46045.22916666667)</f>
        <v>46045.22917</v>
      </c>
      <c r="H5599" s="238">
        <f>IFERROR(__xludf.DUMMYFUNCTION("""COMPUTED_VALUE"""),46045.3125)</f>
        <v>46045.3125</v>
      </c>
      <c r="J5599" s="239">
        <v>119.99999999301508</v>
      </c>
    </row>
    <row r="5600">
      <c r="A5600" s="234"/>
      <c r="B5600" s="238" t="str">
        <f>IFERROR(__xludf.DUMMYFUNCTION("""COMPUTED_VALUE"""),"LM Hub_SP_VilaGuilherme")</f>
        <v>LM Hub_SP_VilaGuilherme</v>
      </c>
      <c r="C5600" s="238" t="str">
        <f>IFERROR(__xludf.DUMMYFUNCTION("""COMPUTED_VALUE"""),"HUB-LSP-68")</f>
        <v>HUB-LSP-68</v>
      </c>
      <c r="D5600" s="234">
        <f>IFERROR(__xludf.DUMMYFUNCTION("""COMPUTED_VALUE"""),44.0)</f>
        <v>44</v>
      </c>
      <c r="E5600" s="237" t="str">
        <f>IFERROR(__xludf.DUMMYFUNCTION("""COMPUTED_VALUE"""),"LT0Q1N01WTEI1")</f>
        <v>LT0Q1N01WTEI1</v>
      </c>
      <c r="F5600" s="238" t="str">
        <f>IFERROR(__xludf.DUMMYFUNCTION("""COMPUTED_VALUE"""),"DAJ3E28")</f>
        <v>DAJ3E28</v>
      </c>
      <c r="G5600" s="238">
        <f>IFERROR(__xludf.DUMMYFUNCTION("""COMPUTED_VALUE"""),46045.25)</f>
        <v>46045.25</v>
      </c>
      <c r="H5600" s="238">
        <f>IFERROR(__xludf.DUMMYFUNCTION("""COMPUTED_VALUE"""),46045.33333333333)</f>
        <v>46045.33333</v>
      </c>
      <c r="J5600" s="239">
        <v>119.99999999301508</v>
      </c>
    </row>
    <row r="5601">
      <c r="A5601" s="234"/>
      <c r="B5601" s="238" t="str">
        <f>IFERROR(__xludf.DUMMYFUNCTION("""COMPUTED_VALUE"""),"LM Hub_SP_Jurubatuba")</f>
        <v>LM Hub_SP_Jurubatuba</v>
      </c>
      <c r="C5601" s="238" t="str">
        <f>IFERROR(__xludf.DUMMYFUNCTION("""COMPUTED_VALUE"""),"HUB-LSP-16")</f>
        <v>HUB-LSP-16</v>
      </c>
      <c r="D5601" s="234">
        <f>IFERROR(__xludf.DUMMYFUNCTION("""COMPUTED_VALUE"""),35.0)</f>
        <v>35</v>
      </c>
      <c r="E5601" s="237" t="str">
        <f>IFERROR(__xludf.DUMMYFUNCTION("""COMPUTED_VALUE"""),"LT0Q1N01X2ML1")</f>
        <v>LT0Q1N01X2ML1</v>
      </c>
      <c r="F5601" s="238" t="str">
        <f>IFERROR(__xludf.DUMMYFUNCTION("""COMPUTED_VALUE"""),"DTD4722,NCK7E66")</f>
        <v>DTD4722,NCK7E66</v>
      </c>
      <c r="G5601" s="238">
        <f>IFERROR(__xludf.DUMMYFUNCTION("""COMPUTED_VALUE"""),46045.25)</f>
        <v>46045.25</v>
      </c>
      <c r="H5601" s="238">
        <f>IFERROR(__xludf.DUMMYFUNCTION("""COMPUTED_VALUE"""),46045.33333333333)</f>
        <v>46045.33333</v>
      </c>
      <c r="J5601" s="239">
        <v>119.99999999301508</v>
      </c>
    </row>
    <row r="5602">
      <c r="A5602" s="234"/>
      <c r="B5602" s="238" t="str">
        <f>IFERROR(__xludf.DUMMYFUNCTION("""COMPUTED_VALUE"""),"LM Hub_SP_São Paulo_Lapa")</f>
        <v>LM Hub_SP_São Paulo_Lapa</v>
      </c>
      <c r="C5602" s="238" t="str">
        <f>IFERROR(__xludf.DUMMYFUNCTION("""COMPUTED_VALUE"""),"HUB-LSP-15")</f>
        <v>HUB-LSP-15</v>
      </c>
      <c r="D5602" s="234">
        <f>IFERROR(__xludf.DUMMYFUNCTION("""COMPUTED_VALUE"""),23.0)</f>
        <v>23</v>
      </c>
      <c r="E5602" s="237" t="str">
        <f>IFERROR(__xludf.DUMMYFUNCTION("""COMPUTED_VALUE"""),"LT0Q1N01WTCN1")</f>
        <v>LT0Q1N01WTCN1</v>
      </c>
      <c r="F5602" s="238" t="str">
        <f>IFERROR(__xludf.DUMMYFUNCTION("""COMPUTED_VALUE"""),"LQB3J21")</f>
        <v>LQB3J21</v>
      </c>
      <c r="G5602" s="238">
        <f>IFERROR(__xludf.DUMMYFUNCTION("""COMPUTED_VALUE"""),46045.25)</f>
        <v>46045.25</v>
      </c>
      <c r="H5602" s="238">
        <f>IFERROR(__xludf.DUMMYFUNCTION("""COMPUTED_VALUE"""),46045.33333333333)</f>
        <v>46045.33333</v>
      </c>
      <c r="J5602" s="239">
        <v>119.99999999301508</v>
      </c>
    </row>
    <row r="5603">
      <c r="A5603" s="234"/>
      <c r="B5603" s="238" t="str">
        <f>IFERROR(__xludf.DUMMYFUNCTION("""COMPUTED_VALUE"""),"LM Hub_SP_Osasco_02")</f>
        <v>LM Hub_SP_Osasco_02</v>
      </c>
      <c r="C5603" s="238" t="str">
        <f>IFERROR(__xludf.DUMMYFUNCTION("""COMPUTED_VALUE"""),"HUB-LSP-60")</f>
        <v>HUB-LSP-60</v>
      </c>
      <c r="D5603" s="234">
        <f>IFERROR(__xludf.DUMMYFUNCTION("""COMPUTED_VALUE"""),26.0)</f>
        <v>26</v>
      </c>
      <c r="E5603" s="237" t="str">
        <f>IFERROR(__xludf.DUMMYFUNCTION("""COMPUTED_VALUE"""),"LT0Q1N01WTE01")</f>
        <v>LT0Q1N01WTE01</v>
      </c>
      <c r="F5603" s="238" t="str">
        <f>IFERROR(__xludf.DUMMYFUNCTION("""COMPUTED_VALUE"""),"FEU6H63")</f>
        <v>FEU6H63</v>
      </c>
      <c r="G5603" s="238">
        <f>IFERROR(__xludf.DUMMYFUNCTION("""COMPUTED_VALUE"""),46045.25)</f>
        <v>46045.25</v>
      </c>
      <c r="H5603" s="238">
        <f>IFERROR(__xludf.DUMMYFUNCTION("""COMPUTED_VALUE"""),46045.33333333333)</f>
        <v>46045.33333</v>
      </c>
      <c r="J5603" s="239">
        <v>119.99999999301508</v>
      </c>
    </row>
    <row r="5604">
      <c r="A5604" s="234"/>
      <c r="B5604" s="238" t="str">
        <f>IFERROR(__xludf.DUMMYFUNCTION("""COMPUTED_VALUE"""),"LM Hub_SP_Embu das Artes")</f>
        <v>LM Hub_SP_Embu das Artes</v>
      </c>
      <c r="C5604" s="238" t="str">
        <f>IFERROR(__xludf.DUMMYFUNCTION("""COMPUTED_VALUE"""),"HUB-LSP-36")</f>
        <v>HUB-LSP-36</v>
      </c>
      <c r="D5604" s="234">
        <f>IFERROR(__xludf.DUMMYFUNCTION("""COMPUTED_VALUE"""),47.0)</f>
        <v>47</v>
      </c>
      <c r="E5604" s="237" t="str">
        <f>IFERROR(__xludf.DUMMYFUNCTION("""COMPUTED_VALUE"""),"LT0Q1N01WTDK1")</f>
        <v>LT0Q1N01WTDK1</v>
      </c>
      <c r="F5604" s="238" t="str">
        <f>IFERROR(__xludf.DUMMYFUNCTION("""COMPUTED_VALUE"""),"FWF3044")</f>
        <v>FWF3044</v>
      </c>
      <c r="G5604" s="238">
        <f>IFERROR(__xludf.DUMMYFUNCTION("""COMPUTED_VALUE"""),46045.25)</f>
        <v>46045.25</v>
      </c>
      <c r="H5604" s="238">
        <f>IFERROR(__xludf.DUMMYFUNCTION("""COMPUTED_VALUE"""),46045.33333333333)</f>
        <v>46045.33333</v>
      </c>
      <c r="J5604" s="239">
        <v>119.99999999301508</v>
      </c>
    </row>
    <row r="5605">
      <c r="A5605" s="234"/>
      <c r="B5605" s="238" t="str">
        <f>IFERROR(__xludf.DUMMYFUNCTION("""COMPUTED_VALUE"""),"LM Hub_SP_Artur Alvim")</f>
        <v>LM Hub_SP_Artur Alvim</v>
      </c>
      <c r="C5605" s="238" t="str">
        <f>IFERROR(__xludf.DUMMYFUNCTION("""COMPUTED_VALUE"""),"HUB-LSP-07")</f>
        <v>HUB-LSP-07</v>
      </c>
      <c r="D5605" s="234">
        <f>IFERROR(__xludf.DUMMYFUNCTION("""COMPUTED_VALUE"""),24.0)</f>
        <v>24</v>
      </c>
      <c r="E5605" s="237" t="str">
        <f>IFERROR(__xludf.DUMMYFUNCTION("""COMPUTED_VALUE"""),"LT0Q1N01WTC01")</f>
        <v>LT0Q1N01WTC01</v>
      </c>
      <c r="F5605" s="238" t="str">
        <f>IFERROR(__xludf.DUMMYFUNCTION("""COMPUTED_VALUE"""),"ASH4C66")</f>
        <v>ASH4C66</v>
      </c>
      <c r="G5605" s="238">
        <f>IFERROR(__xludf.DUMMYFUNCTION("""COMPUTED_VALUE"""),46045.25)</f>
        <v>46045.25</v>
      </c>
      <c r="H5605" s="238">
        <f>IFERROR(__xludf.DUMMYFUNCTION("""COMPUTED_VALUE"""),46045.33333333333)</f>
        <v>46045.33333</v>
      </c>
      <c r="J5605" s="239">
        <v>120.00000001396984</v>
      </c>
    </row>
    <row r="5606">
      <c r="A5606" s="234"/>
      <c r="B5606" s="238" t="str">
        <f>IFERROR(__xludf.DUMMYFUNCTION("""COMPUTED_VALUE"""),"LM Hub_SP_Parque Novo Mundo")</f>
        <v>LM Hub_SP_Parque Novo Mundo</v>
      </c>
      <c r="C5606" s="238" t="str">
        <f>IFERROR(__xludf.DUMMYFUNCTION("""COMPUTED_VALUE"""),"HUB-LSP-89")</f>
        <v>HUB-LSP-89</v>
      </c>
      <c r="D5606" s="234">
        <f>IFERROR(__xludf.DUMMYFUNCTION("""COMPUTED_VALUE"""),12.0)</f>
        <v>12</v>
      </c>
      <c r="E5606" s="237" t="str">
        <f>IFERROR(__xludf.DUMMYFUNCTION("""COMPUTED_VALUE"""),"LT0Q1N01WUBG1")</f>
        <v>LT0Q1N01WUBG1</v>
      </c>
      <c r="F5606" s="238" t="str">
        <f>IFERROR(__xludf.DUMMYFUNCTION("""COMPUTED_VALUE"""),"GIQ1C13")</f>
        <v>GIQ1C13</v>
      </c>
      <c r="G5606" s="238">
        <f>IFERROR(__xludf.DUMMYFUNCTION("""COMPUTED_VALUE"""),46045.27083333333)</f>
        <v>46045.27083</v>
      </c>
      <c r="H5606" s="238">
        <f>IFERROR(__xludf.DUMMYFUNCTION("""COMPUTED_VALUE"""),46045.35416666667)</f>
        <v>46045.35417</v>
      </c>
      <c r="J5606" s="239">
        <v>120.00000001396984</v>
      </c>
    </row>
    <row r="5607">
      <c r="A5607" s="234"/>
      <c r="B5607" s="238" t="str">
        <f>IFERROR(__xludf.DUMMYFUNCTION("""COMPUTED_VALUE"""),"LM Hub_SP_São Bernardo do Campo")</f>
        <v>LM Hub_SP_São Bernardo do Campo</v>
      </c>
      <c r="C5607" s="238" t="str">
        <f>IFERROR(__xludf.DUMMYFUNCTION("""COMPUTED_VALUE"""),"HUB-LSP-79")</f>
        <v>HUB-LSP-79</v>
      </c>
      <c r="D5607" s="234">
        <f>IFERROR(__xludf.DUMMYFUNCTION("""COMPUTED_VALUE"""),41.0)</f>
        <v>41</v>
      </c>
      <c r="E5607" s="237" t="str">
        <f>IFERROR(__xludf.DUMMYFUNCTION("""COMPUTED_VALUE"""),"LT0Q1N01WU1F1")</f>
        <v>LT0Q1N01WU1F1</v>
      </c>
      <c r="F5607" s="238" t="str">
        <f>IFERROR(__xludf.DUMMYFUNCTION("""COMPUTED_VALUE"""),"EFW0H81")</f>
        <v>EFW0H81</v>
      </c>
      <c r="G5607" s="238">
        <f>IFERROR(__xludf.DUMMYFUNCTION("""COMPUTED_VALUE"""),46045.27083333333)</f>
        <v>46045.27083</v>
      </c>
      <c r="H5607" s="238">
        <f>IFERROR(__xludf.DUMMYFUNCTION("""COMPUTED_VALUE"""),46045.35416666667)</f>
        <v>46045.35417</v>
      </c>
      <c r="J5607" s="239">
        <v>119.99999999301508</v>
      </c>
    </row>
    <row r="5608">
      <c r="A5608" s="234"/>
      <c r="B5608" s="238" t="str">
        <f>IFERROR(__xludf.DUMMYFUNCTION("""COMPUTED_VALUE"""),"SoC_PR_Curitiba")</f>
        <v>SoC_PR_Curitiba</v>
      </c>
      <c r="C5608" s="238" t="str">
        <f>IFERROR(__xludf.DUMMYFUNCTION("""COMPUTED_VALUE"""),"SOC-PR1")</f>
        <v>SOC-PR1</v>
      </c>
      <c r="D5608" s="234">
        <f>IFERROR(__xludf.DUMMYFUNCTION("""COMPUTED_VALUE"""),40.0)</f>
        <v>40</v>
      </c>
      <c r="E5608" s="237" t="str">
        <f>IFERROR(__xludf.DUMMYFUNCTION("""COMPUTED_VALUE"""),"LT0Q1N01WT981")</f>
        <v>LT0Q1N01WT981</v>
      </c>
      <c r="F5608" s="238" t="str">
        <f>IFERROR(__xludf.DUMMYFUNCTION("""COMPUTED_VALUE"""),"FSZ3A57,RHV2I49")</f>
        <v>FSZ3A57,RHV2I49</v>
      </c>
      <c r="G5608" s="238">
        <f>IFERROR(__xludf.DUMMYFUNCTION("""COMPUTED_VALUE"""),46045.29166666667)</f>
        <v>46045.29167</v>
      </c>
      <c r="H5608" s="238">
        <f>IFERROR(__xludf.DUMMYFUNCTION("""COMPUTED_VALUE"""),46045.375)</f>
        <v>46045.375</v>
      </c>
      <c r="J5608" s="239">
        <v>119.99999999301508</v>
      </c>
    </row>
    <row r="5609">
      <c r="A5609" s="234"/>
      <c r="B5609" s="238" t="str">
        <f>IFERROR(__xludf.DUMMYFUNCTION("""COMPUTED_VALUE"""),"LM Hub_SP_Embu das Artes_02")</f>
        <v>LM Hub_SP_Embu das Artes_02</v>
      </c>
      <c r="C5609" s="238" t="str">
        <f>IFERROR(__xludf.DUMMYFUNCTION("""COMPUTED_VALUE"""),"HUB-LSP-96")</f>
        <v>HUB-LSP-96</v>
      </c>
      <c r="D5609" s="234">
        <f>IFERROR(__xludf.DUMMYFUNCTION("""COMPUTED_VALUE"""),15.0)</f>
        <v>15</v>
      </c>
      <c r="E5609" s="237" t="str">
        <f>IFERROR(__xludf.DUMMYFUNCTION("""COMPUTED_VALUE"""),"LT0Q1N01WWMO1")</f>
        <v>LT0Q1N01WWMO1</v>
      </c>
      <c r="F5609" s="238" t="str">
        <f>IFERROR(__xludf.DUMMYFUNCTION("""COMPUTED_VALUE"""),"FUF6H46")</f>
        <v>FUF6H46</v>
      </c>
      <c r="G5609" s="238">
        <f>IFERROR(__xludf.DUMMYFUNCTION("""COMPUTED_VALUE"""),46045.29166666667)</f>
        <v>46045.29167</v>
      </c>
      <c r="H5609" s="238">
        <f>IFERROR(__xludf.DUMMYFUNCTION("""COMPUTED_VALUE"""),46045.375)</f>
        <v>46045.375</v>
      </c>
      <c r="J5609" s="239">
        <v>540.0</v>
      </c>
    </row>
    <row r="5610">
      <c r="A5610" s="234"/>
      <c r="B5610" s="238" t="str">
        <f>IFERROR(__xludf.DUMMYFUNCTION("""COMPUTED_VALUE"""),"SoC_RJ_Duque de Caxias")</f>
        <v>SoC_RJ_Duque de Caxias</v>
      </c>
      <c r="C5610" s="238" t="str">
        <f>IFERROR(__xludf.DUMMYFUNCTION("""COMPUTED_VALUE"""),"SOC-RJ2")</f>
        <v>SOC-RJ2</v>
      </c>
      <c r="D5610" s="234">
        <f>IFERROR(__xludf.DUMMYFUNCTION("""COMPUTED_VALUE"""),97.0)</f>
        <v>97</v>
      </c>
      <c r="E5610" s="237" t="str">
        <f>IFERROR(__xludf.DUMMYFUNCTION("""COMPUTED_VALUE"""),"LT1Q1N01X99X1")</f>
        <v>LT1Q1N01X99X1</v>
      </c>
      <c r="F5610" s="238" t="str">
        <f>IFERROR(__xludf.DUMMYFUNCTION("""COMPUTED_VALUE"""),"OLE2G02,NFC1G78")</f>
        <v>OLE2G02,NFC1G78</v>
      </c>
      <c r="G5610" s="238">
        <f>IFERROR(__xludf.DUMMYFUNCTION("""COMPUTED_VALUE"""),46045.0)</f>
        <v>46045</v>
      </c>
      <c r="H5610" s="238">
        <f>IFERROR(__xludf.DUMMYFUNCTION("""COMPUTED_VALUE"""),46045.375)</f>
        <v>46045.375</v>
      </c>
      <c r="J5610" s="239">
        <v>119.99999999301508</v>
      </c>
    </row>
    <row r="5611">
      <c r="A5611" s="234"/>
      <c r="B5611" s="238" t="str">
        <f>IFERROR(__xludf.DUMMYFUNCTION("""COMPUTED_VALUE"""),"LM Hub_SP_Mooca_02")</f>
        <v>LM Hub_SP_Mooca_02</v>
      </c>
      <c r="C5611" s="238" t="str">
        <f>IFERROR(__xludf.DUMMYFUNCTION("""COMPUTED_VALUE"""),"HUB-LSP-94")</f>
        <v>HUB-LSP-94</v>
      </c>
      <c r="D5611" s="234">
        <f>IFERROR(__xludf.DUMMYFUNCTION("""COMPUTED_VALUE"""),7.0)</f>
        <v>7</v>
      </c>
      <c r="E5611" s="237" t="str">
        <f>IFERROR(__xludf.DUMMYFUNCTION("""COMPUTED_VALUE"""),"LT1Q1N01X96X1")</f>
        <v>LT1Q1N01X96X1</v>
      </c>
      <c r="F5611" s="238" t="str">
        <f>IFERROR(__xludf.DUMMYFUNCTION("""COMPUTED_VALUE"""),"GDA5D23")</f>
        <v>GDA5D23</v>
      </c>
      <c r="G5611" s="238">
        <f>IFERROR(__xludf.DUMMYFUNCTION("""COMPUTED_VALUE"""),46045.29166666667)</f>
        <v>46045.29167</v>
      </c>
      <c r="H5611" s="238">
        <f>IFERROR(__xludf.DUMMYFUNCTION("""COMPUTED_VALUE"""),46045.375)</f>
        <v>46045.375</v>
      </c>
      <c r="J5611" s="239">
        <v>540.0</v>
      </c>
    </row>
    <row r="5612">
      <c r="A5612" s="234"/>
      <c r="B5612" s="238" t="str">
        <f>IFERROR(__xludf.DUMMYFUNCTION("""COMPUTED_VALUE"""),"SoC_RJ_Duque de Caxias")</f>
        <v>SoC_RJ_Duque de Caxias</v>
      </c>
      <c r="C5612" s="238" t="str">
        <f>IFERROR(__xludf.DUMMYFUNCTION("""COMPUTED_VALUE"""),"SOC-RJ2")</f>
        <v>SOC-RJ2</v>
      </c>
      <c r="D5612" s="234">
        <f>IFERROR(__xludf.DUMMYFUNCTION("""COMPUTED_VALUE"""),96.0)</f>
        <v>96</v>
      </c>
      <c r="E5612" s="237" t="str">
        <f>IFERROR(__xludf.DUMMYFUNCTION("""COMPUTED_VALUE"""),"LT1Q1N01X99Y1")</f>
        <v>LT1Q1N01X99Y1</v>
      </c>
      <c r="F5612" s="238" t="str">
        <f>IFERROR(__xludf.DUMMYFUNCTION("""COMPUTED_VALUE"""),"FPB6H47,FZP4C43")</f>
        <v>FPB6H47,FZP4C43</v>
      </c>
      <c r="G5612" s="238">
        <f>IFERROR(__xludf.DUMMYFUNCTION("""COMPUTED_VALUE"""),46045.04166666667)</f>
        <v>46045.04167</v>
      </c>
      <c r="H5612" s="238">
        <f>IFERROR(__xludf.DUMMYFUNCTION("""COMPUTED_VALUE"""),46045.41666666667)</f>
        <v>46045.41667</v>
      </c>
      <c r="J5612" s="239">
        <v>540.0</v>
      </c>
    </row>
    <row r="5613">
      <c r="A5613" s="234"/>
      <c r="B5613" s="238" t="str">
        <f>IFERROR(__xludf.DUMMYFUNCTION("""COMPUTED_VALUE"""),"SoC_BA_Simoes Filho")</f>
        <v>SoC_BA_Simoes Filho</v>
      </c>
      <c r="C5613" s="238" t="str">
        <f>IFERROR(__xludf.DUMMYFUNCTION("""COMPUTED_VALUE"""),"SOC-BA2")</f>
        <v>SOC-BA2</v>
      </c>
      <c r="D5613" s="234"/>
      <c r="E5613" s="237" t="str">
        <f>IFERROR(__xludf.DUMMYFUNCTION("""COMPUTED_VALUE"""),"LT0Q1M01WYG41")</f>
        <v>LT0Q1M01WYG41</v>
      </c>
      <c r="F5613" s="238" t="str">
        <f>IFERROR(__xludf.DUMMYFUNCTION("""COMPUTED_VALUE"""),"DTE7C80,EZL6F18")</f>
        <v>DTE7C80,EZL6F18</v>
      </c>
      <c r="G5613" s="238">
        <f>IFERROR(__xludf.DUMMYFUNCTION("""COMPUTED_VALUE"""),46045.08333333333)</f>
        <v>46045.08333</v>
      </c>
      <c r="H5613" s="238">
        <f>IFERROR(__xludf.DUMMYFUNCTION("""COMPUTED_VALUE"""),46045.45833333333)</f>
        <v>46045.45833</v>
      </c>
      <c r="J5613" s="239">
        <v>540.0</v>
      </c>
    </row>
    <row r="5614">
      <c r="A5614" s="234"/>
      <c r="B5614" s="238" t="str">
        <f>IFERROR(__xludf.DUMMYFUNCTION("""COMPUTED_VALUE"""),"SoC_RS_Gravataí_02")</f>
        <v>SoC_RS_Gravataí_02</v>
      </c>
      <c r="C5614" s="238" t="str">
        <f>IFERROR(__xludf.DUMMYFUNCTION("""COMPUTED_VALUE"""),"SOC-RS2")</f>
        <v>SOC-RS2</v>
      </c>
      <c r="D5614" s="234">
        <f>IFERROR(__xludf.DUMMYFUNCTION("""COMPUTED_VALUE"""),93.0)</f>
        <v>93</v>
      </c>
      <c r="E5614" s="237" t="str">
        <f>IFERROR(__xludf.DUMMYFUNCTION("""COMPUTED_VALUE"""),"LT0Q1M01WYT62")</f>
        <v>LT0Q1M01WYT62</v>
      </c>
      <c r="F5614" s="238" t="str">
        <f>IFERROR(__xludf.DUMMYFUNCTION("""COMPUTED_VALUE"""),"JDM0D70,JAJ2E00")</f>
        <v>JDM0D70,JAJ2E00</v>
      </c>
      <c r="G5614" s="238">
        <f>IFERROR(__xludf.DUMMYFUNCTION("""COMPUTED_VALUE"""),46045.08333333333)</f>
        <v>46045.08333</v>
      </c>
      <c r="H5614" s="238">
        <f>IFERROR(__xludf.DUMMYFUNCTION("""COMPUTED_VALUE"""),46045.45833333333)</f>
        <v>46045.45833</v>
      </c>
      <c r="J5614" s="239">
        <v>538.9999999967404</v>
      </c>
    </row>
    <row r="5615">
      <c r="A5615" s="234"/>
      <c r="B5615" s="238" t="str">
        <f>IFERROR(__xludf.DUMMYFUNCTION("""COMPUTED_VALUE"""),"SoC_SC_Itajaí")</f>
        <v>SoC_SC_Itajaí</v>
      </c>
      <c r="C5615" s="238" t="str">
        <f>IFERROR(__xludf.DUMMYFUNCTION("""COMPUTED_VALUE"""),"SOC-SC1")</f>
        <v>SOC-SC1</v>
      </c>
      <c r="D5615" s="234">
        <f>IFERROR(__xludf.DUMMYFUNCTION("""COMPUTED_VALUE"""),100.0)</f>
        <v>100</v>
      </c>
      <c r="E5615" s="237" t="str">
        <f>IFERROR(__xludf.DUMMYFUNCTION("""COMPUTED_VALUE"""),"LT0Q1M01WXHP2")</f>
        <v>LT0Q1M01WXHP2</v>
      </c>
      <c r="F5615" s="238" t="str">
        <f>IFERROR(__xludf.DUMMYFUNCTION("""COMPUTED_VALUE"""),"RXL7H32,RYC4D76")</f>
        <v>RXL7H32,RYC4D76</v>
      </c>
      <c r="G5615" s="238">
        <f>IFERROR(__xludf.DUMMYFUNCTION("""COMPUTED_VALUE"""),46045.084027777775)</f>
        <v>46045.08403</v>
      </c>
      <c r="H5615" s="238">
        <f>IFERROR(__xludf.DUMMYFUNCTION("""COMPUTED_VALUE"""),46045.45833333333)</f>
        <v>46045.45833</v>
      </c>
      <c r="J5615" s="239">
        <v>538.9999999967404</v>
      </c>
    </row>
    <row r="5616">
      <c r="A5616" s="234"/>
      <c r="B5616" s="238" t="str">
        <f>IFERROR(__xludf.DUMMYFUNCTION("""COMPUTED_VALUE"""),"SoC_PE_Jaboatão dos Guararapes")</f>
        <v>SoC_PE_Jaboatão dos Guararapes</v>
      </c>
      <c r="C5616" s="238" t="str">
        <f>IFERROR(__xludf.DUMMYFUNCTION("""COMPUTED_VALUE"""),"SOC-PE2")</f>
        <v>SOC-PE2</v>
      </c>
      <c r="D5616" s="234">
        <f>IFERROR(__xludf.DUMMYFUNCTION("""COMPUTED_VALUE"""),98.0)</f>
        <v>98</v>
      </c>
      <c r="E5616" s="237" t="str">
        <f>IFERROR(__xludf.DUMMYFUNCTION("""COMPUTED_VALUE"""),"LT0Q1M01WYCT2")</f>
        <v>LT0Q1M01WYCT2</v>
      </c>
      <c r="F5616" s="238" t="str">
        <f>IFERROR(__xludf.DUMMYFUNCTION("""COMPUTED_VALUE"""),"KWU4353,HBN7957")</f>
        <v>KWU4353,HBN7957</v>
      </c>
      <c r="G5616" s="238">
        <f>IFERROR(__xludf.DUMMYFUNCTION("""COMPUTED_VALUE"""),46045.084027777775)</f>
        <v>46045.08403</v>
      </c>
      <c r="H5616" s="238">
        <f>IFERROR(__xludf.DUMMYFUNCTION("""COMPUTED_VALUE"""),46045.45833333333)</f>
        <v>46045.45833</v>
      </c>
      <c r="J5616" s="239">
        <v>538.9999999967404</v>
      </c>
    </row>
    <row r="5617">
      <c r="A5617" s="234"/>
      <c r="B5617" s="238" t="str">
        <f>IFERROR(__xludf.DUMMYFUNCTION("""COMPUTED_VALUE"""),"SoC_PE_Jaboatão dos Guararapes")</f>
        <v>SoC_PE_Jaboatão dos Guararapes</v>
      </c>
      <c r="C5617" s="238" t="str">
        <f>IFERROR(__xludf.DUMMYFUNCTION("""COMPUTED_VALUE"""),"SOC-PE2")</f>
        <v>SOC-PE2</v>
      </c>
      <c r="D5617" s="234">
        <f>IFERROR(__xludf.DUMMYFUNCTION("""COMPUTED_VALUE"""),99.0)</f>
        <v>99</v>
      </c>
      <c r="E5617" s="237" t="str">
        <f>IFERROR(__xludf.DUMMYFUNCTION("""COMPUTED_VALUE"""),"LT0Q1M01WYCV3")</f>
        <v>LT0Q1M01WYCV3</v>
      </c>
      <c r="F5617" s="238" t="str">
        <f>IFERROR(__xludf.DUMMYFUNCTION("""COMPUTED_VALUE"""),"EWJ3E39,FJP5G25")</f>
        <v>EWJ3E39,FJP5G25</v>
      </c>
      <c r="G5617" s="238">
        <f>IFERROR(__xludf.DUMMYFUNCTION("""COMPUTED_VALUE"""),46045.084027777775)</f>
        <v>46045.08403</v>
      </c>
      <c r="H5617" s="238">
        <f>IFERROR(__xludf.DUMMYFUNCTION("""COMPUTED_VALUE"""),46045.45833333333)</f>
        <v>46045.45833</v>
      </c>
      <c r="J5617" s="239">
        <v>536.9999999902211</v>
      </c>
    </row>
    <row r="5618">
      <c r="A5618" s="234"/>
      <c r="B5618" s="238" t="str">
        <f>IFERROR(__xludf.DUMMYFUNCTION("""COMPUTED_VALUE"""),"SoC_MG_Betim")</f>
        <v>SoC_MG_Betim</v>
      </c>
      <c r="C5618" s="238" t="str">
        <f>IFERROR(__xludf.DUMMYFUNCTION("""COMPUTED_VALUE"""),"SOC-MG2")</f>
        <v>SOC-MG2</v>
      </c>
      <c r="D5618" s="234">
        <f>IFERROR(__xludf.DUMMYFUNCTION("""COMPUTED_VALUE"""),90.0)</f>
        <v>90</v>
      </c>
      <c r="E5618" s="237" t="str">
        <f>IFERROR(__xludf.DUMMYFUNCTION("""COMPUTED_VALUE"""),"LT0Q1M01WT8P1")</f>
        <v>LT0Q1M01WT8P1</v>
      </c>
      <c r="F5618" s="238" t="str">
        <f>IFERROR(__xludf.DUMMYFUNCTION("""COMPUTED_VALUE"""),"EZZ2C04,TJK4H86")</f>
        <v>EZZ2C04,TJK4H86</v>
      </c>
      <c r="G5618" s="238">
        <f>IFERROR(__xludf.DUMMYFUNCTION("""COMPUTED_VALUE"""),46045.08541666667)</f>
        <v>46045.08542</v>
      </c>
      <c r="H5618" s="238">
        <f>IFERROR(__xludf.DUMMYFUNCTION("""COMPUTED_VALUE"""),46045.45833333333)</f>
        <v>46045.45833</v>
      </c>
      <c r="J5618" s="239">
        <v>536.9999999902211</v>
      </c>
    </row>
    <row r="5619">
      <c r="A5619" s="234"/>
      <c r="B5619" s="238" t="str">
        <f>IFERROR(__xludf.DUMMYFUNCTION("""COMPUTED_VALUE"""),"SoC_MG_Betim")</f>
        <v>SoC_MG_Betim</v>
      </c>
      <c r="C5619" s="238" t="str">
        <f>IFERROR(__xludf.DUMMYFUNCTION("""COMPUTED_VALUE"""),"SOC-MG2")</f>
        <v>SOC-MG2</v>
      </c>
      <c r="D5619" s="234">
        <f>IFERROR(__xludf.DUMMYFUNCTION("""COMPUTED_VALUE"""),91.0)</f>
        <v>91</v>
      </c>
      <c r="E5619" s="237" t="str">
        <f>IFERROR(__xludf.DUMMYFUNCTION("""COMPUTED_VALUE"""),"LT0Q1M01WT8T3")</f>
        <v>LT0Q1M01WT8T3</v>
      </c>
      <c r="F5619" s="238" t="str">
        <f>IFERROR(__xludf.DUMMYFUNCTION("""COMPUTED_VALUE"""),"FGU5I81,JXA7D06")</f>
        <v>FGU5I81,JXA7D06</v>
      </c>
      <c r="G5619" s="238">
        <f>IFERROR(__xludf.DUMMYFUNCTION("""COMPUTED_VALUE"""),46045.08541666667)</f>
        <v>46045.08542</v>
      </c>
      <c r="H5619" s="238">
        <f>IFERROR(__xludf.DUMMYFUNCTION("""COMPUTED_VALUE"""),46045.45833333333)</f>
        <v>46045.45833</v>
      </c>
      <c r="J5619" s="239">
        <v>535.9999999869615</v>
      </c>
    </row>
    <row r="5620">
      <c r="A5620" s="234"/>
      <c r="B5620" s="238" t="str">
        <f>IFERROR(__xludf.DUMMYFUNCTION("""COMPUTED_VALUE"""),"SoC_SP_Cravinhos")</f>
        <v>SoC_SP_Cravinhos</v>
      </c>
      <c r="C5620" s="238" t="str">
        <f>IFERROR(__xludf.DUMMYFUNCTION("""COMPUTED_VALUE"""),"SOC-SP5")</f>
        <v>SOC-SP5</v>
      </c>
      <c r="D5620" s="234">
        <f>IFERROR(__xludf.DUMMYFUNCTION("""COMPUTED_VALUE"""),94.0)</f>
        <v>94</v>
      </c>
      <c r="E5620" s="237" t="str">
        <f>IFERROR(__xludf.DUMMYFUNCTION("""COMPUTED_VALUE"""),"LT0Q1M01WTAW1")</f>
        <v>LT0Q1M01WTAW1</v>
      </c>
      <c r="F5620" s="238" t="str">
        <f>IFERROR(__xludf.DUMMYFUNCTION("""COMPUTED_VALUE"""),"UGJ0F16,UDJ0C51")</f>
        <v>UGJ0F16,UDJ0C51</v>
      </c>
      <c r="G5620" s="238">
        <f>IFERROR(__xludf.DUMMYFUNCTION("""COMPUTED_VALUE"""),46045.086111111115)</f>
        <v>46045.08611</v>
      </c>
      <c r="H5620" s="238">
        <f>IFERROR(__xludf.DUMMYFUNCTION("""COMPUTED_VALUE"""),46045.45833333333)</f>
        <v>46045.45833</v>
      </c>
      <c r="J5620" s="239">
        <v>535.9999999869615</v>
      </c>
    </row>
    <row r="5621">
      <c r="A5621" s="234"/>
      <c r="B5621" s="238" t="str">
        <f>IFERROR(__xludf.DUMMYFUNCTION("""COMPUTED_VALUE"""),"SoC_SP_Cravinhos")</f>
        <v>SoC_SP_Cravinhos</v>
      </c>
      <c r="C5621" s="238" t="str">
        <f>IFERROR(__xludf.DUMMYFUNCTION("""COMPUTED_VALUE"""),"SOC-SP5")</f>
        <v>SOC-SP5</v>
      </c>
      <c r="D5621" s="234">
        <f>IFERROR(__xludf.DUMMYFUNCTION("""COMPUTED_VALUE"""),95.0)</f>
        <v>95</v>
      </c>
      <c r="E5621" s="237" t="str">
        <f>IFERROR(__xludf.DUMMYFUNCTION("""COMPUTED_VALUE"""),"LT0Q1M01WTAY2")</f>
        <v>LT0Q1M01WTAY2</v>
      </c>
      <c r="F5621" s="238" t="str">
        <f>IFERROR(__xludf.DUMMYFUNCTION("""COMPUTED_VALUE"""),"EJX4H77,DTA3D64")</f>
        <v>EJX4H77,DTA3D64</v>
      </c>
      <c r="G5621" s="238">
        <f>IFERROR(__xludf.DUMMYFUNCTION("""COMPUTED_VALUE"""),46045.086111111115)</f>
        <v>46045.08611</v>
      </c>
      <c r="H5621" s="238">
        <f>IFERROR(__xludf.DUMMYFUNCTION("""COMPUTED_VALUE"""),46045.45833333333)</f>
        <v>46045.45833</v>
      </c>
      <c r="J5621" s="239">
        <v>535.9999999869615</v>
      </c>
    </row>
    <row r="5622">
      <c r="A5622" s="234"/>
      <c r="B5622" s="238" t="str">
        <f>IFERROR(__xludf.DUMMYFUNCTION("""COMPUTED_VALUE"""),"SoC_SP_Cravinhos")</f>
        <v>SoC_SP_Cravinhos</v>
      </c>
      <c r="C5622" s="238" t="str">
        <f>IFERROR(__xludf.DUMMYFUNCTION("""COMPUTED_VALUE"""),"SOC-SP5")</f>
        <v>SOC-SP5</v>
      </c>
      <c r="D5622" s="234">
        <f>IFERROR(__xludf.DUMMYFUNCTION("""COMPUTED_VALUE"""),44.0)</f>
        <v>44</v>
      </c>
      <c r="E5622" s="237" t="str">
        <f>IFERROR(__xludf.DUMMYFUNCTION("""COMPUTED_VALUE"""),"LT0Q1M01WTB03")</f>
        <v>LT0Q1M01WTB03</v>
      </c>
      <c r="F5622" s="238" t="str">
        <f>IFERROR(__xludf.DUMMYFUNCTION("""COMPUTED_VALUE"""),"UDR9D90,GFK1D06")</f>
        <v>UDR9D90,GFK1D06</v>
      </c>
      <c r="G5622" s="238">
        <f>IFERROR(__xludf.DUMMYFUNCTION("""COMPUTED_VALUE"""),46045.086111111115)</f>
        <v>46045.08611</v>
      </c>
      <c r="H5622" s="238">
        <f>IFERROR(__xludf.DUMMYFUNCTION("""COMPUTED_VALUE"""),46045.45833333333)</f>
        <v>46045.45833</v>
      </c>
      <c r="J5622" s="239">
        <v>119.99999999301508</v>
      </c>
    </row>
    <row r="5623">
      <c r="A5623" s="234"/>
      <c r="B5623" s="238" t="str">
        <f>IFERROR(__xludf.DUMMYFUNCTION("""COMPUTED_VALUE"""),"SoC_RJ_Duque de Caxias")</f>
        <v>SoC_RJ_Duque de Caxias</v>
      </c>
      <c r="C5623" s="238" t="str">
        <f>IFERROR(__xludf.DUMMYFUNCTION("""COMPUTED_VALUE"""),"SOC-RJ2")</f>
        <v>SOC-RJ2</v>
      </c>
      <c r="D5623" s="234"/>
      <c r="E5623" s="237" t="str">
        <f>IFERROR(__xludf.DUMMYFUNCTION("""COMPUTED_VALUE"""),"LT1Q1M01X99V1")</f>
        <v>LT1Q1M01X99V1</v>
      </c>
      <c r="F5623" s="238" t="str">
        <f>IFERROR(__xludf.DUMMYFUNCTION("""COMPUTED_VALUE"""),"OVB9B40,EFW2H14")</f>
        <v>OVB9B40,EFW2H14</v>
      </c>
      <c r="G5623" s="238">
        <f>IFERROR(__xludf.DUMMYFUNCTION("""COMPUTED_VALUE"""),46044.91666666667)</f>
        <v>46044.91667</v>
      </c>
      <c r="H5623" s="238">
        <f>IFERROR(__xludf.DUMMYFUNCTION("""COMPUTED_VALUE"""),46045.0)</f>
        <v>46045</v>
      </c>
      <c r="J5623" s="239">
        <v>540.0</v>
      </c>
    </row>
    <row r="5624">
      <c r="A5624" s="234"/>
      <c r="B5624" s="238" t="str">
        <f>IFERROR(__xludf.DUMMYFUNCTION("""COMPUTED_VALUE"""),"SoC_RS_Gravataí_02")</f>
        <v>SoC_RS_Gravataí_02</v>
      </c>
      <c r="C5624" s="238" t="str">
        <f>IFERROR(__xludf.DUMMYFUNCTION("""COMPUTED_VALUE"""),"SOC-RS2")</f>
        <v>SOC-RS2</v>
      </c>
      <c r="D5624" s="234"/>
      <c r="E5624" s="237" t="str">
        <f>IFERROR(__xludf.DUMMYFUNCTION("""COMPUTED_VALUE"""),"LT0Q1M01WYT41")</f>
        <v>LT0Q1M01WYT41</v>
      </c>
      <c r="F5624" s="238" t="str">
        <f>IFERROR(__xludf.DUMMYFUNCTION("""COMPUTED_VALUE"""),"IRC0D40,IXC1I09")</f>
        <v>IRC0D40,IXC1I09</v>
      </c>
      <c r="G5624" s="238">
        <f>IFERROR(__xludf.DUMMYFUNCTION("""COMPUTED_VALUE"""),46044.91666666667)</f>
        <v>46044.91667</v>
      </c>
      <c r="H5624" s="238">
        <f>IFERROR(__xludf.DUMMYFUNCTION("""COMPUTED_VALUE"""),46045.29166666667)</f>
        <v>46045.29167</v>
      </c>
      <c r="J5624" s="239">
        <v>596.0000000044238</v>
      </c>
    </row>
    <row r="5625">
      <c r="A5625" s="234"/>
      <c r="B5625" s="238" t="str">
        <f>IFERROR(__xludf.DUMMYFUNCTION("""COMPUTED_VALUE"""),"SoC_SP_Cravinhos")</f>
        <v>SoC_SP_Cravinhos</v>
      </c>
      <c r="C5625" s="238" t="str">
        <f>IFERROR(__xludf.DUMMYFUNCTION("""COMPUTED_VALUE"""),"SOC-SP5")</f>
        <v>SOC-SP5</v>
      </c>
      <c r="D5625" s="234" t="str">
        <f>IFERROR(__xludf.DUMMYFUNCTION("""COMPUTED_VALUE"""),"112/43")</f>
        <v>112/43</v>
      </c>
      <c r="E5625" s="237" t="str">
        <f>IFERROR(__xludf.DUMMYFUNCTION("""COMPUTED_VALUE"""),"LT0Q1N01WTA01")</f>
        <v>LT0Q1N01WTA01</v>
      </c>
      <c r="F5625" s="238" t="str">
        <f>IFERROR(__xludf.DUMMYFUNCTION("""COMPUTED_VALUE"""),"EWJ6G98,JUT7E57")</f>
        <v>EWJ6G98,JUT7E57</v>
      </c>
      <c r="G5625" s="238">
        <f>IFERROR(__xludf.DUMMYFUNCTION("""COMPUTED_VALUE"""),46045.25277777778)</f>
        <v>46045.25278</v>
      </c>
      <c r="H5625" s="238">
        <f>IFERROR(__xludf.DUMMYFUNCTION("""COMPUTED_VALUE"""),46045.66666666667)</f>
        <v>46045.66667</v>
      </c>
      <c r="J5625" s="239">
        <v>597.0000000076834</v>
      </c>
    </row>
    <row r="5626">
      <c r="A5626" s="234"/>
      <c r="B5626" s="238" t="str">
        <f>IFERROR(__xludf.DUMMYFUNCTION("""COMPUTED_VALUE"""),"SoC_RJ_Duque de Caxias")</f>
        <v>SoC_RJ_Duque de Caxias</v>
      </c>
      <c r="C5626" s="238" t="str">
        <f>IFERROR(__xludf.DUMMYFUNCTION("""COMPUTED_VALUE"""),"SOC-RJ2")</f>
        <v>SOC-RJ2</v>
      </c>
      <c r="D5626" s="234">
        <f>IFERROR(__xludf.DUMMYFUNCTION("""COMPUTED_VALUE"""),96.0)</f>
        <v>96</v>
      </c>
      <c r="E5626" s="237" t="str">
        <f>IFERROR(__xludf.DUMMYFUNCTION("""COMPUTED_VALUE"""),"LT0Q1N01X2Z81")</f>
        <v>LT0Q1N01X2Z81</v>
      </c>
      <c r="F5626" s="238" t="str">
        <f>IFERROR(__xludf.DUMMYFUNCTION("""COMPUTED_VALUE"""),"LQN5F62,EKH8067")</f>
        <v>LQN5F62,EKH8067</v>
      </c>
      <c r="G5626" s="238">
        <f>IFERROR(__xludf.DUMMYFUNCTION("""COMPUTED_VALUE"""),46045.25208333333)</f>
        <v>46045.25208</v>
      </c>
      <c r="H5626" s="238">
        <f>IFERROR(__xludf.DUMMYFUNCTION("""COMPUTED_VALUE"""),46045.66666666667)</f>
        <v>46045.66667</v>
      </c>
      <c r="J5626" s="239">
        <v>596.0000000044238</v>
      </c>
    </row>
    <row r="5627">
      <c r="A5627" s="234"/>
      <c r="B5627" s="238" t="str">
        <f>IFERROR(__xludf.DUMMYFUNCTION("""COMPUTED_VALUE"""),"SoC_MG_Betim")</f>
        <v>SoC_MG_Betim</v>
      </c>
      <c r="C5627" s="238" t="str">
        <f>IFERROR(__xludf.DUMMYFUNCTION("""COMPUTED_VALUE"""),"SOC-MG2")</f>
        <v>SOC-MG2</v>
      </c>
      <c r="D5627" s="234">
        <f>IFERROR(__xludf.DUMMYFUNCTION("""COMPUTED_VALUE"""),90.0)</f>
        <v>90</v>
      </c>
      <c r="E5627" s="237" t="str">
        <f>IFERROR(__xludf.DUMMYFUNCTION("""COMPUTED_VALUE"""),"LT0Q1N01WT7L2")</f>
        <v>LT0Q1N01WT7L2</v>
      </c>
      <c r="F5627" s="238" t="str">
        <f>IFERROR(__xludf.DUMMYFUNCTION("""COMPUTED_VALUE"""),"CUT9D89,TBC8A47")</f>
        <v>CUT9D89,TBC8A47</v>
      </c>
      <c r="G5627" s="238">
        <f>IFERROR(__xludf.DUMMYFUNCTION("""COMPUTED_VALUE"""),46045.25277777778)</f>
        <v>46045.25278</v>
      </c>
      <c r="H5627" s="238">
        <f>IFERROR(__xludf.DUMMYFUNCTION("""COMPUTED_VALUE"""),46045.66666666667)</f>
        <v>46045.66667</v>
      </c>
      <c r="J5627" s="239">
        <v>119.00000001071021</v>
      </c>
    </row>
    <row r="5628">
      <c r="A5628" s="234"/>
      <c r="B5628" s="238" t="str">
        <f>IFERROR(__xludf.DUMMYFUNCTION("""COMPUTED_VALUE"""),"LM Hub_SP_Itaqua_Zimba")</f>
        <v>LM Hub_SP_Itaqua_Zimba</v>
      </c>
      <c r="C5628" s="238" t="str">
        <f>IFERROR(__xludf.DUMMYFUNCTION("""COMPUTED_VALUE"""),"HUB-LSP-74")</f>
        <v>HUB-LSP-74</v>
      </c>
      <c r="D5628" s="234"/>
      <c r="E5628" s="237" t="str">
        <f>IFERROR(__xludf.DUMMYFUNCTION("""COMPUTED_VALUE"""),"LT0Q1M01X2N11")</f>
        <v>LT0Q1M01X2N11</v>
      </c>
      <c r="F5628" s="234"/>
      <c r="G5628" s="238">
        <f>IFERROR(__xludf.DUMMYFUNCTION("""COMPUTED_VALUE"""),46044.896527777775)</f>
        <v>46044.89653</v>
      </c>
      <c r="H5628" s="238">
        <f>IFERROR(__xludf.DUMMYFUNCTION("""COMPUTED_VALUE"""),46044.97916666667)</f>
        <v>46044.97917</v>
      </c>
      <c r="J5628" s="239">
        <v>596.0000000044238</v>
      </c>
    </row>
    <row r="5629">
      <c r="A5629" s="234"/>
      <c r="B5629" s="238" t="str">
        <f>IFERROR(__xludf.DUMMYFUNCTION("""COMPUTED_VALUE"""),"SoC_SP_Cravinhos")</f>
        <v>SoC_SP_Cravinhos</v>
      </c>
      <c r="C5629" s="238" t="str">
        <f>IFERROR(__xludf.DUMMYFUNCTION("""COMPUTED_VALUE"""),"SOC-SP5")</f>
        <v>SOC-SP5</v>
      </c>
      <c r="D5629" s="234">
        <f>IFERROR(__xludf.DUMMYFUNCTION("""COMPUTED_VALUE"""),94.0)</f>
        <v>94</v>
      </c>
      <c r="E5629" s="237" t="str">
        <f>IFERROR(__xludf.DUMMYFUNCTION("""COMPUTED_VALUE"""),"LT0Q1N01WTA43")</f>
        <v>LT0Q1N01WTA43</v>
      </c>
      <c r="F5629" s="238" t="str">
        <f>IFERROR(__xludf.DUMMYFUNCTION("""COMPUTED_VALUE"""),"FEK3A22,EWJ2318")</f>
        <v>FEK3A22,EWJ2318</v>
      </c>
      <c r="G5629" s="238">
        <f>IFERROR(__xludf.DUMMYFUNCTION("""COMPUTED_VALUE"""),46045.25277777778)</f>
        <v>46045.25278</v>
      </c>
      <c r="H5629" s="238">
        <f>IFERROR(__xludf.DUMMYFUNCTION("""COMPUTED_VALUE"""),46045.66666666667)</f>
        <v>46045.66667</v>
      </c>
      <c r="J5629" s="239">
        <v>597.0000000076834</v>
      </c>
    </row>
    <row r="5630">
      <c r="A5630" s="234"/>
      <c r="B5630" s="238" t="str">
        <f>IFERROR(__xludf.DUMMYFUNCTION("""COMPUTED_VALUE"""),"SoC_RJ_Duque de Caxias")</f>
        <v>SoC_RJ_Duque de Caxias</v>
      </c>
      <c r="C5630" s="238" t="str">
        <f>IFERROR(__xludf.DUMMYFUNCTION("""COMPUTED_VALUE"""),"SOC-RJ2")</f>
        <v>SOC-RJ2</v>
      </c>
      <c r="D5630" s="234">
        <f>IFERROR(__xludf.DUMMYFUNCTION("""COMPUTED_VALUE"""),96.0)</f>
        <v>96</v>
      </c>
      <c r="E5630" s="237" t="str">
        <f>IFERROR(__xludf.DUMMYFUNCTION("""COMPUTED_VALUE"""),"LT0Q1N01X2ZA2")</f>
        <v>LT0Q1N01X2ZA2</v>
      </c>
      <c r="F5630" s="238" t="str">
        <f>IFERROR(__xludf.DUMMYFUNCTION("""COMPUTED_VALUE"""),"DPB7D62,FTF5A60")</f>
        <v>DPB7D62,FTF5A60</v>
      </c>
      <c r="G5630" s="238">
        <f>IFERROR(__xludf.DUMMYFUNCTION("""COMPUTED_VALUE"""),46045.25208333333)</f>
        <v>46045.25208</v>
      </c>
      <c r="H5630" s="238">
        <f>IFERROR(__xludf.DUMMYFUNCTION("""COMPUTED_VALUE"""),46045.66666666667)</f>
        <v>46045.66667</v>
      </c>
      <c r="J5630" s="239">
        <v>598.9999999932479</v>
      </c>
    </row>
    <row r="5631">
      <c r="A5631" s="234"/>
      <c r="B5631" s="238" t="str">
        <f>IFERROR(__xludf.DUMMYFUNCTION("""COMPUTED_VALUE"""),"SoC_RS_Gravataí_02")</f>
        <v>SoC_RS_Gravataí_02</v>
      </c>
      <c r="C5631" s="238" t="str">
        <f>IFERROR(__xludf.DUMMYFUNCTION("""COMPUTED_VALUE"""),"SOC-RS2")</f>
        <v>SOC-RS2</v>
      </c>
      <c r="D5631" s="234">
        <f>IFERROR(__xludf.DUMMYFUNCTION("""COMPUTED_VALUE"""),93.0)</f>
        <v>93</v>
      </c>
      <c r="E5631" s="237" t="str">
        <f>IFERROR(__xludf.DUMMYFUNCTION("""COMPUTED_VALUE"""),"LT0Q1N01WYSQ2")</f>
        <v>LT0Q1N01WYSQ2</v>
      </c>
      <c r="F5631" s="238" t="str">
        <f>IFERROR(__xludf.DUMMYFUNCTION("""COMPUTED_VALUE"""),"IZH9D33,JCO2G16")</f>
        <v>IZH9D33,JCO2G16</v>
      </c>
      <c r="G5631" s="238">
        <f>IFERROR(__xludf.DUMMYFUNCTION("""COMPUTED_VALUE"""),46045.41736111111)</f>
        <v>46045.41736</v>
      </c>
      <c r="H5631" s="238">
        <f>IFERROR(__xludf.DUMMYFUNCTION("""COMPUTED_VALUE"""),46045.83333333333)</f>
        <v>46045.83333</v>
      </c>
      <c r="J5631" s="239">
        <v>540.0</v>
      </c>
    </row>
    <row r="5632">
      <c r="A5632" s="234"/>
      <c r="B5632" s="238" t="str">
        <f>IFERROR(__xludf.DUMMYFUNCTION("""COMPUTED_VALUE"""),"SoC_RS_Gravataí_02")</f>
        <v>SoC_RS_Gravataí_02</v>
      </c>
      <c r="C5632" s="238" t="str">
        <f>IFERROR(__xludf.DUMMYFUNCTION("""COMPUTED_VALUE"""),"SOC-RS2")</f>
        <v>SOC-RS2</v>
      </c>
      <c r="D5632" s="234">
        <f>IFERROR(__xludf.DUMMYFUNCTION("""COMPUTED_VALUE"""),92.0)</f>
        <v>92</v>
      </c>
      <c r="E5632" s="237" t="str">
        <f>IFERROR(__xludf.DUMMYFUNCTION("""COMPUTED_VALUE"""),"LT0Q1N01WYSV1")</f>
        <v>LT0Q1N01WYSV1</v>
      </c>
      <c r="F5632" s="238" t="str">
        <f>IFERROR(__xludf.DUMMYFUNCTION("""COMPUTED_VALUE"""),"JDL3H70,JAL5G84")</f>
        <v>JDL3H70,JAL5G84</v>
      </c>
      <c r="G5632" s="238">
        <f>IFERROR(__xludf.DUMMYFUNCTION("""COMPUTED_VALUE"""),46045.58333333333)</f>
        <v>46045.58333</v>
      </c>
      <c r="H5632" s="238">
        <f>IFERROR(__xludf.DUMMYFUNCTION("""COMPUTED_VALUE"""),46045.95833333333)</f>
        <v>46045.95833</v>
      </c>
      <c r="J5632" s="239">
        <v>538.9999999967404</v>
      </c>
    </row>
    <row r="5633">
      <c r="A5633" s="234"/>
      <c r="B5633" s="238" t="str">
        <f>IFERROR(__xludf.DUMMYFUNCTION("""COMPUTED_VALUE"""),"SoC_GO_Goiânia_02")</f>
        <v>SoC_GO_Goiânia_02</v>
      </c>
      <c r="C5633" s="238" t="str">
        <f>IFERROR(__xludf.DUMMYFUNCTION("""COMPUTED_VALUE"""),"SOC-GO2")</f>
        <v>SOC-GO2</v>
      </c>
      <c r="D5633" s="234">
        <f>IFERROR(__xludf.DUMMYFUNCTION("""COMPUTED_VALUE"""),87.0)</f>
        <v>87</v>
      </c>
      <c r="E5633" s="237" t="str">
        <f>IFERROR(__xludf.DUMMYFUNCTION("""COMPUTED_VALUE"""),"LT0Q1N01WYQW1")</f>
        <v>LT0Q1N01WYQW1</v>
      </c>
      <c r="F5633" s="238" t="str">
        <f>IFERROR(__xludf.DUMMYFUNCTION("""COMPUTED_VALUE"""),"JCF5A77,TQU7B69")</f>
        <v>JCF5A77,TQU7B69</v>
      </c>
      <c r="G5633" s="238">
        <f>IFERROR(__xludf.DUMMYFUNCTION("""COMPUTED_VALUE"""),46045.584027777775)</f>
        <v>46045.58403</v>
      </c>
      <c r="H5633" s="238">
        <f>IFERROR(__xludf.DUMMYFUNCTION("""COMPUTED_VALUE"""),46045.95833333333)</f>
        <v>46045.95833</v>
      </c>
      <c r="J5633" s="239">
        <v>537.9999999934807</v>
      </c>
    </row>
    <row r="5634">
      <c r="A5634" s="234"/>
      <c r="B5634" s="238" t="str">
        <f>IFERROR(__xludf.DUMMYFUNCTION("""COMPUTED_VALUE"""),"SoC_PE_Jaboatão dos Guararapes")</f>
        <v>SoC_PE_Jaboatão dos Guararapes</v>
      </c>
      <c r="C5634" s="238" t="str">
        <f>IFERROR(__xludf.DUMMYFUNCTION("""COMPUTED_VALUE"""),"SOC-PE2")</f>
        <v>SOC-PE2</v>
      </c>
      <c r="D5634" s="234">
        <f>IFERROR(__xludf.DUMMYFUNCTION("""COMPUTED_VALUE"""),98.0)</f>
        <v>98</v>
      </c>
      <c r="E5634" s="237" t="str">
        <f>IFERROR(__xludf.DUMMYFUNCTION("""COMPUTED_VALUE"""),"LT0Q1N01WYCD1")</f>
        <v>LT0Q1N01WYCD1</v>
      </c>
      <c r="F5634" s="238" t="str">
        <f>IFERROR(__xludf.DUMMYFUNCTION("""COMPUTED_VALUE"""),"EZU2C14,PJG5C60")</f>
        <v>EZU2C14,PJG5C60</v>
      </c>
      <c r="G5634" s="238">
        <f>IFERROR(__xludf.DUMMYFUNCTION("""COMPUTED_VALUE"""),46045.58472222222)</f>
        <v>46045.58472</v>
      </c>
      <c r="H5634" s="238">
        <f>IFERROR(__xludf.DUMMYFUNCTION("""COMPUTED_VALUE"""),46045.95833333333)</f>
        <v>46045.95833</v>
      </c>
      <c r="J5634" s="239">
        <v>119.99999999301508</v>
      </c>
    </row>
    <row r="5635">
      <c r="A5635" s="234"/>
      <c r="B5635" s="238" t="str">
        <f>IFERROR(__xludf.DUMMYFUNCTION("""COMPUTED_VALUE"""),"LM Hub_SP_Embu das Artes")</f>
        <v>LM Hub_SP_Embu das Artes</v>
      </c>
      <c r="C5635" s="238" t="str">
        <f>IFERROR(__xludf.DUMMYFUNCTION("""COMPUTED_VALUE"""),"HUB-LSP-36")</f>
        <v>HUB-LSP-36</v>
      </c>
      <c r="D5635" s="234">
        <f>IFERROR(__xludf.DUMMYFUNCTION("""COMPUTED_VALUE"""),15.0)</f>
        <v>15</v>
      </c>
      <c r="E5635" s="237" t="str">
        <f>IFERROR(__xludf.DUMMYFUNCTION("""COMPUTED_VALUE"""),"LT0Q1N01WTDQ1")</f>
        <v>LT0Q1N01WTDQ1</v>
      </c>
      <c r="F5635" s="238" t="str">
        <f>IFERROR(__xludf.DUMMYFUNCTION("""COMPUTED_VALUE"""),"DEU2G29,FAM6D41")</f>
        <v>DEU2G29,FAM6D41</v>
      </c>
      <c r="G5635" s="238">
        <f>IFERROR(__xludf.DUMMYFUNCTION("""COMPUTED_VALUE"""),46045.875)</f>
        <v>46045.875</v>
      </c>
      <c r="H5635" s="238">
        <f>IFERROR(__xludf.DUMMYFUNCTION("""COMPUTED_VALUE"""),46045.95833333333)</f>
        <v>46045.95833</v>
      </c>
      <c r="J5635" s="239">
        <v>120.00000001396984</v>
      </c>
    </row>
    <row r="5636">
      <c r="A5636" s="234"/>
      <c r="B5636" s="238" t="str">
        <f>IFERROR(__xludf.DUMMYFUNCTION("""COMPUTED_VALUE"""),"LM Hub_SP_Jurubatuba")</f>
        <v>LM Hub_SP_Jurubatuba</v>
      </c>
      <c r="C5636" s="238" t="str">
        <f>IFERROR(__xludf.DUMMYFUNCTION("""COMPUTED_VALUE"""),"HUB-LSP-16")</f>
        <v>HUB-LSP-16</v>
      </c>
      <c r="D5636" s="234"/>
      <c r="E5636" s="237" t="str">
        <f>IFERROR(__xludf.DUMMYFUNCTION("""COMPUTED_VALUE"""),"LT0Q1N01WTD41")</f>
        <v>LT0Q1N01WTD41</v>
      </c>
      <c r="F5636" s="238" t="str">
        <f>IFERROR(__xludf.DUMMYFUNCTION("""COMPUTED_VALUE"""),"DPE9F80,CUG9G47")</f>
        <v>DPE9F80,CUG9G47</v>
      </c>
      <c r="G5636" s="238">
        <f>IFERROR(__xludf.DUMMYFUNCTION("""COMPUTED_VALUE"""),46045.89583333333)</f>
        <v>46045.89583</v>
      </c>
      <c r="H5636" s="238">
        <f>IFERROR(__xludf.DUMMYFUNCTION("""COMPUTED_VALUE"""),46045.97916666667)</f>
        <v>46045.97917</v>
      </c>
      <c r="J5636" s="239">
        <v>120.00000001396984</v>
      </c>
    </row>
    <row r="5637">
      <c r="A5637" s="234"/>
      <c r="B5637" s="238" t="str">
        <f>IFERROR(__xludf.DUMMYFUNCTION("""COMPUTED_VALUE"""),"LM Hub_SP_Santos_Praia Grande")</f>
        <v>LM Hub_SP_Santos_Praia Grande</v>
      </c>
      <c r="C5637" s="238" t="str">
        <f>IFERROR(__xludf.DUMMYFUNCTION("""COMPUTED_VALUE"""),"HUB-LSP-09")</f>
        <v>HUB-LSP-09</v>
      </c>
      <c r="D5637" s="234">
        <f>IFERROR(__xludf.DUMMYFUNCTION("""COMPUTED_VALUE"""),34.0)</f>
        <v>34</v>
      </c>
      <c r="E5637" s="237" t="str">
        <f>IFERROR(__xludf.DUMMYFUNCTION("""COMPUTED_VALUE"""),"LT0Q1N01WTGI1")</f>
        <v>LT0Q1N01WTGI1</v>
      </c>
      <c r="F5637" s="238" t="str">
        <f>IFERROR(__xludf.DUMMYFUNCTION("""COMPUTED_VALUE"""),"TPV1I59,TPU0B29")</f>
        <v>TPV1I59,TPU0B29</v>
      </c>
      <c r="G5637" s="238">
        <f>IFERROR(__xludf.DUMMYFUNCTION("""COMPUTED_VALUE"""),46045.89583333333)</f>
        <v>46045.89583</v>
      </c>
      <c r="H5637" s="238">
        <f>IFERROR(__xludf.DUMMYFUNCTION("""COMPUTED_VALUE"""),46045.97916666667)</f>
        <v>46045.97917</v>
      </c>
      <c r="J5637" s="239">
        <v>120.00000001396984</v>
      </c>
    </row>
    <row r="5638">
      <c r="A5638" s="234"/>
      <c r="B5638" s="238" t="str">
        <f>IFERROR(__xludf.DUMMYFUNCTION("""COMPUTED_VALUE"""),"LM Hub_SP_São José dos Campos")</f>
        <v>LM Hub_SP_São José dos Campos</v>
      </c>
      <c r="C5638" s="238" t="str">
        <f>IFERROR(__xludf.DUMMYFUNCTION("""COMPUTED_VALUE"""),"HUB-LSP-04")</f>
        <v>HUB-LSP-04</v>
      </c>
      <c r="D5638" s="234">
        <f>IFERROR(__xludf.DUMMYFUNCTION("""COMPUTED_VALUE"""),29.0)</f>
        <v>29</v>
      </c>
      <c r="E5638" s="237" t="str">
        <f>IFERROR(__xludf.DUMMYFUNCTION("""COMPUTED_VALUE"""),"LT0Q1N01X2NR1")</f>
        <v>LT0Q1N01X2NR1</v>
      </c>
      <c r="F5638" s="238" t="str">
        <f>IFERROR(__xludf.DUMMYFUNCTION("""COMPUTED_VALUE"""),"UDY3C40")</f>
        <v>UDY3C40</v>
      </c>
      <c r="G5638" s="238">
        <f>IFERROR(__xludf.DUMMYFUNCTION("""COMPUTED_VALUE"""),46045.89583333333)</f>
        <v>46045.89583</v>
      </c>
      <c r="H5638" s="238">
        <f>IFERROR(__xludf.DUMMYFUNCTION("""COMPUTED_VALUE"""),46045.97916666667)</f>
        <v>46045.97917</v>
      </c>
      <c r="J5638" s="239">
        <v>120.00000001396984</v>
      </c>
    </row>
    <row r="5639">
      <c r="A5639" s="234"/>
      <c r="B5639" s="238" t="str">
        <f>IFERROR(__xludf.DUMMYFUNCTION("""COMPUTED_VALUE"""),"LM Hub_SP_São Paulo_Lapa")</f>
        <v>LM Hub_SP_São Paulo_Lapa</v>
      </c>
      <c r="C5639" s="238" t="str">
        <f>IFERROR(__xludf.DUMMYFUNCTION("""COMPUTED_VALUE"""),"HUB-LSP-15")</f>
        <v>HUB-LSP-15</v>
      </c>
      <c r="D5639" s="234">
        <f>IFERROR(__xludf.DUMMYFUNCTION("""COMPUTED_VALUE"""),27.0)</f>
        <v>27</v>
      </c>
      <c r="E5639" s="237" t="str">
        <f>IFERROR(__xludf.DUMMYFUNCTION("""COMPUTED_VALUE"""),"LT0Q1N01WTCX1")</f>
        <v>LT0Q1N01WTCX1</v>
      </c>
      <c r="F5639" s="238" t="str">
        <f>IFERROR(__xludf.DUMMYFUNCTION("""COMPUTED_VALUE"""),"DVA3A62,DBC7D61")</f>
        <v>DVA3A62,DBC7D61</v>
      </c>
      <c r="G5639" s="238">
        <f>IFERROR(__xludf.DUMMYFUNCTION("""COMPUTED_VALUE"""),46045.89583333333)</f>
        <v>46045.89583</v>
      </c>
      <c r="H5639" s="238">
        <f>IFERROR(__xludf.DUMMYFUNCTION("""COMPUTED_VALUE"""),46045.97916666667)</f>
        <v>46045.97917</v>
      </c>
      <c r="J5639" s="239">
        <v>119.99999999301508</v>
      </c>
    </row>
    <row r="5640">
      <c r="A5640" s="234"/>
      <c r="B5640" s="238" t="str">
        <f>IFERROR(__xludf.DUMMYFUNCTION("""COMPUTED_VALUE"""),"LM Hub_SP_Barueri_01")</f>
        <v>LM Hub_SP_Barueri_01</v>
      </c>
      <c r="C5640" s="238" t="str">
        <f>IFERROR(__xludf.DUMMYFUNCTION("""COMPUTED_VALUE"""),"HUB-LSP-81")</f>
        <v>HUB-LSP-81</v>
      </c>
      <c r="D5640" s="234">
        <f>IFERROR(__xludf.DUMMYFUNCTION("""COMPUTED_VALUE"""),14.0)</f>
        <v>14</v>
      </c>
      <c r="E5640" s="237" t="str">
        <f>IFERROR(__xludf.DUMMYFUNCTION("""COMPUTED_VALUE"""),"LT0Q1N01WY431")</f>
        <v>LT0Q1N01WY431</v>
      </c>
      <c r="F5640" s="238" t="str">
        <f>IFERROR(__xludf.DUMMYFUNCTION("""COMPUTED_VALUE"""),"SUQ5C99,TLD5B82")</f>
        <v>SUQ5C99,TLD5B82</v>
      </c>
      <c r="G5640" s="238">
        <f>IFERROR(__xludf.DUMMYFUNCTION("""COMPUTED_VALUE"""),46045.91666666667)</f>
        <v>46045.91667</v>
      </c>
      <c r="H5640" s="238">
        <f>IFERROR(__xludf.DUMMYFUNCTION("""COMPUTED_VALUE"""),46046.0)</f>
        <v>46046</v>
      </c>
      <c r="J5640" s="239">
        <v>119.99999999301508</v>
      </c>
    </row>
    <row r="5641">
      <c r="A5641" s="234"/>
      <c r="B5641" s="238" t="str">
        <f>IFERROR(__xludf.DUMMYFUNCTION("""COMPUTED_VALUE"""),"LM Hub_SP_Guarulhos")</f>
        <v>LM Hub_SP_Guarulhos</v>
      </c>
      <c r="C5641" s="238" t="str">
        <f>IFERROR(__xludf.DUMMYFUNCTION("""COMPUTED_VALUE"""),"HUB-LSP-77")</f>
        <v>HUB-LSP-77</v>
      </c>
      <c r="D5641" s="234">
        <f>IFERROR(__xludf.DUMMYFUNCTION("""COMPUTED_VALUE"""),35.0)</f>
        <v>35</v>
      </c>
      <c r="E5641" s="237" t="str">
        <f>IFERROR(__xludf.DUMMYFUNCTION("""COMPUTED_VALUE"""),"LT0Q1N01WU4E1")</f>
        <v>LT0Q1N01WU4E1</v>
      </c>
      <c r="F5641" s="238" t="str">
        <f>IFERROR(__xludf.DUMMYFUNCTION("""COMPUTED_VALUE"""),"FEB5I21,FRT9A70")</f>
        <v>FEB5I21,FRT9A70</v>
      </c>
      <c r="G5641" s="238">
        <f>IFERROR(__xludf.DUMMYFUNCTION("""COMPUTED_VALUE"""),46045.91666666667)</f>
        <v>46045.91667</v>
      </c>
      <c r="H5641" s="238">
        <f>IFERROR(__xludf.DUMMYFUNCTION("""COMPUTED_VALUE"""),46046.0)</f>
        <v>46046</v>
      </c>
      <c r="J5641" s="239">
        <v>119.99999999301508</v>
      </c>
    </row>
    <row r="5642">
      <c r="A5642" s="234"/>
      <c r="B5642" s="238" t="str">
        <f>IFERROR(__xludf.DUMMYFUNCTION("""COMPUTED_VALUE"""),"LM Hub_SP_Itapevi")</f>
        <v>LM Hub_SP_Itapevi</v>
      </c>
      <c r="C5642" s="238" t="str">
        <f>IFERROR(__xludf.DUMMYFUNCTION("""COMPUTED_VALUE"""),"HUB-LSP-41")</f>
        <v>HUB-LSP-41</v>
      </c>
      <c r="D5642" s="234">
        <f>IFERROR(__xludf.DUMMYFUNCTION("""COMPUTED_VALUE"""),13.0)</f>
        <v>13</v>
      </c>
      <c r="E5642" s="237" t="str">
        <f>IFERROR(__xludf.DUMMYFUNCTION("""COMPUTED_VALUE"""),"LT0Q1N01WTDX1")</f>
        <v>LT0Q1N01WTDX1</v>
      </c>
      <c r="F5642" s="238" t="str">
        <f>IFERROR(__xludf.DUMMYFUNCTION("""COMPUTED_VALUE"""),"BCS4J31,DJB0J76")</f>
        <v>BCS4J31,DJB0J76</v>
      </c>
      <c r="G5642" s="238">
        <f>IFERROR(__xludf.DUMMYFUNCTION("""COMPUTED_VALUE"""),46045.91666666667)</f>
        <v>46045.91667</v>
      </c>
      <c r="H5642" s="238">
        <f>IFERROR(__xludf.DUMMYFUNCTION("""COMPUTED_VALUE"""),46046.0)</f>
        <v>46046</v>
      </c>
      <c r="J5642" s="239">
        <v>119.99999999301508</v>
      </c>
    </row>
    <row r="5643">
      <c r="A5643" s="234"/>
      <c r="B5643" s="238" t="str">
        <f>IFERROR(__xludf.DUMMYFUNCTION("""COMPUTED_VALUE"""),"LM Hub_SP_Limeira_Campo Belo")</f>
        <v>LM Hub_SP_Limeira_Campo Belo</v>
      </c>
      <c r="C5643" s="238" t="str">
        <f>IFERROR(__xludf.DUMMYFUNCTION("""COMPUTED_VALUE"""),"HUB-LSP-24")</f>
        <v>HUB-LSP-24</v>
      </c>
      <c r="D5643" s="234">
        <f>IFERROR(__xludf.DUMMYFUNCTION("""COMPUTED_VALUE"""),22.0)</f>
        <v>22</v>
      </c>
      <c r="E5643" s="237" t="str">
        <f>IFERROR(__xludf.DUMMYFUNCTION("""COMPUTED_VALUE"""),"LT0Q1N01WTH11")</f>
        <v>LT0Q1N01WTH11</v>
      </c>
      <c r="F5643" s="238" t="str">
        <f>IFERROR(__xludf.DUMMYFUNCTION("""COMPUTED_VALUE"""),"GHB5H18,FZB6G45")</f>
        <v>GHB5H18,FZB6G45</v>
      </c>
      <c r="G5643" s="238">
        <f>IFERROR(__xludf.DUMMYFUNCTION("""COMPUTED_VALUE"""),46045.91666666667)</f>
        <v>46045.91667</v>
      </c>
      <c r="H5643" s="238">
        <f>IFERROR(__xludf.DUMMYFUNCTION("""COMPUTED_VALUE"""),46046.0)</f>
        <v>46046</v>
      </c>
      <c r="J5643" s="239">
        <v>119.99999999301508</v>
      </c>
    </row>
    <row r="5644">
      <c r="A5644" s="234"/>
      <c r="B5644" s="238" t="str">
        <f>IFERROR(__xludf.DUMMYFUNCTION("""COMPUTED_VALUE"""),"LM Hub_SP_Mauá")</f>
        <v>LM Hub_SP_Mauá</v>
      </c>
      <c r="C5644" s="238" t="str">
        <f>IFERROR(__xludf.DUMMYFUNCTION("""COMPUTED_VALUE"""),"HUB-LSP-64")</f>
        <v>HUB-LSP-64</v>
      </c>
      <c r="D5644" s="234">
        <f>IFERROR(__xludf.DUMMYFUNCTION("""COMPUTED_VALUE"""),16.0)</f>
        <v>16</v>
      </c>
      <c r="E5644" s="237" t="str">
        <f>IFERROR(__xludf.DUMMYFUNCTION("""COMPUTED_VALUE"""),"LT0Q1N01WTEF1")</f>
        <v>LT0Q1N01WTEF1</v>
      </c>
      <c r="F5644" s="238" t="str">
        <f>IFERROR(__xludf.DUMMYFUNCTION("""COMPUTED_VALUE"""),"FQF6B98,DTA7802")</f>
        <v>FQF6B98,DTA7802</v>
      </c>
      <c r="G5644" s="238">
        <f>IFERROR(__xludf.DUMMYFUNCTION("""COMPUTED_VALUE"""),46045.91666666667)</f>
        <v>46045.91667</v>
      </c>
      <c r="H5644" s="238">
        <f>IFERROR(__xludf.DUMMYFUNCTION("""COMPUTED_VALUE"""),46046.0)</f>
        <v>46046</v>
      </c>
      <c r="J5644" s="239">
        <v>119.99999999301508</v>
      </c>
    </row>
    <row r="5645">
      <c r="A5645" s="234"/>
      <c r="B5645" s="238" t="str">
        <f>IFERROR(__xludf.DUMMYFUNCTION("""COMPUTED_VALUE"""),"LM Hub_SP_Mooca_02")</f>
        <v>LM Hub_SP_Mooca_02</v>
      </c>
      <c r="C5645" s="238" t="str">
        <f>IFERROR(__xludf.DUMMYFUNCTION("""COMPUTED_VALUE"""),"HUB-LSP-94")</f>
        <v>HUB-LSP-94</v>
      </c>
      <c r="D5645" s="234"/>
      <c r="E5645" s="237" t="str">
        <f>IFERROR(__xludf.DUMMYFUNCTION("""COMPUTED_VALUE"""),"LT0Q1N01WY121")</f>
        <v>LT0Q1N01WY121</v>
      </c>
      <c r="F5645" s="238" t="str">
        <f>IFERROR(__xludf.DUMMYFUNCTION("""COMPUTED_VALUE"""),"EGJ9547")</f>
        <v>EGJ9547</v>
      </c>
      <c r="G5645" s="238">
        <f>IFERROR(__xludf.DUMMYFUNCTION("""COMPUTED_VALUE"""),46045.91666666667)</f>
        <v>46045.91667</v>
      </c>
      <c r="H5645" s="238">
        <f>IFERROR(__xludf.DUMMYFUNCTION("""COMPUTED_VALUE"""),46046.0)</f>
        <v>46046</v>
      </c>
      <c r="J5645" s="239">
        <v>119.99999999301508</v>
      </c>
    </row>
    <row r="5646">
      <c r="A5646" s="234"/>
      <c r="B5646" s="238" t="str">
        <f>IFERROR(__xludf.DUMMYFUNCTION("""COMPUTED_VALUE"""),"LM Hub_SP_Osasco_02")</f>
        <v>LM Hub_SP_Osasco_02</v>
      </c>
      <c r="C5646" s="238" t="str">
        <f>IFERROR(__xludf.DUMMYFUNCTION("""COMPUTED_VALUE"""),"HUB-LSP-60")</f>
        <v>HUB-LSP-60</v>
      </c>
      <c r="D5646" s="234">
        <f>IFERROR(__xludf.DUMMYFUNCTION("""COMPUTED_VALUE"""),19.0)</f>
        <v>19</v>
      </c>
      <c r="E5646" s="237" t="str">
        <f>IFERROR(__xludf.DUMMYFUNCTION("""COMPUTED_VALUE"""),"LT0Q1N01WTE61")</f>
        <v>LT0Q1N01WTE61</v>
      </c>
      <c r="F5646" s="238" t="str">
        <f>IFERROR(__xludf.DUMMYFUNCTION("""COMPUTED_VALUE"""),"FUZ6B23,FUA8006")</f>
        <v>FUZ6B23,FUA8006</v>
      </c>
      <c r="G5646" s="238">
        <f>IFERROR(__xludf.DUMMYFUNCTION("""COMPUTED_VALUE"""),46045.91666666667)</f>
        <v>46045.91667</v>
      </c>
      <c r="H5646" s="238">
        <f>IFERROR(__xludf.DUMMYFUNCTION("""COMPUTED_VALUE"""),46046.0)</f>
        <v>46046</v>
      </c>
      <c r="J5646" s="239">
        <v>119.99999999301508</v>
      </c>
    </row>
    <row r="5647">
      <c r="A5647" s="234"/>
      <c r="B5647" s="238" t="str">
        <f>IFERROR(__xludf.DUMMYFUNCTION("""COMPUTED_VALUE"""),"LM Hub_SP_Santo André")</f>
        <v>LM Hub_SP_Santo André</v>
      </c>
      <c r="C5647" s="238" t="str">
        <f>IFERROR(__xludf.DUMMYFUNCTION("""COMPUTED_VALUE"""),"HUB-LSP-93")</f>
        <v>HUB-LSP-93</v>
      </c>
      <c r="D5647" s="234"/>
      <c r="E5647" s="237" t="str">
        <f>IFERROR(__xludf.DUMMYFUNCTION("""COMPUTED_VALUE"""),"LT0Q1N01WVN51")</f>
        <v>LT0Q1N01WVN51</v>
      </c>
      <c r="F5647" s="238" t="str">
        <f>IFERROR(__xludf.DUMMYFUNCTION("""COMPUTED_VALUE"""),"LLM1I97,AOF6828")</f>
        <v>LLM1I97,AOF6828</v>
      </c>
      <c r="G5647" s="238">
        <f>IFERROR(__xludf.DUMMYFUNCTION("""COMPUTED_VALUE"""),46045.91666666667)</f>
        <v>46045.91667</v>
      </c>
      <c r="H5647" s="238">
        <f>IFERROR(__xludf.DUMMYFUNCTION("""COMPUTED_VALUE"""),46046.0)</f>
        <v>46046</v>
      </c>
      <c r="J5647" s="239">
        <v>119.99999999301508</v>
      </c>
    </row>
    <row r="5648">
      <c r="A5648" s="234"/>
      <c r="B5648" s="238" t="str">
        <f>IFERROR(__xludf.DUMMYFUNCTION("""COMPUTED_VALUE"""),"LM Hub_SP_São José do Rio P")</f>
        <v>LM Hub_SP_São José do Rio P</v>
      </c>
      <c r="C5648" s="238" t="str">
        <f>IFERROR(__xludf.DUMMYFUNCTION("""COMPUTED_VALUE"""),"HUB-LSP-27")</f>
        <v>HUB-LSP-27</v>
      </c>
      <c r="D5648" s="234"/>
      <c r="E5648" s="237" t="str">
        <f>IFERROR(__xludf.DUMMYFUNCTION("""COMPUTED_VALUE"""),"LT0Q1N01WWY51")</f>
        <v>LT0Q1N01WWY51</v>
      </c>
      <c r="F5648" s="238" t="str">
        <f>IFERROR(__xludf.DUMMYFUNCTION("""COMPUTED_VALUE"""),"SFO1F38")</f>
        <v>SFO1F38</v>
      </c>
      <c r="G5648" s="238">
        <f>IFERROR(__xludf.DUMMYFUNCTION("""COMPUTED_VALUE"""),46045.91666666667)</f>
        <v>46045.91667</v>
      </c>
      <c r="H5648" s="238">
        <f>IFERROR(__xludf.DUMMYFUNCTION("""COMPUTED_VALUE"""),46046.0)</f>
        <v>46046</v>
      </c>
      <c r="J5648" s="239">
        <v>119.99999999301508</v>
      </c>
    </row>
    <row r="5649">
      <c r="A5649" s="234"/>
      <c r="B5649" s="238" t="str">
        <f>IFERROR(__xludf.DUMMYFUNCTION("""COMPUTED_VALUE"""),"SoC_MG_Betim")</f>
        <v>SoC_MG_Betim</v>
      </c>
      <c r="C5649" s="238" t="str">
        <f>IFERROR(__xludf.DUMMYFUNCTION("""COMPUTED_VALUE"""),"SOC-MG2")</f>
        <v>SOC-MG2</v>
      </c>
      <c r="D5649" s="234"/>
      <c r="E5649" s="237" t="str">
        <f>IFERROR(__xludf.DUMMYFUNCTION("""COMPUTED_VALUE"""),"LT1Q1N01X9YV1")</f>
        <v>LT1Q1N01X9YV1</v>
      </c>
      <c r="F5649" s="238" t="str">
        <f>IFERROR(__xludf.DUMMYFUNCTION("""COMPUTED_VALUE"""),"MLK5775,RAA2I78")</f>
        <v>MLK5775,RAA2I78</v>
      </c>
      <c r="G5649" s="238">
        <f>IFERROR(__xludf.DUMMYFUNCTION("""COMPUTED_VALUE"""),46045.91666666667)</f>
        <v>46045.91667</v>
      </c>
      <c r="H5649" s="238">
        <f>IFERROR(__xludf.DUMMYFUNCTION("""COMPUTED_VALUE"""),46046.0)</f>
        <v>46046</v>
      </c>
      <c r="J5649" s="239">
        <v>119.99999999301508</v>
      </c>
    </row>
    <row r="5650">
      <c r="A5650" s="234"/>
      <c r="B5650" s="238" t="str">
        <f>IFERROR(__xludf.DUMMYFUNCTION("""COMPUTED_VALUE"""),"SoC_PR_Curitiba")</f>
        <v>SoC_PR_Curitiba</v>
      </c>
      <c r="C5650" s="238" t="str">
        <f>IFERROR(__xludf.DUMMYFUNCTION("""COMPUTED_VALUE"""),"SOC-PR1")</f>
        <v>SOC-PR1</v>
      </c>
      <c r="D5650" s="234">
        <f>IFERROR(__xludf.DUMMYFUNCTION("""COMPUTED_VALUE"""),28.0)</f>
        <v>28</v>
      </c>
      <c r="E5650" s="237" t="str">
        <f>IFERROR(__xludf.DUMMYFUNCTION("""COMPUTED_VALUE"""),"LT1Q1N01XL2H1")</f>
        <v>LT1Q1N01XL2H1</v>
      </c>
      <c r="F5650" s="238" t="str">
        <f>IFERROR(__xludf.DUMMYFUNCTION("""COMPUTED_VALUE"""),"RAG7228,RYZ0F99")</f>
        <v>RAG7228,RYZ0F99</v>
      </c>
      <c r="G5650" s="238">
        <f>IFERROR(__xludf.DUMMYFUNCTION("""COMPUTED_VALUE"""),46045.91666666667)</f>
        <v>46045.91667</v>
      </c>
      <c r="H5650" s="238">
        <f>IFERROR(__xludf.DUMMYFUNCTION("""COMPUTED_VALUE"""),46046.0)</f>
        <v>46046</v>
      </c>
      <c r="J5650" s="239">
        <v>119.99999999301508</v>
      </c>
    </row>
    <row r="5651">
      <c r="A5651" s="234"/>
      <c r="B5651" s="238" t="str">
        <f>IFERROR(__xludf.DUMMYFUNCTION("""COMPUTED_VALUE"""),"LM Hub_SP_Jardim Adriana")</f>
        <v>LM Hub_SP_Jardim Adriana</v>
      </c>
      <c r="C5651" s="238" t="str">
        <f>IFERROR(__xludf.DUMMYFUNCTION("""COMPUTED_VALUE"""),"HUB-LSP-12")</f>
        <v>HUB-LSP-12</v>
      </c>
      <c r="D5651" s="234">
        <f>IFERROR(__xludf.DUMMYFUNCTION("""COMPUTED_VALUE"""),24.0)</f>
        <v>24</v>
      </c>
      <c r="E5651" s="237" t="str">
        <f>IFERROR(__xludf.DUMMYFUNCTION("""COMPUTED_VALUE"""),"LT0Q1N01WTCK1")</f>
        <v>LT0Q1N01WTCK1</v>
      </c>
      <c r="F5651" s="238" t="str">
        <f>IFERROR(__xludf.DUMMYFUNCTION("""COMPUTED_VALUE"""),"FYZ2D15")</f>
        <v>FYZ2D15</v>
      </c>
      <c r="G5651" s="238">
        <f>IFERROR(__xludf.DUMMYFUNCTION("""COMPUTED_VALUE"""),46045.9375)</f>
        <v>46045.9375</v>
      </c>
      <c r="H5651" s="238">
        <f>IFERROR(__xludf.DUMMYFUNCTION("""COMPUTED_VALUE"""),46046.02083333333)</f>
        <v>46046.02083</v>
      </c>
      <c r="J5651" s="239">
        <v>119.99999999301508</v>
      </c>
    </row>
    <row r="5652">
      <c r="A5652" s="234"/>
      <c r="B5652" s="238" t="str">
        <f>IFERROR(__xludf.DUMMYFUNCTION("""COMPUTED_VALUE"""),"LM Hub_SP_Jardim Adriana")</f>
        <v>LM Hub_SP_Jardim Adriana</v>
      </c>
      <c r="C5652" s="238" t="str">
        <f>IFERROR(__xludf.DUMMYFUNCTION("""COMPUTED_VALUE"""),"HUB-LSP-12")</f>
        <v>HUB-LSP-12</v>
      </c>
      <c r="D5652" s="234">
        <f>IFERROR(__xludf.DUMMYFUNCTION("""COMPUTED_VALUE"""),21.0)</f>
        <v>21</v>
      </c>
      <c r="E5652" s="237" t="str">
        <f>IFERROR(__xludf.DUMMYFUNCTION("""COMPUTED_VALUE"""),"LT0Q1N01WTCF1")</f>
        <v>LT0Q1N01WTCF1</v>
      </c>
      <c r="F5652" s="238" t="str">
        <f>IFERROR(__xludf.DUMMYFUNCTION("""COMPUTED_VALUE"""),"OHQ3D06")</f>
        <v>OHQ3D06</v>
      </c>
      <c r="G5652" s="238">
        <f>IFERROR(__xludf.DUMMYFUNCTION("""COMPUTED_VALUE"""),46045.9375)</f>
        <v>46045.9375</v>
      </c>
      <c r="H5652" s="238">
        <f>IFERROR(__xludf.DUMMYFUNCTION("""COMPUTED_VALUE"""),46046.02083333333)</f>
        <v>46046.02083</v>
      </c>
      <c r="J5652" s="239">
        <v>119.99999999301508</v>
      </c>
    </row>
    <row r="5653">
      <c r="A5653" s="234"/>
      <c r="B5653" s="238" t="str">
        <f>IFERROR(__xludf.DUMMYFUNCTION("""COMPUTED_VALUE"""),"LM Hub_SP_Parque Novo Mundo")</f>
        <v>LM Hub_SP_Parque Novo Mundo</v>
      </c>
      <c r="C5653" s="238" t="str">
        <f>IFERROR(__xludf.DUMMYFUNCTION("""COMPUTED_VALUE"""),"HUB-LSP-89")</f>
        <v>HUB-LSP-89</v>
      </c>
      <c r="D5653" s="234"/>
      <c r="E5653" s="237" t="str">
        <f>IFERROR(__xludf.DUMMYFUNCTION("""COMPUTED_VALUE"""),"LT0Q1N01WUBJ1")</f>
        <v>LT0Q1N01WUBJ1</v>
      </c>
      <c r="F5653" s="238" t="str">
        <f>IFERROR(__xludf.DUMMYFUNCTION("""COMPUTED_VALUE"""),"GBE0G47,FJP5G21")</f>
        <v>GBE0G47,FJP5G21</v>
      </c>
      <c r="G5653" s="238">
        <f>IFERROR(__xludf.DUMMYFUNCTION("""COMPUTED_VALUE"""),46045.9375)</f>
        <v>46045.9375</v>
      </c>
      <c r="H5653" s="238">
        <f>IFERROR(__xludf.DUMMYFUNCTION("""COMPUTED_VALUE"""),46046.02083333333)</f>
        <v>46046.02083</v>
      </c>
      <c r="J5653" s="239">
        <v>119.99999999301508</v>
      </c>
    </row>
    <row r="5654">
      <c r="A5654" s="234"/>
      <c r="B5654" s="238" t="str">
        <f>IFERROR(__xludf.DUMMYFUNCTION("""COMPUTED_VALUE"""),"LM Hub_SP_Piracicaba")</f>
        <v>LM Hub_SP_Piracicaba</v>
      </c>
      <c r="C5654" s="238" t="str">
        <f>IFERROR(__xludf.DUMMYFUNCTION("""COMPUTED_VALUE"""),"HUB-LSP-62")</f>
        <v>HUB-LSP-62</v>
      </c>
      <c r="D5654" s="234">
        <f>IFERROR(__xludf.DUMMYFUNCTION("""COMPUTED_VALUE"""),46.0)</f>
        <v>46</v>
      </c>
      <c r="E5654" s="237" t="str">
        <f>IFERROR(__xludf.DUMMYFUNCTION("""COMPUTED_VALUE"""),"LT0Q1N01WU4Q1")</f>
        <v>LT0Q1N01WU4Q1</v>
      </c>
      <c r="F5654" s="238" t="str">
        <f>IFERROR(__xludf.DUMMYFUNCTION("""COMPUTED_VALUE"""),"EOF4D32")</f>
        <v>EOF4D32</v>
      </c>
      <c r="G5654" s="238">
        <f>IFERROR(__xludf.DUMMYFUNCTION("""COMPUTED_VALUE"""),46045.9375)</f>
        <v>46045.9375</v>
      </c>
      <c r="H5654" s="238">
        <f>IFERROR(__xludf.DUMMYFUNCTION("""COMPUTED_VALUE"""),46046.02083333333)</f>
        <v>46046.02083</v>
      </c>
      <c r="J5654" s="239">
        <v>119.99999999301508</v>
      </c>
    </row>
    <row r="5655">
      <c r="A5655" s="234"/>
      <c r="B5655" s="238" t="str">
        <f>IFERROR(__xludf.DUMMYFUNCTION("""COMPUTED_VALUE"""),"LM Hub_SP_São Paulo_Carandiru")</f>
        <v>LM Hub_SP_São Paulo_Carandiru</v>
      </c>
      <c r="C5655" s="238" t="str">
        <f>IFERROR(__xludf.DUMMYFUNCTION("""COMPUTED_VALUE"""),"HUB-LSP-18")</f>
        <v>HUB-LSP-18</v>
      </c>
      <c r="D5655" s="234">
        <f>IFERROR(__xludf.DUMMYFUNCTION("""COMPUTED_VALUE"""),36.0)</f>
        <v>36</v>
      </c>
      <c r="E5655" s="237" t="str">
        <f>IFERROR(__xludf.DUMMYFUNCTION("""COMPUTED_VALUE"""),"LT0Q1N01WTDE1")</f>
        <v>LT0Q1N01WTDE1</v>
      </c>
      <c r="F5655" s="238" t="str">
        <f>IFERROR(__xludf.DUMMYFUNCTION("""COMPUTED_VALUE"""),"AXH9D10")</f>
        <v>AXH9D10</v>
      </c>
      <c r="G5655" s="238">
        <f>IFERROR(__xludf.DUMMYFUNCTION("""COMPUTED_VALUE"""),46045.9375)</f>
        <v>46045.9375</v>
      </c>
      <c r="H5655" s="238">
        <f>IFERROR(__xludf.DUMMYFUNCTION("""COMPUTED_VALUE"""),46046.02083333333)</f>
        <v>46046.02083</v>
      </c>
      <c r="J5655" s="239">
        <v>119.99999999301508</v>
      </c>
    </row>
    <row r="5656">
      <c r="A5656" s="234"/>
      <c r="B5656" s="238" t="str">
        <f>IFERROR(__xludf.DUMMYFUNCTION("""COMPUTED_VALUE"""),"LM Hub_SP_São Paulo_Carandiru")</f>
        <v>LM Hub_SP_São Paulo_Carandiru</v>
      </c>
      <c r="C5656" s="238" t="str">
        <f>IFERROR(__xludf.DUMMYFUNCTION("""COMPUTED_VALUE"""),"HUB-LSP-18")</f>
        <v>HUB-LSP-18</v>
      </c>
      <c r="D5656" s="234">
        <f>IFERROR(__xludf.DUMMYFUNCTION("""COMPUTED_VALUE"""),37.0)</f>
        <v>37</v>
      </c>
      <c r="E5656" s="237" t="str">
        <f>IFERROR(__xludf.DUMMYFUNCTION("""COMPUTED_VALUE"""),"LT0Q1N01WTDG2")</f>
        <v>LT0Q1N01WTDG2</v>
      </c>
      <c r="F5656" s="238" t="str">
        <f>IFERROR(__xludf.DUMMYFUNCTION("""COMPUTED_VALUE"""),"NVO0561")</f>
        <v>NVO0561</v>
      </c>
      <c r="G5656" s="238">
        <f>IFERROR(__xludf.DUMMYFUNCTION("""COMPUTED_VALUE"""),46045.9375)</f>
        <v>46045.9375</v>
      </c>
      <c r="H5656" s="238">
        <f>IFERROR(__xludf.DUMMYFUNCTION("""COMPUTED_VALUE"""),46046.02083333333)</f>
        <v>46046.02083</v>
      </c>
      <c r="J5656" s="239">
        <v>119.99999999301508</v>
      </c>
    </row>
    <row r="5657">
      <c r="A5657" s="234"/>
      <c r="B5657" s="238" t="str">
        <f>IFERROR(__xludf.DUMMYFUNCTION("""COMPUTED_VALUE"""),"LM Hub_SP_Suzano_Baruel")</f>
        <v>LM Hub_SP_Suzano_Baruel</v>
      </c>
      <c r="C5657" s="238" t="str">
        <f>IFERROR(__xludf.DUMMYFUNCTION("""COMPUTED_VALUE"""),"HUB-LSP-97")</f>
        <v>HUB-LSP-97</v>
      </c>
      <c r="D5657" s="234">
        <f>IFERROR(__xludf.DUMMYFUNCTION("""COMPUTED_VALUE"""),32.0)</f>
        <v>32</v>
      </c>
      <c r="E5657" s="237" t="str">
        <f>IFERROR(__xludf.DUMMYFUNCTION("""COMPUTED_VALUE"""),"LT0Q1N01WZTC1")</f>
        <v>LT0Q1N01WZTC1</v>
      </c>
      <c r="F5657" s="238" t="str">
        <f>IFERROR(__xludf.DUMMYFUNCTION("""COMPUTED_VALUE"""),"HEL8635,UGE7G44")</f>
        <v>HEL8635,UGE7G44</v>
      </c>
      <c r="G5657" s="238">
        <f>IFERROR(__xludf.DUMMYFUNCTION("""COMPUTED_VALUE"""),46045.9375)</f>
        <v>46045.9375</v>
      </c>
      <c r="H5657" s="238">
        <f>IFERROR(__xludf.DUMMYFUNCTION("""COMPUTED_VALUE"""),46046.02083333333)</f>
        <v>46046.02083</v>
      </c>
      <c r="J5657" s="239">
        <v>118.99999998975545</v>
      </c>
    </row>
    <row r="5658">
      <c r="A5658" s="234"/>
      <c r="B5658" s="238" t="str">
        <f>IFERROR(__xludf.DUMMYFUNCTION("""COMPUTED_VALUE"""),"LM Hub_SP_Parque Novo Mundo")</f>
        <v>LM Hub_SP_Parque Novo Mundo</v>
      </c>
      <c r="C5658" s="238" t="str">
        <f>IFERROR(__xludf.DUMMYFUNCTION("""COMPUTED_VALUE"""),"HUB-LSP-89")</f>
        <v>HUB-LSP-89</v>
      </c>
      <c r="D5658" s="234">
        <f>IFERROR(__xludf.DUMMYFUNCTION("""COMPUTED_VALUE"""),25.0)</f>
        <v>25</v>
      </c>
      <c r="E5658" s="237" t="str">
        <f>IFERROR(__xludf.DUMMYFUNCTION("""COMPUTED_VALUE"""),"LT0Q1N01X2U51")</f>
        <v>LT0Q1N01X2U51</v>
      </c>
      <c r="F5658" s="238" t="str">
        <f>IFERROR(__xludf.DUMMYFUNCTION("""COMPUTED_VALUE"""),"FNK8E47,FAM1829")</f>
        <v>FNK8E47,FAM1829</v>
      </c>
      <c r="G5658" s="238">
        <f>IFERROR(__xludf.DUMMYFUNCTION("""COMPUTED_VALUE"""),46045.93819444445)</f>
        <v>46045.93819</v>
      </c>
      <c r="H5658" s="238">
        <f>IFERROR(__xludf.DUMMYFUNCTION("""COMPUTED_VALUE"""),46046.02083333333)</f>
        <v>46046.02083</v>
      </c>
      <c r="J5658" s="239">
        <v>118.99999998975545</v>
      </c>
    </row>
    <row r="5659">
      <c r="A5659" s="234"/>
      <c r="B5659" s="238" t="str">
        <f>IFERROR(__xludf.DUMMYFUNCTION("""COMPUTED_VALUE"""),"LM Hub_SP_VilaGuilherme")</f>
        <v>LM Hub_SP_VilaGuilherme</v>
      </c>
      <c r="C5659" s="238" t="str">
        <f>IFERROR(__xludf.DUMMYFUNCTION("""COMPUTED_VALUE"""),"HUB-LSP-68")</f>
        <v>HUB-LSP-68</v>
      </c>
      <c r="D5659" s="234">
        <f>IFERROR(__xludf.DUMMYFUNCTION("""COMPUTED_VALUE"""),49.0)</f>
        <v>49</v>
      </c>
      <c r="E5659" s="237" t="str">
        <f>IFERROR(__xludf.DUMMYFUNCTION("""COMPUTED_VALUE"""),"LT0Q1N01X2MX1")</f>
        <v>LT0Q1N01X2MX1</v>
      </c>
      <c r="F5659" s="238" t="str">
        <f>IFERROR(__xludf.DUMMYFUNCTION("""COMPUTED_VALUE"""),"HFD4H27,JXG9745")</f>
        <v>HFD4H27,JXG9745</v>
      </c>
      <c r="G5659" s="238">
        <f>IFERROR(__xludf.DUMMYFUNCTION("""COMPUTED_VALUE"""),46045.93819444445)</f>
        <v>46045.93819</v>
      </c>
      <c r="H5659" s="238">
        <f>IFERROR(__xludf.DUMMYFUNCTION("""COMPUTED_VALUE"""),46046.02083333333)</f>
        <v>46046.02083</v>
      </c>
      <c r="J5659" s="239">
        <v>120.00000001396984</v>
      </c>
    </row>
    <row r="5660">
      <c r="A5660" s="234"/>
      <c r="B5660" s="238" t="str">
        <f>IFERROR(__xludf.DUMMYFUNCTION("""COMPUTED_VALUE"""),"LM Hub_RJ_Nova Iguaçu")</f>
        <v>LM Hub_RJ_Nova Iguaçu</v>
      </c>
      <c r="C5660" s="238" t="str">
        <f>IFERROR(__xludf.DUMMYFUNCTION("""COMPUTED_VALUE"""),"HUB-LRJ-27")</f>
        <v>HUB-LRJ-27</v>
      </c>
      <c r="D5660" s="234">
        <f>IFERROR(__xludf.DUMMYFUNCTION("""COMPUTED_VALUE"""),17.0)</f>
        <v>17</v>
      </c>
      <c r="E5660" s="237" t="str">
        <f>IFERROR(__xludf.DUMMYFUNCTION("""COMPUTED_VALUE"""),"LT0Q1N01WYO01")</f>
        <v>LT0Q1N01WYO01</v>
      </c>
      <c r="F5660" s="238" t="str">
        <f>IFERROR(__xludf.DUMMYFUNCTION("""COMPUTED_VALUE"""),"TAK9C48")</f>
        <v>TAK9C48</v>
      </c>
      <c r="G5660" s="238">
        <f>IFERROR(__xludf.DUMMYFUNCTION("""COMPUTED_VALUE"""),46045.95833333333)</f>
        <v>46045.95833</v>
      </c>
      <c r="H5660" s="238">
        <f>IFERROR(__xludf.DUMMYFUNCTION("""COMPUTED_VALUE"""),46046.04166666667)</f>
        <v>46046.04167</v>
      </c>
      <c r="J5660" s="239">
        <v>120.00000001396984</v>
      </c>
    </row>
    <row r="5661">
      <c r="A5661" s="234"/>
      <c r="B5661" s="238" t="str">
        <f>IFERROR(__xludf.DUMMYFUNCTION("""COMPUTED_VALUE"""),"LM Hub_RJ_Rio de Janeiro_Campo G")</f>
        <v>LM Hub_RJ_Rio de Janeiro_Campo G</v>
      </c>
      <c r="C5661" s="238" t="str">
        <f>IFERROR(__xludf.DUMMYFUNCTION("""COMPUTED_VALUE"""),"HUB-LRJ-04")</f>
        <v>HUB-LRJ-04</v>
      </c>
      <c r="D5661" s="234">
        <f>IFERROR(__xludf.DUMMYFUNCTION("""COMPUTED_VALUE"""),52.0)</f>
        <v>52</v>
      </c>
      <c r="E5661" s="237" t="str">
        <f>IFERROR(__xludf.DUMMYFUNCTION("""COMPUTED_VALUE"""),"LT0Q1N01WTIZ1")</f>
        <v>LT0Q1N01WTIZ1</v>
      </c>
      <c r="F5661" s="238" t="str">
        <f>IFERROR(__xludf.DUMMYFUNCTION("""COMPUTED_VALUE"""),"UBA1H99")</f>
        <v>UBA1H99</v>
      </c>
      <c r="G5661" s="238">
        <f>IFERROR(__xludf.DUMMYFUNCTION("""COMPUTED_VALUE"""),46045.95833333333)</f>
        <v>46045.95833</v>
      </c>
      <c r="H5661" s="238">
        <f>IFERROR(__xludf.DUMMYFUNCTION("""COMPUTED_VALUE"""),46046.04166666667)</f>
        <v>46046.04167</v>
      </c>
      <c r="J5661" s="239">
        <v>120.00000001396984</v>
      </c>
    </row>
    <row r="5662">
      <c r="A5662" s="234"/>
      <c r="B5662" s="238" t="str">
        <f>IFERROR(__xludf.DUMMYFUNCTION("""COMPUTED_VALUE"""),"LM Hub_RJ_São João do Meriti")</f>
        <v>LM Hub_RJ_São João do Meriti</v>
      </c>
      <c r="C5662" s="238" t="str">
        <f>IFERROR(__xludf.DUMMYFUNCTION("""COMPUTED_VALUE"""),"HUB-LRJ-01")</f>
        <v>HUB-LRJ-01</v>
      </c>
      <c r="D5662" s="234">
        <f>IFERROR(__xludf.DUMMYFUNCTION("""COMPUTED_VALUE"""),26.0)</f>
        <v>26</v>
      </c>
      <c r="E5662" s="237" t="str">
        <f>IFERROR(__xludf.DUMMYFUNCTION("""COMPUTED_VALUE"""),"LT0Q1N01WYOU1")</f>
        <v>LT0Q1N01WYOU1</v>
      </c>
      <c r="F5662" s="238" t="str">
        <f>IFERROR(__xludf.DUMMYFUNCTION("""COMPUTED_VALUE"""),"UGF1A20")</f>
        <v>UGF1A20</v>
      </c>
      <c r="G5662" s="238">
        <f>IFERROR(__xludf.DUMMYFUNCTION("""COMPUTED_VALUE"""),46045.95833333333)</f>
        <v>46045.95833</v>
      </c>
      <c r="H5662" s="238">
        <f>IFERROR(__xludf.DUMMYFUNCTION("""COMPUTED_VALUE"""),46046.04166666667)</f>
        <v>46046.04167</v>
      </c>
      <c r="J5662" s="239">
        <v>120.00000001396984</v>
      </c>
    </row>
    <row r="5663">
      <c r="A5663" s="234"/>
      <c r="B5663" s="238" t="str">
        <f>IFERROR(__xludf.DUMMYFUNCTION("""COMPUTED_VALUE"""),"LM Hub_SP_Jundiaí")</f>
        <v>LM Hub_SP_Jundiaí</v>
      </c>
      <c r="C5663" s="238" t="str">
        <f>IFERROR(__xludf.DUMMYFUNCTION("""COMPUTED_VALUE"""),"HUB-LSP-100")</f>
        <v>HUB-LSP-100</v>
      </c>
      <c r="D5663" s="234">
        <f>IFERROR(__xludf.DUMMYFUNCTION("""COMPUTED_VALUE"""),23.0)</f>
        <v>23</v>
      </c>
      <c r="E5663" s="237" t="str">
        <f>IFERROR(__xludf.DUMMYFUNCTION("""COMPUTED_VALUE"""),"LT0Q1N01WZHJ1")</f>
        <v>LT0Q1N01WZHJ1</v>
      </c>
      <c r="F5663" s="238" t="str">
        <f>IFERROR(__xludf.DUMMYFUNCTION("""COMPUTED_VALUE"""),"BLY8F66,TLE1C64")</f>
        <v>BLY8F66,TLE1C64</v>
      </c>
      <c r="G5663" s="238">
        <f>IFERROR(__xludf.DUMMYFUNCTION("""COMPUTED_VALUE"""),46045.95833333333)</f>
        <v>46045.95833</v>
      </c>
      <c r="H5663" s="238">
        <f>IFERROR(__xludf.DUMMYFUNCTION("""COMPUTED_VALUE"""),46046.04166666667)</f>
        <v>46046.04167</v>
      </c>
      <c r="J5663" s="239">
        <v>120.00000001396984</v>
      </c>
    </row>
    <row r="5664">
      <c r="A5664" s="234"/>
      <c r="B5664" s="238" t="str">
        <f>IFERROR(__xludf.DUMMYFUNCTION("""COMPUTED_VALUE"""),"LM Hub_SP_Mogi Mirim")</f>
        <v>LM Hub_SP_Mogi Mirim</v>
      </c>
      <c r="C5664" s="238" t="str">
        <f>IFERROR(__xludf.DUMMYFUNCTION("""COMPUTED_VALUE"""),"HUB-LSP-37")</f>
        <v>HUB-LSP-37</v>
      </c>
      <c r="D5664" s="234">
        <f>IFERROR(__xludf.DUMMYFUNCTION("""COMPUTED_VALUE"""),40.0)</f>
        <v>40</v>
      </c>
      <c r="E5664" s="237" t="str">
        <f>IFERROR(__xludf.DUMMYFUNCTION("""COMPUTED_VALUE"""),"LT0Q1N01WTHQ1")</f>
        <v>LT0Q1N01WTHQ1</v>
      </c>
      <c r="F5664" s="238" t="str">
        <f>IFERROR(__xludf.DUMMYFUNCTION("""COMPUTED_VALUE"""),"SVC6I57,SWO1G45")</f>
        <v>SVC6I57,SWO1G45</v>
      </c>
      <c r="G5664" s="238">
        <f>IFERROR(__xludf.DUMMYFUNCTION("""COMPUTED_VALUE"""),46045.95833333333)</f>
        <v>46045.95833</v>
      </c>
      <c r="H5664" s="238">
        <f>IFERROR(__xludf.DUMMYFUNCTION("""COMPUTED_VALUE"""),46046.04166666667)</f>
        <v>46046.04167</v>
      </c>
      <c r="J5664" s="239">
        <v>120.00000001396984</v>
      </c>
    </row>
    <row r="5665">
      <c r="A5665" s="234"/>
      <c r="B5665" s="238" t="str">
        <f>IFERROR(__xludf.DUMMYFUNCTION("""COMPUTED_VALUE"""),"SoC_MG_Betim")</f>
        <v>SoC_MG_Betim</v>
      </c>
      <c r="C5665" s="238" t="str">
        <f>IFERROR(__xludf.DUMMYFUNCTION("""COMPUTED_VALUE"""),"SOC-MG2")</f>
        <v>SOC-MG2</v>
      </c>
      <c r="D5665" s="234"/>
      <c r="E5665" s="237" t="str">
        <f>IFERROR(__xludf.DUMMYFUNCTION("""COMPUTED_VALUE"""),"LT1Q1N01X9YW1")</f>
        <v>LT1Q1N01X9YW1</v>
      </c>
      <c r="F5665" s="238" t="str">
        <f>IFERROR(__xludf.DUMMYFUNCTION("""COMPUTED_VALUE"""),"FXY0J85,QTK5B83")</f>
        <v>FXY0J85,QTK5B83</v>
      </c>
      <c r="G5665" s="238">
        <f>IFERROR(__xludf.DUMMYFUNCTION("""COMPUTED_VALUE"""),46045.95833333333)</f>
        <v>46045.95833</v>
      </c>
      <c r="H5665" s="238">
        <f>IFERROR(__xludf.DUMMYFUNCTION("""COMPUTED_VALUE"""),46046.04166666667)</f>
        <v>46046.04167</v>
      </c>
      <c r="J5665" s="239">
        <v>120.00000001396984</v>
      </c>
    </row>
    <row r="5666">
      <c r="A5666" s="234"/>
      <c r="B5666" s="238" t="str">
        <f>IFERROR(__xludf.DUMMYFUNCTION("""COMPUTED_VALUE"""),"SoC_RJ_Duque de Caxias")</f>
        <v>SoC_RJ_Duque de Caxias</v>
      </c>
      <c r="C5666" s="238" t="str">
        <f>IFERROR(__xludf.DUMMYFUNCTION("""COMPUTED_VALUE"""),"SOC-RJ2")</f>
        <v>SOC-RJ2</v>
      </c>
      <c r="D5666" s="234"/>
      <c r="E5666" s="237" t="str">
        <f>IFERROR(__xludf.DUMMYFUNCTION("""COMPUTED_VALUE"""),"LT1Q1N01X9YP1")</f>
        <v>LT1Q1N01X9YP1</v>
      </c>
      <c r="F5666" s="234"/>
      <c r="G5666" s="238">
        <f>IFERROR(__xludf.DUMMYFUNCTION("""COMPUTED_VALUE"""),46045.95833333333)</f>
        <v>46045.95833</v>
      </c>
      <c r="H5666" s="238">
        <f>IFERROR(__xludf.DUMMYFUNCTION("""COMPUTED_VALUE"""),46046.04166666667)</f>
        <v>46046.04167</v>
      </c>
      <c r="J5666" s="239">
        <v>119.99999999301508</v>
      </c>
    </row>
    <row r="5667">
      <c r="A5667" s="234"/>
      <c r="B5667" s="238" t="str">
        <f>IFERROR(__xludf.DUMMYFUNCTION("""COMPUTED_VALUE"""),"LM Hub_SP_Araraquara")</f>
        <v>LM Hub_SP_Araraquara</v>
      </c>
      <c r="C5667" s="238" t="str">
        <f>IFERROR(__xludf.DUMMYFUNCTION("""COMPUTED_VALUE"""),"HUB-LSP-29")</f>
        <v>HUB-LSP-29</v>
      </c>
      <c r="D5667" s="234">
        <f>IFERROR(__xludf.DUMMYFUNCTION("""COMPUTED_VALUE"""),33.0)</f>
        <v>33</v>
      </c>
      <c r="E5667" s="237" t="str">
        <f>IFERROR(__xludf.DUMMYFUNCTION("""COMPUTED_VALUE"""),"LT0Q1N01WTHV1")</f>
        <v>LT0Q1N01WTHV1</v>
      </c>
      <c r="F5667" s="238" t="str">
        <f>IFERROR(__xludf.DUMMYFUNCTION("""COMPUTED_VALUE"""),"IRW2J90,DPE5726")</f>
        <v>IRW2J90,DPE5726</v>
      </c>
      <c r="G5667" s="238">
        <f>IFERROR(__xludf.DUMMYFUNCTION("""COMPUTED_VALUE"""),46045.97916666667)</f>
        <v>46045.97917</v>
      </c>
      <c r="H5667" s="238">
        <f>IFERROR(__xludf.DUMMYFUNCTION("""COMPUTED_VALUE"""),46046.0625)</f>
        <v>46046.0625</v>
      </c>
      <c r="J5667" s="239">
        <v>119.99999999301508</v>
      </c>
    </row>
    <row r="5668">
      <c r="A5668" s="234"/>
      <c r="B5668" s="238" t="str">
        <f>IFERROR(__xludf.DUMMYFUNCTION("""COMPUTED_VALUE"""),"LM Hub_SP_Atibaia_Ponte_Alta")</f>
        <v>LM Hub_SP_Atibaia_Ponte_Alta</v>
      </c>
      <c r="C5668" s="238" t="str">
        <f>IFERROR(__xludf.DUMMYFUNCTION("""COMPUTED_VALUE"""),"HUB-LSP-87")</f>
        <v>HUB-LSP-87</v>
      </c>
      <c r="D5668" s="234">
        <f>IFERROR(__xludf.DUMMYFUNCTION("""COMPUTED_VALUE"""),12.0)</f>
        <v>12</v>
      </c>
      <c r="E5668" s="237" t="str">
        <f>IFERROR(__xludf.DUMMYFUNCTION("""COMPUTED_VALUE"""),"LT0Q1N01WWTP1")</f>
        <v>LT0Q1N01WWTP1</v>
      </c>
      <c r="F5668" s="238" t="str">
        <f>IFERROR(__xludf.DUMMYFUNCTION("""COMPUTED_VALUE"""),"EWJ4D08,STD0A94")</f>
        <v>EWJ4D08,STD0A94</v>
      </c>
      <c r="G5668" s="238">
        <f>IFERROR(__xludf.DUMMYFUNCTION("""COMPUTED_VALUE"""),46045.97916666667)</f>
        <v>46045.97917</v>
      </c>
      <c r="H5668" s="238">
        <f>IFERROR(__xludf.DUMMYFUNCTION("""COMPUTED_VALUE"""),46046.0625)</f>
        <v>46046.0625</v>
      </c>
      <c r="J5668" s="239">
        <v>119.99999999301508</v>
      </c>
    </row>
    <row r="5669">
      <c r="A5669" s="234"/>
      <c r="B5669" s="238" t="str">
        <f>IFERROR(__xludf.DUMMYFUNCTION("""COMPUTED_VALUE"""),"LM Hub_SP_Várzea Paulista")</f>
        <v>LM Hub_SP_Várzea Paulista</v>
      </c>
      <c r="C5669" s="238" t="str">
        <f>IFERROR(__xludf.DUMMYFUNCTION("""COMPUTED_VALUE"""),"HUB-LSP-20")</f>
        <v>HUB-LSP-20</v>
      </c>
      <c r="D5669" s="234">
        <f>IFERROR(__xludf.DUMMYFUNCTION("""COMPUTED_VALUE"""),8.0)</f>
        <v>8</v>
      </c>
      <c r="E5669" s="237" t="str">
        <f>IFERROR(__xludf.DUMMYFUNCTION("""COMPUTED_VALUE"""),"LT0Q1N01WTID1")</f>
        <v>LT0Q1N01WTID1</v>
      </c>
      <c r="F5669" s="238" t="str">
        <f>IFERROR(__xludf.DUMMYFUNCTION("""COMPUTED_VALUE"""),"LTR7J66,BTB3E49")</f>
        <v>LTR7J66,BTB3E49</v>
      </c>
      <c r="G5669" s="238">
        <f>IFERROR(__xludf.DUMMYFUNCTION("""COMPUTED_VALUE"""),46045.97916666667)</f>
        <v>46045.97917</v>
      </c>
      <c r="H5669" s="238">
        <f>IFERROR(__xludf.DUMMYFUNCTION("""COMPUTED_VALUE"""),46046.0625)</f>
        <v>46046.0625</v>
      </c>
      <c r="J5669" s="239">
        <v>119.99999999301508</v>
      </c>
    </row>
    <row r="5670">
      <c r="A5670" s="234"/>
      <c r="B5670" s="238" t="str">
        <f>IFERROR(__xludf.DUMMYFUNCTION("""COMPUTED_VALUE"""),"LM Hub_RJ_Ilha do Governador")</f>
        <v>LM Hub_RJ_Ilha do Governador</v>
      </c>
      <c r="C5670" s="238" t="str">
        <f>IFERROR(__xludf.DUMMYFUNCTION("""COMPUTED_VALUE"""),"HUB-LRJ-32")</f>
        <v>HUB-LRJ-32</v>
      </c>
      <c r="D5670" s="234">
        <f>IFERROR(__xludf.DUMMYFUNCTION("""COMPUTED_VALUE"""),35.0)</f>
        <v>35</v>
      </c>
      <c r="E5670" s="237" t="str">
        <f>IFERROR(__xludf.DUMMYFUNCTION("""COMPUTED_VALUE"""),"LT0Q1O01WYOD1")</f>
        <v>LT0Q1O01WYOD1</v>
      </c>
      <c r="F5670" s="238" t="str">
        <f>IFERROR(__xludf.DUMMYFUNCTION("""COMPUTED_VALUE"""),"QHK5J11")</f>
        <v>QHK5J11</v>
      </c>
      <c r="G5670" s="238">
        <f>IFERROR(__xludf.DUMMYFUNCTION("""COMPUTED_VALUE"""),46046.0)</f>
        <v>46046</v>
      </c>
      <c r="H5670" s="238">
        <f>IFERROR(__xludf.DUMMYFUNCTION("""COMPUTED_VALUE"""),46046.08333333333)</f>
        <v>46046.08333</v>
      </c>
      <c r="J5670" s="239">
        <v>119.99999999301508</v>
      </c>
    </row>
    <row r="5671">
      <c r="A5671" s="234"/>
      <c r="B5671" s="238" t="str">
        <f>IFERROR(__xludf.DUMMYFUNCTION("""COMPUTED_VALUE"""),"LM Hub_SP_Tatuí")</f>
        <v>LM Hub_SP_Tatuí</v>
      </c>
      <c r="C5671" s="238" t="str">
        <f>IFERROR(__xludf.DUMMYFUNCTION("""COMPUTED_VALUE"""),"HUB-LSP-51")</f>
        <v>HUB-LSP-51</v>
      </c>
      <c r="D5671" s="234">
        <f>IFERROR(__xludf.DUMMYFUNCTION("""COMPUTED_VALUE"""),9.0)</f>
        <v>9</v>
      </c>
      <c r="E5671" s="237" t="str">
        <f>IFERROR(__xludf.DUMMYFUNCTION("""COMPUTED_VALUE"""),"LT0Q1O01WTEY1")</f>
        <v>LT0Q1O01WTEY1</v>
      </c>
      <c r="F5671" s="238" t="str">
        <f>IFERROR(__xludf.DUMMYFUNCTION("""COMPUTED_VALUE"""),"FLN0H65,FTJ9A92")</f>
        <v>FLN0H65,FTJ9A92</v>
      </c>
      <c r="G5671" s="238">
        <f>IFERROR(__xludf.DUMMYFUNCTION("""COMPUTED_VALUE"""),46046.0)</f>
        <v>46046</v>
      </c>
      <c r="H5671" s="238">
        <f>IFERROR(__xludf.DUMMYFUNCTION("""COMPUTED_VALUE"""),46046.08333333333)</f>
        <v>46046.08333</v>
      </c>
      <c r="J5671" s="239">
        <v>119.99999999301508</v>
      </c>
    </row>
    <row r="5672">
      <c r="A5672" s="234"/>
      <c r="B5672" s="238" t="str">
        <f>IFERROR(__xludf.DUMMYFUNCTION("""COMPUTED_VALUE"""),"LM Hub_SP_Tatuí")</f>
        <v>LM Hub_SP_Tatuí</v>
      </c>
      <c r="C5672" s="238" t="str">
        <f>IFERROR(__xludf.DUMMYFUNCTION("""COMPUTED_VALUE"""),"HUB-LSP-51")</f>
        <v>HUB-LSP-51</v>
      </c>
      <c r="D5672" s="234">
        <f>IFERROR(__xludf.DUMMYFUNCTION("""COMPUTED_VALUE"""),45.0)</f>
        <v>45</v>
      </c>
      <c r="E5672" s="237" t="str">
        <f>IFERROR(__xludf.DUMMYFUNCTION("""COMPUTED_VALUE"""),"LT1Q1O01XAUW1")</f>
        <v>LT1Q1O01XAUW1</v>
      </c>
      <c r="F5672" s="238" t="str">
        <f>IFERROR(__xludf.DUMMYFUNCTION("""COMPUTED_VALUE"""),"SWD2I13,STN3J57")</f>
        <v>SWD2I13,STN3J57</v>
      </c>
      <c r="G5672" s="238">
        <f>IFERROR(__xludf.DUMMYFUNCTION("""COMPUTED_VALUE"""),46046.0)</f>
        <v>46046</v>
      </c>
      <c r="H5672" s="238">
        <f>IFERROR(__xludf.DUMMYFUNCTION("""COMPUTED_VALUE"""),46046.08333333333)</f>
        <v>46046.08333</v>
      </c>
      <c r="J5672" s="239">
        <v>119.99999999301508</v>
      </c>
    </row>
    <row r="5673">
      <c r="A5673" s="234"/>
      <c r="B5673" s="238" t="str">
        <f>IFERROR(__xludf.DUMMYFUNCTION("""COMPUTED_VALUE"""),"SoC_RJ_Duque de Caxias")</f>
        <v>SoC_RJ_Duque de Caxias</v>
      </c>
      <c r="C5673" s="238" t="str">
        <f>IFERROR(__xludf.DUMMYFUNCTION("""COMPUTED_VALUE"""),"SOC-RJ2")</f>
        <v>SOC-RJ2</v>
      </c>
      <c r="D5673" s="234"/>
      <c r="E5673" s="237" t="str">
        <f>IFERROR(__xludf.DUMMYFUNCTION("""COMPUTED_VALUE"""),"LT1Q1O01X9YQ1")</f>
        <v>LT1Q1O01X9YQ1</v>
      </c>
      <c r="F5673" s="238" t="str">
        <f>IFERROR(__xludf.DUMMYFUNCTION("""COMPUTED_VALUE"""),"UFV3D66,DKP0140")</f>
        <v>UFV3D66,DKP0140</v>
      </c>
      <c r="G5673" s="238">
        <f>IFERROR(__xludf.DUMMYFUNCTION("""COMPUTED_VALUE"""),46046.0)</f>
        <v>46046</v>
      </c>
      <c r="H5673" s="238">
        <f>IFERROR(__xludf.DUMMYFUNCTION("""COMPUTED_VALUE"""),46046.08333333333)</f>
        <v>46046.08333</v>
      </c>
      <c r="J5673" s="239">
        <v>119.99999999301508</v>
      </c>
    </row>
    <row r="5674">
      <c r="A5674" s="234"/>
      <c r="B5674" s="238" t="str">
        <f>IFERROR(__xludf.DUMMYFUNCTION("""COMPUTED_VALUE"""),"SoC_SP_Guarulhos")</f>
        <v>SoC_SP_Guarulhos</v>
      </c>
      <c r="C5674" s="238" t="str">
        <f>IFERROR(__xludf.DUMMYFUNCTION("""COMPUTED_VALUE"""),"SOC-SP6")</f>
        <v>SOC-SP6</v>
      </c>
      <c r="D5674" s="234">
        <f>IFERROR(__xludf.DUMMYFUNCTION("""COMPUTED_VALUE"""),47.0)</f>
        <v>47</v>
      </c>
      <c r="E5674" s="237" t="str">
        <f>IFERROR(__xludf.DUMMYFUNCTION("""COMPUTED_VALUE"""),"LT0Q1N01X2UJ1")</f>
        <v>LT0Q1N01X2UJ1</v>
      </c>
      <c r="F5674" s="238" t="str">
        <f>IFERROR(__xludf.DUMMYFUNCTION("""COMPUTED_VALUE"""),"GFP1C85,UDW9B60")</f>
        <v>GFP1C85,UDW9B60</v>
      </c>
      <c r="G5674" s="238">
        <f>IFERROR(__xludf.DUMMYFUNCTION("""COMPUTED_VALUE"""),46046.0)</f>
        <v>46046</v>
      </c>
      <c r="H5674" s="238">
        <f>IFERROR(__xludf.DUMMYFUNCTION("""COMPUTED_VALUE"""),46046.08333333333)</f>
        <v>46046.08333</v>
      </c>
      <c r="J5674" s="239">
        <v>118.99999998975545</v>
      </c>
    </row>
    <row r="5675">
      <c r="A5675" s="234"/>
      <c r="B5675" s="238" t="str">
        <f>IFERROR(__xludf.DUMMYFUNCTION("""COMPUTED_VALUE"""),"SoC_SP_Louveira")</f>
        <v>SoC_SP_Louveira</v>
      </c>
      <c r="C5675" s="238" t="str">
        <f>IFERROR(__xludf.DUMMYFUNCTION("""COMPUTED_VALUE"""),"SOC-SP7")</f>
        <v>SOC-SP7</v>
      </c>
      <c r="D5675" s="234"/>
      <c r="E5675" s="237" t="str">
        <f>IFERROR(__xludf.DUMMYFUNCTION("""COMPUTED_VALUE"""),"LT0Q1O01WTB51")</f>
        <v>LT0Q1O01WTB51</v>
      </c>
      <c r="F5675" s="238" t="str">
        <f>IFERROR(__xludf.DUMMYFUNCTION("""COMPUTED_VALUE"""),"JCG4I56,CUB1I46")</f>
        <v>JCG4I56,CUB1I46</v>
      </c>
      <c r="G5675" s="238">
        <f>IFERROR(__xludf.DUMMYFUNCTION("""COMPUTED_VALUE"""),46046.00069444445)</f>
        <v>46046.00069</v>
      </c>
      <c r="H5675" s="238">
        <f>IFERROR(__xludf.DUMMYFUNCTION("""COMPUTED_VALUE"""),46046.08333333333)</f>
        <v>46046.08333</v>
      </c>
      <c r="J5675" s="239">
        <v>120.00000001396984</v>
      </c>
    </row>
    <row r="5676">
      <c r="A5676" s="234"/>
      <c r="B5676" s="238" t="str">
        <f>IFERROR(__xludf.DUMMYFUNCTION("""COMPUTED_VALUE"""),"LM Hub_MG_Varginha_Fausto")</f>
        <v>LM Hub_MG_Varginha_Fausto</v>
      </c>
      <c r="C5676" s="238" t="str">
        <f>IFERROR(__xludf.DUMMYFUNCTION("""COMPUTED_VALUE"""),"HUB-LMG-45")</f>
        <v>HUB-LMG-45</v>
      </c>
      <c r="D5676" s="234"/>
      <c r="E5676" s="237" t="str">
        <f>IFERROR(__xludf.DUMMYFUNCTION("""COMPUTED_VALUE"""),"LT0Q1O01WY3N1")</f>
        <v>LT0Q1O01WY3N1</v>
      </c>
      <c r="F5676" s="238" t="str">
        <f>IFERROR(__xludf.DUMMYFUNCTION("""COMPUTED_VALUE"""),"GGT7B46")</f>
        <v>GGT7B46</v>
      </c>
      <c r="G5676" s="238">
        <f>IFERROR(__xludf.DUMMYFUNCTION("""COMPUTED_VALUE"""),46046.02083333333)</f>
        <v>46046.02083</v>
      </c>
      <c r="H5676" s="238">
        <f>IFERROR(__xludf.DUMMYFUNCTION("""COMPUTED_VALUE"""),46046.10416666667)</f>
        <v>46046.10417</v>
      </c>
      <c r="J5676" s="239">
        <v>60.00000000698492</v>
      </c>
    </row>
    <row r="5677">
      <c r="A5677" s="234"/>
      <c r="B5677" s="238" t="str">
        <f>IFERROR(__xludf.DUMMYFUNCTION("""COMPUTED_VALUE"""),"LM Hub_SP_Tatuí")</f>
        <v>LM Hub_SP_Tatuí</v>
      </c>
      <c r="C5677" s="238" t="str">
        <f>IFERROR(__xludf.DUMMYFUNCTION("""COMPUTED_VALUE"""),"HUB-LSP-51")</f>
        <v>HUB-LSP-51</v>
      </c>
      <c r="D5677" s="234"/>
      <c r="E5677" s="237" t="str">
        <f>IFERROR(__xludf.DUMMYFUNCTION("""COMPUTED_VALUE"""),"LT1Q1O01XAUX1")</f>
        <v>LT1Q1O01XAUX1</v>
      </c>
      <c r="F5677" s="238" t="str">
        <f>IFERROR(__xludf.DUMMYFUNCTION("""COMPUTED_VALUE"""),"FLO1G76")</f>
        <v>FLO1G76</v>
      </c>
      <c r="G5677" s="238">
        <f>IFERROR(__xludf.DUMMYFUNCTION("""COMPUTED_VALUE"""),46046.08333333333)</f>
        <v>46046.08333</v>
      </c>
      <c r="H5677" s="238">
        <f>IFERROR(__xludf.DUMMYFUNCTION("""COMPUTED_VALUE"""),46046.125)</f>
        <v>46046.125</v>
      </c>
      <c r="J5677" s="239">
        <v>540.0</v>
      </c>
    </row>
    <row r="5678">
      <c r="A5678" s="234"/>
      <c r="B5678" s="234"/>
      <c r="C5678" s="238" t="str">
        <f>IFERROR(__xludf.DUMMYFUNCTION("""COMPUTED_VALUE"""),"SOC-BA2")</f>
        <v>SOC-BA2</v>
      </c>
      <c r="D5678" s="234">
        <f>IFERROR(__xludf.DUMMYFUNCTION("""COMPUTED_VALUE"""),89.0)</f>
        <v>89</v>
      </c>
      <c r="E5678" s="237" t="str">
        <f>IFERROR(__xludf.DUMMYFUNCTION("""COMPUTED_VALUE"""),"LT0Q1N01WYFV1")</f>
        <v>LT0Q1N01WYFV1</v>
      </c>
      <c r="F5678" s="238" t="str">
        <f>IFERROR(__xludf.DUMMYFUNCTION("""COMPUTED_VALUE"""),"RNX2B61,TEK7I73")</f>
        <v>RNX2B61,TEK7I73</v>
      </c>
      <c r="G5678" s="238">
        <f>IFERROR(__xludf.DUMMYFUNCTION("""COMPUTED_VALUE"""),46045.79166666667)</f>
        <v>46045.79167</v>
      </c>
      <c r="H5678" s="238">
        <f>IFERROR(__xludf.DUMMYFUNCTION("""COMPUTED_VALUE"""),46046.16666666667)</f>
        <v>46046.16667</v>
      </c>
      <c r="J5678" s="239">
        <v>540.0</v>
      </c>
    </row>
    <row r="5679">
      <c r="A5679" s="234"/>
      <c r="B5679" s="238" t="str">
        <f>IFERROR(__xludf.DUMMYFUNCTION("""COMPUTED_VALUE"""),"SoC_PE_Jaboatão dos Guararapes")</f>
        <v>SoC_PE_Jaboatão dos Guararapes</v>
      </c>
      <c r="C5679" s="238" t="str">
        <f>IFERROR(__xludf.DUMMYFUNCTION("""COMPUTED_VALUE"""),"SOC-PE2")</f>
        <v>SOC-PE2</v>
      </c>
      <c r="D5679" s="234">
        <f>IFERROR(__xludf.DUMMYFUNCTION("""COMPUTED_VALUE"""),99.0)</f>
        <v>99</v>
      </c>
      <c r="E5679" s="237" t="str">
        <f>IFERROR(__xludf.DUMMYFUNCTION("""COMPUTED_VALUE"""),"LT0Q1N01WYCF2")</f>
        <v>LT0Q1N01WYCF2</v>
      </c>
      <c r="F5679" s="238" t="str">
        <f>IFERROR(__xludf.DUMMYFUNCTION("""COMPUTED_VALUE"""),"GAT0D78,TKS8B11")</f>
        <v>GAT0D78,TKS8B11</v>
      </c>
      <c r="G5679" s="238">
        <f>IFERROR(__xludf.DUMMYFUNCTION("""COMPUTED_VALUE"""),46045.79166666667)</f>
        <v>46045.79167</v>
      </c>
      <c r="H5679" s="238">
        <f>IFERROR(__xludf.DUMMYFUNCTION("""COMPUTED_VALUE"""),46046.16666666667)</f>
        <v>46046.16667</v>
      </c>
      <c r="J5679" s="239">
        <v>540.0</v>
      </c>
    </row>
    <row r="5680">
      <c r="A5680" s="234"/>
      <c r="B5680" s="238" t="str">
        <f>IFERROR(__xludf.DUMMYFUNCTION("""COMPUTED_VALUE"""),"SoC_SC_Itajaí")</f>
        <v>SoC_SC_Itajaí</v>
      </c>
      <c r="C5680" s="238" t="str">
        <f>IFERROR(__xludf.DUMMYFUNCTION("""COMPUTED_VALUE"""),"SOC-SC1")</f>
        <v>SOC-SC1</v>
      </c>
      <c r="D5680" s="234">
        <f>IFERROR(__xludf.DUMMYFUNCTION("""COMPUTED_VALUE"""),101.0)</f>
        <v>101</v>
      </c>
      <c r="E5680" s="237" t="str">
        <f>IFERROR(__xludf.DUMMYFUNCTION("""COMPUTED_VALUE"""),"LT0Q1N01WXHH1")</f>
        <v>LT0Q1N01WXHH1</v>
      </c>
      <c r="F5680" s="238" t="str">
        <f>IFERROR(__xludf.DUMMYFUNCTION("""COMPUTED_VALUE"""),"IZN0F76,RLK4C74")</f>
        <v>IZN0F76,RLK4C74</v>
      </c>
      <c r="G5680" s="238">
        <f>IFERROR(__xludf.DUMMYFUNCTION("""COMPUTED_VALUE"""),46045.79166666667)</f>
        <v>46045.79167</v>
      </c>
      <c r="H5680" s="238">
        <f>IFERROR(__xludf.DUMMYFUNCTION("""COMPUTED_VALUE"""),46046.16666666667)</f>
        <v>46046.16667</v>
      </c>
      <c r="J5680" s="239">
        <v>540.0</v>
      </c>
    </row>
    <row r="5681">
      <c r="A5681" s="234"/>
      <c r="B5681" s="238" t="str">
        <f>IFERROR(__xludf.DUMMYFUNCTION("""COMPUTED_VALUE"""),"SoC_SP_Cravinhos")</f>
        <v>SoC_SP_Cravinhos</v>
      </c>
      <c r="C5681" s="238" t="str">
        <f>IFERROR(__xludf.DUMMYFUNCTION("""COMPUTED_VALUE"""),"SOC-SP5")</f>
        <v>SOC-SP5</v>
      </c>
      <c r="D5681" s="234">
        <f>IFERROR(__xludf.DUMMYFUNCTION("""COMPUTED_VALUE"""),94.0)</f>
        <v>94</v>
      </c>
      <c r="E5681" s="237" t="str">
        <f>IFERROR(__xludf.DUMMYFUNCTION("""COMPUTED_VALUE"""),"LT0Q1N01WTAA3")</f>
        <v>LT0Q1N01WTAA3</v>
      </c>
      <c r="F5681" s="238" t="str">
        <f>IFERROR(__xludf.DUMMYFUNCTION("""COMPUTED_VALUE"""),"EGK9D93,ECM7779")</f>
        <v>EGK9D93,ECM7779</v>
      </c>
      <c r="G5681" s="238">
        <f>IFERROR(__xludf.DUMMYFUNCTION("""COMPUTED_VALUE"""),46045.79166666667)</f>
        <v>46045.79167</v>
      </c>
      <c r="H5681" s="238">
        <f>IFERROR(__xludf.DUMMYFUNCTION("""COMPUTED_VALUE"""),46046.16666666667)</f>
        <v>46046.16667</v>
      </c>
      <c r="J5681" s="239">
        <v>120.00000001396984</v>
      </c>
    </row>
    <row r="5682">
      <c r="A5682" s="234"/>
      <c r="B5682" s="238" t="str">
        <f>IFERROR(__xludf.DUMMYFUNCTION("""COMPUTED_VALUE"""),"SoC_PR_Curitiba")</f>
        <v>SoC_PR_Curitiba</v>
      </c>
      <c r="C5682" s="238" t="str">
        <f>IFERROR(__xludf.DUMMYFUNCTION("""COMPUTED_VALUE"""),"SOC-PR1")</f>
        <v>SOC-PR1</v>
      </c>
      <c r="D5682" s="234"/>
      <c r="E5682" s="237" t="str">
        <f>IFERROR(__xludf.DUMMYFUNCTION("""COMPUTED_VALUE"""),"LT0Q1O01WT8Y1")</f>
        <v>LT0Q1O01WT8Y1</v>
      </c>
      <c r="F5682" s="238" t="str">
        <f>IFERROR(__xludf.DUMMYFUNCTION("""COMPUTED_VALUE"""),"FQJ8B01,UGV7H67")</f>
        <v>FQJ8B01,UGV7H67</v>
      </c>
      <c r="G5682" s="238">
        <f>IFERROR(__xludf.DUMMYFUNCTION("""COMPUTED_VALUE"""),46046.08333333333)</f>
        <v>46046.08333</v>
      </c>
      <c r="H5682" s="238">
        <f>IFERROR(__xludf.DUMMYFUNCTION("""COMPUTED_VALUE"""),46046.16666666667)</f>
        <v>46046.16667</v>
      </c>
      <c r="J5682" s="239">
        <v>120.00000001396984</v>
      </c>
    </row>
    <row r="5683">
      <c r="A5683" s="234"/>
      <c r="B5683" s="238" t="str">
        <f>IFERROR(__xludf.DUMMYFUNCTION("""COMPUTED_VALUE"""),"SoC_RJ_Duque de Caxias")</f>
        <v>SoC_RJ_Duque de Caxias</v>
      </c>
      <c r="C5683" s="238" t="str">
        <f>IFERROR(__xludf.DUMMYFUNCTION("""COMPUTED_VALUE"""),"SOC-RJ2")</f>
        <v>SOC-RJ2</v>
      </c>
      <c r="D5683" s="234">
        <f>IFERROR(__xludf.DUMMYFUNCTION("""COMPUTED_VALUE"""),97.0)</f>
        <v>97</v>
      </c>
      <c r="E5683" s="237" t="str">
        <f>IFERROR(__xludf.DUMMYFUNCTION("""COMPUTED_VALUE"""),"LT1Q1O01X9YR1")</f>
        <v>LT1Q1O01X9YR1</v>
      </c>
      <c r="F5683" s="238" t="str">
        <f>IFERROR(__xludf.DUMMYFUNCTION("""COMPUTED_VALUE"""),"UFV3D66,DKP0140")</f>
        <v>UFV3D66,DKP0140</v>
      </c>
      <c r="G5683" s="238">
        <f>IFERROR(__xludf.DUMMYFUNCTION("""COMPUTED_VALUE"""),46046.08333333333)</f>
        <v>46046.08333</v>
      </c>
      <c r="H5683" s="238">
        <f>IFERROR(__xludf.DUMMYFUNCTION("""COMPUTED_VALUE"""),46046.16666666667)</f>
        <v>46046.16667</v>
      </c>
      <c r="J5683" s="239">
        <v>120.00000001396984</v>
      </c>
    </row>
    <row r="5684">
      <c r="A5684" s="234"/>
      <c r="B5684" s="238" t="str">
        <f>IFERROR(__xludf.DUMMYFUNCTION("""COMPUTED_VALUE"""),"SoC_SP_Louveira")</f>
        <v>SoC_SP_Louveira</v>
      </c>
      <c r="C5684" s="238" t="str">
        <f>IFERROR(__xludf.DUMMYFUNCTION("""COMPUTED_VALUE"""),"SOC-SP7")</f>
        <v>SOC-SP7</v>
      </c>
      <c r="D5684" s="234">
        <f>IFERROR(__xludf.DUMMYFUNCTION("""COMPUTED_VALUE"""),41.0)</f>
        <v>41</v>
      </c>
      <c r="E5684" s="237" t="str">
        <f>IFERROR(__xludf.DUMMYFUNCTION("""COMPUTED_VALUE"""),"LT1Q1N01X9YM1")</f>
        <v>LT1Q1N01X9YM1</v>
      </c>
      <c r="F5684" s="238" t="str">
        <f>IFERROR(__xludf.DUMMYFUNCTION("""COMPUTED_VALUE"""),"CUA7D12,EJW6G99")</f>
        <v>CUA7D12,EJW6G99</v>
      </c>
      <c r="G5684" s="238">
        <f>IFERROR(__xludf.DUMMYFUNCTION("""COMPUTED_VALUE"""),46046.08333333333)</f>
        <v>46046.08333</v>
      </c>
      <c r="H5684" s="238">
        <f>IFERROR(__xludf.DUMMYFUNCTION("""COMPUTED_VALUE"""),46046.16666666667)</f>
        <v>46046.16667</v>
      </c>
      <c r="J5684" s="239">
        <v>119.99999999301508</v>
      </c>
    </row>
    <row r="5685">
      <c r="A5685" s="234"/>
      <c r="B5685" s="238" t="str">
        <f>IFERROR(__xludf.DUMMYFUNCTION("""COMPUTED_VALUE"""),"LM Hub_SP_Itapetininga")</f>
        <v>LM Hub_SP_Itapetininga</v>
      </c>
      <c r="C5685" s="238" t="str">
        <f>IFERROR(__xludf.DUMMYFUNCTION("""COMPUTED_VALUE"""),"HUB-LSP-53")</f>
        <v>HUB-LSP-53</v>
      </c>
      <c r="D5685" s="234">
        <f>IFERROR(__xludf.DUMMYFUNCTION("""COMPUTED_VALUE"""),34.0)</f>
        <v>34</v>
      </c>
      <c r="E5685" s="237" t="str">
        <f>IFERROR(__xludf.DUMMYFUNCTION("""COMPUTED_VALUE"""),"LT0Q1O01WTET1")</f>
        <v>LT0Q1O01WTET1</v>
      </c>
      <c r="F5685" s="238" t="str">
        <f>IFERROR(__xludf.DUMMYFUNCTION("""COMPUTED_VALUE"""),"FZY3F48")</f>
        <v>FZY3F48</v>
      </c>
      <c r="G5685" s="238">
        <f>IFERROR(__xludf.DUMMYFUNCTION("""COMPUTED_VALUE"""),46046.10416666667)</f>
        <v>46046.10417</v>
      </c>
      <c r="H5685" s="238">
        <f>IFERROR(__xludf.DUMMYFUNCTION("""COMPUTED_VALUE"""),46046.1875)</f>
        <v>46046.1875</v>
      </c>
      <c r="J5685" s="239">
        <v>119.99999999301508</v>
      </c>
    </row>
    <row r="5686">
      <c r="A5686" s="234"/>
      <c r="B5686" s="238" t="str">
        <f>IFERROR(__xludf.DUMMYFUNCTION("""COMPUTED_VALUE"""),"LM Hub_SP_São Carlos")</f>
        <v>LM Hub_SP_São Carlos</v>
      </c>
      <c r="C5686" s="238" t="str">
        <f>IFERROR(__xludf.DUMMYFUNCTION("""COMPUTED_VALUE"""),"HUB-LSP-31")</f>
        <v>HUB-LSP-31</v>
      </c>
      <c r="D5686" s="234">
        <f>IFERROR(__xludf.DUMMYFUNCTION("""COMPUTED_VALUE"""),26.0)</f>
        <v>26</v>
      </c>
      <c r="E5686" s="237" t="str">
        <f>IFERROR(__xludf.DUMMYFUNCTION("""COMPUTED_VALUE"""),"LT0Q1O01WTHA1")</f>
        <v>LT0Q1O01WTHA1</v>
      </c>
      <c r="F5686" s="238" t="str">
        <f>IFERROR(__xludf.DUMMYFUNCTION("""COMPUTED_VALUE"""),"DYL0G56")</f>
        <v>DYL0G56</v>
      </c>
      <c r="G5686" s="238">
        <f>IFERROR(__xludf.DUMMYFUNCTION("""COMPUTED_VALUE"""),46046.10416666667)</f>
        <v>46046.10417</v>
      </c>
      <c r="H5686" s="238">
        <f>IFERROR(__xludf.DUMMYFUNCTION("""COMPUTED_VALUE"""),46046.1875)</f>
        <v>46046.1875</v>
      </c>
      <c r="J5686" s="239">
        <v>119.99999999301508</v>
      </c>
    </row>
    <row r="5687">
      <c r="A5687" s="234"/>
      <c r="B5687" s="238" t="str">
        <f>IFERROR(__xludf.DUMMYFUNCTION("""COMPUTED_VALUE"""),"LM Hub_SP_Itapeva")</f>
        <v>LM Hub_SP_Itapeva</v>
      </c>
      <c r="C5687" s="238" t="str">
        <f>IFERROR(__xludf.DUMMYFUNCTION("""COMPUTED_VALUE"""),"HUB-LSP-39")</f>
        <v>HUB-LSP-39</v>
      </c>
      <c r="D5687" s="234">
        <f>IFERROR(__xludf.DUMMYFUNCTION("""COMPUTED_VALUE"""),9.0)</f>
        <v>9</v>
      </c>
      <c r="E5687" s="237" t="str">
        <f>IFERROR(__xludf.DUMMYFUNCTION("""COMPUTED_VALUE"""),"LT0Q1O01WTF31")</f>
        <v>LT0Q1O01WTF31</v>
      </c>
      <c r="F5687" s="238" t="str">
        <f>IFERROR(__xludf.DUMMYFUNCTION("""COMPUTED_VALUE"""),"FCT0F31")</f>
        <v>FCT0F31</v>
      </c>
      <c r="G5687" s="238">
        <f>IFERROR(__xludf.DUMMYFUNCTION("""COMPUTED_VALUE"""),46046.125)</f>
        <v>46046.125</v>
      </c>
      <c r="H5687" s="238">
        <f>IFERROR(__xludf.DUMMYFUNCTION("""COMPUTED_VALUE"""),46046.20833333333)</f>
        <v>46046.20833</v>
      </c>
      <c r="J5687" s="239">
        <v>119.99999999301508</v>
      </c>
    </row>
    <row r="5688">
      <c r="A5688" s="234"/>
      <c r="B5688" s="234"/>
      <c r="C5688" s="238" t="str">
        <f>IFERROR(__xludf.DUMMYFUNCTION("""COMPUTED_VALUE"""),"HUB-LSP-88")</f>
        <v>HUB-LSP-88</v>
      </c>
      <c r="D5688" s="234">
        <f>IFERROR(__xludf.DUMMYFUNCTION("""COMPUTED_VALUE"""),6.0)</f>
        <v>6</v>
      </c>
      <c r="E5688" s="237" t="str">
        <f>IFERROR(__xludf.DUMMYFUNCTION("""COMPUTED_VALUE"""),"LT0Q1O01WXZ81")</f>
        <v>LT0Q1O01WXZ81</v>
      </c>
      <c r="F5688" s="238" t="str">
        <f>IFERROR(__xludf.DUMMYFUNCTION("""COMPUTED_VALUE"""),"GGQ5I15")</f>
        <v>GGQ5I15</v>
      </c>
      <c r="G5688" s="238">
        <f>IFERROR(__xludf.DUMMYFUNCTION("""COMPUTED_VALUE"""),46046.125)</f>
        <v>46046.125</v>
      </c>
      <c r="H5688" s="238">
        <f>IFERROR(__xludf.DUMMYFUNCTION("""COMPUTED_VALUE"""),46046.20833333333)</f>
        <v>46046.20833</v>
      </c>
      <c r="J5688" s="239">
        <v>119.99999999301508</v>
      </c>
    </row>
    <row r="5689">
      <c r="A5689" s="234"/>
      <c r="B5689" s="238" t="str">
        <f>IFERROR(__xludf.DUMMYFUNCTION("""COMPUTED_VALUE"""),"SoC_PR_Curitiba")</f>
        <v>SoC_PR_Curitiba</v>
      </c>
      <c r="C5689" s="238" t="str">
        <f>IFERROR(__xludf.DUMMYFUNCTION("""COMPUTED_VALUE"""),"SOC-PR1")</f>
        <v>SOC-PR1</v>
      </c>
      <c r="D5689" s="234">
        <f>IFERROR(__xludf.DUMMYFUNCTION("""COMPUTED_VALUE"""),29.0)</f>
        <v>29</v>
      </c>
      <c r="E5689" s="237" t="str">
        <f>IFERROR(__xludf.DUMMYFUNCTION("""COMPUTED_VALUE"""),"LT0Q1O01WT931")</f>
        <v>LT0Q1O01WT931</v>
      </c>
      <c r="F5689" s="238" t="str">
        <f>IFERROR(__xludf.DUMMYFUNCTION("""COMPUTED_VALUE"""),"RXR9B23,UDL7A38")</f>
        <v>RXR9B23,UDL7A38</v>
      </c>
      <c r="G5689" s="238">
        <f>IFERROR(__xludf.DUMMYFUNCTION("""COMPUTED_VALUE"""),46046.125)</f>
        <v>46046.125</v>
      </c>
      <c r="H5689" s="238">
        <f>IFERROR(__xludf.DUMMYFUNCTION("""COMPUTED_VALUE"""),46046.20833333333)</f>
        <v>46046.20833</v>
      </c>
      <c r="J5689" s="239">
        <v>120.00000001396984</v>
      </c>
    </row>
    <row r="5690">
      <c r="A5690" s="234"/>
      <c r="B5690" s="238" t="str">
        <f>IFERROR(__xludf.DUMMYFUNCTION("""COMPUTED_VALUE"""),"LM Hub_SP_Campinas_São Martinho")</f>
        <v>LM Hub_SP_Campinas_São Martinho</v>
      </c>
      <c r="C5690" s="238" t="str">
        <f>IFERROR(__xludf.DUMMYFUNCTION("""COMPUTED_VALUE"""),"HUB-LSP-19")</f>
        <v>HUB-LSP-19</v>
      </c>
      <c r="D5690" s="234">
        <f>IFERROR(__xludf.DUMMYFUNCTION("""COMPUTED_VALUE"""),46.0)</f>
        <v>46</v>
      </c>
      <c r="E5690" s="237" t="str">
        <f>IFERROR(__xludf.DUMMYFUNCTION("""COMPUTED_VALUE"""),"LT0Q1O01WTJ41")</f>
        <v>LT0Q1O01WTJ41</v>
      </c>
      <c r="F5690" s="238" t="str">
        <f>IFERROR(__xludf.DUMMYFUNCTION("""COMPUTED_VALUE"""),"GCJ6G71")</f>
        <v>GCJ6G71</v>
      </c>
      <c r="G5690" s="238">
        <f>IFERROR(__xludf.DUMMYFUNCTION("""COMPUTED_VALUE"""),46046.14583333333)</f>
        <v>46046.14583</v>
      </c>
      <c r="H5690" s="238">
        <f>IFERROR(__xludf.DUMMYFUNCTION("""COMPUTED_VALUE"""),46046.22916666667)</f>
        <v>46046.22917</v>
      </c>
      <c r="J5690" s="239">
        <v>120.00000001396984</v>
      </c>
    </row>
    <row r="5691">
      <c r="A5691" s="234"/>
      <c r="B5691" s="234"/>
      <c r="C5691" s="238" t="str">
        <f>IFERROR(__xludf.DUMMYFUNCTION("""COMPUTED_VALUE"""),"HUB-LSP-37")</f>
        <v>HUB-LSP-37</v>
      </c>
      <c r="D5691" s="234">
        <f>IFERROR(__xludf.DUMMYFUNCTION("""COMPUTED_VALUE"""),47.0)</f>
        <v>47</v>
      </c>
      <c r="E5691" s="237" t="str">
        <f>IFERROR(__xludf.DUMMYFUNCTION("""COMPUTED_VALUE"""),"LT0Q1O01WTHL1")</f>
        <v>LT0Q1O01WTHL1</v>
      </c>
      <c r="F5691" s="238" t="str">
        <f>IFERROR(__xludf.DUMMYFUNCTION("""COMPUTED_VALUE"""),"TLE4D84")</f>
        <v>TLE4D84</v>
      </c>
      <c r="G5691" s="238">
        <f>IFERROR(__xludf.DUMMYFUNCTION("""COMPUTED_VALUE"""),46046.14583333333)</f>
        <v>46046.14583</v>
      </c>
      <c r="H5691" s="238">
        <f>IFERROR(__xludf.DUMMYFUNCTION("""COMPUTED_VALUE"""),46046.22916666667)</f>
        <v>46046.22917</v>
      </c>
      <c r="J5691" s="239">
        <v>120.00000001396984</v>
      </c>
    </row>
    <row r="5692">
      <c r="A5692" s="234"/>
      <c r="B5692" s="238" t="str">
        <f>IFERROR(__xludf.DUMMYFUNCTION("""COMPUTED_VALUE"""),"LM Hub_SP_Sorocaba_Região Norte")</f>
        <v>LM Hub_SP_Sorocaba_Região Norte</v>
      </c>
      <c r="C5692" s="238" t="str">
        <f>IFERROR(__xludf.DUMMYFUNCTION("""COMPUTED_VALUE"""),"HUB-LSP-10")</f>
        <v>HUB-LSP-10</v>
      </c>
      <c r="D5692" s="234">
        <f>IFERROR(__xludf.DUMMYFUNCTION("""COMPUTED_VALUE"""),7.0)</f>
        <v>7</v>
      </c>
      <c r="E5692" s="237" t="str">
        <f>IFERROR(__xludf.DUMMYFUNCTION("""COMPUTED_VALUE"""),"LT0Q1O01WTGL1")</f>
        <v>LT0Q1O01WTGL1</v>
      </c>
      <c r="F5692" s="238" t="str">
        <f>IFERROR(__xludf.DUMMYFUNCTION("""COMPUTED_VALUE"""),"UAX1H38,UGQ4G38")</f>
        <v>UAX1H38,UGQ4G38</v>
      </c>
      <c r="G5692" s="238">
        <f>IFERROR(__xludf.DUMMYFUNCTION("""COMPUTED_VALUE"""),46046.14583333333)</f>
        <v>46046.14583</v>
      </c>
      <c r="H5692" s="238">
        <f>IFERROR(__xludf.DUMMYFUNCTION("""COMPUTED_VALUE"""),46046.22916666667)</f>
        <v>46046.22917</v>
      </c>
      <c r="J5692" s="239">
        <v>119.99999999301508</v>
      </c>
    </row>
    <row r="5693">
      <c r="A5693" s="234"/>
      <c r="B5693" s="234"/>
      <c r="C5693" s="238" t="str">
        <f>IFERROR(__xludf.DUMMYFUNCTION("""COMPUTED_VALUE"""),"HUB-LSP-33")</f>
        <v>HUB-LSP-33</v>
      </c>
      <c r="D5693" s="234">
        <f>IFERROR(__xludf.DUMMYFUNCTION("""COMPUTED_VALUE"""),15.0)</f>
        <v>15</v>
      </c>
      <c r="E5693" s="237" t="str">
        <f>IFERROR(__xludf.DUMMYFUNCTION("""COMPUTED_VALUE"""),"LT0Q1O01WTFW1")</f>
        <v>LT0Q1O01WTFW1</v>
      </c>
      <c r="F5693" s="238" t="str">
        <f>IFERROR(__xludf.DUMMYFUNCTION("""COMPUTED_VALUE"""),"TAJ5D50")</f>
        <v>TAJ5D50</v>
      </c>
      <c r="G5693" s="238">
        <f>IFERROR(__xludf.DUMMYFUNCTION("""COMPUTED_VALUE"""),46046.16666666667)</f>
        <v>46046.16667</v>
      </c>
      <c r="H5693" s="238">
        <f>IFERROR(__xludf.DUMMYFUNCTION("""COMPUTED_VALUE"""),46046.25)</f>
        <v>46046.25</v>
      </c>
      <c r="J5693" s="239">
        <v>119.99999999301508</v>
      </c>
    </row>
    <row r="5694">
      <c r="A5694" s="234"/>
      <c r="B5694" s="234"/>
      <c r="C5694" s="238" t="str">
        <f>IFERROR(__xludf.DUMMYFUNCTION("""COMPUTED_VALUE"""),"HUB-LSP-24")</f>
        <v>HUB-LSP-24</v>
      </c>
      <c r="D5694" s="234">
        <f>IFERROR(__xludf.DUMMYFUNCTION("""COMPUTED_VALUE"""),27.0)</f>
        <v>27</v>
      </c>
      <c r="E5694" s="237" t="str">
        <f>IFERROR(__xludf.DUMMYFUNCTION("""COMPUTED_VALUE"""),"LT0Q1O01WTGW1")</f>
        <v>LT0Q1O01WTGW1</v>
      </c>
      <c r="F5694" s="238" t="str">
        <f>IFERROR(__xludf.DUMMYFUNCTION("""COMPUTED_VALUE"""),"RYF7D49")</f>
        <v>RYF7D49</v>
      </c>
      <c r="G5694" s="238">
        <f>IFERROR(__xludf.DUMMYFUNCTION("""COMPUTED_VALUE"""),46046.16666666667)</f>
        <v>46046.16667</v>
      </c>
      <c r="H5694" s="238">
        <f>IFERROR(__xludf.DUMMYFUNCTION("""COMPUTED_VALUE"""),46046.25)</f>
        <v>46046.25</v>
      </c>
      <c r="J5694" s="239">
        <v>119.99999999301508</v>
      </c>
    </row>
    <row r="5695">
      <c r="A5695" s="234"/>
      <c r="B5695" s="234"/>
      <c r="C5695" s="238" t="str">
        <f>IFERROR(__xludf.DUMMYFUNCTION("""COMPUTED_VALUE"""),"HUB-LSP-40")</f>
        <v>HUB-LSP-40</v>
      </c>
      <c r="D5695" s="234">
        <f>IFERROR(__xludf.DUMMYFUNCTION("""COMPUTED_VALUE"""),32.0)</f>
        <v>32</v>
      </c>
      <c r="E5695" s="237" t="str">
        <f>IFERROR(__xludf.DUMMYFUNCTION("""COMPUTED_VALUE"""),"LT0Q1O01WTFN1")</f>
        <v>LT0Q1O01WTFN1</v>
      </c>
      <c r="F5695" s="238" t="str">
        <f>IFERROR(__xludf.DUMMYFUNCTION("""COMPUTED_VALUE"""),"MJK1G22")</f>
        <v>MJK1G22</v>
      </c>
      <c r="G5695" s="238">
        <f>IFERROR(__xludf.DUMMYFUNCTION("""COMPUTED_VALUE"""),46046.16666666667)</f>
        <v>46046.16667</v>
      </c>
      <c r="H5695" s="238">
        <f>IFERROR(__xludf.DUMMYFUNCTION("""COMPUTED_VALUE"""),46046.25)</f>
        <v>46046.25</v>
      </c>
      <c r="J5695" s="239">
        <v>119.99999999301508</v>
      </c>
    </row>
    <row r="5696">
      <c r="A5696" s="234"/>
      <c r="B5696" s="238" t="str">
        <f>IFERROR(__xludf.DUMMYFUNCTION("""COMPUTED_VALUE"""),"SoC_RJ_Duque de Caxias")</f>
        <v>SoC_RJ_Duque de Caxias</v>
      </c>
      <c r="C5696" s="238" t="str">
        <f>IFERROR(__xludf.DUMMYFUNCTION("""COMPUTED_VALUE"""),"SOC-RJ2")</f>
        <v>SOC-RJ2</v>
      </c>
      <c r="D5696" s="234">
        <f>IFERROR(__xludf.DUMMYFUNCTION("""COMPUTED_VALUE"""),112.0)</f>
        <v>112</v>
      </c>
      <c r="E5696" s="237" t="str">
        <f>IFERROR(__xludf.DUMMYFUNCTION("""COMPUTED_VALUE"""),"LT1Q1O01X9YT1")</f>
        <v>LT1Q1O01X9YT1</v>
      </c>
      <c r="F5696" s="238" t="str">
        <f>IFERROR(__xludf.DUMMYFUNCTION("""COMPUTED_VALUE"""),"MAR6J89,NUN8J32")</f>
        <v>MAR6J89,NUN8J32</v>
      </c>
      <c r="G5696" s="238">
        <f>IFERROR(__xludf.DUMMYFUNCTION("""COMPUTED_VALUE"""),46046.16666666667)</f>
        <v>46046.16667</v>
      </c>
      <c r="H5696" s="238">
        <f>IFERROR(__xludf.DUMMYFUNCTION("""COMPUTED_VALUE"""),46046.25)</f>
        <v>46046.25</v>
      </c>
      <c r="J5696" s="239">
        <v>119.99999999301508</v>
      </c>
    </row>
    <row r="5697">
      <c r="A5697" s="234"/>
      <c r="B5697" s="234"/>
      <c r="C5697" s="238" t="str">
        <f>IFERROR(__xludf.DUMMYFUNCTION("""COMPUTED_VALUE"""),"SOC-RJ2")</f>
        <v>SOC-RJ2</v>
      </c>
      <c r="D5697" s="234">
        <f>IFERROR(__xludf.DUMMYFUNCTION("""COMPUTED_VALUE"""),97.0)</f>
        <v>97</v>
      </c>
      <c r="E5697" s="237" t="str">
        <f>IFERROR(__xludf.DUMMYFUNCTION("""COMPUTED_VALUE"""),"LT1Q1O01X9YU1")</f>
        <v>LT1Q1O01X9YU1</v>
      </c>
      <c r="F5697" s="238" t="str">
        <f>IFERROR(__xludf.DUMMYFUNCTION("""COMPUTED_VALUE"""),"GXM8E60,DPC2J62")</f>
        <v>GXM8E60,DPC2J62</v>
      </c>
      <c r="G5697" s="238">
        <f>IFERROR(__xludf.DUMMYFUNCTION("""COMPUTED_VALUE"""),46046.16666666667)</f>
        <v>46046.16667</v>
      </c>
      <c r="H5697" s="238">
        <f>IFERROR(__xludf.DUMMYFUNCTION("""COMPUTED_VALUE"""),46046.25)</f>
        <v>46046.25</v>
      </c>
      <c r="J5697" s="239">
        <v>119.99999999301508</v>
      </c>
    </row>
    <row r="5698">
      <c r="A5698" s="234"/>
      <c r="B5698" s="238" t="str">
        <f>IFERROR(__xludf.DUMMYFUNCTION("""COMPUTED_VALUE"""),"SoC_SP_Louveira")</f>
        <v>SoC_SP_Louveira</v>
      </c>
      <c r="C5698" s="238" t="str">
        <f>IFERROR(__xludf.DUMMYFUNCTION("""COMPUTED_VALUE"""),"SOC-SP7")</f>
        <v>SOC-SP7</v>
      </c>
      <c r="D5698" s="234"/>
      <c r="E5698" s="237" t="str">
        <f>IFERROR(__xludf.DUMMYFUNCTION("""COMPUTED_VALUE"""),"LT0Q1O01WTBB1")</f>
        <v>LT0Q1O01WTBB1</v>
      </c>
      <c r="F5698" s="238" t="str">
        <f>IFERROR(__xludf.DUMMYFUNCTION("""COMPUTED_VALUE"""),"EFO6B06,MJH0C66")</f>
        <v>EFO6B06,MJH0C66</v>
      </c>
      <c r="G5698" s="238">
        <f>IFERROR(__xludf.DUMMYFUNCTION("""COMPUTED_VALUE"""),46046.16666666667)</f>
        <v>46046.16667</v>
      </c>
      <c r="H5698" s="238">
        <f>IFERROR(__xludf.DUMMYFUNCTION("""COMPUTED_VALUE"""),46046.25)</f>
        <v>46046.25</v>
      </c>
      <c r="J5698" s="239">
        <v>119.99999999301508</v>
      </c>
    </row>
    <row r="5699">
      <c r="A5699" s="234"/>
      <c r="B5699" s="234" t="str">
        <f>IFERROR(__xludf.DUMMYFUNCTION("""COMPUTED_VALUE"""),"SoC_SP_Santana")</f>
        <v>SoC_SP_Santana</v>
      </c>
      <c r="C5699" s="238" t="str">
        <f>IFERROR(__xludf.DUMMYFUNCTION("""COMPUTED_VALUE"""),"SOC-SP2")</f>
        <v>SOC-SP2</v>
      </c>
      <c r="D5699" s="234"/>
      <c r="E5699" s="237" t="str">
        <f>IFERROR(__xludf.DUMMYFUNCTION("""COMPUTED_VALUE"""),"LT0Q1O01WTX21")</f>
        <v>LT0Q1O01WTX21</v>
      </c>
      <c r="F5699" s="238" t="str">
        <f>IFERROR(__xludf.DUMMYFUNCTION("""COMPUTED_VALUE"""),"STN7J16,DAE4E21")</f>
        <v>STN7J16,DAE4E21</v>
      </c>
      <c r="G5699" s="238">
        <f>IFERROR(__xludf.DUMMYFUNCTION("""COMPUTED_VALUE"""),46046.16666666667)</f>
        <v>46046.16667</v>
      </c>
      <c r="H5699" s="238">
        <f>IFERROR(__xludf.DUMMYFUNCTION("""COMPUTED_VALUE"""),46046.25)</f>
        <v>46046.25</v>
      </c>
      <c r="J5699" s="239">
        <v>119.99999999301508</v>
      </c>
    </row>
    <row r="5700">
      <c r="A5700" s="234"/>
      <c r="B5700" s="234"/>
      <c r="C5700" s="238" t="str">
        <f>IFERROR(__xludf.DUMMYFUNCTION("""COMPUTED_VALUE"""),"SOC-SP2")</f>
        <v>SOC-SP2</v>
      </c>
      <c r="D5700" s="234">
        <f>IFERROR(__xludf.DUMMYFUNCTION("""COMPUTED_VALUE"""),28.0)</f>
        <v>28</v>
      </c>
      <c r="E5700" s="237" t="str">
        <f>IFERROR(__xludf.DUMMYFUNCTION("""COMPUTED_VALUE"""),"LT1Q1O01XPQE1")</f>
        <v>LT1Q1O01XPQE1</v>
      </c>
      <c r="F5700" s="238" t="str">
        <f>IFERROR(__xludf.DUMMYFUNCTION("""COMPUTED_VALUE"""),"STN7J16,DAE4E21")</f>
        <v>STN7J16,DAE4E21</v>
      </c>
      <c r="G5700" s="238">
        <f>IFERROR(__xludf.DUMMYFUNCTION("""COMPUTED_VALUE"""),46046.16666666667)</f>
        <v>46046.16667</v>
      </c>
      <c r="H5700" s="238">
        <f>IFERROR(__xludf.DUMMYFUNCTION("""COMPUTED_VALUE"""),46046.25)</f>
        <v>46046.25</v>
      </c>
      <c r="J5700" s="239">
        <v>119.99999999301508</v>
      </c>
    </row>
    <row r="5701">
      <c r="A5701" s="234"/>
      <c r="B5701" s="238" t="str">
        <f>IFERROR(__xludf.DUMMYFUNCTION("""COMPUTED_VALUE"""),"LM Hub_SP_Atibaia_Ponte_Alta")</f>
        <v>LM Hub_SP_Atibaia_Ponte_Alta</v>
      </c>
      <c r="C5701" s="238" t="str">
        <f>IFERROR(__xludf.DUMMYFUNCTION("""COMPUTED_VALUE"""),"HUB-LSP-87")</f>
        <v>HUB-LSP-87</v>
      </c>
      <c r="D5701" s="234">
        <f>IFERROR(__xludf.DUMMYFUNCTION("""COMPUTED_VALUE"""),16.0)</f>
        <v>16</v>
      </c>
      <c r="E5701" s="237" t="str">
        <f>IFERROR(__xludf.DUMMYFUNCTION("""COMPUTED_VALUE"""),"LT0Q1O01WWTK1")</f>
        <v>LT0Q1O01WWTK1</v>
      </c>
      <c r="F5701" s="238" t="str">
        <f>IFERROR(__xludf.DUMMYFUNCTION("""COMPUTED_VALUE"""),"TBQ8J57")</f>
        <v>TBQ8J57</v>
      </c>
      <c r="G5701" s="238">
        <f>IFERROR(__xludf.DUMMYFUNCTION("""COMPUTED_VALUE"""),46046.1875)</f>
        <v>46046.1875</v>
      </c>
      <c r="H5701" s="238">
        <f>IFERROR(__xludf.DUMMYFUNCTION("""COMPUTED_VALUE"""),46046.27083333333)</f>
        <v>46046.27083</v>
      </c>
      <c r="J5701" s="239">
        <v>119.99999999301508</v>
      </c>
    </row>
    <row r="5702">
      <c r="A5702" s="234"/>
      <c r="B5702" s="238" t="str">
        <f>IFERROR(__xludf.DUMMYFUNCTION("""COMPUTED_VALUE"""),"LM Hub_SP_Taubaté")</f>
        <v>LM Hub_SP_Taubaté</v>
      </c>
      <c r="C5702" s="238" t="str">
        <f>IFERROR(__xludf.DUMMYFUNCTION("""COMPUTED_VALUE"""),"HUB-LSP-08")</f>
        <v>HUB-LSP-08</v>
      </c>
      <c r="D5702" s="234">
        <f>IFERROR(__xludf.DUMMYFUNCTION("""COMPUTED_VALUE"""),49.0)</f>
        <v>49</v>
      </c>
      <c r="E5702" s="237" t="str">
        <f>IFERROR(__xludf.DUMMYFUNCTION("""COMPUTED_VALUE"""),"LT0Q1O01WTG71")</f>
        <v>LT0Q1O01WTG71</v>
      </c>
      <c r="F5702" s="238" t="str">
        <f>IFERROR(__xludf.DUMMYFUNCTION("""COMPUTED_VALUE"""),"FBQ6A90")</f>
        <v>FBQ6A90</v>
      </c>
      <c r="G5702" s="238">
        <f>IFERROR(__xludf.DUMMYFUNCTION("""COMPUTED_VALUE"""),46046.1875)</f>
        <v>46046.1875</v>
      </c>
      <c r="H5702" s="238">
        <f>IFERROR(__xludf.DUMMYFUNCTION("""COMPUTED_VALUE"""),46046.27083333333)</f>
        <v>46046.27083</v>
      </c>
      <c r="J5702" s="239">
        <v>540.0</v>
      </c>
    </row>
    <row r="5703">
      <c r="A5703" s="234"/>
      <c r="B5703" s="238" t="str">
        <f>IFERROR(__xludf.DUMMYFUNCTION("""COMPUTED_VALUE"""),"SoC_MG_Betim")</f>
        <v>SoC_MG_Betim</v>
      </c>
      <c r="C5703" s="238" t="str">
        <f>IFERROR(__xludf.DUMMYFUNCTION("""COMPUTED_VALUE"""),"SOC-MG2")</f>
        <v>SOC-MG2</v>
      </c>
      <c r="D5703" s="234">
        <f>IFERROR(__xludf.DUMMYFUNCTION("""COMPUTED_VALUE"""),91.0)</f>
        <v>91</v>
      </c>
      <c r="E5703" s="237" t="str">
        <f>IFERROR(__xludf.DUMMYFUNCTION("""COMPUTED_VALUE"""),"LT0Q1N01WT8B2")</f>
        <v>LT0Q1N01WT8B2</v>
      </c>
      <c r="F5703" s="238" t="str">
        <f>IFERROR(__xludf.DUMMYFUNCTION("""COMPUTED_VALUE"""),"SWR6H23,FTZ4B35")</f>
        <v>SWR6H23,FTZ4B35</v>
      </c>
      <c r="G5703" s="238">
        <f>IFERROR(__xludf.DUMMYFUNCTION("""COMPUTED_VALUE"""),46045.91666666667)</f>
        <v>46045.91667</v>
      </c>
      <c r="H5703" s="238">
        <f>IFERROR(__xludf.DUMMYFUNCTION("""COMPUTED_VALUE"""),46046.29166666667)</f>
        <v>46046.29167</v>
      </c>
      <c r="J5703" s="239">
        <v>540.0</v>
      </c>
    </row>
    <row r="5704">
      <c r="A5704" s="234"/>
      <c r="B5704" s="238" t="str">
        <f>IFERROR(__xludf.DUMMYFUNCTION("""COMPUTED_VALUE"""),"SoC_MG_Betim")</f>
        <v>SoC_MG_Betim</v>
      </c>
      <c r="C5704" s="238" t="str">
        <f>IFERROR(__xludf.DUMMYFUNCTION("""COMPUTED_VALUE"""),"SOC-MG2")</f>
        <v>SOC-MG2</v>
      </c>
      <c r="D5704" s="234"/>
      <c r="E5704" s="237" t="str">
        <f>IFERROR(__xludf.DUMMYFUNCTION("""COMPUTED_VALUE"""),"LT0Q1M01WT8U4")</f>
        <v>LT0Q1M01WT8U4</v>
      </c>
      <c r="F5704" s="238" t="str">
        <f>IFERROR(__xludf.DUMMYFUNCTION("""COMPUTED_VALUE"""),"FEJ1E97,UEF4J87")</f>
        <v>FEJ1E97,UEF4J87</v>
      </c>
      <c r="G5704" s="238">
        <f>IFERROR(__xludf.DUMMYFUNCTION("""COMPUTED_VALUE"""),46045.91666666667)</f>
        <v>46045.91667</v>
      </c>
      <c r="H5704" s="238">
        <f>IFERROR(__xludf.DUMMYFUNCTION("""COMPUTED_VALUE"""),46046.29166666667)</f>
        <v>46046.29167</v>
      </c>
      <c r="J5704" s="239">
        <v>540.0</v>
      </c>
    </row>
    <row r="5705">
      <c r="A5705" s="234"/>
      <c r="B5705" s="238" t="str">
        <f>IFERROR(__xludf.DUMMYFUNCTION("""COMPUTED_VALUE"""),"SoC_MG_Betim")</f>
        <v>SoC_MG_Betim</v>
      </c>
      <c r="C5705" s="238" t="str">
        <f>IFERROR(__xludf.DUMMYFUNCTION("""COMPUTED_VALUE"""),"SOC-MG2")</f>
        <v>SOC-MG2</v>
      </c>
      <c r="D5705" s="234"/>
      <c r="E5705" s="237" t="str">
        <f>IFERROR(__xludf.DUMMYFUNCTION("""COMPUTED_VALUE"""),"LT0Q1N01WT7S2")</f>
        <v>LT0Q1N01WT7S2</v>
      </c>
      <c r="F5705" s="238" t="str">
        <f>IFERROR(__xludf.DUMMYFUNCTION("""COMPUTED_VALUE"""),"SUK7E04,TAX1I61")</f>
        <v>SUK7E04,TAX1I61</v>
      </c>
      <c r="G5705" s="238">
        <f>IFERROR(__xludf.DUMMYFUNCTION("""COMPUTED_VALUE"""),46045.91666666667)</f>
        <v>46045.91667</v>
      </c>
      <c r="H5705" s="238">
        <f>IFERROR(__xludf.DUMMYFUNCTION("""COMPUTED_VALUE"""),46046.29166666667)</f>
        <v>46046.29167</v>
      </c>
      <c r="J5705" s="239">
        <v>540.0</v>
      </c>
    </row>
    <row r="5706">
      <c r="A5706" s="234"/>
      <c r="B5706" s="238" t="str">
        <f>IFERROR(__xludf.DUMMYFUNCTION("""COMPUTED_VALUE"""),"SoC_PE_Jaboatão dos Guararapes")</f>
        <v>SoC_PE_Jaboatão dos Guararapes</v>
      </c>
      <c r="C5706" s="238" t="str">
        <f>IFERROR(__xludf.DUMMYFUNCTION("""COMPUTED_VALUE"""),"SOC-PE2")</f>
        <v>SOC-PE2</v>
      </c>
      <c r="D5706" s="234">
        <f>IFERROR(__xludf.DUMMYFUNCTION("""COMPUTED_VALUE"""),98.0)</f>
        <v>98</v>
      </c>
      <c r="E5706" s="237" t="str">
        <f>IFERROR(__xludf.DUMMYFUNCTION("""COMPUTED_VALUE"""),"LT1Q1N01X9YY1")</f>
        <v>LT1Q1N01X9YY1</v>
      </c>
      <c r="F5706" s="238" t="str">
        <f>IFERROR(__xludf.DUMMYFUNCTION("""COMPUTED_VALUE"""),"MSG8F13,DTE9B36")</f>
        <v>MSG8F13,DTE9B36</v>
      </c>
      <c r="G5706" s="238">
        <f>IFERROR(__xludf.DUMMYFUNCTION("""COMPUTED_VALUE"""),46045.91666666667)</f>
        <v>46045.91667</v>
      </c>
      <c r="H5706" s="238">
        <f>IFERROR(__xludf.DUMMYFUNCTION("""COMPUTED_VALUE"""),46046.29166666667)</f>
        <v>46046.29167</v>
      </c>
      <c r="J5706" s="239">
        <v>540.0</v>
      </c>
    </row>
    <row r="5707">
      <c r="A5707" s="234"/>
      <c r="B5707" s="238" t="str">
        <f>IFERROR(__xludf.DUMMYFUNCTION("""COMPUTED_VALUE"""),"SoC_PE_Jaboatão dos Guararapes")</f>
        <v>SoC_PE_Jaboatão dos Guararapes</v>
      </c>
      <c r="C5707" s="238" t="str">
        <f>IFERROR(__xludf.DUMMYFUNCTION("""COMPUTED_VALUE"""),"SOC-PE2")</f>
        <v>SOC-PE2</v>
      </c>
      <c r="D5707" s="234"/>
      <c r="E5707" s="237" t="str">
        <f>IFERROR(__xludf.DUMMYFUNCTION("""COMPUTED_VALUE"""),"LT0Q1N01WYCL1")</f>
        <v>LT0Q1N01WYCL1</v>
      </c>
      <c r="F5707" s="238" t="str">
        <f>IFERROR(__xludf.DUMMYFUNCTION("""COMPUTED_VALUE"""),"SDT3H56,SFO0G86")</f>
        <v>SDT3H56,SFO0G86</v>
      </c>
      <c r="G5707" s="238">
        <f>IFERROR(__xludf.DUMMYFUNCTION("""COMPUTED_VALUE"""),46045.91666666667)</f>
        <v>46045.91667</v>
      </c>
      <c r="H5707" s="238">
        <f>IFERROR(__xludf.DUMMYFUNCTION("""COMPUTED_VALUE"""),46046.29166666667)</f>
        <v>46046.29167</v>
      </c>
      <c r="J5707" s="239">
        <v>540.0</v>
      </c>
    </row>
    <row r="5708">
      <c r="A5708" s="234"/>
      <c r="B5708" s="238" t="str">
        <f>IFERROR(__xludf.DUMMYFUNCTION("""COMPUTED_VALUE"""),"SoC_RJ_Duque de Caxias")</f>
        <v>SoC_RJ_Duque de Caxias</v>
      </c>
      <c r="C5708" s="238" t="str">
        <f>IFERROR(__xludf.DUMMYFUNCTION("""COMPUTED_VALUE"""),"SOC-RJ2")</f>
        <v>SOC-RJ2</v>
      </c>
      <c r="D5708" s="234"/>
      <c r="E5708" s="237" t="str">
        <f>IFERROR(__xludf.DUMMYFUNCTION("""COMPUTED_VALUE"""),"LT1Q1N01X9YO1")</f>
        <v>LT1Q1N01X9YO1</v>
      </c>
      <c r="F5708" s="238" t="str">
        <f>IFERROR(__xludf.DUMMYFUNCTION("""COMPUTED_VALUE"""),"FPP3B13,DTC0608")</f>
        <v>FPP3B13,DTC0608</v>
      </c>
      <c r="G5708" s="238">
        <f>IFERROR(__xludf.DUMMYFUNCTION("""COMPUTED_VALUE"""),46045.91666666667)</f>
        <v>46045.91667</v>
      </c>
      <c r="H5708" s="238">
        <f>IFERROR(__xludf.DUMMYFUNCTION("""COMPUTED_VALUE"""),46046.29166666667)</f>
        <v>46046.29167</v>
      </c>
      <c r="J5708" s="239">
        <v>539.0000000072177</v>
      </c>
    </row>
    <row r="5709">
      <c r="A5709" s="234"/>
      <c r="B5709" s="238" t="str">
        <f>IFERROR(__xludf.DUMMYFUNCTION("""COMPUTED_VALUE"""),"SoC_SC_Itajaí")</f>
        <v>SoC_SC_Itajaí</v>
      </c>
      <c r="C5709" s="238" t="str">
        <f>IFERROR(__xludf.DUMMYFUNCTION("""COMPUTED_VALUE"""),"SOC-SC1")</f>
        <v>SOC-SC1</v>
      </c>
      <c r="D5709" s="234">
        <f>IFERROR(__xludf.DUMMYFUNCTION("""COMPUTED_VALUE"""),100.0)</f>
        <v>100</v>
      </c>
      <c r="E5709" s="237" t="str">
        <f>IFERROR(__xludf.DUMMYFUNCTION("""COMPUTED_VALUE"""),"LT0Q1N01WXHO1")</f>
        <v>LT0Q1N01WXHO1</v>
      </c>
      <c r="F5709" s="238" t="str">
        <f>IFERROR(__xludf.DUMMYFUNCTION("""COMPUTED_VALUE"""),"RLL1C47,RYE8I27")</f>
        <v>RLL1C47,RYE8I27</v>
      </c>
      <c r="G5709" s="238">
        <f>IFERROR(__xludf.DUMMYFUNCTION("""COMPUTED_VALUE"""),46045.91736111111)</f>
        <v>46045.91736</v>
      </c>
      <c r="H5709" s="238">
        <f>IFERROR(__xludf.DUMMYFUNCTION("""COMPUTED_VALUE"""),46046.29166666667)</f>
        <v>46046.29167</v>
      </c>
      <c r="J5709" s="239">
        <v>539.0000000072177</v>
      </c>
    </row>
    <row r="5710">
      <c r="A5710" s="234"/>
      <c r="B5710" s="238" t="str">
        <f>IFERROR(__xludf.DUMMYFUNCTION("""COMPUTED_VALUE"""),"SoC_SC_Itajaí")</f>
        <v>SoC_SC_Itajaí</v>
      </c>
      <c r="C5710" s="238" t="str">
        <f>IFERROR(__xludf.DUMMYFUNCTION("""COMPUTED_VALUE"""),"SOC-SC1")</f>
        <v>SOC-SC1</v>
      </c>
      <c r="D5710" s="234">
        <f>IFERROR(__xludf.DUMMYFUNCTION("""COMPUTED_VALUE"""),100.0)</f>
        <v>100</v>
      </c>
      <c r="E5710" s="237" t="str">
        <f>IFERROR(__xludf.DUMMYFUNCTION("""COMPUTED_VALUE"""),"LT0Q1N01WXHQ2")</f>
        <v>LT0Q1N01WXHQ2</v>
      </c>
      <c r="F5710" s="238" t="str">
        <f>IFERROR(__xludf.DUMMYFUNCTION("""COMPUTED_VALUE"""),"RXZ0J01,RYK4D86")</f>
        <v>RXZ0J01,RYK4D86</v>
      </c>
      <c r="G5710" s="238">
        <f>IFERROR(__xludf.DUMMYFUNCTION("""COMPUTED_VALUE"""),46045.91736111111)</f>
        <v>46045.91736</v>
      </c>
      <c r="H5710" s="238">
        <f>IFERROR(__xludf.DUMMYFUNCTION("""COMPUTED_VALUE"""),46046.29166666667)</f>
        <v>46046.29167</v>
      </c>
      <c r="J5710" s="239">
        <v>537.0000000111759</v>
      </c>
    </row>
    <row r="5711">
      <c r="A5711" s="234"/>
      <c r="B5711" s="234"/>
      <c r="C5711" s="238" t="str">
        <f>IFERROR(__xludf.DUMMYFUNCTION("""COMPUTED_VALUE"""),"SOC-RJ2")</f>
        <v>SOC-RJ2</v>
      </c>
      <c r="D5711" s="234">
        <f>IFERROR(__xludf.DUMMYFUNCTION("""COMPUTED_VALUE"""),111.0)</f>
        <v>111</v>
      </c>
      <c r="E5711" s="237" t="str">
        <f>IFERROR(__xludf.DUMMYFUNCTION("""COMPUTED_VALUE"""),"LT0Q1N01X2ZP1")</f>
        <v>LT0Q1N01X2ZP1</v>
      </c>
      <c r="F5711" s="238" t="str">
        <f>IFERROR(__xludf.DUMMYFUNCTION("""COMPUTED_VALUE"""),"KYE5E16,JXN8E78")</f>
        <v>KYE5E16,JXN8E78</v>
      </c>
      <c r="G5711" s="238">
        <f>IFERROR(__xludf.DUMMYFUNCTION("""COMPUTED_VALUE"""),46045.91875)</f>
        <v>46045.91875</v>
      </c>
      <c r="H5711" s="238">
        <f>IFERROR(__xludf.DUMMYFUNCTION("""COMPUTED_VALUE"""),46046.29166666667)</f>
        <v>46046.29167</v>
      </c>
      <c r="J5711" s="239">
        <v>537.0000000111759</v>
      </c>
    </row>
    <row r="5712">
      <c r="A5712" s="234"/>
      <c r="B5712" s="234"/>
      <c r="C5712" s="238" t="str">
        <f>IFERROR(__xludf.DUMMYFUNCTION("""COMPUTED_VALUE"""),"SOC-RJ2")</f>
        <v>SOC-RJ2</v>
      </c>
      <c r="D5712" s="234">
        <f>IFERROR(__xludf.DUMMYFUNCTION("""COMPUTED_VALUE"""),97.0)</f>
        <v>97</v>
      </c>
      <c r="E5712" s="237" t="str">
        <f>IFERROR(__xludf.DUMMYFUNCTION("""COMPUTED_VALUE"""),"LT0Q1N01X2ZR2")</f>
        <v>LT0Q1N01X2ZR2</v>
      </c>
      <c r="F5712" s="238" t="str">
        <f>IFERROR(__xludf.DUMMYFUNCTION("""COMPUTED_VALUE"""),"DTA2D33,MCW5F84")</f>
        <v>DTA2D33,MCW5F84</v>
      </c>
      <c r="G5712" s="238">
        <f>IFERROR(__xludf.DUMMYFUNCTION("""COMPUTED_VALUE"""),46045.91875)</f>
        <v>46045.91875</v>
      </c>
      <c r="H5712" s="238">
        <f>IFERROR(__xludf.DUMMYFUNCTION("""COMPUTED_VALUE"""),46046.29166666667)</f>
        <v>46046.29167</v>
      </c>
      <c r="J5712" s="239">
        <v>536.0000000079162</v>
      </c>
    </row>
    <row r="5713">
      <c r="A5713" s="234"/>
      <c r="B5713" s="238" t="str">
        <f>IFERROR(__xludf.DUMMYFUNCTION("""COMPUTED_VALUE"""),"SoC_SP_Cravinhos")</f>
        <v>SoC_SP_Cravinhos</v>
      </c>
      <c r="C5713" s="238" t="str">
        <f>IFERROR(__xludf.DUMMYFUNCTION("""COMPUTED_VALUE"""),"SOC-SP5")</f>
        <v>SOC-SP5</v>
      </c>
      <c r="D5713" s="234">
        <f>IFERROR(__xludf.DUMMYFUNCTION("""COMPUTED_VALUE"""),95.0)</f>
        <v>95</v>
      </c>
      <c r="E5713" s="237" t="str">
        <f>IFERROR(__xludf.DUMMYFUNCTION("""COMPUTED_VALUE"""),"LT0Q1N01WTAX1")</f>
        <v>LT0Q1N01WTAX1</v>
      </c>
      <c r="F5713" s="238" t="str">
        <f>IFERROR(__xludf.DUMMYFUNCTION("""COMPUTED_VALUE"""),"AQS9H64,ANU5H27")</f>
        <v>AQS9H64,ANU5H27</v>
      </c>
      <c r="G5713" s="238">
        <f>IFERROR(__xludf.DUMMYFUNCTION("""COMPUTED_VALUE"""),46045.919444444444)</f>
        <v>46045.91944</v>
      </c>
      <c r="H5713" s="238">
        <f>IFERROR(__xludf.DUMMYFUNCTION("""COMPUTED_VALUE"""),46046.29166666667)</f>
        <v>46046.29167</v>
      </c>
      <c r="J5713" s="239">
        <v>300.00000001396984</v>
      </c>
    </row>
    <row r="5714">
      <c r="A5714" s="234"/>
      <c r="B5714" s="238" t="str">
        <f>IFERROR(__xludf.DUMMYFUNCTION("""COMPUTED_VALUE"""),"SoC_RS_Gravataí_02")</f>
        <v>SoC_RS_Gravataí_02</v>
      </c>
      <c r="C5714" s="238" t="str">
        <f>IFERROR(__xludf.DUMMYFUNCTION("""COMPUTED_VALUE"""),"SOC-RS2")</f>
        <v>SOC-RS2</v>
      </c>
      <c r="D5714" s="234">
        <f>IFERROR(__xludf.DUMMYFUNCTION("""COMPUTED_VALUE"""),92.0)</f>
        <v>92</v>
      </c>
      <c r="E5714" s="237" t="str">
        <f>IFERROR(__xludf.DUMMYFUNCTION("""COMPUTED_VALUE"""),"LT0Q1N01WYT51")</f>
        <v>LT0Q1N01WYT51</v>
      </c>
      <c r="F5714" s="238" t="str">
        <f>IFERROR(__xludf.DUMMYFUNCTION("""COMPUTED_VALUE"""),"ELO6A17,SWP0G17")</f>
        <v>ELO6A17,SWP0G17</v>
      </c>
      <c r="G5714" s="238">
        <f>IFERROR(__xludf.DUMMYFUNCTION("""COMPUTED_VALUE"""),46046.08333333333)</f>
        <v>46046.08333</v>
      </c>
      <c r="H5714" s="238">
        <f>IFERROR(__xludf.DUMMYFUNCTION("""COMPUTED_VALUE"""),46046.29166666667)</f>
        <v>46046.29167</v>
      </c>
      <c r="J5714" s="239">
        <v>120.00000001396984</v>
      </c>
    </row>
    <row r="5715">
      <c r="A5715" s="234"/>
      <c r="B5715" s="238" t="str">
        <f>IFERROR(__xludf.DUMMYFUNCTION("""COMPUTED_VALUE"""),"LM Hub_SP_Barueri_01")</f>
        <v>LM Hub_SP_Barueri_01</v>
      </c>
      <c r="C5715" s="238" t="str">
        <f>IFERROR(__xludf.DUMMYFUNCTION("""COMPUTED_VALUE"""),"HUB-LSP-81")</f>
        <v>HUB-LSP-81</v>
      </c>
      <c r="D5715" s="234">
        <f>IFERROR(__xludf.DUMMYFUNCTION("""COMPUTED_VALUE"""),25.0)</f>
        <v>25</v>
      </c>
      <c r="E5715" s="237" t="str">
        <f>IFERROR(__xludf.DUMMYFUNCTION("""COMPUTED_VALUE"""),"LT0Q1O01WY3Y1")</f>
        <v>LT0Q1O01WY3Y1</v>
      </c>
      <c r="F5715" s="238" t="str">
        <f>IFERROR(__xludf.DUMMYFUNCTION("""COMPUTED_VALUE"""),"SUQ5C99")</f>
        <v>SUQ5C99</v>
      </c>
      <c r="G5715" s="238">
        <f>IFERROR(__xludf.DUMMYFUNCTION("""COMPUTED_VALUE"""),46046.20833333333)</f>
        <v>46046.20833</v>
      </c>
      <c r="H5715" s="238">
        <f>IFERROR(__xludf.DUMMYFUNCTION("""COMPUTED_VALUE"""),46046.29166666667)</f>
        <v>46046.29167</v>
      </c>
      <c r="J5715" s="239">
        <v>120.00000001396984</v>
      </c>
    </row>
    <row r="5716">
      <c r="A5716" s="234"/>
      <c r="B5716" s="238" t="str">
        <f>IFERROR(__xludf.DUMMYFUNCTION("""COMPUTED_VALUE"""),"LM Hub_SP_Jundiaí")</f>
        <v>LM Hub_SP_Jundiaí</v>
      </c>
      <c r="C5716" s="238" t="str">
        <f>IFERROR(__xludf.DUMMYFUNCTION("""COMPUTED_VALUE"""),"HUB-LSP-100")</f>
        <v>HUB-LSP-100</v>
      </c>
      <c r="D5716" s="234"/>
      <c r="E5716" s="237" t="str">
        <f>IFERROR(__xludf.DUMMYFUNCTION("""COMPUTED_VALUE"""),"LT0Q1O01WZHE1")</f>
        <v>LT0Q1O01WZHE1</v>
      </c>
      <c r="F5716" s="238" t="str">
        <f>IFERROR(__xludf.DUMMYFUNCTION("""COMPUTED_VALUE"""),"UGN5F59")</f>
        <v>UGN5F59</v>
      </c>
      <c r="G5716" s="238">
        <f>IFERROR(__xludf.DUMMYFUNCTION("""COMPUTED_VALUE"""),46046.20833333333)</f>
        <v>46046.20833</v>
      </c>
      <c r="H5716" s="238">
        <f>IFERROR(__xludf.DUMMYFUNCTION("""COMPUTED_VALUE"""),46046.29166666667)</f>
        <v>46046.29167</v>
      </c>
      <c r="J5716" s="239">
        <v>120.00000001396984</v>
      </c>
    </row>
    <row r="5717">
      <c r="A5717" s="234"/>
      <c r="B5717" s="238" t="str">
        <f>IFERROR(__xludf.DUMMYFUNCTION("""COMPUTED_VALUE"""),"LM Hub_SP_Piracicaba")</f>
        <v>LM Hub_SP_Piracicaba</v>
      </c>
      <c r="C5717" s="238" t="str">
        <f>IFERROR(__xludf.DUMMYFUNCTION("""COMPUTED_VALUE"""),"HUB-LSP-62")</f>
        <v>HUB-LSP-62</v>
      </c>
      <c r="D5717" s="234">
        <f>IFERROR(__xludf.DUMMYFUNCTION("""COMPUTED_VALUE"""),44.0)</f>
        <v>44</v>
      </c>
      <c r="E5717" s="237" t="str">
        <f>IFERROR(__xludf.DUMMYFUNCTION("""COMPUTED_VALUE"""),"LT0Q1O01WU4K1")</f>
        <v>LT0Q1O01WU4K1</v>
      </c>
      <c r="F5717" s="238" t="str">
        <f>IFERROR(__xludf.DUMMYFUNCTION("""COMPUTED_VALUE"""),"OMY3I62")</f>
        <v>OMY3I62</v>
      </c>
      <c r="G5717" s="238">
        <f>IFERROR(__xludf.DUMMYFUNCTION("""COMPUTED_VALUE"""),46046.20833333333)</f>
        <v>46046.20833</v>
      </c>
      <c r="H5717" s="238">
        <f>IFERROR(__xludf.DUMMYFUNCTION("""COMPUTED_VALUE"""),46046.29166666667)</f>
        <v>46046.29167</v>
      </c>
      <c r="J5717" s="239">
        <v>120.00000001396984</v>
      </c>
    </row>
    <row r="5718">
      <c r="A5718" s="234"/>
      <c r="B5718" s="238" t="str">
        <f>IFERROR(__xludf.DUMMYFUNCTION("""COMPUTED_VALUE"""),"LM Hub_SP_Santos_PraiaGrande_02")</f>
        <v>LM Hub_SP_Santos_PraiaGrande_02</v>
      </c>
      <c r="C5718" s="238" t="str">
        <f>IFERROR(__xludf.DUMMYFUNCTION("""COMPUTED_VALUE"""),"HUB-LSP-63")</f>
        <v>HUB-LSP-63</v>
      </c>
      <c r="D5718" s="234">
        <f>IFERROR(__xludf.DUMMYFUNCTION("""COMPUTED_VALUE"""),41.0)</f>
        <v>41</v>
      </c>
      <c r="E5718" s="237" t="str">
        <f>IFERROR(__xludf.DUMMYFUNCTION("""COMPUTED_VALUE"""),"LT0Q1O01WUDW1")</f>
        <v>LT0Q1O01WUDW1</v>
      </c>
      <c r="F5718" s="238" t="str">
        <f>IFERROR(__xludf.DUMMYFUNCTION("""COMPUTED_VALUE"""),"ENZ4737,EEZ3E62")</f>
        <v>ENZ4737,EEZ3E62</v>
      </c>
      <c r="G5718" s="238">
        <f>IFERROR(__xludf.DUMMYFUNCTION("""COMPUTED_VALUE"""),46046.20833333333)</f>
        <v>46046.20833</v>
      </c>
      <c r="H5718" s="238">
        <f>IFERROR(__xludf.DUMMYFUNCTION("""COMPUTED_VALUE"""),46046.29166666667)</f>
        <v>46046.29167</v>
      </c>
      <c r="J5718" s="239">
        <v>119.99999999301508</v>
      </c>
    </row>
    <row r="5719">
      <c r="A5719" s="234"/>
      <c r="B5719" s="234"/>
      <c r="C5719" s="238" t="str">
        <f>IFERROR(__xludf.DUMMYFUNCTION("""COMPUTED_VALUE"""),"HUB-LSP-06")</f>
        <v>HUB-LSP-06</v>
      </c>
      <c r="D5719" s="234"/>
      <c r="E5719" s="237" t="str">
        <f>IFERROR(__xludf.DUMMYFUNCTION("""COMPUTED_VALUE"""),"LT0Q1O01WTFB1")</f>
        <v>LT0Q1O01WTFB1</v>
      </c>
      <c r="F5719" s="238" t="str">
        <f>IFERROR(__xludf.DUMMYFUNCTION("""COMPUTED_VALUE"""),"TJN5H17")</f>
        <v>TJN5H17</v>
      </c>
      <c r="G5719" s="238">
        <f>IFERROR(__xludf.DUMMYFUNCTION("""COMPUTED_VALUE"""),46046.22916666667)</f>
        <v>46046.22917</v>
      </c>
      <c r="H5719" s="238">
        <f>IFERROR(__xludf.DUMMYFUNCTION("""COMPUTED_VALUE"""),46046.3125)</f>
        <v>46046.3125</v>
      </c>
      <c r="J5719" s="239">
        <v>119.99999999301508</v>
      </c>
    </row>
    <row r="5720">
      <c r="A5720" s="234"/>
      <c r="B5720" s="238" t="str">
        <f>IFERROR(__xludf.DUMMYFUNCTION("""COMPUTED_VALUE"""),"LM Hub_SP_Itapevi")</f>
        <v>LM Hub_SP_Itapevi</v>
      </c>
      <c r="C5720" s="238" t="str">
        <f>IFERROR(__xludf.DUMMYFUNCTION("""COMPUTED_VALUE"""),"HUB-LSP-41")</f>
        <v>HUB-LSP-41</v>
      </c>
      <c r="D5720" s="234">
        <f>IFERROR(__xludf.DUMMYFUNCTION("""COMPUTED_VALUE"""),13.0)</f>
        <v>13</v>
      </c>
      <c r="E5720" s="237" t="str">
        <f>IFERROR(__xludf.DUMMYFUNCTION("""COMPUTED_VALUE"""),"LT0Q1O01WTDS1")</f>
        <v>LT0Q1O01WTDS1</v>
      </c>
      <c r="F5720" s="238" t="str">
        <f>IFERROR(__xludf.DUMMYFUNCTION("""COMPUTED_VALUE"""),"DPF6F59")</f>
        <v>DPF6F59</v>
      </c>
      <c r="G5720" s="238">
        <f>IFERROR(__xludf.DUMMYFUNCTION("""COMPUTED_VALUE"""),46046.22916666667)</f>
        <v>46046.22917</v>
      </c>
      <c r="H5720" s="238">
        <f>IFERROR(__xludf.DUMMYFUNCTION("""COMPUTED_VALUE"""),46046.3125)</f>
        <v>46046.3125</v>
      </c>
      <c r="J5720" s="239">
        <v>119.99999999301508</v>
      </c>
    </row>
    <row r="5721">
      <c r="A5721" s="234"/>
      <c r="B5721" s="234"/>
      <c r="C5721" s="238" t="str">
        <f>IFERROR(__xludf.DUMMYFUNCTION("""COMPUTED_VALUE"""),"HUB-LSP-09")</f>
        <v>HUB-LSP-09</v>
      </c>
      <c r="D5721" s="234">
        <f>IFERROR(__xludf.DUMMYFUNCTION("""COMPUTED_VALUE"""),34.0)</f>
        <v>34</v>
      </c>
      <c r="E5721" s="237" t="str">
        <f>IFERROR(__xludf.DUMMYFUNCTION("""COMPUTED_VALUE"""),"LT0Q1O01WTGD1")</f>
        <v>LT0Q1O01WTGD1</v>
      </c>
      <c r="F5721" s="238" t="str">
        <f>IFERROR(__xludf.DUMMYFUNCTION("""COMPUTED_VALUE"""),"FZO3D72")</f>
        <v>FZO3D72</v>
      </c>
      <c r="G5721" s="238">
        <f>IFERROR(__xludf.DUMMYFUNCTION("""COMPUTED_VALUE"""),46046.22916666667)</f>
        <v>46046.22917</v>
      </c>
      <c r="H5721" s="238">
        <f>IFERROR(__xludf.DUMMYFUNCTION("""COMPUTED_VALUE"""),46046.3125)</f>
        <v>46046.3125</v>
      </c>
      <c r="J5721" s="239">
        <v>119.99999999301508</v>
      </c>
    </row>
    <row r="5722">
      <c r="A5722" s="234"/>
      <c r="B5722" s="234"/>
      <c r="C5722" s="238" t="str">
        <f>IFERROR(__xludf.DUMMYFUNCTION("""COMPUTED_VALUE"""),"HUB-LSP-04")</f>
        <v>HUB-LSP-04</v>
      </c>
      <c r="D5722" s="234">
        <f>IFERROR(__xludf.DUMMYFUNCTION("""COMPUTED_VALUE"""),23.0)</f>
        <v>23</v>
      </c>
      <c r="E5722" s="237" t="str">
        <f>IFERROR(__xludf.DUMMYFUNCTION("""COMPUTED_VALUE"""),"LT0Q1O01WTH41")</f>
        <v>LT0Q1O01WTH41</v>
      </c>
      <c r="F5722" s="238" t="str">
        <f>IFERROR(__xludf.DUMMYFUNCTION("""COMPUTED_VALUE"""),"EOK0A95")</f>
        <v>EOK0A95</v>
      </c>
      <c r="G5722" s="238">
        <f>IFERROR(__xludf.DUMMYFUNCTION("""COMPUTED_VALUE"""),46046.22916666667)</f>
        <v>46046.22917</v>
      </c>
      <c r="H5722" s="238">
        <f>IFERROR(__xludf.DUMMYFUNCTION("""COMPUTED_VALUE"""),46046.3125)</f>
        <v>46046.3125</v>
      </c>
      <c r="J5722" s="239">
        <v>119.99999999301508</v>
      </c>
    </row>
    <row r="5723">
      <c r="A5723" s="234"/>
      <c r="B5723" s="234"/>
      <c r="C5723" s="238" t="str">
        <f>IFERROR(__xludf.DUMMYFUNCTION("""COMPUTED_VALUE"""),"HUB-LSP-13")</f>
        <v>HUB-LSP-13</v>
      </c>
      <c r="D5723" s="234"/>
      <c r="E5723" s="237" t="str">
        <f>IFERROR(__xludf.DUMMYFUNCTION("""COMPUTED_VALUE"""),"LT0Q1O01X2M91")</f>
        <v>LT0Q1O01X2M91</v>
      </c>
      <c r="F5723" s="238" t="str">
        <f>IFERROR(__xludf.DUMMYFUNCTION("""COMPUTED_VALUE"""),"EWJ1H50")</f>
        <v>EWJ1H50</v>
      </c>
      <c r="G5723" s="238">
        <f>IFERROR(__xludf.DUMMYFUNCTION("""COMPUTED_VALUE"""),46046.22916666667)</f>
        <v>46046.22917</v>
      </c>
      <c r="H5723" s="238">
        <f>IFERROR(__xludf.DUMMYFUNCTION("""COMPUTED_VALUE"""),46046.3125)</f>
        <v>46046.3125</v>
      </c>
      <c r="J5723" s="239">
        <v>119.99999999301508</v>
      </c>
    </row>
    <row r="5724">
      <c r="A5724" s="234"/>
      <c r="B5724" s="238" t="str">
        <f>IFERROR(__xludf.DUMMYFUNCTION("""COMPUTED_VALUE"""),"LM Hub_SP_Várzea Paulista")</f>
        <v>LM Hub_SP_Várzea Paulista</v>
      </c>
      <c r="C5724" s="238" t="str">
        <f>IFERROR(__xludf.DUMMYFUNCTION("""COMPUTED_VALUE"""),"HUB-LSP-20")</f>
        <v>HUB-LSP-20</v>
      </c>
      <c r="D5724" s="234"/>
      <c r="E5724" s="237" t="str">
        <f>IFERROR(__xludf.DUMMYFUNCTION("""COMPUTED_VALUE"""),"LT0Q1O01WTI11")</f>
        <v>LT0Q1O01WTI11</v>
      </c>
      <c r="F5724" s="238" t="str">
        <f>IFERROR(__xludf.DUMMYFUNCTION("""COMPUTED_VALUE"""),"RJG8E37")</f>
        <v>RJG8E37</v>
      </c>
      <c r="G5724" s="238">
        <f>IFERROR(__xludf.DUMMYFUNCTION("""COMPUTED_VALUE"""),46046.22916666667)</f>
        <v>46046.22917</v>
      </c>
      <c r="H5724" s="238">
        <f>IFERROR(__xludf.DUMMYFUNCTION("""COMPUTED_VALUE"""),46046.3125)</f>
        <v>46046.3125</v>
      </c>
      <c r="J5724" s="239">
        <v>360.0</v>
      </c>
    </row>
    <row r="5725">
      <c r="A5725" s="234"/>
      <c r="B5725" s="234"/>
      <c r="C5725" s="238" t="str">
        <f>IFERROR(__xludf.DUMMYFUNCTION("""COMPUTED_VALUE"""),"SOC-RJ2")</f>
        <v>SOC-RJ2</v>
      </c>
      <c r="D5725" s="234">
        <f>IFERROR(__xludf.DUMMYFUNCTION("""COMPUTED_VALUE"""),96.0)</f>
        <v>96</v>
      </c>
      <c r="E5725" s="237" t="str">
        <f>IFERROR(__xludf.DUMMYFUNCTION("""COMPUTED_VALUE"""),"LT1Q1O01X9YS1")</f>
        <v>LT1Q1O01X9YS1</v>
      </c>
      <c r="F5725" s="238" t="str">
        <f>IFERROR(__xludf.DUMMYFUNCTION("""COMPUTED_VALUE"""),"GAT5B53,DBL0A55")</f>
        <v>GAT5B53,DBL0A55</v>
      </c>
      <c r="G5725" s="238">
        <f>IFERROR(__xludf.DUMMYFUNCTION("""COMPUTED_VALUE"""),46046.08333333333)</f>
        <v>46046.08333</v>
      </c>
      <c r="H5725" s="238">
        <f>IFERROR(__xludf.DUMMYFUNCTION("""COMPUTED_VALUE"""),46046.33333333333)</f>
        <v>46046.33333</v>
      </c>
      <c r="J5725" s="239">
        <v>119.99999999301508</v>
      </c>
    </row>
    <row r="5726">
      <c r="A5726" s="234"/>
      <c r="B5726" s="234"/>
      <c r="C5726" s="238" t="str">
        <f>IFERROR(__xludf.DUMMYFUNCTION("""COMPUTED_VALUE"""),"HUB-LSP-07")</f>
        <v>HUB-LSP-07</v>
      </c>
      <c r="D5726" s="234">
        <f>IFERROR(__xludf.DUMMYFUNCTION("""COMPUTED_VALUE"""),24.0)</f>
        <v>24</v>
      </c>
      <c r="E5726" s="237" t="str">
        <f>IFERROR(__xludf.DUMMYFUNCTION("""COMPUTED_VALUE"""),"LT0Q1O01WTC11")</f>
        <v>LT0Q1O01WTC11</v>
      </c>
      <c r="F5726" s="238" t="str">
        <f>IFERROR(__xludf.DUMMYFUNCTION("""COMPUTED_VALUE"""),"ASH4C66")</f>
        <v>ASH4C66</v>
      </c>
      <c r="G5726" s="238">
        <f>IFERROR(__xludf.DUMMYFUNCTION("""COMPUTED_VALUE"""),46046.25)</f>
        <v>46046.25</v>
      </c>
      <c r="H5726" s="238">
        <f>IFERROR(__xludf.DUMMYFUNCTION("""COMPUTED_VALUE"""),46046.33333333333)</f>
        <v>46046.33333</v>
      </c>
      <c r="J5726" s="239">
        <v>119.99999999301508</v>
      </c>
    </row>
    <row r="5727">
      <c r="A5727" s="234"/>
      <c r="B5727" s="238" t="str">
        <f>IFERROR(__xludf.DUMMYFUNCTION("""COMPUTED_VALUE"""),"LM Hub_SP_Embu das Artes")</f>
        <v>LM Hub_SP_Embu das Artes</v>
      </c>
      <c r="C5727" s="238" t="str">
        <f>IFERROR(__xludf.DUMMYFUNCTION("""COMPUTED_VALUE"""),"HUB-LSP-36")</f>
        <v>HUB-LSP-36</v>
      </c>
      <c r="D5727" s="234">
        <f>IFERROR(__xludf.DUMMYFUNCTION("""COMPUTED_VALUE"""),48.0)</f>
        <v>48</v>
      </c>
      <c r="E5727" s="237" t="str">
        <f>IFERROR(__xludf.DUMMYFUNCTION("""COMPUTED_VALUE"""),"LT0Q1O01WTDL1")</f>
        <v>LT0Q1O01WTDL1</v>
      </c>
      <c r="F5727" s="238" t="str">
        <f>IFERROR(__xludf.DUMMYFUNCTION("""COMPUTED_VALUE"""),"SWA1B76")</f>
        <v>SWA1B76</v>
      </c>
      <c r="G5727" s="238">
        <f>IFERROR(__xludf.DUMMYFUNCTION("""COMPUTED_VALUE"""),46046.25)</f>
        <v>46046.25</v>
      </c>
      <c r="H5727" s="238">
        <f>IFERROR(__xludf.DUMMYFUNCTION("""COMPUTED_VALUE"""),46046.33333333333)</f>
        <v>46046.33333</v>
      </c>
      <c r="J5727" s="239">
        <v>119.99999999301508</v>
      </c>
    </row>
    <row r="5728">
      <c r="A5728" s="234"/>
      <c r="B5728" s="234"/>
      <c r="C5728" s="238" t="str">
        <f>IFERROR(__xludf.DUMMYFUNCTION("""COMPUTED_VALUE"""),"HUB-LSP-60")</f>
        <v>HUB-LSP-60</v>
      </c>
      <c r="D5728" s="234">
        <f>IFERROR(__xludf.DUMMYFUNCTION("""COMPUTED_VALUE"""),5.0)</f>
        <v>5</v>
      </c>
      <c r="E5728" s="237" t="str">
        <f>IFERROR(__xludf.DUMMYFUNCTION("""COMPUTED_VALUE"""),"LT0Q1O01WTE11")</f>
        <v>LT0Q1O01WTE11</v>
      </c>
      <c r="F5728" s="238" t="str">
        <f>IFERROR(__xludf.DUMMYFUNCTION("""COMPUTED_VALUE"""),"FEU6H63")</f>
        <v>FEU6H63</v>
      </c>
      <c r="G5728" s="238">
        <f>IFERROR(__xludf.DUMMYFUNCTION("""COMPUTED_VALUE"""),46046.25)</f>
        <v>46046.25</v>
      </c>
      <c r="H5728" s="238">
        <f>IFERROR(__xludf.DUMMYFUNCTION("""COMPUTED_VALUE"""),46046.33333333333)</f>
        <v>46046.33333</v>
      </c>
      <c r="J5728" s="239">
        <v>119.99999999301508</v>
      </c>
    </row>
    <row r="5729">
      <c r="A5729" s="234"/>
      <c r="B5729" s="238" t="str">
        <f>IFERROR(__xludf.DUMMYFUNCTION("""COMPUTED_VALUE"""),"LM Hub_SP_VilaGuilherme")</f>
        <v>LM Hub_SP_VilaGuilherme</v>
      </c>
      <c r="C5729" s="238" t="str">
        <f>IFERROR(__xludf.DUMMYFUNCTION("""COMPUTED_VALUE"""),"HUB-LSP-68")</f>
        <v>HUB-LSP-68</v>
      </c>
      <c r="D5729" s="234">
        <f>IFERROR(__xludf.DUMMYFUNCTION("""COMPUTED_VALUE"""),42.0)</f>
        <v>42</v>
      </c>
      <c r="E5729" s="237" t="str">
        <f>IFERROR(__xludf.DUMMYFUNCTION("""COMPUTED_VALUE"""),"LT0Q1O01WTEJ1")</f>
        <v>LT0Q1O01WTEJ1</v>
      </c>
      <c r="F5729" s="238" t="str">
        <f>IFERROR(__xludf.DUMMYFUNCTION("""COMPUTED_VALUE"""),"DAJ3E28")</f>
        <v>DAJ3E28</v>
      </c>
      <c r="G5729" s="238">
        <f>IFERROR(__xludf.DUMMYFUNCTION("""COMPUTED_VALUE"""),46046.25)</f>
        <v>46046.25</v>
      </c>
      <c r="H5729" s="238">
        <f>IFERROR(__xludf.DUMMYFUNCTION("""COMPUTED_VALUE"""),46046.33333333333)</f>
        <v>46046.33333</v>
      </c>
      <c r="J5729" s="239">
        <v>119.99999999301508</v>
      </c>
    </row>
    <row r="5730">
      <c r="A5730" s="234"/>
      <c r="B5730" s="238" t="str">
        <f>IFERROR(__xludf.DUMMYFUNCTION("""COMPUTED_VALUE"""),"LM Hub_SP_São Paulo_Lapa")</f>
        <v>LM Hub_SP_São Paulo_Lapa</v>
      </c>
      <c r="C5730" s="238" t="str">
        <f>IFERROR(__xludf.DUMMYFUNCTION("""COMPUTED_VALUE"""),"HUB-LSP-15")</f>
        <v>HUB-LSP-15</v>
      </c>
      <c r="D5730" s="234">
        <f>IFERROR(__xludf.DUMMYFUNCTION("""COMPUTED_VALUE"""),33.0)</f>
        <v>33</v>
      </c>
      <c r="E5730" s="237" t="str">
        <f>IFERROR(__xludf.DUMMYFUNCTION("""COMPUTED_VALUE"""),"LT0Q1O01WTCO1")</f>
        <v>LT0Q1O01WTCO1</v>
      </c>
      <c r="F5730" s="238" t="str">
        <f>IFERROR(__xludf.DUMMYFUNCTION("""COMPUTED_VALUE"""),"FWB7E94")</f>
        <v>FWB7E94</v>
      </c>
      <c r="G5730" s="238">
        <f>IFERROR(__xludf.DUMMYFUNCTION("""COMPUTED_VALUE"""),46046.25)</f>
        <v>46046.25</v>
      </c>
      <c r="H5730" s="238">
        <f>IFERROR(__xludf.DUMMYFUNCTION("""COMPUTED_VALUE"""),46046.33333333333)</f>
        <v>46046.33333</v>
      </c>
      <c r="J5730" s="239">
        <v>119.99999999301508</v>
      </c>
    </row>
    <row r="5731">
      <c r="A5731" s="234"/>
      <c r="B5731" s="238" t="str">
        <f>IFERROR(__xludf.DUMMYFUNCTION("""COMPUTED_VALUE"""),"LM Hub_SP_Guarulhos")</f>
        <v>LM Hub_SP_Guarulhos</v>
      </c>
      <c r="C5731" s="238" t="str">
        <f>IFERROR(__xludf.DUMMYFUNCTION("""COMPUTED_VALUE"""),"HUB-LSP-77")</f>
        <v>HUB-LSP-77</v>
      </c>
      <c r="D5731" s="234">
        <f>IFERROR(__xludf.DUMMYFUNCTION("""COMPUTED_VALUE"""),35.0)</f>
        <v>35</v>
      </c>
      <c r="E5731" s="237" t="str">
        <f>IFERROR(__xludf.DUMMYFUNCTION("""COMPUTED_VALUE"""),"LT0Q1O01WU491")</f>
        <v>LT0Q1O01WU491</v>
      </c>
      <c r="F5731" s="238" t="str">
        <f>IFERROR(__xludf.DUMMYFUNCTION("""COMPUTED_VALUE"""),"DTA1J86")</f>
        <v>DTA1J86</v>
      </c>
      <c r="G5731" s="238">
        <f>IFERROR(__xludf.DUMMYFUNCTION("""COMPUTED_VALUE"""),46046.25)</f>
        <v>46046.25</v>
      </c>
      <c r="H5731" s="238">
        <f>IFERROR(__xludf.DUMMYFUNCTION("""COMPUTED_VALUE"""),46046.33333333333)</f>
        <v>46046.33333</v>
      </c>
      <c r="J5731" s="239">
        <v>119.99999999301508</v>
      </c>
    </row>
    <row r="5732">
      <c r="A5732" s="234"/>
      <c r="B5732" s="238" t="str">
        <f>IFERROR(__xludf.DUMMYFUNCTION("""COMPUTED_VALUE"""),"LM Hub_SP_Jurubatuba")</f>
        <v>LM Hub_SP_Jurubatuba</v>
      </c>
      <c r="C5732" s="238" t="str">
        <f>IFERROR(__xludf.DUMMYFUNCTION("""COMPUTED_VALUE"""),"HUB-LSP-16")</f>
        <v>HUB-LSP-16</v>
      </c>
      <c r="D5732" s="234">
        <f>IFERROR(__xludf.DUMMYFUNCTION("""COMPUTED_VALUE"""),21.0)</f>
        <v>21</v>
      </c>
      <c r="E5732" s="237" t="str">
        <f>IFERROR(__xludf.DUMMYFUNCTION("""COMPUTED_VALUE"""),"LT0Q1O01X2MM1")</f>
        <v>LT0Q1O01X2MM1</v>
      </c>
      <c r="F5732" s="238" t="str">
        <f>IFERROR(__xludf.DUMMYFUNCTION("""COMPUTED_VALUE"""),"DTD4722,NCK7E66")</f>
        <v>DTD4722,NCK7E66</v>
      </c>
      <c r="G5732" s="238">
        <f>IFERROR(__xludf.DUMMYFUNCTION("""COMPUTED_VALUE"""),46046.25)</f>
        <v>46046.25</v>
      </c>
      <c r="H5732" s="238">
        <f>IFERROR(__xludf.DUMMYFUNCTION("""COMPUTED_VALUE"""),46046.33333333333)</f>
        <v>46046.33333</v>
      </c>
      <c r="J5732" s="239">
        <v>120.00000001396984</v>
      </c>
    </row>
    <row r="5733">
      <c r="A5733" s="234"/>
      <c r="B5733" s="238" t="str">
        <f>IFERROR(__xludf.DUMMYFUNCTION("""COMPUTED_VALUE"""),"LM Hub_SP_São Bernardo do Campo")</f>
        <v>LM Hub_SP_São Bernardo do Campo</v>
      </c>
      <c r="C5733" s="238" t="str">
        <f>IFERROR(__xludf.DUMMYFUNCTION("""COMPUTED_VALUE"""),"HUB-LSP-79")</f>
        <v>HUB-LSP-79</v>
      </c>
      <c r="D5733" s="234">
        <f>IFERROR(__xludf.DUMMYFUNCTION("""COMPUTED_VALUE"""),12.0)</f>
        <v>12</v>
      </c>
      <c r="E5733" s="237" t="str">
        <f>IFERROR(__xludf.DUMMYFUNCTION("""COMPUTED_VALUE"""),"LT0Q1O01WU1G1")</f>
        <v>LT0Q1O01WU1G1</v>
      </c>
      <c r="F5733" s="238" t="str">
        <f>IFERROR(__xludf.DUMMYFUNCTION("""COMPUTED_VALUE"""),"EFW0H81")</f>
        <v>EFW0H81</v>
      </c>
      <c r="G5733" s="238">
        <f>IFERROR(__xludf.DUMMYFUNCTION("""COMPUTED_VALUE"""),46046.27083333333)</f>
        <v>46046.27083</v>
      </c>
      <c r="H5733" s="238">
        <f>IFERROR(__xludf.DUMMYFUNCTION("""COMPUTED_VALUE"""),46046.35416666667)</f>
        <v>46046.35417</v>
      </c>
      <c r="J5733" s="239">
        <v>120.00000001396984</v>
      </c>
    </row>
    <row r="5734">
      <c r="A5734" s="234"/>
      <c r="B5734" s="234"/>
      <c r="C5734" s="238" t="str">
        <f>IFERROR(__xludf.DUMMYFUNCTION("""COMPUTED_VALUE"""),"HUB-LSP-89")</f>
        <v>HUB-LSP-89</v>
      </c>
      <c r="D5734" s="234">
        <f>IFERROR(__xludf.DUMMYFUNCTION("""COMPUTED_VALUE"""),14.0)</f>
        <v>14</v>
      </c>
      <c r="E5734" s="237" t="str">
        <f>IFERROR(__xludf.DUMMYFUNCTION("""COMPUTED_VALUE"""),"LT0Q1O01WUBH1")</f>
        <v>LT0Q1O01WUBH1</v>
      </c>
      <c r="F5734" s="238" t="str">
        <f>IFERROR(__xludf.DUMMYFUNCTION("""COMPUTED_VALUE"""),"GIQ1C13")</f>
        <v>GIQ1C13</v>
      </c>
      <c r="G5734" s="238">
        <f>IFERROR(__xludf.DUMMYFUNCTION("""COMPUTED_VALUE"""),46046.27083333333)</f>
        <v>46046.27083</v>
      </c>
      <c r="H5734" s="238">
        <f>IFERROR(__xludf.DUMMYFUNCTION("""COMPUTED_VALUE"""),46046.35416666667)</f>
        <v>46046.35417</v>
      </c>
      <c r="J5734" s="239">
        <v>119.99999999301508</v>
      </c>
    </row>
    <row r="5735">
      <c r="A5735" s="234"/>
      <c r="B5735" s="238" t="str">
        <f>IFERROR(__xludf.DUMMYFUNCTION("""COMPUTED_VALUE"""),"LM Hub_SP_Embu das Artes_02")</f>
        <v>LM Hub_SP_Embu das Artes_02</v>
      </c>
      <c r="C5735" s="238" t="str">
        <f>IFERROR(__xludf.DUMMYFUNCTION("""COMPUTED_VALUE"""),"HUB-LSP-96")</f>
        <v>HUB-LSP-96</v>
      </c>
      <c r="D5735" s="234">
        <f>IFERROR(__xludf.DUMMYFUNCTION("""COMPUTED_VALUE"""),18.0)</f>
        <v>18</v>
      </c>
      <c r="E5735" s="237" t="str">
        <f>IFERROR(__xludf.DUMMYFUNCTION("""COMPUTED_VALUE"""),"LT0Q1O01WWMP1")</f>
        <v>LT0Q1O01WWMP1</v>
      </c>
      <c r="F5735" s="238" t="str">
        <f>IFERROR(__xludf.DUMMYFUNCTION("""COMPUTED_VALUE"""),"FUF6H46")</f>
        <v>FUF6H46</v>
      </c>
      <c r="G5735" s="238">
        <f>IFERROR(__xludf.DUMMYFUNCTION("""COMPUTED_VALUE"""),46046.29166666667)</f>
        <v>46046.29167</v>
      </c>
      <c r="H5735" s="238">
        <f>IFERROR(__xludf.DUMMYFUNCTION("""COMPUTED_VALUE"""),46046.375)</f>
        <v>46046.375</v>
      </c>
      <c r="J5735" s="239">
        <v>119.00000000023283</v>
      </c>
    </row>
    <row r="5736">
      <c r="A5736" s="234"/>
      <c r="B5736" s="238" t="str">
        <f>IFERROR(__xludf.DUMMYFUNCTION("""COMPUTED_VALUE"""),"LM Hub_SP_Suzano_Baruel")</f>
        <v>LM Hub_SP_Suzano_Baruel</v>
      </c>
      <c r="C5736" s="238" t="str">
        <f>IFERROR(__xludf.DUMMYFUNCTION("""COMPUTED_VALUE"""),"HUB-LSP-97")</f>
        <v>HUB-LSP-97</v>
      </c>
      <c r="D5736" s="234">
        <f>IFERROR(__xludf.DUMMYFUNCTION("""COMPUTED_VALUE"""),26.0)</f>
        <v>26</v>
      </c>
      <c r="E5736" s="237" t="str">
        <f>IFERROR(__xludf.DUMMYFUNCTION("""COMPUTED_VALUE"""),"LT0Q1O01WZT71")</f>
        <v>LT0Q1O01WZT71</v>
      </c>
      <c r="F5736" s="238" t="str">
        <f>IFERROR(__xludf.DUMMYFUNCTION("""COMPUTED_VALUE"""),"HEL8635,UGE7G44")</f>
        <v>HEL8635,UGE7G44</v>
      </c>
      <c r="G5736" s="238">
        <f>IFERROR(__xludf.DUMMYFUNCTION("""COMPUTED_VALUE"""),46046.29236111111)</f>
        <v>46046.29236</v>
      </c>
      <c r="H5736" s="238">
        <f>IFERROR(__xludf.DUMMYFUNCTION("""COMPUTED_VALUE"""),46046.375)</f>
        <v>46046.375</v>
      </c>
      <c r="J5736" s="239">
        <v>119.99999999301508</v>
      </c>
    </row>
    <row r="5737">
      <c r="A5737" s="234"/>
      <c r="B5737" s="238" t="str">
        <f>IFERROR(__xludf.DUMMYFUNCTION("""COMPUTED_VALUE"""),"LM Hub_SP_Mooca_02")</f>
        <v>LM Hub_SP_Mooca_02</v>
      </c>
      <c r="C5737" s="238" t="str">
        <f>IFERROR(__xludf.DUMMYFUNCTION("""COMPUTED_VALUE"""),"HUB-LSP-94")</f>
        <v>HUB-LSP-94</v>
      </c>
      <c r="D5737" s="234">
        <f>IFERROR(__xludf.DUMMYFUNCTION("""COMPUTED_VALUE"""),45.0)</f>
        <v>45</v>
      </c>
      <c r="E5737" s="237" t="str">
        <f>IFERROR(__xludf.DUMMYFUNCTION("""COMPUTED_VALUE"""),"LT1Q1O01X96Y1")</f>
        <v>LT1Q1O01X96Y1</v>
      </c>
      <c r="F5737" s="238" t="str">
        <f>IFERROR(__xludf.DUMMYFUNCTION("""COMPUTED_VALUE"""),"GDA5D23")</f>
        <v>GDA5D23</v>
      </c>
      <c r="G5737" s="238">
        <f>IFERROR(__xludf.DUMMYFUNCTION("""COMPUTED_VALUE"""),46046.29166666667)</f>
        <v>46046.29167</v>
      </c>
      <c r="H5737" s="238">
        <f>IFERROR(__xludf.DUMMYFUNCTION("""COMPUTED_VALUE"""),46046.375)</f>
        <v>46046.375</v>
      </c>
      <c r="J5737" s="239">
        <v>540.0</v>
      </c>
    </row>
    <row r="5738">
      <c r="A5738" s="234"/>
      <c r="B5738" s="238" t="str">
        <f>IFERROR(__xludf.DUMMYFUNCTION("""COMPUTED_VALUE"""),"SoC_GO_Goiânia_02")</f>
        <v>SoC_GO_Goiânia_02</v>
      </c>
      <c r="C5738" s="238" t="str">
        <f>IFERROR(__xludf.DUMMYFUNCTION("""COMPUTED_VALUE"""),"SOC-GO2")</f>
        <v>SOC-GO2</v>
      </c>
      <c r="D5738" s="234">
        <f>IFERROR(__xludf.DUMMYFUNCTION("""COMPUTED_VALUE"""),87.0)</f>
        <v>87</v>
      </c>
      <c r="E5738" s="237" t="str">
        <f>IFERROR(__xludf.DUMMYFUNCTION("""COMPUTED_VALUE"""),"LT0Q1N01WYR31")</f>
        <v>LT0Q1N01WYR31</v>
      </c>
      <c r="F5738" s="238" t="str">
        <f>IFERROR(__xludf.DUMMYFUNCTION("""COMPUTED_VALUE"""),"SEK3B29,SFV1I43")</f>
        <v>SEK3B29,SFV1I43</v>
      </c>
      <c r="G5738" s="238">
        <f>IFERROR(__xludf.DUMMYFUNCTION("""COMPUTED_VALUE"""),46046.08333333333)</f>
        <v>46046.08333</v>
      </c>
      <c r="H5738" s="238">
        <f>IFERROR(__xludf.DUMMYFUNCTION("""COMPUTED_VALUE"""),46046.45833333333)</f>
        <v>46046.45833</v>
      </c>
      <c r="J5738" s="239">
        <v>540.0</v>
      </c>
    </row>
    <row r="5739">
      <c r="A5739" s="234"/>
      <c r="B5739" s="234"/>
      <c r="C5739" s="238" t="str">
        <f>IFERROR(__xludf.DUMMYFUNCTION("""COMPUTED_VALUE"""),"SOC-GO2")</f>
        <v>SOC-GO2</v>
      </c>
      <c r="D5739" s="234">
        <f>IFERROR(__xludf.DUMMYFUNCTION("""COMPUTED_VALUE"""),86.0)</f>
        <v>86</v>
      </c>
      <c r="E5739" s="237" t="str">
        <f>IFERROR(__xludf.DUMMYFUNCTION("""COMPUTED_VALUE"""),"LT0Q1N01WYR52")</f>
        <v>LT0Q1N01WYR52</v>
      </c>
      <c r="F5739" s="238" t="str">
        <f>IFERROR(__xludf.DUMMYFUNCTION("""COMPUTED_VALUE"""),"QJU6G02,SMI9B42")</f>
        <v>QJU6G02,SMI9B42</v>
      </c>
      <c r="G5739" s="238">
        <f>IFERROR(__xludf.DUMMYFUNCTION("""COMPUTED_VALUE"""),46046.08333333333)</f>
        <v>46046.08333</v>
      </c>
      <c r="H5739" s="238">
        <f>IFERROR(__xludf.DUMMYFUNCTION("""COMPUTED_VALUE"""),46046.45833333333)</f>
        <v>46046.45833</v>
      </c>
      <c r="J5739" s="239">
        <v>540.0</v>
      </c>
    </row>
    <row r="5740">
      <c r="A5740" s="234"/>
      <c r="B5740" s="234"/>
      <c r="C5740" s="238" t="str">
        <f>IFERROR(__xludf.DUMMYFUNCTION("""COMPUTED_VALUE"""),"SOC-MG2")</f>
        <v>SOC-MG2</v>
      </c>
      <c r="D5740" s="234">
        <f>IFERROR(__xludf.DUMMYFUNCTION("""COMPUTED_VALUE"""),91.0)</f>
        <v>91</v>
      </c>
      <c r="E5740" s="237" t="str">
        <f>IFERROR(__xludf.DUMMYFUNCTION("""COMPUTED_VALUE"""),"LT0Q1N01WT7U3")</f>
        <v>LT0Q1N01WT7U3</v>
      </c>
      <c r="F5740" s="238" t="str">
        <f>IFERROR(__xludf.DUMMYFUNCTION("""COMPUTED_VALUE"""),"FMZ8A65,TLC8C54")</f>
        <v>FMZ8A65,TLC8C54</v>
      </c>
      <c r="G5740" s="238">
        <f>IFERROR(__xludf.DUMMYFUNCTION("""COMPUTED_VALUE"""),46046.08333333333)</f>
        <v>46046.08333</v>
      </c>
      <c r="H5740" s="238">
        <f>IFERROR(__xludf.DUMMYFUNCTION("""COMPUTED_VALUE"""),46046.45833333333)</f>
        <v>46046.45833</v>
      </c>
      <c r="J5740" s="239">
        <v>540.0</v>
      </c>
    </row>
    <row r="5741">
      <c r="A5741" s="234"/>
      <c r="B5741" s="234"/>
      <c r="C5741" s="238" t="str">
        <f>IFERROR(__xludf.DUMMYFUNCTION("""COMPUTED_VALUE"""),"SOC-MG2")</f>
        <v>SOC-MG2</v>
      </c>
      <c r="D5741" s="234" t="str">
        <f>IFERROR(__xludf.DUMMYFUNCTION("""COMPUTED_VALUE"""),"91/113")</f>
        <v>91/113</v>
      </c>
      <c r="E5741" s="237" t="str">
        <f>IFERROR(__xludf.DUMMYFUNCTION("""COMPUTED_VALUE"""),"LT0Q1N01WT891")</f>
        <v>LT0Q1N01WT891</v>
      </c>
      <c r="F5741" s="238" t="str">
        <f>IFERROR(__xludf.DUMMYFUNCTION("""COMPUTED_VALUE"""),"STS7H95,TAX1I64")</f>
        <v>STS7H95,TAX1I64</v>
      </c>
      <c r="G5741" s="238">
        <f>IFERROR(__xludf.DUMMYFUNCTION("""COMPUTED_VALUE"""),46046.08333333333)</f>
        <v>46046.08333</v>
      </c>
      <c r="H5741" s="238">
        <f>IFERROR(__xludf.DUMMYFUNCTION("""COMPUTED_VALUE"""),46046.45833333333)</f>
        <v>46046.45833</v>
      </c>
      <c r="J5741" s="239">
        <v>540.0</v>
      </c>
    </row>
    <row r="5742">
      <c r="A5742" s="234"/>
      <c r="B5742" s="238" t="str">
        <f>IFERROR(__xludf.DUMMYFUNCTION("""COMPUTED_VALUE"""),"SoC_PE_Jaboatão dos Guararapes")</f>
        <v>SoC_PE_Jaboatão dos Guararapes</v>
      </c>
      <c r="C5742" s="238" t="str">
        <f>IFERROR(__xludf.DUMMYFUNCTION("""COMPUTED_VALUE"""),"SOC-PE2")</f>
        <v>SOC-PE2</v>
      </c>
      <c r="D5742" s="234"/>
      <c r="E5742" s="237" t="str">
        <f>IFERROR(__xludf.DUMMYFUNCTION("""COMPUTED_VALUE"""),"LT0Q1N01WYCN2")</f>
        <v>LT0Q1N01WYCN2</v>
      </c>
      <c r="F5742" s="238" t="str">
        <f>IFERROR(__xludf.DUMMYFUNCTION("""COMPUTED_VALUE"""),"RHF5F29,AUY7090")</f>
        <v>RHF5F29,AUY7090</v>
      </c>
      <c r="G5742" s="238">
        <f>IFERROR(__xludf.DUMMYFUNCTION("""COMPUTED_VALUE"""),46046.08333333333)</f>
        <v>46046.08333</v>
      </c>
      <c r="H5742" s="238">
        <f>IFERROR(__xludf.DUMMYFUNCTION("""COMPUTED_VALUE"""),46046.45833333333)</f>
        <v>46046.45833</v>
      </c>
      <c r="J5742" s="239">
        <v>540.0</v>
      </c>
    </row>
    <row r="5743">
      <c r="A5743" s="234"/>
      <c r="B5743" s="234"/>
      <c r="C5743" s="238" t="str">
        <f>IFERROR(__xludf.DUMMYFUNCTION("""COMPUTED_VALUE"""),"SOC-RS2")</f>
        <v>SOC-RS2</v>
      </c>
      <c r="D5743" s="234">
        <f>IFERROR(__xludf.DUMMYFUNCTION("""COMPUTED_VALUE"""),93.0)</f>
        <v>93</v>
      </c>
      <c r="E5743" s="237" t="str">
        <f>IFERROR(__xludf.DUMMYFUNCTION("""COMPUTED_VALUE"""),"LT0Q1N01WYT72")</f>
        <v>LT0Q1N01WYT72</v>
      </c>
      <c r="F5743" s="238" t="str">
        <f>IFERROR(__xludf.DUMMYFUNCTION("""COMPUTED_VALUE"""),"IYV3I12,JDF7J33")</f>
        <v>IYV3I12,JDF7J33</v>
      </c>
      <c r="G5743" s="238">
        <f>IFERROR(__xludf.DUMMYFUNCTION("""COMPUTED_VALUE"""),46046.08333333333)</f>
        <v>46046.08333</v>
      </c>
      <c r="H5743" s="238">
        <f>IFERROR(__xludf.DUMMYFUNCTION("""COMPUTED_VALUE"""),46046.45833333333)</f>
        <v>46046.45833</v>
      </c>
      <c r="J5743" s="239">
        <v>537.9999999934807</v>
      </c>
    </row>
    <row r="5744">
      <c r="A5744" s="234"/>
      <c r="B5744" s="234"/>
      <c r="C5744" s="238" t="str">
        <f>IFERROR(__xludf.DUMMYFUNCTION("""COMPUTED_VALUE"""),"SOC-MG2")</f>
        <v>SOC-MG2</v>
      </c>
      <c r="D5744" s="234">
        <f>IFERROR(__xludf.DUMMYFUNCTION("""COMPUTED_VALUE"""),91.0)</f>
        <v>91</v>
      </c>
      <c r="E5744" s="237" t="str">
        <f>IFERROR(__xludf.DUMMYFUNCTION("""COMPUTED_VALUE"""),"LT0Q1N01X2LV1")</f>
        <v>LT0Q1N01X2LV1</v>
      </c>
      <c r="F5744" s="238" t="str">
        <f>IFERROR(__xludf.DUMMYFUNCTION("""COMPUTED_VALUE"""),"RLG6F20,FSD8H43")</f>
        <v>RLG6F20,FSD8H43</v>
      </c>
      <c r="G5744" s="238">
        <f>IFERROR(__xludf.DUMMYFUNCTION("""COMPUTED_VALUE"""),46046.08472222222)</f>
        <v>46046.08472</v>
      </c>
      <c r="H5744" s="238">
        <f>IFERROR(__xludf.DUMMYFUNCTION("""COMPUTED_VALUE"""),46046.45833333333)</f>
        <v>46046.45833</v>
      </c>
      <c r="J5744" s="239">
        <v>535.9999999869615</v>
      </c>
    </row>
    <row r="5745">
      <c r="A5745" s="234"/>
      <c r="B5745" s="238" t="str">
        <f>IFERROR(__xludf.DUMMYFUNCTION("""COMPUTED_VALUE"""),"SoC_SP_Cravinhos")</f>
        <v>SoC_SP_Cravinhos</v>
      </c>
      <c r="C5745" s="238" t="str">
        <f>IFERROR(__xludf.DUMMYFUNCTION("""COMPUTED_VALUE"""),"SOC-SP5")</f>
        <v>SOC-SP5</v>
      </c>
      <c r="D5745" s="234">
        <f>IFERROR(__xludf.DUMMYFUNCTION("""COMPUTED_VALUE"""),94.0)</f>
        <v>94</v>
      </c>
      <c r="E5745" s="237" t="str">
        <f>IFERROR(__xludf.DUMMYFUNCTION("""COMPUTED_VALUE"""),"LT0Q1N01WTB13")</f>
        <v>LT0Q1N01WTB13</v>
      </c>
      <c r="F5745" s="238" t="str">
        <f>IFERROR(__xludf.DUMMYFUNCTION("""COMPUTED_VALUE"""),"UFN3F88,UEZ1E16")</f>
        <v>UFN3F88,UEZ1E16</v>
      </c>
      <c r="G5745" s="238">
        <f>IFERROR(__xludf.DUMMYFUNCTION("""COMPUTED_VALUE"""),46046.086111111115)</f>
        <v>46046.08611</v>
      </c>
      <c r="H5745" s="238">
        <f>IFERROR(__xludf.DUMMYFUNCTION("""COMPUTED_VALUE"""),46046.45833333333)</f>
        <v>46046.45833</v>
      </c>
      <c r="J5745" s="239">
        <v>479.9999999930151</v>
      </c>
    </row>
    <row r="5746">
      <c r="A5746" s="234"/>
      <c r="B5746" s="234"/>
      <c r="C5746" s="238" t="str">
        <f>IFERROR(__xludf.DUMMYFUNCTION("""COMPUTED_VALUE"""),"SOC-BA2")</f>
        <v>SOC-BA2</v>
      </c>
      <c r="D5746" s="234">
        <f>IFERROR(__xludf.DUMMYFUNCTION("""COMPUTED_VALUE"""),112.0)</f>
        <v>112</v>
      </c>
      <c r="E5746" s="237" t="str">
        <f>IFERROR(__xludf.DUMMYFUNCTION("""COMPUTED_VALUE"""),"LT0Q1N01WYG71")</f>
        <v>LT0Q1N01WYG71</v>
      </c>
      <c r="F5746" s="238" t="str">
        <f>IFERROR(__xludf.DUMMYFUNCTION("""COMPUTED_VALUE"""),"FPJ4E97,RCV4F44")</f>
        <v>FPJ4E97,RCV4F44</v>
      </c>
      <c r="G5746" s="238">
        <f>IFERROR(__xludf.DUMMYFUNCTION("""COMPUTED_VALUE"""),46046.16666666667)</f>
        <v>46046.16667</v>
      </c>
      <c r="H5746" s="238">
        <f>IFERROR(__xludf.DUMMYFUNCTION("""COMPUTED_VALUE"""),46046.5)</f>
        <v>46046.5</v>
      </c>
      <c r="J5746" s="239">
        <v>476.0000000009313</v>
      </c>
    </row>
    <row r="5747">
      <c r="A5747" s="234"/>
      <c r="B5747" s="238" t="str">
        <f>IFERROR(__xludf.DUMMYFUNCTION("""COMPUTED_VALUE"""),"SoC_SP_Cravinhos")</f>
        <v>SoC_SP_Cravinhos</v>
      </c>
      <c r="C5747" s="238" t="str">
        <f>IFERROR(__xludf.DUMMYFUNCTION("""COMPUTED_VALUE"""),"SOC-SP5")</f>
        <v>SOC-SP5</v>
      </c>
      <c r="D5747" s="234">
        <f>IFERROR(__xludf.DUMMYFUNCTION("""COMPUTED_VALUE"""),94.0)</f>
        <v>94</v>
      </c>
      <c r="E5747" s="237" t="str">
        <f>IFERROR(__xludf.DUMMYFUNCTION("""COMPUTED_VALUE"""),"LT0Q1N01WTAZ2")</f>
        <v>LT0Q1N01WTAZ2</v>
      </c>
      <c r="F5747" s="238" t="str">
        <f>IFERROR(__xludf.DUMMYFUNCTION("""COMPUTED_VALUE"""),"ESU8650,FXT6D27")</f>
        <v>ESU8650,FXT6D27</v>
      </c>
      <c r="G5747" s="238">
        <f>IFERROR(__xludf.DUMMYFUNCTION("""COMPUTED_VALUE"""),46046.169444444444)</f>
        <v>46046.16944</v>
      </c>
      <c r="H5747" s="238">
        <f>IFERROR(__xludf.DUMMYFUNCTION("""COMPUTED_VALUE"""),46046.5)</f>
        <v>46046.5</v>
      </c>
      <c r="J5747" s="239">
        <v>479.9999999930151</v>
      </c>
    </row>
    <row r="5748">
      <c r="A5748" s="234"/>
      <c r="B5748" s="238" t="str">
        <f>IFERROR(__xludf.DUMMYFUNCTION("""COMPUTED_VALUE"""),"SoC_BA_Simoes Filho")</f>
        <v>SoC_BA_Simoes Filho</v>
      </c>
      <c r="C5748" s="238" t="str">
        <f>IFERROR(__xludf.DUMMYFUNCTION("""COMPUTED_VALUE"""),"SOC-BA2")</f>
        <v>SOC-BA2</v>
      </c>
      <c r="D5748" s="234">
        <f>IFERROR(__xludf.DUMMYFUNCTION("""COMPUTED_VALUE"""),112.0)</f>
        <v>112</v>
      </c>
      <c r="E5748" s="237" t="str">
        <f>IFERROR(__xludf.DUMMYFUNCTION("""COMPUTED_VALUE"""),"LT0Q1N01WYG71")</f>
        <v>LT0Q1N01WYG71</v>
      </c>
      <c r="F5748" s="238" t="str">
        <f>IFERROR(__xludf.DUMMYFUNCTION("""COMPUTED_VALUE"""),"FPJ4E97,RCV4F44")</f>
        <v>FPJ4E97,RCV4F44</v>
      </c>
      <c r="G5748" s="238">
        <f>IFERROR(__xludf.DUMMYFUNCTION("""COMPUTED_VALUE"""),46046.16666666667)</f>
        <v>46046.16667</v>
      </c>
      <c r="H5748" s="238">
        <f>IFERROR(__xludf.DUMMYFUNCTION("""COMPUTED_VALUE"""),46046.5)</f>
        <v>46046.5</v>
      </c>
      <c r="J5748" s="239">
        <v>540.0</v>
      </c>
    </row>
    <row r="5749">
      <c r="A5749" s="234"/>
      <c r="B5749" s="238" t="str">
        <f>IFERROR(__xludf.DUMMYFUNCTION("""COMPUTED_VALUE"""),"SoC_BA_Simoes Filho")</f>
        <v>SoC_BA_Simoes Filho</v>
      </c>
      <c r="C5749" s="238" t="str">
        <f>IFERROR(__xludf.DUMMYFUNCTION("""COMPUTED_VALUE"""),"SOC-BA2")</f>
        <v>SOC-BA2</v>
      </c>
      <c r="D5749" s="234">
        <f>IFERROR(__xludf.DUMMYFUNCTION("""COMPUTED_VALUE"""),89.0)</f>
        <v>89</v>
      </c>
      <c r="E5749" s="237" t="str">
        <f>IFERROR(__xludf.DUMMYFUNCTION("""COMPUTED_VALUE"""),"LT0Q1N01WYG92")</f>
        <v>LT0Q1N01WYG92</v>
      </c>
      <c r="F5749" s="238" t="str">
        <f>IFERROR(__xludf.DUMMYFUNCTION("""COMPUTED_VALUE"""),"GEJ5G56,FYY2F21")</f>
        <v>GEJ5G56,FYY2F21</v>
      </c>
      <c r="G5749" s="238">
        <f>IFERROR(__xludf.DUMMYFUNCTION("""COMPUTED_VALUE"""),46046.16666666667)</f>
        <v>46046.16667</v>
      </c>
      <c r="H5749" s="238">
        <f>IFERROR(__xludf.DUMMYFUNCTION("""COMPUTED_VALUE"""),46046.54166666667)</f>
        <v>46046.54167</v>
      </c>
      <c r="J5749" s="239">
        <v>540.0</v>
      </c>
    </row>
    <row r="5750">
      <c r="A5750" s="234"/>
      <c r="B5750" s="234"/>
      <c r="C5750" s="238" t="str">
        <f>IFERROR(__xludf.DUMMYFUNCTION("""COMPUTED_VALUE"""),"SOC-GO2")</f>
        <v>SOC-GO2</v>
      </c>
      <c r="D5750" s="234">
        <f>IFERROR(__xludf.DUMMYFUNCTION("""COMPUTED_VALUE"""),86.0)</f>
        <v>86</v>
      </c>
      <c r="E5750" s="237" t="str">
        <f>IFERROR(__xludf.DUMMYFUNCTION("""COMPUTED_VALUE"""),"LT1Q1O01XPLP1")</f>
        <v>LT1Q1O01XPLP1</v>
      </c>
      <c r="F5750" s="238" t="str">
        <f>IFERROR(__xludf.DUMMYFUNCTION("""COMPUTED_VALUE"""),"FDB0D73,EFU2I35")</f>
        <v>FDB0D73,EFU2I35</v>
      </c>
      <c r="G5750" s="238">
        <f>IFERROR(__xludf.DUMMYFUNCTION("""COMPUTED_VALUE"""),46046.16666666667)</f>
        <v>46046.16667</v>
      </c>
      <c r="H5750" s="238">
        <f>IFERROR(__xludf.DUMMYFUNCTION("""COMPUTED_VALUE"""),46046.54166666667)</f>
        <v>46046.54167</v>
      </c>
      <c r="J5750" s="239">
        <v>598.0000000004657</v>
      </c>
    </row>
    <row r="5751">
      <c r="A5751" s="234"/>
      <c r="B5751" s="234"/>
      <c r="C5751" s="238" t="str">
        <f>IFERROR(__xludf.DUMMYFUNCTION("""COMPUTED_VALUE"""),"SOC-MG2")</f>
        <v>SOC-MG2</v>
      </c>
      <c r="D5751" s="234">
        <f>IFERROR(__xludf.DUMMYFUNCTION("""COMPUTED_VALUE"""),90.0)</f>
        <v>90</v>
      </c>
      <c r="E5751" s="237" t="str">
        <f>IFERROR(__xludf.DUMMYFUNCTION("""COMPUTED_VALUE"""),"LT0Q1O01X2LN1")</f>
        <v>LT0Q1O01X2LN1</v>
      </c>
      <c r="F5751" s="238" t="str">
        <f>IFERROR(__xludf.DUMMYFUNCTION("""COMPUTED_VALUE"""),"HBG0F08,FWO5H10")</f>
        <v>HBG0F08,FWO5H10</v>
      </c>
      <c r="G5751" s="238">
        <f>IFERROR(__xludf.DUMMYFUNCTION("""COMPUTED_VALUE"""),46046.25138888889)</f>
        <v>46046.25139</v>
      </c>
      <c r="H5751" s="238">
        <f>IFERROR(__xludf.DUMMYFUNCTION("""COMPUTED_VALUE"""),46046.66666666667)</f>
        <v>46046.66667</v>
      </c>
      <c r="J5751" s="239">
        <v>598.0000000004657</v>
      </c>
    </row>
    <row r="5752">
      <c r="A5752" s="234"/>
      <c r="B5752" s="238" t="str">
        <f>IFERROR(__xludf.DUMMYFUNCTION("""COMPUTED_VALUE"""),"SoC_SP_Cravinhos")</f>
        <v>SoC_SP_Cravinhos</v>
      </c>
      <c r="C5752" s="238" t="str">
        <f>IFERROR(__xludf.DUMMYFUNCTION("""COMPUTED_VALUE"""),"SOC-SP5")</f>
        <v>SOC-SP5</v>
      </c>
      <c r="D5752" s="234">
        <f>IFERROR(__xludf.DUMMYFUNCTION("""COMPUTED_VALUE"""),95.0)</f>
        <v>95</v>
      </c>
      <c r="E5752" s="237" t="str">
        <f>IFERROR(__xludf.DUMMYFUNCTION("""COMPUTED_VALUE"""),"LT0Q1O01WT9Q1")</f>
        <v>LT0Q1O01WT9Q1</v>
      </c>
      <c r="F5752" s="238" t="str">
        <f>IFERROR(__xludf.DUMMYFUNCTION("""COMPUTED_VALUE"""),"UGJ0F16,UDJ0C51")</f>
        <v>UGJ0F16,UDJ0C51</v>
      </c>
      <c r="G5752" s="238">
        <f>IFERROR(__xludf.DUMMYFUNCTION("""COMPUTED_VALUE"""),46046.25138888889)</f>
        <v>46046.25139</v>
      </c>
      <c r="H5752" s="238">
        <f>IFERROR(__xludf.DUMMYFUNCTION("""COMPUTED_VALUE"""),46046.66666666667)</f>
        <v>46046.66667</v>
      </c>
      <c r="J5752" s="239">
        <v>597.0000000076834</v>
      </c>
    </row>
    <row r="5753">
      <c r="A5753" s="234"/>
      <c r="B5753" s="234"/>
      <c r="C5753" s="238" t="str">
        <f>IFERROR(__xludf.DUMMYFUNCTION("""COMPUTED_VALUE"""),"SOC-RJ2")</f>
        <v>SOC-RJ2</v>
      </c>
      <c r="D5753" s="234">
        <f>IFERROR(__xludf.DUMMYFUNCTION("""COMPUTED_VALUE"""),96.0)</f>
        <v>96</v>
      </c>
      <c r="E5753" s="237" t="str">
        <f>IFERROR(__xludf.DUMMYFUNCTION("""COMPUTED_VALUE"""),"LT0Q1O01X2ZB2")</f>
        <v>LT0Q1O01X2ZB2</v>
      </c>
      <c r="F5753" s="238" t="str">
        <f>IFERROR(__xludf.DUMMYFUNCTION("""COMPUTED_VALUE"""),"JBT0H34,TTS5I19")</f>
        <v>JBT0H34,TTS5I19</v>
      </c>
      <c r="G5753" s="238">
        <f>IFERROR(__xludf.DUMMYFUNCTION("""COMPUTED_VALUE"""),46046.25208333333)</f>
        <v>46046.25208</v>
      </c>
      <c r="H5753" s="238">
        <f>IFERROR(__xludf.DUMMYFUNCTION("""COMPUTED_VALUE"""),46046.66666666667)</f>
        <v>46046.66667</v>
      </c>
      <c r="J5753" s="239">
        <v>600.0000000069849</v>
      </c>
    </row>
    <row r="5754">
      <c r="A5754" s="234"/>
      <c r="B5754" s="234"/>
      <c r="C5754" s="238" t="str">
        <f>IFERROR(__xludf.DUMMYFUNCTION("""COMPUTED_VALUE"""),"SOC-RS2")</f>
        <v>SOC-RS2</v>
      </c>
      <c r="D5754" s="234">
        <f>IFERROR(__xludf.DUMMYFUNCTION("""COMPUTED_VALUE"""),93.0)</f>
        <v>93</v>
      </c>
      <c r="E5754" s="237" t="str">
        <f>IFERROR(__xludf.DUMMYFUNCTION("""COMPUTED_VALUE"""),"LT0Q1O01WYSI1")</f>
        <v>LT0Q1O01WYSI1</v>
      </c>
      <c r="F5754" s="238" t="str">
        <f>IFERROR(__xludf.DUMMYFUNCTION("""COMPUTED_VALUE"""),"QHS2J17,JAP7A06")</f>
        <v>QHS2J17,JAP7A06</v>
      </c>
      <c r="G5754" s="238">
        <f>IFERROR(__xludf.DUMMYFUNCTION("""COMPUTED_VALUE"""),46046.25)</f>
        <v>46046.25</v>
      </c>
      <c r="H5754" s="238">
        <f>IFERROR(__xludf.DUMMYFUNCTION("""COMPUTED_VALUE"""),46046.66666666667)</f>
        <v>46046.66667</v>
      </c>
      <c r="J5754" s="239">
        <v>598.0000000004657</v>
      </c>
    </row>
    <row r="5755">
      <c r="A5755" s="234"/>
      <c r="B5755" s="238" t="str">
        <f>IFERROR(__xludf.DUMMYFUNCTION("""COMPUTED_VALUE"""),"SoC_PE_Jaboatão dos Guararapes")</f>
        <v>SoC_PE_Jaboatão dos Guararapes</v>
      </c>
      <c r="C5755" s="238" t="str">
        <f>IFERROR(__xludf.DUMMYFUNCTION("""COMPUTED_VALUE"""),"SOC-PE2")</f>
        <v>SOC-PE2</v>
      </c>
      <c r="D5755" s="234">
        <f>IFERROR(__xludf.DUMMYFUNCTION("""COMPUTED_VALUE"""),98.0)</f>
        <v>98</v>
      </c>
      <c r="E5755" s="237" t="str">
        <f>IFERROR(__xludf.DUMMYFUNCTION("""COMPUTED_VALUE"""),"LT0Q1O01WYC51")</f>
        <v>LT0Q1O01WYC51</v>
      </c>
      <c r="F5755" s="238" t="str">
        <f>IFERROR(__xludf.DUMMYFUNCTION("""COMPUTED_VALUE"""),"REB0A06,SXR6H11")</f>
        <v>REB0A06,SXR6H11</v>
      </c>
      <c r="G5755" s="238">
        <f>IFERROR(__xludf.DUMMYFUNCTION("""COMPUTED_VALUE"""),46046.25138888889)</f>
        <v>46046.25139</v>
      </c>
      <c r="H5755" s="238">
        <f>IFERROR(__xludf.DUMMYFUNCTION("""COMPUTED_VALUE"""),46046.66666666667)</f>
        <v>46046.66667</v>
      </c>
      <c r="J5755" s="239">
        <v>600.0000000069849</v>
      </c>
    </row>
    <row r="5756">
      <c r="A5756" s="234"/>
      <c r="B5756" s="238" t="str">
        <f>IFERROR(__xludf.DUMMYFUNCTION("""COMPUTED_VALUE"""),"SoC_SC_Itajaí")</f>
        <v>SoC_SC_Itajaí</v>
      </c>
      <c r="C5756" s="238" t="str">
        <f>IFERROR(__xludf.DUMMYFUNCTION("""COMPUTED_VALUE"""),"SOC-SC1")</f>
        <v>SOC-SC1</v>
      </c>
      <c r="D5756" s="234">
        <f>IFERROR(__xludf.DUMMYFUNCTION("""COMPUTED_VALUE"""),101.0)</f>
        <v>101</v>
      </c>
      <c r="E5756" s="237" t="str">
        <f>IFERROR(__xludf.DUMMYFUNCTION("""COMPUTED_VALUE"""),"LT0Q1O01WXH51")</f>
        <v>LT0Q1O01WXH51</v>
      </c>
      <c r="F5756" s="238" t="str">
        <f>IFERROR(__xludf.DUMMYFUNCTION("""COMPUTED_VALUE"""),"MIY3A35,MKY9684")</f>
        <v>MIY3A35,MKY9684</v>
      </c>
      <c r="G5756" s="238">
        <f>IFERROR(__xludf.DUMMYFUNCTION("""COMPUTED_VALUE"""),46046.25)</f>
        <v>46046.25</v>
      </c>
      <c r="H5756" s="238">
        <f>IFERROR(__xludf.DUMMYFUNCTION("""COMPUTED_VALUE"""),46046.66666666667)</f>
        <v>46046.66667</v>
      </c>
      <c r="J5756" s="239">
        <v>119.99999999301508</v>
      </c>
    </row>
    <row r="5757">
      <c r="A5757" s="234"/>
      <c r="B5757" s="238" t="str">
        <f>IFERROR(__xludf.DUMMYFUNCTION("""COMPUTED_VALUE"""),"SoC_PR_Curitiba")</f>
        <v>SoC_PR_Curitiba</v>
      </c>
      <c r="C5757" s="238" t="str">
        <f>IFERROR(__xludf.DUMMYFUNCTION("""COMPUTED_VALUE"""),"SOC-PR1")</f>
        <v>SOC-PR1</v>
      </c>
      <c r="D5757" s="234">
        <f>IFERROR(__xludf.DUMMYFUNCTION("""COMPUTED_VALUE"""),39.0)</f>
        <v>39</v>
      </c>
      <c r="E5757" s="237" t="str">
        <f>IFERROR(__xludf.DUMMYFUNCTION("""COMPUTED_VALUE"""),"LT0Q1O01WT9E1")</f>
        <v>LT0Q1O01WT9E1</v>
      </c>
      <c r="F5757" s="238" t="str">
        <f>IFERROR(__xludf.DUMMYFUNCTION("""COMPUTED_VALUE"""),"TJD1F44,BEY5C12")</f>
        <v>TJD1F44,BEY5C12</v>
      </c>
      <c r="G5757" s="238">
        <f>IFERROR(__xludf.DUMMYFUNCTION("""COMPUTED_VALUE"""),46046.91666666667)</f>
        <v>46046.91667</v>
      </c>
      <c r="H5757" s="238">
        <f>IFERROR(__xludf.DUMMYFUNCTION("""COMPUTED_VALUE"""),46047.0)</f>
        <v>46047</v>
      </c>
      <c r="J5757" s="239">
        <v>119.99999999301508</v>
      </c>
    </row>
    <row r="5758">
      <c r="A5758" s="234"/>
      <c r="B5758" s="238" t="str">
        <f>IFERROR(__xludf.DUMMYFUNCTION("""COMPUTED_VALUE"""),"LM Hub_SP_Artur Alvim")</f>
        <v>LM Hub_SP_Artur Alvim</v>
      </c>
      <c r="C5758" s="238" t="str">
        <f>IFERROR(__xludf.DUMMYFUNCTION("""COMPUTED_VALUE"""),"HUB-LSP-07")</f>
        <v>HUB-LSP-07</v>
      </c>
      <c r="D5758" s="234">
        <f>IFERROR(__xludf.DUMMYFUNCTION("""COMPUTED_VALUE"""),14.0)</f>
        <v>14</v>
      </c>
      <c r="E5758" s="237" t="str">
        <f>IFERROR(__xludf.DUMMYFUNCTION("""COMPUTED_VALUE"""),"LT0Q1O01WTC71")</f>
        <v>LT0Q1O01WTC71</v>
      </c>
      <c r="F5758" s="238" t="str">
        <f>IFERROR(__xludf.DUMMYFUNCTION("""COMPUTED_VALUE"""),"OUV2G66,JMU8H37")</f>
        <v>OUV2G66,JMU8H37</v>
      </c>
      <c r="G5758" s="238">
        <f>IFERROR(__xludf.DUMMYFUNCTION("""COMPUTED_VALUE"""),46046.91666666667)</f>
        <v>46046.91667</v>
      </c>
      <c r="H5758" s="238">
        <f>IFERROR(__xludf.DUMMYFUNCTION("""COMPUTED_VALUE"""),46047.0)</f>
        <v>46047</v>
      </c>
      <c r="J5758" s="239">
        <v>119.99999999301508</v>
      </c>
    </row>
    <row r="5759">
      <c r="A5759" s="234"/>
      <c r="B5759" s="238" t="str">
        <f>IFERROR(__xludf.DUMMYFUNCTION("""COMPUTED_VALUE"""),"LM Hub_SP_Itapevi")</f>
        <v>LM Hub_SP_Itapevi</v>
      </c>
      <c r="C5759" s="238" t="str">
        <f>IFERROR(__xludf.DUMMYFUNCTION("""COMPUTED_VALUE"""),"HUB-LSP-41")</f>
        <v>HUB-LSP-41</v>
      </c>
      <c r="D5759" s="234">
        <f>IFERROR(__xludf.DUMMYFUNCTION("""COMPUTED_VALUE"""),35.0)</f>
        <v>35</v>
      </c>
      <c r="E5759" s="237" t="str">
        <f>IFERROR(__xludf.DUMMYFUNCTION("""COMPUTED_VALUE"""),"LT0Q1O01WTDY1")</f>
        <v>LT0Q1O01WTDY1</v>
      </c>
      <c r="F5759" s="238" t="str">
        <f>IFERROR(__xludf.DUMMYFUNCTION("""COMPUTED_VALUE"""),"BCS4J31,DJB0J76")</f>
        <v>BCS4J31,DJB0J76</v>
      </c>
      <c r="G5759" s="238">
        <f>IFERROR(__xludf.DUMMYFUNCTION("""COMPUTED_VALUE"""),46046.91666666667)</f>
        <v>46046.91667</v>
      </c>
      <c r="H5759" s="238">
        <f>IFERROR(__xludf.DUMMYFUNCTION("""COMPUTED_VALUE"""),46047.0)</f>
        <v>46047</v>
      </c>
      <c r="J5759" s="239">
        <v>119.99999999301508</v>
      </c>
    </row>
    <row r="5760">
      <c r="A5760" s="234"/>
      <c r="B5760" s="238" t="str">
        <f>IFERROR(__xludf.DUMMYFUNCTION("""COMPUTED_VALUE"""),"LM Hub_SP_Mauá")</f>
        <v>LM Hub_SP_Mauá</v>
      </c>
      <c r="C5760" s="238" t="str">
        <f>IFERROR(__xludf.DUMMYFUNCTION("""COMPUTED_VALUE"""),"HUB-LSP-64")</f>
        <v>HUB-LSP-64</v>
      </c>
      <c r="D5760" s="234">
        <f>IFERROR(__xludf.DUMMYFUNCTION("""COMPUTED_VALUE"""),26.0)</f>
        <v>26</v>
      </c>
      <c r="E5760" s="237" t="str">
        <f>IFERROR(__xludf.DUMMYFUNCTION("""COMPUTED_VALUE"""),"LT0Q1O01WTEG1")</f>
        <v>LT0Q1O01WTEG1</v>
      </c>
      <c r="F5760" s="238" t="str">
        <f>IFERROR(__xludf.DUMMYFUNCTION("""COMPUTED_VALUE"""),"FXQ8H67,EZL9D42")</f>
        <v>FXQ8H67,EZL9D42</v>
      </c>
      <c r="G5760" s="238">
        <f>IFERROR(__xludf.DUMMYFUNCTION("""COMPUTED_VALUE"""),46046.91666666667)</f>
        <v>46046.91667</v>
      </c>
      <c r="H5760" s="238">
        <f>IFERROR(__xludf.DUMMYFUNCTION("""COMPUTED_VALUE"""),46047.0)</f>
        <v>46047</v>
      </c>
      <c r="J5760" s="239">
        <v>119.99999999301508</v>
      </c>
    </row>
    <row r="5761">
      <c r="A5761" s="234"/>
      <c r="B5761" s="238" t="str">
        <f>IFERROR(__xludf.DUMMYFUNCTION("""COMPUTED_VALUE"""),"LM Hub_SP_Santo André")</f>
        <v>LM Hub_SP_Santo André</v>
      </c>
      <c r="C5761" s="238" t="str">
        <f>IFERROR(__xludf.DUMMYFUNCTION("""COMPUTED_VALUE"""),"HUB-LSP-93")</f>
        <v>HUB-LSP-93</v>
      </c>
      <c r="D5761" s="234">
        <f>IFERROR(__xludf.DUMMYFUNCTION("""COMPUTED_VALUE"""),13.0)</f>
        <v>13</v>
      </c>
      <c r="E5761" s="237" t="str">
        <f>IFERROR(__xludf.DUMMYFUNCTION("""COMPUTED_VALUE"""),"LT0Q1O01WVN61")</f>
        <v>LT0Q1O01WVN61</v>
      </c>
      <c r="F5761" s="238" t="str">
        <f>IFERROR(__xludf.DUMMYFUNCTION("""COMPUTED_VALUE"""),"FOU6A12,FDZ1C09")</f>
        <v>FOU6A12,FDZ1C09</v>
      </c>
      <c r="G5761" s="238">
        <f>IFERROR(__xludf.DUMMYFUNCTION("""COMPUTED_VALUE"""),46046.91666666667)</f>
        <v>46046.91667</v>
      </c>
      <c r="H5761" s="238">
        <f>IFERROR(__xludf.DUMMYFUNCTION("""COMPUTED_VALUE"""),46047.0)</f>
        <v>46047</v>
      </c>
      <c r="J5761" s="239">
        <v>119.99999999301508</v>
      </c>
    </row>
    <row r="5762">
      <c r="A5762" s="234"/>
      <c r="B5762" s="238" t="str">
        <f>IFERROR(__xludf.DUMMYFUNCTION("""COMPUTED_VALUE"""),"LM Hub_SP_Barueri_01")</f>
        <v>LM Hub_SP_Barueri_01</v>
      </c>
      <c r="C5762" s="238" t="str">
        <f>IFERROR(__xludf.DUMMYFUNCTION("""COMPUTED_VALUE"""),"HUB-LSP-81")</f>
        <v>HUB-LSP-81</v>
      </c>
      <c r="D5762" s="234">
        <f>IFERROR(__xludf.DUMMYFUNCTION("""COMPUTED_VALUE"""),19.0)</f>
        <v>19</v>
      </c>
      <c r="E5762" s="237" t="str">
        <f>IFERROR(__xludf.DUMMYFUNCTION("""COMPUTED_VALUE"""),"LT0Q1O01WY441")</f>
        <v>LT0Q1O01WY441</v>
      </c>
      <c r="F5762" s="238" t="str">
        <f>IFERROR(__xludf.DUMMYFUNCTION("""COMPUTED_VALUE"""),"SUQ5C99,TLD5B82")</f>
        <v>SUQ5C99,TLD5B82</v>
      </c>
      <c r="G5762" s="238">
        <f>IFERROR(__xludf.DUMMYFUNCTION("""COMPUTED_VALUE"""),46046.91666666667)</f>
        <v>46046.91667</v>
      </c>
      <c r="H5762" s="238">
        <f>IFERROR(__xludf.DUMMYFUNCTION("""COMPUTED_VALUE"""),46047.0)</f>
        <v>46047</v>
      </c>
      <c r="J5762" s="239">
        <v>119.99999999301508</v>
      </c>
    </row>
    <row r="5763">
      <c r="A5763" s="234"/>
      <c r="B5763" s="238" t="str">
        <f>IFERROR(__xludf.DUMMYFUNCTION("""COMPUTED_VALUE"""),"LM Hub_SP_Jardim Adriana")</f>
        <v>LM Hub_SP_Jardim Adriana</v>
      </c>
      <c r="C5763" s="238" t="str">
        <f>IFERROR(__xludf.DUMMYFUNCTION("""COMPUTED_VALUE"""),"HUB-LSP-12")</f>
        <v>HUB-LSP-12</v>
      </c>
      <c r="D5763" s="234">
        <f>IFERROR(__xludf.DUMMYFUNCTION("""COMPUTED_VALUE"""),17.0)</f>
        <v>17</v>
      </c>
      <c r="E5763" s="237" t="str">
        <f>IFERROR(__xludf.DUMMYFUNCTION("""COMPUTED_VALUE"""),"LT0Q1O01WTCL1")</f>
        <v>LT0Q1O01WTCL1</v>
      </c>
      <c r="F5763" s="238" t="str">
        <f>IFERROR(__xludf.DUMMYFUNCTION("""COMPUTED_VALUE"""),"IYS3C29")</f>
        <v>IYS3C29</v>
      </c>
      <c r="G5763" s="238">
        <f>IFERROR(__xludf.DUMMYFUNCTION("""COMPUTED_VALUE"""),46046.9375)</f>
        <v>46046.9375</v>
      </c>
      <c r="H5763" s="238">
        <f>IFERROR(__xludf.DUMMYFUNCTION("""COMPUTED_VALUE"""),46047.02083333333)</f>
        <v>46047.02083</v>
      </c>
      <c r="J5763" s="239">
        <v>119.99999999301508</v>
      </c>
    </row>
    <row r="5764">
      <c r="A5764" s="234"/>
      <c r="B5764" s="238" t="str">
        <f>IFERROR(__xludf.DUMMYFUNCTION("""COMPUTED_VALUE"""),"LM Hub_SP_Piracicaba")</f>
        <v>LM Hub_SP_Piracicaba</v>
      </c>
      <c r="C5764" s="238" t="str">
        <f>IFERROR(__xludf.DUMMYFUNCTION("""COMPUTED_VALUE"""),"HUB-LSP-62")</f>
        <v>HUB-LSP-62</v>
      </c>
      <c r="D5764" s="234">
        <f>IFERROR(__xludf.DUMMYFUNCTION("""COMPUTED_VALUE"""),48.0)</f>
        <v>48</v>
      </c>
      <c r="E5764" s="237" t="str">
        <f>IFERROR(__xludf.DUMMYFUNCTION("""COMPUTED_VALUE"""),"LT0Q1O01WU4R1")</f>
        <v>LT0Q1O01WU4R1</v>
      </c>
      <c r="F5764" s="238" t="str">
        <f>IFERROR(__xludf.DUMMYFUNCTION("""COMPUTED_VALUE"""),"EOF4D32,EOF4D30")</f>
        <v>EOF4D32,EOF4D30</v>
      </c>
      <c r="G5764" s="238">
        <f>IFERROR(__xludf.DUMMYFUNCTION("""COMPUTED_VALUE"""),46046.9375)</f>
        <v>46046.9375</v>
      </c>
      <c r="H5764" s="238">
        <f>IFERROR(__xludf.DUMMYFUNCTION("""COMPUTED_VALUE"""),46047.02083333333)</f>
        <v>46047.02083</v>
      </c>
      <c r="J5764" s="239">
        <v>119.99999999301508</v>
      </c>
    </row>
    <row r="5765">
      <c r="A5765" s="234"/>
      <c r="B5765" s="238" t="str">
        <f>IFERROR(__xludf.DUMMYFUNCTION("""COMPUTED_VALUE"""),"LM Hub_SP_Suzano_Baruel")</f>
        <v>LM Hub_SP_Suzano_Baruel</v>
      </c>
      <c r="C5765" s="238" t="str">
        <f>IFERROR(__xludf.DUMMYFUNCTION("""COMPUTED_VALUE"""),"HUB-LSP-97")</f>
        <v>HUB-LSP-97</v>
      </c>
      <c r="D5765" s="234">
        <f>IFERROR(__xludf.DUMMYFUNCTION("""COMPUTED_VALUE"""),36.0)</f>
        <v>36</v>
      </c>
      <c r="E5765" s="237" t="str">
        <f>IFERROR(__xludf.DUMMYFUNCTION("""COMPUTED_VALUE"""),"LT0Q1O01WZTD1")</f>
        <v>LT0Q1O01WZTD1</v>
      </c>
      <c r="F5765" s="238" t="str">
        <f>IFERROR(__xludf.DUMMYFUNCTION("""COMPUTED_VALUE"""),"RBG0F94,UGJ8A38")</f>
        <v>RBG0F94,UGJ8A38</v>
      </c>
      <c r="G5765" s="238">
        <f>IFERROR(__xludf.DUMMYFUNCTION("""COMPUTED_VALUE"""),46046.9375)</f>
        <v>46046.9375</v>
      </c>
      <c r="H5765" s="238">
        <f>IFERROR(__xludf.DUMMYFUNCTION("""COMPUTED_VALUE"""),46047.02083333333)</f>
        <v>46047.02083</v>
      </c>
      <c r="J5765" s="239">
        <v>118.99999998975545</v>
      </c>
    </row>
    <row r="5766">
      <c r="A5766" s="234"/>
      <c r="B5766" s="238" t="str">
        <f>IFERROR(__xludf.DUMMYFUNCTION("""COMPUTED_VALUE"""),"LM Hub_SP_São Paulo_Carandiru")</f>
        <v>LM Hub_SP_São Paulo_Carandiru</v>
      </c>
      <c r="C5766" s="238" t="str">
        <f>IFERROR(__xludf.DUMMYFUNCTION("""COMPUTED_VALUE"""),"HUB-LSP-18")</f>
        <v>HUB-LSP-18</v>
      </c>
      <c r="D5766" s="234">
        <f>IFERROR(__xludf.DUMMYFUNCTION("""COMPUTED_VALUE"""),34.0)</f>
        <v>34</v>
      </c>
      <c r="E5766" s="237" t="str">
        <f>IFERROR(__xludf.DUMMYFUNCTION("""COMPUTED_VALUE"""),"LT0Q1O01WTDI1")</f>
        <v>LT0Q1O01WTDI1</v>
      </c>
      <c r="F5766" s="238" t="str">
        <f>IFERROR(__xludf.DUMMYFUNCTION("""COMPUTED_VALUE"""),"AXH9D10")</f>
        <v>AXH9D10</v>
      </c>
      <c r="G5766" s="238">
        <f>IFERROR(__xludf.DUMMYFUNCTION("""COMPUTED_VALUE"""),46046.93819444445)</f>
        <v>46046.93819</v>
      </c>
      <c r="H5766" s="238">
        <f>IFERROR(__xludf.DUMMYFUNCTION("""COMPUTED_VALUE"""),46047.02083333333)</f>
        <v>46047.02083</v>
      </c>
      <c r="J5766" s="239">
        <v>118.99999998975545</v>
      </c>
    </row>
    <row r="5767">
      <c r="A5767" s="234"/>
      <c r="B5767" s="238" t="str">
        <f>IFERROR(__xludf.DUMMYFUNCTION("""COMPUTED_VALUE"""),"LM Hub_SP_VilaGuilherme")</f>
        <v>LM Hub_SP_VilaGuilherme</v>
      </c>
      <c r="C5767" s="238" t="str">
        <f>IFERROR(__xludf.DUMMYFUNCTION("""COMPUTED_VALUE"""),"HUB-LSP-68")</f>
        <v>HUB-LSP-68</v>
      </c>
      <c r="D5767" s="234">
        <f>IFERROR(__xludf.DUMMYFUNCTION("""COMPUTED_VALUE"""),49.0)</f>
        <v>49</v>
      </c>
      <c r="E5767" s="237" t="str">
        <f>IFERROR(__xludf.DUMMYFUNCTION("""COMPUTED_VALUE"""),"LT0Q1O01X2MY1")</f>
        <v>LT0Q1O01X2MY1</v>
      </c>
      <c r="F5767" s="238" t="str">
        <f>IFERROR(__xludf.DUMMYFUNCTION("""COMPUTED_VALUE"""),"HFD4H27,JXG9745")</f>
        <v>HFD4H27,JXG9745</v>
      </c>
      <c r="G5767" s="238">
        <f>IFERROR(__xludf.DUMMYFUNCTION("""COMPUTED_VALUE"""),46046.93819444445)</f>
        <v>46046.93819</v>
      </c>
      <c r="H5767" s="238">
        <f>IFERROR(__xludf.DUMMYFUNCTION("""COMPUTED_VALUE"""),46047.02083333333)</f>
        <v>46047.02083</v>
      </c>
      <c r="J5767" s="239">
        <v>118.99999998975545</v>
      </c>
    </row>
    <row r="5768">
      <c r="A5768" s="234"/>
      <c r="B5768" s="238" t="str">
        <f>IFERROR(__xludf.DUMMYFUNCTION("""COMPUTED_VALUE"""),"LM Hub_SP_Parque Novo Mundo")</f>
        <v>LM Hub_SP_Parque Novo Mundo</v>
      </c>
      <c r="C5768" s="238" t="str">
        <f>IFERROR(__xludf.DUMMYFUNCTION("""COMPUTED_VALUE"""),"HUB-LSP-89")</f>
        <v>HUB-LSP-89</v>
      </c>
      <c r="D5768" s="234">
        <f>IFERROR(__xludf.DUMMYFUNCTION("""COMPUTED_VALUE"""),18.0)</f>
        <v>18</v>
      </c>
      <c r="E5768" s="237" t="str">
        <f>IFERROR(__xludf.DUMMYFUNCTION("""COMPUTED_VALUE"""),"LT0Q1O01X2U61")</f>
        <v>LT0Q1O01X2U61</v>
      </c>
      <c r="F5768" s="238" t="str">
        <f>IFERROR(__xludf.DUMMYFUNCTION("""COMPUTED_VALUE"""),"FNK8E47,FAM1829")</f>
        <v>FNK8E47,FAM1829</v>
      </c>
      <c r="G5768" s="238">
        <f>IFERROR(__xludf.DUMMYFUNCTION("""COMPUTED_VALUE"""),46046.93819444445)</f>
        <v>46046.93819</v>
      </c>
      <c r="H5768" s="238">
        <f>IFERROR(__xludf.DUMMYFUNCTION("""COMPUTED_VALUE"""),46047.02083333333)</f>
        <v>46047.02083</v>
      </c>
      <c r="J5768" s="239">
        <v>119.99999999301508</v>
      </c>
    </row>
    <row r="5769">
      <c r="A5769" s="234"/>
      <c r="B5769" s="238" t="str">
        <f>IFERROR(__xludf.DUMMYFUNCTION("""COMPUTED_VALUE"""),"LM Hub_SP_Araraquara")</f>
        <v>LM Hub_SP_Araraquara</v>
      </c>
      <c r="C5769" s="238" t="str">
        <f>IFERROR(__xludf.DUMMYFUNCTION("""COMPUTED_VALUE"""),"HUB-LSP-29")</f>
        <v>HUB-LSP-29</v>
      </c>
      <c r="D5769" s="234">
        <f>IFERROR(__xludf.DUMMYFUNCTION("""COMPUTED_VALUE"""),32.0)</f>
        <v>32</v>
      </c>
      <c r="E5769" s="237" t="str">
        <f>IFERROR(__xludf.DUMMYFUNCTION("""COMPUTED_VALUE"""),"LT0Q1O01WTHW1")</f>
        <v>LT0Q1O01WTHW1</v>
      </c>
      <c r="F5769" s="238" t="str">
        <f>IFERROR(__xludf.DUMMYFUNCTION("""COMPUTED_VALUE"""),"ISQ7F01,ANM9G89")</f>
        <v>ISQ7F01,ANM9G89</v>
      </c>
      <c r="G5769" s="238">
        <f>IFERROR(__xludf.DUMMYFUNCTION("""COMPUTED_VALUE"""),46046.97916666667)</f>
        <v>46046.97917</v>
      </c>
      <c r="H5769" s="238">
        <f>IFERROR(__xludf.DUMMYFUNCTION("""COMPUTED_VALUE"""),46047.0625)</f>
        <v>46047.0625</v>
      </c>
      <c r="J5769" s="239">
        <v>119.99999999301508</v>
      </c>
    </row>
    <row r="5770">
      <c r="A5770" s="234"/>
      <c r="B5770" s="238" t="str">
        <f>IFERROR(__xludf.DUMMYFUNCTION("""COMPUTED_VALUE"""),"SoC_RJ_Duque de Caxias")</f>
        <v>SoC_RJ_Duque de Caxias</v>
      </c>
      <c r="C5770" s="238" t="str">
        <f>IFERROR(__xludf.DUMMYFUNCTION("""COMPUTED_VALUE"""),"SOC-RJ2")</f>
        <v>SOC-RJ2</v>
      </c>
      <c r="D5770" s="234">
        <f>IFERROR(__xludf.DUMMYFUNCTION("""COMPUTED_VALUE"""),113.0)</f>
        <v>113</v>
      </c>
      <c r="E5770" s="237" t="str">
        <f>IFERROR(__xludf.DUMMYFUNCTION("""COMPUTED_VALUE"""),"LT1Q1P01XPTP1")</f>
        <v>LT1Q1P01XPTP1</v>
      </c>
      <c r="F5770" s="238" t="str">
        <f>IFERROR(__xludf.DUMMYFUNCTION("""COMPUTED_VALUE"""),"NTD3905,JRK5607")</f>
        <v>NTD3905,JRK5607</v>
      </c>
      <c r="G5770" s="238">
        <f>IFERROR(__xludf.DUMMYFUNCTION("""COMPUTED_VALUE"""),46047.04166666667)</f>
        <v>46047.04167</v>
      </c>
      <c r="H5770" s="238">
        <f>IFERROR(__xludf.DUMMYFUNCTION("""COMPUTED_VALUE"""),46047.125)</f>
        <v>46047.125</v>
      </c>
      <c r="J5770" s="239">
        <v>119.99999999301508</v>
      </c>
    </row>
    <row r="5771">
      <c r="A5771" s="234"/>
      <c r="B5771" s="238" t="str">
        <f>IFERROR(__xludf.DUMMYFUNCTION("""COMPUTED_VALUE"""),"SoC_MG_Betim")</f>
        <v>SoC_MG_Betim</v>
      </c>
      <c r="C5771" s="238" t="str">
        <f>IFERROR(__xludf.DUMMYFUNCTION("""COMPUTED_VALUE"""),"SOC-MG2")</f>
        <v>SOC-MG2</v>
      </c>
      <c r="D5771" s="234"/>
      <c r="E5771" s="237" t="str">
        <f>IFERROR(__xludf.DUMMYFUNCTION("""COMPUTED_VALUE"""),"LT1Q1P01XPTT1")</f>
        <v>LT1Q1P01XPTT1</v>
      </c>
      <c r="F5771" s="238" t="str">
        <f>IFERROR(__xludf.DUMMYFUNCTION("""COMPUTED_VALUE"""),"RYL9I04,SXL9H01")</f>
        <v>RYL9I04,SXL9H01</v>
      </c>
      <c r="G5771" s="238">
        <f>IFERROR(__xludf.DUMMYFUNCTION("""COMPUTED_VALUE"""),46047.04166666667)</f>
        <v>46047.04167</v>
      </c>
      <c r="H5771" s="238">
        <f>IFERROR(__xludf.DUMMYFUNCTION("""COMPUTED_VALUE"""),46047.125)</f>
        <v>46047.125</v>
      </c>
      <c r="J5771" s="239">
        <v>540.0</v>
      </c>
    </row>
    <row r="5772">
      <c r="A5772" s="234"/>
      <c r="B5772" s="238" t="str">
        <f>IFERROR(__xludf.DUMMYFUNCTION("""COMPUTED_VALUE"""),"SoC_SP_Cravinhos")</f>
        <v>SoC_SP_Cravinhos</v>
      </c>
      <c r="C5772" s="238" t="str">
        <f>IFERROR(__xludf.DUMMYFUNCTION("""COMPUTED_VALUE"""),"SOC-SP5")</f>
        <v>SOC-SP5</v>
      </c>
      <c r="D5772" s="234" t="str">
        <f>IFERROR(__xludf.DUMMYFUNCTION("""COMPUTED_VALUE"""),"95/49")</f>
        <v>95/49</v>
      </c>
      <c r="E5772" s="237" t="str">
        <f>IFERROR(__xludf.DUMMYFUNCTION("""COMPUTED_VALUE"""),"LT0Q1O01WTAF3")</f>
        <v>LT0Q1O01WTAF3</v>
      </c>
      <c r="F5772" s="238" t="str">
        <f>IFERROR(__xludf.DUMMYFUNCTION("""COMPUTED_VALUE"""),"APK7H11,MDQ6B89")</f>
        <v>APK7H11,MDQ6B89</v>
      </c>
      <c r="G5772" s="238">
        <f>IFERROR(__xludf.DUMMYFUNCTION("""COMPUTED_VALUE"""),46046.79166666667)</f>
        <v>46046.79167</v>
      </c>
      <c r="H5772" s="238">
        <f>IFERROR(__xludf.DUMMYFUNCTION("""COMPUTED_VALUE"""),46047.16666666667)</f>
        <v>46047.16667</v>
      </c>
      <c r="J5772" s="239">
        <v>540.0</v>
      </c>
    </row>
    <row r="5773">
      <c r="A5773" s="234"/>
      <c r="B5773" s="238" t="str">
        <f>IFERROR(__xludf.DUMMYFUNCTION("""COMPUTED_VALUE"""),"SoC_RJ_Duque de Caxias")</f>
        <v>SoC_RJ_Duque de Caxias</v>
      </c>
      <c r="C5773" s="238" t="str">
        <f>IFERROR(__xludf.DUMMYFUNCTION("""COMPUTED_VALUE"""),"SOC-RJ2")</f>
        <v>SOC-RJ2</v>
      </c>
      <c r="D5773" s="234">
        <f>IFERROR(__xludf.DUMMYFUNCTION("""COMPUTED_VALUE"""),96.0)</f>
        <v>96</v>
      </c>
      <c r="E5773" s="237" t="str">
        <f>IFERROR(__xludf.DUMMYFUNCTION("""COMPUTED_VALUE"""),"LT0Q1O01WV6C1")</f>
        <v>LT0Q1O01WV6C1</v>
      </c>
      <c r="F5773" s="238" t="str">
        <f>IFERROR(__xludf.DUMMYFUNCTION("""COMPUTED_VALUE"""),"EPU5C78,TIV0I78")</f>
        <v>EPU5C78,TIV0I78</v>
      </c>
      <c r="G5773" s="238">
        <f>IFERROR(__xludf.DUMMYFUNCTION("""COMPUTED_VALUE"""),46046.79166666667)</f>
        <v>46046.79167</v>
      </c>
      <c r="H5773" s="238">
        <f>IFERROR(__xludf.DUMMYFUNCTION("""COMPUTED_VALUE"""),46047.16666666667)</f>
        <v>46047.16667</v>
      </c>
      <c r="J5773" s="239">
        <v>540.0</v>
      </c>
    </row>
    <row r="5774">
      <c r="A5774" s="234"/>
      <c r="B5774" s="238" t="str">
        <f>IFERROR(__xludf.DUMMYFUNCTION("""COMPUTED_VALUE"""),"SoC_PE_Jaboatão dos Guararapes")</f>
        <v>SoC_PE_Jaboatão dos Guararapes</v>
      </c>
      <c r="C5774" s="238" t="str">
        <f>IFERROR(__xludf.DUMMYFUNCTION("""COMPUTED_VALUE"""),"SOC-PE2")</f>
        <v>SOC-PE2</v>
      </c>
      <c r="D5774" s="234">
        <f>IFERROR(__xludf.DUMMYFUNCTION("""COMPUTED_VALUE"""),98.0)</f>
        <v>98</v>
      </c>
      <c r="E5774" s="237" t="str">
        <f>IFERROR(__xludf.DUMMYFUNCTION("""COMPUTED_VALUE"""),"LT0Q1O01WYCG1")</f>
        <v>LT0Q1O01WYCG1</v>
      </c>
      <c r="F5774" s="238" t="str">
        <f>IFERROR(__xludf.DUMMYFUNCTION("""COMPUTED_VALUE"""),"RFX7I62,TCD1H84")</f>
        <v>RFX7I62,TCD1H84</v>
      </c>
      <c r="G5774" s="238">
        <f>IFERROR(__xludf.DUMMYFUNCTION("""COMPUTED_VALUE"""),46046.79166666667)</f>
        <v>46046.79167</v>
      </c>
      <c r="H5774" s="238">
        <f>IFERROR(__xludf.DUMMYFUNCTION("""COMPUTED_VALUE"""),46047.16666666667)</f>
        <v>46047.16667</v>
      </c>
      <c r="J5774" s="239">
        <v>540.0</v>
      </c>
    </row>
    <row r="5775">
      <c r="A5775" s="234"/>
      <c r="B5775" s="238" t="str">
        <f>IFERROR(__xludf.DUMMYFUNCTION("""COMPUTED_VALUE"""),"SoC_BA_Simoes Filho")</f>
        <v>SoC_BA_Simoes Filho</v>
      </c>
      <c r="C5775" s="238" t="str">
        <f>IFERROR(__xludf.DUMMYFUNCTION("""COMPUTED_VALUE"""),"SOC-BA2")</f>
        <v>SOC-BA2</v>
      </c>
      <c r="D5775" s="234">
        <f>IFERROR(__xludf.DUMMYFUNCTION("""COMPUTED_VALUE"""),88.0)</f>
        <v>88</v>
      </c>
      <c r="E5775" s="237" t="str">
        <f>IFERROR(__xludf.DUMMYFUNCTION("""COMPUTED_VALUE"""),"LT0Q1O01WYFY2")</f>
        <v>LT0Q1O01WYFY2</v>
      </c>
      <c r="F5775" s="238" t="str">
        <f>IFERROR(__xludf.DUMMYFUNCTION("""COMPUTED_VALUE"""),"MGJ6408,MJA9421")</f>
        <v>MGJ6408,MJA9421</v>
      </c>
      <c r="G5775" s="238">
        <f>IFERROR(__xludf.DUMMYFUNCTION("""COMPUTED_VALUE"""),46046.79166666667)</f>
        <v>46046.79167</v>
      </c>
      <c r="H5775" s="238">
        <f>IFERROR(__xludf.DUMMYFUNCTION("""COMPUTED_VALUE"""),46047.16666666667)</f>
        <v>46047.16667</v>
      </c>
      <c r="J5775" s="239">
        <v>540.0</v>
      </c>
    </row>
    <row r="5776">
      <c r="A5776" s="234"/>
      <c r="B5776" s="238" t="str">
        <f>IFERROR(__xludf.DUMMYFUNCTION("""COMPUTED_VALUE"""),"SoC_GO_Goiânia_02")</f>
        <v>SoC_GO_Goiânia_02</v>
      </c>
      <c r="C5776" s="238" t="str">
        <f>IFERROR(__xludf.DUMMYFUNCTION("""COMPUTED_VALUE"""),"SOC-GO2")</f>
        <v>SOC-GO2</v>
      </c>
      <c r="D5776" s="234">
        <f>IFERROR(__xludf.DUMMYFUNCTION("""COMPUTED_VALUE"""),87.0)</f>
        <v>87</v>
      </c>
      <c r="E5776" s="237" t="str">
        <f>IFERROR(__xludf.DUMMYFUNCTION("""COMPUTED_VALUE"""),"LT0Q1O01WYQQ1")</f>
        <v>LT0Q1O01WYQQ1</v>
      </c>
      <c r="F5776" s="238" t="str">
        <f>IFERROR(__xludf.DUMMYFUNCTION("""COMPUTED_VALUE"""),"QIM6I46,SUB8B39")</f>
        <v>QIM6I46,SUB8B39</v>
      </c>
      <c r="G5776" s="238">
        <f>IFERROR(__xludf.DUMMYFUNCTION("""COMPUTED_VALUE"""),46046.79166666667)</f>
        <v>46046.79167</v>
      </c>
      <c r="H5776" s="238">
        <f>IFERROR(__xludf.DUMMYFUNCTION("""COMPUTED_VALUE"""),46047.16666666667)</f>
        <v>46047.16667</v>
      </c>
      <c r="J5776" s="239">
        <v>540.0</v>
      </c>
    </row>
    <row r="5777">
      <c r="A5777" s="234"/>
      <c r="B5777" s="238" t="str">
        <f>IFERROR(__xludf.DUMMYFUNCTION("""COMPUTED_VALUE"""),"SoC_RS_Gravataí_02")</f>
        <v>SoC_RS_Gravataí_02</v>
      </c>
      <c r="C5777" s="238" t="str">
        <f>IFERROR(__xludf.DUMMYFUNCTION("""COMPUTED_VALUE"""),"SOC-RS2")</f>
        <v>SOC-RS2</v>
      </c>
      <c r="D5777" s="234">
        <f>IFERROR(__xludf.DUMMYFUNCTION("""COMPUTED_VALUE"""),93.0)</f>
        <v>93</v>
      </c>
      <c r="E5777" s="237" t="str">
        <f>IFERROR(__xludf.DUMMYFUNCTION("""COMPUTED_VALUE"""),"LT0Q1O01WYSY2")</f>
        <v>LT0Q1O01WYSY2</v>
      </c>
      <c r="F5777" s="238" t="str">
        <f>IFERROR(__xludf.DUMMYFUNCTION("""COMPUTED_VALUE"""),"CUZ0I03,SSY7F66")</f>
        <v>CUZ0I03,SSY7F66</v>
      </c>
      <c r="G5777" s="238">
        <f>IFERROR(__xludf.DUMMYFUNCTION("""COMPUTED_VALUE"""),46046.79166666667)</f>
        <v>46046.79167</v>
      </c>
      <c r="H5777" s="238">
        <f>IFERROR(__xludf.DUMMYFUNCTION("""COMPUTED_VALUE"""),46047.16666666667)</f>
        <v>46047.16667</v>
      </c>
      <c r="J5777" s="239">
        <v>120.00000001396984</v>
      </c>
    </row>
    <row r="5778">
      <c r="A5778" s="234"/>
      <c r="B5778" s="238" t="str">
        <f>IFERROR(__xludf.DUMMYFUNCTION("""COMPUTED_VALUE"""),"SoC_GO_Goiânia_02")</f>
        <v>SoC_GO_Goiânia_02</v>
      </c>
      <c r="C5778" s="238" t="str">
        <f>IFERROR(__xludf.DUMMYFUNCTION("""COMPUTED_VALUE"""),"SOC-GO2")</f>
        <v>SOC-GO2</v>
      </c>
      <c r="D5778" s="234">
        <f>IFERROR(__xludf.DUMMYFUNCTION("""COMPUTED_VALUE"""),86.0)</f>
        <v>86</v>
      </c>
      <c r="E5778" s="237" t="str">
        <f>IFERROR(__xludf.DUMMYFUNCTION("""COMPUTED_VALUE"""),"LT1Q1P01XQ191")</f>
        <v>LT1Q1P01XQ191</v>
      </c>
      <c r="F5778" s="238" t="str">
        <f>IFERROR(__xludf.DUMMYFUNCTION("""COMPUTED_VALUE"""),"SEN2G44,SWF2J67")</f>
        <v>SEN2G44,SWF2J67</v>
      </c>
      <c r="G5778" s="238">
        <f>IFERROR(__xludf.DUMMYFUNCTION("""COMPUTED_VALUE"""),46047.08333333333)</f>
        <v>46047.08333</v>
      </c>
      <c r="H5778" s="238">
        <f>IFERROR(__xludf.DUMMYFUNCTION("""COMPUTED_VALUE"""),46047.16666666667)</f>
        <v>46047.16667</v>
      </c>
      <c r="J5778" s="239">
        <v>120.00000001396984</v>
      </c>
    </row>
    <row r="5779">
      <c r="A5779" s="234"/>
      <c r="B5779" s="238" t="str">
        <f>IFERROR(__xludf.DUMMYFUNCTION("""COMPUTED_VALUE"""),"SoC_PE_Jaboatão dos Guararapes")</f>
        <v>SoC_PE_Jaboatão dos Guararapes</v>
      </c>
      <c r="C5779" s="238" t="str">
        <f>IFERROR(__xludf.DUMMYFUNCTION("""COMPUTED_VALUE"""),"SOC-PE2")</f>
        <v>SOC-PE2</v>
      </c>
      <c r="D5779" s="234"/>
      <c r="E5779" s="237" t="str">
        <f>IFERROR(__xludf.DUMMYFUNCTION("""COMPUTED_VALUE"""),"LT1Q1P01XQ1A1")</f>
        <v>LT1Q1P01XQ1A1</v>
      </c>
      <c r="F5779" s="238" t="str">
        <f>IFERROR(__xludf.DUMMYFUNCTION("""COMPUTED_VALUE"""),"TEQ6C75,UDU5C90")</f>
        <v>TEQ6C75,UDU5C90</v>
      </c>
      <c r="G5779" s="238">
        <f>IFERROR(__xludf.DUMMYFUNCTION("""COMPUTED_VALUE"""),46047.08333333333)</f>
        <v>46047.08333</v>
      </c>
      <c r="H5779" s="238">
        <f>IFERROR(__xludf.DUMMYFUNCTION("""COMPUTED_VALUE"""),46047.16666666667)</f>
        <v>46047.16667</v>
      </c>
      <c r="J5779" s="239">
        <v>120.00000001396984</v>
      </c>
    </row>
    <row r="5780">
      <c r="A5780" s="234"/>
      <c r="B5780" s="238" t="str">
        <f>IFERROR(__xludf.DUMMYFUNCTION("""COMPUTED_VALUE"""),"SoC_SP_Cravinhos")</f>
        <v>SoC_SP_Cravinhos</v>
      </c>
      <c r="C5780" s="238" t="str">
        <f>IFERROR(__xludf.DUMMYFUNCTION("""COMPUTED_VALUE"""),"SOC-SP5")</f>
        <v>SOC-SP5</v>
      </c>
      <c r="D5780" s="234"/>
      <c r="E5780" s="237" t="str">
        <f>IFERROR(__xludf.DUMMYFUNCTION("""COMPUTED_VALUE"""),"LT1Q1P01XQ1B1")</f>
        <v>LT1Q1P01XQ1B1</v>
      </c>
      <c r="F5780" s="238" t="str">
        <f>IFERROR(__xludf.DUMMYFUNCTION("""COMPUTED_VALUE"""),"FEK3A22,EWJ2318")</f>
        <v>FEK3A22,EWJ2318</v>
      </c>
      <c r="G5780" s="238">
        <f>IFERROR(__xludf.DUMMYFUNCTION("""COMPUTED_VALUE"""),46047.08333333333)</f>
        <v>46047.08333</v>
      </c>
      <c r="H5780" s="238">
        <f>IFERROR(__xludf.DUMMYFUNCTION("""COMPUTED_VALUE"""),46047.16666666667)</f>
        <v>46047.16667</v>
      </c>
      <c r="J5780" s="239">
        <v>479.9999999930151</v>
      </c>
    </row>
    <row r="5781">
      <c r="A5781" s="234"/>
      <c r="B5781" s="238" t="str">
        <f>IFERROR(__xludf.DUMMYFUNCTION("""COMPUTED_VALUE"""),"SoC_MG_Betim")</f>
        <v>SoC_MG_Betim</v>
      </c>
      <c r="C5781" s="238" t="str">
        <f>IFERROR(__xludf.DUMMYFUNCTION("""COMPUTED_VALUE"""),"SOC-MG2")</f>
        <v>SOC-MG2</v>
      </c>
      <c r="D5781" s="234" t="str">
        <f>IFERROR(__xludf.DUMMYFUNCTION("""COMPUTED_VALUE"""),"90/91")</f>
        <v>90/91</v>
      </c>
      <c r="E5781" s="237" t="str">
        <f>IFERROR(__xludf.DUMMYFUNCTION("""COMPUTED_VALUE"""),"LT0Q1O01X2LP2")</f>
        <v>LT0Q1O01X2LP2</v>
      </c>
      <c r="F5781" s="238" t="str">
        <f>IFERROR(__xludf.DUMMYFUNCTION("""COMPUTED_VALUE"""),"DPF1E65,EWJ1I10")</f>
        <v>DPF1E65,EWJ1I10</v>
      </c>
      <c r="G5781" s="238">
        <f>IFERROR(__xludf.DUMMYFUNCTION("""COMPUTED_VALUE"""),46046.875)</f>
        <v>46046.875</v>
      </c>
      <c r="H5781" s="238">
        <f>IFERROR(__xludf.DUMMYFUNCTION("""COMPUTED_VALUE"""),46047.20833333333)</f>
        <v>46047.20833</v>
      </c>
      <c r="J5781" s="239">
        <v>119.99999999301508</v>
      </c>
    </row>
    <row r="5782">
      <c r="A5782" s="234"/>
      <c r="B5782" s="238" t="str">
        <f>IFERROR(__xludf.DUMMYFUNCTION("""COMPUTED_VALUE"""),"LM Hub_SP_Jardim Adriana")</f>
        <v>LM Hub_SP_Jardim Adriana</v>
      </c>
      <c r="C5782" s="238" t="str">
        <f>IFERROR(__xludf.DUMMYFUNCTION("""COMPUTED_VALUE"""),"HUB-LSP-12")</f>
        <v>HUB-LSP-12</v>
      </c>
      <c r="D5782" s="234">
        <f>IFERROR(__xludf.DUMMYFUNCTION("""COMPUTED_VALUE"""),42.0)</f>
        <v>42</v>
      </c>
      <c r="E5782" s="237" t="str">
        <f>IFERROR(__xludf.DUMMYFUNCTION("""COMPUTED_VALUE"""),"LT1Q1P01XQ8F1")</f>
        <v>LT1Q1P01XQ8F1</v>
      </c>
      <c r="F5782" s="238" t="str">
        <f>IFERROR(__xludf.DUMMYFUNCTION("""COMPUTED_VALUE"""),"IVY3A89,EZL3A06")</f>
        <v>IVY3A89,EZL3A06</v>
      </c>
      <c r="G5782" s="238">
        <f>IFERROR(__xludf.DUMMYFUNCTION("""COMPUTED_VALUE"""),46047.0625)</f>
        <v>46047.0625</v>
      </c>
      <c r="H5782" s="238">
        <f>IFERROR(__xludf.DUMMYFUNCTION("""COMPUTED_VALUE"""),46047.14583333333)</f>
        <v>46047.14583</v>
      </c>
      <c r="J5782" s="239">
        <v>180.0</v>
      </c>
    </row>
    <row r="5783">
      <c r="A5783" s="234"/>
      <c r="B5783" s="238" t="str">
        <f>IFERROR(__xludf.DUMMYFUNCTION("""COMPUTED_VALUE"""),"SoC_SP_Louveira")</f>
        <v>SoC_SP_Louveira</v>
      </c>
      <c r="C5783" s="238" t="str">
        <f>IFERROR(__xludf.DUMMYFUNCTION("""COMPUTED_VALUE"""),"SOC-SP7")</f>
        <v>SOC-SP7</v>
      </c>
      <c r="D5783" s="234">
        <f>IFERROR(__xludf.DUMMYFUNCTION("""COMPUTED_VALUE"""),40.0)</f>
        <v>40</v>
      </c>
      <c r="E5783" s="237" t="str">
        <f>IFERROR(__xludf.DUMMYFUNCTION("""COMPUTED_VALUE"""),"LT1Q1P01XPTO1")</f>
        <v>LT1Q1P01XPTO1</v>
      </c>
      <c r="F5783" s="238" t="str">
        <f>IFERROR(__xludf.DUMMYFUNCTION("""COMPUTED_VALUE"""),"GDI5C34,TPO2D15")</f>
        <v>GDI5C34,TPO2D15</v>
      </c>
      <c r="G5783" s="238">
        <f>IFERROR(__xludf.DUMMYFUNCTION("""COMPUTED_VALUE"""),46047.125)</f>
        <v>46047.125</v>
      </c>
      <c r="H5783" s="238">
        <f>IFERROR(__xludf.DUMMYFUNCTION("""COMPUTED_VALUE"""),46047.25)</f>
        <v>46047.25</v>
      </c>
      <c r="J5783" s="239">
        <v>119.99999999301508</v>
      </c>
    </row>
    <row r="5784">
      <c r="A5784" s="234"/>
      <c r="B5784" s="238" t="str">
        <f>IFERROR(__xludf.DUMMYFUNCTION("""COMPUTED_VALUE"""),"SoC_RJ_Duque de Caxias")</f>
        <v>SoC_RJ_Duque de Caxias</v>
      </c>
      <c r="C5784" s="238" t="str">
        <f>IFERROR(__xludf.DUMMYFUNCTION("""COMPUTED_VALUE"""),"SOC-RJ2")</f>
        <v>SOC-RJ2</v>
      </c>
      <c r="D5784" s="234">
        <f>IFERROR(__xludf.DUMMYFUNCTION("""COMPUTED_VALUE"""),96.0)</f>
        <v>96</v>
      </c>
      <c r="E5784" s="237" t="str">
        <f>IFERROR(__xludf.DUMMYFUNCTION("""COMPUTED_VALUE"""),"LT1Q1P01XPTQ1")</f>
        <v>LT1Q1P01XPTQ1</v>
      </c>
      <c r="F5784" s="238" t="str">
        <f>IFERROR(__xludf.DUMMYFUNCTION("""COMPUTED_VALUE"""),"EPU5B08,DBC5I22")</f>
        <v>EPU5B08,DBC5I22</v>
      </c>
      <c r="G5784" s="238">
        <f>IFERROR(__xludf.DUMMYFUNCTION("""COMPUTED_VALUE"""),46047.16666666667)</f>
        <v>46047.16667</v>
      </c>
      <c r="H5784" s="238">
        <f>IFERROR(__xludf.DUMMYFUNCTION("""COMPUTED_VALUE"""),46047.25)</f>
        <v>46047.25</v>
      </c>
      <c r="J5784" s="239">
        <v>119.99999999301508</v>
      </c>
    </row>
    <row r="5785">
      <c r="A5785" s="234"/>
      <c r="B5785" s="238" t="str">
        <f>IFERROR(__xludf.DUMMYFUNCTION("""COMPUTED_VALUE"""),"SoC_MG_Betim")</f>
        <v>SoC_MG_Betim</v>
      </c>
      <c r="C5785" s="238" t="str">
        <f>IFERROR(__xludf.DUMMYFUNCTION("""COMPUTED_VALUE"""),"SOC-MG2")</f>
        <v>SOC-MG2</v>
      </c>
      <c r="D5785" s="234"/>
      <c r="E5785" s="237" t="str">
        <f>IFERROR(__xludf.DUMMYFUNCTION("""COMPUTED_VALUE"""),"LT1Q1P01XPTU1")</f>
        <v>LT1Q1P01XPTU1</v>
      </c>
      <c r="F5785" s="238" t="str">
        <f>IFERROR(__xludf.DUMMYFUNCTION("""COMPUTED_VALUE"""),"RYS2F14,SXT7B11")</f>
        <v>RYS2F14,SXT7B11</v>
      </c>
      <c r="G5785" s="238">
        <f>IFERROR(__xludf.DUMMYFUNCTION("""COMPUTED_VALUE"""),46047.125)</f>
        <v>46047.125</v>
      </c>
      <c r="H5785" s="238">
        <f>IFERROR(__xludf.DUMMYFUNCTION("""COMPUTED_VALUE"""),46047.20833333333)</f>
        <v>46047.20833</v>
      </c>
      <c r="J5785" s="239">
        <v>540.0</v>
      </c>
    </row>
    <row r="5786">
      <c r="A5786" s="234"/>
      <c r="B5786" s="238" t="str">
        <f>IFERROR(__xludf.DUMMYFUNCTION("""COMPUTED_VALUE"""),"SoC_MG_Betim")</f>
        <v>SoC_MG_Betim</v>
      </c>
      <c r="C5786" s="238" t="str">
        <f>IFERROR(__xludf.DUMMYFUNCTION("""COMPUTED_VALUE"""),"SOC-MG2")</f>
        <v>SOC-MG2</v>
      </c>
      <c r="D5786" s="234">
        <f>IFERROR(__xludf.DUMMYFUNCTION("""COMPUTED_VALUE"""),110.0)</f>
        <v>110</v>
      </c>
      <c r="E5786" s="237" t="str">
        <f>IFERROR(__xludf.DUMMYFUNCTION("""COMPUTED_VALUE"""),"LT0Q1O01WT8A1")</f>
        <v>LT0Q1O01WT8A1</v>
      </c>
      <c r="F5786" s="238" t="str">
        <f>IFERROR(__xludf.DUMMYFUNCTION("""COMPUTED_VALUE"""),"TXS6J56,UDQ3B86")</f>
        <v>TXS6J56,UDQ3B86</v>
      </c>
      <c r="G5786" s="238">
        <f>IFERROR(__xludf.DUMMYFUNCTION("""COMPUTED_VALUE"""),46046.91666666667)</f>
        <v>46046.91667</v>
      </c>
      <c r="H5786" s="238">
        <f>IFERROR(__xludf.DUMMYFUNCTION("""COMPUTED_VALUE"""),46047.29166666667)</f>
        <v>46047.29167</v>
      </c>
      <c r="J5786" s="239">
        <v>540.0</v>
      </c>
    </row>
    <row r="5787">
      <c r="A5787" s="234"/>
      <c r="B5787" s="238" t="str">
        <f>IFERROR(__xludf.DUMMYFUNCTION("""COMPUTED_VALUE"""),"SoC_PE_Jaboatão dos Guararapes")</f>
        <v>SoC_PE_Jaboatão dos Guararapes</v>
      </c>
      <c r="C5787" s="238" t="str">
        <f>IFERROR(__xludf.DUMMYFUNCTION("""COMPUTED_VALUE"""),"SOC-PE2")</f>
        <v>SOC-PE2</v>
      </c>
      <c r="D5787" s="234">
        <f>IFERROR(__xludf.DUMMYFUNCTION("""COMPUTED_VALUE"""),99.0)</f>
        <v>99</v>
      </c>
      <c r="E5787" s="237" t="str">
        <f>IFERROR(__xludf.DUMMYFUNCTION("""COMPUTED_VALUE"""),"LT0Q1O01WYCO1")</f>
        <v>LT0Q1O01WYCO1</v>
      </c>
      <c r="F5787" s="238" t="str">
        <f>IFERROR(__xludf.DUMMYFUNCTION("""COMPUTED_VALUE"""),"AQE9D24,MLF4E07")</f>
        <v>AQE9D24,MLF4E07</v>
      </c>
      <c r="G5787" s="238">
        <f>IFERROR(__xludf.DUMMYFUNCTION("""COMPUTED_VALUE"""),46046.91666666667)</f>
        <v>46046.91667</v>
      </c>
      <c r="H5787" s="238">
        <f>IFERROR(__xludf.DUMMYFUNCTION("""COMPUTED_VALUE"""),46047.29166666667)</f>
        <v>46047.29167</v>
      </c>
      <c r="J5787" s="239">
        <v>540.0</v>
      </c>
    </row>
    <row r="5788">
      <c r="A5788" s="234"/>
      <c r="B5788" s="238" t="str">
        <f>IFERROR(__xludf.DUMMYFUNCTION("""COMPUTED_VALUE"""),"SoC_PE_Jaboatão dos Guararapes")</f>
        <v>SoC_PE_Jaboatão dos Guararapes</v>
      </c>
      <c r="C5788" s="238" t="str">
        <f>IFERROR(__xludf.DUMMYFUNCTION("""COMPUTED_VALUE"""),"SOC-PE2")</f>
        <v>SOC-PE2</v>
      </c>
      <c r="D5788" s="234">
        <f>IFERROR(__xludf.DUMMYFUNCTION("""COMPUTED_VALUE"""),98.0)</f>
        <v>98</v>
      </c>
      <c r="E5788" s="237" t="str">
        <f>IFERROR(__xludf.DUMMYFUNCTION("""COMPUTED_VALUE"""),"LT0Q1O01WYCQ2")</f>
        <v>LT0Q1O01WYCQ2</v>
      </c>
      <c r="F5788" s="238" t="str">
        <f>IFERROR(__xludf.DUMMYFUNCTION("""COMPUTED_VALUE"""),"TEQ6C75,UDU5C90")</f>
        <v>TEQ6C75,UDU5C90</v>
      </c>
      <c r="G5788" s="238">
        <f>IFERROR(__xludf.DUMMYFUNCTION("""COMPUTED_VALUE"""),46046.91666666667)</f>
        <v>46046.91667</v>
      </c>
      <c r="H5788" s="238">
        <f>IFERROR(__xludf.DUMMYFUNCTION("""COMPUTED_VALUE"""),46047.29166666667)</f>
        <v>46047.29167</v>
      </c>
      <c r="J5788" s="239" t="e">
        <v>#VALUE!</v>
      </c>
    </row>
    <row r="5789">
      <c r="A5789" s="234"/>
      <c r="B5789" s="234" t="str">
        <f>IFERROR(__xludf.DUMMYFUNCTION("""COMPUTED_VALUE"""),"SoC_GO_Goiânia_02")</f>
        <v>SoC_GO_Goiânia_02</v>
      </c>
      <c r="C5789" s="238" t="str">
        <f>IFERROR(__xludf.DUMMYFUNCTION("""COMPUTED_VALUE"""),"SOC-GO2")</f>
        <v>SOC-GO2</v>
      </c>
      <c r="D5789" s="234"/>
      <c r="E5789" s="237" t="str">
        <f>IFERROR(__xludf.DUMMYFUNCTION("""COMPUTED_VALUE"""),"LT0Q1O01WYR62")</f>
        <v>LT0Q1O01WYR62</v>
      </c>
      <c r="F5789" s="238" t="str">
        <f>IFERROR(__xludf.DUMMYFUNCTION("""COMPUTED_VALUE"""),"-")</f>
        <v>-</v>
      </c>
      <c r="G5789" s="238" t="str">
        <f>IFERROR(__xludf.DUMMYFUNCTION("""COMPUTED_VALUE"""),"-")</f>
        <v>-</v>
      </c>
      <c r="H5789" s="238" t="str">
        <f>IFERROR(__xludf.DUMMYFUNCTION("""COMPUTED_VALUE"""),"-")</f>
        <v>-</v>
      </c>
      <c r="J5789" s="239">
        <v>540.0</v>
      </c>
    </row>
    <row r="5790">
      <c r="A5790" s="234"/>
      <c r="B5790" s="238" t="str">
        <f>IFERROR(__xludf.DUMMYFUNCTION("""COMPUTED_VALUE"""),"SoC_RS_Gravataí_02")</f>
        <v>SoC_RS_Gravataí_02</v>
      </c>
      <c r="C5790" s="238" t="str">
        <f>IFERROR(__xludf.DUMMYFUNCTION("""COMPUTED_VALUE"""),"SOC-RS2")</f>
        <v>SOC-RS2</v>
      </c>
      <c r="D5790" s="234">
        <f>IFERROR(__xludf.DUMMYFUNCTION("""COMPUTED_VALUE"""),92.0)</f>
        <v>92</v>
      </c>
      <c r="E5790" s="237" t="str">
        <f>IFERROR(__xludf.DUMMYFUNCTION("""COMPUTED_VALUE"""),"LT0Q1O01WYTA2")</f>
        <v>LT0Q1O01WYTA2</v>
      </c>
      <c r="F5790" s="238" t="str">
        <f>IFERROR(__xludf.DUMMYFUNCTION("""COMPUTED_VALUE"""),"IYW0J47,IZK2D98")</f>
        <v>IYW0J47,IZK2D98</v>
      </c>
      <c r="G5790" s="238">
        <f>IFERROR(__xludf.DUMMYFUNCTION("""COMPUTED_VALUE"""),46046.91666666667)</f>
        <v>46046.91667</v>
      </c>
      <c r="H5790" s="238">
        <f>IFERROR(__xludf.DUMMYFUNCTION("""COMPUTED_VALUE"""),46047.29166666667)</f>
        <v>46047.29167</v>
      </c>
      <c r="J5790" s="239">
        <v>540.0</v>
      </c>
    </row>
    <row r="5791">
      <c r="A5791" s="234"/>
      <c r="B5791" s="238" t="str">
        <f>IFERROR(__xludf.DUMMYFUNCTION("""COMPUTED_VALUE"""),"SoC_MG_Betim")</f>
        <v>SoC_MG_Betim</v>
      </c>
      <c r="C5791" s="238" t="str">
        <f>IFERROR(__xludf.DUMMYFUNCTION("""COMPUTED_VALUE"""),"SOC-MG2")</f>
        <v>SOC-MG2</v>
      </c>
      <c r="D5791" s="234" t="str">
        <f>IFERROR(__xludf.DUMMYFUNCTION("""COMPUTED_VALUE"""),"91/113")</f>
        <v>91/113</v>
      </c>
      <c r="E5791" s="237" t="str">
        <f>IFERROR(__xludf.DUMMYFUNCTION("""COMPUTED_VALUE"""),"LT1Q1O01XPTN1")</f>
        <v>LT1Q1O01XPTN1</v>
      </c>
      <c r="F5791" s="238" t="str">
        <f>IFERROR(__xludf.DUMMYFUNCTION("""COMPUTED_VALUE"""),"RAG7I53,AXO3J29")</f>
        <v>RAG7I53,AXO3J29</v>
      </c>
      <c r="G5791" s="238">
        <f>IFERROR(__xludf.DUMMYFUNCTION("""COMPUTED_VALUE"""),46046.91666666667)</f>
        <v>46046.91667</v>
      </c>
      <c r="H5791" s="238">
        <f>IFERROR(__xludf.DUMMYFUNCTION("""COMPUTED_VALUE"""),46047.29166666667)</f>
        <v>46047.29167</v>
      </c>
      <c r="J5791" s="239">
        <v>240.00000000698492</v>
      </c>
    </row>
    <row r="5792">
      <c r="A5792" s="234"/>
      <c r="B5792" s="238" t="str">
        <f>IFERROR(__xludf.DUMMYFUNCTION("""COMPUTED_VALUE"""),"SoC_MG_Betim")</f>
        <v>SoC_MG_Betim</v>
      </c>
      <c r="C5792" s="238" t="str">
        <f>IFERROR(__xludf.DUMMYFUNCTION("""COMPUTED_VALUE"""),"SOC-MG2")</f>
        <v>SOC-MG2</v>
      </c>
      <c r="D5792" s="234"/>
      <c r="E5792" s="237" t="str">
        <f>IFERROR(__xludf.DUMMYFUNCTION("""COMPUTED_VALUE"""),"LT0Q1O01WT8C2")</f>
        <v>LT0Q1O01WT8C2</v>
      </c>
      <c r="F5792" s="238" t="str">
        <f>IFERROR(__xludf.DUMMYFUNCTION("""COMPUTED_VALUE"""),"STN3D74,SPU0C31")</f>
        <v>STN3D74,SPU0C31</v>
      </c>
      <c r="G5792" s="238">
        <f>IFERROR(__xludf.DUMMYFUNCTION("""COMPUTED_VALUE"""),46047.125)</f>
        <v>46047.125</v>
      </c>
      <c r="H5792" s="238">
        <f>IFERROR(__xludf.DUMMYFUNCTION("""COMPUTED_VALUE"""),46047.29166666667)</f>
        <v>46047.29167</v>
      </c>
      <c r="J5792" s="239">
        <v>300.00000001396984</v>
      </c>
    </row>
    <row r="5793">
      <c r="A5793" s="234"/>
      <c r="B5793" s="238" t="str">
        <f>IFERROR(__xludf.DUMMYFUNCTION("""COMPUTED_VALUE"""),"SoC_BA_Simoes Filho")</f>
        <v>SoC_BA_Simoes Filho</v>
      </c>
      <c r="C5793" s="238" t="str">
        <f>IFERROR(__xludf.DUMMYFUNCTION("""COMPUTED_VALUE"""),"SOC-BA2")</f>
        <v>SOC-BA2</v>
      </c>
      <c r="D5793" s="234"/>
      <c r="E5793" s="237" t="str">
        <f>IFERROR(__xludf.DUMMYFUNCTION("""COMPUTED_VALUE"""),"LT0Q1O01WYG81")</f>
        <v>LT0Q1O01WYG81</v>
      </c>
      <c r="F5793" s="238" t="str">
        <f>IFERROR(__xludf.DUMMYFUNCTION("""COMPUTED_VALUE"""),"FEJ7F84,HIJ0C98")</f>
        <v>FEJ7F84,HIJ0C98</v>
      </c>
      <c r="G5793" s="238">
        <f>IFERROR(__xludf.DUMMYFUNCTION("""COMPUTED_VALUE"""),46047.08333333333)</f>
        <v>46047.08333</v>
      </c>
      <c r="H5793" s="238">
        <f>IFERROR(__xludf.DUMMYFUNCTION("""COMPUTED_VALUE"""),46047.29166666667)</f>
        <v>46047.29167</v>
      </c>
      <c r="J5793" s="239">
        <v>300.00000001396984</v>
      </c>
    </row>
    <row r="5794">
      <c r="A5794" s="234"/>
      <c r="B5794" s="238" t="str">
        <f>IFERROR(__xludf.DUMMYFUNCTION("""COMPUTED_VALUE"""),"SoC_BA_Simoes Filho")</f>
        <v>SoC_BA_Simoes Filho</v>
      </c>
      <c r="C5794" s="238" t="str">
        <f>IFERROR(__xludf.DUMMYFUNCTION("""COMPUTED_VALUE"""),"SOC-BA2")</f>
        <v>SOC-BA2</v>
      </c>
      <c r="D5794" s="234"/>
      <c r="E5794" s="237" t="str">
        <f>IFERROR(__xludf.DUMMYFUNCTION("""COMPUTED_VALUE"""),"LT0Q1O01WYGA2")</f>
        <v>LT0Q1O01WYGA2</v>
      </c>
      <c r="F5794" s="238" t="str">
        <f>IFERROR(__xludf.DUMMYFUNCTION("""COMPUTED_VALUE"""),"CUD6I35,OGW5C58")</f>
        <v>CUD6I35,OGW5C58</v>
      </c>
      <c r="G5794" s="238">
        <f>IFERROR(__xludf.DUMMYFUNCTION("""COMPUTED_VALUE"""),46047.08333333333)</f>
        <v>46047.08333</v>
      </c>
      <c r="H5794" s="238">
        <f>IFERROR(__xludf.DUMMYFUNCTION("""COMPUTED_VALUE"""),46047.29166666667)</f>
        <v>46047.29167</v>
      </c>
      <c r="J5794" s="239">
        <v>300.00000001396984</v>
      </c>
    </row>
    <row r="5795">
      <c r="A5795" s="234"/>
      <c r="B5795" s="238" t="str">
        <f>IFERROR(__xludf.DUMMYFUNCTION("""COMPUTED_VALUE"""),"SoC_GO_Goiânia_02")</f>
        <v>SoC_GO_Goiânia_02</v>
      </c>
      <c r="C5795" s="238" t="str">
        <f>IFERROR(__xludf.DUMMYFUNCTION("""COMPUTED_VALUE"""),"SOC-GO2")</f>
        <v>SOC-GO2</v>
      </c>
      <c r="D5795" s="234">
        <f>IFERROR(__xludf.DUMMYFUNCTION("""COMPUTED_VALUE"""),87.0)</f>
        <v>87</v>
      </c>
      <c r="E5795" s="237" t="str">
        <f>IFERROR(__xludf.DUMMYFUNCTION("""COMPUTED_VALUE"""),"LT0Q1O01WYR41")</f>
        <v>LT0Q1O01WYR41</v>
      </c>
      <c r="F5795" s="238" t="str">
        <f>IFERROR(__xludf.DUMMYFUNCTION("""COMPUTED_VALUE"""),"OAS3F03,SMB7A48")</f>
        <v>OAS3F03,SMB7A48</v>
      </c>
      <c r="G5795" s="238">
        <f>IFERROR(__xludf.DUMMYFUNCTION("""COMPUTED_VALUE"""),46047.08333333333)</f>
        <v>46047.08333</v>
      </c>
      <c r="H5795" s="238">
        <f>IFERROR(__xludf.DUMMYFUNCTION("""COMPUTED_VALUE"""),46047.29166666667)</f>
        <v>46047.29167</v>
      </c>
      <c r="J5795" s="239">
        <v>300.00000001396984</v>
      </c>
    </row>
    <row r="5796">
      <c r="A5796" s="234"/>
      <c r="B5796" s="238" t="str">
        <f>IFERROR(__xludf.DUMMYFUNCTION("""COMPUTED_VALUE"""),"SoC_RS_Gravataí_02")</f>
        <v>SoC_RS_Gravataí_02</v>
      </c>
      <c r="C5796" s="238" t="str">
        <f>IFERROR(__xludf.DUMMYFUNCTION("""COMPUTED_VALUE"""),"SOC-RS2")</f>
        <v>SOC-RS2</v>
      </c>
      <c r="D5796" s="234"/>
      <c r="E5796" s="237" t="str">
        <f>IFERROR(__xludf.DUMMYFUNCTION("""COMPUTED_VALUE"""),"LT0Q1O01WYT81")</f>
        <v>LT0Q1O01WYT81</v>
      </c>
      <c r="F5796" s="238" t="str">
        <f>IFERROR(__xludf.DUMMYFUNCTION("""COMPUTED_VALUE"""),"IZS5H47,ELW5H02")</f>
        <v>IZS5H47,ELW5H02</v>
      </c>
      <c r="G5796" s="238">
        <f>IFERROR(__xludf.DUMMYFUNCTION("""COMPUTED_VALUE"""),46047.08333333333)</f>
        <v>46047.08333</v>
      </c>
      <c r="H5796" s="238">
        <f>IFERROR(__xludf.DUMMYFUNCTION("""COMPUTED_VALUE"""),46047.29166666667)</f>
        <v>46047.29167</v>
      </c>
      <c r="J5796" s="239">
        <v>299.0000000107102</v>
      </c>
    </row>
    <row r="5797">
      <c r="A5797" s="234"/>
      <c r="B5797" s="238" t="str">
        <f>IFERROR(__xludf.DUMMYFUNCTION("""COMPUTED_VALUE"""),"SoC_SP_Cravinhos")</f>
        <v>SoC_SP_Cravinhos</v>
      </c>
      <c r="C5797" s="238" t="str">
        <f>IFERROR(__xludf.DUMMYFUNCTION("""COMPUTED_VALUE"""),"SOC-SP5")</f>
        <v>SOC-SP5</v>
      </c>
      <c r="D5797" s="234">
        <f>IFERROR(__xludf.DUMMYFUNCTION("""COMPUTED_VALUE"""),94.0)</f>
        <v>94</v>
      </c>
      <c r="E5797" s="237" t="str">
        <f>IFERROR(__xludf.DUMMYFUNCTION("""COMPUTED_VALUE"""),"LT0Q1O01WTAM1")</f>
        <v>LT0Q1O01WTAM1</v>
      </c>
      <c r="F5797" s="238" t="str">
        <f>IFERROR(__xludf.DUMMYFUNCTION("""COMPUTED_VALUE"""),"GKI8F28,IPI7C15")</f>
        <v>GKI8F28,IPI7C15</v>
      </c>
      <c r="G5797" s="238">
        <f>IFERROR(__xludf.DUMMYFUNCTION("""COMPUTED_VALUE"""),46047.084027777775)</f>
        <v>46047.08403</v>
      </c>
      <c r="H5797" s="238">
        <f>IFERROR(__xludf.DUMMYFUNCTION("""COMPUTED_VALUE"""),46047.29166666667)</f>
        <v>46047.29167</v>
      </c>
      <c r="J5797" s="239">
        <v>299.0000000107102</v>
      </c>
    </row>
    <row r="5798">
      <c r="A5798" s="234"/>
      <c r="B5798" s="238" t="str">
        <f>IFERROR(__xludf.DUMMYFUNCTION("""COMPUTED_VALUE"""),"SoC_SP_Cravinhos")</f>
        <v>SoC_SP_Cravinhos</v>
      </c>
      <c r="C5798" s="238" t="str">
        <f>IFERROR(__xludf.DUMMYFUNCTION("""COMPUTED_VALUE"""),"SOC-SP5")</f>
        <v>SOC-SP5</v>
      </c>
      <c r="D5798" s="234"/>
      <c r="E5798" s="237" t="str">
        <f>IFERROR(__xludf.DUMMYFUNCTION("""COMPUTED_VALUE"""),"LT0Q1O01WTAO2")</f>
        <v>LT0Q1O01WTAO2</v>
      </c>
      <c r="F5798" s="238" t="str">
        <f>IFERROR(__xludf.DUMMYFUNCTION("""COMPUTED_VALUE"""),"IUC9H90,FJP5G15")</f>
        <v>IUC9H90,FJP5G15</v>
      </c>
      <c r="G5798" s="238">
        <f>IFERROR(__xludf.DUMMYFUNCTION("""COMPUTED_VALUE"""),46047.084027777775)</f>
        <v>46047.08403</v>
      </c>
      <c r="H5798" s="238">
        <f>IFERROR(__xludf.DUMMYFUNCTION("""COMPUTED_VALUE"""),46047.29166666667)</f>
        <v>46047.29167</v>
      </c>
      <c r="J5798" s="239">
        <v>120.00000000349246</v>
      </c>
    </row>
    <row r="5799">
      <c r="A5799" s="234"/>
      <c r="B5799" s="238" t="str">
        <f>IFERROR(__xludf.DUMMYFUNCTION("""COMPUTED_VALUE"""),"SoC_SP_Cravinhos")</f>
        <v>SoC_SP_Cravinhos</v>
      </c>
      <c r="C5799" s="238" t="str">
        <f>IFERROR(__xludf.DUMMYFUNCTION("""COMPUTED_VALUE"""),"SOC-SP5")</f>
        <v>SOC-SP5</v>
      </c>
      <c r="D5799" s="234">
        <f>IFERROR(__xludf.DUMMYFUNCTION("""COMPUTED_VALUE"""),49.0)</f>
        <v>49</v>
      </c>
      <c r="E5799" s="237" t="str">
        <f>IFERROR(__xludf.DUMMYFUNCTION("""COMPUTED_VALUE"""),"LT1Q1P01XQAL1")</f>
        <v>LT1Q1P01XQAL1</v>
      </c>
      <c r="F5799" s="238" t="str">
        <f>IFERROR(__xludf.DUMMYFUNCTION("""COMPUTED_VALUE"""),"JDO1B62,JDK5A31")</f>
        <v>JDO1B62,JDK5A31</v>
      </c>
      <c r="G5799" s="238">
        <f>IFERROR(__xludf.DUMMYFUNCTION("""COMPUTED_VALUE"""),46047.23611111111)</f>
        <v>46047.23611</v>
      </c>
      <c r="H5799" s="238">
        <f>IFERROR(__xludf.DUMMYFUNCTION("""COMPUTED_VALUE"""),46047.319444444445)</f>
        <v>46047.31944</v>
      </c>
      <c r="J5799" s="239">
        <v>119.99999999301508</v>
      </c>
    </row>
    <row r="5800">
      <c r="A5800" s="234"/>
      <c r="B5800" s="238" t="str">
        <f>IFERROR(__xludf.DUMMYFUNCTION("""COMPUTED_VALUE"""),"LM Hub_PR_Curitiba")</f>
        <v>LM Hub_PR_Curitiba</v>
      </c>
      <c r="C5800" s="238" t="str">
        <f>IFERROR(__xludf.DUMMYFUNCTION("""COMPUTED_VALUE"""),"HUB-LPR-16")</f>
        <v>HUB-LPR-16</v>
      </c>
      <c r="D5800" s="234">
        <f>IFERROR(__xludf.DUMMYFUNCTION("""COMPUTED_VALUE"""),36.0)</f>
        <v>36</v>
      </c>
      <c r="E5800" s="237" t="str">
        <f>IFERROR(__xludf.DUMMYFUNCTION("""COMPUTED_VALUE"""),"LT0Q1Q01XDJ61")</f>
        <v>LT0Q1Q01XDJ61</v>
      </c>
      <c r="F5800" s="238" t="str">
        <f>IFERROR(__xludf.DUMMYFUNCTION("""COMPUTED_VALUE"""),"SXF0H25")</f>
        <v>SXF0H25</v>
      </c>
      <c r="G5800" s="238">
        <f>IFERROR(__xludf.DUMMYFUNCTION("""COMPUTED_VALUE"""),46048.875)</f>
        <v>46048.875</v>
      </c>
      <c r="H5800" s="238">
        <f>IFERROR(__xludf.DUMMYFUNCTION("""COMPUTED_VALUE"""),46048.95833333333)</f>
        <v>46048.95833</v>
      </c>
      <c r="J5800" s="239">
        <v>119.99999999301508</v>
      </c>
    </row>
    <row r="5801">
      <c r="A5801" s="234"/>
      <c r="B5801" s="238" t="str">
        <f>IFERROR(__xludf.DUMMYFUNCTION("""COMPUTED_VALUE"""),"LM Hub_SP_Taubaté")</f>
        <v>LM Hub_SP_Taubaté</v>
      </c>
      <c r="C5801" s="238" t="str">
        <f>IFERROR(__xludf.DUMMYFUNCTION("""COMPUTED_VALUE"""),"HUB-LSP-08")</f>
        <v>HUB-LSP-08</v>
      </c>
      <c r="D5801" s="234">
        <f>IFERROR(__xludf.DUMMYFUNCTION("""COMPUTED_VALUE"""),40.0)</f>
        <v>40</v>
      </c>
      <c r="E5801" s="237" t="str">
        <f>IFERROR(__xludf.DUMMYFUNCTION("""COMPUTED_VALUE"""),"LT0Q1Q01XDGU1")</f>
        <v>LT0Q1Q01XDGU1</v>
      </c>
      <c r="F5801" s="238" t="str">
        <f>IFERROR(__xludf.DUMMYFUNCTION("""COMPUTED_VALUE"""),"DVS7G78,DJE5J16")</f>
        <v>DVS7G78,DJE5J16</v>
      </c>
      <c r="G5801" s="238">
        <f>IFERROR(__xludf.DUMMYFUNCTION("""COMPUTED_VALUE"""),46048.875)</f>
        <v>46048.875</v>
      </c>
      <c r="H5801" s="238">
        <f>IFERROR(__xludf.DUMMYFUNCTION("""COMPUTED_VALUE"""),46048.95833333333)</f>
        <v>46048.95833</v>
      </c>
      <c r="J5801" s="239">
        <v>59.99999998603016</v>
      </c>
    </row>
    <row r="5802">
      <c r="A5802" s="234"/>
      <c r="B5802" s="238" t="str">
        <f>IFERROR(__xludf.DUMMYFUNCTION("""COMPUTED_VALUE"""),"LM Hub_SP_Guarujá")</f>
        <v>LM Hub_SP_Guarujá</v>
      </c>
      <c r="C5802" s="238" t="str">
        <f>IFERROR(__xludf.DUMMYFUNCTION("""COMPUTED_VALUE"""),"HUB-LSP-06")</f>
        <v>HUB-LSP-06</v>
      </c>
      <c r="D5802" s="234">
        <f>IFERROR(__xludf.DUMMYFUNCTION("""COMPUTED_VALUE"""),25.0)</f>
        <v>25</v>
      </c>
      <c r="E5802" s="237" t="str">
        <f>IFERROR(__xludf.DUMMYFUNCTION("""COMPUTED_VALUE"""),"LT1Q1Q01XQU01")</f>
        <v>LT1Q1Q01XQU01</v>
      </c>
      <c r="F5802" s="238" t="str">
        <f>IFERROR(__xludf.DUMMYFUNCTION("""COMPUTED_VALUE"""),"FMD3I95")</f>
        <v>FMD3I95</v>
      </c>
      <c r="G5802" s="238">
        <f>IFERROR(__xludf.DUMMYFUNCTION("""COMPUTED_VALUE"""),46048.91666666667)</f>
        <v>46048.91667</v>
      </c>
      <c r="H5802" s="238">
        <f>IFERROR(__xludf.DUMMYFUNCTION("""COMPUTED_VALUE"""),46048.95833333333)</f>
        <v>46048.95833</v>
      </c>
      <c r="J5802" s="239">
        <v>120.00000001396984</v>
      </c>
    </row>
    <row r="5803">
      <c r="A5803" s="234"/>
      <c r="B5803" s="238" t="str">
        <f>IFERROR(__xludf.DUMMYFUNCTION("""COMPUTED_VALUE"""),"LM Hub_RJ_Jacarepaguá")</f>
        <v>LM Hub_RJ_Jacarepaguá</v>
      </c>
      <c r="C5803" s="238" t="str">
        <f>IFERROR(__xludf.DUMMYFUNCTION("""COMPUTED_VALUE"""),"HUB-LRJ-29")</f>
        <v>HUB-LRJ-29</v>
      </c>
      <c r="D5803" s="234">
        <f>IFERROR(__xludf.DUMMYFUNCTION("""COMPUTED_VALUE"""),12.0)</f>
        <v>12</v>
      </c>
      <c r="E5803" s="237" t="str">
        <f>IFERROR(__xludf.DUMMYFUNCTION("""COMPUTED_VALUE"""),"LT0Q1Q01XIMJ1")</f>
        <v>LT0Q1Q01XIMJ1</v>
      </c>
      <c r="F5803" s="238" t="str">
        <f>IFERROR(__xludf.DUMMYFUNCTION("""COMPUTED_VALUE"""),"GCV2E51")</f>
        <v>GCV2E51</v>
      </c>
      <c r="G5803" s="238">
        <f>IFERROR(__xludf.DUMMYFUNCTION("""COMPUTED_VALUE"""),46048.89583333333)</f>
        <v>46048.89583</v>
      </c>
      <c r="H5803" s="238">
        <f>IFERROR(__xludf.DUMMYFUNCTION("""COMPUTED_VALUE"""),46048.97916666667)</f>
        <v>46048.97917</v>
      </c>
      <c r="J5803" s="239">
        <v>120.00000001396984</v>
      </c>
    </row>
    <row r="5804">
      <c r="A5804" s="234"/>
      <c r="B5804" s="238" t="str">
        <f>IFERROR(__xludf.DUMMYFUNCTION("""COMPUTED_VALUE"""),"LM Hub_SP_São José dos Campos")</f>
        <v>LM Hub_SP_São José dos Campos</v>
      </c>
      <c r="C5804" s="238" t="str">
        <f>IFERROR(__xludf.DUMMYFUNCTION("""COMPUTED_VALUE"""),"HUB-LSP-04")</f>
        <v>HUB-LSP-04</v>
      </c>
      <c r="D5804" s="234">
        <f>IFERROR(__xludf.DUMMYFUNCTION("""COMPUTED_VALUE"""),27.0)</f>
        <v>27</v>
      </c>
      <c r="E5804" s="237" t="str">
        <f>IFERROR(__xludf.DUMMYFUNCTION("""COMPUTED_VALUE"""),"LT0Q1Q01XM6T1")</f>
        <v>LT0Q1Q01XM6T1</v>
      </c>
      <c r="F5804" s="238" t="str">
        <f>IFERROR(__xludf.DUMMYFUNCTION("""COMPUTED_VALUE"""),"TIR7J78")</f>
        <v>TIR7J78</v>
      </c>
      <c r="G5804" s="238">
        <f>IFERROR(__xludf.DUMMYFUNCTION("""COMPUTED_VALUE"""),46048.89583333333)</f>
        <v>46048.89583</v>
      </c>
      <c r="H5804" s="238">
        <f>IFERROR(__xludf.DUMMYFUNCTION("""COMPUTED_VALUE"""),46048.97916666667)</f>
        <v>46048.97917</v>
      </c>
      <c r="J5804" s="239">
        <v>119.00000001071021</v>
      </c>
    </row>
    <row r="5805">
      <c r="A5805" s="234"/>
      <c r="B5805" s="238" t="str">
        <f>IFERROR(__xludf.DUMMYFUNCTION("""COMPUTED_VALUE"""),"LM Hub_SP_Jurubatuba")</f>
        <v>LM Hub_SP_Jurubatuba</v>
      </c>
      <c r="C5805" s="238" t="str">
        <f>IFERROR(__xludf.DUMMYFUNCTION("""COMPUTED_VALUE"""),"HUB-LSP-16")</f>
        <v>HUB-LSP-16</v>
      </c>
      <c r="D5805" s="234">
        <f>IFERROR(__xludf.DUMMYFUNCTION("""COMPUTED_VALUE"""),16.0)</f>
        <v>16</v>
      </c>
      <c r="E5805" s="237" t="str">
        <f>IFERROR(__xludf.DUMMYFUNCTION("""COMPUTED_VALUE"""),"LT0Q1Q01XDE21")</f>
        <v>LT0Q1Q01XDE21</v>
      </c>
      <c r="F5805" s="238" t="str">
        <f>IFERROR(__xludf.DUMMYFUNCTION("""COMPUTED_VALUE"""),"CUA7C61,FPW0F14")</f>
        <v>CUA7C61,FPW0F14</v>
      </c>
      <c r="G5805" s="238">
        <f>IFERROR(__xludf.DUMMYFUNCTION("""COMPUTED_VALUE"""),46048.896527777775)</f>
        <v>46048.89653</v>
      </c>
      <c r="H5805" s="238">
        <f>IFERROR(__xludf.DUMMYFUNCTION("""COMPUTED_VALUE"""),46048.97916666667)</f>
        <v>46048.97917</v>
      </c>
      <c r="J5805" s="239">
        <v>60.00000000698492</v>
      </c>
    </row>
    <row r="5806">
      <c r="A5806" s="234"/>
      <c r="B5806" s="238" t="str">
        <f>IFERROR(__xludf.DUMMYFUNCTION("""COMPUTED_VALUE"""),"LM Hub_SP_Jardim Adriana")</f>
        <v>LM Hub_SP_Jardim Adriana</v>
      </c>
      <c r="C5806" s="238" t="str">
        <f>IFERROR(__xludf.DUMMYFUNCTION("""COMPUTED_VALUE"""),"HUB-LSP-12")</f>
        <v>HUB-LSP-12</v>
      </c>
      <c r="D5806" s="234">
        <f>IFERROR(__xludf.DUMMYFUNCTION("""COMPUTED_VALUE"""),35.0)</f>
        <v>35</v>
      </c>
      <c r="E5806" s="237" t="str">
        <f>IFERROR(__xludf.DUMMYFUNCTION("""COMPUTED_VALUE"""),"LT1Q1Q01XQOQ1")</f>
        <v>LT1Q1Q01XQOQ1</v>
      </c>
      <c r="F5806" s="238" t="str">
        <f>IFERROR(__xludf.DUMMYFUNCTION("""COMPUTED_VALUE"""),"IYS3C29")</f>
        <v>IYS3C29</v>
      </c>
      <c r="G5806" s="238">
        <f>IFERROR(__xludf.DUMMYFUNCTION("""COMPUTED_VALUE"""),46048.9375)</f>
        <v>46048.9375</v>
      </c>
      <c r="H5806" s="238">
        <f>IFERROR(__xludf.DUMMYFUNCTION("""COMPUTED_VALUE"""),46048.97916666667)</f>
        <v>46048.97917</v>
      </c>
      <c r="J5806" s="239">
        <v>60.00000000698492</v>
      </c>
    </row>
    <row r="5807">
      <c r="A5807" s="234"/>
      <c r="B5807" s="238" t="str">
        <f>IFERROR(__xludf.DUMMYFUNCTION("""COMPUTED_VALUE"""),"LM Hub_SP_Jardim Adriana")</f>
        <v>LM Hub_SP_Jardim Adriana</v>
      </c>
      <c r="C5807" s="238" t="str">
        <f>IFERROR(__xludf.DUMMYFUNCTION("""COMPUTED_VALUE"""),"HUB-LSP-12")</f>
        <v>HUB-LSP-12</v>
      </c>
      <c r="D5807" s="234">
        <f>IFERROR(__xludf.DUMMYFUNCTION("""COMPUTED_VALUE"""),26.0)</f>
        <v>26</v>
      </c>
      <c r="E5807" s="237" t="str">
        <f>IFERROR(__xludf.DUMMYFUNCTION("""COMPUTED_VALUE"""),"LT1Q1Q01XQOR1")</f>
        <v>LT1Q1Q01XQOR1</v>
      </c>
      <c r="F5807" s="238" t="str">
        <f>IFERROR(__xludf.DUMMYFUNCTION("""COMPUTED_VALUE"""),"EVU4B22")</f>
        <v>EVU4B22</v>
      </c>
      <c r="G5807" s="238">
        <f>IFERROR(__xludf.DUMMYFUNCTION("""COMPUTED_VALUE"""),46048.9375)</f>
        <v>46048.9375</v>
      </c>
      <c r="H5807" s="238">
        <f>IFERROR(__xludf.DUMMYFUNCTION("""COMPUTED_VALUE"""),46048.97916666667)</f>
        <v>46048.97917</v>
      </c>
      <c r="J5807" s="239">
        <v>118.99999998975545</v>
      </c>
    </row>
    <row r="5808">
      <c r="A5808" s="234"/>
      <c r="B5808" s="238" t="str">
        <f>IFERROR(__xludf.DUMMYFUNCTION("""COMPUTED_VALUE"""),"LM Hub_SP_Guarujá")</f>
        <v>LM Hub_SP_Guarujá</v>
      </c>
      <c r="C5808" s="238" t="str">
        <f>IFERROR(__xludf.DUMMYFUNCTION("""COMPUTED_VALUE"""),"HUB-LSP-06")</f>
        <v>HUB-LSP-06</v>
      </c>
      <c r="D5808" s="234"/>
      <c r="E5808" s="237" t="str">
        <f>IFERROR(__xludf.DUMMYFUNCTION("""COMPUTED_VALUE"""),"LT0Q1Q01XDFY1")</f>
        <v>LT0Q1Q01XDFY1</v>
      </c>
      <c r="F5808" s="238" t="str">
        <f>IFERROR(__xludf.DUMMYFUNCTION("""COMPUTED_VALUE"""),"GFQ6J64")</f>
        <v>GFQ6J64</v>
      </c>
      <c r="G5808" s="238">
        <f>IFERROR(__xludf.DUMMYFUNCTION("""COMPUTED_VALUE"""),46048.91666666667)</f>
        <v>46048.91667</v>
      </c>
      <c r="H5808" s="238">
        <f>IFERROR(__xludf.DUMMYFUNCTION("""COMPUTED_VALUE"""),46048.99930555555)</f>
        <v>46048.99931</v>
      </c>
      <c r="J5808" s="239">
        <v>118.99999998975545</v>
      </c>
    </row>
    <row r="5809">
      <c r="A5809" s="234"/>
      <c r="B5809" s="238" t="str">
        <f>IFERROR(__xludf.DUMMYFUNCTION("""COMPUTED_VALUE"""),"LM Hub_SP_Itaqua_Zimba")</f>
        <v>LM Hub_SP_Itaqua_Zimba</v>
      </c>
      <c r="C5809" s="238" t="str">
        <f>IFERROR(__xludf.DUMMYFUNCTION("""COMPUTED_VALUE"""),"HUB-LSP-74")</f>
        <v>HUB-LSP-74</v>
      </c>
      <c r="D5809" s="234">
        <f>IFERROR(__xludf.DUMMYFUNCTION("""COMPUTED_VALUE"""),8.0)</f>
        <v>8</v>
      </c>
      <c r="E5809" s="237" t="str">
        <f>IFERROR(__xludf.DUMMYFUNCTION("""COMPUTED_VALUE"""),"LT0Q1Q01XDF91")</f>
        <v>LT0Q1Q01XDF91</v>
      </c>
      <c r="F5809" s="238" t="str">
        <f>IFERROR(__xludf.DUMMYFUNCTION("""COMPUTED_VALUE"""),"FRO3D47,EWU4B46")</f>
        <v>FRO3D47,EWU4B46</v>
      </c>
      <c r="G5809" s="238">
        <f>IFERROR(__xludf.DUMMYFUNCTION("""COMPUTED_VALUE"""),46048.91666666667)</f>
        <v>46048.91667</v>
      </c>
      <c r="H5809" s="238">
        <f>IFERROR(__xludf.DUMMYFUNCTION("""COMPUTED_VALUE"""),46048.99930555555)</f>
        <v>46048.99931</v>
      </c>
      <c r="J5809" s="239">
        <v>119.99999999301508</v>
      </c>
    </row>
    <row r="5810">
      <c r="A5810" s="234"/>
      <c r="B5810" s="238" t="str">
        <f>IFERROR(__xludf.DUMMYFUNCTION("""COMPUTED_VALUE"""),"LM Hub_RS_Porto Alegre_Floresta")</f>
        <v>LM Hub_RS_Porto Alegre_Floresta</v>
      </c>
      <c r="C5810" s="238" t="str">
        <f>IFERROR(__xludf.DUMMYFUNCTION("""COMPUTED_VALUE"""),"HUB-LRS-03")</f>
        <v>HUB-LRS-03</v>
      </c>
      <c r="D5810" s="234"/>
      <c r="E5810" s="237" t="str">
        <f>IFERROR(__xludf.DUMMYFUNCTION("""COMPUTED_VALUE"""),"LT0Q1Q01XJ781")</f>
        <v>LT0Q1Q01XJ781</v>
      </c>
      <c r="F5810" s="238" t="str">
        <f>IFERROR(__xludf.DUMMYFUNCTION("""COMPUTED_VALUE"""),"GHL2E83")</f>
        <v>GHL2E83</v>
      </c>
      <c r="G5810" s="238">
        <f>IFERROR(__xludf.DUMMYFUNCTION("""COMPUTED_VALUE"""),46048.91666666667)</f>
        <v>46048.91667</v>
      </c>
      <c r="H5810" s="238">
        <f>IFERROR(__xludf.DUMMYFUNCTION("""COMPUTED_VALUE"""),46049.0)</f>
        <v>46049</v>
      </c>
      <c r="J5810" s="239">
        <v>119.99999999301508</v>
      </c>
    </row>
    <row r="5811">
      <c r="A5811" s="234"/>
      <c r="B5811" s="238" t="str">
        <f>IFERROR(__xludf.DUMMYFUNCTION("""COMPUTED_VALUE"""),"LM Hub_SP_Artur Alvim")</f>
        <v>LM Hub_SP_Artur Alvim</v>
      </c>
      <c r="C5811" s="238" t="str">
        <f>IFERROR(__xludf.DUMMYFUNCTION("""COMPUTED_VALUE"""),"HUB-LSP-07")</f>
        <v>HUB-LSP-07</v>
      </c>
      <c r="D5811" s="234">
        <f>IFERROR(__xludf.DUMMYFUNCTION("""COMPUTED_VALUE"""),24.0)</f>
        <v>24</v>
      </c>
      <c r="E5811" s="237" t="str">
        <f>IFERROR(__xludf.DUMMYFUNCTION("""COMPUTED_VALUE"""),"LT0Q1Q01XDDB1")</f>
        <v>LT0Q1Q01XDDB1</v>
      </c>
      <c r="F5811" s="238" t="str">
        <f>IFERROR(__xludf.DUMMYFUNCTION("""COMPUTED_VALUE"""),"OUV2G66,JMU8H37")</f>
        <v>OUV2G66,JMU8H37</v>
      </c>
      <c r="G5811" s="238">
        <f>IFERROR(__xludf.DUMMYFUNCTION("""COMPUTED_VALUE"""),46048.91666666667)</f>
        <v>46048.91667</v>
      </c>
      <c r="H5811" s="238">
        <f>IFERROR(__xludf.DUMMYFUNCTION("""COMPUTED_VALUE"""),46049.0)</f>
        <v>46049</v>
      </c>
      <c r="J5811" s="239">
        <v>119.99999999301508</v>
      </c>
    </row>
    <row r="5812">
      <c r="A5812" s="234"/>
      <c r="B5812" s="238" t="str">
        <f>IFERROR(__xludf.DUMMYFUNCTION("""COMPUTED_VALUE"""),"LM Hub_SP_Barueri_01")</f>
        <v>LM Hub_SP_Barueri_01</v>
      </c>
      <c r="C5812" s="238" t="str">
        <f>IFERROR(__xludf.DUMMYFUNCTION("""COMPUTED_VALUE"""),"HUB-LSP-81")</f>
        <v>HUB-LSP-81</v>
      </c>
      <c r="D5812" s="234">
        <f>IFERROR(__xludf.DUMMYFUNCTION("""COMPUTED_VALUE"""),28.0)</f>
        <v>28</v>
      </c>
      <c r="E5812" s="237" t="str">
        <f>IFERROR(__xludf.DUMMYFUNCTION("""COMPUTED_VALUE"""),"LT0Q1Q01XI3M1")</f>
        <v>LT0Q1Q01XI3M1</v>
      </c>
      <c r="F5812" s="238" t="str">
        <f>IFERROR(__xludf.DUMMYFUNCTION("""COMPUTED_VALUE"""),"SUQ5C99,TLD5B82")</f>
        <v>SUQ5C99,TLD5B82</v>
      </c>
      <c r="G5812" s="238">
        <f>IFERROR(__xludf.DUMMYFUNCTION("""COMPUTED_VALUE"""),46048.91666666667)</f>
        <v>46048.91667</v>
      </c>
      <c r="H5812" s="238">
        <f>IFERROR(__xludf.DUMMYFUNCTION("""COMPUTED_VALUE"""),46049.0)</f>
        <v>46049</v>
      </c>
      <c r="J5812" s="239">
        <v>119.99999999301508</v>
      </c>
    </row>
    <row r="5813">
      <c r="A5813" s="234"/>
      <c r="B5813" s="238" t="str">
        <f>IFERROR(__xludf.DUMMYFUNCTION("""COMPUTED_VALUE"""),"LM Hub_SP_Guarulhos")</f>
        <v>LM Hub_SP_Guarulhos</v>
      </c>
      <c r="C5813" s="238" t="str">
        <f>IFERROR(__xludf.DUMMYFUNCTION("""COMPUTED_VALUE"""),"HUB-LSP-77")</f>
        <v>HUB-LSP-77</v>
      </c>
      <c r="D5813" s="234">
        <f>IFERROR(__xludf.DUMMYFUNCTION("""COMPUTED_VALUE"""),41.0)</f>
        <v>41</v>
      </c>
      <c r="E5813" s="237" t="str">
        <f>IFERROR(__xludf.DUMMYFUNCTION("""COMPUTED_VALUE"""),"LT0Q1Q01XE451")</f>
        <v>LT0Q1Q01XE451</v>
      </c>
      <c r="F5813" s="238" t="str">
        <f>IFERROR(__xludf.DUMMYFUNCTION("""COMPUTED_VALUE"""),"FEB5I21,FRT9A70")</f>
        <v>FEB5I21,FRT9A70</v>
      </c>
      <c r="G5813" s="238">
        <f>IFERROR(__xludf.DUMMYFUNCTION("""COMPUTED_VALUE"""),46048.91666666667)</f>
        <v>46048.91667</v>
      </c>
      <c r="H5813" s="238">
        <f>IFERROR(__xludf.DUMMYFUNCTION("""COMPUTED_VALUE"""),46049.0)</f>
        <v>46049</v>
      </c>
      <c r="J5813" s="239">
        <v>119.99999999301508</v>
      </c>
    </row>
    <row r="5814">
      <c r="A5814" s="234"/>
      <c r="B5814" s="238" t="str">
        <f>IFERROR(__xludf.DUMMYFUNCTION("""COMPUTED_VALUE"""),"LM Hub_SP_Itapevi")</f>
        <v>LM Hub_SP_Itapevi</v>
      </c>
      <c r="C5814" s="238" t="str">
        <f>IFERROR(__xludf.DUMMYFUNCTION("""COMPUTED_VALUE"""),"HUB-LSP-41")</f>
        <v>HUB-LSP-41</v>
      </c>
      <c r="D5814" s="234">
        <f>IFERROR(__xludf.DUMMYFUNCTION("""COMPUTED_VALUE"""),37.0)</f>
        <v>37</v>
      </c>
      <c r="E5814" s="237" t="str">
        <f>IFERROR(__xludf.DUMMYFUNCTION("""COMPUTED_VALUE"""),"LT0Q1Q01XDEQ1")</f>
        <v>LT0Q1Q01XDEQ1</v>
      </c>
      <c r="F5814" s="238" t="str">
        <f>IFERROR(__xludf.DUMMYFUNCTION("""COMPUTED_VALUE"""),"BCS4J31,DJB0J76")</f>
        <v>BCS4J31,DJB0J76</v>
      </c>
      <c r="G5814" s="238">
        <f>IFERROR(__xludf.DUMMYFUNCTION("""COMPUTED_VALUE"""),46048.91666666667)</f>
        <v>46048.91667</v>
      </c>
      <c r="H5814" s="238">
        <f>IFERROR(__xludf.DUMMYFUNCTION("""COMPUTED_VALUE"""),46049.0)</f>
        <v>46049</v>
      </c>
      <c r="J5814" s="239">
        <v>119.99999999301508</v>
      </c>
    </row>
    <row r="5815">
      <c r="A5815" s="234"/>
      <c r="B5815" s="238" t="str">
        <f>IFERROR(__xludf.DUMMYFUNCTION("""COMPUTED_VALUE"""),"LM Hub_SP_Jundiaí")</f>
        <v>LM Hub_SP_Jundiaí</v>
      </c>
      <c r="C5815" s="238" t="str">
        <f>IFERROR(__xludf.DUMMYFUNCTION("""COMPUTED_VALUE"""),"HUB-LSP-100")</f>
        <v>HUB-LSP-100</v>
      </c>
      <c r="D5815" s="234">
        <f>IFERROR(__xludf.DUMMYFUNCTION("""COMPUTED_VALUE"""),13.0)</f>
        <v>13</v>
      </c>
      <c r="E5815" s="237" t="str">
        <f>IFERROR(__xludf.DUMMYFUNCTION("""COMPUTED_VALUE"""),"LT0Q1Q01XJI01")</f>
        <v>LT0Q1Q01XJI01</v>
      </c>
      <c r="F5815" s="238" t="str">
        <f>IFERROR(__xludf.DUMMYFUNCTION("""COMPUTED_VALUE"""),"EDI5J16,STY9E57")</f>
        <v>EDI5J16,STY9E57</v>
      </c>
      <c r="G5815" s="238">
        <f>IFERROR(__xludf.DUMMYFUNCTION("""COMPUTED_VALUE"""),46048.91666666667)</f>
        <v>46048.91667</v>
      </c>
      <c r="H5815" s="238">
        <f>IFERROR(__xludf.DUMMYFUNCTION("""COMPUTED_VALUE"""),46049.0)</f>
        <v>46049</v>
      </c>
      <c r="J5815" s="239">
        <v>119.99999999301508</v>
      </c>
    </row>
    <row r="5816">
      <c r="A5816" s="234"/>
      <c r="B5816" s="238" t="str">
        <f>IFERROR(__xludf.DUMMYFUNCTION("""COMPUTED_VALUE"""),"LM Hub_SP_Limeira_Campo Belo")</f>
        <v>LM Hub_SP_Limeira_Campo Belo</v>
      </c>
      <c r="C5816" s="238" t="str">
        <f>IFERROR(__xludf.DUMMYFUNCTION("""COMPUTED_VALUE"""),"HUB-LSP-24")</f>
        <v>HUB-LSP-24</v>
      </c>
      <c r="D5816" s="234">
        <f>IFERROR(__xludf.DUMMYFUNCTION("""COMPUTED_VALUE"""),22.0)</f>
        <v>22</v>
      </c>
      <c r="E5816" s="237" t="str">
        <f>IFERROR(__xludf.DUMMYFUNCTION("""COMPUTED_VALUE"""),"LT0Q1Q01XDHL1")</f>
        <v>LT0Q1Q01XDHL1</v>
      </c>
      <c r="F5816" s="238" t="str">
        <f>IFERROR(__xludf.DUMMYFUNCTION("""COMPUTED_VALUE"""),"FCD0G15,RBB2B81")</f>
        <v>FCD0G15,RBB2B81</v>
      </c>
      <c r="G5816" s="238">
        <f>IFERROR(__xludf.DUMMYFUNCTION("""COMPUTED_VALUE"""),46048.91666666667)</f>
        <v>46048.91667</v>
      </c>
      <c r="H5816" s="238">
        <f>IFERROR(__xludf.DUMMYFUNCTION("""COMPUTED_VALUE"""),46049.0)</f>
        <v>46049</v>
      </c>
      <c r="J5816" s="239">
        <v>119.99999999301508</v>
      </c>
    </row>
    <row r="5817">
      <c r="A5817" s="234"/>
      <c r="B5817" s="238" t="str">
        <f>IFERROR(__xludf.DUMMYFUNCTION("""COMPUTED_VALUE"""),"LM Hub_SP_Mooca_02")</f>
        <v>LM Hub_SP_Mooca_02</v>
      </c>
      <c r="C5817" s="238" t="str">
        <f>IFERROR(__xludf.DUMMYFUNCTION("""COMPUTED_VALUE"""),"HUB-LSP-94")</f>
        <v>HUB-LSP-94</v>
      </c>
      <c r="D5817" s="234"/>
      <c r="E5817" s="237" t="str">
        <f>IFERROR(__xludf.DUMMYFUNCTION("""COMPUTED_VALUE"""),"LT1Q1Q01XQRN1")</f>
        <v>LT1Q1Q01XQRN1</v>
      </c>
      <c r="F5817" s="238" t="str">
        <f>IFERROR(__xludf.DUMMYFUNCTION("""COMPUTED_VALUE"""),"TJK3H42")</f>
        <v>TJK3H42</v>
      </c>
      <c r="G5817" s="238">
        <f>IFERROR(__xludf.DUMMYFUNCTION("""COMPUTED_VALUE"""),46048.91666666667)</f>
        <v>46048.91667</v>
      </c>
      <c r="H5817" s="238">
        <f>IFERROR(__xludf.DUMMYFUNCTION("""COMPUTED_VALUE"""),46049.0)</f>
        <v>46049</v>
      </c>
      <c r="J5817" s="239">
        <v>119.99999999301508</v>
      </c>
    </row>
    <row r="5818">
      <c r="A5818" s="234"/>
      <c r="B5818" s="238" t="str">
        <f>IFERROR(__xludf.DUMMYFUNCTION("""COMPUTED_VALUE"""),"LM Hub_SP_Osasco_02")</f>
        <v>LM Hub_SP_Osasco_02</v>
      </c>
      <c r="C5818" s="238" t="str">
        <f>IFERROR(__xludf.DUMMYFUNCTION("""COMPUTED_VALUE"""),"HUB-LSP-60")</f>
        <v>HUB-LSP-60</v>
      </c>
      <c r="D5818" s="234">
        <f>IFERROR(__xludf.DUMMYFUNCTION("""COMPUTED_VALUE"""),6.0)</f>
        <v>6</v>
      </c>
      <c r="E5818" s="237" t="str">
        <f>IFERROR(__xludf.DUMMYFUNCTION("""COMPUTED_VALUE"""),"LT0Q1Q01XDEW1")</f>
        <v>LT0Q1Q01XDEW1</v>
      </c>
      <c r="F5818" s="238" t="str">
        <f>IFERROR(__xludf.DUMMYFUNCTION("""COMPUTED_VALUE"""),"FUZ6B23,FUA8006")</f>
        <v>FUZ6B23,FUA8006</v>
      </c>
      <c r="G5818" s="238">
        <f>IFERROR(__xludf.DUMMYFUNCTION("""COMPUTED_VALUE"""),46048.91666666667)</f>
        <v>46048.91667</v>
      </c>
      <c r="H5818" s="238">
        <f>IFERROR(__xludf.DUMMYFUNCTION("""COMPUTED_VALUE"""),46049.0)</f>
        <v>46049</v>
      </c>
      <c r="J5818" s="239">
        <v>119.99999999301508</v>
      </c>
    </row>
    <row r="5819">
      <c r="A5819" s="234"/>
      <c r="B5819" s="238" t="str">
        <f>IFERROR(__xludf.DUMMYFUNCTION("""COMPUTED_VALUE"""),"LM Hub_SP_Santo André")</f>
        <v>LM Hub_SP_Santo André</v>
      </c>
      <c r="C5819" s="238" t="str">
        <f>IFERROR(__xludf.DUMMYFUNCTION("""COMPUTED_VALUE"""),"HUB-LSP-93")</f>
        <v>HUB-LSP-93</v>
      </c>
      <c r="D5819" s="234"/>
      <c r="E5819" s="237" t="str">
        <f>IFERROR(__xludf.DUMMYFUNCTION("""COMPUTED_VALUE"""),"LT0Q1Q01XFON1")</f>
        <v>LT0Q1Q01XFON1</v>
      </c>
      <c r="F5819" s="238" t="str">
        <f>IFERROR(__xludf.DUMMYFUNCTION("""COMPUTED_VALUE"""),"FQS1E78")</f>
        <v>FQS1E78</v>
      </c>
      <c r="G5819" s="238">
        <f>IFERROR(__xludf.DUMMYFUNCTION("""COMPUTED_VALUE"""),46048.91666666667)</f>
        <v>46048.91667</v>
      </c>
      <c r="H5819" s="238">
        <f>IFERROR(__xludf.DUMMYFUNCTION("""COMPUTED_VALUE"""),46049.0)</f>
        <v>46049</v>
      </c>
      <c r="J5819" s="239">
        <v>119.99999999301508</v>
      </c>
    </row>
    <row r="5820">
      <c r="A5820" s="234"/>
      <c r="B5820" s="238" t="str">
        <f>IFERROR(__xludf.DUMMYFUNCTION("""COMPUTED_VALUE"""),"LM Hub_SP_São José do Rio P")</f>
        <v>LM Hub_SP_São José do Rio P</v>
      </c>
      <c r="C5820" s="238" t="str">
        <f>IFERROR(__xludf.DUMMYFUNCTION("""COMPUTED_VALUE"""),"HUB-LSP-27")</f>
        <v>HUB-LSP-27</v>
      </c>
      <c r="D5820" s="234"/>
      <c r="E5820" s="237" t="str">
        <f>IFERROR(__xludf.DUMMYFUNCTION("""COMPUTED_VALUE"""),"LT0Q1Q01XGZ31")</f>
        <v>LT0Q1Q01XGZ31</v>
      </c>
      <c r="F5820" s="238" t="str">
        <f>IFERROR(__xludf.DUMMYFUNCTION("""COMPUTED_VALUE"""),"SFO1F38")</f>
        <v>SFO1F38</v>
      </c>
      <c r="G5820" s="238">
        <f>IFERROR(__xludf.DUMMYFUNCTION("""COMPUTED_VALUE"""),46048.91666666667)</f>
        <v>46048.91667</v>
      </c>
      <c r="H5820" s="238">
        <f>IFERROR(__xludf.DUMMYFUNCTION("""COMPUTED_VALUE"""),46049.0)</f>
        <v>46049</v>
      </c>
      <c r="J5820" s="239">
        <v>119.00000000023283</v>
      </c>
    </row>
    <row r="5821">
      <c r="A5821" s="234"/>
      <c r="B5821" s="238" t="str">
        <f>IFERROR(__xludf.DUMMYFUNCTION("""COMPUTED_VALUE"""),"LM Hub_SP_Mooca_02")</f>
        <v>LM Hub_SP_Mooca_02</v>
      </c>
      <c r="C5821" s="238" t="str">
        <f>IFERROR(__xludf.DUMMYFUNCTION("""COMPUTED_VALUE"""),"HUB-LSP-94")</f>
        <v>HUB-LSP-94</v>
      </c>
      <c r="D5821" s="234"/>
      <c r="E5821" s="237" t="str">
        <f>IFERROR(__xludf.DUMMYFUNCTION("""COMPUTED_VALUE"""),"LT0Q1Q01XI0K1")</f>
        <v>LT0Q1Q01XI0K1</v>
      </c>
      <c r="F5821" s="238" t="str">
        <f>IFERROR(__xludf.DUMMYFUNCTION("""COMPUTED_VALUE"""),"TJK3H42")</f>
        <v>TJK3H42</v>
      </c>
      <c r="G5821" s="238">
        <f>IFERROR(__xludf.DUMMYFUNCTION("""COMPUTED_VALUE"""),46048.91736111111)</f>
        <v>46048.91736</v>
      </c>
      <c r="H5821" s="238">
        <f>IFERROR(__xludf.DUMMYFUNCTION("""COMPUTED_VALUE"""),46049.0)</f>
        <v>46049</v>
      </c>
      <c r="J5821" s="239">
        <v>119.00000000023283</v>
      </c>
    </row>
    <row r="5822">
      <c r="A5822" s="234"/>
      <c r="B5822" s="238" t="str">
        <f>IFERROR(__xludf.DUMMYFUNCTION("""COMPUTED_VALUE"""),"LM Hub_SP_Santo André")</f>
        <v>LM Hub_SP_Santo André</v>
      </c>
      <c r="C5822" s="238" t="str">
        <f>IFERROR(__xludf.DUMMYFUNCTION("""COMPUTED_VALUE"""),"HUB-LSP-93")</f>
        <v>HUB-LSP-93</v>
      </c>
      <c r="D5822" s="234">
        <f>IFERROR(__xludf.DUMMYFUNCTION("""COMPUTED_VALUE"""),15.0)</f>
        <v>15</v>
      </c>
      <c r="E5822" s="237" t="str">
        <f>IFERROR(__xludf.DUMMYFUNCTION("""COMPUTED_VALUE"""),"LT0Q1Q01XMMB1")</f>
        <v>LT0Q1Q01XMMB1</v>
      </c>
      <c r="F5822" s="238" t="str">
        <f>IFERROR(__xludf.DUMMYFUNCTION("""COMPUTED_VALUE"""),"FNK8E47,FAM1829")</f>
        <v>FNK8E47,FAM1829</v>
      </c>
      <c r="G5822" s="238">
        <f>IFERROR(__xludf.DUMMYFUNCTION("""COMPUTED_VALUE"""),46048.91736111111)</f>
        <v>46048.91736</v>
      </c>
      <c r="H5822" s="238">
        <f>IFERROR(__xludf.DUMMYFUNCTION("""COMPUTED_VALUE"""),46049.0)</f>
        <v>46049</v>
      </c>
      <c r="J5822" s="239">
        <v>119.99999999301508</v>
      </c>
    </row>
    <row r="5823">
      <c r="A5823" s="234"/>
      <c r="B5823" s="238" t="str">
        <f>IFERROR(__xludf.DUMMYFUNCTION("""COMPUTED_VALUE"""),"LM Hub_SP_Jardim Adriana")</f>
        <v>LM Hub_SP_Jardim Adriana</v>
      </c>
      <c r="C5823" s="238" t="str">
        <f>IFERROR(__xludf.DUMMYFUNCTION("""COMPUTED_VALUE"""),"HUB-LSP-12")</f>
        <v>HUB-LSP-12</v>
      </c>
      <c r="D5823" s="234">
        <f>IFERROR(__xludf.DUMMYFUNCTION("""COMPUTED_VALUE"""),14.0)</f>
        <v>14</v>
      </c>
      <c r="E5823" s="237" t="str">
        <f>IFERROR(__xludf.DUMMYFUNCTION("""COMPUTED_VALUE"""),"LT0Q1Q01XDDJ1")</f>
        <v>LT0Q1Q01XDDJ1</v>
      </c>
      <c r="F5823" s="238" t="str">
        <f>IFERROR(__xludf.DUMMYFUNCTION("""COMPUTED_VALUE"""),"OHQ3D06")</f>
        <v>OHQ3D06</v>
      </c>
      <c r="G5823" s="238">
        <f>IFERROR(__xludf.DUMMYFUNCTION("""COMPUTED_VALUE"""),46048.9375)</f>
        <v>46048.9375</v>
      </c>
      <c r="H5823" s="238">
        <f>IFERROR(__xludf.DUMMYFUNCTION("""COMPUTED_VALUE"""),46049.02083333333)</f>
        <v>46049.02083</v>
      </c>
      <c r="J5823" s="239">
        <v>119.99999999301508</v>
      </c>
    </row>
    <row r="5824">
      <c r="A5824" s="234"/>
      <c r="B5824" s="238" t="str">
        <f>IFERROR(__xludf.DUMMYFUNCTION("""COMPUTED_VALUE"""),"LM Hub_SP_Parque Novo Mundo")</f>
        <v>LM Hub_SP_Parque Novo Mundo</v>
      </c>
      <c r="C5824" s="238" t="str">
        <f>IFERROR(__xludf.DUMMYFUNCTION("""COMPUTED_VALUE"""),"HUB-LSP-89")</f>
        <v>HUB-LSP-89</v>
      </c>
      <c r="D5824" s="234">
        <f>IFERROR(__xludf.DUMMYFUNCTION("""COMPUTED_VALUE"""),17.0)</f>
        <v>17</v>
      </c>
      <c r="E5824" s="237" t="str">
        <f>IFERROR(__xludf.DUMMYFUNCTION("""COMPUTED_VALUE"""),"LT0Q1Q01XEBG1")</f>
        <v>LT0Q1Q01XEBG1</v>
      </c>
      <c r="F5824" s="238" t="str">
        <f>IFERROR(__xludf.DUMMYFUNCTION("""COMPUTED_VALUE"""),"CVN5G56,OPD3C39")</f>
        <v>CVN5G56,OPD3C39</v>
      </c>
      <c r="G5824" s="238">
        <f>IFERROR(__xludf.DUMMYFUNCTION("""COMPUTED_VALUE"""),46048.9375)</f>
        <v>46048.9375</v>
      </c>
      <c r="H5824" s="238">
        <f>IFERROR(__xludf.DUMMYFUNCTION("""COMPUTED_VALUE"""),46049.02083333333)</f>
        <v>46049.02083</v>
      </c>
      <c r="J5824" s="239">
        <v>119.99999999301508</v>
      </c>
    </row>
    <row r="5825">
      <c r="A5825" s="234"/>
      <c r="B5825" s="238" t="str">
        <f>IFERROR(__xludf.DUMMYFUNCTION("""COMPUTED_VALUE"""),"LM Hub_SP_Piracicaba")</f>
        <v>LM Hub_SP_Piracicaba</v>
      </c>
      <c r="C5825" s="238" t="str">
        <f>IFERROR(__xludf.DUMMYFUNCTION("""COMPUTED_VALUE"""),"HUB-LSP-62")</f>
        <v>HUB-LSP-62</v>
      </c>
      <c r="D5825" s="234"/>
      <c r="E5825" s="237" t="str">
        <f>IFERROR(__xludf.DUMMYFUNCTION("""COMPUTED_VALUE"""),"LT0Q1Q01XE4H1")</f>
        <v>LT0Q1Q01XE4H1</v>
      </c>
      <c r="F5825" s="238" t="str">
        <f>IFERROR(__xludf.DUMMYFUNCTION("""COMPUTED_VALUE"""),"EOF4D32,EOF4D30")</f>
        <v>EOF4D32,EOF4D30</v>
      </c>
      <c r="G5825" s="238">
        <f>IFERROR(__xludf.DUMMYFUNCTION("""COMPUTED_VALUE"""),46048.9375)</f>
        <v>46048.9375</v>
      </c>
      <c r="H5825" s="238">
        <f>IFERROR(__xludf.DUMMYFUNCTION("""COMPUTED_VALUE"""),46049.02083333333)</f>
        <v>46049.02083</v>
      </c>
      <c r="J5825" s="239">
        <v>119.99999999301508</v>
      </c>
    </row>
    <row r="5826">
      <c r="A5826" s="234"/>
      <c r="B5826" s="238" t="str">
        <f>IFERROR(__xludf.DUMMYFUNCTION("""COMPUTED_VALUE"""),"LM Hub_SP_São Paulo_Carandiru")</f>
        <v>LM Hub_SP_São Paulo_Carandiru</v>
      </c>
      <c r="C5826" s="238" t="str">
        <f>IFERROR(__xludf.DUMMYFUNCTION("""COMPUTED_VALUE"""),"HUB-LSP-18")</f>
        <v>HUB-LSP-18</v>
      </c>
      <c r="D5826" s="234">
        <f>IFERROR(__xludf.DUMMYFUNCTION("""COMPUTED_VALUE"""),42.0)</f>
        <v>42</v>
      </c>
      <c r="E5826" s="237" t="str">
        <f>IFERROR(__xludf.DUMMYFUNCTION("""COMPUTED_VALUE"""),"LT0Q1Q01XDE71")</f>
        <v>LT0Q1Q01XDE71</v>
      </c>
      <c r="F5826" s="238" t="str">
        <f>IFERROR(__xludf.DUMMYFUNCTION("""COMPUTED_VALUE"""),"AUH8E91")</f>
        <v>AUH8E91</v>
      </c>
      <c r="G5826" s="238">
        <f>IFERROR(__xludf.DUMMYFUNCTION("""COMPUTED_VALUE"""),46048.9375)</f>
        <v>46048.9375</v>
      </c>
      <c r="H5826" s="238">
        <f>IFERROR(__xludf.DUMMYFUNCTION("""COMPUTED_VALUE"""),46049.02083333333)</f>
        <v>46049.02083</v>
      </c>
      <c r="J5826" s="239">
        <v>119.99999999301508</v>
      </c>
    </row>
    <row r="5827">
      <c r="A5827" s="234"/>
      <c r="B5827" s="238" t="str">
        <f>IFERROR(__xludf.DUMMYFUNCTION("""COMPUTED_VALUE"""),"LM Hub_SP_Sorocaba_Região Norte")</f>
        <v>LM Hub_SP_Sorocaba_Região Norte</v>
      </c>
      <c r="C5827" s="238" t="str">
        <f>IFERROR(__xludf.DUMMYFUNCTION("""COMPUTED_VALUE"""),"HUB-LSP-10")</f>
        <v>HUB-LSP-10</v>
      </c>
      <c r="D5827" s="234">
        <f>IFERROR(__xludf.DUMMYFUNCTION("""COMPUTED_VALUE"""),18.0)</f>
        <v>18</v>
      </c>
      <c r="E5827" s="237" t="str">
        <f>IFERROR(__xludf.DUMMYFUNCTION("""COMPUTED_VALUE"""),"LT0Q1Q01XDHB1")</f>
        <v>LT0Q1Q01XDHB1</v>
      </c>
      <c r="F5827" s="238" t="str">
        <f>IFERROR(__xludf.DUMMYFUNCTION("""COMPUTED_VALUE"""),"UAV9I90,TJO8E74")</f>
        <v>UAV9I90,TJO8E74</v>
      </c>
      <c r="G5827" s="238">
        <f>IFERROR(__xludf.DUMMYFUNCTION("""COMPUTED_VALUE"""),46048.9375)</f>
        <v>46048.9375</v>
      </c>
      <c r="H5827" s="238">
        <f>IFERROR(__xludf.DUMMYFUNCTION("""COMPUTED_VALUE"""),46049.02083333333)</f>
        <v>46049.02083</v>
      </c>
      <c r="J5827" s="239">
        <v>119.99999999301508</v>
      </c>
    </row>
    <row r="5828">
      <c r="A5828" s="234"/>
      <c r="B5828" s="238" t="str">
        <f>IFERROR(__xludf.DUMMYFUNCTION("""COMPUTED_VALUE"""),"LM Hub_SP_Suzano_Baruel")</f>
        <v>LM Hub_SP_Suzano_Baruel</v>
      </c>
      <c r="C5828" s="238" t="str">
        <f>IFERROR(__xludf.DUMMYFUNCTION("""COMPUTED_VALUE"""),"HUB-LSP-97")</f>
        <v>HUB-LSP-97</v>
      </c>
      <c r="D5828" s="234">
        <f>IFERROR(__xludf.DUMMYFUNCTION("""COMPUTED_VALUE"""),29.0)</f>
        <v>29</v>
      </c>
      <c r="E5828" s="237" t="str">
        <f>IFERROR(__xludf.DUMMYFUNCTION("""COMPUTED_VALUE"""),"LT0Q1Q01XJTS1")</f>
        <v>LT0Q1Q01XJTS1</v>
      </c>
      <c r="F5828" s="238" t="str">
        <f>IFERROR(__xludf.DUMMYFUNCTION("""COMPUTED_VALUE"""),"DPR5J10,TJX9B42")</f>
        <v>DPR5J10,TJX9B42</v>
      </c>
      <c r="G5828" s="238">
        <f>IFERROR(__xludf.DUMMYFUNCTION("""COMPUTED_VALUE"""),46048.9375)</f>
        <v>46048.9375</v>
      </c>
      <c r="H5828" s="238">
        <f>IFERROR(__xludf.DUMMYFUNCTION("""COMPUTED_VALUE"""),46049.02083333333)</f>
        <v>46049.02083</v>
      </c>
      <c r="J5828" s="239">
        <v>119.99999999301508</v>
      </c>
    </row>
    <row r="5829">
      <c r="A5829" s="234"/>
      <c r="B5829" s="238" t="str">
        <f>IFERROR(__xludf.DUMMYFUNCTION("""COMPUTED_VALUE"""),"LM Hub_SP_VilaGuilherme")</f>
        <v>LM Hub_SP_VilaGuilherme</v>
      </c>
      <c r="C5829" s="238" t="str">
        <f>IFERROR(__xludf.DUMMYFUNCTION("""COMPUTED_VALUE"""),"HUB-LSP-68")</f>
        <v>HUB-LSP-68</v>
      </c>
      <c r="D5829" s="234"/>
      <c r="E5829" s="237" t="str">
        <f>IFERROR(__xludf.DUMMYFUNCTION("""COMPUTED_VALUE"""),"LT0Q1Q01XDF81")</f>
        <v>LT0Q1Q01XDF81</v>
      </c>
      <c r="F5829" s="238" t="str">
        <f>IFERROR(__xludf.DUMMYFUNCTION("""COMPUTED_VALUE"""),"FEQ5G38,DBM6B83")</f>
        <v>FEQ5G38,DBM6B83</v>
      </c>
      <c r="G5829" s="238">
        <f>IFERROR(__xludf.DUMMYFUNCTION("""COMPUTED_VALUE"""),46048.9375)</f>
        <v>46048.9375</v>
      </c>
      <c r="H5829" s="238">
        <f>IFERROR(__xludf.DUMMYFUNCTION("""COMPUTED_VALUE"""),46049.02083333333)</f>
        <v>46049.02083</v>
      </c>
      <c r="J5829" s="239">
        <v>120.00000001396984</v>
      </c>
    </row>
    <row r="5830">
      <c r="A5830" s="234"/>
      <c r="B5830" s="238" t="str">
        <f>IFERROR(__xludf.DUMMYFUNCTION("""COMPUTED_VALUE"""),"LM Hub_RJ_Nova Iguaçu")</f>
        <v>LM Hub_RJ_Nova Iguaçu</v>
      </c>
      <c r="C5830" s="238" t="str">
        <f>IFERROR(__xludf.DUMMYFUNCTION("""COMPUTED_VALUE"""),"HUB-LRJ-27")</f>
        <v>HUB-LRJ-27</v>
      </c>
      <c r="D5830" s="234">
        <f>IFERROR(__xludf.DUMMYFUNCTION("""COMPUTED_VALUE"""),114.0)</f>
        <v>114</v>
      </c>
      <c r="E5830" s="237" t="str">
        <f>IFERROR(__xludf.DUMMYFUNCTION("""COMPUTED_VALUE"""),"LT0Q1Q01XIMU1")</f>
        <v>LT0Q1Q01XIMU1</v>
      </c>
      <c r="F5830" s="238" t="str">
        <f>IFERROR(__xludf.DUMMYFUNCTION("""COMPUTED_VALUE"""),"UBA1H99")</f>
        <v>UBA1H99</v>
      </c>
      <c r="G5830" s="238">
        <f>IFERROR(__xludf.DUMMYFUNCTION("""COMPUTED_VALUE"""),46048.95833333333)</f>
        <v>46048.95833</v>
      </c>
      <c r="H5830" s="238">
        <f>IFERROR(__xludf.DUMMYFUNCTION("""COMPUTED_VALUE"""),46049.04166666667)</f>
        <v>46049.04167</v>
      </c>
      <c r="J5830" s="239">
        <v>120.00000001396984</v>
      </c>
    </row>
    <row r="5831">
      <c r="A5831" s="234"/>
      <c r="B5831" s="238" t="str">
        <f>IFERROR(__xludf.DUMMYFUNCTION("""COMPUTED_VALUE"""),"LM Hub_RJ_Rio de Janeiro_Campo G")</f>
        <v>LM Hub_RJ_Rio de Janeiro_Campo G</v>
      </c>
      <c r="C5831" s="238" t="str">
        <f>IFERROR(__xludf.DUMMYFUNCTION("""COMPUTED_VALUE"""),"HUB-LRJ-04")</f>
        <v>HUB-LRJ-04</v>
      </c>
      <c r="D5831" s="234">
        <f>IFERROR(__xludf.DUMMYFUNCTION("""COMPUTED_VALUE"""),110.0)</f>
        <v>110</v>
      </c>
      <c r="E5831" s="237" t="str">
        <f>IFERROR(__xludf.DUMMYFUNCTION("""COMPUTED_VALUE"""),"LT0Q1Q01XDJH1")</f>
        <v>LT0Q1Q01XDJH1</v>
      </c>
      <c r="F5831" s="238" t="str">
        <f>IFERROR(__xludf.DUMMYFUNCTION("""COMPUTED_VALUE"""),"TBQ6J09")</f>
        <v>TBQ6J09</v>
      </c>
      <c r="G5831" s="238">
        <f>IFERROR(__xludf.DUMMYFUNCTION("""COMPUTED_VALUE"""),46048.95833333333)</f>
        <v>46048.95833</v>
      </c>
      <c r="H5831" s="238">
        <f>IFERROR(__xludf.DUMMYFUNCTION("""COMPUTED_VALUE"""),46049.04166666667)</f>
        <v>46049.04167</v>
      </c>
      <c r="J5831" s="239">
        <v>120.00000001396984</v>
      </c>
    </row>
    <row r="5832">
      <c r="A5832" s="234"/>
      <c r="B5832" s="238" t="str">
        <f>IFERROR(__xludf.DUMMYFUNCTION("""COMPUTED_VALUE"""),"LM Hub_RJ_São João do Meriti")</f>
        <v>LM Hub_RJ_São João do Meriti</v>
      </c>
      <c r="C5832" s="238" t="str">
        <f>IFERROR(__xludf.DUMMYFUNCTION("""COMPUTED_VALUE"""),"HUB-LRJ-01")</f>
        <v>HUB-LRJ-01</v>
      </c>
      <c r="D5832" s="234">
        <f>IFERROR(__xludf.DUMMYFUNCTION("""COMPUTED_VALUE"""),113.0)</f>
        <v>113</v>
      </c>
      <c r="E5832" s="237" t="str">
        <f>IFERROR(__xludf.DUMMYFUNCTION("""COMPUTED_VALUE"""),"LT0Q1Q01XINO1")</f>
        <v>LT0Q1Q01XINO1</v>
      </c>
      <c r="F5832" s="238" t="str">
        <f>IFERROR(__xludf.DUMMYFUNCTION("""COMPUTED_VALUE"""),"GFM6E44,AOF2G51")</f>
        <v>GFM6E44,AOF2G51</v>
      </c>
      <c r="G5832" s="238">
        <f>IFERROR(__xludf.DUMMYFUNCTION("""COMPUTED_VALUE"""),46048.95833333333)</f>
        <v>46048.95833</v>
      </c>
      <c r="H5832" s="238">
        <f>IFERROR(__xludf.DUMMYFUNCTION("""COMPUTED_VALUE"""),46049.04166666667)</f>
        <v>46049.04167</v>
      </c>
      <c r="J5832" s="239">
        <v>120.00000001396984</v>
      </c>
    </row>
    <row r="5833">
      <c r="A5833" s="234"/>
      <c r="B5833" s="238" t="str">
        <f>IFERROR(__xludf.DUMMYFUNCTION("""COMPUTED_VALUE"""),"LM Hub_SP_Mogi Mirim")</f>
        <v>LM Hub_SP_Mogi Mirim</v>
      </c>
      <c r="C5833" s="238" t="str">
        <f>IFERROR(__xludf.DUMMYFUNCTION("""COMPUTED_VALUE"""),"HUB-LSP-37")</f>
        <v>HUB-LSP-37</v>
      </c>
      <c r="D5833" s="234">
        <f>IFERROR(__xludf.DUMMYFUNCTION("""COMPUTED_VALUE"""),9.0)</f>
        <v>9</v>
      </c>
      <c r="E5833" s="237" t="str">
        <f>IFERROR(__xludf.DUMMYFUNCTION("""COMPUTED_VALUE"""),"LT0Q1Q01XDIB1")</f>
        <v>LT0Q1Q01XDIB1</v>
      </c>
      <c r="F5833" s="238" t="str">
        <f>IFERROR(__xludf.DUMMYFUNCTION("""COMPUTED_VALUE"""),"FVL1B63,TJQ3B56")</f>
        <v>FVL1B63,TJQ3B56</v>
      </c>
      <c r="G5833" s="238">
        <f>IFERROR(__xludf.DUMMYFUNCTION("""COMPUTED_VALUE"""),46048.95833333333)</f>
        <v>46048.95833</v>
      </c>
      <c r="H5833" s="238">
        <f>IFERROR(__xludf.DUMMYFUNCTION("""COMPUTED_VALUE"""),46049.04166666667)</f>
        <v>46049.04167</v>
      </c>
      <c r="J5833" s="239">
        <v>119.99999999301508</v>
      </c>
    </row>
    <row r="5834">
      <c r="A5834" s="234"/>
      <c r="B5834" s="238" t="str">
        <f>IFERROR(__xludf.DUMMYFUNCTION("""COMPUTED_VALUE"""),"LM Hub_SP_Araraquara")</f>
        <v>LM Hub_SP_Araraquara</v>
      </c>
      <c r="C5834" s="238" t="str">
        <f>IFERROR(__xludf.DUMMYFUNCTION("""COMPUTED_VALUE"""),"HUB-LSP-29")</f>
        <v>HUB-LSP-29</v>
      </c>
      <c r="D5834" s="234">
        <f>IFERROR(__xludf.DUMMYFUNCTION("""COMPUTED_VALUE"""),19.0)</f>
        <v>19</v>
      </c>
      <c r="E5834" s="237" t="str">
        <f>IFERROR(__xludf.DUMMYFUNCTION("""COMPUTED_VALUE"""),"LT0Q1Q01XDIG1")</f>
        <v>LT0Q1Q01XDIG1</v>
      </c>
      <c r="F5834" s="238" t="str">
        <f>IFERROR(__xludf.DUMMYFUNCTION("""COMPUTED_VALUE"""),"ISQ7F01,ANM9G89")</f>
        <v>ISQ7F01,ANM9G89</v>
      </c>
      <c r="G5834" s="238">
        <f>IFERROR(__xludf.DUMMYFUNCTION("""COMPUTED_VALUE"""),46048.97916666667)</f>
        <v>46048.97917</v>
      </c>
      <c r="H5834" s="238">
        <f>IFERROR(__xludf.DUMMYFUNCTION("""COMPUTED_VALUE"""),46049.0625)</f>
        <v>46049.0625</v>
      </c>
      <c r="J5834" s="239">
        <v>119.99999999301508</v>
      </c>
    </row>
    <row r="5835">
      <c r="A5835" s="234"/>
      <c r="B5835" s="238" t="str">
        <f>IFERROR(__xludf.DUMMYFUNCTION("""COMPUTED_VALUE"""),"LM Hub_SP_Atibaia_Ponte_Alta")</f>
        <v>LM Hub_SP_Atibaia_Ponte_Alta</v>
      </c>
      <c r="C5835" s="238" t="str">
        <f>IFERROR(__xludf.DUMMYFUNCTION("""COMPUTED_VALUE"""),"HUB-LSP-87")</f>
        <v>HUB-LSP-87</v>
      </c>
      <c r="D5835" s="234">
        <f>IFERROR(__xludf.DUMMYFUNCTION("""COMPUTED_VALUE"""),21.0)</f>
        <v>21</v>
      </c>
      <c r="E5835" s="237" t="str">
        <f>IFERROR(__xludf.DUMMYFUNCTION("""COMPUTED_VALUE"""),"LT0Q1Q01XGUQ1")</f>
        <v>LT0Q1Q01XGUQ1</v>
      </c>
      <c r="F5835" s="238" t="str">
        <f>IFERROR(__xludf.DUMMYFUNCTION("""COMPUTED_VALUE"""),"RGC7B22,TKX4F07")</f>
        <v>RGC7B22,TKX4F07</v>
      </c>
      <c r="G5835" s="238">
        <f>IFERROR(__xludf.DUMMYFUNCTION("""COMPUTED_VALUE"""),46048.97916666667)</f>
        <v>46048.97917</v>
      </c>
      <c r="H5835" s="238">
        <f>IFERROR(__xludf.DUMMYFUNCTION("""COMPUTED_VALUE"""),46049.0625)</f>
        <v>46049.0625</v>
      </c>
      <c r="J5835" s="239">
        <v>119.99999999301508</v>
      </c>
    </row>
    <row r="5836">
      <c r="A5836" s="234"/>
      <c r="B5836" s="238" t="str">
        <f>IFERROR(__xludf.DUMMYFUNCTION("""COMPUTED_VALUE"""),"LM Hub_SP_Várzea Paulista")</f>
        <v>LM Hub_SP_Várzea Paulista</v>
      </c>
      <c r="C5836" s="238" t="str">
        <f>IFERROR(__xludf.DUMMYFUNCTION("""COMPUTED_VALUE"""),"HUB-LSP-20")</f>
        <v>HUB-LSP-20</v>
      </c>
      <c r="D5836" s="234"/>
      <c r="E5836" s="237" t="str">
        <f>IFERROR(__xludf.DUMMYFUNCTION("""COMPUTED_VALUE"""),"LT0Q1Q01XDIV1")</f>
        <v>LT0Q1Q01XDIV1</v>
      </c>
      <c r="F5836" s="238" t="str">
        <f>IFERROR(__xludf.DUMMYFUNCTION("""COMPUTED_VALUE"""),"HJD3B39,SHK3D71")</f>
        <v>HJD3B39,SHK3D71</v>
      </c>
      <c r="G5836" s="238">
        <f>IFERROR(__xludf.DUMMYFUNCTION("""COMPUTED_VALUE"""),46048.97916666667)</f>
        <v>46048.97917</v>
      </c>
      <c r="H5836" s="238">
        <f>IFERROR(__xludf.DUMMYFUNCTION("""COMPUTED_VALUE"""),46049.0625)</f>
        <v>46049.0625</v>
      </c>
      <c r="J5836" s="239">
        <v>119.99999999301508</v>
      </c>
    </row>
    <row r="5837">
      <c r="A5837" s="234"/>
      <c r="B5837" s="238" t="str">
        <f>IFERROR(__xludf.DUMMYFUNCTION("""COMPUTED_VALUE"""),"LM Hub_RJ_Ilha do Governador")</f>
        <v>LM Hub_RJ_Ilha do Governador</v>
      </c>
      <c r="C5837" s="238" t="str">
        <f>IFERROR(__xludf.DUMMYFUNCTION("""COMPUTED_VALUE"""),"HUB-LRJ-32")</f>
        <v>HUB-LRJ-32</v>
      </c>
      <c r="D5837" s="234">
        <f>IFERROR(__xludf.DUMMYFUNCTION("""COMPUTED_VALUE"""),112.0)</f>
        <v>112</v>
      </c>
      <c r="E5837" s="237" t="str">
        <f>IFERROR(__xludf.DUMMYFUNCTION("""COMPUTED_VALUE"""),"LT0Q1R01XIN71")</f>
        <v>LT0Q1R01XIN71</v>
      </c>
      <c r="F5837" s="238" t="str">
        <f>IFERROR(__xludf.DUMMYFUNCTION("""COMPUTED_VALUE"""),"BSX0I27")</f>
        <v>BSX0I27</v>
      </c>
      <c r="G5837" s="238">
        <f>IFERROR(__xludf.DUMMYFUNCTION("""COMPUTED_VALUE"""),46049.0)</f>
        <v>46049</v>
      </c>
      <c r="H5837" s="238">
        <f>IFERROR(__xludf.DUMMYFUNCTION("""COMPUTED_VALUE"""),46049.08333333333)</f>
        <v>46049.08333</v>
      </c>
      <c r="J5837" s="239">
        <v>119.99999999301508</v>
      </c>
    </row>
    <row r="5838">
      <c r="A5838" s="234"/>
      <c r="B5838" s="238" t="str">
        <f>IFERROR(__xludf.DUMMYFUNCTION("""COMPUTED_VALUE"""),"LM Hub_SP_Tatuí")</f>
        <v>LM Hub_SP_Tatuí</v>
      </c>
      <c r="C5838" s="238" t="str">
        <f>IFERROR(__xludf.DUMMYFUNCTION("""COMPUTED_VALUE"""),"HUB-LSP-51")</f>
        <v>HUB-LSP-51</v>
      </c>
      <c r="D5838" s="234">
        <f>IFERROR(__xludf.DUMMYFUNCTION("""COMPUTED_VALUE"""),32.0)</f>
        <v>32</v>
      </c>
      <c r="E5838" s="237" t="str">
        <f>IFERROR(__xludf.DUMMYFUNCTION("""COMPUTED_VALUE"""),"LT0Q1R01XDFH1")</f>
        <v>LT0Q1R01XDFH1</v>
      </c>
      <c r="F5838" s="238" t="str">
        <f>IFERROR(__xludf.DUMMYFUNCTION("""COMPUTED_VALUE"""),"UGL9D30,SJN7D07")</f>
        <v>UGL9D30,SJN7D07</v>
      </c>
      <c r="G5838" s="238">
        <f>IFERROR(__xludf.DUMMYFUNCTION("""COMPUTED_VALUE"""),46049.0)</f>
        <v>46049</v>
      </c>
      <c r="H5838" s="238">
        <f>IFERROR(__xludf.DUMMYFUNCTION("""COMPUTED_VALUE"""),46049.08333333333)</f>
        <v>46049.08333</v>
      </c>
      <c r="J5838" s="239">
        <v>119.99999999301508</v>
      </c>
    </row>
    <row r="5839">
      <c r="A5839" s="234"/>
      <c r="B5839" s="238" t="str">
        <f>IFERROR(__xludf.DUMMYFUNCTION("""COMPUTED_VALUE"""),"LM Hub_SP_Tatuí")</f>
        <v>LM Hub_SP_Tatuí</v>
      </c>
      <c r="C5839" s="238" t="str">
        <f>IFERROR(__xludf.DUMMYFUNCTION("""COMPUTED_VALUE"""),"HUB-LSP-51")</f>
        <v>HUB-LSP-51</v>
      </c>
      <c r="D5839" s="234">
        <f>IFERROR(__xludf.DUMMYFUNCTION("""COMPUTED_VALUE"""),5.0)</f>
        <v>5</v>
      </c>
      <c r="E5839" s="237" t="str">
        <f>IFERROR(__xludf.DUMMYFUNCTION("""COMPUTED_VALUE"""),"LT1Q1R01XQRM1")</f>
        <v>LT1Q1R01XQRM1</v>
      </c>
      <c r="F5839" s="238" t="str">
        <f>IFERROR(__xludf.DUMMYFUNCTION("""COMPUTED_VALUE"""),"FLO1G76")</f>
        <v>FLO1G76</v>
      </c>
      <c r="G5839" s="238">
        <f>IFERROR(__xludf.DUMMYFUNCTION("""COMPUTED_VALUE"""),46049.0)</f>
        <v>46049</v>
      </c>
      <c r="H5839" s="238">
        <f>IFERROR(__xludf.DUMMYFUNCTION("""COMPUTED_VALUE"""),46049.08333333333)</f>
        <v>46049.08333</v>
      </c>
      <c r="J5839" s="239">
        <v>120.00000001396984</v>
      </c>
    </row>
    <row r="5840">
      <c r="A5840" s="234"/>
      <c r="B5840" s="238" t="str">
        <f>IFERROR(__xludf.DUMMYFUNCTION("""COMPUTED_VALUE"""),"LM Hub_MG_Varginha_Fausto")</f>
        <v>LM Hub_MG_Varginha_Fausto</v>
      </c>
      <c r="C5840" s="238" t="str">
        <f>IFERROR(__xludf.DUMMYFUNCTION("""COMPUTED_VALUE"""),"HUB-LMG-45")</f>
        <v>HUB-LMG-45</v>
      </c>
      <c r="D5840" s="234">
        <f>IFERROR(__xludf.DUMMYFUNCTION("""COMPUTED_VALUE"""),111.0)</f>
        <v>111</v>
      </c>
      <c r="E5840" s="237" t="str">
        <f>IFERROR(__xludf.DUMMYFUNCTION("""COMPUTED_VALUE"""),"LT0Q1R01XI351")</f>
        <v>LT0Q1R01XI351</v>
      </c>
      <c r="F5840" s="238" t="str">
        <f>IFERROR(__xludf.DUMMYFUNCTION("""COMPUTED_VALUE"""),"GGT7B46")</f>
        <v>GGT7B46</v>
      </c>
      <c r="G5840" s="238">
        <f>IFERROR(__xludf.DUMMYFUNCTION("""COMPUTED_VALUE"""),46049.02083333333)</f>
        <v>46049.02083</v>
      </c>
      <c r="H5840" s="238">
        <f>IFERROR(__xludf.DUMMYFUNCTION("""COMPUTED_VALUE"""),46049.10416666667)</f>
        <v>46049.10417</v>
      </c>
      <c r="J5840" s="239">
        <v>59.99999999650754</v>
      </c>
    </row>
    <row r="5841">
      <c r="A5841" s="234"/>
      <c r="B5841" s="238" t="str">
        <f>IFERROR(__xludf.DUMMYFUNCTION("""COMPUTED_VALUE"""),"LM Hub_SP_Piracicaba")</f>
        <v>LM Hub_SP_Piracicaba</v>
      </c>
      <c r="C5841" s="238" t="str">
        <f>IFERROR(__xludf.DUMMYFUNCTION("""COMPUTED_VALUE"""),"HUB-LSP-62")</f>
        <v>HUB-LSP-62</v>
      </c>
      <c r="D5841" s="234">
        <f>IFERROR(__xludf.DUMMYFUNCTION("""COMPUTED_VALUE"""),49.0)</f>
        <v>49</v>
      </c>
      <c r="E5841" s="237" t="str">
        <f>IFERROR(__xludf.DUMMYFUNCTION("""COMPUTED_VALUE"""),"LT1Q1R01XR9K1")</f>
        <v>LT1Q1R01XR9K1</v>
      </c>
      <c r="F5841" s="238" t="str">
        <f>IFERROR(__xludf.DUMMYFUNCTION("""COMPUTED_VALUE"""),"EOF4D32")</f>
        <v>EOF4D32</v>
      </c>
      <c r="G5841" s="238">
        <f>IFERROR(__xludf.DUMMYFUNCTION("""COMPUTED_VALUE"""),46049.07708333334)</f>
        <v>46049.07708</v>
      </c>
      <c r="H5841" s="238">
        <f>IFERROR(__xludf.DUMMYFUNCTION("""COMPUTED_VALUE"""),46049.11875)</f>
        <v>46049.11875</v>
      </c>
      <c r="J5841" s="239">
        <v>119.99999999301508</v>
      </c>
    </row>
    <row r="5842">
      <c r="A5842" s="234"/>
      <c r="B5842" s="238" t="str">
        <f>IFERROR(__xludf.DUMMYFUNCTION("""COMPUTED_VALUE"""),"SoC_PR_Curitiba")</f>
        <v>SoC_PR_Curitiba</v>
      </c>
      <c r="C5842" s="238" t="str">
        <f>IFERROR(__xludf.DUMMYFUNCTION("""COMPUTED_VALUE"""),"SOC-PR1")</f>
        <v>SOC-PR1</v>
      </c>
      <c r="D5842" s="234">
        <f>IFERROR(__xludf.DUMMYFUNCTION("""COMPUTED_VALUE"""),45.0)</f>
        <v>45</v>
      </c>
      <c r="E5842" s="237" t="str">
        <f>IFERROR(__xludf.DUMMYFUNCTION("""COMPUTED_VALUE"""),"LT0Q1R01XDB21")</f>
        <v>LT0Q1R01XDB21</v>
      </c>
      <c r="F5842" s="238" t="str">
        <f>IFERROR(__xludf.DUMMYFUNCTION("""COMPUTED_VALUE"""),"FQJ8B01,UGV7H67")</f>
        <v>FQJ8B01,UGV7H67</v>
      </c>
      <c r="G5842" s="238">
        <f>IFERROR(__xludf.DUMMYFUNCTION("""COMPUTED_VALUE"""),46049.04166666667)</f>
        <v>46049.04167</v>
      </c>
      <c r="H5842" s="238">
        <f>IFERROR(__xludf.DUMMYFUNCTION("""COMPUTED_VALUE"""),46049.125)</f>
        <v>46049.125</v>
      </c>
      <c r="J5842" s="239">
        <v>540.0</v>
      </c>
    </row>
    <row r="5843">
      <c r="A5843" s="234"/>
      <c r="B5843" s="238" t="str">
        <f>IFERROR(__xludf.DUMMYFUNCTION("""COMPUTED_VALUE"""),"SoC_BA_Simoes Filho")</f>
        <v>SoC_BA_Simoes Filho</v>
      </c>
      <c r="C5843" s="238" t="str">
        <f>IFERROR(__xludf.DUMMYFUNCTION("""COMPUTED_VALUE"""),"SOC-BA2")</f>
        <v>SOC-BA2</v>
      </c>
      <c r="D5843" s="234">
        <f>IFERROR(__xludf.DUMMYFUNCTION("""COMPUTED_VALUE"""),89.0)</f>
        <v>89</v>
      </c>
      <c r="E5843" s="237" t="str">
        <f>IFERROR(__xludf.DUMMYFUNCTION("""COMPUTED_VALUE"""),"LT0Q1Q01XIEZ1")</f>
        <v>LT0Q1Q01XIEZ1</v>
      </c>
      <c r="F5843" s="238" t="str">
        <f>IFERROR(__xludf.DUMMYFUNCTION("""COMPUTED_VALUE"""),"CUD6I35,OGW5C58")</f>
        <v>CUD6I35,OGW5C58</v>
      </c>
      <c r="G5843" s="238">
        <f>IFERROR(__xludf.DUMMYFUNCTION("""COMPUTED_VALUE"""),46048.79166666667)</f>
        <v>46048.79167</v>
      </c>
      <c r="H5843" s="238">
        <f>IFERROR(__xludf.DUMMYFUNCTION("""COMPUTED_VALUE"""),46049.16666666667)</f>
        <v>46049.16667</v>
      </c>
      <c r="J5843" s="239">
        <v>540.0</v>
      </c>
    </row>
    <row r="5844">
      <c r="A5844" s="234"/>
      <c r="B5844" s="238" t="str">
        <f>IFERROR(__xludf.DUMMYFUNCTION("""COMPUTED_VALUE"""),"SoC_RJ_Duque de Caxias")</f>
        <v>SoC_RJ_Duque de Caxias</v>
      </c>
      <c r="C5844" s="238" t="str">
        <f>IFERROR(__xludf.DUMMYFUNCTION("""COMPUTED_VALUE"""),"SOC-RJ2")</f>
        <v>SOC-RJ2</v>
      </c>
      <c r="D5844" s="234">
        <f>IFERROR(__xludf.DUMMYFUNCTION("""COMPUTED_VALUE"""),96.0)</f>
        <v>96</v>
      </c>
      <c r="E5844" s="237" t="str">
        <f>IFERROR(__xludf.DUMMYFUNCTION("""COMPUTED_VALUE"""),"LT0Q1Q01XF8W2")</f>
        <v>LT0Q1Q01XF8W2</v>
      </c>
      <c r="F5844" s="238" t="str">
        <f>IFERROR(__xludf.DUMMYFUNCTION("""COMPUTED_VALUE"""),"ODM5D47,QIG2D94")</f>
        <v>ODM5D47,QIG2D94</v>
      </c>
      <c r="G5844" s="238">
        <f>IFERROR(__xludf.DUMMYFUNCTION("""COMPUTED_VALUE"""),46048.79166666667)</f>
        <v>46048.79167</v>
      </c>
      <c r="H5844" s="238">
        <f>IFERROR(__xludf.DUMMYFUNCTION("""COMPUTED_VALUE"""),46049.16666666667)</f>
        <v>46049.16667</v>
      </c>
      <c r="J5844" s="239">
        <v>119.00000001071021</v>
      </c>
    </row>
    <row r="5845">
      <c r="A5845" s="234"/>
      <c r="B5845" s="238" t="str">
        <f>IFERROR(__xludf.DUMMYFUNCTION("""COMPUTED_VALUE"""),"SoC_SP_Louveira")</f>
        <v>SoC_SP_Louveira</v>
      </c>
      <c r="C5845" s="238" t="str">
        <f>IFERROR(__xludf.DUMMYFUNCTION("""COMPUTED_VALUE"""),"SOC-SP7")</f>
        <v>SOC-SP7</v>
      </c>
      <c r="D5845" s="234">
        <f>IFERROR(__xludf.DUMMYFUNCTION("""COMPUTED_VALUE"""),46.0)</f>
        <v>46</v>
      </c>
      <c r="E5845" s="237" t="str">
        <f>IFERROR(__xludf.DUMMYFUNCTION("""COMPUTED_VALUE"""),"LT0Q1R01XM5M1")</f>
        <v>LT0Q1R01XM5M1</v>
      </c>
      <c r="F5845" s="238" t="str">
        <f>IFERROR(__xludf.DUMMYFUNCTION("""COMPUTED_VALUE"""),"MEZ3B05,MCK9433")</f>
        <v>MEZ3B05,MCK9433</v>
      </c>
      <c r="G5845" s="238">
        <f>IFERROR(__xludf.DUMMYFUNCTION("""COMPUTED_VALUE"""),46049.084027777775)</f>
        <v>46049.08403</v>
      </c>
      <c r="H5845" s="238">
        <f>IFERROR(__xludf.DUMMYFUNCTION("""COMPUTED_VALUE"""),46049.16666666667)</f>
        <v>46049.16667</v>
      </c>
      <c r="J5845" s="239">
        <v>119.99999999301508</v>
      </c>
    </row>
    <row r="5846">
      <c r="A5846" s="234"/>
      <c r="B5846" s="238" t="str">
        <f>IFERROR(__xludf.DUMMYFUNCTION("""COMPUTED_VALUE"""),"LM Hub_SP_Itapetininga")</f>
        <v>LM Hub_SP_Itapetininga</v>
      </c>
      <c r="C5846" s="238" t="str">
        <f>IFERROR(__xludf.DUMMYFUNCTION("""COMPUTED_VALUE"""),"HUB-LSP-53")</f>
        <v>HUB-LSP-53</v>
      </c>
      <c r="D5846" s="234">
        <f>IFERROR(__xludf.DUMMYFUNCTION("""COMPUTED_VALUE"""),35.0)</f>
        <v>35</v>
      </c>
      <c r="E5846" s="237" t="str">
        <f>IFERROR(__xludf.DUMMYFUNCTION("""COMPUTED_VALUE"""),"LT0Q1R01XDFC1")</f>
        <v>LT0Q1R01XDFC1</v>
      </c>
      <c r="F5846" s="238" t="str">
        <f>IFERROR(__xludf.DUMMYFUNCTION("""COMPUTED_VALUE"""),"FZY3F48,FZY3F40")</f>
        <v>FZY3F48,FZY3F40</v>
      </c>
      <c r="G5846" s="238">
        <f>IFERROR(__xludf.DUMMYFUNCTION("""COMPUTED_VALUE"""),46049.10416666667)</f>
        <v>46049.10417</v>
      </c>
      <c r="H5846" s="238">
        <f>IFERROR(__xludf.DUMMYFUNCTION("""COMPUTED_VALUE"""),46049.1875)</f>
        <v>46049.1875</v>
      </c>
      <c r="J5846" s="239">
        <v>119.99999999301508</v>
      </c>
    </row>
    <row r="5847">
      <c r="A5847" s="234"/>
      <c r="B5847" s="238" t="str">
        <f>IFERROR(__xludf.DUMMYFUNCTION("""COMPUTED_VALUE"""),"LM Hub_SP_São Carlos")</f>
        <v>LM Hub_SP_São Carlos</v>
      </c>
      <c r="C5847" s="238" t="str">
        <f>IFERROR(__xludf.DUMMYFUNCTION("""COMPUTED_VALUE"""),"HUB-LSP-31")</f>
        <v>HUB-LSP-31</v>
      </c>
      <c r="D5847" s="234">
        <f>IFERROR(__xludf.DUMMYFUNCTION("""COMPUTED_VALUE"""),29.0)</f>
        <v>29</v>
      </c>
      <c r="E5847" s="237" t="str">
        <f>IFERROR(__xludf.DUMMYFUNCTION("""COMPUTED_VALUE"""),"LT0Q1R01XDHV1")</f>
        <v>LT0Q1R01XDHV1</v>
      </c>
      <c r="F5847" s="238" t="str">
        <f>IFERROR(__xludf.DUMMYFUNCTION("""COMPUTED_VALUE"""),"DQB3984")</f>
        <v>DQB3984</v>
      </c>
      <c r="G5847" s="238">
        <f>IFERROR(__xludf.DUMMYFUNCTION("""COMPUTED_VALUE"""),46049.10416666667)</f>
        <v>46049.10417</v>
      </c>
      <c r="H5847" s="238">
        <f>IFERROR(__xludf.DUMMYFUNCTION("""COMPUTED_VALUE"""),46049.1875)</f>
        <v>46049.1875</v>
      </c>
      <c r="J5847" s="239">
        <v>540.0</v>
      </c>
    </row>
    <row r="5848">
      <c r="A5848" s="234"/>
      <c r="B5848" s="238" t="str">
        <f>IFERROR(__xludf.DUMMYFUNCTION("""COMPUTED_VALUE"""),"SoC_RJ_Duque de Caxias")</f>
        <v>SoC_RJ_Duque de Caxias</v>
      </c>
      <c r="C5848" s="238" t="str">
        <f>IFERROR(__xludf.DUMMYFUNCTION("""COMPUTED_VALUE"""),"SOC-RJ2")</f>
        <v>SOC-RJ2</v>
      </c>
      <c r="D5848" s="234">
        <f>IFERROR(__xludf.DUMMYFUNCTION("""COMPUTED_VALUE"""),97.0)</f>
        <v>97</v>
      </c>
      <c r="E5848" s="237" t="str">
        <f>IFERROR(__xludf.DUMMYFUNCTION("""COMPUTED_VALUE"""),"LT0Q1Q01XF8U1")</f>
        <v>LT0Q1Q01XF8U1</v>
      </c>
      <c r="F5848" s="238" t="str">
        <f>IFERROR(__xludf.DUMMYFUNCTION("""COMPUTED_VALUE"""),"QST0H68,QSX4D98")</f>
        <v>QST0H68,QSX4D98</v>
      </c>
      <c r="G5848" s="238">
        <f>IFERROR(__xludf.DUMMYFUNCTION("""COMPUTED_VALUE"""),46048.83333333333)</f>
        <v>46048.83333</v>
      </c>
      <c r="H5848" s="238">
        <f>IFERROR(__xludf.DUMMYFUNCTION("""COMPUTED_VALUE"""),46049.20833333333)</f>
        <v>46049.20833</v>
      </c>
      <c r="J5848" s="239">
        <v>119.99999999301508</v>
      </c>
    </row>
    <row r="5849">
      <c r="A5849" s="234"/>
      <c r="B5849" s="238" t="str">
        <f>IFERROR(__xludf.DUMMYFUNCTION("""COMPUTED_VALUE"""),"LM Hub_SP_Itapeva")</f>
        <v>LM Hub_SP_Itapeva</v>
      </c>
      <c r="C5849" s="238" t="str">
        <f>IFERROR(__xludf.DUMMYFUNCTION("""COMPUTED_VALUE"""),"HUB-LSP-39")</f>
        <v>HUB-LSP-39</v>
      </c>
      <c r="D5849" s="234">
        <f>IFERROR(__xludf.DUMMYFUNCTION("""COMPUTED_VALUE"""),8.0)</f>
        <v>8</v>
      </c>
      <c r="E5849" s="237" t="str">
        <f>IFERROR(__xludf.DUMMYFUNCTION("""COMPUTED_VALUE"""),"LT0Q1R01XDFM1")</f>
        <v>LT0Q1R01XDFM1</v>
      </c>
      <c r="F5849" s="238" t="str">
        <f>IFERROR(__xludf.DUMMYFUNCTION("""COMPUTED_VALUE"""),"FCT0F31")</f>
        <v>FCT0F31</v>
      </c>
      <c r="G5849" s="238">
        <f>IFERROR(__xludf.DUMMYFUNCTION("""COMPUTED_VALUE"""),46049.125)</f>
        <v>46049.125</v>
      </c>
      <c r="H5849" s="238">
        <f>IFERROR(__xludf.DUMMYFUNCTION("""COMPUTED_VALUE"""),46049.20833333333)</f>
        <v>46049.20833</v>
      </c>
      <c r="J5849" s="239">
        <v>119.99999999301508</v>
      </c>
    </row>
    <row r="5850">
      <c r="A5850" s="234"/>
      <c r="B5850" s="238" t="str">
        <f>IFERROR(__xludf.DUMMYFUNCTION("""COMPUTED_VALUE"""),"LM Hub_SP_Sumaré_Nova Veneza_1")</f>
        <v>LM Hub_SP_Sumaré_Nova Veneza_1</v>
      </c>
      <c r="C5850" s="238" t="str">
        <f>IFERROR(__xludf.DUMMYFUNCTION("""COMPUTED_VALUE"""),"HUB-LSP-88")</f>
        <v>HUB-LSP-88</v>
      </c>
      <c r="D5850" s="234">
        <f>IFERROR(__xludf.DUMMYFUNCTION("""COMPUTED_VALUE"""),48.0)</f>
        <v>48</v>
      </c>
      <c r="E5850" s="237" t="str">
        <f>IFERROR(__xludf.DUMMYFUNCTION("""COMPUTED_VALUE"""),"LT0Q1R01XHYG1")</f>
        <v>LT0Q1R01XHYG1</v>
      </c>
      <c r="F5850" s="238" t="str">
        <f>IFERROR(__xludf.DUMMYFUNCTION("""COMPUTED_VALUE"""),"GGQ5I15")</f>
        <v>GGQ5I15</v>
      </c>
      <c r="G5850" s="238">
        <f>IFERROR(__xludf.DUMMYFUNCTION("""COMPUTED_VALUE"""),46049.125)</f>
        <v>46049.125</v>
      </c>
      <c r="H5850" s="238">
        <f>IFERROR(__xludf.DUMMYFUNCTION("""COMPUTED_VALUE"""),46049.20833333333)</f>
        <v>46049.20833</v>
      </c>
      <c r="J5850" s="239">
        <v>119.99999999301508</v>
      </c>
    </row>
    <row r="5851">
      <c r="A5851" s="234"/>
      <c r="B5851" s="238" t="str">
        <f>IFERROR(__xludf.DUMMYFUNCTION("""COMPUTED_VALUE"""),"SoC_PE_Jaboatão dos Guararapes")</f>
        <v>SoC_PE_Jaboatão dos Guararapes</v>
      </c>
      <c r="C5851" s="238" t="str">
        <f>IFERROR(__xludf.DUMMYFUNCTION("""COMPUTED_VALUE"""),"SOC-PE2")</f>
        <v>SOC-PE2</v>
      </c>
      <c r="D5851" s="234">
        <f>IFERROR(__xludf.DUMMYFUNCTION("""COMPUTED_VALUE"""),97.0)</f>
        <v>97</v>
      </c>
      <c r="E5851" s="237" t="str">
        <f>IFERROR(__xludf.DUMMYFUNCTION("""COMPUTED_VALUE"""),"LT1Q1R01XRA71")</f>
        <v>LT1Q1R01XRA71</v>
      </c>
      <c r="F5851" s="238" t="str">
        <f>IFERROR(__xludf.DUMMYFUNCTION("""COMPUTED_VALUE"""),"QIE3I02,EFV0C38")</f>
        <v>QIE3I02,EFV0C38</v>
      </c>
      <c r="G5851" s="238">
        <f>IFERROR(__xludf.DUMMYFUNCTION("""COMPUTED_VALUE"""),46049.125)</f>
        <v>46049.125</v>
      </c>
      <c r="H5851" s="238">
        <f>IFERROR(__xludf.DUMMYFUNCTION("""COMPUTED_VALUE"""),46049.20833333333)</f>
        <v>46049.20833</v>
      </c>
      <c r="J5851" s="239">
        <v>120.00000001396984</v>
      </c>
    </row>
    <row r="5852">
      <c r="A5852" s="234"/>
      <c r="B5852" s="238" t="str">
        <f>IFERROR(__xludf.DUMMYFUNCTION("""COMPUTED_VALUE"""),"LM Hub_SP_Campinas_São Martinho")</f>
        <v>LM Hub_SP_Campinas_São Martinho</v>
      </c>
      <c r="C5852" s="238" t="str">
        <f>IFERROR(__xludf.DUMMYFUNCTION("""COMPUTED_VALUE"""),"HUB-LSP-19")</f>
        <v>HUB-LSP-19</v>
      </c>
      <c r="D5852" s="234">
        <f>IFERROR(__xludf.DUMMYFUNCTION("""COMPUTED_VALUE"""),7.0)</f>
        <v>7</v>
      </c>
      <c r="E5852" s="237" t="str">
        <f>IFERROR(__xludf.DUMMYFUNCTION("""COMPUTED_VALUE"""),"LT0Q1R01XDJM1")</f>
        <v>LT0Q1R01XDJM1</v>
      </c>
      <c r="F5852" s="238" t="str">
        <f>IFERROR(__xludf.DUMMYFUNCTION("""COMPUTED_VALUE"""),"GCJ6G71")</f>
        <v>GCJ6G71</v>
      </c>
      <c r="G5852" s="238">
        <f>IFERROR(__xludf.DUMMYFUNCTION("""COMPUTED_VALUE"""),46049.14583333333)</f>
        <v>46049.14583</v>
      </c>
      <c r="H5852" s="238">
        <f>IFERROR(__xludf.DUMMYFUNCTION("""COMPUTED_VALUE"""),46049.22916666667)</f>
        <v>46049.22917</v>
      </c>
      <c r="J5852" s="239">
        <v>120.00000001396984</v>
      </c>
    </row>
    <row r="5853">
      <c r="A5853" s="234"/>
      <c r="B5853" s="238" t="str">
        <f>IFERROR(__xludf.DUMMYFUNCTION("""COMPUTED_VALUE"""),"LM Hub_SP_Mogi Mirim")</f>
        <v>LM Hub_SP_Mogi Mirim</v>
      </c>
      <c r="C5853" s="238" t="str">
        <f>IFERROR(__xludf.DUMMYFUNCTION("""COMPUTED_VALUE"""),"HUB-LSP-37")</f>
        <v>HUB-LSP-37</v>
      </c>
      <c r="D5853" s="234">
        <f>IFERROR(__xludf.DUMMYFUNCTION("""COMPUTED_VALUE"""),9.0)</f>
        <v>9</v>
      </c>
      <c r="E5853" s="237" t="str">
        <f>IFERROR(__xludf.DUMMYFUNCTION("""COMPUTED_VALUE"""),"LT0Q1R01XDI61")</f>
        <v>LT0Q1R01XDI61</v>
      </c>
      <c r="F5853" s="238" t="str">
        <f>IFERROR(__xludf.DUMMYFUNCTION("""COMPUTED_VALUE"""),"UDW5E79,TLL6F35")</f>
        <v>UDW5E79,TLL6F35</v>
      </c>
      <c r="G5853" s="238">
        <f>IFERROR(__xludf.DUMMYFUNCTION("""COMPUTED_VALUE"""),46049.14583333333)</f>
        <v>46049.14583</v>
      </c>
      <c r="H5853" s="238">
        <f>IFERROR(__xludf.DUMMYFUNCTION("""COMPUTED_VALUE"""),46049.22916666667)</f>
        <v>46049.22917</v>
      </c>
      <c r="J5853" s="239">
        <v>119.99999999301508</v>
      </c>
    </row>
    <row r="5854">
      <c r="A5854" s="234"/>
      <c r="B5854" s="238" t="str">
        <f>IFERROR(__xludf.DUMMYFUNCTION("""COMPUTED_VALUE"""),"LM Hub_SP_Guaratinguetá")</f>
        <v>LM Hub_SP_Guaratinguetá</v>
      </c>
      <c r="C5854" s="238" t="str">
        <f>IFERROR(__xludf.DUMMYFUNCTION("""COMPUTED_VALUE"""),"HUB-LSP-33")</f>
        <v>HUB-LSP-33</v>
      </c>
      <c r="D5854" s="234">
        <f>IFERROR(__xludf.DUMMYFUNCTION("""COMPUTED_VALUE"""),25.0)</f>
        <v>25</v>
      </c>
      <c r="E5854" s="237" t="str">
        <f>IFERROR(__xludf.DUMMYFUNCTION("""COMPUTED_VALUE"""),"LT0Q1R01XDGF1")</f>
        <v>LT0Q1R01XDGF1</v>
      </c>
      <c r="F5854" s="238" t="str">
        <f>IFERROR(__xludf.DUMMYFUNCTION("""COMPUTED_VALUE"""),"STS7H95,TAX1I64")</f>
        <v>STS7H95,TAX1I64</v>
      </c>
      <c r="G5854" s="238">
        <f>IFERROR(__xludf.DUMMYFUNCTION("""COMPUTED_VALUE"""),46049.16666666667)</f>
        <v>46049.16667</v>
      </c>
      <c r="H5854" s="238">
        <f>IFERROR(__xludf.DUMMYFUNCTION("""COMPUTED_VALUE"""),46049.25)</f>
        <v>46049.25</v>
      </c>
      <c r="J5854" s="239">
        <v>119.99999999301508</v>
      </c>
    </row>
    <row r="5855">
      <c r="A5855" s="234"/>
      <c r="B5855" s="238" t="str">
        <f>IFERROR(__xludf.DUMMYFUNCTION("""COMPUTED_VALUE"""),"LM Hub_SP_Limeira_Campo Belo")</f>
        <v>LM Hub_SP_Limeira_Campo Belo</v>
      </c>
      <c r="C5855" s="238" t="str">
        <f>IFERROR(__xludf.DUMMYFUNCTION("""COMPUTED_VALUE"""),"HUB-LSP-24")</f>
        <v>HUB-LSP-24</v>
      </c>
      <c r="D5855" s="234">
        <f>IFERROR(__xludf.DUMMYFUNCTION("""COMPUTED_VALUE"""),18.0)</f>
        <v>18</v>
      </c>
      <c r="E5855" s="237" t="str">
        <f>IFERROR(__xludf.DUMMYFUNCTION("""COMPUTED_VALUE"""),"LT0Q1R01XDHG1")</f>
        <v>LT0Q1R01XDHG1</v>
      </c>
      <c r="F5855" s="238" t="str">
        <f>IFERROR(__xludf.DUMMYFUNCTION("""COMPUTED_VALUE"""),"UGF1A20")</f>
        <v>UGF1A20</v>
      </c>
      <c r="G5855" s="238">
        <f>IFERROR(__xludf.DUMMYFUNCTION("""COMPUTED_VALUE"""),46049.16666666667)</f>
        <v>46049.16667</v>
      </c>
      <c r="H5855" s="238">
        <f>IFERROR(__xludf.DUMMYFUNCTION("""COMPUTED_VALUE"""),46049.25)</f>
        <v>46049.25</v>
      </c>
      <c r="J5855" s="239">
        <v>119.99999999301508</v>
      </c>
    </row>
    <row r="5856">
      <c r="A5856" s="234"/>
      <c r="B5856" s="238" t="str">
        <f>IFERROR(__xludf.DUMMYFUNCTION("""COMPUTED_VALUE"""),"LM Hub_SP_Registro")</f>
        <v>LM Hub_SP_Registro</v>
      </c>
      <c r="C5856" s="238" t="str">
        <f>IFERROR(__xludf.DUMMYFUNCTION("""COMPUTED_VALUE"""),"HUB-LSP-40")</f>
        <v>HUB-LSP-40</v>
      </c>
      <c r="D5856" s="234">
        <f>IFERROR(__xludf.DUMMYFUNCTION("""COMPUTED_VALUE"""),40.0)</f>
        <v>40</v>
      </c>
      <c r="E5856" s="237" t="str">
        <f>IFERROR(__xludf.DUMMYFUNCTION("""COMPUTED_VALUE"""),"LT0Q1R01XDG41")</f>
        <v>LT0Q1R01XDG41</v>
      </c>
      <c r="F5856" s="238" t="str">
        <f>IFERROR(__xludf.DUMMYFUNCTION("""COMPUTED_VALUE"""),"AYG9I75")</f>
        <v>AYG9I75</v>
      </c>
      <c r="G5856" s="238">
        <f>IFERROR(__xludf.DUMMYFUNCTION("""COMPUTED_VALUE"""),46049.16666666667)</f>
        <v>46049.16667</v>
      </c>
      <c r="H5856" s="238">
        <f>IFERROR(__xludf.DUMMYFUNCTION("""COMPUTED_VALUE"""),46049.25)</f>
        <v>46049.25</v>
      </c>
      <c r="J5856" s="239">
        <v>119.99999999301508</v>
      </c>
    </row>
    <row r="5857">
      <c r="A5857" s="234"/>
      <c r="B5857" s="238" t="str">
        <f>IFERROR(__xludf.DUMMYFUNCTION("""COMPUTED_VALUE"""),"SoC_RJ_Duque de Caxias")</f>
        <v>SoC_RJ_Duque de Caxias</v>
      </c>
      <c r="C5857" s="238" t="str">
        <f>IFERROR(__xludf.DUMMYFUNCTION("""COMPUTED_VALUE"""),"SOC-RJ2")</f>
        <v>SOC-RJ2</v>
      </c>
      <c r="D5857" s="234"/>
      <c r="E5857" s="237" t="str">
        <f>IFERROR(__xludf.DUMMYFUNCTION("""COMPUTED_VALUE"""),"LT1Q1R01XR8I1")</f>
        <v>LT1Q1R01XR8I1</v>
      </c>
      <c r="F5857" s="238" t="str">
        <f>IFERROR(__xludf.DUMMYFUNCTION("""COMPUTED_VALUE"""),"FVP5B18,EML0B51")</f>
        <v>FVP5B18,EML0B51</v>
      </c>
      <c r="G5857" s="238">
        <f>IFERROR(__xludf.DUMMYFUNCTION("""COMPUTED_VALUE"""),46049.16666666667)</f>
        <v>46049.16667</v>
      </c>
      <c r="H5857" s="238">
        <f>IFERROR(__xludf.DUMMYFUNCTION("""COMPUTED_VALUE"""),46049.25)</f>
        <v>46049.25</v>
      </c>
      <c r="J5857" s="239">
        <v>119.99999999301508</v>
      </c>
    </row>
    <row r="5858">
      <c r="A5858" s="234"/>
      <c r="B5858" s="238" t="str">
        <f>IFERROR(__xludf.DUMMYFUNCTION("""COMPUTED_VALUE"""),"SoC_SP_Guarulhos")</f>
        <v>SoC_SP_Guarulhos</v>
      </c>
      <c r="C5858" s="238" t="str">
        <f>IFERROR(__xludf.DUMMYFUNCTION("""COMPUTED_VALUE"""),"SOC-SP6")</f>
        <v>SOC-SP6</v>
      </c>
      <c r="D5858" s="234">
        <f>IFERROR(__xludf.DUMMYFUNCTION("""COMPUTED_VALUE"""),47.0)</f>
        <v>47</v>
      </c>
      <c r="E5858" s="237" t="str">
        <f>IFERROR(__xludf.DUMMYFUNCTION("""COMPUTED_VALUE"""),"LT0Q1R01XED91")</f>
        <v>LT0Q1R01XED91</v>
      </c>
      <c r="F5858" s="238" t="str">
        <f>IFERROR(__xludf.DUMMYFUNCTION("""COMPUTED_VALUE"""),"EWJ2F50,EVO3C99")</f>
        <v>EWJ2F50,EVO3C99</v>
      </c>
      <c r="G5858" s="238">
        <f>IFERROR(__xludf.DUMMYFUNCTION("""COMPUTED_VALUE"""),46049.16666666667)</f>
        <v>46049.16667</v>
      </c>
      <c r="H5858" s="238">
        <f>IFERROR(__xludf.DUMMYFUNCTION("""COMPUTED_VALUE"""),46049.25)</f>
        <v>46049.25</v>
      </c>
      <c r="J5858" s="239">
        <v>119.99999999301508</v>
      </c>
    </row>
    <row r="5859">
      <c r="A5859" s="234"/>
      <c r="B5859" s="238" t="str">
        <f>IFERROR(__xludf.DUMMYFUNCTION("""COMPUTED_VALUE"""),"SoC_SP_Santana")</f>
        <v>SoC_SP_Santana</v>
      </c>
      <c r="C5859" s="238" t="str">
        <f>IFERROR(__xludf.DUMMYFUNCTION("""COMPUTED_VALUE"""),"SOC-SP2")</f>
        <v>SOC-SP2</v>
      </c>
      <c r="D5859" s="234">
        <f>IFERROR(__xludf.DUMMYFUNCTION("""COMPUTED_VALUE"""),45.0)</f>
        <v>45</v>
      </c>
      <c r="E5859" s="237" t="str">
        <f>IFERROR(__xludf.DUMMYFUNCTION("""COMPUTED_VALUE"""),"LT0Q1R01XDWI1")</f>
        <v>LT0Q1R01XDWI1</v>
      </c>
      <c r="F5859" s="238" t="str">
        <f>IFERROR(__xludf.DUMMYFUNCTION("""COMPUTED_VALUE"""),"JPY8F49,CKY6B58")</f>
        <v>JPY8F49,CKY6B58</v>
      </c>
      <c r="G5859" s="238">
        <f>IFERROR(__xludf.DUMMYFUNCTION("""COMPUTED_VALUE"""),46049.16666666667)</f>
        <v>46049.16667</v>
      </c>
      <c r="H5859" s="238">
        <f>IFERROR(__xludf.DUMMYFUNCTION("""COMPUTED_VALUE"""),46049.25)</f>
        <v>46049.25</v>
      </c>
      <c r="J5859" s="239">
        <v>119.99999999301508</v>
      </c>
    </row>
    <row r="5860">
      <c r="A5860" s="234"/>
      <c r="B5860" s="238" t="str">
        <f>IFERROR(__xludf.DUMMYFUNCTION("""COMPUTED_VALUE"""),"LM Hub_SP_Atibaia_Ponte_Alta")</f>
        <v>LM Hub_SP_Atibaia_Ponte_Alta</v>
      </c>
      <c r="C5860" s="238" t="str">
        <f>IFERROR(__xludf.DUMMYFUNCTION("""COMPUTED_VALUE"""),"HUB-LSP-87")</f>
        <v>HUB-LSP-87</v>
      </c>
      <c r="D5860" s="234">
        <f>IFERROR(__xludf.DUMMYFUNCTION("""COMPUTED_VALUE"""),22.0)</f>
        <v>22</v>
      </c>
      <c r="E5860" s="237" t="str">
        <f>IFERROR(__xludf.DUMMYFUNCTION("""COMPUTED_VALUE"""),"LT0Q1R01XGUL1")</f>
        <v>LT0Q1R01XGUL1</v>
      </c>
      <c r="F5860" s="238" t="str">
        <f>IFERROR(__xludf.DUMMYFUNCTION("""COMPUTED_VALUE"""),"FCV1I36,TPO4C75")</f>
        <v>FCV1I36,TPO4C75</v>
      </c>
      <c r="G5860" s="238">
        <f>IFERROR(__xludf.DUMMYFUNCTION("""COMPUTED_VALUE"""),46049.1875)</f>
        <v>46049.1875</v>
      </c>
      <c r="H5860" s="238">
        <f>IFERROR(__xludf.DUMMYFUNCTION("""COMPUTED_VALUE"""),46049.27083333333)</f>
        <v>46049.27083</v>
      </c>
      <c r="J5860" s="239">
        <v>118.99999998975545</v>
      </c>
    </row>
    <row r="5861">
      <c r="A5861" s="234"/>
      <c r="B5861" s="238" t="str">
        <f>IFERROR(__xludf.DUMMYFUNCTION("""COMPUTED_VALUE"""),"LM Hub_SP_Sorocaba_Região Norte")</f>
        <v>LM Hub_SP_Sorocaba_Região Norte</v>
      </c>
      <c r="C5861" s="238" t="str">
        <f>IFERROR(__xludf.DUMMYFUNCTION("""COMPUTED_VALUE"""),"HUB-LSP-10")</f>
        <v>HUB-LSP-10</v>
      </c>
      <c r="D5861" s="234">
        <f>IFERROR(__xludf.DUMMYFUNCTION("""COMPUTED_VALUE"""),15.0)</f>
        <v>15</v>
      </c>
      <c r="E5861" s="237" t="str">
        <f>IFERROR(__xludf.DUMMYFUNCTION("""COMPUTED_VALUE"""),"LT0Q1R01XM6M1")</f>
        <v>LT0Q1R01XM6M1</v>
      </c>
      <c r="F5861" s="238" t="str">
        <f>IFERROR(__xludf.DUMMYFUNCTION("""COMPUTED_VALUE"""),"FDZ3A56,KVS1392")</f>
        <v>FDZ3A56,KVS1392</v>
      </c>
      <c r="G5861" s="238">
        <f>IFERROR(__xludf.DUMMYFUNCTION("""COMPUTED_VALUE"""),46049.18819444445)</f>
        <v>46049.18819</v>
      </c>
      <c r="H5861" s="238">
        <f>IFERROR(__xludf.DUMMYFUNCTION("""COMPUTED_VALUE"""),46049.27083333333)</f>
        <v>46049.27083</v>
      </c>
      <c r="J5861" s="239">
        <v>118.99999998975545</v>
      </c>
    </row>
    <row r="5862">
      <c r="A5862" s="234"/>
      <c r="B5862" s="238" t="str">
        <f>IFERROR(__xludf.DUMMYFUNCTION("""COMPUTED_VALUE"""),"LM Hub_SP_Taubaté")</f>
        <v>LM Hub_SP_Taubaté</v>
      </c>
      <c r="C5862" s="238" t="str">
        <f>IFERROR(__xludf.DUMMYFUNCTION("""COMPUTED_VALUE"""),"HUB-LSP-08")</f>
        <v>HUB-LSP-08</v>
      </c>
      <c r="D5862" s="234">
        <f>IFERROR(__xludf.DUMMYFUNCTION("""COMPUTED_VALUE"""),46.0)</f>
        <v>46</v>
      </c>
      <c r="E5862" s="237" t="str">
        <f>IFERROR(__xludf.DUMMYFUNCTION("""COMPUTED_VALUE"""),"LT0Q1R01XDGQ1")</f>
        <v>LT0Q1R01XDGQ1</v>
      </c>
      <c r="F5862" s="238" t="str">
        <f>IFERROR(__xludf.DUMMYFUNCTION("""COMPUTED_VALUE"""),"ONN9D62")</f>
        <v>ONN9D62</v>
      </c>
      <c r="G5862" s="238">
        <f>IFERROR(__xludf.DUMMYFUNCTION("""COMPUTED_VALUE"""),46049.18819444445)</f>
        <v>46049.18819</v>
      </c>
      <c r="H5862" s="238">
        <f>IFERROR(__xludf.DUMMYFUNCTION("""COMPUTED_VALUE"""),46049.27083333333)</f>
        <v>46049.27083</v>
      </c>
      <c r="J5862" s="239">
        <v>540.0</v>
      </c>
    </row>
    <row r="5863">
      <c r="A5863" s="234"/>
      <c r="B5863" s="238" t="str">
        <f>IFERROR(__xludf.DUMMYFUNCTION("""COMPUTED_VALUE"""),"SoC_BA_Simoes Filho")</f>
        <v>SoC_BA_Simoes Filho</v>
      </c>
      <c r="C5863" s="238" t="str">
        <f>IFERROR(__xludf.DUMMYFUNCTION("""COMPUTED_VALUE"""),"SOC-BA2")</f>
        <v>SOC-BA2</v>
      </c>
      <c r="D5863" s="234">
        <f>IFERROR(__xludf.DUMMYFUNCTION("""COMPUTED_VALUE"""),88.0)</f>
        <v>88</v>
      </c>
      <c r="E5863" s="237" t="str">
        <f>IFERROR(__xludf.DUMMYFUNCTION("""COMPUTED_VALUE"""),"LT0Q1Q01XIFB2")</f>
        <v>LT0Q1Q01XIFB2</v>
      </c>
      <c r="F5863" s="238" t="str">
        <f>IFERROR(__xludf.DUMMYFUNCTION("""COMPUTED_VALUE"""),"SJU9A48,SJW2G83")</f>
        <v>SJU9A48,SJW2G83</v>
      </c>
      <c r="G5863" s="238">
        <f>IFERROR(__xludf.DUMMYFUNCTION("""COMPUTED_VALUE"""),46048.91666666667)</f>
        <v>46048.91667</v>
      </c>
      <c r="H5863" s="238">
        <f>IFERROR(__xludf.DUMMYFUNCTION("""COMPUTED_VALUE"""),46049.29166666667)</f>
        <v>46049.29167</v>
      </c>
      <c r="J5863" s="239">
        <v>540.0</v>
      </c>
    </row>
    <row r="5864">
      <c r="A5864" s="234"/>
      <c r="B5864" s="238" t="str">
        <f>IFERROR(__xludf.DUMMYFUNCTION("""COMPUTED_VALUE"""),"SoC_GO_Goiânia_02")</f>
        <v>SoC_GO_Goiânia_02</v>
      </c>
      <c r="C5864" s="238" t="str">
        <f>IFERROR(__xludf.DUMMYFUNCTION("""COMPUTED_VALUE"""),"SOC-GO2")</f>
        <v>SOC-GO2</v>
      </c>
      <c r="D5864" s="234">
        <f>IFERROR(__xludf.DUMMYFUNCTION("""COMPUTED_VALUE"""),86.0)</f>
        <v>86</v>
      </c>
      <c r="E5864" s="237" t="str">
        <f>IFERROR(__xludf.DUMMYFUNCTION("""COMPUTED_VALUE"""),"LT0Q1Q01XIQQ2")</f>
        <v>LT0Q1Q01XIQQ2</v>
      </c>
      <c r="F5864" s="238" t="str">
        <f>IFERROR(__xludf.DUMMYFUNCTION("""COMPUTED_VALUE"""),"IZR3100,FSB1A27")</f>
        <v>IZR3100,FSB1A27</v>
      </c>
      <c r="G5864" s="238">
        <f>IFERROR(__xludf.DUMMYFUNCTION("""COMPUTED_VALUE"""),46048.91666666667)</f>
        <v>46048.91667</v>
      </c>
      <c r="H5864" s="238">
        <f>IFERROR(__xludf.DUMMYFUNCTION("""COMPUTED_VALUE"""),46049.29166666667)</f>
        <v>46049.29167</v>
      </c>
      <c r="J5864" s="239">
        <v>540.0</v>
      </c>
    </row>
    <row r="5865">
      <c r="A5865" s="234"/>
      <c r="B5865" s="238" t="str">
        <f>IFERROR(__xludf.DUMMYFUNCTION("""COMPUTED_VALUE"""),"SoC_PE_Jaboatão dos Guararapes")</f>
        <v>SoC_PE_Jaboatão dos Guararapes</v>
      </c>
      <c r="C5865" s="238" t="str">
        <f>IFERROR(__xludf.DUMMYFUNCTION("""COMPUTED_VALUE"""),"SOC-PE2")</f>
        <v>SOC-PE2</v>
      </c>
      <c r="D5865" s="234">
        <f>IFERROR(__xludf.DUMMYFUNCTION("""COMPUTED_VALUE"""),98.0)</f>
        <v>98</v>
      </c>
      <c r="E5865" s="237" t="str">
        <f>IFERROR(__xludf.DUMMYFUNCTION("""COMPUTED_VALUE"""),"LT0Q1Q01XIC21")</f>
        <v>LT0Q1Q01XIC21</v>
      </c>
      <c r="F5865" s="238" t="str">
        <f>IFERROR(__xludf.DUMMYFUNCTION("""COMPUTED_VALUE"""),"MWL7I96,KRX6D00")</f>
        <v>MWL7I96,KRX6D00</v>
      </c>
      <c r="G5865" s="238">
        <f>IFERROR(__xludf.DUMMYFUNCTION("""COMPUTED_VALUE"""),46048.91666666667)</f>
        <v>46048.91667</v>
      </c>
      <c r="H5865" s="238">
        <f>IFERROR(__xludf.DUMMYFUNCTION("""COMPUTED_VALUE"""),46049.29166666667)</f>
        <v>46049.29167</v>
      </c>
      <c r="J5865" s="239">
        <v>540.0</v>
      </c>
    </row>
    <row r="5866">
      <c r="A5866" s="234"/>
      <c r="B5866" s="238" t="str">
        <f>IFERROR(__xludf.DUMMYFUNCTION("""COMPUTED_VALUE"""),"SoC_RJ_Duque de Caxias")</f>
        <v>SoC_RJ_Duque de Caxias</v>
      </c>
      <c r="C5866" s="238" t="str">
        <f>IFERROR(__xludf.DUMMYFUNCTION("""COMPUTED_VALUE"""),"SOC-RJ2")</f>
        <v>SOC-RJ2</v>
      </c>
      <c r="D5866" s="234">
        <f>IFERROR(__xludf.DUMMYFUNCTION("""COMPUTED_VALUE"""),97.0)</f>
        <v>97</v>
      </c>
      <c r="E5866" s="237" t="str">
        <f>IFERROR(__xludf.DUMMYFUNCTION("""COMPUTED_VALUE"""),"LT0Q1Q01XF9C1")</f>
        <v>LT0Q1Q01XF9C1</v>
      </c>
      <c r="F5866" s="238" t="str">
        <f>IFERROR(__xludf.DUMMYFUNCTION("""COMPUTED_VALUE"""),"MKG9D89,EQM4D52")</f>
        <v>MKG9D89,EQM4D52</v>
      </c>
      <c r="G5866" s="238">
        <f>IFERROR(__xludf.DUMMYFUNCTION("""COMPUTED_VALUE"""),46048.91666666667)</f>
        <v>46048.91667</v>
      </c>
      <c r="H5866" s="238">
        <f>IFERROR(__xludf.DUMMYFUNCTION("""COMPUTED_VALUE"""),46049.29166666667)</f>
        <v>46049.29167</v>
      </c>
      <c r="J5866" s="239">
        <v>540.0</v>
      </c>
    </row>
    <row r="5867">
      <c r="A5867" s="234"/>
      <c r="B5867" s="238" t="str">
        <f>IFERROR(__xludf.DUMMYFUNCTION("""COMPUTED_VALUE"""),"SoC_RJ_Duque de Caxias")</f>
        <v>SoC_RJ_Duque de Caxias</v>
      </c>
      <c r="C5867" s="238" t="str">
        <f>IFERROR(__xludf.DUMMYFUNCTION("""COMPUTED_VALUE"""),"SOC-RJ2")</f>
        <v>SOC-RJ2</v>
      </c>
      <c r="D5867" s="234">
        <f>IFERROR(__xludf.DUMMYFUNCTION("""COMPUTED_VALUE"""),96.0)</f>
        <v>96</v>
      </c>
      <c r="E5867" s="237" t="str">
        <f>IFERROR(__xludf.DUMMYFUNCTION("""COMPUTED_VALUE"""),"LT0Q1Q01XF9E2")</f>
        <v>LT0Q1Q01XF9E2</v>
      </c>
      <c r="F5867" s="238" t="str">
        <f>IFERROR(__xludf.DUMMYFUNCTION("""COMPUTED_VALUE"""),"UDG8A89,UFH2E88")</f>
        <v>UDG8A89,UFH2E88</v>
      </c>
      <c r="G5867" s="238">
        <f>IFERROR(__xludf.DUMMYFUNCTION("""COMPUTED_VALUE"""),46048.91666666667)</f>
        <v>46048.91667</v>
      </c>
      <c r="H5867" s="238">
        <f>IFERROR(__xludf.DUMMYFUNCTION("""COMPUTED_VALUE"""),46049.29166666667)</f>
        <v>46049.29167</v>
      </c>
      <c r="J5867" s="239">
        <v>540.0</v>
      </c>
    </row>
    <row r="5868">
      <c r="A5868" s="234"/>
      <c r="B5868" s="238" t="str">
        <f>IFERROR(__xludf.DUMMYFUNCTION("""COMPUTED_VALUE"""),"SoC_RS_Gravataí_02")</f>
        <v>SoC_RS_Gravataí_02</v>
      </c>
      <c r="C5868" s="238" t="str">
        <f>IFERROR(__xludf.DUMMYFUNCTION("""COMPUTED_VALUE"""),"SOC-RS2")</f>
        <v>SOC-RS2</v>
      </c>
      <c r="D5868" s="234">
        <f>IFERROR(__xludf.DUMMYFUNCTION("""COMPUTED_VALUE"""),93.0)</f>
        <v>93</v>
      </c>
      <c r="E5868" s="237" t="str">
        <f>IFERROR(__xludf.DUMMYFUNCTION("""COMPUTED_VALUE"""),"LT0Q1Q01XISU1")</f>
        <v>LT0Q1Q01XISU1</v>
      </c>
      <c r="F5868" s="238" t="str">
        <f>IFERROR(__xludf.DUMMYFUNCTION("""COMPUTED_VALUE"""),"GCV0B16,SXA7A63")</f>
        <v>GCV0B16,SXA7A63</v>
      </c>
      <c r="G5868" s="238">
        <f>IFERROR(__xludf.DUMMYFUNCTION("""COMPUTED_VALUE"""),46048.91666666667)</f>
        <v>46048.91667</v>
      </c>
      <c r="H5868" s="238">
        <f>IFERROR(__xludf.DUMMYFUNCTION("""COMPUTED_VALUE"""),46049.29166666667)</f>
        <v>46049.29167</v>
      </c>
      <c r="J5868" s="239">
        <v>540.0</v>
      </c>
    </row>
    <row r="5869">
      <c r="A5869" s="234"/>
      <c r="B5869" s="238" t="str">
        <f>IFERROR(__xludf.DUMMYFUNCTION("""COMPUTED_VALUE"""),"SoC_SC_Itajaí")</f>
        <v>SoC_SC_Itajaí</v>
      </c>
      <c r="C5869" s="238" t="str">
        <f>IFERROR(__xludf.DUMMYFUNCTION("""COMPUTED_VALUE"""),"SOC-SC1")</f>
        <v>SOC-SC1</v>
      </c>
      <c r="D5869" s="234">
        <f>IFERROR(__xludf.DUMMYFUNCTION("""COMPUTED_VALUE"""),100.0)</f>
        <v>100</v>
      </c>
      <c r="E5869" s="237" t="str">
        <f>IFERROR(__xludf.DUMMYFUNCTION("""COMPUTED_VALUE"""),"LT0Q1Q01XHHZ1")</f>
        <v>LT0Q1Q01XHHZ1</v>
      </c>
      <c r="F5869" s="238" t="str">
        <f>IFERROR(__xludf.DUMMYFUNCTION("""COMPUTED_VALUE"""),"OPN3H95,IPN8J87")</f>
        <v>OPN3H95,IPN8J87</v>
      </c>
      <c r="G5869" s="238">
        <f>IFERROR(__xludf.DUMMYFUNCTION("""COMPUTED_VALUE"""),46048.91666666667)</f>
        <v>46048.91667</v>
      </c>
      <c r="H5869" s="238">
        <f>IFERROR(__xludf.DUMMYFUNCTION("""COMPUTED_VALUE"""),46049.29166666667)</f>
        <v>46049.29167</v>
      </c>
      <c r="J5869" s="239">
        <v>539.0000000072177</v>
      </c>
    </row>
    <row r="5870">
      <c r="A5870" s="234"/>
      <c r="B5870" s="238" t="str">
        <f>IFERROR(__xludf.DUMMYFUNCTION("""COMPUTED_VALUE"""),"SoC_MG_Betim")</f>
        <v>SoC_MG_Betim</v>
      </c>
      <c r="C5870" s="238" t="str">
        <f>IFERROR(__xludf.DUMMYFUNCTION("""COMPUTED_VALUE"""),"SOC-MG2")</f>
        <v>SOC-MG2</v>
      </c>
      <c r="D5870" s="234">
        <f>IFERROR(__xludf.DUMMYFUNCTION("""COMPUTED_VALUE"""),90.0)</f>
        <v>90</v>
      </c>
      <c r="E5870" s="237" t="str">
        <f>IFERROR(__xludf.DUMMYFUNCTION("""COMPUTED_VALUE"""),"LT0Q1Q01XDAH1")</f>
        <v>LT0Q1Q01XDAH1</v>
      </c>
      <c r="F5870" s="238" t="str">
        <f>IFERROR(__xludf.DUMMYFUNCTION("""COMPUTED_VALUE"""),"GDY4C34,IPF2J75")</f>
        <v>GDY4C34,IPF2J75</v>
      </c>
      <c r="G5870" s="238">
        <f>IFERROR(__xludf.DUMMYFUNCTION("""COMPUTED_VALUE"""),46048.91736111111)</f>
        <v>46048.91736</v>
      </c>
      <c r="H5870" s="238">
        <f>IFERROR(__xludf.DUMMYFUNCTION("""COMPUTED_VALUE"""),46049.29166666667)</f>
        <v>46049.29167</v>
      </c>
      <c r="J5870" s="239">
        <v>539.0000000072177</v>
      </c>
    </row>
    <row r="5871">
      <c r="A5871" s="234"/>
      <c r="B5871" s="238" t="str">
        <f>IFERROR(__xludf.DUMMYFUNCTION("""COMPUTED_VALUE"""),"SoC_MG_Betim")</f>
        <v>SoC_MG_Betim</v>
      </c>
      <c r="C5871" s="238" t="str">
        <f>IFERROR(__xludf.DUMMYFUNCTION("""COMPUTED_VALUE"""),"SOC-MG2")</f>
        <v>SOC-MG2</v>
      </c>
      <c r="D5871" s="234">
        <f>IFERROR(__xludf.DUMMYFUNCTION("""COMPUTED_VALUE"""),91.0)</f>
        <v>91</v>
      </c>
      <c r="E5871" s="237" t="str">
        <f>IFERROR(__xludf.DUMMYFUNCTION("""COMPUTED_VALUE"""),"LT0Q1Q01XDAJ2")</f>
        <v>LT0Q1Q01XDAJ2</v>
      </c>
      <c r="F5871" s="238" t="str">
        <f>IFERROR(__xludf.DUMMYFUNCTION("""COMPUTED_VALUE"""),"SUS0E35,FXG4H42")</f>
        <v>SUS0E35,FXG4H42</v>
      </c>
      <c r="G5871" s="238">
        <f>IFERROR(__xludf.DUMMYFUNCTION("""COMPUTED_VALUE"""),46048.91736111111)</f>
        <v>46048.91736</v>
      </c>
      <c r="H5871" s="238">
        <f>IFERROR(__xludf.DUMMYFUNCTION("""COMPUTED_VALUE"""),46049.29166666667)</f>
        <v>46049.29167</v>
      </c>
      <c r="J5871" s="239">
        <v>539.0000000072177</v>
      </c>
    </row>
    <row r="5872">
      <c r="A5872" s="234"/>
      <c r="B5872" s="238" t="str">
        <f>IFERROR(__xludf.DUMMYFUNCTION("""COMPUTED_VALUE"""),"SoC_SP_Cravinhos")</f>
        <v>SoC_SP_Cravinhos</v>
      </c>
      <c r="C5872" s="238" t="str">
        <f>IFERROR(__xludf.DUMMYFUNCTION("""COMPUTED_VALUE"""),"SOC-SP5")</f>
        <v>SOC-SP5</v>
      </c>
      <c r="D5872" s="234">
        <f>IFERROR(__xludf.DUMMYFUNCTION("""COMPUTED_VALUE"""),94.0)</f>
        <v>94</v>
      </c>
      <c r="E5872" s="237" t="str">
        <f>IFERROR(__xludf.DUMMYFUNCTION("""COMPUTED_VALUE"""),"LT0Q1Q01XM5K1")</f>
        <v>LT0Q1Q01XM5K1</v>
      </c>
      <c r="F5872" s="238" t="str">
        <f>IFERROR(__xludf.DUMMYFUNCTION("""COMPUTED_VALUE"""),"UFR4D80,TJZ0D53")</f>
        <v>UFR4D80,TJZ0D53</v>
      </c>
      <c r="G5872" s="238">
        <f>IFERROR(__xludf.DUMMYFUNCTION("""COMPUTED_VALUE"""),46048.91736111111)</f>
        <v>46048.91736</v>
      </c>
      <c r="H5872" s="238">
        <f>IFERROR(__xludf.DUMMYFUNCTION("""COMPUTED_VALUE"""),46049.29166666667)</f>
        <v>46049.29167</v>
      </c>
      <c r="J5872" s="239">
        <v>120.00000001396984</v>
      </c>
    </row>
    <row r="5873">
      <c r="A5873" s="234"/>
      <c r="B5873" s="238" t="str">
        <f>IFERROR(__xludf.DUMMYFUNCTION("""COMPUTED_VALUE"""),"LM Hub_SP_Barueri_01")</f>
        <v>LM Hub_SP_Barueri_01</v>
      </c>
      <c r="C5873" s="238" t="str">
        <f>IFERROR(__xludf.DUMMYFUNCTION("""COMPUTED_VALUE"""),"HUB-LSP-81")</f>
        <v>HUB-LSP-81</v>
      </c>
      <c r="D5873" s="234">
        <f>IFERROR(__xludf.DUMMYFUNCTION("""COMPUTED_VALUE"""),24.0)</f>
        <v>24</v>
      </c>
      <c r="E5873" s="237" t="str">
        <f>IFERROR(__xludf.DUMMYFUNCTION("""COMPUTED_VALUE"""),"LT0Q1R01XI3G1")</f>
        <v>LT0Q1R01XI3G1</v>
      </c>
      <c r="F5873" s="238" t="str">
        <f>IFERROR(__xludf.DUMMYFUNCTION("""COMPUTED_VALUE"""),"SUQ5C99")</f>
        <v>SUQ5C99</v>
      </c>
      <c r="G5873" s="238">
        <f>IFERROR(__xludf.DUMMYFUNCTION("""COMPUTED_VALUE"""),46049.20833333333)</f>
        <v>46049.20833</v>
      </c>
      <c r="H5873" s="238">
        <f>IFERROR(__xludf.DUMMYFUNCTION("""COMPUTED_VALUE"""),46049.29166666667)</f>
        <v>46049.29167</v>
      </c>
      <c r="J5873" s="239">
        <v>120.00000001396984</v>
      </c>
    </row>
    <row r="5874">
      <c r="A5874" s="234"/>
      <c r="B5874" s="238" t="str">
        <f>IFERROR(__xludf.DUMMYFUNCTION("""COMPUTED_VALUE"""),"LM Hub_SP_Jundiaí")</f>
        <v>LM Hub_SP_Jundiaí</v>
      </c>
      <c r="C5874" s="238" t="str">
        <f>IFERROR(__xludf.DUMMYFUNCTION("""COMPUTED_VALUE"""),"HUB-LSP-100")</f>
        <v>HUB-LSP-100</v>
      </c>
      <c r="D5874" s="234">
        <f>IFERROR(__xludf.DUMMYFUNCTION("""COMPUTED_VALUE"""),16.0)</f>
        <v>16</v>
      </c>
      <c r="E5874" s="237" t="str">
        <f>IFERROR(__xludf.DUMMYFUNCTION("""COMPUTED_VALUE"""),"LT0Q1R01XJHV1")</f>
        <v>LT0Q1R01XJHV1</v>
      </c>
      <c r="F5874" s="238" t="str">
        <f>IFERROR(__xludf.DUMMYFUNCTION("""COMPUTED_VALUE"""),"GCN4I02,DEN9209")</f>
        <v>GCN4I02,DEN9209</v>
      </c>
      <c r="G5874" s="238">
        <f>IFERROR(__xludf.DUMMYFUNCTION("""COMPUTED_VALUE"""),46049.20833333333)</f>
        <v>46049.20833</v>
      </c>
      <c r="H5874" s="238">
        <f>IFERROR(__xludf.DUMMYFUNCTION("""COMPUTED_VALUE"""),46049.29166666667)</f>
        <v>46049.29167</v>
      </c>
      <c r="J5874" s="239">
        <v>120.00000001396984</v>
      </c>
    </row>
    <row r="5875">
      <c r="A5875" s="234"/>
      <c r="B5875" s="238" t="str">
        <f>IFERROR(__xludf.DUMMYFUNCTION("""COMPUTED_VALUE"""),"LM Hub_SP_Piracicaba")</f>
        <v>LM Hub_SP_Piracicaba</v>
      </c>
      <c r="C5875" s="238" t="str">
        <f>IFERROR(__xludf.DUMMYFUNCTION("""COMPUTED_VALUE"""),"HUB-LSP-62")</f>
        <v>HUB-LSP-62</v>
      </c>
      <c r="D5875" s="234">
        <f>IFERROR(__xludf.DUMMYFUNCTION("""COMPUTED_VALUE"""),33.0)</f>
        <v>33</v>
      </c>
      <c r="E5875" s="237" t="str">
        <f>IFERROR(__xludf.DUMMYFUNCTION("""COMPUTED_VALUE"""),"LT0Q1R01XE4B1")</f>
        <v>LT0Q1R01XE4B1</v>
      </c>
      <c r="F5875" s="238" t="str">
        <f>IFERROR(__xludf.DUMMYFUNCTION("""COMPUTED_VALUE"""),"OMY3I62")</f>
        <v>OMY3I62</v>
      </c>
      <c r="G5875" s="238">
        <f>IFERROR(__xludf.DUMMYFUNCTION("""COMPUTED_VALUE"""),46049.20833333333)</f>
        <v>46049.20833</v>
      </c>
      <c r="H5875" s="238">
        <f>IFERROR(__xludf.DUMMYFUNCTION("""COMPUTED_VALUE"""),46049.29166666667)</f>
        <v>46049.29167</v>
      </c>
      <c r="J5875" s="239">
        <v>120.00000001396984</v>
      </c>
    </row>
    <row r="5876">
      <c r="A5876" s="234"/>
      <c r="B5876" s="238" t="str">
        <f>IFERROR(__xludf.DUMMYFUNCTION("""COMPUTED_VALUE"""),"LM Hub_SP_Santos_PraiaGrande_02")</f>
        <v>LM Hub_SP_Santos_PraiaGrande_02</v>
      </c>
      <c r="C5876" s="238" t="str">
        <f>IFERROR(__xludf.DUMMYFUNCTION("""COMPUTED_VALUE"""),"HUB-LSP-63")</f>
        <v>HUB-LSP-63</v>
      </c>
      <c r="D5876" s="234">
        <f>IFERROR(__xludf.DUMMYFUNCTION("""COMPUTED_VALUE"""),17.0)</f>
        <v>17</v>
      </c>
      <c r="E5876" s="237" t="str">
        <f>IFERROR(__xludf.DUMMYFUNCTION("""COMPUTED_VALUE"""),"LT0Q1R01XEKV1")</f>
        <v>LT0Q1R01XEKV1</v>
      </c>
      <c r="F5876" s="238" t="str">
        <f>IFERROR(__xludf.DUMMYFUNCTION("""COMPUTED_VALUE"""),"DJJ8025,DUJ9D51")</f>
        <v>DJJ8025,DUJ9D51</v>
      </c>
      <c r="G5876" s="238">
        <f>IFERROR(__xludf.DUMMYFUNCTION("""COMPUTED_VALUE"""),46049.20833333333)</f>
        <v>46049.20833</v>
      </c>
      <c r="H5876" s="238">
        <f>IFERROR(__xludf.DUMMYFUNCTION("""COMPUTED_VALUE"""),46049.29166666667)</f>
        <v>46049.29167</v>
      </c>
      <c r="J5876" s="239">
        <v>119.99999999301508</v>
      </c>
    </row>
    <row r="5877">
      <c r="A5877" s="234"/>
      <c r="B5877" s="238" t="str">
        <f>IFERROR(__xludf.DUMMYFUNCTION("""COMPUTED_VALUE"""),"LM Hub_SP_Itapevi")</f>
        <v>LM Hub_SP_Itapevi</v>
      </c>
      <c r="C5877" s="238" t="str">
        <f>IFERROR(__xludf.DUMMYFUNCTION("""COMPUTED_VALUE"""),"HUB-LSP-41")</f>
        <v>HUB-LSP-41</v>
      </c>
      <c r="D5877" s="234">
        <f>IFERROR(__xludf.DUMMYFUNCTION("""COMPUTED_VALUE"""),12.0)</f>
        <v>12</v>
      </c>
      <c r="E5877" s="237" t="str">
        <f>IFERROR(__xludf.DUMMYFUNCTION("""COMPUTED_VALUE"""),"LT0Q1R01XDEL1")</f>
        <v>LT0Q1R01XDEL1</v>
      </c>
      <c r="F5877" s="238" t="str">
        <f>IFERROR(__xludf.DUMMYFUNCTION("""COMPUTED_VALUE"""),"EJY4H62,STV7A41")</f>
        <v>EJY4H62,STV7A41</v>
      </c>
      <c r="G5877" s="238">
        <f>IFERROR(__xludf.DUMMYFUNCTION("""COMPUTED_VALUE"""),46049.22916666667)</f>
        <v>46049.22917</v>
      </c>
      <c r="H5877" s="238">
        <f>IFERROR(__xludf.DUMMYFUNCTION("""COMPUTED_VALUE"""),46049.3125)</f>
        <v>46049.3125</v>
      </c>
      <c r="J5877" s="239">
        <v>119.99999999301508</v>
      </c>
    </row>
    <row r="5878">
      <c r="A5878" s="234"/>
      <c r="B5878" s="238" t="str">
        <f>IFERROR(__xludf.DUMMYFUNCTION("""COMPUTED_VALUE"""),"LM Hub_SP_São José dos Campos")</f>
        <v>LM Hub_SP_São José dos Campos</v>
      </c>
      <c r="C5878" s="238" t="str">
        <f>IFERROR(__xludf.DUMMYFUNCTION("""COMPUTED_VALUE"""),"HUB-LSP-04")</f>
        <v>HUB-LSP-04</v>
      </c>
      <c r="D5878" s="234"/>
      <c r="E5878" s="237" t="str">
        <f>IFERROR(__xludf.DUMMYFUNCTION("""COMPUTED_VALUE"""),"LT0Q1R01XEKL1")</f>
        <v>LT0Q1R01XEKL1</v>
      </c>
      <c r="F5878" s="238" t="str">
        <f>IFERROR(__xludf.DUMMYFUNCTION("""COMPUTED_VALUE"""),"JBO1I53")</f>
        <v>JBO1I53</v>
      </c>
      <c r="G5878" s="238">
        <f>IFERROR(__xludf.DUMMYFUNCTION("""COMPUTED_VALUE"""),46049.22916666667)</f>
        <v>46049.22917</v>
      </c>
      <c r="H5878" s="238">
        <f>IFERROR(__xludf.DUMMYFUNCTION("""COMPUTED_VALUE"""),46049.3125)</f>
        <v>46049.3125</v>
      </c>
      <c r="J5878" s="239">
        <v>119.99999999301508</v>
      </c>
    </row>
    <row r="5879">
      <c r="A5879" s="234"/>
      <c r="B5879" s="238" t="str">
        <f>IFERROR(__xludf.DUMMYFUNCTION("""COMPUTED_VALUE"""),"LM Hub_SP_São Paulo_Mooca")</f>
        <v>LM Hub_SP_São Paulo_Mooca</v>
      </c>
      <c r="C5879" s="238" t="str">
        <f>IFERROR(__xludf.DUMMYFUNCTION("""COMPUTED_VALUE"""),"HUB-LSP-13")</f>
        <v>HUB-LSP-13</v>
      </c>
      <c r="D5879" s="234"/>
      <c r="E5879" s="237" t="str">
        <f>IFERROR(__xludf.DUMMYFUNCTION("""COMPUTED_VALUE"""),"LT0Q1R01XME21")</f>
        <v>LT0Q1R01XME21</v>
      </c>
      <c r="F5879" s="238" t="str">
        <f>IFERROR(__xludf.DUMMYFUNCTION("""COMPUTED_VALUE"""),"FGI1F79")</f>
        <v>FGI1F79</v>
      </c>
      <c r="G5879" s="238">
        <f>IFERROR(__xludf.DUMMYFUNCTION("""COMPUTED_VALUE"""),46049.22916666667)</f>
        <v>46049.22917</v>
      </c>
      <c r="H5879" s="238">
        <f>IFERROR(__xludf.DUMMYFUNCTION("""COMPUTED_VALUE"""),46049.3125)</f>
        <v>46049.3125</v>
      </c>
      <c r="J5879" s="239">
        <v>119.99999999301508</v>
      </c>
    </row>
    <row r="5880">
      <c r="A5880" s="234"/>
      <c r="B5880" s="238" t="str">
        <f>IFERROR(__xludf.DUMMYFUNCTION("""COMPUTED_VALUE"""),"LM Hub_SP_Várzea Paulista")</f>
        <v>LM Hub_SP_Várzea Paulista</v>
      </c>
      <c r="C5880" s="238" t="str">
        <f>IFERROR(__xludf.DUMMYFUNCTION("""COMPUTED_VALUE"""),"HUB-LSP-20")</f>
        <v>HUB-LSP-20</v>
      </c>
      <c r="D5880" s="234"/>
      <c r="E5880" s="237" t="str">
        <f>IFERROR(__xludf.DUMMYFUNCTION("""COMPUTED_VALUE"""),"LT0Q1R01XM6X1")</f>
        <v>LT0Q1R01XM6X1</v>
      </c>
      <c r="F5880" s="238" t="str">
        <f>IFERROR(__xludf.DUMMYFUNCTION("""COMPUTED_VALUE"""),"FYQ5533")</f>
        <v>FYQ5533</v>
      </c>
      <c r="G5880" s="238">
        <f>IFERROR(__xludf.DUMMYFUNCTION("""COMPUTED_VALUE"""),46049.22916666667)</f>
        <v>46049.22917</v>
      </c>
      <c r="H5880" s="238">
        <f>IFERROR(__xludf.DUMMYFUNCTION("""COMPUTED_VALUE"""),46049.3125)</f>
        <v>46049.3125</v>
      </c>
      <c r="J5880" s="239">
        <v>119.00000000023283</v>
      </c>
    </row>
    <row r="5881">
      <c r="A5881" s="234"/>
      <c r="B5881" s="238" t="str">
        <f>IFERROR(__xludf.DUMMYFUNCTION("""COMPUTED_VALUE"""),"LM Hub_SP_Guarujá")</f>
        <v>LM Hub_SP_Guarujá</v>
      </c>
      <c r="C5881" s="238" t="str">
        <f>IFERROR(__xludf.DUMMYFUNCTION("""COMPUTED_VALUE"""),"HUB-LSP-06")</f>
        <v>HUB-LSP-06</v>
      </c>
      <c r="D5881" s="234">
        <f>IFERROR(__xludf.DUMMYFUNCTION("""COMPUTED_VALUE"""),34.0)</f>
        <v>34</v>
      </c>
      <c r="E5881" s="237" t="str">
        <f>IFERROR(__xludf.DUMMYFUNCTION("""COMPUTED_VALUE"""),"LT0Q1R01XEKB1")</f>
        <v>LT0Q1R01XEKB1</v>
      </c>
      <c r="F5881" s="238" t="str">
        <f>IFERROR(__xludf.DUMMYFUNCTION("""COMPUTED_VALUE"""),"SVL5H32")</f>
        <v>SVL5H32</v>
      </c>
      <c r="G5881" s="238">
        <f>IFERROR(__xludf.DUMMYFUNCTION("""COMPUTED_VALUE"""),46049.22986111111)</f>
        <v>46049.22986</v>
      </c>
      <c r="H5881" s="238">
        <f>IFERROR(__xludf.DUMMYFUNCTION("""COMPUTED_VALUE"""),46049.3125)</f>
        <v>46049.3125</v>
      </c>
      <c r="J5881" s="239">
        <v>119.99999999301508</v>
      </c>
    </row>
    <row r="5882">
      <c r="A5882" s="234"/>
      <c r="B5882" s="238" t="str">
        <f>IFERROR(__xludf.DUMMYFUNCTION("""COMPUTED_VALUE"""),"LM Hub_SP_Itaqua_Zimba")</f>
        <v>LM Hub_SP_Itaqua_Zimba</v>
      </c>
      <c r="C5882" s="238" t="str">
        <f>IFERROR(__xludf.DUMMYFUNCTION("""COMPUTED_VALUE"""),"HUB-LSP-74")</f>
        <v>HUB-LSP-74</v>
      </c>
      <c r="D5882" s="234">
        <f>IFERROR(__xludf.DUMMYFUNCTION("""COMPUTED_VALUE"""),32.0)</f>
        <v>32</v>
      </c>
      <c r="E5882" s="237" t="str">
        <f>IFERROR(__xludf.DUMMYFUNCTION("""COMPUTED_VALUE"""),"LT0Q1R01XEK51")</f>
        <v>LT0Q1R01XEK51</v>
      </c>
      <c r="F5882" s="238" t="str">
        <f>IFERROR(__xludf.DUMMYFUNCTION("""COMPUTED_VALUE"""),"FZJ9H38")</f>
        <v>FZJ9H38</v>
      </c>
      <c r="G5882" s="238">
        <f>IFERROR(__xludf.DUMMYFUNCTION("""COMPUTED_VALUE"""),46049.25)</f>
        <v>46049.25</v>
      </c>
      <c r="H5882" s="238">
        <f>IFERROR(__xludf.DUMMYFUNCTION("""COMPUTED_VALUE"""),46049.33333333333)</f>
        <v>46049.33333</v>
      </c>
      <c r="J5882" s="239">
        <v>119.99999999301508</v>
      </c>
    </row>
    <row r="5883">
      <c r="A5883" s="234"/>
      <c r="B5883" s="238" t="str">
        <f>IFERROR(__xludf.DUMMYFUNCTION("""COMPUTED_VALUE"""),"LM Hub_SP_São Paulo_Lapa")</f>
        <v>LM Hub_SP_São Paulo_Lapa</v>
      </c>
      <c r="C5883" s="238" t="str">
        <f>IFERROR(__xludf.DUMMYFUNCTION("""COMPUTED_VALUE"""),"HUB-LSP-15")</f>
        <v>HUB-LSP-15</v>
      </c>
      <c r="D5883" s="234">
        <f>IFERROR(__xludf.DUMMYFUNCTION("""COMPUTED_VALUE"""),19.0)</f>
        <v>19</v>
      </c>
      <c r="E5883" s="237" t="str">
        <f>IFERROR(__xludf.DUMMYFUNCTION("""COMPUTED_VALUE"""),"LT0Q1R01XEJG1")</f>
        <v>LT0Q1R01XEJG1</v>
      </c>
      <c r="F5883" s="238" t="str">
        <f>IFERROR(__xludf.DUMMYFUNCTION("""COMPUTED_VALUE"""),"CUD9232")</f>
        <v>CUD9232</v>
      </c>
      <c r="G5883" s="238">
        <f>IFERROR(__xludf.DUMMYFUNCTION("""COMPUTED_VALUE"""),46049.25)</f>
        <v>46049.25</v>
      </c>
      <c r="H5883" s="238">
        <f>IFERROR(__xludf.DUMMYFUNCTION("""COMPUTED_VALUE"""),46049.33333333333)</f>
        <v>46049.33333</v>
      </c>
      <c r="J5883" s="239">
        <v>119.99999999301508</v>
      </c>
    </row>
    <row r="5884">
      <c r="A5884" s="234"/>
      <c r="B5884" s="238" t="str">
        <f>IFERROR(__xludf.DUMMYFUNCTION("""COMPUTED_VALUE"""),"LM Hub_SP_Embu das Artes")</f>
        <v>LM Hub_SP_Embu das Artes</v>
      </c>
      <c r="C5884" s="238" t="str">
        <f>IFERROR(__xludf.DUMMYFUNCTION("""COMPUTED_VALUE"""),"HUB-LSP-36")</f>
        <v>HUB-LSP-36</v>
      </c>
      <c r="D5884" s="234">
        <f>IFERROR(__xludf.DUMMYFUNCTION("""COMPUTED_VALUE"""),14.0)</f>
        <v>14</v>
      </c>
      <c r="E5884" s="237" t="str">
        <f>IFERROR(__xludf.DUMMYFUNCTION("""COMPUTED_VALUE"""),"LT0Q1R01XEL01")</f>
        <v>LT0Q1R01XEL01</v>
      </c>
      <c r="F5884" s="238" t="str">
        <f>IFERROR(__xludf.DUMMYFUNCTION("""COMPUTED_VALUE"""),"UFL4C38")</f>
        <v>UFL4C38</v>
      </c>
      <c r="G5884" s="238">
        <f>IFERROR(__xludf.DUMMYFUNCTION("""COMPUTED_VALUE"""),46049.25)</f>
        <v>46049.25</v>
      </c>
      <c r="H5884" s="238">
        <f>IFERROR(__xludf.DUMMYFUNCTION("""COMPUTED_VALUE"""),46049.33333333333)</f>
        <v>46049.33333</v>
      </c>
      <c r="J5884" s="239">
        <v>60.00000000698492</v>
      </c>
    </row>
    <row r="5885">
      <c r="A5885" s="234"/>
      <c r="B5885" s="238" t="str">
        <f>IFERROR(__xludf.DUMMYFUNCTION("""COMPUTED_VALUE"""),"LM Hub_SP_Mauá")</f>
        <v>LM Hub_SP_Mauá</v>
      </c>
      <c r="C5885" s="238" t="str">
        <f>IFERROR(__xludf.DUMMYFUNCTION("""COMPUTED_VALUE"""),"HUB-LSP-64")</f>
        <v>HUB-LSP-64</v>
      </c>
      <c r="D5885" s="234">
        <f>IFERROR(__xludf.DUMMYFUNCTION("""COMPUTED_VALUE"""),21.0)</f>
        <v>21</v>
      </c>
      <c r="E5885" s="237" t="str">
        <f>IFERROR(__xludf.DUMMYFUNCTION("""COMPUTED_VALUE"""),"LT0Q1R01XME71")</f>
        <v>LT0Q1R01XME71</v>
      </c>
      <c r="F5885" s="238" t="str">
        <f>IFERROR(__xludf.DUMMYFUNCTION("""COMPUTED_VALUE"""),"PQV0E87")</f>
        <v>PQV0E87</v>
      </c>
      <c r="G5885" s="238">
        <f>IFERROR(__xludf.DUMMYFUNCTION("""COMPUTED_VALUE"""),46049.3125)</f>
        <v>46049.3125</v>
      </c>
      <c r="H5885" s="238">
        <f>IFERROR(__xludf.DUMMYFUNCTION("""COMPUTED_VALUE"""),46049.35416666667)</f>
        <v>46049.35417</v>
      </c>
      <c r="J5885" s="239">
        <v>299.9999999930151</v>
      </c>
    </row>
    <row r="5886">
      <c r="A5886" s="234"/>
      <c r="B5886" s="238" t="str">
        <f>IFERROR(__xludf.DUMMYFUNCTION("""COMPUTED_VALUE"""),"SoC_SP_Cravinhos")</f>
        <v>SoC_SP_Cravinhos</v>
      </c>
      <c r="C5886" s="238" t="str">
        <f>IFERROR(__xludf.DUMMYFUNCTION("""COMPUTED_VALUE"""),"SOC-SP5")</f>
        <v>SOC-SP5</v>
      </c>
      <c r="D5886" s="234">
        <f>IFERROR(__xludf.DUMMYFUNCTION("""COMPUTED_VALUE"""),95.0)</f>
        <v>95</v>
      </c>
      <c r="E5886" s="237" t="str">
        <f>IFERROR(__xludf.DUMMYFUNCTION("""COMPUTED_VALUE"""),"LT1Q1R01XR7Z1")</f>
        <v>LT1Q1R01XR7Z1</v>
      </c>
      <c r="F5886" s="238" t="str">
        <f>IFERROR(__xludf.DUMMYFUNCTION("""COMPUTED_VALUE"""),"BRQ9F63,FCW7D81")</f>
        <v>BRQ9F63,FCW7D81</v>
      </c>
      <c r="G5886" s="238">
        <f>IFERROR(__xludf.DUMMYFUNCTION("""COMPUTED_VALUE"""),46049.16666666667)</f>
        <v>46049.16667</v>
      </c>
      <c r="H5886" s="238">
        <f>IFERROR(__xludf.DUMMYFUNCTION("""COMPUTED_VALUE"""),46049.375)</f>
        <v>46049.375</v>
      </c>
      <c r="J5886" s="239">
        <v>119.99999999301508</v>
      </c>
    </row>
    <row r="5887">
      <c r="A5887" s="234"/>
      <c r="B5887" s="238" t="str">
        <f>IFERROR(__xludf.DUMMYFUNCTION("""COMPUTED_VALUE"""),"LM Hub_SP_Embu das Artes_02")</f>
        <v>LM Hub_SP_Embu das Artes_02</v>
      </c>
      <c r="C5887" s="238" t="str">
        <f>IFERROR(__xludf.DUMMYFUNCTION("""COMPUTED_VALUE"""),"HUB-LSP-96")</f>
        <v>HUB-LSP-96</v>
      </c>
      <c r="D5887" s="234">
        <f>IFERROR(__xludf.DUMMYFUNCTION("""COMPUTED_VALUE"""),27.0)</f>
        <v>27</v>
      </c>
      <c r="E5887" s="237" t="str">
        <f>IFERROR(__xludf.DUMMYFUNCTION("""COMPUTED_VALUE"""),"LT0Q1R01XGNR1")</f>
        <v>LT0Q1R01XGNR1</v>
      </c>
      <c r="F5887" s="238" t="str">
        <f>IFERROR(__xludf.DUMMYFUNCTION("""COMPUTED_VALUE"""),"FUF6H46")</f>
        <v>FUF6H46</v>
      </c>
      <c r="G5887" s="238">
        <f>IFERROR(__xludf.DUMMYFUNCTION("""COMPUTED_VALUE"""),46049.29166666667)</f>
        <v>46049.29167</v>
      </c>
      <c r="H5887" s="238">
        <f>IFERROR(__xludf.DUMMYFUNCTION("""COMPUTED_VALUE"""),46049.375)</f>
        <v>46049.375</v>
      </c>
      <c r="J5887" s="239">
        <v>540.0</v>
      </c>
    </row>
    <row r="5888">
      <c r="A5888" s="234"/>
      <c r="B5888" s="238" t="str">
        <f>IFERROR(__xludf.DUMMYFUNCTION("""COMPUTED_VALUE"""),"SoC_GO_Goiânia_02")</f>
        <v>SoC_GO_Goiânia_02</v>
      </c>
      <c r="C5888" s="238" t="str">
        <f>IFERROR(__xludf.DUMMYFUNCTION("""COMPUTED_VALUE"""),"SOC-GO2")</f>
        <v>SOC-GO2</v>
      </c>
      <c r="D5888" s="234">
        <f>IFERROR(__xludf.DUMMYFUNCTION("""COMPUTED_VALUE"""),87.0)</f>
        <v>87</v>
      </c>
      <c r="E5888" s="237" t="str">
        <f>IFERROR(__xludf.DUMMYFUNCTION("""COMPUTED_VALUE"""),"LT0Q1Q01XIQO1")</f>
        <v>LT0Q1Q01XIQO1</v>
      </c>
      <c r="F5888" s="238" t="str">
        <f>IFERROR(__xludf.DUMMYFUNCTION("""COMPUTED_VALUE"""),"MBQ4F45,MIE6B60")</f>
        <v>MBQ4F45,MIE6B60</v>
      </c>
      <c r="G5888" s="238">
        <f>IFERROR(__xludf.DUMMYFUNCTION("""COMPUTED_VALUE"""),46049.08333333333)</f>
        <v>46049.08333</v>
      </c>
      <c r="H5888" s="238">
        <f>IFERROR(__xludf.DUMMYFUNCTION("""COMPUTED_VALUE"""),46049.45833333333)</f>
        <v>46049.45833</v>
      </c>
      <c r="J5888" s="239">
        <v>540.0</v>
      </c>
    </row>
    <row r="5889">
      <c r="A5889" s="234"/>
      <c r="B5889" s="238" t="str">
        <f>IFERROR(__xludf.DUMMYFUNCTION("""COMPUTED_VALUE"""),"SoC_MG_Betim")</f>
        <v>SoC_MG_Betim</v>
      </c>
      <c r="C5889" s="238" t="str">
        <f>IFERROR(__xludf.DUMMYFUNCTION("""COMPUTED_VALUE"""),"SOC-MG2")</f>
        <v>SOC-MG2</v>
      </c>
      <c r="D5889" s="234"/>
      <c r="E5889" s="237" t="str">
        <f>IFERROR(__xludf.DUMMYFUNCTION("""COMPUTED_VALUE"""),"LT1Q1R01XR8G1")</f>
        <v>LT1Q1R01XR8G1</v>
      </c>
      <c r="F5889" s="234"/>
      <c r="G5889" s="238">
        <f>IFERROR(__xludf.DUMMYFUNCTION("""COMPUTED_VALUE"""),46049.08333333333)</f>
        <v>46049.08333</v>
      </c>
      <c r="H5889" s="238">
        <f>IFERROR(__xludf.DUMMYFUNCTION("""COMPUTED_VALUE"""),46049.45833333333)</f>
        <v>46049.45833</v>
      </c>
      <c r="J5889" s="239">
        <v>540.0</v>
      </c>
    </row>
    <row r="5890">
      <c r="A5890" s="234"/>
      <c r="B5890" s="238" t="str">
        <f>IFERROR(__xludf.DUMMYFUNCTION("""COMPUTED_VALUE"""),"SoC_RJ_Duque de Caxias")</f>
        <v>SoC_RJ_Duque de Caxias</v>
      </c>
      <c r="C5890" s="238" t="str">
        <f>IFERROR(__xludf.DUMMYFUNCTION("""COMPUTED_VALUE"""),"SOC-RJ2")</f>
        <v>SOC-RJ2</v>
      </c>
      <c r="D5890" s="234">
        <f>IFERROR(__xludf.DUMMYFUNCTION("""COMPUTED_VALUE"""),96.0)</f>
        <v>96</v>
      </c>
      <c r="E5890" s="237" t="str">
        <f>IFERROR(__xludf.DUMMYFUNCTION("""COMPUTED_VALUE"""),"LT1Q1R01XR8E1")</f>
        <v>LT1Q1R01XR8E1</v>
      </c>
      <c r="F5890" s="238" t="str">
        <f>IFERROR(__xludf.DUMMYFUNCTION("""COMPUTED_VALUE"""),"GAX8H42,EML0C62")</f>
        <v>GAX8H42,EML0C62</v>
      </c>
      <c r="G5890" s="238">
        <f>IFERROR(__xludf.DUMMYFUNCTION("""COMPUTED_VALUE"""),46049.08333333333)</f>
        <v>46049.08333</v>
      </c>
      <c r="H5890" s="238">
        <f>IFERROR(__xludf.DUMMYFUNCTION("""COMPUTED_VALUE"""),46049.45833333333)</f>
        <v>46049.45833</v>
      </c>
      <c r="J5890" s="239">
        <v>540.0</v>
      </c>
    </row>
    <row r="5891">
      <c r="A5891" s="234"/>
      <c r="B5891" s="238" t="str">
        <f>IFERROR(__xludf.DUMMYFUNCTION("""COMPUTED_VALUE"""),"SoC_SP_Cravinhos")</f>
        <v>SoC_SP_Cravinhos</v>
      </c>
      <c r="C5891" s="238" t="str">
        <f>IFERROR(__xludf.DUMMYFUNCTION("""COMPUTED_VALUE"""),"SOC-SP5")</f>
        <v>SOC-SP5</v>
      </c>
      <c r="D5891" s="234">
        <f>IFERROR(__xludf.DUMMYFUNCTION("""COMPUTED_VALUE"""),94.0)</f>
        <v>94</v>
      </c>
      <c r="E5891" s="237" t="str">
        <f>IFERROR(__xludf.DUMMYFUNCTION("""COMPUTED_VALUE"""),"LT1Q1R01XR801")</f>
        <v>LT1Q1R01XR801</v>
      </c>
      <c r="F5891" s="238" t="str">
        <f>IFERROR(__xludf.DUMMYFUNCTION("""COMPUTED_VALUE"""),"UAU1A38,SWG5I97")</f>
        <v>UAU1A38,SWG5I97</v>
      </c>
      <c r="G5891" s="238">
        <f>IFERROR(__xludf.DUMMYFUNCTION("""COMPUTED_VALUE"""),46049.08333333333)</f>
        <v>46049.08333</v>
      </c>
      <c r="H5891" s="238">
        <f>IFERROR(__xludf.DUMMYFUNCTION("""COMPUTED_VALUE"""),46049.45833333333)</f>
        <v>46049.45833</v>
      </c>
      <c r="J5891" s="239">
        <v>540.0</v>
      </c>
    </row>
    <row r="5892">
      <c r="A5892" s="234"/>
      <c r="B5892" s="238" t="str">
        <f>IFERROR(__xludf.DUMMYFUNCTION("""COMPUTED_VALUE"""),"SoC_SP_Cravinhos")</f>
        <v>SoC_SP_Cravinhos</v>
      </c>
      <c r="C5892" s="238" t="str">
        <f>IFERROR(__xludf.DUMMYFUNCTION("""COMPUTED_VALUE"""),"SOC-SP5")</f>
        <v>SOC-SP5</v>
      </c>
      <c r="D5892" s="234"/>
      <c r="E5892" s="237" t="str">
        <f>IFERROR(__xludf.DUMMYFUNCTION("""COMPUTED_VALUE"""),"LT0Q1Q01XDCG1")</f>
        <v>LT0Q1Q01XDCG1</v>
      </c>
      <c r="F5892" s="234"/>
      <c r="G5892" s="238">
        <f>IFERROR(__xludf.DUMMYFUNCTION("""COMPUTED_VALUE"""),46049.08333333333)</f>
        <v>46049.08333</v>
      </c>
      <c r="H5892" s="238">
        <f>IFERROR(__xludf.DUMMYFUNCTION("""COMPUTED_VALUE"""),46049.45833333333)</f>
        <v>46049.45833</v>
      </c>
      <c r="J5892" s="239">
        <v>419.99999998603016</v>
      </c>
    </row>
    <row r="5893">
      <c r="A5893" s="234"/>
      <c r="B5893" s="238" t="str">
        <f>IFERROR(__xludf.DUMMYFUNCTION("""COMPUTED_VALUE"""),"SoC_BA_Simoes Filho")</f>
        <v>SoC_BA_Simoes Filho</v>
      </c>
      <c r="C5893" s="238" t="str">
        <f>IFERROR(__xludf.DUMMYFUNCTION("""COMPUTED_VALUE"""),"SOC-BA2")</f>
        <v>SOC-BA2</v>
      </c>
      <c r="D5893" s="234">
        <f>IFERROR(__xludf.DUMMYFUNCTION("""COMPUTED_VALUE"""),88.0)</f>
        <v>88</v>
      </c>
      <c r="E5893" s="237" t="str">
        <f>IFERROR(__xludf.DUMMYFUNCTION("""COMPUTED_VALUE"""),"LT0Q1Q01XIF91")</f>
        <v>LT0Q1Q01XIF91</v>
      </c>
      <c r="F5893" s="238" t="str">
        <f>IFERROR(__xludf.DUMMYFUNCTION("""COMPUTED_VALUE"""),"FVA9J63,OPF1D20")</f>
        <v>FVA9J63,OPF1D20</v>
      </c>
      <c r="G5893" s="238">
        <f>IFERROR(__xludf.DUMMYFUNCTION("""COMPUTED_VALUE"""),46049.16666666667)</f>
        <v>46049.16667</v>
      </c>
      <c r="H5893" s="238">
        <f>IFERROR(__xludf.DUMMYFUNCTION("""COMPUTED_VALUE"""),46049.45833333333)</f>
        <v>46049.45833</v>
      </c>
      <c r="J5893" s="239">
        <v>419.99999998603016</v>
      </c>
    </row>
    <row r="5894">
      <c r="A5894" s="234"/>
      <c r="B5894" s="238" t="str">
        <f>IFERROR(__xludf.DUMMYFUNCTION("""COMPUTED_VALUE"""),"SoC_GO_Goiânia_02")</f>
        <v>SoC_GO_Goiânia_02</v>
      </c>
      <c r="C5894" s="238" t="str">
        <f>IFERROR(__xludf.DUMMYFUNCTION("""COMPUTED_VALUE"""),"SOC-GO2")</f>
        <v>SOC-GO2</v>
      </c>
      <c r="D5894" s="234">
        <f>IFERROR(__xludf.DUMMYFUNCTION("""COMPUTED_VALUE"""),86.0)</f>
        <v>86</v>
      </c>
      <c r="E5894" s="237" t="str">
        <f>IFERROR(__xludf.DUMMYFUNCTION("""COMPUTED_VALUE"""),"LT1Q1R01XRCN1")</f>
        <v>LT1Q1R01XRCN1</v>
      </c>
      <c r="F5894" s="238" t="str">
        <f>IFERROR(__xludf.DUMMYFUNCTION("""COMPUTED_VALUE"""),"SXL6I30,EML6C31")</f>
        <v>SXL6I30,EML6C31</v>
      </c>
      <c r="G5894" s="238">
        <f>IFERROR(__xludf.DUMMYFUNCTION("""COMPUTED_VALUE"""),46049.16666666667)</f>
        <v>46049.16667</v>
      </c>
      <c r="H5894" s="238">
        <f>IFERROR(__xludf.DUMMYFUNCTION("""COMPUTED_VALUE"""),46049.45833333333)</f>
        <v>46049.45833</v>
      </c>
      <c r="J5894" s="239">
        <v>419.99999998603016</v>
      </c>
    </row>
    <row r="5895">
      <c r="A5895" s="234"/>
      <c r="B5895" s="238" t="str">
        <f>IFERROR(__xludf.DUMMYFUNCTION("""COMPUTED_VALUE"""),"SoC_MG_Betim")</f>
        <v>SoC_MG_Betim</v>
      </c>
      <c r="C5895" s="238" t="str">
        <f>IFERROR(__xludf.DUMMYFUNCTION("""COMPUTED_VALUE"""),"SOC-MG2")</f>
        <v>SOC-MG2</v>
      </c>
      <c r="D5895" s="234">
        <f>IFERROR(__xludf.DUMMYFUNCTION("""COMPUTED_VALUE"""),91.0)</f>
        <v>91</v>
      </c>
      <c r="E5895" s="237" t="str">
        <f>IFERROR(__xludf.DUMMYFUNCTION("""COMPUTED_VALUE"""),"LT0Q1Q01XD9Z1")</f>
        <v>LT0Q1Q01XD9Z1</v>
      </c>
      <c r="F5895" s="238" t="str">
        <f>IFERROR(__xludf.DUMMYFUNCTION("""COMPUTED_VALUE"""),"EKU0C05,UEX5I46")</f>
        <v>EKU0C05,UEX5I46</v>
      </c>
      <c r="G5895" s="238">
        <f>IFERROR(__xludf.DUMMYFUNCTION("""COMPUTED_VALUE"""),46049.16666666667)</f>
        <v>46049.16667</v>
      </c>
      <c r="H5895" s="238">
        <f>IFERROR(__xludf.DUMMYFUNCTION("""COMPUTED_VALUE"""),46049.45833333333)</f>
        <v>46049.45833</v>
      </c>
      <c r="J5895" s="239">
        <v>419.99999998603016</v>
      </c>
    </row>
    <row r="5896">
      <c r="A5896" s="234"/>
      <c r="B5896" s="238" t="str">
        <f>IFERROR(__xludf.DUMMYFUNCTION("""COMPUTED_VALUE"""),"SoC_MG_Betim")</f>
        <v>SoC_MG_Betim</v>
      </c>
      <c r="C5896" s="238" t="str">
        <f>IFERROR(__xludf.DUMMYFUNCTION("""COMPUTED_VALUE"""),"SOC-MG2")</f>
        <v>SOC-MG2</v>
      </c>
      <c r="D5896" s="234">
        <f>IFERROR(__xludf.DUMMYFUNCTION("""COMPUTED_VALUE"""),90.0)</f>
        <v>90</v>
      </c>
      <c r="E5896" s="237" t="str">
        <f>IFERROR(__xludf.DUMMYFUNCTION("""COMPUTED_VALUE"""),"LT1Q1R01XRAX1")</f>
        <v>LT1Q1R01XRAX1</v>
      </c>
      <c r="F5896" s="238" t="str">
        <f>IFERROR(__xludf.DUMMYFUNCTION("""COMPUTED_VALUE"""),"TJA3H76,EML4J02")</f>
        <v>TJA3H76,EML4J02</v>
      </c>
      <c r="G5896" s="238">
        <f>IFERROR(__xludf.DUMMYFUNCTION("""COMPUTED_VALUE"""),46049.16666666667)</f>
        <v>46049.16667</v>
      </c>
      <c r="H5896" s="238">
        <f>IFERROR(__xludf.DUMMYFUNCTION("""COMPUTED_VALUE"""),46049.45833333333)</f>
        <v>46049.45833</v>
      </c>
      <c r="J5896" s="239">
        <v>419.99999998603016</v>
      </c>
    </row>
    <row r="5897">
      <c r="A5897" s="234"/>
      <c r="B5897" s="238" t="str">
        <f>IFERROR(__xludf.DUMMYFUNCTION("""COMPUTED_VALUE"""),"SoC_MG_Betim")</f>
        <v>SoC_MG_Betim</v>
      </c>
      <c r="C5897" s="238" t="str">
        <f>IFERROR(__xludf.DUMMYFUNCTION("""COMPUTED_VALUE"""),"SOC-MG2")</f>
        <v>SOC-MG2</v>
      </c>
      <c r="D5897" s="234">
        <f>IFERROR(__xludf.DUMMYFUNCTION("""COMPUTED_VALUE"""),91.0)</f>
        <v>91</v>
      </c>
      <c r="E5897" s="237" t="str">
        <f>IFERROR(__xludf.DUMMYFUNCTION("""COMPUTED_VALUE"""),"LT1Q1R01XRBG1")</f>
        <v>LT1Q1R01XRBG1</v>
      </c>
      <c r="F5897" s="238" t="str">
        <f>IFERROR(__xludf.DUMMYFUNCTION("""COMPUTED_VALUE"""),"FXR4I67,EML0B72")</f>
        <v>FXR4I67,EML0B72</v>
      </c>
      <c r="G5897" s="238">
        <f>IFERROR(__xludf.DUMMYFUNCTION("""COMPUTED_VALUE"""),46049.16666666667)</f>
        <v>46049.16667</v>
      </c>
      <c r="H5897" s="238">
        <f>IFERROR(__xludf.DUMMYFUNCTION("""COMPUTED_VALUE"""),46049.45833333333)</f>
        <v>46049.45833</v>
      </c>
      <c r="J5897" s="239">
        <v>540.0</v>
      </c>
    </row>
    <row r="5898">
      <c r="A5898" s="234"/>
      <c r="B5898" s="238" t="str">
        <f>IFERROR(__xludf.DUMMYFUNCTION("""COMPUTED_VALUE"""),"SoC_MG_Betim")</f>
        <v>SoC_MG_Betim</v>
      </c>
      <c r="C5898" s="238" t="str">
        <f>IFERROR(__xludf.DUMMYFUNCTION("""COMPUTED_VALUE"""),"SOC-MG2")</f>
        <v>SOC-MG2</v>
      </c>
      <c r="D5898" s="234"/>
      <c r="E5898" s="237" t="str">
        <f>IFERROR(__xludf.DUMMYFUNCTION("""COMPUTED_VALUE"""),"LT1Q1R01XR8H1")</f>
        <v>LT1Q1R01XR8H1</v>
      </c>
      <c r="F5898" s="238" t="str">
        <f>IFERROR(__xludf.DUMMYFUNCTION("""COMPUTED_VALUE"""),"TJA3H76,EML4J02")</f>
        <v>TJA3H76,EML4J02</v>
      </c>
      <c r="G5898" s="238">
        <f>IFERROR(__xludf.DUMMYFUNCTION("""COMPUTED_VALUE"""),46049.125)</f>
        <v>46049.125</v>
      </c>
      <c r="H5898" s="238">
        <f>IFERROR(__xludf.DUMMYFUNCTION("""COMPUTED_VALUE"""),46049.5)</f>
        <v>46049.5</v>
      </c>
      <c r="J5898" s="239">
        <v>540.0</v>
      </c>
    </row>
    <row r="5899">
      <c r="A5899" s="234"/>
      <c r="B5899" s="238" t="str">
        <f>IFERROR(__xludf.DUMMYFUNCTION("""COMPUTED_VALUE"""),"SoC_RJ_Duque de Caxias")</f>
        <v>SoC_RJ_Duque de Caxias</v>
      </c>
      <c r="C5899" s="238" t="str">
        <f>IFERROR(__xludf.DUMMYFUNCTION("""COMPUTED_VALUE"""),"SOC-RJ2")</f>
        <v>SOC-RJ2</v>
      </c>
      <c r="D5899" s="234"/>
      <c r="E5899" s="237" t="str">
        <f>IFERROR(__xludf.DUMMYFUNCTION("""COMPUTED_VALUE"""),"LT1Q1R01XR8F1")</f>
        <v>LT1Q1R01XR8F1</v>
      </c>
      <c r="F5899" s="238" t="str">
        <f>IFERROR(__xludf.DUMMYFUNCTION("""COMPUTED_VALUE"""),"FXR4I67,EML0B72")</f>
        <v>FXR4I67,EML0B72</v>
      </c>
      <c r="G5899" s="238">
        <f>IFERROR(__xludf.DUMMYFUNCTION("""COMPUTED_VALUE"""),46049.125)</f>
        <v>46049.125</v>
      </c>
      <c r="H5899" s="238">
        <f>IFERROR(__xludf.DUMMYFUNCTION("""COMPUTED_VALUE"""),46049.5)</f>
        <v>46049.5</v>
      </c>
      <c r="J5899" s="239">
        <v>599.0000000037253</v>
      </c>
    </row>
    <row r="5900">
      <c r="A5900" s="234"/>
      <c r="B5900" s="238" t="str">
        <f>IFERROR(__xludf.DUMMYFUNCTION("""COMPUTED_VALUE"""),"SoC_BA_Simoes Filho")</f>
        <v>SoC_BA_Simoes Filho</v>
      </c>
      <c r="C5900" s="238" t="str">
        <f>IFERROR(__xludf.DUMMYFUNCTION("""COMPUTED_VALUE"""),"SOC-BA2")</f>
        <v>SOC-BA2</v>
      </c>
      <c r="D5900" s="234">
        <f>IFERROR(__xludf.DUMMYFUNCTION("""COMPUTED_VALUE"""),89.0)</f>
        <v>89</v>
      </c>
      <c r="E5900" s="237" t="str">
        <f>IFERROR(__xludf.DUMMYFUNCTION("""COMPUTED_VALUE"""),"LT0Q1R01XIEV1")</f>
        <v>LT0Q1R01XIEV1</v>
      </c>
      <c r="F5900" s="238" t="str">
        <f>IFERROR(__xludf.DUMMYFUNCTION("""COMPUTED_VALUE"""),"QOR3E88,TDQ1J66")</f>
        <v>QOR3E88,TDQ1J66</v>
      </c>
      <c r="G5900" s="238">
        <f>IFERROR(__xludf.DUMMYFUNCTION("""COMPUTED_VALUE"""),46049.25069444445)</f>
        <v>46049.25069</v>
      </c>
      <c r="H5900" s="238">
        <f>IFERROR(__xludf.DUMMYFUNCTION("""COMPUTED_VALUE"""),46049.66666666667)</f>
        <v>46049.66667</v>
      </c>
      <c r="J5900" s="239">
        <v>599.0000000037253</v>
      </c>
    </row>
    <row r="5901">
      <c r="A5901" s="234"/>
      <c r="B5901" s="238" t="str">
        <f>IFERROR(__xludf.DUMMYFUNCTION("""COMPUTED_VALUE"""),"SoC_GO_Goiânia_02")</f>
        <v>SoC_GO_Goiânia_02</v>
      </c>
      <c r="C5901" s="238" t="str">
        <f>IFERROR(__xludf.DUMMYFUNCTION("""COMPUTED_VALUE"""),"SOC-GO2")</f>
        <v>SOC-GO2</v>
      </c>
      <c r="D5901" s="234">
        <f>IFERROR(__xludf.DUMMYFUNCTION("""COMPUTED_VALUE"""),87.0)</f>
        <v>87</v>
      </c>
      <c r="E5901" s="237" t="str">
        <f>IFERROR(__xludf.DUMMYFUNCTION("""COMPUTED_VALUE"""),"LT0Q1R01XIQ53")</f>
        <v>LT0Q1R01XIQ53</v>
      </c>
      <c r="F5901" s="238" t="str">
        <f>IFERROR(__xludf.DUMMYFUNCTION("""COMPUTED_VALUE"""),"INS1H65,BDW7J06")</f>
        <v>INS1H65,BDW7J06</v>
      </c>
      <c r="G5901" s="238">
        <f>IFERROR(__xludf.DUMMYFUNCTION("""COMPUTED_VALUE"""),46049.25069444445)</f>
        <v>46049.25069</v>
      </c>
      <c r="H5901" s="238">
        <f>IFERROR(__xludf.DUMMYFUNCTION("""COMPUTED_VALUE"""),46049.66666666667)</f>
        <v>46049.66667</v>
      </c>
      <c r="J5901" s="239">
        <v>599.0000000037253</v>
      </c>
    </row>
    <row r="5902">
      <c r="A5902" s="234"/>
      <c r="B5902" s="238" t="str">
        <f>IFERROR(__xludf.DUMMYFUNCTION("""COMPUTED_VALUE"""),"SoC_MG_Betim")</f>
        <v>SoC_MG_Betim</v>
      </c>
      <c r="C5902" s="238" t="str">
        <f>IFERROR(__xludf.DUMMYFUNCTION("""COMPUTED_VALUE"""),"SOC-MG2")</f>
        <v>SOC-MG2</v>
      </c>
      <c r="D5902" s="234">
        <f>IFERROR(__xludf.DUMMYFUNCTION("""COMPUTED_VALUE"""),90.0)</f>
        <v>90</v>
      </c>
      <c r="E5902" s="237" t="str">
        <f>IFERROR(__xludf.DUMMYFUNCTION("""COMPUTED_VALUE"""),"LT0Q1R01XM5C1")</f>
        <v>LT0Q1R01XM5C1</v>
      </c>
      <c r="F5902" s="238" t="str">
        <f>IFERROR(__xludf.DUMMYFUNCTION("""COMPUTED_VALUE"""),"HBG0F08,FWO5H10")</f>
        <v>HBG0F08,FWO5H10</v>
      </c>
      <c r="G5902" s="238">
        <f>IFERROR(__xludf.DUMMYFUNCTION("""COMPUTED_VALUE"""),46049.25069444445)</f>
        <v>46049.25069</v>
      </c>
      <c r="H5902" s="238">
        <f>IFERROR(__xludf.DUMMYFUNCTION("""COMPUTED_VALUE"""),46049.66666666667)</f>
        <v>46049.66667</v>
      </c>
      <c r="J5902" s="239">
        <v>599.0000000037253</v>
      </c>
    </row>
    <row r="5903">
      <c r="A5903" s="234"/>
      <c r="B5903" s="238" t="str">
        <f>IFERROR(__xludf.DUMMYFUNCTION("""COMPUTED_VALUE"""),"SoC_RS_Gravataí_02")</f>
        <v>SoC_RS_Gravataí_02</v>
      </c>
      <c r="C5903" s="238" t="str">
        <f>IFERROR(__xludf.DUMMYFUNCTION("""COMPUTED_VALUE"""),"SOC-RS2")</f>
        <v>SOC-RS2</v>
      </c>
      <c r="D5903" s="234">
        <f>IFERROR(__xludf.DUMMYFUNCTION("""COMPUTED_VALUE"""),92.0)</f>
        <v>92</v>
      </c>
      <c r="E5903" s="237" t="str">
        <f>IFERROR(__xludf.DUMMYFUNCTION("""COMPUTED_VALUE"""),"LT0Q1R01XISC2")</f>
        <v>LT0Q1R01XISC2</v>
      </c>
      <c r="F5903" s="238" t="str">
        <f>IFERROR(__xludf.DUMMYFUNCTION("""COMPUTED_VALUE"""),"FLX5D99,SUM0H63")</f>
        <v>FLX5D99,SUM0H63</v>
      </c>
      <c r="G5903" s="238">
        <f>IFERROR(__xludf.DUMMYFUNCTION("""COMPUTED_VALUE"""),46049.25069444445)</f>
        <v>46049.25069</v>
      </c>
      <c r="H5903" s="238">
        <f>IFERROR(__xludf.DUMMYFUNCTION("""COMPUTED_VALUE"""),46049.66666666667)</f>
        <v>46049.66667</v>
      </c>
      <c r="J5903" s="239">
        <v>599.0000000037253</v>
      </c>
    </row>
    <row r="5904">
      <c r="A5904" s="234"/>
      <c r="B5904" s="238" t="str">
        <f>IFERROR(__xludf.DUMMYFUNCTION("""COMPUTED_VALUE"""),"SoC_SC_Itajaí")</f>
        <v>SoC_SC_Itajaí</v>
      </c>
      <c r="C5904" s="238" t="str">
        <f>IFERROR(__xludf.DUMMYFUNCTION("""COMPUTED_VALUE"""),"SOC-SC1")</f>
        <v>SOC-SC1</v>
      </c>
      <c r="D5904" s="234">
        <f>IFERROR(__xludf.DUMMYFUNCTION("""COMPUTED_VALUE"""),100.0)</f>
        <v>100</v>
      </c>
      <c r="E5904" s="237" t="str">
        <f>IFERROR(__xludf.DUMMYFUNCTION("""COMPUTED_VALUE"""),"LT0Q1R01XHHE1")</f>
        <v>LT0Q1R01XHHE1</v>
      </c>
      <c r="F5904" s="238" t="str">
        <f>IFERROR(__xludf.DUMMYFUNCTION("""COMPUTED_VALUE"""),"SXX3H06,SXW7B62")</f>
        <v>SXX3H06,SXW7B62</v>
      </c>
      <c r="G5904" s="238">
        <f>IFERROR(__xludf.DUMMYFUNCTION("""COMPUTED_VALUE"""),46049.25069444445)</f>
        <v>46049.25069</v>
      </c>
      <c r="H5904" s="238">
        <f>IFERROR(__xludf.DUMMYFUNCTION("""COMPUTED_VALUE"""),46049.66666666667)</f>
        <v>46049.66667</v>
      </c>
      <c r="J5904" s="239">
        <v>598.0000000004657</v>
      </c>
    </row>
    <row r="5905">
      <c r="A5905" s="234"/>
      <c r="B5905" s="238" t="str">
        <f>IFERROR(__xludf.DUMMYFUNCTION("""COMPUTED_VALUE"""),"SoC_PE_Jaboatão dos Guararapes")</f>
        <v>SoC_PE_Jaboatão dos Guararapes</v>
      </c>
      <c r="C5905" s="238" t="str">
        <f>IFERROR(__xludf.DUMMYFUNCTION("""COMPUTED_VALUE"""),"SOC-PE2")</f>
        <v>SOC-PE2</v>
      </c>
      <c r="D5905" s="234">
        <f>IFERROR(__xludf.DUMMYFUNCTION("""COMPUTED_VALUE"""),98.0)</f>
        <v>98</v>
      </c>
      <c r="E5905" s="237" t="str">
        <f>IFERROR(__xludf.DUMMYFUNCTION("""COMPUTED_VALUE"""),"LT0Q1R01XIBH1")</f>
        <v>LT0Q1R01XIBH1</v>
      </c>
      <c r="F5905" s="238" t="str">
        <f>IFERROR(__xludf.DUMMYFUNCTION("""COMPUTED_VALUE"""),"OWT4G46,GGG8I49")</f>
        <v>OWT4G46,GGG8I49</v>
      </c>
      <c r="G5905" s="238">
        <f>IFERROR(__xludf.DUMMYFUNCTION("""COMPUTED_VALUE"""),46049.25138888889)</f>
        <v>46049.25139</v>
      </c>
      <c r="H5905" s="238">
        <f>IFERROR(__xludf.DUMMYFUNCTION("""COMPUTED_VALUE"""),46049.66666666667)</f>
        <v>46049.66667</v>
      </c>
      <c r="J5905" s="239">
        <v>599.0000000037253</v>
      </c>
    </row>
    <row r="5906">
      <c r="A5906" s="234"/>
      <c r="B5906" s="238" t="str">
        <f>IFERROR(__xludf.DUMMYFUNCTION("""COMPUTED_VALUE"""),"SoC_RJ_Duque de Caxias")</f>
        <v>SoC_RJ_Duque de Caxias</v>
      </c>
      <c r="C5906" s="238" t="str">
        <f>IFERROR(__xludf.DUMMYFUNCTION("""COMPUTED_VALUE"""),"SOC-RJ2")</f>
        <v>SOC-RJ2</v>
      </c>
      <c r="D5906" s="234">
        <f>IFERROR(__xludf.DUMMYFUNCTION("""COMPUTED_VALUE"""),96.0)</f>
        <v>96</v>
      </c>
      <c r="E5906" s="237" t="str">
        <f>IFERROR(__xludf.DUMMYFUNCTION("""COMPUTED_VALUE"""),"LT0Q1R01XF8M1")</f>
        <v>LT0Q1R01XF8M1</v>
      </c>
      <c r="F5906" s="238" t="str">
        <f>IFERROR(__xludf.DUMMYFUNCTION("""COMPUTED_VALUE"""),"EVD4B19,EVW7D14")</f>
        <v>EVD4B19,EVW7D14</v>
      </c>
      <c r="G5906" s="238">
        <f>IFERROR(__xludf.DUMMYFUNCTION("""COMPUTED_VALUE"""),46049.334027777775)</f>
        <v>46049.33403</v>
      </c>
      <c r="H5906" s="238">
        <f>IFERROR(__xludf.DUMMYFUNCTION("""COMPUTED_VALUE"""),46049.75)</f>
        <v>46049.75</v>
      </c>
      <c r="J5906" s="239">
        <v>119.00000001071021</v>
      </c>
    </row>
    <row r="5907">
      <c r="A5907" s="234"/>
      <c r="B5907" s="238" t="str">
        <f>IFERROR(__xludf.DUMMYFUNCTION("""COMPUTED_VALUE"""),"LM Hub_SP_Jardim Adriana")</f>
        <v>LM Hub_SP_Jardim Adriana</v>
      </c>
      <c r="C5907" s="238" t="str">
        <f>IFERROR(__xludf.DUMMYFUNCTION("""COMPUTED_VALUE"""),"HUB-LSP-12")</f>
        <v>HUB-LSP-12</v>
      </c>
      <c r="D5907" s="234">
        <f>IFERROR(__xludf.DUMMYFUNCTION("""COMPUTED_VALUE"""),32.0)</f>
        <v>32</v>
      </c>
      <c r="E5907" s="237" t="str">
        <f>IFERROR(__xludf.DUMMYFUNCTION("""COMPUTED_VALUE"""),"LT0Q1R01XDDH1")</f>
        <v>LT0Q1R01XDDH1</v>
      </c>
      <c r="F5907" s="238" t="str">
        <f>IFERROR(__xludf.DUMMYFUNCTION("""COMPUTED_VALUE"""),"EVU4B22")</f>
        <v>EVU4B22</v>
      </c>
      <c r="G5907" s="238">
        <f>IFERROR(__xludf.DUMMYFUNCTION("""COMPUTED_VALUE"""),46049.896527777775)</f>
        <v>46049.89653</v>
      </c>
      <c r="H5907" s="238">
        <f>IFERROR(__xludf.DUMMYFUNCTION("""COMPUTED_VALUE"""),46049.97916666667)</f>
        <v>46049.97917</v>
      </c>
      <c r="J5907" s="239">
        <v>120.00000001396984</v>
      </c>
    </row>
    <row r="5908">
      <c r="A5908" s="234"/>
      <c r="B5908" s="238" t="str">
        <f>IFERROR(__xludf.DUMMYFUNCTION("""COMPUTED_VALUE"""),"LM Hub_SP_Santos_Praia Grande")</f>
        <v>LM Hub_SP_Santos_Praia Grande</v>
      </c>
      <c r="C5908" s="238" t="str">
        <f>IFERROR(__xludf.DUMMYFUNCTION("""COMPUTED_VALUE"""),"HUB-LSP-09")</f>
        <v>HUB-LSP-09</v>
      </c>
      <c r="D5908" s="234">
        <f>IFERROR(__xludf.DUMMYFUNCTION("""COMPUTED_VALUE"""),34.0)</f>
        <v>34</v>
      </c>
      <c r="E5908" s="237" t="str">
        <f>IFERROR(__xludf.DUMMYFUNCTION("""COMPUTED_VALUE"""),"LT0Q1R01XDGZ1")</f>
        <v>LT0Q1R01XDGZ1</v>
      </c>
      <c r="F5908" s="238" t="str">
        <f>IFERROR(__xludf.DUMMYFUNCTION("""COMPUTED_VALUE"""),"FDF6G51,FCW8D21")</f>
        <v>FDF6G51,FCW8D21</v>
      </c>
      <c r="G5908" s="238">
        <f>IFERROR(__xludf.DUMMYFUNCTION("""COMPUTED_VALUE"""),46049.89583333333)</f>
        <v>46049.89583</v>
      </c>
      <c r="H5908" s="238">
        <f>IFERROR(__xludf.DUMMYFUNCTION("""COMPUTED_VALUE"""),46049.97916666667)</f>
        <v>46049.97917</v>
      </c>
      <c r="J5908" s="239">
        <v>118.00000000745058</v>
      </c>
    </row>
    <row r="5909">
      <c r="A5909" s="234"/>
      <c r="B5909" s="238" t="str">
        <f>IFERROR(__xludf.DUMMYFUNCTION("""COMPUTED_VALUE"""),"LM Hub_SP_Jurubatuba")</f>
        <v>LM Hub_SP_Jurubatuba</v>
      </c>
      <c r="C5909" s="238" t="str">
        <f>IFERROR(__xludf.DUMMYFUNCTION("""COMPUTED_VALUE"""),"HUB-LSP-16")</f>
        <v>HUB-LSP-16</v>
      </c>
      <c r="D5909" s="234">
        <f>IFERROR(__xludf.DUMMYFUNCTION("""COMPUTED_VALUE"""),19.0)</f>
        <v>19</v>
      </c>
      <c r="E5909" s="237" t="str">
        <f>IFERROR(__xludf.DUMMYFUNCTION("""COMPUTED_VALUE"""),"LT0Q1R01XM651")</f>
        <v>LT0Q1R01XM651</v>
      </c>
      <c r="F5909" s="238" t="str">
        <f>IFERROR(__xludf.DUMMYFUNCTION("""COMPUTED_VALUE"""),"FYQ5533")</f>
        <v>FYQ5533</v>
      </c>
      <c r="G5909" s="238">
        <f>IFERROR(__xludf.DUMMYFUNCTION("""COMPUTED_VALUE"""),46049.89722222222)</f>
        <v>46049.89722</v>
      </c>
      <c r="H5909" s="238">
        <f>IFERROR(__xludf.DUMMYFUNCTION("""COMPUTED_VALUE"""),46049.97916666667)</f>
        <v>46049.97917</v>
      </c>
      <c r="J5909" s="239">
        <v>60.00000000698492</v>
      </c>
    </row>
    <row r="5910">
      <c r="A5910" s="234"/>
      <c r="B5910" s="234" t="str">
        <f>IFERROR(__xludf.DUMMYFUNCTION("""COMPUTED_VALUE"""),"Hub_SP_VilaGuilherme")</f>
        <v>Hub_SP_VilaGuilherme</v>
      </c>
      <c r="C5910" s="234" t="str">
        <f>IFERROR(__xludf.DUMMYFUNCTION("""COMPUTED_VALUE"""),"HUB")</f>
        <v>HUB</v>
      </c>
      <c r="D5910" s="234">
        <f>IFERROR(__xludf.DUMMYFUNCTION("""COMPUTED_VALUE"""),48.0)</f>
        <v>48</v>
      </c>
      <c r="E5910" s="237" t="str">
        <f>IFERROR(__xludf.DUMMYFUNCTION("""COMPUTED_VALUE"""),"LT1Q1R01XRLO1")</f>
        <v>LT1Q1R01XRLO1</v>
      </c>
      <c r="F5910" s="238" t="str">
        <f>IFERROR(__xludf.DUMMYFUNCTION("""COMPUTED_VALUE"""),"TLM1G50")</f>
        <v>TLM1G50</v>
      </c>
      <c r="G5910" s="238">
        <f>IFERROR(__xludf.DUMMYFUNCTION("""COMPUTED_VALUE"""),46049.9375)</f>
        <v>46049.9375</v>
      </c>
      <c r="H5910" s="238">
        <f>IFERROR(__xludf.DUMMYFUNCTION("""COMPUTED_VALUE"""),46049.97916666667)</f>
        <v>46049.97917</v>
      </c>
      <c r="J5910" s="239">
        <v>118.99999998975545</v>
      </c>
    </row>
    <row r="5911">
      <c r="A5911" s="234"/>
      <c r="B5911" s="238" t="str">
        <f>IFERROR(__xludf.DUMMYFUNCTION("""COMPUTED_VALUE"""),"LM Hub_SP_Guarujá")</f>
        <v>LM Hub_SP_Guarujá</v>
      </c>
      <c r="C5911" s="238" t="str">
        <f>IFERROR(__xludf.DUMMYFUNCTION("""COMPUTED_VALUE"""),"HUB-LSP-06")</f>
        <v>HUB-LSP-06</v>
      </c>
      <c r="D5911" s="234">
        <f>IFERROR(__xludf.DUMMYFUNCTION("""COMPUTED_VALUE"""),35.0)</f>
        <v>35</v>
      </c>
      <c r="E5911" s="237" t="str">
        <f>IFERROR(__xludf.DUMMYFUNCTION("""COMPUTED_VALUE"""),"LT0Q1R01XDFZ1")</f>
        <v>LT0Q1R01XDFZ1</v>
      </c>
      <c r="F5911" s="238" t="str">
        <f>IFERROR(__xludf.DUMMYFUNCTION("""COMPUTED_VALUE"""),"TJN5H17")</f>
        <v>TJN5H17</v>
      </c>
      <c r="G5911" s="238">
        <f>IFERROR(__xludf.DUMMYFUNCTION("""COMPUTED_VALUE"""),46049.91666666667)</f>
        <v>46049.91667</v>
      </c>
      <c r="H5911" s="238">
        <f>IFERROR(__xludf.DUMMYFUNCTION("""COMPUTED_VALUE"""),46049.99930555555)</f>
        <v>46049.99931</v>
      </c>
      <c r="J5911" s="239">
        <v>119.99999999301508</v>
      </c>
    </row>
    <row r="5912">
      <c r="A5912" s="234"/>
      <c r="B5912" s="238" t="str">
        <f>IFERROR(__xludf.DUMMYFUNCTION("""COMPUTED_VALUE"""),"LM Hub_SP_Artur Alvim")</f>
        <v>LM Hub_SP_Artur Alvim</v>
      </c>
      <c r="C5912" s="238" t="str">
        <f>IFERROR(__xludf.DUMMYFUNCTION("""COMPUTED_VALUE"""),"HUB-LSP-07")</f>
        <v>HUB-LSP-07</v>
      </c>
      <c r="D5912" s="234">
        <f>IFERROR(__xludf.DUMMYFUNCTION("""COMPUTED_VALUE"""),18.0)</f>
        <v>18</v>
      </c>
      <c r="E5912" s="237" t="str">
        <f>IFERROR(__xludf.DUMMYFUNCTION("""COMPUTED_VALUE"""),"LT0Q1R01XDDC1")</f>
        <v>LT0Q1R01XDDC1</v>
      </c>
      <c r="F5912" s="238" t="str">
        <f>IFERROR(__xludf.DUMMYFUNCTION("""COMPUTED_VALUE"""),"OUV2G66,JMU8H37")</f>
        <v>OUV2G66,JMU8H37</v>
      </c>
      <c r="G5912" s="238">
        <f>IFERROR(__xludf.DUMMYFUNCTION("""COMPUTED_VALUE"""),46049.91666666667)</f>
        <v>46049.91667</v>
      </c>
      <c r="H5912" s="238">
        <f>IFERROR(__xludf.DUMMYFUNCTION("""COMPUTED_VALUE"""),46050.0)</f>
        <v>46050</v>
      </c>
      <c r="J5912" s="239">
        <v>119.99999999301508</v>
      </c>
    </row>
    <row r="5913">
      <c r="A5913" s="234"/>
      <c r="B5913" s="238" t="str">
        <f>IFERROR(__xludf.DUMMYFUNCTION("""COMPUTED_VALUE"""),"LM Hub_SP_Itapevi")</f>
        <v>LM Hub_SP_Itapevi</v>
      </c>
      <c r="C5913" s="238" t="str">
        <f>IFERROR(__xludf.DUMMYFUNCTION("""COMPUTED_VALUE"""),"HUB-LSP-41")</f>
        <v>HUB-LSP-41</v>
      </c>
      <c r="D5913" s="234">
        <f>IFERROR(__xludf.DUMMYFUNCTION("""COMPUTED_VALUE"""),39.0)</f>
        <v>39</v>
      </c>
      <c r="E5913" s="237" t="str">
        <f>IFERROR(__xludf.DUMMYFUNCTION("""COMPUTED_VALUE"""),"LT0Q1R01XDER1")</f>
        <v>LT0Q1R01XDER1</v>
      </c>
      <c r="F5913" s="238" t="str">
        <f>IFERROR(__xludf.DUMMYFUNCTION("""COMPUTED_VALUE"""),"BCS4J31,DJB0J76")</f>
        <v>BCS4J31,DJB0J76</v>
      </c>
      <c r="G5913" s="238">
        <f>IFERROR(__xludf.DUMMYFUNCTION("""COMPUTED_VALUE"""),46049.91666666667)</f>
        <v>46049.91667</v>
      </c>
      <c r="H5913" s="238">
        <f>IFERROR(__xludf.DUMMYFUNCTION("""COMPUTED_VALUE"""),46050.0)</f>
        <v>46050</v>
      </c>
      <c r="J5913" s="239">
        <v>119.99999999301508</v>
      </c>
    </row>
    <row r="5914">
      <c r="A5914" s="234"/>
      <c r="B5914" s="238" t="str">
        <f>IFERROR(__xludf.DUMMYFUNCTION("""COMPUTED_VALUE"""),"LM Hub_SP_Osasco_02")</f>
        <v>LM Hub_SP_Osasco_02</v>
      </c>
      <c r="C5914" s="238" t="str">
        <f>IFERROR(__xludf.DUMMYFUNCTION("""COMPUTED_VALUE"""),"HUB-LSP-60")</f>
        <v>HUB-LSP-60</v>
      </c>
      <c r="D5914" s="234">
        <f>IFERROR(__xludf.DUMMYFUNCTION("""COMPUTED_VALUE"""),33.0)</f>
        <v>33</v>
      </c>
      <c r="E5914" s="237" t="str">
        <f>IFERROR(__xludf.DUMMYFUNCTION("""COMPUTED_VALUE"""),"LT0Q1R01XDEX1")</f>
        <v>LT0Q1R01XDEX1</v>
      </c>
      <c r="F5914" s="238" t="str">
        <f>IFERROR(__xludf.DUMMYFUNCTION("""COMPUTED_VALUE"""),"FUZ6B23,FUA8006")</f>
        <v>FUZ6B23,FUA8006</v>
      </c>
      <c r="G5914" s="238">
        <f>IFERROR(__xludf.DUMMYFUNCTION("""COMPUTED_VALUE"""),46049.91666666667)</f>
        <v>46049.91667</v>
      </c>
      <c r="H5914" s="238">
        <f>IFERROR(__xludf.DUMMYFUNCTION("""COMPUTED_VALUE"""),46050.0)</f>
        <v>46050</v>
      </c>
      <c r="J5914" s="239">
        <v>119.99999999301508</v>
      </c>
    </row>
    <row r="5915">
      <c r="A5915" s="234"/>
      <c r="B5915" s="238" t="str">
        <f>IFERROR(__xludf.DUMMYFUNCTION("""COMPUTED_VALUE"""),"LM Hub_SP_Mauá")</f>
        <v>LM Hub_SP_Mauá</v>
      </c>
      <c r="C5915" s="238" t="str">
        <f>IFERROR(__xludf.DUMMYFUNCTION("""COMPUTED_VALUE"""),"HUB-LSP-64")</f>
        <v>HUB-LSP-64</v>
      </c>
      <c r="D5915" s="234">
        <f>IFERROR(__xludf.DUMMYFUNCTION("""COMPUTED_VALUE"""),25.0)</f>
        <v>25</v>
      </c>
      <c r="E5915" s="237" t="str">
        <f>IFERROR(__xludf.DUMMYFUNCTION("""COMPUTED_VALUE"""),"LT0Q1R01XDF31")</f>
        <v>LT0Q1R01XDF31</v>
      </c>
      <c r="F5915" s="238" t="str">
        <f>IFERROR(__xludf.DUMMYFUNCTION("""COMPUTED_VALUE"""),"FQF6B98,DTA7802")</f>
        <v>FQF6B98,DTA7802</v>
      </c>
      <c r="G5915" s="238">
        <f>IFERROR(__xludf.DUMMYFUNCTION("""COMPUTED_VALUE"""),46049.91666666667)</f>
        <v>46049.91667</v>
      </c>
      <c r="H5915" s="238">
        <f>IFERROR(__xludf.DUMMYFUNCTION("""COMPUTED_VALUE"""),46050.0)</f>
        <v>46050</v>
      </c>
      <c r="J5915" s="239">
        <v>119.99999999301508</v>
      </c>
    </row>
    <row r="5916">
      <c r="A5916" s="234"/>
      <c r="B5916" s="238" t="str">
        <f>IFERROR(__xludf.DUMMYFUNCTION("""COMPUTED_VALUE"""),"LM Hub_SP_Limeira_Campo Belo")</f>
        <v>LM Hub_SP_Limeira_Campo Belo</v>
      </c>
      <c r="C5916" s="238" t="str">
        <f>IFERROR(__xludf.DUMMYFUNCTION("""COMPUTED_VALUE"""),"HUB-LSP-24")</f>
        <v>HUB-LSP-24</v>
      </c>
      <c r="D5916" s="234">
        <f>IFERROR(__xludf.DUMMYFUNCTION("""COMPUTED_VALUE"""),28.0)</f>
        <v>28</v>
      </c>
      <c r="E5916" s="237" t="str">
        <f>IFERROR(__xludf.DUMMYFUNCTION("""COMPUTED_VALUE"""),"LT0Q1R01XDHM1")</f>
        <v>LT0Q1R01XDHM1</v>
      </c>
      <c r="F5916" s="238" t="str">
        <f>IFERROR(__xludf.DUMMYFUNCTION("""COMPUTED_VALUE"""),"STS7H95,TAX1I64")</f>
        <v>STS7H95,TAX1I64</v>
      </c>
      <c r="G5916" s="238">
        <f>IFERROR(__xludf.DUMMYFUNCTION("""COMPUTED_VALUE"""),46049.91666666667)</f>
        <v>46049.91667</v>
      </c>
      <c r="H5916" s="238">
        <f>IFERROR(__xludf.DUMMYFUNCTION("""COMPUTED_VALUE"""),46050.0)</f>
        <v>46050</v>
      </c>
      <c r="J5916" s="239">
        <v>119.99999999301508</v>
      </c>
    </row>
    <row r="5917">
      <c r="A5917" s="234"/>
      <c r="B5917" s="238" t="str">
        <f>IFERROR(__xludf.DUMMYFUNCTION("""COMPUTED_VALUE"""),"LM Hub_SP_Guarulhos")</f>
        <v>LM Hub_SP_Guarulhos</v>
      </c>
      <c r="C5917" s="238" t="str">
        <f>IFERROR(__xludf.DUMMYFUNCTION("""COMPUTED_VALUE"""),"HUB-LSP-77")</f>
        <v>HUB-LSP-77</v>
      </c>
      <c r="D5917" s="234">
        <f>IFERROR(__xludf.DUMMYFUNCTION("""COMPUTED_VALUE"""),22.0)</f>
        <v>22</v>
      </c>
      <c r="E5917" s="237" t="str">
        <f>IFERROR(__xludf.DUMMYFUNCTION("""COMPUTED_VALUE"""),"LT0Q1R01XE461")</f>
        <v>LT0Q1R01XE461</v>
      </c>
      <c r="F5917" s="238" t="str">
        <f>IFERROR(__xludf.DUMMYFUNCTION("""COMPUTED_VALUE"""),"MFO5E94,JXB0B94")</f>
        <v>MFO5E94,JXB0B94</v>
      </c>
      <c r="G5917" s="238">
        <f>IFERROR(__xludf.DUMMYFUNCTION("""COMPUTED_VALUE"""),46049.91666666667)</f>
        <v>46049.91667</v>
      </c>
      <c r="H5917" s="238">
        <f>IFERROR(__xludf.DUMMYFUNCTION("""COMPUTED_VALUE"""),46050.0)</f>
        <v>46050</v>
      </c>
      <c r="J5917" s="239">
        <v>119.99999999301508</v>
      </c>
    </row>
    <row r="5918">
      <c r="A5918" s="234"/>
      <c r="B5918" s="238" t="str">
        <f>IFERROR(__xludf.DUMMYFUNCTION("""COMPUTED_VALUE"""),"LM Hub_SP_Barueri_01")</f>
        <v>LM Hub_SP_Barueri_01</v>
      </c>
      <c r="C5918" s="238" t="str">
        <f>IFERROR(__xludf.DUMMYFUNCTION("""COMPUTED_VALUE"""),"HUB-LSP-81")</f>
        <v>HUB-LSP-81</v>
      </c>
      <c r="D5918" s="234">
        <f>IFERROR(__xludf.DUMMYFUNCTION("""COMPUTED_VALUE"""),24.0)</f>
        <v>24</v>
      </c>
      <c r="E5918" s="237" t="str">
        <f>IFERROR(__xludf.DUMMYFUNCTION("""COMPUTED_VALUE"""),"LT0Q1R01XI3N1")</f>
        <v>LT0Q1R01XI3N1</v>
      </c>
      <c r="F5918" s="238" t="str">
        <f>IFERROR(__xludf.DUMMYFUNCTION("""COMPUTED_VALUE"""),"SUQ5C99,TLD5B82")</f>
        <v>SUQ5C99,TLD5B82</v>
      </c>
      <c r="G5918" s="238">
        <f>IFERROR(__xludf.DUMMYFUNCTION("""COMPUTED_VALUE"""),46049.91666666667)</f>
        <v>46049.91667</v>
      </c>
      <c r="H5918" s="238">
        <f>IFERROR(__xludf.DUMMYFUNCTION("""COMPUTED_VALUE"""),46050.0)</f>
        <v>46050</v>
      </c>
      <c r="J5918" s="239">
        <v>119.99999999301508</v>
      </c>
    </row>
    <row r="5919">
      <c r="A5919" s="234"/>
      <c r="B5919" s="238" t="str">
        <f>IFERROR(__xludf.DUMMYFUNCTION("""COMPUTED_VALUE"""),"LM Hub_SP_Jundiaí")</f>
        <v>LM Hub_SP_Jundiaí</v>
      </c>
      <c r="C5919" s="238" t="str">
        <f>IFERROR(__xludf.DUMMYFUNCTION("""COMPUTED_VALUE"""),"HUB-LSP-100")</f>
        <v>HUB-LSP-100</v>
      </c>
      <c r="D5919" s="234">
        <f>IFERROR(__xludf.DUMMYFUNCTION("""COMPUTED_VALUE"""),14.0)</f>
        <v>14</v>
      </c>
      <c r="E5919" s="237" t="str">
        <f>IFERROR(__xludf.DUMMYFUNCTION("""COMPUTED_VALUE"""),"LT0Q1R01XJI11")</f>
        <v>LT0Q1R01XJI11</v>
      </c>
      <c r="F5919" s="238" t="str">
        <f>IFERROR(__xludf.DUMMYFUNCTION("""COMPUTED_VALUE"""),"EXS3J90,APX1C88")</f>
        <v>EXS3J90,APX1C88</v>
      </c>
      <c r="G5919" s="238">
        <f>IFERROR(__xludf.DUMMYFUNCTION("""COMPUTED_VALUE"""),46049.91666666667)</f>
        <v>46049.91667</v>
      </c>
      <c r="H5919" s="238">
        <f>IFERROR(__xludf.DUMMYFUNCTION("""COMPUTED_VALUE"""),46050.0)</f>
        <v>46050</v>
      </c>
      <c r="J5919" s="239">
        <v>119.99999999301508</v>
      </c>
    </row>
    <row r="5920">
      <c r="A5920" s="234"/>
      <c r="B5920" s="238" t="str">
        <f>IFERROR(__xludf.DUMMYFUNCTION("""COMPUTED_VALUE"""),"LM Hub_SP_São Paulo_Carandiru")</f>
        <v>LM Hub_SP_São Paulo_Carandiru</v>
      </c>
      <c r="C5920" s="238" t="str">
        <f>IFERROR(__xludf.DUMMYFUNCTION("""COMPUTED_VALUE"""),"HUB-LSP-18")</f>
        <v>HUB-LSP-18</v>
      </c>
      <c r="D5920" s="234">
        <f>IFERROR(__xludf.DUMMYFUNCTION("""COMPUTED_VALUE"""),45.0)</f>
        <v>45</v>
      </c>
      <c r="E5920" s="237" t="str">
        <f>IFERROR(__xludf.DUMMYFUNCTION("""COMPUTED_VALUE"""),"LT1Q1R01XR0H1")</f>
        <v>LT1Q1R01XR0H1</v>
      </c>
      <c r="F5920" s="238" t="str">
        <f>IFERROR(__xludf.DUMMYFUNCTION("""COMPUTED_VALUE"""),"FFZ6B79")</f>
        <v>FFZ6B79</v>
      </c>
      <c r="G5920" s="238">
        <f>IFERROR(__xludf.DUMMYFUNCTION("""COMPUTED_VALUE"""),46049.91666666667)</f>
        <v>46049.91667</v>
      </c>
      <c r="H5920" s="238">
        <f>IFERROR(__xludf.DUMMYFUNCTION("""COMPUTED_VALUE"""),46050.0)</f>
        <v>46050</v>
      </c>
      <c r="J5920" s="239">
        <v>118.00000000745058</v>
      </c>
    </row>
    <row r="5921">
      <c r="A5921" s="234"/>
      <c r="B5921" s="238" t="str">
        <f>IFERROR(__xludf.DUMMYFUNCTION("""COMPUTED_VALUE"""),"LM Hub_SP_Santo André")</f>
        <v>LM Hub_SP_Santo André</v>
      </c>
      <c r="C5921" s="238" t="str">
        <f>IFERROR(__xludf.DUMMYFUNCTION("""COMPUTED_VALUE"""),"HUB-LSP-93")</f>
        <v>HUB-LSP-93</v>
      </c>
      <c r="D5921" s="234">
        <f>IFERROR(__xludf.DUMMYFUNCTION("""COMPUTED_VALUE"""),27.0)</f>
        <v>27</v>
      </c>
      <c r="E5921" s="237" t="str">
        <f>IFERROR(__xludf.DUMMYFUNCTION("""COMPUTED_VALUE"""),"LT0Q1R01XFOO1")</f>
        <v>LT0Q1R01XFOO1</v>
      </c>
      <c r="F5921" s="238" t="str">
        <f>IFERROR(__xludf.DUMMYFUNCTION("""COMPUTED_VALUE"""),"FXQ8H67,EZL9D42")</f>
        <v>FXQ8H67,EZL9D42</v>
      </c>
      <c r="G5921" s="238">
        <f>IFERROR(__xludf.DUMMYFUNCTION("""COMPUTED_VALUE"""),46049.91805555555)</f>
        <v>46049.91806</v>
      </c>
      <c r="H5921" s="238">
        <f>IFERROR(__xludf.DUMMYFUNCTION("""COMPUTED_VALUE"""),46050.0)</f>
        <v>46050</v>
      </c>
      <c r="J5921" s="239">
        <v>119.99999999301508</v>
      </c>
    </row>
    <row r="5922">
      <c r="A5922" s="234"/>
      <c r="B5922" s="238" t="str">
        <f>IFERROR(__xludf.DUMMYFUNCTION("""COMPUTED_VALUE"""),"LM Hub_SP_Sorocaba_Região Norte")</f>
        <v>LM Hub_SP_Sorocaba_Região Norte</v>
      </c>
      <c r="C5922" s="238" t="str">
        <f>IFERROR(__xludf.DUMMYFUNCTION("""COMPUTED_VALUE"""),"HUB-LSP-10")</f>
        <v>HUB-LSP-10</v>
      </c>
      <c r="D5922" s="234">
        <f>IFERROR(__xludf.DUMMYFUNCTION("""COMPUTED_VALUE"""),15.0)</f>
        <v>15</v>
      </c>
      <c r="E5922" s="237" t="str">
        <f>IFERROR(__xludf.DUMMYFUNCTION("""COMPUTED_VALUE"""),"LT0Q1R01XDHC1")</f>
        <v>LT0Q1R01XDHC1</v>
      </c>
      <c r="F5922" s="238" t="str">
        <f>IFERROR(__xludf.DUMMYFUNCTION("""COMPUTED_VALUE"""),"UAX1H38,UGQ4G38")</f>
        <v>UAX1H38,UGQ4G38</v>
      </c>
      <c r="G5922" s="238">
        <f>IFERROR(__xludf.DUMMYFUNCTION("""COMPUTED_VALUE"""),46049.9375)</f>
        <v>46049.9375</v>
      </c>
      <c r="H5922" s="238">
        <f>IFERROR(__xludf.DUMMYFUNCTION("""COMPUTED_VALUE"""),46050.02083333333)</f>
        <v>46050.02083</v>
      </c>
      <c r="J5922" s="239">
        <v>119.99999999301508</v>
      </c>
    </row>
    <row r="5923">
      <c r="A5923" s="234"/>
      <c r="B5923" s="238" t="str">
        <f>IFERROR(__xludf.DUMMYFUNCTION("""COMPUTED_VALUE"""),"LM Hub_SP_Piracicaba")</f>
        <v>LM Hub_SP_Piracicaba</v>
      </c>
      <c r="C5923" s="238" t="str">
        <f>IFERROR(__xludf.DUMMYFUNCTION("""COMPUTED_VALUE"""),"HUB-LSP-62")</f>
        <v>HUB-LSP-62</v>
      </c>
      <c r="D5923" s="234">
        <f>IFERROR(__xludf.DUMMYFUNCTION("""COMPUTED_VALUE"""),26.0)</f>
        <v>26</v>
      </c>
      <c r="E5923" s="237" t="str">
        <f>IFERROR(__xludf.DUMMYFUNCTION("""COMPUTED_VALUE"""),"LT0Q1R01XE4I1")</f>
        <v>LT0Q1R01XE4I1</v>
      </c>
      <c r="F5923" s="238" t="str">
        <f>IFERROR(__xludf.DUMMYFUNCTION("""COMPUTED_VALUE"""),"EGB0G74,BKO8351")</f>
        <v>EGB0G74,BKO8351</v>
      </c>
      <c r="G5923" s="238">
        <f>IFERROR(__xludf.DUMMYFUNCTION("""COMPUTED_VALUE"""),46049.9375)</f>
        <v>46049.9375</v>
      </c>
      <c r="H5923" s="238">
        <f>IFERROR(__xludf.DUMMYFUNCTION("""COMPUTED_VALUE"""),46050.02083333333)</f>
        <v>46050.02083</v>
      </c>
      <c r="J5923" s="239">
        <v>119.99999999301508</v>
      </c>
    </row>
    <row r="5924">
      <c r="A5924" s="234"/>
      <c r="B5924" s="238" t="str">
        <f>IFERROR(__xludf.DUMMYFUNCTION("""COMPUTED_VALUE"""),"LM Hub_SP_Suzano_Baruel")</f>
        <v>LM Hub_SP_Suzano_Baruel</v>
      </c>
      <c r="C5924" s="238" t="str">
        <f>IFERROR(__xludf.DUMMYFUNCTION("""COMPUTED_VALUE"""),"HUB-LSP-97")</f>
        <v>HUB-LSP-97</v>
      </c>
      <c r="D5924" s="234">
        <f>IFERROR(__xludf.DUMMYFUNCTION("""COMPUTED_VALUE"""),36.0)</f>
        <v>36</v>
      </c>
      <c r="E5924" s="237" t="str">
        <f>IFERROR(__xludf.DUMMYFUNCTION("""COMPUTED_VALUE"""),"LT0Q1R01XJTT1")</f>
        <v>LT0Q1R01XJTT1</v>
      </c>
      <c r="F5924" s="238" t="str">
        <f>IFERROR(__xludf.DUMMYFUNCTION("""COMPUTED_VALUE"""),"RJG8E37,FCG5D30")</f>
        <v>RJG8E37,FCG5D30</v>
      </c>
      <c r="G5924" s="238">
        <f>IFERROR(__xludf.DUMMYFUNCTION("""COMPUTED_VALUE"""),46049.9375)</f>
        <v>46049.9375</v>
      </c>
      <c r="H5924" s="238">
        <f>IFERROR(__xludf.DUMMYFUNCTION("""COMPUTED_VALUE"""),46050.02083333333)</f>
        <v>46050.02083</v>
      </c>
      <c r="J5924" s="239">
        <v>118.99999998975545</v>
      </c>
    </row>
    <row r="5925">
      <c r="A5925" s="234"/>
      <c r="B5925" s="238" t="str">
        <f>IFERROR(__xludf.DUMMYFUNCTION("""COMPUTED_VALUE"""),"LM Hub_SP_Jardim Adriana")</f>
        <v>LM Hub_SP_Jardim Adriana</v>
      </c>
      <c r="C5925" s="238" t="str">
        <f>IFERROR(__xludf.DUMMYFUNCTION("""COMPUTED_VALUE"""),"HUB-LSP-12")</f>
        <v>HUB-LSP-12</v>
      </c>
      <c r="D5925" s="234">
        <f>IFERROR(__xludf.DUMMYFUNCTION("""COMPUTED_VALUE"""),23.0)</f>
        <v>23</v>
      </c>
      <c r="E5925" s="237" t="str">
        <f>IFERROR(__xludf.DUMMYFUNCTION("""COMPUTED_VALUE"""),"LT0Q1R01XDDN1")</f>
        <v>LT0Q1R01XDDN1</v>
      </c>
      <c r="F5925" s="238" t="str">
        <f>IFERROR(__xludf.DUMMYFUNCTION("""COMPUTED_VALUE"""),"DJB5B15")</f>
        <v>DJB5B15</v>
      </c>
      <c r="G5925" s="238">
        <f>IFERROR(__xludf.DUMMYFUNCTION("""COMPUTED_VALUE"""),46049.93819444445)</f>
        <v>46049.93819</v>
      </c>
      <c r="H5925" s="238">
        <f>IFERROR(__xludf.DUMMYFUNCTION("""COMPUTED_VALUE"""),46050.02083333333)</f>
        <v>46050.02083</v>
      </c>
      <c r="J5925" s="239">
        <v>118.99999998975545</v>
      </c>
    </row>
    <row r="5926">
      <c r="A5926" s="234"/>
      <c r="B5926" s="238" t="str">
        <f>IFERROR(__xludf.DUMMYFUNCTION("""COMPUTED_VALUE"""),"LM Hub_SP_São Paulo_Carandiru")</f>
        <v>LM Hub_SP_São Paulo_Carandiru</v>
      </c>
      <c r="C5926" s="238" t="str">
        <f>IFERROR(__xludf.DUMMYFUNCTION("""COMPUTED_VALUE"""),"HUB-LSP-18")</f>
        <v>HUB-LSP-18</v>
      </c>
      <c r="D5926" s="234">
        <f>IFERROR(__xludf.DUMMYFUNCTION("""COMPUTED_VALUE"""),13.0)</f>
        <v>13</v>
      </c>
      <c r="E5926" s="237" t="str">
        <f>IFERROR(__xludf.DUMMYFUNCTION("""COMPUTED_VALUE"""),"LT0Q1R01XDE91")</f>
        <v>LT0Q1R01XDE91</v>
      </c>
      <c r="F5926" s="238" t="str">
        <f>IFERROR(__xludf.DUMMYFUNCTION("""COMPUTED_VALUE"""),"NVO0561")</f>
        <v>NVO0561</v>
      </c>
      <c r="G5926" s="238">
        <f>IFERROR(__xludf.DUMMYFUNCTION("""COMPUTED_VALUE"""),46049.93819444445)</f>
        <v>46049.93819</v>
      </c>
      <c r="H5926" s="238">
        <f>IFERROR(__xludf.DUMMYFUNCTION("""COMPUTED_VALUE"""),46050.02083333333)</f>
        <v>46050.02083</v>
      </c>
      <c r="J5926" s="239">
        <v>118.99999998975545</v>
      </c>
    </row>
    <row r="5927">
      <c r="A5927" s="234"/>
      <c r="B5927" s="238" t="str">
        <f>IFERROR(__xludf.DUMMYFUNCTION("""COMPUTED_VALUE"""),"LM Hub_SP_VilaGuilherme")</f>
        <v>LM Hub_SP_VilaGuilherme</v>
      </c>
      <c r="C5927" s="238" t="str">
        <f>IFERROR(__xludf.DUMMYFUNCTION("""COMPUTED_VALUE"""),"HUB-LSP-68")</f>
        <v>HUB-LSP-68</v>
      </c>
      <c r="D5927" s="234">
        <f>IFERROR(__xludf.DUMMYFUNCTION("""COMPUTED_VALUE"""),48.0)</f>
        <v>48</v>
      </c>
      <c r="E5927" s="237" t="str">
        <f>IFERROR(__xludf.DUMMYFUNCTION("""COMPUTED_VALUE"""),"LT0Q1R01XM681")</f>
        <v>LT0Q1R01XM681</v>
      </c>
      <c r="F5927" s="238" t="str">
        <f>IFERROR(__xludf.DUMMYFUNCTION("""COMPUTED_VALUE"""),"HFD4H27,JXG9745")</f>
        <v>HFD4H27,JXG9745</v>
      </c>
      <c r="G5927" s="238">
        <f>IFERROR(__xludf.DUMMYFUNCTION("""COMPUTED_VALUE"""),46049.93819444445)</f>
        <v>46049.93819</v>
      </c>
      <c r="H5927" s="238">
        <f>IFERROR(__xludf.DUMMYFUNCTION("""COMPUTED_VALUE"""),46050.02083333333)</f>
        <v>46050.02083</v>
      </c>
      <c r="J5927" s="239">
        <v>118.99999998975545</v>
      </c>
    </row>
    <row r="5928">
      <c r="A5928" s="234"/>
      <c r="B5928" s="238" t="str">
        <f>IFERROR(__xludf.DUMMYFUNCTION("""COMPUTED_VALUE"""),"LM Hub_SP_Parque Novo Mundo")</f>
        <v>LM Hub_SP_Parque Novo Mundo</v>
      </c>
      <c r="C5928" s="238" t="str">
        <f>IFERROR(__xludf.DUMMYFUNCTION("""COMPUTED_VALUE"""),"HUB-LSP-89")</f>
        <v>HUB-LSP-89</v>
      </c>
      <c r="D5928" s="234">
        <f>IFERROR(__xludf.DUMMYFUNCTION("""COMPUTED_VALUE"""),20.0)</f>
        <v>20</v>
      </c>
      <c r="E5928" s="237" t="str">
        <f>IFERROR(__xludf.DUMMYFUNCTION("""COMPUTED_VALUE"""),"LT0Q1R01XMCM1")</f>
        <v>LT0Q1R01XMCM1</v>
      </c>
      <c r="F5928" s="238" t="str">
        <f>IFERROR(__xludf.DUMMYFUNCTION("""COMPUTED_VALUE"""),"FNK8E47,FAM1829")</f>
        <v>FNK8E47,FAM1829</v>
      </c>
      <c r="G5928" s="238">
        <f>IFERROR(__xludf.DUMMYFUNCTION("""COMPUTED_VALUE"""),46049.93819444445)</f>
        <v>46049.93819</v>
      </c>
      <c r="H5928" s="238">
        <f>IFERROR(__xludf.DUMMYFUNCTION("""COMPUTED_VALUE"""),46050.02083333333)</f>
        <v>46050.02083</v>
      </c>
      <c r="J5928" s="239">
        <v>120.00000001396984</v>
      </c>
    </row>
    <row r="5929">
      <c r="A5929" s="234"/>
      <c r="B5929" s="238" t="str">
        <f>IFERROR(__xludf.DUMMYFUNCTION("""COMPUTED_VALUE"""),"LM Hub_SP_Mogi Mirim")</f>
        <v>LM Hub_SP_Mogi Mirim</v>
      </c>
      <c r="C5929" s="238" t="str">
        <f>IFERROR(__xludf.DUMMYFUNCTION("""COMPUTED_VALUE"""),"HUB-LSP-37")</f>
        <v>HUB-LSP-37</v>
      </c>
      <c r="D5929" s="234">
        <f>IFERROR(__xludf.DUMMYFUNCTION("""COMPUTED_VALUE"""),12.0)</f>
        <v>12</v>
      </c>
      <c r="E5929" s="237" t="str">
        <f>IFERROR(__xludf.DUMMYFUNCTION("""COMPUTED_VALUE"""),"LT0Q1R01XDIC1")</f>
        <v>LT0Q1R01XDIC1</v>
      </c>
      <c r="F5929" s="238" t="str">
        <f>IFERROR(__xludf.DUMMYFUNCTION("""COMPUTED_VALUE"""),"FVL1B63,TJQ3B56")</f>
        <v>FVL1B63,TJQ3B56</v>
      </c>
      <c r="G5929" s="238">
        <f>IFERROR(__xludf.DUMMYFUNCTION("""COMPUTED_VALUE"""),46049.95833333333)</f>
        <v>46049.95833</v>
      </c>
      <c r="H5929" s="238">
        <f>IFERROR(__xludf.DUMMYFUNCTION("""COMPUTED_VALUE"""),46050.04166666667)</f>
        <v>46050.04167</v>
      </c>
      <c r="J5929" s="239">
        <v>120.00000001396984</v>
      </c>
    </row>
    <row r="5930">
      <c r="A5930" s="234"/>
      <c r="B5930" s="238" t="str">
        <f>IFERROR(__xludf.DUMMYFUNCTION("""COMPUTED_VALUE"""),"LM Hub_RJ_Rio de Janeiro_Campo G")</f>
        <v>LM Hub_RJ_Rio de Janeiro_Campo G</v>
      </c>
      <c r="C5930" s="238" t="str">
        <f>IFERROR(__xludf.DUMMYFUNCTION("""COMPUTED_VALUE"""),"HUB-LRJ-04")</f>
        <v>HUB-LRJ-04</v>
      </c>
      <c r="D5930" s="234">
        <f>IFERROR(__xludf.DUMMYFUNCTION("""COMPUTED_VALUE"""),114.0)</f>
        <v>114</v>
      </c>
      <c r="E5930" s="237" t="str">
        <f>IFERROR(__xludf.DUMMYFUNCTION("""COMPUTED_VALUE"""),"LT0Q1R01XDJI1")</f>
        <v>LT0Q1R01XDJI1</v>
      </c>
      <c r="F5930" s="238" t="str">
        <f>IFERROR(__xludf.DUMMYFUNCTION("""COMPUTED_VALUE"""),"TBB5J93")</f>
        <v>TBB5J93</v>
      </c>
      <c r="G5930" s="238">
        <f>IFERROR(__xludf.DUMMYFUNCTION("""COMPUTED_VALUE"""),46049.95833333333)</f>
        <v>46049.95833</v>
      </c>
      <c r="H5930" s="238">
        <f>IFERROR(__xludf.DUMMYFUNCTION("""COMPUTED_VALUE"""),46050.04166666667)</f>
        <v>46050.04167</v>
      </c>
      <c r="J5930" s="239">
        <v>120.00000001396984</v>
      </c>
    </row>
    <row r="5931">
      <c r="A5931" s="234"/>
      <c r="B5931" s="238" t="str">
        <f>IFERROR(__xludf.DUMMYFUNCTION("""COMPUTED_VALUE"""),"LM Hub_RJ_Nova Iguaçu")</f>
        <v>LM Hub_RJ_Nova Iguaçu</v>
      </c>
      <c r="C5931" s="238" t="str">
        <f>IFERROR(__xludf.DUMMYFUNCTION("""COMPUTED_VALUE"""),"HUB-LRJ-27")</f>
        <v>HUB-LRJ-27</v>
      </c>
      <c r="D5931" s="234">
        <f>IFERROR(__xludf.DUMMYFUNCTION("""COMPUTED_VALUE"""),113.0)</f>
        <v>113</v>
      </c>
      <c r="E5931" s="237" t="str">
        <f>IFERROR(__xludf.DUMMYFUNCTION("""COMPUTED_VALUE"""),"LT0Q1R01XIMV1")</f>
        <v>LT0Q1R01XIMV1</v>
      </c>
      <c r="F5931" s="238" t="str">
        <f>IFERROR(__xludf.DUMMYFUNCTION("""COMPUTED_VALUE"""),"UBA1H99")</f>
        <v>UBA1H99</v>
      </c>
      <c r="G5931" s="238">
        <f>IFERROR(__xludf.DUMMYFUNCTION("""COMPUTED_VALUE"""),46049.95833333333)</f>
        <v>46049.95833</v>
      </c>
      <c r="H5931" s="238">
        <f>IFERROR(__xludf.DUMMYFUNCTION("""COMPUTED_VALUE"""),46050.04166666667)</f>
        <v>46050.04167</v>
      </c>
      <c r="J5931" s="239">
        <v>119.00000001071021</v>
      </c>
    </row>
    <row r="5932">
      <c r="A5932" s="234"/>
      <c r="B5932" s="238" t="str">
        <f>IFERROR(__xludf.DUMMYFUNCTION("""COMPUTED_VALUE"""),"LM Hub_RJ_São João do Meriti")</f>
        <v>LM Hub_RJ_São João do Meriti</v>
      </c>
      <c r="C5932" s="238" t="str">
        <f>IFERROR(__xludf.DUMMYFUNCTION("""COMPUTED_VALUE"""),"HUB-LRJ-01")</f>
        <v>HUB-LRJ-01</v>
      </c>
      <c r="D5932" s="234"/>
      <c r="E5932" s="237" t="str">
        <f>IFERROR(__xludf.DUMMYFUNCTION("""COMPUTED_VALUE"""),"LT0Q1R01XN8P1")</f>
        <v>LT0Q1R01XN8P1</v>
      </c>
      <c r="F5932" s="238" t="str">
        <f>IFERROR(__xludf.DUMMYFUNCTION("""COMPUTED_VALUE"""),"FDP1C98")</f>
        <v>FDP1C98</v>
      </c>
      <c r="G5932" s="238">
        <f>IFERROR(__xludf.DUMMYFUNCTION("""COMPUTED_VALUE"""),46049.959027777775)</f>
        <v>46049.95903</v>
      </c>
      <c r="H5932" s="238">
        <f>IFERROR(__xludf.DUMMYFUNCTION("""COMPUTED_VALUE"""),46050.04166666667)</f>
        <v>46050.04167</v>
      </c>
      <c r="J5932" s="239">
        <v>119.99999999301508</v>
      </c>
    </row>
    <row r="5933">
      <c r="A5933" s="234"/>
      <c r="B5933" s="238" t="str">
        <f>IFERROR(__xludf.DUMMYFUNCTION("""COMPUTED_VALUE"""),"LM Hub_SP_Araraquara")</f>
        <v>LM Hub_SP_Araraquara</v>
      </c>
      <c r="C5933" s="238" t="str">
        <f>IFERROR(__xludf.DUMMYFUNCTION("""COMPUTED_VALUE"""),"HUB-LSP-29")</f>
        <v>HUB-LSP-29</v>
      </c>
      <c r="D5933" s="234">
        <f>IFERROR(__xludf.DUMMYFUNCTION("""COMPUTED_VALUE"""),32.0)</f>
        <v>32</v>
      </c>
      <c r="E5933" s="237" t="str">
        <f>IFERROR(__xludf.DUMMYFUNCTION("""COMPUTED_VALUE"""),"LT0Q1R01XDIH1")</f>
        <v>LT0Q1R01XDIH1</v>
      </c>
      <c r="F5933" s="238" t="str">
        <f>IFERROR(__xludf.DUMMYFUNCTION("""COMPUTED_VALUE"""),"ISQ7F01,ANM9G89")</f>
        <v>ISQ7F01,ANM9G89</v>
      </c>
      <c r="G5933" s="238">
        <f>IFERROR(__xludf.DUMMYFUNCTION("""COMPUTED_VALUE"""),46049.97916666667)</f>
        <v>46049.97917</v>
      </c>
      <c r="H5933" s="238">
        <f>IFERROR(__xludf.DUMMYFUNCTION("""COMPUTED_VALUE"""),46050.0625)</f>
        <v>46050.0625</v>
      </c>
      <c r="J5933" s="239">
        <v>119.99999999301508</v>
      </c>
    </row>
    <row r="5934">
      <c r="A5934" s="234"/>
      <c r="B5934" s="238" t="str">
        <f>IFERROR(__xludf.DUMMYFUNCTION("""COMPUTED_VALUE"""),"LM Hub_SP_Várzea Paulista")</f>
        <v>LM Hub_SP_Várzea Paulista</v>
      </c>
      <c r="C5934" s="238" t="str">
        <f>IFERROR(__xludf.DUMMYFUNCTION("""COMPUTED_VALUE"""),"HUB-LSP-20")</f>
        <v>HUB-LSP-20</v>
      </c>
      <c r="D5934" s="234">
        <f>IFERROR(__xludf.DUMMYFUNCTION("""COMPUTED_VALUE"""),14.0)</f>
        <v>14</v>
      </c>
      <c r="E5934" s="237" t="str">
        <f>IFERROR(__xludf.DUMMYFUNCTION("""COMPUTED_VALUE"""),"LT0Q1R01XDIW1")</f>
        <v>LT0Q1R01XDIW1</v>
      </c>
      <c r="F5934" s="238" t="str">
        <f>IFERROR(__xludf.DUMMYFUNCTION("""COMPUTED_VALUE"""),"NZF4A36,CYR8B03")</f>
        <v>NZF4A36,CYR8B03</v>
      </c>
      <c r="G5934" s="238">
        <f>IFERROR(__xludf.DUMMYFUNCTION("""COMPUTED_VALUE"""),46049.97916666667)</f>
        <v>46049.97917</v>
      </c>
      <c r="H5934" s="238">
        <f>IFERROR(__xludf.DUMMYFUNCTION("""COMPUTED_VALUE"""),46050.0625)</f>
        <v>46050.0625</v>
      </c>
      <c r="J5934" s="239">
        <v>119.99999999301508</v>
      </c>
    </row>
    <row r="5935">
      <c r="A5935" s="234"/>
      <c r="B5935" s="238" t="str">
        <f>IFERROR(__xludf.DUMMYFUNCTION("""COMPUTED_VALUE"""),"LM Hub_SP_Atibaia_Ponte_Alta")</f>
        <v>LM Hub_SP_Atibaia_Ponte_Alta</v>
      </c>
      <c r="C5935" s="238" t="str">
        <f>IFERROR(__xludf.DUMMYFUNCTION("""COMPUTED_VALUE"""),"HUB-LSP-87")</f>
        <v>HUB-LSP-87</v>
      </c>
      <c r="D5935" s="234">
        <f>IFERROR(__xludf.DUMMYFUNCTION("""COMPUTED_VALUE"""),17.0)</f>
        <v>17</v>
      </c>
      <c r="E5935" s="237" t="str">
        <f>IFERROR(__xludf.DUMMYFUNCTION("""COMPUTED_VALUE"""),"LT0Q1R01XGUR1")</f>
        <v>LT0Q1R01XGUR1</v>
      </c>
      <c r="F5935" s="238" t="str">
        <f>IFERROR(__xludf.DUMMYFUNCTION("""COMPUTED_VALUE"""),"TBQ8J45,SVV7J57")</f>
        <v>TBQ8J45,SVV7J57</v>
      </c>
      <c r="G5935" s="238">
        <f>IFERROR(__xludf.DUMMYFUNCTION("""COMPUTED_VALUE"""),46049.97916666667)</f>
        <v>46049.97917</v>
      </c>
      <c r="H5935" s="238">
        <f>IFERROR(__xludf.DUMMYFUNCTION("""COMPUTED_VALUE"""),46050.0625)</f>
        <v>46050.0625</v>
      </c>
      <c r="J5935" s="239">
        <v>419.99999998603016</v>
      </c>
    </row>
    <row r="5936">
      <c r="A5936" s="234"/>
      <c r="B5936" s="238" t="str">
        <f>IFERROR(__xludf.DUMMYFUNCTION("""COMPUTED_VALUE"""),"SoC_MG_Betim")</f>
        <v>SoC_MG_Betim</v>
      </c>
      <c r="C5936" s="238" t="str">
        <f>IFERROR(__xludf.DUMMYFUNCTION("""COMPUTED_VALUE"""),"SOC-MG2")</f>
        <v>SOC-MG2</v>
      </c>
      <c r="D5936" s="234">
        <f>IFERROR(__xludf.DUMMYFUNCTION("""COMPUTED_VALUE"""),90.0)</f>
        <v>90</v>
      </c>
      <c r="E5936" s="237" t="str">
        <f>IFERROR(__xludf.DUMMYFUNCTION("""COMPUTED_VALUE"""),"LT0Q1R01XDA01")</f>
        <v>LT0Q1R01XDA01</v>
      </c>
      <c r="F5936" s="238" t="str">
        <f>IFERROR(__xludf.DUMMYFUNCTION("""COMPUTED_VALUE"""),"SUK7E04,GBX1009")</f>
        <v>SUK7E04,GBX1009</v>
      </c>
      <c r="G5936" s="238">
        <f>IFERROR(__xludf.DUMMYFUNCTION("""COMPUTED_VALUE"""),46049.79166666667)</f>
        <v>46049.79167</v>
      </c>
      <c r="H5936" s="238">
        <f>IFERROR(__xludf.DUMMYFUNCTION("""COMPUTED_VALUE"""),46050.08333333333)</f>
        <v>46050.08333</v>
      </c>
      <c r="J5936" s="239">
        <v>119.99999999301508</v>
      </c>
    </row>
    <row r="5937">
      <c r="A5937" s="234"/>
      <c r="B5937" s="238" t="str">
        <f>IFERROR(__xludf.DUMMYFUNCTION("""COMPUTED_VALUE"""),"SoC_PR_Curitiba")</f>
        <v>SoC_PR_Curitiba</v>
      </c>
      <c r="C5937" s="238" t="str">
        <f>IFERROR(__xludf.DUMMYFUNCTION("""COMPUTED_VALUE"""),"SOC-PR1")</f>
        <v>SOC-PR1</v>
      </c>
      <c r="D5937" s="234"/>
      <c r="E5937" s="237" t="str">
        <f>IFERROR(__xludf.DUMMYFUNCTION("""COMPUTED_VALUE"""),"LT0Q1S01XDAY1")</f>
        <v>LT0Q1S01XDAY1</v>
      </c>
      <c r="F5937" s="238" t="str">
        <f>IFERROR(__xludf.DUMMYFUNCTION("""COMPUTED_VALUE"""),"FQJ8B01,UGV7H67")</f>
        <v>FQJ8B01,UGV7H67</v>
      </c>
      <c r="G5937" s="238">
        <f>IFERROR(__xludf.DUMMYFUNCTION("""COMPUTED_VALUE"""),46050.04166666667)</f>
        <v>46050.04167</v>
      </c>
      <c r="H5937" s="238">
        <f>IFERROR(__xludf.DUMMYFUNCTION("""COMPUTED_VALUE"""),46050.125)</f>
        <v>46050.125</v>
      </c>
      <c r="J5937" s="239">
        <v>119.99999999301508</v>
      </c>
    </row>
    <row r="5938">
      <c r="A5938" s="234"/>
      <c r="B5938" s="238" t="str">
        <f>IFERROR(__xludf.DUMMYFUNCTION("""COMPUTED_VALUE"""),"SoC_SP_Louveira")</f>
        <v>SoC_SP_Louveira</v>
      </c>
      <c r="C5938" s="238" t="str">
        <f>IFERROR(__xludf.DUMMYFUNCTION("""COMPUTED_VALUE"""),"SOC-SP7")</f>
        <v>SOC-SP7</v>
      </c>
      <c r="D5938" s="234">
        <f>IFERROR(__xludf.DUMMYFUNCTION("""COMPUTED_VALUE"""),37.0)</f>
        <v>37</v>
      </c>
      <c r="E5938" s="237" t="str">
        <f>IFERROR(__xludf.DUMMYFUNCTION("""COMPUTED_VALUE"""),"LT0Q1S01XDCU1")</f>
        <v>LT0Q1S01XDCU1</v>
      </c>
      <c r="F5938" s="238" t="str">
        <f>IFERROR(__xludf.DUMMYFUNCTION("""COMPUTED_VALUE"""),"CJZ1I95,FRT7631")</f>
        <v>CJZ1I95,FRT7631</v>
      </c>
      <c r="G5938" s="238">
        <f>IFERROR(__xludf.DUMMYFUNCTION("""COMPUTED_VALUE"""),46050.0)</f>
        <v>46050</v>
      </c>
      <c r="H5938" s="238">
        <f>IFERROR(__xludf.DUMMYFUNCTION("""COMPUTED_VALUE"""),46050.08333333333)</f>
        <v>46050.08333</v>
      </c>
      <c r="J5938" s="239">
        <v>119.99999999301508</v>
      </c>
    </row>
    <row r="5939">
      <c r="A5939" s="234"/>
      <c r="B5939" s="238" t="str">
        <f>IFERROR(__xludf.DUMMYFUNCTION("""COMPUTED_VALUE"""),"LM Hub_SP_Tatuí")</f>
        <v>LM Hub_SP_Tatuí</v>
      </c>
      <c r="C5939" s="238" t="str">
        <f>IFERROR(__xludf.DUMMYFUNCTION("""COMPUTED_VALUE"""),"HUB-LSP-51")</f>
        <v>HUB-LSP-51</v>
      </c>
      <c r="D5939" s="234">
        <f>IFERROR(__xludf.DUMMYFUNCTION("""COMPUTED_VALUE"""),34.0)</f>
        <v>34</v>
      </c>
      <c r="E5939" s="237" t="str">
        <f>IFERROR(__xludf.DUMMYFUNCTION("""COMPUTED_VALUE"""),"LT0Q1S01XDFI1")</f>
        <v>LT0Q1S01XDFI1</v>
      </c>
      <c r="F5939" s="238" t="str">
        <f>IFERROR(__xludf.DUMMYFUNCTION("""COMPUTED_VALUE"""),"FEJ1E97,UEF4J87")</f>
        <v>FEJ1E97,UEF4J87</v>
      </c>
      <c r="G5939" s="238">
        <f>IFERROR(__xludf.DUMMYFUNCTION("""COMPUTED_VALUE"""),46050.0)</f>
        <v>46050</v>
      </c>
      <c r="H5939" s="238">
        <f>IFERROR(__xludf.DUMMYFUNCTION("""COMPUTED_VALUE"""),46050.08333333333)</f>
        <v>46050.08333</v>
      </c>
      <c r="J5939" s="239">
        <v>119.99999999301508</v>
      </c>
    </row>
    <row r="5940">
      <c r="A5940" s="234"/>
      <c r="B5940" s="238" t="str">
        <f>IFERROR(__xludf.DUMMYFUNCTION("""COMPUTED_VALUE"""),"LM Hub_RJ_Ilha do Governador")</f>
        <v>LM Hub_RJ_Ilha do Governador</v>
      </c>
      <c r="C5940" s="238" t="str">
        <f>IFERROR(__xludf.DUMMYFUNCTION("""COMPUTED_VALUE"""),"HUB-LRJ-32")</f>
        <v>HUB-LRJ-32</v>
      </c>
      <c r="D5940" s="234">
        <f>IFERROR(__xludf.DUMMYFUNCTION("""COMPUTED_VALUE"""),111.0)</f>
        <v>111</v>
      </c>
      <c r="E5940" s="237" t="str">
        <f>IFERROR(__xludf.DUMMYFUNCTION("""COMPUTED_VALUE"""),"LT0Q1S01XIN81")</f>
        <v>LT0Q1S01XIN81</v>
      </c>
      <c r="F5940" s="238" t="str">
        <f>IFERROR(__xludf.DUMMYFUNCTION("""COMPUTED_VALUE"""),"QHK5J11")</f>
        <v>QHK5J11</v>
      </c>
      <c r="G5940" s="238">
        <f>IFERROR(__xludf.DUMMYFUNCTION("""COMPUTED_VALUE"""),46050.0)</f>
        <v>46050</v>
      </c>
      <c r="H5940" s="238">
        <f>IFERROR(__xludf.DUMMYFUNCTION("""COMPUTED_VALUE"""),46050.08333333333)</f>
        <v>46050.08333</v>
      </c>
      <c r="J5940" s="239">
        <v>120.00000001396984</v>
      </c>
    </row>
    <row r="5941">
      <c r="A5941" s="234"/>
      <c r="B5941" s="238" t="str">
        <f>IFERROR(__xludf.DUMMYFUNCTION("""COMPUTED_VALUE"""),"LM Hub_MG_Varginha_Fausto")</f>
        <v>LM Hub_MG_Varginha_Fausto</v>
      </c>
      <c r="C5941" s="238" t="str">
        <f>IFERROR(__xludf.DUMMYFUNCTION("""COMPUTED_VALUE"""),"HUB-LMG-45")</f>
        <v>HUB-LMG-45</v>
      </c>
      <c r="D5941" s="234">
        <f>IFERROR(__xludf.DUMMYFUNCTION("""COMPUTED_VALUE"""),112.0)</f>
        <v>112</v>
      </c>
      <c r="E5941" s="237" t="str">
        <f>IFERROR(__xludf.DUMMYFUNCTION("""COMPUTED_VALUE"""),"LT0Q1S01XI361")</f>
        <v>LT0Q1S01XI361</v>
      </c>
      <c r="F5941" s="238" t="str">
        <f>IFERROR(__xludf.DUMMYFUNCTION("""COMPUTED_VALUE"""),"GGT7B46")</f>
        <v>GGT7B46</v>
      </c>
      <c r="G5941" s="238">
        <f>IFERROR(__xludf.DUMMYFUNCTION("""COMPUTED_VALUE"""),46050.02083333333)</f>
        <v>46050.02083</v>
      </c>
      <c r="H5941" s="238">
        <f>IFERROR(__xludf.DUMMYFUNCTION("""COMPUTED_VALUE"""),46050.10416666667)</f>
        <v>46050.10417</v>
      </c>
      <c r="J5941" s="239">
        <v>537.9999999934807</v>
      </c>
    </row>
    <row r="5942">
      <c r="A5942" s="234"/>
      <c r="B5942" s="238" t="str">
        <f>IFERROR(__xludf.DUMMYFUNCTION("""COMPUTED_VALUE"""),"SoC_SP_Cravinhos")</f>
        <v>SoC_SP_Cravinhos</v>
      </c>
      <c r="C5942" s="238" t="str">
        <f>IFERROR(__xludf.DUMMYFUNCTION("""COMPUTED_VALUE"""),"SOC-SP5")</f>
        <v>SOC-SP5</v>
      </c>
      <c r="D5942" s="234">
        <f>IFERROR(__xludf.DUMMYFUNCTION("""COMPUTED_VALUE"""),94.0)</f>
        <v>94</v>
      </c>
      <c r="E5942" s="237" t="str">
        <f>IFERROR(__xludf.DUMMYFUNCTION("""COMPUTED_VALUE"""),"LT0Q1R01XDCD1")</f>
        <v>LT0Q1R01XDCD1</v>
      </c>
      <c r="F5942" s="238" t="str">
        <f>IFERROR(__xludf.DUMMYFUNCTION("""COMPUTED_VALUE"""),"DTD5J99,DTA2J13")</f>
        <v>DTD5J99,DTA2J13</v>
      </c>
      <c r="G5942" s="238">
        <f>IFERROR(__xludf.DUMMYFUNCTION("""COMPUTED_VALUE"""),46049.75138888889)</f>
        <v>46049.75139</v>
      </c>
      <c r="H5942" s="238">
        <f>IFERROR(__xludf.DUMMYFUNCTION("""COMPUTED_VALUE"""),46050.125)</f>
        <v>46050.125</v>
      </c>
      <c r="J5942" s="239">
        <v>420.0000000069849</v>
      </c>
    </row>
    <row r="5943">
      <c r="A5943" s="234"/>
      <c r="B5943" s="238" t="str">
        <f>IFERROR(__xludf.DUMMYFUNCTION("""COMPUTED_VALUE"""),"SoC_RJ_Duque de Caxias")</f>
        <v>SoC_RJ_Duque de Caxias</v>
      </c>
      <c r="C5943" s="238" t="str">
        <f>IFERROR(__xludf.DUMMYFUNCTION("""COMPUTED_VALUE"""),"SOC-RJ2")</f>
        <v>SOC-RJ2</v>
      </c>
      <c r="D5943" s="234">
        <f>IFERROR(__xludf.DUMMYFUNCTION("""COMPUTED_VALUE"""),96.0)</f>
        <v>96</v>
      </c>
      <c r="E5943" s="237" t="str">
        <f>IFERROR(__xludf.DUMMYFUNCTION("""COMPUTED_VALUE"""),"LT1Q1R01XQZO1")</f>
        <v>LT1Q1R01XQZO1</v>
      </c>
      <c r="F5943" s="238" t="str">
        <f>IFERROR(__xludf.DUMMYFUNCTION("""COMPUTED_VALUE"""),"LMU3F85,HOA1I56")</f>
        <v>LMU3F85,HOA1I56</v>
      </c>
      <c r="G5943" s="238">
        <f>IFERROR(__xludf.DUMMYFUNCTION("""COMPUTED_VALUE"""),46049.83333333333)</f>
        <v>46049.83333</v>
      </c>
      <c r="H5943" s="238">
        <f>IFERROR(__xludf.DUMMYFUNCTION("""COMPUTED_VALUE"""),46050.125)</f>
        <v>46050.125</v>
      </c>
      <c r="J5943" s="239">
        <v>540.0</v>
      </c>
    </row>
    <row r="5944">
      <c r="A5944" s="234"/>
      <c r="B5944" s="238" t="str">
        <f>IFERROR(__xludf.DUMMYFUNCTION("""COMPUTED_VALUE"""),"SoC_MG_Betim")</f>
        <v>SoC_MG_Betim</v>
      </c>
      <c r="C5944" s="238" t="str">
        <f>IFERROR(__xludf.DUMMYFUNCTION("""COMPUTED_VALUE"""),"SOC-MG2")</f>
        <v>SOC-MG2</v>
      </c>
      <c r="D5944" s="234">
        <f>IFERROR(__xludf.DUMMYFUNCTION("""COMPUTED_VALUE"""),91.0)</f>
        <v>91</v>
      </c>
      <c r="E5944" s="237" t="str">
        <f>IFERROR(__xludf.DUMMYFUNCTION("""COMPUTED_VALUE"""),"LT0Q1R01XDA43")</f>
        <v>LT0Q1R01XDA43</v>
      </c>
      <c r="F5944" s="238" t="str">
        <f>IFERROR(__xludf.DUMMYFUNCTION("""COMPUTED_VALUE"""),"STN3D74,SPU0C31")</f>
        <v>STN3D74,SPU0C31</v>
      </c>
      <c r="G5944" s="238">
        <f>IFERROR(__xludf.DUMMYFUNCTION("""COMPUTED_VALUE"""),46049.79166666667)</f>
        <v>46049.79167</v>
      </c>
      <c r="H5944" s="238">
        <f>IFERROR(__xludf.DUMMYFUNCTION("""COMPUTED_VALUE"""),46050.16666666667)</f>
        <v>46050.16667</v>
      </c>
      <c r="J5944" s="239">
        <v>540.0</v>
      </c>
    </row>
    <row r="5945">
      <c r="A5945" s="234"/>
      <c r="B5945" s="238" t="str">
        <f>IFERROR(__xludf.DUMMYFUNCTION("""COMPUTED_VALUE"""),"SoC_SC_Itajaí")</f>
        <v>SoC_SC_Itajaí</v>
      </c>
      <c r="C5945" s="238" t="str">
        <f>IFERROR(__xludf.DUMMYFUNCTION("""COMPUTED_VALUE"""),"SOC-SC1")</f>
        <v>SOC-SC1</v>
      </c>
      <c r="D5945" s="234">
        <f>IFERROR(__xludf.DUMMYFUNCTION("""COMPUTED_VALUE"""),100.0)</f>
        <v>100</v>
      </c>
      <c r="E5945" s="237" t="str">
        <f>IFERROR(__xludf.DUMMYFUNCTION("""COMPUTED_VALUE"""),"LT0Q1R01XHHT2")</f>
        <v>LT0Q1R01XHHT2</v>
      </c>
      <c r="F5945" s="238" t="str">
        <f>IFERROR(__xludf.DUMMYFUNCTION("""COMPUTED_VALUE"""),"RLH2B54,SXU5J57")</f>
        <v>RLH2B54,SXU5J57</v>
      </c>
      <c r="G5945" s="238">
        <f>IFERROR(__xludf.DUMMYFUNCTION("""COMPUTED_VALUE"""),46049.79166666667)</f>
        <v>46049.79167</v>
      </c>
      <c r="H5945" s="238">
        <f>IFERROR(__xludf.DUMMYFUNCTION("""COMPUTED_VALUE"""),46050.16666666667)</f>
        <v>46050.16667</v>
      </c>
      <c r="J5945" s="239">
        <v>539.0000000072177</v>
      </c>
    </row>
    <row r="5946">
      <c r="A5946" s="234"/>
      <c r="B5946" s="238" t="str">
        <f>IFERROR(__xludf.DUMMYFUNCTION("""COMPUTED_VALUE"""),"SoC_RS_Gravataí_02")</f>
        <v>SoC_RS_Gravataí_02</v>
      </c>
      <c r="C5946" s="238" t="str">
        <f>IFERROR(__xludf.DUMMYFUNCTION("""COMPUTED_VALUE"""),"SOC-RS2")</f>
        <v>SOC-RS2</v>
      </c>
      <c r="D5946" s="234">
        <f>IFERROR(__xludf.DUMMYFUNCTION("""COMPUTED_VALUE"""),93.0)</f>
        <v>93</v>
      </c>
      <c r="E5946" s="237" t="str">
        <f>IFERROR(__xludf.DUMMYFUNCTION("""COMPUTED_VALUE"""),"LT0Q1R01XISN2")</f>
        <v>LT0Q1R01XISN2</v>
      </c>
      <c r="F5946" s="238" t="str">
        <f>IFERROR(__xludf.DUMMYFUNCTION("""COMPUTED_VALUE"""),"IZY7C13,JDJ7J92")</f>
        <v>IZY7C13,JDJ7J92</v>
      </c>
      <c r="G5946" s="238">
        <f>IFERROR(__xludf.DUMMYFUNCTION("""COMPUTED_VALUE"""),46049.79236111111)</f>
        <v>46049.79236</v>
      </c>
      <c r="H5946" s="238">
        <f>IFERROR(__xludf.DUMMYFUNCTION("""COMPUTED_VALUE"""),46050.16666666667)</f>
        <v>46050.16667</v>
      </c>
      <c r="J5946" s="239">
        <v>538.0000000144355</v>
      </c>
    </row>
    <row r="5947">
      <c r="A5947" s="234"/>
      <c r="B5947" s="238" t="str">
        <f>IFERROR(__xludf.DUMMYFUNCTION("""COMPUTED_VALUE"""),"SoC_MG_Betim")</f>
        <v>SoC_MG_Betim</v>
      </c>
      <c r="C5947" s="238" t="str">
        <f>IFERROR(__xludf.DUMMYFUNCTION("""COMPUTED_VALUE"""),"SOC-MG2")</f>
        <v>SOC-MG2</v>
      </c>
      <c r="D5947" s="234">
        <f>IFERROR(__xludf.DUMMYFUNCTION("""COMPUTED_VALUE"""),91.0)</f>
        <v>91</v>
      </c>
      <c r="E5947" s="237" t="str">
        <f>IFERROR(__xludf.DUMMYFUNCTION("""COMPUTED_VALUE"""),"LT0Q1R01XDAM1")</f>
        <v>LT0Q1R01XDAM1</v>
      </c>
      <c r="F5947" s="238" t="str">
        <f>IFERROR(__xludf.DUMMYFUNCTION("""COMPUTED_VALUE"""),"SWD2I13,STN3J57")</f>
        <v>SWD2I13,STN3J57</v>
      </c>
      <c r="G5947" s="238">
        <f>IFERROR(__xludf.DUMMYFUNCTION("""COMPUTED_VALUE"""),46049.79305555555)</f>
        <v>46049.79306</v>
      </c>
      <c r="H5947" s="238">
        <f>IFERROR(__xludf.DUMMYFUNCTION("""COMPUTED_VALUE"""),46050.16666666667)</f>
        <v>46050.16667</v>
      </c>
      <c r="J5947" s="239">
        <v>119.00000001071021</v>
      </c>
    </row>
    <row r="5948">
      <c r="A5948" s="234"/>
      <c r="B5948" s="238" t="str">
        <f>IFERROR(__xludf.DUMMYFUNCTION("""COMPUTED_VALUE"""),"SoC_SP_Santana")</f>
        <v>SoC_SP_Santana</v>
      </c>
      <c r="C5948" s="238" t="str">
        <f>IFERROR(__xludf.DUMMYFUNCTION("""COMPUTED_VALUE"""),"SOC-SP2")</f>
        <v>SOC-SP2</v>
      </c>
      <c r="D5948" s="234">
        <f>IFERROR(__xludf.DUMMYFUNCTION("""COMPUTED_VALUE"""),29.0)</f>
        <v>29</v>
      </c>
      <c r="E5948" s="237" t="str">
        <f>IFERROR(__xludf.DUMMYFUNCTION("""COMPUTED_VALUE"""),"LT0Q1S01XMAL1")</f>
        <v>LT0Q1S01XMAL1</v>
      </c>
      <c r="F5948" s="238" t="str">
        <f>IFERROR(__xludf.DUMMYFUNCTION("""COMPUTED_VALUE"""),"ASN0C15,MBC2C84")</f>
        <v>ASN0C15,MBC2C84</v>
      </c>
      <c r="G5948" s="238">
        <f>IFERROR(__xludf.DUMMYFUNCTION("""COMPUTED_VALUE"""),46050.084027777775)</f>
        <v>46050.08403</v>
      </c>
      <c r="H5948" s="238">
        <f>IFERROR(__xludf.DUMMYFUNCTION("""COMPUTED_VALUE"""),46050.16666666667)</f>
        <v>46050.16667</v>
      </c>
      <c r="J5948" s="239">
        <v>119.99999999301508</v>
      </c>
    </row>
    <row r="5949">
      <c r="A5949" s="234"/>
      <c r="B5949" s="238" t="str">
        <f>IFERROR(__xludf.DUMMYFUNCTION("""COMPUTED_VALUE"""),"LM Hub_SP_Itapetininga")</f>
        <v>LM Hub_SP_Itapetininga</v>
      </c>
      <c r="C5949" s="238" t="str">
        <f>IFERROR(__xludf.DUMMYFUNCTION("""COMPUTED_VALUE"""),"HUB-LSP-53")</f>
        <v>HUB-LSP-53</v>
      </c>
      <c r="D5949" s="234">
        <f>IFERROR(__xludf.DUMMYFUNCTION("""COMPUTED_VALUE"""),14.0)</f>
        <v>14</v>
      </c>
      <c r="E5949" s="237" t="str">
        <f>IFERROR(__xludf.DUMMYFUNCTION("""COMPUTED_VALUE"""),"LT0Q1S01XDFD1")</f>
        <v>LT0Q1S01XDFD1</v>
      </c>
      <c r="F5949" s="238" t="str">
        <f>IFERROR(__xludf.DUMMYFUNCTION("""COMPUTED_VALUE"""),"FZY3F48")</f>
        <v>FZY3F48</v>
      </c>
      <c r="G5949" s="238">
        <f>IFERROR(__xludf.DUMMYFUNCTION("""COMPUTED_VALUE"""),46050.10416666667)</f>
        <v>46050.10417</v>
      </c>
      <c r="H5949" s="238">
        <f>IFERROR(__xludf.DUMMYFUNCTION("""COMPUTED_VALUE"""),46050.1875)</f>
        <v>46050.1875</v>
      </c>
      <c r="J5949" s="239">
        <v>119.99999999301508</v>
      </c>
    </row>
    <row r="5950">
      <c r="A5950" s="234"/>
      <c r="B5950" s="238" t="str">
        <f>IFERROR(__xludf.DUMMYFUNCTION("""COMPUTED_VALUE"""),"LM Hub_SP_São Carlos")</f>
        <v>LM Hub_SP_São Carlos</v>
      </c>
      <c r="C5950" s="238" t="str">
        <f>IFERROR(__xludf.DUMMYFUNCTION("""COMPUTED_VALUE"""),"HUB-LSP-31")</f>
        <v>HUB-LSP-31</v>
      </c>
      <c r="D5950" s="234"/>
      <c r="E5950" s="237" t="str">
        <f>IFERROR(__xludf.DUMMYFUNCTION("""COMPUTED_VALUE"""),"LT0Q1S01XDHW1")</f>
        <v>LT0Q1S01XDHW1</v>
      </c>
      <c r="F5950" s="238" t="str">
        <f>IFERROR(__xludf.DUMMYFUNCTION("""COMPUTED_VALUE"""),"DQB3984")</f>
        <v>DQB3984</v>
      </c>
      <c r="G5950" s="238">
        <f>IFERROR(__xludf.DUMMYFUNCTION("""COMPUTED_VALUE"""),46050.10416666667)</f>
        <v>46050.10417</v>
      </c>
      <c r="H5950" s="238">
        <f>IFERROR(__xludf.DUMMYFUNCTION("""COMPUTED_VALUE"""),46050.1875)</f>
        <v>46050.1875</v>
      </c>
      <c r="J5950" s="239">
        <v>540.0</v>
      </c>
    </row>
    <row r="5951">
      <c r="A5951" s="234"/>
      <c r="B5951" s="238" t="str">
        <f>IFERROR(__xludf.DUMMYFUNCTION("""COMPUTED_VALUE"""),"SoC_BA_Simoes Filho")</f>
        <v>SoC_BA_Simoes Filho</v>
      </c>
      <c r="C5951" s="238" t="str">
        <f>IFERROR(__xludf.DUMMYFUNCTION("""COMPUTED_VALUE"""),"SOC-BA2")</f>
        <v>SOC-BA2</v>
      </c>
      <c r="D5951" s="234">
        <f>IFERROR(__xludf.DUMMYFUNCTION("""COMPUTED_VALUE"""),88.0)</f>
        <v>88</v>
      </c>
      <c r="E5951" s="237" t="str">
        <f>IFERROR(__xludf.DUMMYFUNCTION("""COMPUTED_VALUE"""),"LT0Q1R01XIFE2")</f>
        <v>LT0Q1R01XIFE2</v>
      </c>
      <c r="F5951" s="238" t="str">
        <f>IFERROR(__xludf.DUMMYFUNCTION("""COMPUTED_VALUE"""),"STV3B74,SWM1B12")</f>
        <v>STV3B74,SWM1B12</v>
      </c>
      <c r="G5951" s="238">
        <f>IFERROR(__xludf.DUMMYFUNCTION("""COMPUTED_VALUE"""),46049.83333333333)</f>
        <v>46049.83333</v>
      </c>
      <c r="H5951" s="238">
        <f>IFERROR(__xludf.DUMMYFUNCTION("""COMPUTED_VALUE"""),46050.20833333333)</f>
        <v>46050.20833</v>
      </c>
      <c r="J5951" s="239">
        <v>537.9999999934807</v>
      </c>
    </row>
    <row r="5952">
      <c r="A5952" s="234"/>
      <c r="B5952" s="238" t="str">
        <f>IFERROR(__xludf.DUMMYFUNCTION("""COMPUTED_VALUE"""),"SoC_PE_Jaboatão dos Guararapes")</f>
        <v>SoC_PE_Jaboatão dos Guararapes</v>
      </c>
      <c r="C5952" s="238" t="str">
        <f>IFERROR(__xludf.DUMMYFUNCTION("""COMPUTED_VALUE"""),"SOC-PE2")</f>
        <v>SOC-PE2</v>
      </c>
      <c r="D5952" s="234">
        <f>IFERROR(__xludf.DUMMYFUNCTION("""COMPUTED_VALUE"""),99.0)</f>
        <v>99</v>
      </c>
      <c r="E5952" s="237" t="str">
        <f>IFERROR(__xludf.DUMMYFUNCTION("""COMPUTED_VALUE"""),"LT0Q1R01XICD2")</f>
        <v>LT0Q1R01XICD2</v>
      </c>
      <c r="F5952" s="238" t="str">
        <f>IFERROR(__xludf.DUMMYFUNCTION("""COMPUTED_VALUE"""),"GCV2103,BUP5188")</f>
        <v>GCV2103,BUP5188</v>
      </c>
      <c r="G5952" s="238">
        <f>IFERROR(__xludf.DUMMYFUNCTION("""COMPUTED_VALUE"""),46049.83472222222)</f>
        <v>46049.83472</v>
      </c>
      <c r="H5952" s="238">
        <f>IFERROR(__xludf.DUMMYFUNCTION("""COMPUTED_VALUE"""),46050.20833333333)</f>
        <v>46050.20833</v>
      </c>
      <c r="J5952" s="239">
        <v>537.9999999934807</v>
      </c>
    </row>
    <row r="5953">
      <c r="A5953" s="234"/>
      <c r="B5953" s="238" t="str">
        <f>IFERROR(__xludf.DUMMYFUNCTION("""COMPUTED_VALUE"""),"SoC_GO_Goiânia_02")</f>
        <v>SoC_GO_Goiânia_02</v>
      </c>
      <c r="C5953" s="238" t="str">
        <f>IFERROR(__xludf.DUMMYFUNCTION("""COMPUTED_VALUE"""),"SOC-GO2")</f>
        <v>SOC-GO2</v>
      </c>
      <c r="D5953" s="234">
        <f>IFERROR(__xludf.DUMMYFUNCTION("""COMPUTED_VALUE"""),87.0)</f>
        <v>87</v>
      </c>
      <c r="E5953" s="237" t="str">
        <f>IFERROR(__xludf.DUMMYFUNCTION("""COMPUTED_VALUE"""),"LT0Q1R01XIQJ2")</f>
        <v>LT0Q1R01XIQJ2</v>
      </c>
      <c r="F5953" s="238" t="str">
        <f>IFERROR(__xludf.DUMMYFUNCTION("""COMPUTED_VALUE"""),"JXS8F53,BDW7J10")</f>
        <v>JXS8F53,BDW7J10</v>
      </c>
      <c r="G5953" s="238">
        <f>IFERROR(__xludf.DUMMYFUNCTION("""COMPUTED_VALUE"""),46049.83472222222)</f>
        <v>46049.83472</v>
      </c>
      <c r="H5953" s="238">
        <f>IFERROR(__xludf.DUMMYFUNCTION("""COMPUTED_VALUE"""),46050.20833333333)</f>
        <v>46050.20833</v>
      </c>
      <c r="J5953" s="239">
        <v>535.9999999869615</v>
      </c>
    </row>
    <row r="5954">
      <c r="A5954" s="234"/>
      <c r="B5954" s="238" t="str">
        <f>IFERROR(__xludf.DUMMYFUNCTION("""COMPUTED_VALUE"""),"SoC_RJ_Duque de Caxias")</f>
        <v>SoC_RJ_Duque de Caxias</v>
      </c>
      <c r="C5954" s="238" t="str">
        <f>IFERROR(__xludf.DUMMYFUNCTION("""COMPUTED_VALUE"""),"SOC-RJ2")</f>
        <v>SOC-RJ2</v>
      </c>
      <c r="D5954" s="234" t="str">
        <f>IFERROR(__xludf.DUMMYFUNCTION("""COMPUTED_VALUE"""),"97/24")</f>
        <v>97/24</v>
      </c>
      <c r="E5954" s="237" t="str">
        <f>IFERROR(__xludf.DUMMYFUNCTION("""COMPUTED_VALUE"""),"LT0Q1R01XF9M2")</f>
        <v>LT0Q1R01XF9M2</v>
      </c>
      <c r="F5954" s="238" t="str">
        <f>IFERROR(__xludf.DUMMYFUNCTION("""COMPUTED_VALUE"""),"EQN2H35,ERS9J88")</f>
        <v>EQN2H35,ERS9J88</v>
      </c>
      <c r="G5954" s="238">
        <f>IFERROR(__xludf.DUMMYFUNCTION("""COMPUTED_VALUE"""),46049.836111111115)</f>
        <v>46049.83611</v>
      </c>
      <c r="H5954" s="238">
        <f>IFERROR(__xludf.DUMMYFUNCTION("""COMPUTED_VALUE"""),46050.20833333333)</f>
        <v>46050.20833</v>
      </c>
      <c r="J5954" s="239">
        <v>119.99999999301508</v>
      </c>
    </row>
    <row r="5955">
      <c r="A5955" s="234"/>
      <c r="B5955" s="238" t="str">
        <f>IFERROR(__xludf.DUMMYFUNCTION("""COMPUTED_VALUE"""),"SoC_SP_Louveira")</f>
        <v>SoC_SP_Louveira</v>
      </c>
      <c r="C5955" s="238" t="str">
        <f>IFERROR(__xludf.DUMMYFUNCTION("""COMPUTED_VALUE"""),"SOC-SP7")</f>
        <v>SOC-SP7</v>
      </c>
      <c r="D5955" s="234">
        <f>IFERROR(__xludf.DUMMYFUNCTION("""COMPUTED_VALUE"""),38.0)</f>
        <v>38</v>
      </c>
      <c r="E5955" s="237" t="str">
        <f>IFERROR(__xludf.DUMMYFUNCTION("""COMPUTED_VALUE"""),"LT1Q1R01XQZN1")</f>
        <v>LT1Q1R01XQZN1</v>
      </c>
      <c r="F5955" s="238" t="str">
        <f>IFERROR(__xludf.DUMMYFUNCTION("""COMPUTED_VALUE"""),"GGW4B14,FUE2I63")</f>
        <v>GGW4B14,FUE2I63</v>
      </c>
      <c r="G5955" s="238">
        <f>IFERROR(__xludf.DUMMYFUNCTION("""COMPUTED_VALUE"""),46050.125)</f>
        <v>46050.125</v>
      </c>
      <c r="H5955" s="238">
        <f>IFERROR(__xludf.DUMMYFUNCTION("""COMPUTED_VALUE"""),46050.20833333333)</f>
        <v>46050.20833</v>
      </c>
      <c r="J5955" s="239">
        <v>119.99999999301508</v>
      </c>
    </row>
    <row r="5956">
      <c r="A5956" s="234"/>
      <c r="B5956" s="238" t="str">
        <f>IFERROR(__xludf.DUMMYFUNCTION("""COMPUTED_VALUE"""),"LM Hub_SP_Itapeva")</f>
        <v>LM Hub_SP_Itapeva</v>
      </c>
      <c r="C5956" s="238" t="str">
        <f>IFERROR(__xludf.DUMMYFUNCTION("""COMPUTED_VALUE"""),"HUB-LSP-39")</f>
        <v>HUB-LSP-39</v>
      </c>
      <c r="D5956" s="234">
        <f>IFERROR(__xludf.DUMMYFUNCTION("""COMPUTED_VALUE"""),12.0)</f>
        <v>12</v>
      </c>
      <c r="E5956" s="237" t="str">
        <f>IFERROR(__xludf.DUMMYFUNCTION("""COMPUTED_VALUE"""),"LT0Q1S01XDFN1")</f>
        <v>LT0Q1S01XDFN1</v>
      </c>
      <c r="F5956" s="238" t="str">
        <f>IFERROR(__xludf.DUMMYFUNCTION("""COMPUTED_VALUE"""),"FCT0F31")</f>
        <v>FCT0F31</v>
      </c>
      <c r="G5956" s="238">
        <f>IFERROR(__xludf.DUMMYFUNCTION("""COMPUTED_VALUE"""),46050.125)</f>
        <v>46050.125</v>
      </c>
      <c r="H5956" s="238">
        <f>IFERROR(__xludf.DUMMYFUNCTION("""COMPUTED_VALUE"""),46050.20833333333)</f>
        <v>46050.20833</v>
      </c>
      <c r="J5956" s="239">
        <v>119.99999999301508</v>
      </c>
    </row>
    <row r="5957">
      <c r="A5957" s="234"/>
      <c r="B5957" s="238" t="str">
        <f>IFERROR(__xludf.DUMMYFUNCTION("""COMPUTED_VALUE"""),"LM Hub_SP_Sumaré_Nova Veneza_1")</f>
        <v>LM Hub_SP_Sumaré_Nova Veneza_1</v>
      </c>
      <c r="C5957" s="238" t="str">
        <f>IFERROR(__xludf.DUMMYFUNCTION("""COMPUTED_VALUE"""),"HUB-LSP-88")</f>
        <v>HUB-LSP-88</v>
      </c>
      <c r="D5957" s="234">
        <f>IFERROR(__xludf.DUMMYFUNCTION("""COMPUTED_VALUE"""),32.0)</f>
        <v>32</v>
      </c>
      <c r="E5957" s="237" t="str">
        <f>IFERROR(__xludf.DUMMYFUNCTION("""COMPUTED_VALUE"""),"LT0Q1S01XHYH1")</f>
        <v>LT0Q1S01XHYH1</v>
      </c>
      <c r="F5957" s="238" t="str">
        <f>IFERROR(__xludf.DUMMYFUNCTION("""COMPUTED_VALUE"""),"ENZ4737")</f>
        <v>ENZ4737</v>
      </c>
      <c r="G5957" s="238">
        <f>IFERROR(__xludf.DUMMYFUNCTION("""COMPUTED_VALUE"""),46050.125)</f>
        <v>46050.125</v>
      </c>
      <c r="H5957" s="238">
        <f>IFERROR(__xludf.DUMMYFUNCTION("""COMPUTED_VALUE"""),46050.20833333333)</f>
        <v>46050.20833</v>
      </c>
      <c r="J5957" s="239">
        <v>119.99999999301508</v>
      </c>
    </row>
    <row r="5958">
      <c r="A5958" s="234"/>
      <c r="B5958" s="238" t="str">
        <f>IFERROR(__xludf.DUMMYFUNCTION("""COMPUTED_VALUE"""),"SoC_PR_Curitiba")</f>
        <v>SoC_PR_Curitiba</v>
      </c>
      <c r="C5958" s="238" t="str">
        <f>IFERROR(__xludf.DUMMYFUNCTION("""COMPUTED_VALUE"""),"SOC-PR1")</f>
        <v>SOC-PR1</v>
      </c>
      <c r="D5958" s="234"/>
      <c r="E5958" s="237" t="str">
        <f>IFERROR(__xludf.DUMMYFUNCTION("""COMPUTED_VALUE"""),"LT1Q1S01XRGN1")</f>
        <v>LT1Q1S01XRGN1</v>
      </c>
      <c r="F5958" s="238" t="str">
        <f>IFERROR(__xludf.DUMMYFUNCTION("""COMPUTED_VALUE"""),"TAW8J76,RYY7B59")</f>
        <v>TAW8J76,RYY7B59</v>
      </c>
      <c r="G5958" s="238">
        <f>IFERROR(__xludf.DUMMYFUNCTION("""COMPUTED_VALUE"""),46050.125)</f>
        <v>46050.125</v>
      </c>
      <c r="H5958" s="238">
        <f>IFERROR(__xludf.DUMMYFUNCTION("""COMPUTED_VALUE"""),46050.20833333333)</f>
        <v>46050.20833</v>
      </c>
      <c r="J5958" s="239">
        <v>120.00000001396984</v>
      </c>
    </row>
    <row r="5959">
      <c r="A5959" s="234"/>
      <c r="B5959" s="238" t="str">
        <f>IFERROR(__xludf.DUMMYFUNCTION("""COMPUTED_VALUE"""),"LM Hub_SP_Mogi Mirim")</f>
        <v>LM Hub_SP_Mogi Mirim</v>
      </c>
      <c r="C5959" s="238" t="str">
        <f>IFERROR(__xludf.DUMMYFUNCTION("""COMPUTED_VALUE"""),"HUB-LSP-37")</f>
        <v>HUB-LSP-37</v>
      </c>
      <c r="D5959" s="234">
        <f>IFERROR(__xludf.DUMMYFUNCTION("""COMPUTED_VALUE"""),13.0)</f>
        <v>13</v>
      </c>
      <c r="E5959" s="237" t="str">
        <f>IFERROR(__xludf.DUMMYFUNCTION("""COMPUTED_VALUE"""),"LT0Q1S01XDI71")</f>
        <v>LT0Q1S01XDI71</v>
      </c>
      <c r="F5959" s="238" t="str">
        <f>IFERROR(__xludf.DUMMYFUNCTION("""COMPUTED_VALUE"""),"GFM6E44,AOF2G51")</f>
        <v>GFM6E44,AOF2G51</v>
      </c>
      <c r="G5959" s="238">
        <f>IFERROR(__xludf.DUMMYFUNCTION("""COMPUTED_VALUE"""),46050.14583333333)</f>
        <v>46050.14583</v>
      </c>
      <c r="H5959" s="238">
        <f>IFERROR(__xludf.DUMMYFUNCTION("""COMPUTED_VALUE"""),46050.22916666667)</f>
        <v>46050.22917</v>
      </c>
      <c r="J5959" s="239">
        <v>120.00000001396984</v>
      </c>
    </row>
    <row r="5960">
      <c r="A5960" s="234"/>
      <c r="B5960" s="238" t="str">
        <f>IFERROR(__xludf.DUMMYFUNCTION("""COMPUTED_VALUE"""),"LM Hub_SP_Campinas_São Martinho")</f>
        <v>LM Hub_SP_Campinas_São Martinho</v>
      </c>
      <c r="C5960" s="238" t="str">
        <f>IFERROR(__xludf.DUMMYFUNCTION("""COMPUTED_VALUE"""),"HUB-LSP-19")</f>
        <v>HUB-LSP-19</v>
      </c>
      <c r="D5960" s="234">
        <f>IFERROR(__xludf.DUMMYFUNCTION("""COMPUTED_VALUE"""),6.0)</f>
        <v>6</v>
      </c>
      <c r="E5960" s="237" t="str">
        <f>IFERROR(__xludf.DUMMYFUNCTION("""COMPUTED_VALUE"""),"LT0Q1S01XDJN1")</f>
        <v>LT0Q1S01XDJN1</v>
      </c>
      <c r="F5960" s="238" t="str">
        <f>IFERROR(__xludf.DUMMYFUNCTION("""COMPUTED_VALUE"""),"GCJ6G71")</f>
        <v>GCJ6G71</v>
      </c>
      <c r="G5960" s="238">
        <f>IFERROR(__xludf.DUMMYFUNCTION("""COMPUTED_VALUE"""),46050.14583333333)</f>
        <v>46050.14583</v>
      </c>
      <c r="H5960" s="238">
        <f>IFERROR(__xludf.DUMMYFUNCTION("""COMPUTED_VALUE"""),46050.22916666667)</f>
        <v>46050.22917</v>
      </c>
      <c r="J5960" s="239">
        <v>600.0000000069849</v>
      </c>
    </row>
    <row r="5961">
      <c r="A5961" s="234"/>
      <c r="B5961" s="238" t="str">
        <f>IFERROR(__xludf.DUMMYFUNCTION("""COMPUTED_VALUE"""),"SoC_SP_Cravinhos")</f>
        <v>SoC_SP_Cravinhos</v>
      </c>
      <c r="C5961" s="238" t="str">
        <f>IFERROR(__xludf.DUMMYFUNCTION("""COMPUTED_VALUE"""),"SOC-SP5")</f>
        <v>SOC-SP5</v>
      </c>
      <c r="D5961" s="234">
        <f>IFERROR(__xludf.DUMMYFUNCTION("""COMPUTED_VALUE"""),95.0)</f>
        <v>95</v>
      </c>
      <c r="E5961" s="237" t="str">
        <f>IFERROR(__xludf.DUMMYFUNCTION("""COMPUTED_VALUE"""),"LT0Q1R01XDBU2")</f>
        <v>LT0Q1R01XDBU2</v>
      </c>
      <c r="F5961" s="238" t="str">
        <f>IFERROR(__xludf.DUMMYFUNCTION("""COMPUTED_VALUE"""),"DHX7I19,EZC9D11")</f>
        <v>DHX7I19,EZC9D11</v>
      </c>
      <c r="G5961" s="238">
        <f>IFERROR(__xludf.DUMMYFUNCTION("""COMPUTED_VALUE"""),46049.83333333333)</f>
        <v>46049.83333</v>
      </c>
      <c r="H5961" s="238">
        <f>IFERROR(__xludf.DUMMYFUNCTION("""COMPUTED_VALUE"""),46050.25)</f>
        <v>46050.25</v>
      </c>
      <c r="J5961" s="239">
        <v>360.0</v>
      </c>
    </row>
    <row r="5962">
      <c r="A5962" s="234"/>
      <c r="B5962" s="238" t="str">
        <f>IFERROR(__xludf.DUMMYFUNCTION("""COMPUTED_VALUE"""),"SoC_PE_Jaboatão dos Guararapes")</f>
        <v>SoC_PE_Jaboatão dos Guararapes</v>
      </c>
      <c r="C5962" s="238" t="str">
        <f>IFERROR(__xludf.DUMMYFUNCTION("""COMPUTED_VALUE"""),"SOC-PE2")</f>
        <v>SOC-PE2</v>
      </c>
      <c r="D5962" s="234">
        <f>IFERROR(__xludf.DUMMYFUNCTION("""COMPUTED_VALUE"""),98.0)</f>
        <v>98</v>
      </c>
      <c r="E5962" s="237" t="str">
        <f>IFERROR(__xludf.DUMMYFUNCTION("""COMPUTED_VALUE"""),"LT1Q1R01XQZT1")</f>
        <v>LT1Q1R01XQZT1</v>
      </c>
      <c r="F5962" s="238" t="str">
        <f>IFERROR(__xludf.DUMMYFUNCTION("""COMPUTED_VALUE"""),"EJW6G15,UEH0E20")</f>
        <v>EJW6G15,UEH0E20</v>
      </c>
      <c r="G5962" s="238">
        <f>IFERROR(__xludf.DUMMYFUNCTION("""COMPUTED_VALUE"""),46050.0)</f>
        <v>46050</v>
      </c>
      <c r="H5962" s="238">
        <f>IFERROR(__xludf.DUMMYFUNCTION("""COMPUTED_VALUE"""),46050.25)</f>
        <v>46050.25</v>
      </c>
      <c r="J5962" s="239">
        <v>540.0</v>
      </c>
    </row>
    <row r="5963">
      <c r="A5963" s="234"/>
      <c r="B5963" s="238" t="str">
        <f>IFERROR(__xludf.DUMMYFUNCTION("""COMPUTED_VALUE"""),"SoC_RJ_Duque de Caxias")</f>
        <v>SoC_RJ_Duque de Caxias</v>
      </c>
      <c r="C5963" s="238" t="str">
        <f>IFERROR(__xludf.DUMMYFUNCTION("""COMPUTED_VALUE"""),"SOC-RJ2")</f>
        <v>SOC-RJ2</v>
      </c>
      <c r="D5963" s="234">
        <f>IFERROR(__xludf.DUMMYFUNCTION("""COMPUTED_VALUE"""),96.0)</f>
        <v>96</v>
      </c>
      <c r="E5963" s="237" t="str">
        <f>IFERROR(__xludf.DUMMYFUNCTION("""COMPUTED_VALUE"""),"LT0Q1R01XMIY2")</f>
        <v>LT0Q1R01XMIY2</v>
      </c>
      <c r="F5963" s="238" t="str">
        <f>IFERROR(__xludf.DUMMYFUNCTION("""COMPUTED_VALUE"""),"NLP5249,TTF6G44")</f>
        <v>NLP5249,TTF6G44</v>
      </c>
      <c r="G5963" s="238">
        <f>IFERROR(__xludf.DUMMYFUNCTION("""COMPUTED_VALUE"""),46049.875)</f>
        <v>46049.875</v>
      </c>
      <c r="H5963" s="238">
        <f>IFERROR(__xludf.DUMMYFUNCTION("""COMPUTED_VALUE"""),46050.25)</f>
        <v>46050.25</v>
      </c>
      <c r="J5963" s="239">
        <v>537.0000000006985</v>
      </c>
    </row>
    <row r="5964">
      <c r="A5964" s="234"/>
      <c r="B5964" s="238" t="str">
        <f>IFERROR(__xludf.DUMMYFUNCTION("""COMPUTED_VALUE"""),"SoC_MG_Betim")</f>
        <v>SoC_MG_Betim</v>
      </c>
      <c r="C5964" s="238" t="str">
        <f>IFERROR(__xludf.DUMMYFUNCTION("""COMPUTED_VALUE"""),"SOC-MG2")</f>
        <v>SOC-MG2</v>
      </c>
      <c r="D5964" s="234">
        <f>IFERROR(__xludf.DUMMYFUNCTION("""COMPUTED_VALUE"""),91.0)</f>
        <v>91</v>
      </c>
      <c r="E5964" s="237" t="str">
        <f>IFERROR(__xludf.DUMMYFUNCTION("""COMPUTED_VALUE"""),"LT0Q1R01XM5G1")</f>
        <v>LT0Q1R01XM5G1</v>
      </c>
      <c r="F5964" s="238" t="str">
        <f>IFERROR(__xludf.DUMMYFUNCTION("""COMPUTED_VALUE"""),"DPF1E65,EWJ1I10")</f>
        <v>DPF1E65,EWJ1I10</v>
      </c>
      <c r="G5964" s="238">
        <f>IFERROR(__xludf.DUMMYFUNCTION("""COMPUTED_VALUE"""),46049.87708333333)</f>
        <v>46049.87708</v>
      </c>
      <c r="H5964" s="238">
        <f>IFERROR(__xludf.DUMMYFUNCTION("""COMPUTED_VALUE"""),46050.25)</f>
        <v>46050.25</v>
      </c>
      <c r="J5964" s="239">
        <v>119.99999999301508</v>
      </c>
    </row>
    <row r="5965">
      <c r="A5965" s="234"/>
      <c r="B5965" s="238" t="str">
        <f>IFERROR(__xludf.DUMMYFUNCTION("""COMPUTED_VALUE"""),"SoC_SP_Louveira")</f>
        <v>SoC_SP_Louveira</v>
      </c>
      <c r="C5965" s="238" t="str">
        <f>IFERROR(__xludf.DUMMYFUNCTION("""COMPUTED_VALUE"""),"SOC-SP7")</f>
        <v>SOC-SP7</v>
      </c>
      <c r="D5965" s="234">
        <f>IFERROR(__xludf.DUMMYFUNCTION("""COMPUTED_VALUE"""),39.0)</f>
        <v>39</v>
      </c>
      <c r="E5965" s="237" t="str">
        <f>IFERROR(__xludf.DUMMYFUNCTION("""COMPUTED_VALUE"""),"LT0Q1S01XDCY1")</f>
        <v>LT0Q1S01XDCY1</v>
      </c>
      <c r="F5965" s="238" t="str">
        <f>IFERROR(__xludf.DUMMYFUNCTION("""COMPUTED_VALUE"""),"DYJ2E40,IRA5B64")</f>
        <v>DYJ2E40,IRA5B64</v>
      </c>
      <c r="G5965" s="238">
        <f>IFERROR(__xludf.DUMMYFUNCTION("""COMPUTED_VALUE"""),46050.16666666667)</f>
        <v>46050.16667</v>
      </c>
      <c r="H5965" s="238">
        <f>IFERROR(__xludf.DUMMYFUNCTION("""COMPUTED_VALUE"""),46050.25)</f>
        <v>46050.25</v>
      </c>
      <c r="J5965" s="239">
        <v>119.99999999301508</v>
      </c>
    </row>
    <row r="5966">
      <c r="A5966" s="234"/>
      <c r="B5966" s="238" t="str">
        <f>IFERROR(__xludf.DUMMYFUNCTION("""COMPUTED_VALUE"""),"LM Hub_SP_Registro")</f>
        <v>LM Hub_SP_Registro</v>
      </c>
      <c r="C5966" s="238" t="str">
        <f>IFERROR(__xludf.DUMMYFUNCTION("""COMPUTED_VALUE"""),"HUB-LSP-40")</f>
        <v>HUB-LSP-40</v>
      </c>
      <c r="D5966" s="234"/>
      <c r="E5966" s="237" t="str">
        <f>IFERROR(__xludf.DUMMYFUNCTION("""COMPUTED_VALUE"""),"LT0Q1S01XDG51")</f>
        <v>LT0Q1S01XDG51</v>
      </c>
      <c r="F5966" s="238" t="str">
        <f>IFERROR(__xludf.DUMMYFUNCTION("""COMPUTED_VALUE"""),"HLQ4J49")</f>
        <v>HLQ4J49</v>
      </c>
      <c r="G5966" s="238">
        <f>IFERROR(__xludf.DUMMYFUNCTION("""COMPUTED_VALUE"""),46050.16666666667)</f>
        <v>46050.16667</v>
      </c>
      <c r="H5966" s="238">
        <f>IFERROR(__xludf.DUMMYFUNCTION("""COMPUTED_VALUE"""),46050.25)</f>
        <v>46050.25</v>
      </c>
      <c r="J5966" s="239">
        <v>119.99999999301508</v>
      </c>
    </row>
    <row r="5967">
      <c r="A5967" s="234"/>
      <c r="B5967" s="238" t="str">
        <f>IFERROR(__xludf.DUMMYFUNCTION("""COMPUTED_VALUE"""),"LM Hub_SP_Guaratinguetá")</f>
        <v>LM Hub_SP_Guaratinguetá</v>
      </c>
      <c r="C5967" s="238" t="str">
        <f>IFERROR(__xludf.DUMMYFUNCTION("""COMPUTED_VALUE"""),"HUB-LSP-33")</f>
        <v>HUB-LSP-33</v>
      </c>
      <c r="D5967" s="234">
        <f>IFERROR(__xludf.DUMMYFUNCTION("""COMPUTED_VALUE"""),25.0)</f>
        <v>25</v>
      </c>
      <c r="E5967" s="237" t="str">
        <f>IFERROR(__xludf.DUMMYFUNCTION("""COMPUTED_VALUE"""),"LT0Q1S01XDGG1")</f>
        <v>LT0Q1S01XDGG1</v>
      </c>
      <c r="F5967" s="238" t="str">
        <f>IFERROR(__xludf.DUMMYFUNCTION("""COMPUTED_VALUE"""),"SWQ6D05,SWG3J97")</f>
        <v>SWQ6D05,SWG3J97</v>
      </c>
      <c r="G5967" s="238">
        <f>IFERROR(__xludf.DUMMYFUNCTION("""COMPUTED_VALUE"""),46050.16666666667)</f>
        <v>46050.16667</v>
      </c>
      <c r="H5967" s="238">
        <f>IFERROR(__xludf.DUMMYFUNCTION("""COMPUTED_VALUE"""),46050.25)</f>
        <v>46050.25</v>
      </c>
      <c r="J5967" s="239">
        <v>119.99999999301508</v>
      </c>
    </row>
    <row r="5968">
      <c r="A5968" s="234"/>
      <c r="B5968" s="238" t="str">
        <f>IFERROR(__xludf.DUMMYFUNCTION("""COMPUTED_VALUE"""),"LM Hub_SP_Limeira_Campo Belo")</f>
        <v>LM Hub_SP_Limeira_Campo Belo</v>
      </c>
      <c r="C5968" s="238" t="str">
        <f>IFERROR(__xludf.DUMMYFUNCTION("""COMPUTED_VALUE"""),"HUB-LSP-24")</f>
        <v>HUB-LSP-24</v>
      </c>
      <c r="D5968" s="234">
        <f>IFERROR(__xludf.DUMMYFUNCTION("""COMPUTED_VALUE"""),19.0)</f>
        <v>19</v>
      </c>
      <c r="E5968" s="237" t="str">
        <f>IFERROR(__xludf.DUMMYFUNCTION("""COMPUTED_VALUE"""),"LT0Q1S01XDHH1")</f>
        <v>LT0Q1S01XDHH1</v>
      </c>
      <c r="F5968" s="238" t="str">
        <f>IFERROR(__xludf.DUMMYFUNCTION("""COMPUTED_VALUE"""),"UGF1A20")</f>
        <v>UGF1A20</v>
      </c>
      <c r="G5968" s="238">
        <f>IFERROR(__xludf.DUMMYFUNCTION("""COMPUTED_VALUE"""),46050.16666666667)</f>
        <v>46050.16667</v>
      </c>
      <c r="H5968" s="238">
        <f>IFERROR(__xludf.DUMMYFUNCTION("""COMPUTED_VALUE"""),46050.25)</f>
        <v>46050.25</v>
      </c>
      <c r="J5968" s="239">
        <v>119.99999999301508</v>
      </c>
    </row>
    <row r="5969">
      <c r="A5969" s="234"/>
      <c r="B5969" s="238" t="str">
        <f>IFERROR(__xludf.DUMMYFUNCTION("""COMPUTED_VALUE"""),"SoC_PR_Curitiba")</f>
        <v>SoC_PR_Curitiba</v>
      </c>
      <c r="C5969" s="238" t="str">
        <f>IFERROR(__xludf.DUMMYFUNCTION("""COMPUTED_VALUE"""),"SOC-PR1")</f>
        <v>SOC-PR1</v>
      </c>
      <c r="D5969" s="234">
        <f>IFERROR(__xludf.DUMMYFUNCTION("""COMPUTED_VALUE"""),42.0)</f>
        <v>42</v>
      </c>
      <c r="E5969" s="237" t="str">
        <f>IFERROR(__xludf.DUMMYFUNCTION("""COMPUTED_VALUE"""),"LT1Q1S01XS1V1")</f>
        <v>LT1Q1S01XS1V1</v>
      </c>
      <c r="F5969" s="238" t="str">
        <f>IFERROR(__xludf.DUMMYFUNCTION("""COMPUTED_VALUE"""),"EFV3E97,SFK1J98")</f>
        <v>EFV3E97,SFK1J98</v>
      </c>
      <c r="G5969" s="238">
        <f>IFERROR(__xludf.DUMMYFUNCTION("""COMPUTED_VALUE"""),46050.17083333334)</f>
        <v>46050.17083</v>
      </c>
      <c r="H5969" s="238">
        <f>IFERROR(__xludf.DUMMYFUNCTION("""COMPUTED_VALUE"""),46050.254166666666)</f>
        <v>46050.25417</v>
      </c>
      <c r="J5969" s="239">
        <v>119.99999999301508</v>
      </c>
    </row>
    <row r="5970">
      <c r="A5970" s="234"/>
      <c r="B5970" s="238" t="str">
        <f>IFERROR(__xludf.DUMMYFUNCTION("""COMPUTED_VALUE"""),"LM Hub_SP_Atibaia_Ponte_Alta")</f>
        <v>LM Hub_SP_Atibaia_Ponte_Alta</v>
      </c>
      <c r="C5970" s="238" t="str">
        <f>IFERROR(__xludf.DUMMYFUNCTION("""COMPUTED_VALUE"""),"HUB-LSP-87")</f>
        <v>HUB-LSP-87</v>
      </c>
      <c r="D5970" s="234">
        <f>IFERROR(__xludf.DUMMYFUNCTION("""COMPUTED_VALUE"""),23.0)</f>
        <v>23</v>
      </c>
      <c r="E5970" s="237" t="str">
        <f>IFERROR(__xludf.DUMMYFUNCTION("""COMPUTED_VALUE"""),"LT0Q1S01XGUM1")</f>
        <v>LT0Q1S01XGUM1</v>
      </c>
      <c r="F5970" s="238" t="str">
        <f>IFERROR(__xludf.DUMMYFUNCTION("""COMPUTED_VALUE"""),"TMH3A56,FUK4B71")</f>
        <v>TMH3A56,FUK4B71</v>
      </c>
      <c r="G5970" s="238">
        <f>IFERROR(__xludf.DUMMYFUNCTION("""COMPUTED_VALUE"""),46050.1875)</f>
        <v>46050.1875</v>
      </c>
      <c r="H5970" s="238">
        <f>IFERROR(__xludf.DUMMYFUNCTION("""COMPUTED_VALUE"""),46050.27083333333)</f>
        <v>46050.27083</v>
      </c>
      <c r="J5970" s="239">
        <v>118.99999998975545</v>
      </c>
    </row>
    <row r="5971">
      <c r="A5971" s="234"/>
      <c r="B5971" s="238" t="str">
        <f>IFERROR(__xludf.DUMMYFUNCTION("""COMPUTED_VALUE"""),"LM Hub_SP_Taubaté")</f>
        <v>LM Hub_SP_Taubaté</v>
      </c>
      <c r="C5971" s="238" t="str">
        <f>IFERROR(__xludf.DUMMYFUNCTION("""COMPUTED_VALUE"""),"HUB-LSP-08")</f>
        <v>HUB-LSP-08</v>
      </c>
      <c r="D5971" s="234">
        <f>IFERROR(__xludf.DUMMYFUNCTION("""COMPUTED_VALUE"""),29.0)</f>
        <v>29</v>
      </c>
      <c r="E5971" s="237" t="str">
        <f>IFERROR(__xludf.DUMMYFUNCTION("""COMPUTED_VALUE"""),"LT0Q1S01XDGR1")</f>
        <v>LT0Q1S01XDGR1</v>
      </c>
      <c r="F5971" s="238" t="str">
        <f>IFERROR(__xludf.DUMMYFUNCTION("""COMPUTED_VALUE"""),"ONN9D62")</f>
        <v>ONN9D62</v>
      </c>
      <c r="G5971" s="238">
        <f>IFERROR(__xludf.DUMMYFUNCTION("""COMPUTED_VALUE"""),46050.18819444445)</f>
        <v>46050.18819</v>
      </c>
      <c r="H5971" s="238">
        <f>IFERROR(__xludf.DUMMYFUNCTION("""COMPUTED_VALUE"""),46050.27083333333)</f>
        <v>46050.27083</v>
      </c>
      <c r="J5971" s="239">
        <v>118.99999998975545</v>
      </c>
    </row>
    <row r="5972">
      <c r="A5972" s="234"/>
      <c r="B5972" s="238" t="str">
        <f>IFERROR(__xludf.DUMMYFUNCTION("""COMPUTED_VALUE"""),"LM Hub_SP_Sorocaba_Região Norte")</f>
        <v>LM Hub_SP_Sorocaba_Região Norte</v>
      </c>
      <c r="C5972" s="238" t="str">
        <f>IFERROR(__xludf.DUMMYFUNCTION("""COMPUTED_VALUE"""),"HUB-LSP-10")</f>
        <v>HUB-LSP-10</v>
      </c>
      <c r="D5972" s="234">
        <f>IFERROR(__xludf.DUMMYFUNCTION("""COMPUTED_VALUE"""),21.0)</f>
        <v>21</v>
      </c>
      <c r="E5972" s="237" t="str">
        <f>IFERROR(__xludf.DUMMYFUNCTION("""COMPUTED_VALUE"""),"LT0Q1S01XM6N1")</f>
        <v>LT0Q1S01XM6N1</v>
      </c>
      <c r="F5972" s="238" t="str">
        <f>IFERROR(__xludf.DUMMYFUNCTION("""COMPUTED_VALUE"""),"ESU8J22,FZC3B37")</f>
        <v>ESU8J22,FZC3B37</v>
      </c>
      <c r="G5972" s="238">
        <f>IFERROR(__xludf.DUMMYFUNCTION("""COMPUTED_VALUE"""),46050.18819444445)</f>
        <v>46050.18819</v>
      </c>
      <c r="H5972" s="238">
        <f>IFERROR(__xludf.DUMMYFUNCTION("""COMPUTED_VALUE"""),46050.27083333333)</f>
        <v>46050.27083</v>
      </c>
      <c r="J5972" s="239">
        <v>539.0000000072177</v>
      </c>
    </row>
    <row r="5973">
      <c r="A5973" s="234"/>
      <c r="B5973" s="238" t="str">
        <f>IFERROR(__xludf.DUMMYFUNCTION("""COMPUTED_VALUE"""),"SoC_SC_Itajaí")</f>
        <v>SoC_SC_Itajaí</v>
      </c>
      <c r="C5973" s="238" t="str">
        <f>IFERROR(__xludf.DUMMYFUNCTION("""COMPUTED_VALUE"""),"SOC-SC1")</f>
        <v>SOC-SC1</v>
      </c>
      <c r="D5973" s="234">
        <f>IFERROR(__xludf.DUMMYFUNCTION("""COMPUTED_VALUE"""),100.0)</f>
        <v>100</v>
      </c>
      <c r="E5973" s="237" t="str">
        <f>IFERROR(__xludf.DUMMYFUNCTION("""COMPUTED_VALUE"""),"LT0Q1R01XHI01")</f>
        <v>LT0Q1R01XHI01</v>
      </c>
      <c r="F5973" s="238" t="str">
        <f>IFERROR(__xludf.DUMMYFUNCTION("""COMPUTED_VALUE"""),"RYS4J85,SXJ6A32")</f>
        <v>RYS4J85,SXJ6A32</v>
      </c>
      <c r="G5973" s="238">
        <f>IFERROR(__xludf.DUMMYFUNCTION("""COMPUTED_VALUE"""),46049.91736111111)</f>
        <v>46049.91736</v>
      </c>
      <c r="H5973" s="238">
        <f>IFERROR(__xludf.DUMMYFUNCTION("""COMPUTED_VALUE"""),46050.29166666667)</f>
        <v>46050.29167</v>
      </c>
      <c r="J5973" s="239">
        <v>539.0000000072177</v>
      </c>
    </row>
    <row r="5974">
      <c r="A5974" s="234"/>
      <c r="B5974" s="238" t="str">
        <f>IFERROR(__xludf.DUMMYFUNCTION("""COMPUTED_VALUE"""),"SoC_SC_Itajaí")</f>
        <v>SoC_SC_Itajaí</v>
      </c>
      <c r="C5974" s="238" t="str">
        <f>IFERROR(__xludf.DUMMYFUNCTION("""COMPUTED_VALUE"""),"SOC-SC1")</f>
        <v>SOC-SC1</v>
      </c>
      <c r="D5974" s="234">
        <f>IFERROR(__xludf.DUMMYFUNCTION("""COMPUTED_VALUE"""),101.0)</f>
        <v>101</v>
      </c>
      <c r="E5974" s="237" t="str">
        <f>IFERROR(__xludf.DUMMYFUNCTION("""COMPUTED_VALUE"""),"LT0Q1R01XHI22")</f>
        <v>LT0Q1R01XHI22</v>
      </c>
      <c r="F5974" s="238" t="str">
        <f>IFERROR(__xludf.DUMMYFUNCTION("""COMPUTED_VALUE"""),"NLP1469,RYD5I93")</f>
        <v>NLP1469,RYD5I93</v>
      </c>
      <c r="G5974" s="238">
        <f>IFERROR(__xludf.DUMMYFUNCTION("""COMPUTED_VALUE"""),46049.91736111111)</f>
        <v>46049.91736</v>
      </c>
      <c r="H5974" s="238">
        <f>IFERROR(__xludf.DUMMYFUNCTION("""COMPUTED_VALUE"""),46050.29166666667)</f>
        <v>46050.29167</v>
      </c>
      <c r="J5974" s="239">
        <v>539.0000000072177</v>
      </c>
    </row>
    <row r="5975">
      <c r="A5975" s="234"/>
      <c r="B5975" s="238" t="str">
        <f>IFERROR(__xludf.DUMMYFUNCTION("""COMPUTED_VALUE"""),"SoC_GO_Goiânia_02")</f>
        <v>SoC_GO_Goiânia_02</v>
      </c>
      <c r="C5975" s="238" t="str">
        <f>IFERROR(__xludf.DUMMYFUNCTION("""COMPUTED_VALUE"""),"SOC-GO2")</f>
        <v>SOC-GO2</v>
      </c>
      <c r="D5975" s="234">
        <f>IFERROR(__xludf.DUMMYFUNCTION("""COMPUTED_VALUE"""),86.0)</f>
        <v>86</v>
      </c>
      <c r="E5975" s="237" t="str">
        <f>IFERROR(__xludf.DUMMYFUNCTION("""COMPUTED_VALUE"""),"LT0Q1R01XIQW1")</f>
        <v>LT0Q1R01XIQW1</v>
      </c>
      <c r="F5975" s="238" t="str">
        <f>IFERROR(__xludf.DUMMYFUNCTION("""COMPUTED_VALUE"""),"NLS5E46,APK5F88")</f>
        <v>NLS5E46,APK5F88</v>
      </c>
      <c r="G5975" s="238">
        <f>IFERROR(__xludf.DUMMYFUNCTION("""COMPUTED_VALUE"""),46049.91736111111)</f>
        <v>46049.91736</v>
      </c>
      <c r="H5975" s="238">
        <f>IFERROR(__xludf.DUMMYFUNCTION("""COMPUTED_VALUE"""),46050.29166666667)</f>
        <v>46050.29167</v>
      </c>
      <c r="J5975" s="239">
        <v>539.0000000072177</v>
      </c>
    </row>
    <row r="5976">
      <c r="A5976" s="234"/>
      <c r="B5976" s="238" t="str">
        <f>IFERROR(__xludf.DUMMYFUNCTION("""COMPUTED_VALUE"""),"SoC_GO_Goiânia_02")</f>
        <v>SoC_GO_Goiânia_02</v>
      </c>
      <c r="C5976" s="238" t="str">
        <f>IFERROR(__xludf.DUMMYFUNCTION("""COMPUTED_VALUE"""),"SOC-GO2")</f>
        <v>SOC-GO2</v>
      </c>
      <c r="D5976" s="234">
        <f>IFERROR(__xludf.DUMMYFUNCTION("""COMPUTED_VALUE"""),87.0)</f>
        <v>87</v>
      </c>
      <c r="E5976" s="237" t="str">
        <f>IFERROR(__xludf.DUMMYFUNCTION("""COMPUTED_VALUE"""),"LT0Q1R01XIR24")</f>
        <v>LT0Q1R01XIR24</v>
      </c>
      <c r="F5976" s="238" t="str">
        <f>IFERROR(__xludf.DUMMYFUNCTION("""COMPUTED_VALUE"""),"EOA1F52,FLK4B82")</f>
        <v>EOA1F52,FLK4B82</v>
      </c>
      <c r="G5976" s="238">
        <f>IFERROR(__xludf.DUMMYFUNCTION("""COMPUTED_VALUE"""),46049.91736111111)</f>
        <v>46049.91736</v>
      </c>
      <c r="H5976" s="238">
        <f>IFERROR(__xludf.DUMMYFUNCTION("""COMPUTED_VALUE"""),46050.29166666667)</f>
        <v>46050.29167</v>
      </c>
      <c r="J5976" s="239">
        <v>537.0000000111759</v>
      </c>
    </row>
    <row r="5977">
      <c r="A5977" s="234"/>
      <c r="B5977" s="238" t="str">
        <f>IFERROR(__xludf.DUMMYFUNCTION("""COMPUTED_VALUE"""),"SoC_RJ_Duque de Caxias")</f>
        <v>SoC_RJ_Duque de Caxias</v>
      </c>
      <c r="C5977" s="238" t="str">
        <f>IFERROR(__xludf.DUMMYFUNCTION("""COMPUTED_VALUE"""),"SOC-RJ2")</f>
        <v>SOC-RJ2</v>
      </c>
      <c r="D5977" s="234">
        <f>IFERROR(__xludf.DUMMYFUNCTION("""COMPUTED_VALUE"""),97.0)</f>
        <v>97</v>
      </c>
      <c r="E5977" s="237" t="str">
        <f>IFERROR(__xludf.DUMMYFUNCTION("""COMPUTED_VALUE"""),"LT0Q1R01XMJ42")</f>
        <v>LT0Q1R01XMJ42</v>
      </c>
      <c r="F5977" s="238" t="str">
        <f>IFERROR(__xludf.DUMMYFUNCTION("""COMPUTED_VALUE"""),"JGZ2838,KET3G80")</f>
        <v>JGZ2838,KET3G80</v>
      </c>
      <c r="G5977" s="238">
        <f>IFERROR(__xludf.DUMMYFUNCTION("""COMPUTED_VALUE"""),46049.91875)</f>
        <v>46049.91875</v>
      </c>
      <c r="H5977" s="238">
        <f>IFERROR(__xludf.DUMMYFUNCTION("""COMPUTED_VALUE"""),46050.29166666667)</f>
        <v>46050.29167</v>
      </c>
      <c r="J5977" s="239">
        <v>120.00000001396984</v>
      </c>
    </row>
    <row r="5978">
      <c r="A5978" s="234"/>
      <c r="B5978" s="238" t="str">
        <f>IFERROR(__xludf.DUMMYFUNCTION("""COMPUTED_VALUE"""),"LM Hub_SP_Piracicaba")</f>
        <v>LM Hub_SP_Piracicaba</v>
      </c>
      <c r="C5978" s="238" t="str">
        <f>IFERROR(__xludf.DUMMYFUNCTION("""COMPUTED_VALUE"""),"HUB-LSP-62")</f>
        <v>HUB-LSP-62</v>
      </c>
      <c r="D5978" s="234">
        <f>IFERROR(__xludf.DUMMYFUNCTION("""COMPUTED_VALUE"""),26.0)</f>
        <v>26</v>
      </c>
      <c r="E5978" s="237" t="str">
        <f>IFERROR(__xludf.DUMMYFUNCTION("""COMPUTED_VALUE"""),"LT0Q1S01XE4C1")</f>
        <v>LT0Q1S01XE4C1</v>
      </c>
      <c r="F5978" s="238" t="str">
        <f>IFERROR(__xludf.DUMMYFUNCTION("""COMPUTED_VALUE"""),"EOF4D32")</f>
        <v>EOF4D32</v>
      </c>
      <c r="G5978" s="238">
        <f>IFERROR(__xludf.DUMMYFUNCTION("""COMPUTED_VALUE"""),46050.20833333333)</f>
        <v>46050.20833</v>
      </c>
      <c r="H5978" s="238">
        <f>IFERROR(__xludf.DUMMYFUNCTION("""COMPUTED_VALUE"""),46050.29166666667)</f>
        <v>46050.29167</v>
      </c>
      <c r="J5978" s="239">
        <v>120.00000001396984</v>
      </c>
    </row>
    <row r="5979">
      <c r="A5979" s="234"/>
      <c r="B5979" s="238" t="str">
        <f>IFERROR(__xludf.DUMMYFUNCTION("""COMPUTED_VALUE"""),"LM Hub_SP_Santos_PraiaGrande_02")</f>
        <v>LM Hub_SP_Santos_PraiaGrande_02</v>
      </c>
      <c r="C5979" s="238" t="str">
        <f>IFERROR(__xludf.DUMMYFUNCTION("""COMPUTED_VALUE"""),"HUB-LSP-63")</f>
        <v>HUB-LSP-63</v>
      </c>
      <c r="D5979" s="234">
        <f>IFERROR(__xludf.DUMMYFUNCTION("""COMPUTED_VALUE"""),53.0)</f>
        <v>53</v>
      </c>
      <c r="E5979" s="237" t="str">
        <f>IFERROR(__xludf.DUMMYFUNCTION("""COMPUTED_VALUE"""),"LT0Q1S01XEKW1")</f>
        <v>LT0Q1S01XEKW1</v>
      </c>
      <c r="F5979" s="238" t="str">
        <f>IFERROR(__xludf.DUMMYFUNCTION("""COMPUTED_VALUE"""),"SWJ8J34,SXN5B19")</f>
        <v>SWJ8J34,SXN5B19</v>
      </c>
      <c r="G5979" s="238">
        <f>IFERROR(__xludf.DUMMYFUNCTION("""COMPUTED_VALUE"""),46050.20833333333)</f>
        <v>46050.20833</v>
      </c>
      <c r="H5979" s="238">
        <f>IFERROR(__xludf.DUMMYFUNCTION("""COMPUTED_VALUE"""),46050.29166666667)</f>
        <v>46050.29167</v>
      </c>
      <c r="J5979" s="239">
        <v>120.00000001396984</v>
      </c>
    </row>
    <row r="5980">
      <c r="A5980" s="234"/>
      <c r="B5980" s="238" t="str">
        <f>IFERROR(__xludf.DUMMYFUNCTION("""COMPUTED_VALUE"""),"LM Hub_SP_Barueri_01")</f>
        <v>LM Hub_SP_Barueri_01</v>
      </c>
      <c r="C5980" s="238" t="str">
        <f>IFERROR(__xludf.DUMMYFUNCTION("""COMPUTED_VALUE"""),"HUB-LSP-81")</f>
        <v>HUB-LSP-81</v>
      </c>
      <c r="D5980" s="234">
        <f>IFERROR(__xludf.DUMMYFUNCTION("""COMPUTED_VALUE"""),17.0)</f>
        <v>17</v>
      </c>
      <c r="E5980" s="237" t="str">
        <f>IFERROR(__xludf.DUMMYFUNCTION("""COMPUTED_VALUE"""),"LT0Q1S01XI3H1")</f>
        <v>LT0Q1S01XI3H1</v>
      </c>
      <c r="F5980" s="238" t="str">
        <f>IFERROR(__xludf.DUMMYFUNCTION("""COMPUTED_VALUE"""),"SUQ5C99")</f>
        <v>SUQ5C99</v>
      </c>
      <c r="G5980" s="238">
        <f>IFERROR(__xludf.DUMMYFUNCTION("""COMPUTED_VALUE"""),46050.20833333333)</f>
        <v>46050.20833</v>
      </c>
      <c r="H5980" s="238">
        <f>IFERROR(__xludf.DUMMYFUNCTION("""COMPUTED_VALUE"""),46050.29166666667)</f>
        <v>46050.29167</v>
      </c>
      <c r="J5980" s="239">
        <v>120.00000001396984</v>
      </c>
    </row>
    <row r="5981">
      <c r="A5981" s="234"/>
      <c r="B5981" s="238" t="str">
        <f>IFERROR(__xludf.DUMMYFUNCTION("""COMPUTED_VALUE"""),"LM Hub_SP_Jundiaí")</f>
        <v>LM Hub_SP_Jundiaí</v>
      </c>
      <c r="C5981" s="238" t="str">
        <f>IFERROR(__xludf.DUMMYFUNCTION("""COMPUTED_VALUE"""),"HUB-LSP-100")</f>
        <v>HUB-LSP-100</v>
      </c>
      <c r="D5981" s="234">
        <f>IFERROR(__xludf.DUMMYFUNCTION("""COMPUTED_VALUE"""),28.0)</f>
        <v>28</v>
      </c>
      <c r="E5981" s="237" t="str">
        <f>IFERROR(__xludf.DUMMYFUNCTION("""COMPUTED_VALUE"""),"LT0Q1S01XJHW1")</f>
        <v>LT0Q1S01XJHW1</v>
      </c>
      <c r="F5981" s="238" t="str">
        <f>IFERROR(__xludf.DUMMYFUNCTION("""COMPUTED_VALUE"""),"EXS7F82,GEX0C66")</f>
        <v>EXS7F82,GEX0C66</v>
      </c>
      <c r="G5981" s="238">
        <f>IFERROR(__xludf.DUMMYFUNCTION("""COMPUTED_VALUE"""),46050.20833333333)</f>
        <v>46050.20833</v>
      </c>
      <c r="H5981" s="238">
        <f>IFERROR(__xludf.DUMMYFUNCTION("""COMPUTED_VALUE"""),46050.29166666667)</f>
        <v>46050.29167</v>
      </c>
      <c r="J5981" s="239">
        <v>120.00000000349246</v>
      </c>
    </row>
    <row r="5982">
      <c r="A5982" s="234"/>
      <c r="B5982" s="238" t="str">
        <f>IFERROR(__xludf.DUMMYFUNCTION("""COMPUTED_VALUE"""),"SoC_PR_Curitiba")</f>
        <v>SoC_PR_Curitiba</v>
      </c>
      <c r="C5982" s="238" t="str">
        <f>IFERROR(__xludf.DUMMYFUNCTION("""COMPUTED_VALUE"""),"SOC-PR1")</f>
        <v>SOC-PR1</v>
      </c>
      <c r="D5982" s="234">
        <f>IFERROR(__xludf.DUMMYFUNCTION("""COMPUTED_VALUE"""),43.0)</f>
        <v>43</v>
      </c>
      <c r="E5982" s="237" t="str">
        <f>IFERROR(__xludf.DUMMYFUNCTION("""COMPUTED_VALUE"""),"LT1Q1S01XS3E1")</f>
        <v>LT1Q1S01XS3E1</v>
      </c>
      <c r="F5982" s="238" t="str">
        <f>IFERROR(__xludf.DUMMYFUNCTION("""COMPUTED_VALUE"""),"FWC2F11,FWB4F06")</f>
        <v>FWC2F11,FWB4F06</v>
      </c>
      <c r="G5982" s="238">
        <f>IFERROR(__xludf.DUMMYFUNCTION("""COMPUTED_VALUE"""),46050.21666666667)</f>
        <v>46050.21667</v>
      </c>
      <c r="H5982" s="238">
        <f>IFERROR(__xludf.DUMMYFUNCTION("""COMPUTED_VALUE"""),46050.3)</f>
        <v>46050.3</v>
      </c>
      <c r="J5982" s="239">
        <v>119.99999999301508</v>
      </c>
    </row>
    <row r="5983">
      <c r="A5983" s="234"/>
      <c r="B5983" s="238" t="str">
        <f>IFERROR(__xludf.DUMMYFUNCTION("""COMPUTED_VALUE"""),"LM Hub_SP_Itapevi")</f>
        <v>LM Hub_SP_Itapevi</v>
      </c>
      <c r="C5983" s="238" t="str">
        <f>IFERROR(__xludf.DUMMYFUNCTION("""COMPUTED_VALUE"""),"HUB-LSP-41")</f>
        <v>HUB-LSP-41</v>
      </c>
      <c r="D5983" s="234">
        <f>IFERROR(__xludf.DUMMYFUNCTION("""COMPUTED_VALUE"""),35.0)</f>
        <v>35</v>
      </c>
      <c r="E5983" s="237" t="str">
        <f>IFERROR(__xludf.DUMMYFUNCTION("""COMPUTED_VALUE"""),"LT0Q1S01XDEM1")</f>
        <v>LT0Q1S01XDEM1</v>
      </c>
      <c r="F5983" s="238" t="str">
        <f>IFERROR(__xludf.DUMMYFUNCTION("""COMPUTED_VALUE"""),"DPR5J10,TJX9B42")</f>
        <v>DPR5J10,TJX9B42</v>
      </c>
      <c r="G5983" s="238">
        <f>IFERROR(__xludf.DUMMYFUNCTION("""COMPUTED_VALUE"""),46050.22916666667)</f>
        <v>46050.22917</v>
      </c>
      <c r="H5983" s="238">
        <f>IFERROR(__xludf.DUMMYFUNCTION("""COMPUTED_VALUE"""),46050.3125)</f>
        <v>46050.3125</v>
      </c>
      <c r="J5983" s="239">
        <v>119.99999999301508</v>
      </c>
    </row>
    <row r="5984">
      <c r="A5984" s="234"/>
      <c r="B5984" s="238" t="str">
        <f>IFERROR(__xludf.DUMMYFUNCTION("""COMPUTED_VALUE"""),"LM Hub_SP_Santos_Praia Grande")</f>
        <v>LM Hub_SP_Santos_Praia Grande</v>
      </c>
      <c r="C5984" s="238" t="str">
        <f>IFERROR(__xludf.DUMMYFUNCTION("""COMPUTED_VALUE"""),"HUB-LSP-09")</f>
        <v>HUB-LSP-09</v>
      </c>
      <c r="D5984" s="234">
        <f>IFERROR(__xludf.DUMMYFUNCTION("""COMPUTED_VALUE"""),36.0)</f>
        <v>36</v>
      </c>
      <c r="E5984" s="237" t="str">
        <f>IFERROR(__xludf.DUMMYFUNCTION("""COMPUTED_VALUE"""),"LT0Q1S01XEKH1")</f>
        <v>LT0Q1S01XEKH1</v>
      </c>
      <c r="F5984" s="238" t="str">
        <f>IFERROR(__xludf.DUMMYFUNCTION("""COMPUTED_VALUE"""),"DJK4A58")</f>
        <v>DJK4A58</v>
      </c>
      <c r="G5984" s="238">
        <f>IFERROR(__xludf.DUMMYFUNCTION("""COMPUTED_VALUE"""),46050.22916666667)</f>
        <v>46050.22917</v>
      </c>
      <c r="H5984" s="238">
        <f>IFERROR(__xludf.DUMMYFUNCTION("""COMPUTED_VALUE"""),46050.3125)</f>
        <v>46050.3125</v>
      </c>
      <c r="J5984" s="239">
        <v>119.00000000023283</v>
      </c>
    </row>
    <row r="5985">
      <c r="A5985" s="234"/>
      <c r="B5985" s="238" t="str">
        <f>IFERROR(__xludf.DUMMYFUNCTION("""COMPUTED_VALUE"""),"LM Hub_SP_Várzea Paulista")</f>
        <v>LM Hub_SP_Várzea Paulista</v>
      </c>
      <c r="C5985" s="238" t="str">
        <f>IFERROR(__xludf.DUMMYFUNCTION("""COMPUTED_VALUE"""),"HUB-LSP-20")</f>
        <v>HUB-LSP-20</v>
      </c>
      <c r="D5985" s="234">
        <f>IFERROR(__xludf.DUMMYFUNCTION("""COMPUTED_VALUE"""),5.0)</f>
        <v>5</v>
      </c>
      <c r="E5985" s="237" t="str">
        <f>IFERROR(__xludf.DUMMYFUNCTION("""COMPUTED_VALUE"""),"LT0Q1S01XDIM1")</f>
        <v>LT0Q1S01XDIM1</v>
      </c>
      <c r="F5985" s="238" t="str">
        <f>IFERROR(__xludf.DUMMYFUNCTION("""COMPUTED_VALUE"""),"RJG8E37,FCG5D30")</f>
        <v>RJG8E37,FCG5D30</v>
      </c>
      <c r="G5985" s="238">
        <f>IFERROR(__xludf.DUMMYFUNCTION("""COMPUTED_VALUE"""),46050.22986111111)</f>
        <v>46050.22986</v>
      </c>
      <c r="H5985" s="238">
        <f>IFERROR(__xludf.DUMMYFUNCTION("""COMPUTED_VALUE"""),46050.3125)</f>
        <v>46050.3125</v>
      </c>
      <c r="J5985" s="239">
        <v>119.99999999301508</v>
      </c>
    </row>
    <row r="5986">
      <c r="A5986" s="234"/>
      <c r="B5986" s="238" t="str">
        <f>IFERROR(__xludf.DUMMYFUNCTION("""COMPUTED_VALUE"""),"LM Hub_SP_São José dos Campos")</f>
        <v>LM Hub_SP_São José dos Campos</v>
      </c>
      <c r="C5986" s="238" t="str">
        <f>IFERROR(__xludf.DUMMYFUNCTION("""COMPUTED_VALUE"""),"HUB-LSP-04")</f>
        <v>HUB-LSP-04</v>
      </c>
      <c r="D5986" s="234">
        <f>IFERROR(__xludf.DUMMYFUNCTION("""COMPUTED_VALUE"""),13.0)</f>
        <v>13</v>
      </c>
      <c r="E5986" s="237" t="str">
        <f>IFERROR(__xludf.DUMMYFUNCTION("""COMPUTED_VALUE"""),"LT0Q1S01XEKM1")</f>
        <v>LT0Q1S01XEKM1</v>
      </c>
      <c r="F5986" s="238" t="str">
        <f>IFERROR(__xludf.DUMMYFUNCTION("""COMPUTED_VALUE"""),"JBO1I53")</f>
        <v>JBO1I53</v>
      </c>
      <c r="G5986" s="238">
        <f>IFERROR(__xludf.DUMMYFUNCTION("""COMPUTED_VALUE"""),46050.22916666667)</f>
        <v>46050.22917</v>
      </c>
      <c r="H5986" s="238">
        <f>IFERROR(__xludf.DUMMYFUNCTION("""COMPUTED_VALUE"""),46050.3125)</f>
        <v>46050.3125</v>
      </c>
      <c r="J5986" s="239">
        <v>119.99999999301508</v>
      </c>
    </row>
    <row r="5987">
      <c r="A5987" s="234"/>
      <c r="B5987" s="238" t="str">
        <f>IFERROR(__xludf.DUMMYFUNCTION("""COMPUTED_VALUE"""),"LM Hub_SP_São Paulo_Mooca")</f>
        <v>LM Hub_SP_São Paulo_Mooca</v>
      </c>
      <c r="C5987" s="238" t="str">
        <f>IFERROR(__xludf.DUMMYFUNCTION("""COMPUTED_VALUE"""),"HUB-LSP-13")</f>
        <v>HUB-LSP-13</v>
      </c>
      <c r="D5987" s="234"/>
      <c r="E5987" s="237" t="str">
        <f>IFERROR(__xludf.DUMMYFUNCTION("""COMPUTED_VALUE"""),"LT0Q1S01XME31")</f>
        <v>LT0Q1S01XME31</v>
      </c>
      <c r="F5987" s="238" t="str">
        <f>IFERROR(__xludf.DUMMYFUNCTION("""COMPUTED_VALUE"""),"EWJ1H50")</f>
        <v>EWJ1H50</v>
      </c>
      <c r="G5987" s="238">
        <f>IFERROR(__xludf.DUMMYFUNCTION("""COMPUTED_VALUE"""),46050.22916666667)</f>
        <v>46050.22917</v>
      </c>
      <c r="H5987" s="238">
        <f>IFERROR(__xludf.DUMMYFUNCTION("""COMPUTED_VALUE"""),46050.3125)</f>
        <v>46050.3125</v>
      </c>
      <c r="J5987" s="239">
        <v>119.00000000023283</v>
      </c>
    </row>
    <row r="5988">
      <c r="A5988" s="234"/>
      <c r="B5988" s="238" t="str">
        <f>IFERROR(__xludf.DUMMYFUNCTION("""COMPUTED_VALUE"""),"LM Hub_SP_Guarujá")</f>
        <v>LM Hub_SP_Guarujá</v>
      </c>
      <c r="C5988" s="238" t="str">
        <f>IFERROR(__xludf.DUMMYFUNCTION("""COMPUTED_VALUE"""),"HUB-LSP-06")</f>
        <v>HUB-LSP-06</v>
      </c>
      <c r="D5988" s="234">
        <f>IFERROR(__xludf.DUMMYFUNCTION("""COMPUTED_VALUE"""),32.0)</f>
        <v>32</v>
      </c>
      <c r="E5988" s="237" t="str">
        <f>IFERROR(__xludf.DUMMYFUNCTION("""COMPUTED_VALUE"""),"LT0Q1S01XEKD1")</f>
        <v>LT0Q1S01XEKD1</v>
      </c>
      <c r="F5988" s="238" t="str">
        <f>IFERROR(__xludf.DUMMYFUNCTION("""COMPUTED_VALUE"""),"TJN5H17")</f>
        <v>TJN5H17</v>
      </c>
      <c r="G5988" s="238">
        <f>IFERROR(__xludf.DUMMYFUNCTION("""COMPUTED_VALUE"""),46050.22986111111)</f>
        <v>46050.22986</v>
      </c>
      <c r="H5988" s="238">
        <f>IFERROR(__xludf.DUMMYFUNCTION("""COMPUTED_VALUE"""),46050.3125)</f>
        <v>46050.3125</v>
      </c>
      <c r="J5988" s="239">
        <v>535.9999999869615</v>
      </c>
    </row>
    <row r="5989">
      <c r="A5989" s="234"/>
      <c r="B5989" s="238" t="str">
        <f>IFERROR(__xludf.DUMMYFUNCTION("""COMPUTED_VALUE"""),"SoC_RJ_Duque de Caxias")</f>
        <v>SoC_RJ_Duque de Caxias</v>
      </c>
      <c r="C5989" s="238" t="str">
        <f>IFERROR(__xludf.DUMMYFUNCTION("""COMPUTED_VALUE"""),"SOC-RJ2")</f>
        <v>SOC-RJ2</v>
      </c>
      <c r="D5989" s="234">
        <f>IFERROR(__xludf.DUMMYFUNCTION("""COMPUTED_VALUE"""),96.0)</f>
        <v>96</v>
      </c>
      <c r="E5989" s="237" t="str">
        <f>IFERROR(__xludf.DUMMYFUNCTION("""COMPUTED_VALUE"""),"LT0Q1R01XF9O3")</f>
        <v>LT0Q1R01XF9O3</v>
      </c>
      <c r="F5989" s="238" t="str">
        <f>IFERROR(__xludf.DUMMYFUNCTION("""COMPUTED_VALUE"""),"FRM0F67,MKK2401")</f>
        <v>FRM0F67,MKK2401</v>
      </c>
      <c r="G5989" s="238">
        <f>IFERROR(__xludf.DUMMYFUNCTION("""COMPUTED_VALUE"""),46049.961111111115)</f>
        <v>46049.96111</v>
      </c>
      <c r="H5989" s="238">
        <f>IFERROR(__xludf.DUMMYFUNCTION("""COMPUTED_VALUE"""),46050.33333333333)</f>
        <v>46050.33333</v>
      </c>
      <c r="J5989" s="239">
        <v>119.99999999301508</v>
      </c>
    </row>
    <row r="5990">
      <c r="A5990" s="234"/>
      <c r="B5990" s="238" t="str">
        <f>IFERROR(__xludf.DUMMYFUNCTION("""COMPUTED_VALUE"""),"LM Hub_SP_São Paulo_Lapa")</f>
        <v>LM Hub_SP_São Paulo_Lapa</v>
      </c>
      <c r="C5990" s="238" t="str">
        <f>IFERROR(__xludf.DUMMYFUNCTION("""COMPUTED_VALUE"""),"HUB-LSP-15")</f>
        <v>HUB-LSP-15</v>
      </c>
      <c r="D5990" s="234">
        <f>IFERROR(__xludf.DUMMYFUNCTION("""COMPUTED_VALUE"""),33.0)</f>
        <v>33</v>
      </c>
      <c r="E5990" s="237" t="str">
        <f>IFERROR(__xludf.DUMMYFUNCTION("""COMPUTED_VALUE"""),"LT0Q1S01XEJH1")</f>
        <v>LT0Q1S01XEJH1</v>
      </c>
      <c r="F5990" s="238" t="str">
        <f>IFERROR(__xludf.DUMMYFUNCTION("""COMPUTED_VALUE"""),"DAJ3E28")</f>
        <v>DAJ3E28</v>
      </c>
      <c r="G5990" s="238">
        <f>IFERROR(__xludf.DUMMYFUNCTION("""COMPUTED_VALUE"""),46050.25)</f>
        <v>46050.25</v>
      </c>
      <c r="H5990" s="238">
        <f>IFERROR(__xludf.DUMMYFUNCTION("""COMPUTED_VALUE"""),46050.33333333333)</f>
        <v>46050.33333</v>
      </c>
      <c r="J5990" s="239">
        <v>119.99999999301508</v>
      </c>
    </row>
    <row r="5991">
      <c r="A5991" s="234"/>
      <c r="B5991" s="238" t="str">
        <f>IFERROR(__xludf.DUMMYFUNCTION("""COMPUTED_VALUE"""),"LM Hub_SP_Osasco_02")</f>
        <v>LM Hub_SP_Osasco_02</v>
      </c>
      <c r="C5991" s="238" t="str">
        <f>IFERROR(__xludf.DUMMYFUNCTION("""COMPUTED_VALUE"""),"HUB-LSP-60")</f>
        <v>HUB-LSP-60</v>
      </c>
      <c r="D5991" s="234">
        <f>IFERROR(__xludf.DUMMYFUNCTION("""COMPUTED_VALUE"""),34.0)</f>
        <v>34</v>
      </c>
      <c r="E5991" s="237" t="str">
        <f>IFERROR(__xludf.DUMMYFUNCTION("""COMPUTED_VALUE"""),"LT0Q1S01XEJW1")</f>
        <v>LT0Q1S01XEJW1</v>
      </c>
      <c r="F5991" s="238" t="str">
        <f>IFERROR(__xludf.DUMMYFUNCTION("""COMPUTED_VALUE"""),"FUZ6B23,FUA8006")</f>
        <v>FUZ6B23,FUA8006</v>
      </c>
      <c r="G5991" s="238">
        <f>IFERROR(__xludf.DUMMYFUNCTION("""COMPUTED_VALUE"""),46050.25)</f>
        <v>46050.25</v>
      </c>
      <c r="H5991" s="238">
        <f>IFERROR(__xludf.DUMMYFUNCTION("""COMPUTED_VALUE"""),46050.33333333333)</f>
        <v>46050.33333</v>
      </c>
      <c r="J5991" s="239">
        <v>119.99999999301508</v>
      </c>
    </row>
    <row r="5992">
      <c r="A5992" s="234"/>
      <c r="B5992" s="238" t="str">
        <f>IFERROR(__xludf.DUMMYFUNCTION("""COMPUTED_VALUE"""),"LM Hub_SP_Artur Alvim")</f>
        <v>LM Hub_SP_Artur Alvim</v>
      </c>
      <c r="C5992" s="238" t="str">
        <f>IFERROR(__xludf.DUMMYFUNCTION("""COMPUTED_VALUE"""),"HUB-LSP-07")</f>
        <v>HUB-LSP-07</v>
      </c>
      <c r="D5992" s="234">
        <f>IFERROR(__xludf.DUMMYFUNCTION("""COMPUTED_VALUE"""),27.0)</f>
        <v>27</v>
      </c>
      <c r="E5992" s="237" t="str">
        <f>IFERROR(__xludf.DUMMYFUNCTION("""COMPUTED_VALUE"""),"LT0Q1S01XEJ71")</f>
        <v>LT0Q1S01XEJ71</v>
      </c>
      <c r="F5992" s="238" t="str">
        <f>IFERROR(__xludf.DUMMYFUNCTION("""COMPUTED_VALUE"""),"GBC7H76")</f>
        <v>GBC7H76</v>
      </c>
      <c r="G5992" s="238">
        <f>IFERROR(__xludf.DUMMYFUNCTION("""COMPUTED_VALUE"""),46050.25)</f>
        <v>46050.25</v>
      </c>
      <c r="H5992" s="238">
        <f>IFERROR(__xludf.DUMMYFUNCTION("""COMPUTED_VALUE"""),46050.33333333333)</f>
        <v>46050.33333</v>
      </c>
      <c r="J5992" s="239">
        <v>59.99999998603016</v>
      </c>
    </row>
    <row r="5993">
      <c r="A5993" s="234"/>
      <c r="B5993" s="238" t="str">
        <f>IFERROR(__xludf.DUMMYFUNCTION("""COMPUTED_VALUE"""),"LM Hub_SP_Mooca_02")</f>
        <v>LM Hub_SP_Mooca_02</v>
      </c>
      <c r="C5993" s="238" t="str">
        <f>IFERROR(__xludf.DUMMYFUNCTION("""COMPUTED_VALUE"""),"HUB-LSP-94")</f>
        <v>HUB-LSP-94</v>
      </c>
      <c r="D5993" s="234">
        <f>IFERROR(__xludf.DUMMYFUNCTION("""COMPUTED_VALUE"""),9.0)</f>
        <v>9</v>
      </c>
      <c r="E5993" s="237" t="str">
        <f>IFERROR(__xludf.DUMMYFUNCTION("""COMPUTED_VALUE"""),"LT1Q1S01XRPZ1")</f>
        <v>LT1Q1S01XRPZ1</v>
      </c>
      <c r="F5993" s="238" t="str">
        <f>IFERROR(__xludf.DUMMYFUNCTION("""COMPUTED_VALUE"""),"CUC5823")</f>
        <v>CUC5823</v>
      </c>
      <c r="G5993" s="238">
        <f>IFERROR(__xludf.DUMMYFUNCTION("""COMPUTED_VALUE"""),46050.29166666667)</f>
        <v>46050.29167</v>
      </c>
      <c r="H5993" s="238">
        <f>IFERROR(__xludf.DUMMYFUNCTION("""COMPUTED_VALUE"""),46050.33333333333)</f>
        <v>46050.33333</v>
      </c>
      <c r="J5993" s="239">
        <v>119.99999999301508</v>
      </c>
    </row>
    <row r="5994">
      <c r="A5994" s="234"/>
      <c r="B5994" s="238" t="str">
        <f>IFERROR(__xludf.DUMMYFUNCTION("""COMPUTED_VALUE"""),"LM Hub_SP_Jardim Adriana")</f>
        <v>LM Hub_SP_Jardim Adriana</v>
      </c>
      <c r="C5994" s="238" t="str">
        <f>IFERROR(__xludf.DUMMYFUNCTION("""COMPUTED_VALUE"""),"HUB-LSP-12")</f>
        <v>HUB-LSP-12</v>
      </c>
      <c r="D5994" s="234">
        <f>IFERROR(__xludf.DUMMYFUNCTION("""COMPUTED_VALUE"""),15.0)</f>
        <v>15</v>
      </c>
      <c r="E5994" s="237" t="str">
        <f>IFERROR(__xludf.DUMMYFUNCTION("""COMPUTED_VALUE"""),"LT0Q1S01XEJC1")</f>
        <v>LT0Q1S01XEJC1</v>
      </c>
      <c r="F5994" s="238" t="str">
        <f>IFERROR(__xludf.DUMMYFUNCTION("""COMPUTED_VALUE"""),"DBB6C34")</f>
        <v>DBB6C34</v>
      </c>
      <c r="G5994" s="238">
        <f>IFERROR(__xludf.DUMMYFUNCTION("""COMPUTED_VALUE"""),46050.25)</f>
        <v>46050.25</v>
      </c>
      <c r="H5994" s="238">
        <f>IFERROR(__xludf.DUMMYFUNCTION("""COMPUTED_VALUE"""),46050.33333333333)</f>
        <v>46050.33333</v>
      </c>
      <c r="J5994" s="239">
        <v>119.99999999301508</v>
      </c>
    </row>
    <row r="5995">
      <c r="A5995" s="234"/>
      <c r="B5995" s="238" t="str">
        <f>IFERROR(__xludf.DUMMYFUNCTION("""COMPUTED_VALUE"""),"LM Hub_SP_Itaqua_Zimba")</f>
        <v>LM Hub_SP_Itaqua_Zimba</v>
      </c>
      <c r="C5995" s="238" t="str">
        <f>IFERROR(__xludf.DUMMYFUNCTION("""COMPUTED_VALUE"""),"HUB-LSP-74")</f>
        <v>HUB-LSP-74</v>
      </c>
      <c r="D5995" s="234">
        <f>IFERROR(__xludf.DUMMYFUNCTION("""COMPUTED_VALUE"""),14.0)</f>
        <v>14</v>
      </c>
      <c r="E5995" s="237" t="str">
        <f>IFERROR(__xludf.DUMMYFUNCTION("""COMPUTED_VALUE"""),"LT0Q1S01XEK61")</f>
        <v>LT0Q1S01XEK61</v>
      </c>
      <c r="F5995" s="238" t="str">
        <f>IFERROR(__xludf.DUMMYFUNCTION("""COMPUTED_VALUE"""),"FZJ9H38")</f>
        <v>FZJ9H38</v>
      </c>
      <c r="G5995" s="238">
        <f>IFERROR(__xludf.DUMMYFUNCTION("""COMPUTED_VALUE"""),46050.25)</f>
        <v>46050.25</v>
      </c>
      <c r="H5995" s="238">
        <f>IFERROR(__xludf.DUMMYFUNCTION("""COMPUTED_VALUE"""),46050.33333333333)</f>
        <v>46050.33333</v>
      </c>
      <c r="J5995" s="239">
        <v>60.00000000698492</v>
      </c>
    </row>
    <row r="5996">
      <c r="A5996" s="234"/>
      <c r="B5996" s="238" t="str">
        <f>IFERROR(__xludf.DUMMYFUNCTION("""COMPUTED_VALUE"""),"LM Hub_SP_Mauá")</f>
        <v>LM Hub_SP_Mauá</v>
      </c>
      <c r="C5996" s="238" t="str">
        <f>IFERROR(__xludf.DUMMYFUNCTION("""COMPUTED_VALUE"""),"HUB-LSP-64")</f>
        <v>HUB-LSP-64</v>
      </c>
      <c r="D5996" s="234">
        <f>IFERROR(__xludf.DUMMYFUNCTION("""COMPUTED_VALUE"""),41.0)</f>
        <v>41</v>
      </c>
      <c r="E5996" s="237" t="str">
        <f>IFERROR(__xludf.DUMMYFUNCTION("""COMPUTED_VALUE"""),"LT0Q1S01XME81")</f>
        <v>LT0Q1S01XME81</v>
      </c>
      <c r="F5996" s="238" t="str">
        <f>IFERROR(__xludf.DUMMYFUNCTION("""COMPUTED_VALUE"""),"PQV0E87")</f>
        <v>PQV0E87</v>
      </c>
      <c r="G5996" s="238">
        <f>IFERROR(__xludf.DUMMYFUNCTION("""COMPUTED_VALUE"""),46050.3125)</f>
        <v>46050.3125</v>
      </c>
      <c r="H5996" s="238">
        <f>IFERROR(__xludf.DUMMYFUNCTION("""COMPUTED_VALUE"""),46050.35416666667)</f>
        <v>46050.35417</v>
      </c>
      <c r="J5996" s="239">
        <v>119.99999999301508</v>
      </c>
    </row>
    <row r="5997">
      <c r="A5997" s="234"/>
      <c r="B5997" s="238" t="str">
        <f>IFERROR(__xludf.DUMMYFUNCTION("""COMPUTED_VALUE"""),"LM Hub_SP_Embu das Artes_02")</f>
        <v>LM Hub_SP_Embu das Artes_02</v>
      </c>
      <c r="C5997" s="238" t="str">
        <f>IFERROR(__xludf.DUMMYFUNCTION("""COMPUTED_VALUE"""),"HUB-LSP-96")</f>
        <v>HUB-LSP-96</v>
      </c>
      <c r="D5997" s="234">
        <f>IFERROR(__xludf.DUMMYFUNCTION("""COMPUTED_VALUE"""),16.0)</f>
        <v>16</v>
      </c>
      <c r="E5997" s="237" t="str">
        <f>IFERROR(__xludf.DUMMYFUNCTION("""COMPUTED_VALUE"""),"LT0Q1S01XGNS1")</f>
        <v>LT0Q1S01XGNS1</v>
      </c>
      <c r="F5997" s="238" t="str">
        <f>IFERROR(__xludf.DUMMYFUNCTION("""COMPUTED_VALUE"""),"FUF6H46")</f>
        <v>FUF6H46</v>
      </c>
      <c r="G5997" s="238">
        <f>IFERROR(__xludf.DUMMYFUNCTION("""COMPUTED_VALUE"""),46050.29166666667)</f>
        <v>46050.29167</v>
      </c>
      <c r="H5997" s="238">
        <f>IFERROR(__xludf.DUMMYFUNCTION("""COMPUTED_VALUE"""),46050.375)</f>
        <v>46050.375</v>
      </c>
      <c r="J5997" s="239">
        <v>119.99999999301508</v>
      </c>
    </row>
    <row r="5998">
      <c r="A5998" s="234"/>
      <c r="B5998" s="238" t="str">
        <f>IFERROR(__xludf.DUMMYFUNCTION("""COMPUTED_VALUE"""),"LM Hub_MG_Belo Horizonte_02")</f>
        <v>LM Hub_MG_Belo Horizonte_02</v>
      </c>
      <c r="C5998" s="238" t="str">
        <f>IFERROR(__xludf.DUMMYFUNCTION("""COMPUTED_VALUE"""),"HUB-LMG-50")</f>
        <v>HUB-LMG-50</v>
      </c>
      <c r="D5998" s="234">
        <f>IFERROR(__xludf.DUMMYFUNCTION("""COMPUTED_VALUE"""),114.0)</f>
        <v>114</v>
      </c>
      <c r="E5998" s="237" t="str">
        <f>IFERROR(__xludf.DUMMYFUNCTION("""COMPUTED_VALUE"""),"LT0Q1S01XH081")</f>
        <v>LT0Q1S01XH081</v>
      </c>
      <c r="F5998" s="238" t="str">
        <f>IFERROR(__xludf.DUMMYFUNCTION("""COMPUTED_VALUE"""),"STT8D25,SVN1E68")</f>
        <v>STT8D25,SVN1E68</v>
      </c>
      <c r="G5998" s="238">
        <f>IFERROR(__xludf.DUMMYFUNCTION("""COMPUTED_VALUE"""),46050.35416666667)</f>
        <v>46050.35417</v>
      </c>
      <c r="H5998" s="238">
        <f>IFERROR(__xludf.DUMMYFUNCTION("""COMPUTED_VALUE"""),46050.4375)</f>
        <v>46050.4375</v>
      </c>
      <c r="J5998" s="239">
        <v>540.0</v>
      </c>
    </row>
    <row r="5999">
      <c r="A5999" s="234"/>
      <c r="B5999" s="238" t="str">
        <f>IFERROR(__xludf.DUMMYFUNCTION("""COMPUTED_VALUE"""),"SoC_PE_Jaboatão dos Guararapes")</f>
        <v>SoC_PE_Jaboatão dos Guararapes</v>
      </c>
      <c r="C5999" s="238" t="str">
        <f>IFERROR(__xludf.DUMMYFUNCTION("""COMPUTED_VALUE"""),"SOC-PE2")</f>
        <v>SOC-PE2</v>
      </c>
      <c r="D5999" s="234">
        <f>IFERROR(__xludf.DUMMYFUNCTION("""COMPUTED_VALUE"""),99.0)</f>
        <v>99</v>
      </c>
      <c r="E5999" s="237" t="str">
        <f>IFERROR(__xludf.DUMMYFUNCTION("""COMPUTED_VALUE"""),"LT0Q1R01XIBR1")</f>
        <v>LT0Q1R01XIBR1</v>
      </c>
      <c r="F5999" s="238" t="str">
        <f>IFERROR(__xludf.DUMMYFUNCTION("""COMPUTED_VALUE"""),"GFY4H06,UDV6G59")</f>
        <v>GFY4H06,UDV6G59</v>
      </c>
      <c r="G5999" s="238">
        <f>IFERROR(__xludf.DUMMYFUNCTION("""COMPUTED_VALUE"""),46050.08333333333)</f>
        <v>46050.08333</v>
      </c>
      <c r="H5999" s="238">
        <f>IFERROR(__xludf.DUMMYFUNCTION("""COMPUTED_VALUE"""),46050.45833333333)</f>
        <v>46050.45833</v>
      </c>
      <c r="J5999" s="239">
        <v>537.9999999934807</v>
      </c>
    </row>
    <row r="6000">
      <c r="A6000" s="234"/>
      <c r="B6000" s="238" t="str">
        <f>IFERROR(__xludf.DUMMYFUNCTION("""COMPUTED_VALUE"""),"SoC_SP_Cravinhos")</f>
        <v>SoC_SP_Cravinhos</v>
      </c>
      <c r="C6000" s="238" t="str">
        <f>IFERROR(__xludf.DUMMYFUNCTION("""COMPUTED_VALUE"""),"SOC-SP5")</f>
        <v>SOC-SP5</v>
      </c>
      <c r="D6000" s="234">
        <f>IFERROR(__xludf.DUMMYFUNCTION("""COMPUTED_VALUE"""),94.0)</f>
        <v>94</v>
      </c>
      <c r="E6000" s="237" t="str">
        <f>IFERROR(__xludf.DUMMYFUNCTION("""COMPUTED_VALUE"""),"LT0Q1R01XDCS2")</f>
        <v>LT0Q1R01XDCS2</v>
      </c>
      <c r="F6000" s="238" t="str">
        <f>IFERROR(__xludf.DUMMYFUNCTION("""COMPUTED_VALUE"""),"QJQ7C17,EZE0860")</f>
        <v>QJQ7C17,EZE0860</v>
      </c>
      <c r="G6000" s="238">
        <f>IFERROR(__xludf.DUMMYFUNCTION("""COMPUTED_VALUE"""),46050.08472222222)</f>
        <v>46050.08472</v>
      </c>
      <c r="H6000" s="238">
        <f>IFERROR(__xludf.DUMMYFUNCTION("""COMPUTED_VALUE"""),46050.45833333333)</f>
        <v>46050.45833</v>
      </c>
      <c r="J6000" s="239" t="e">
        <v>#VALUE!</v>
      </c>
    </row>
    <row r="6001">
      <c r="A6001" s="234"/>
      <c r="B6001" s="234" t="str">
        <f>IFERROR(__xludf.DUMMYFUNCTION("""COMPUTED_VALUE"""),"SoC_MG_Betim")</f>
        <v>SoC_MG_Betim</v>
      </c>
      <c r="C6001" s="238" t="str">
        <f>IFERROR(__xludf.DUMMYFUNCTION("""COMPUTED_VALUE"""),"SOC-MG2")</f>
        <v>SOC-MG2</v>
      </c>
      <c r="D6001" s="234"/>
      <c r="E6001" s="237" t="str">
        <f>IFERROR(__xludf.DUMMYFUNCTION("""COMPUTED_VALUE"""),"LT0Q1R01XDAP2")</f>
        <v>LT0Q1R01XDAP2</v>
      </c>
      <c r="F6001" s="238" t="str">
        <f>IFERROR(__xludf.DUMMYFUNCTION("""COMPUTED_VALUE"""),"-")</f>
        <v>-</v>
      </c>
      <c r="G6001" s="238" t="str">
        <f>IFERROR(__xludf.DUMMYFUNCTION("""COMPUTED_VALUE"""),"-")</f>
        <v>-</v>
      </c>
      <c r="H6001" s="238" t="str">
        <f>IFERROR(__xludf.DUMMYFUNCTION("""COMPUTED_VALUE"""),"-")</f>
        <v>-</v>
      </c>
      <c r="J6001" s="239">
        <v>538.9999999967404</v>
      </c>
    </row>
    <row r="6002">
      <c r="A6002" s="234"/>
      <c r="B6002" s="238" t="str">
        <f>IFERROR(__xludf.DUMMYFUNCTION("""COMPUTED_VALUE"""),"SoC_GO_Goiânia_02")</f>
        <v>SoC_GO_Goiânia_02</v>
      </c>
      <c r="C6002" s="238" t="str">
        <f>IFERROR(__xludf.DUMMYFUNCTION("""COMPUTED_VALUE"""),"SOC-GO2")</f>
        <v>SOC-GO2</v>
      </c>
      <c r="D6002" s="234">
        <f>IFERROR(__xludf.DUMMYFUNCTION("""COMPUTED_VALUE"""),86.0)</f>
        <v>86</v>
      </c>
      <c r="E6002" s="237" t="str">
        <f>IFERROR(__xludf.DUMMYFUNCTION("""COMPUTED_VALUE"""),"LT0Q1R01XIR03")</f>
        <v>LT0Q1R01XIR03</v>
      </c>
      <c r="F6002" s="238" t="str">
        <f>IFERROR(__xludf.DUMMYFUNCTION("""COMPUTED_VALUE"""),"DTE8G12,BWL3C60")</f>
        <v>DTE8G12,BWL3C60</v>
      </c>
      <c r="G6002" s="238">
        <f>IFERROR(__xludf.DUMMYFUNCTION("""COMPUTED_VALUE"""),46050.084027777775)</f>
        <v>46050.08403</v>
      </c>
      <c r="H6002" s="238">
        <f>IFERROR(__xludf.DUMMYFUNCTION("""COMPUTED_VALUE"""),46050.45833333333)</f>
        <v>46050.45833</v>
      </c>
      <c r="J6002" s="239">
        <v>540.0</v>
      </c>
    </row>
    <row r="6003">
      <c r="A6003" s="234"/>
      <c r="B6003" s="238" t="str">
        <f>IFERROR(__xludf.DUMMYFUNCTION("""COMPUTED_VALUE"""),"SoC_BA_Simoes Filho")</f>
        <v>SoC_BA_Simoes Filho</v>
      </c>
      <c r="C6003" s="238" t="str">
        <f>IFERROR(__xludf.DUMMYFUNCTION("""COMPUTED_VALUE"""),"SOC-BA2")</f>
        <v>SOC-BA2</v>
      </c>
      <c r="D6003" s="234">
        <f>IFERROR(__xludf.DUMMYFUNCTION("""COMPUTED_VALUE"""),89.0)</f>
        <v>89</v>
      </c>
      <c r="E6003" s="237" t="str">
        <f>IFERROR(__xludf.DUMMYFUNCTION("""COMPUTED_VALUE"""),"LT0Q1R01XIFC1")</f>
        <v>LT0Q1R01XIFC1</v>
      </c>
      <c r="F6003" s="238" t="str">
        <f>IFERROR(__xludf.DUMMYFUNCTION("""COMPUTED_VALUE"""),"EZU9611,DJE9A34")</f>
        <v>EZU9611,DJE9A34</v>
      </c>
      <c r="G6003" s="238">
        <f>IFERROR(__xludf.DUMMYFUNCTION("""COMPUTED_VALUE"""),46050.08333333333)</f>
        <v>46050.08333</v>
      </c>
      <c r="H6003" s="238">
        <f>IFERROR(__xludf.DUMMYFUNCTION("""COMPUTED_VALUE"""),46050.45833333333)</f>
        <v>46050.45833</v>
      </c>
      <c r="J6003" s="239" t="e">
        <v>#VALUE!</v>
      </c>
    </row>
    <row r="6004">
      <c r="A6004" s="234"/>
      <c r="B6004" s="234" t="str">
        <f>IFERROR(__xludf.DUMMYFUNCTION("""COMPUTED_VALUE"""),"SoC_MG_Betim")</f>
        <v>SoC_MG_Betim</v>
      </c>
      <c r="C6004" s="238" t="str">
        <f>IFERROR(__xludf.DUMMYFUNCTION("""COMPUTED_VALUE"""),"SOC-MG2")</f>
        <v>SOC-MG2</v>
      </c>
      <c r="D6004" s="234"/>
      <c r="E6004" s="237" t="str">
        <f>IFERROR(__xludf.DUMMYFUNCTION("""COMPUTED_VALUE"""),"LT0Q1R01XDA22")</f>
        <v>LT0Q1R01XDA22</v>
      </c>
      <c r="F6004" s="238" t="str">
        <f>IFERROR(__xludf.DUMMYFUNCTION("""COMPUTED_VALUE"""),"-")</f>
        <v>-</v>
      </c>
      <c r="G6004" s="238" t="str">
        <f>IFERROR(__xludf.DUMMYFUNCTION("""COMPUTED_VALUE"""),"-")</f>
        <v>-</v>
      </c>
      <c r="H6004" s="238" t="str">
        <f>IFERROR(__xludf.DUMMYFUNCTION("""COMPUTED_VALUE"""),"-")</f>
        <v>-</v>
      </c>
      <c r="J6004" s="239">
        <v>538.9999999967404</v>
      </c>
    </row>
    <row r="6005">
      <c r="A6005" s="234"/>
      <c r="B6005" s="238" t="str">
        <f>IFERROR(__xludf.DUMMYFUNCTION("""COMPUTED_VALUE"""),"SoC_RS_Gravataí_02")</f>
        <v>SoC_RS_Gravataí_02</v>
      </c>
      <c r="C6005" s="238" t="str">
        <f>IFERROR(__xludf.DUMMYFUNCTION("""COMPUTED_VALUE"""),"SOC-RS2")</f>
        <v>SOC-RS2</v>
      </c>
      <c r="D6005" s="234">
        <f>IFERROR(__xludf.DUMMYFUNCTION("""COMPUTED_VALUE"""),92.0)</f>
        <v>92</v>
      </c>
      <c r="E6005" s="237" t="str">
        <f>IFERROR(__xludf.DUMMYFUNCTION("""COMPUTED_VALUE"""),"LT0Q1R01XISW1")</f>
        <v>LT0Q1R01XISW1</v>
      </c>
      <c r="F6005" s="238" t="str">
        <f>IFERROR(__xludf.DUMMYFUNCTION("""COMPUTED_VALUE"""),"FDB0F46,STX0B61")</f>
        <v>FDB0F46,STX0B61</v>
      </c>
      <c r="G6005" s="238">
        <f>IFERROR(__xludf.DUMMYFUNCTION("""COMPUTED_VALUE"""),46050.084027777775)</f>
        <v>46050.08403</v>
      </c>
      <c r="H6005" s="238">
        <f>IFERROR(__xludf.DUMMYFUNCTION("""COMPUTED_VALUE"""),46050.45833333333)</f>
        <v>46050.45833</v>
      </c>
      <c r="J6005" s="239">
        <v>538.9999999967404</v>
      </c>
    </row>
    <row r="6006">
      <c r="A6006" s="234"/>
      <c r="B6006" s="238" t="str">
        <f>IFERROR(__xludf.DUMMYFUNCTION("""COMPUTED_VALUE"""),"SoC_RS_Gravataí_02")</f>
        <v>SoC_RS_Gravataí_02</v>
      </c>
      <c r="C6006" s="238" t="str">
        <f>IFERROR(__xludf.DUMMYFUNCTION("""COMPUTED_VALUE"""),"SOC-RS2")</f>
        <v>SOC-RS2</v>
      </c>
      <c r="D6006" s="234">
        <f>IFERROR(__xludf.DUMMYFUNCTION("""COMPUTED_VALUE"""),93.0)</f>
        <v>93</v>
      </c>
      <c r="E6006" s="237" t="str">
        <f>IFERROR(__xludf.DUMMYFUNCTION("""COMPUTED_VALUE"""),"LT0Q1R01XIT03")</f>
        <v>LT0Q1R01XIT03</v>
      </c>
      <c r="F6006" s="238" t="str">
        <f>IFERROR(__xludf.DUMMYFUNCTION("""COMPUTED_VALUE"""),"FSY6E93,IUA4F38")</f>
        <v>FSY6E93,IUA4F38</v>
      </c>
      <c r="G6006" s="238">
        <f>IFERROR(__xludf.DUMMYFUNCTION("""COMPUTED_VALUE"""),46050.084027777775)</f>
        <v>46050.08403</v>
      </c>
      <c r="H6006" s="238">
        <f>IFERROR(__xludf.DUMMYFUNCTION("""COMPUTED_VALUE"""),46050.45833333333)</f>
        <v>46050.45833</v>
      </c>
      <c r="J6006" s="239">
        <v>537.9999999934807</v>
      </c>
    </row>
    <row r="6007">
      <c r="A6007" s="234"/>
      <c r="B6007" s="238" t="str">
        <f>IFERROR(__xludf.DUMMYFUNCTION("""COMPUTED_VALUE"""),"SoC_MG_Betim")</f>
        <v>SoC_MG_Betim</v>
      </c>
      <c r="C6007" s="238" t="str">
        <f>IFERROR(__xludf.DUMMYFUNCTION("""COMPUTED_VALUE"""),"SOC-MG2")</f>
        <v>SOC-MG2</v>
      </c>
      <c r="D6007" s="234">
        <f>IFERROR(__xludf.DUMMYFUNCTION("""COMPUTED_VALUE"""),90.0)</f>
        <v>90</v>
      </c>
      <c r="E6007" s="237" t="str">
        <f>IFERROR(__xludf.DUMMYFUNCTION("""COMPUTED_VALUE"""),"LT0Q1R01XDAR3")</f>
        <v>LT0Q1R01XDAR3</v>
      </c>
      <c r="F6007" s="238" t="str">
        <f>IFERROR(__xludf.DUMMYFUNCTION("""COMPUTED_VALUE"""),"DOO5C11,TLC8C54")</f>
        <v>DOO5C11,TLC8C54</v>
      </c>
      <c r="G6007" s="238">
        <f>IFERROR(__xludf.DUMMYFUNCTION("""COMPUTED_VALUE"""),46050.08472222222)</f>
        <v>46050.08472</v>
      </c>
      <c r="H6007" s="238">
        <f>IFERROR(__xludf.DUMMYFUNCTION("""COMPUTED_VALUE"""),46050.45833333333)</f>
        <v>46050.45833</v>
      </c>
      <c r="J6007" s="239" t="e">
        <v>#VALUE!</v>
      </c>
    </row>
    <row r="6008">
      <c r="A6008" s="234"/>
      <c r="B6008" s="238" t="str">
        <f>IFERROR(__xludf.DUMMYFUNCTION("""COMPUTED_VALUE"""),"SoC_PE_Jaboatão dos Guararapes")</f>
        <v>SoC_PE_Jaboatão dos Guararapes</v>
      </c>
      <c r="C6008" s="238" t="str">
        <f>IFERROR(__xludf.DUMMYFUNCTION("""COMPUTED_VALUE"""),"SOC-PE2")</f>
        <v>SOC-PE2</v>
      </c>
      <c r="D6008" s="234">
        <f>IFERROR(__xludf.DUMMYFUNCTION("""COMPUTED_VALUE"""),98.0)</f>
        <v>98</v>
      </c>
      <c r="E6008" s="237" t="str">
        <f>IFERROR(__xludf.DUMMYFUNCTION("""COMPUTED_VALUE"""),"LT0Q1R01XICF3")</f>
        <v>LT0Q1R01XICF3</v>
      </c>
      <c r="F6008" s="238" t="str">
        <f>IFERROR(__xludf.DUMMYFUNCTION("""COMPUTED_VALUE"""),"-")</f>
        <v>-</v>
      </c>
      <c r="G6008" s="238" t="str">
        <f>IFERROR(__xludf.DUMMYFUNCTION("""COMPUTED_VALUE"""),"-")</f>
        <v>-</v>
      </c>
      <c r="H6008" s="238" t="str">
        <f>IFERROR(__xludf.DUMMYFUNCTION("""COMPUTED_VALUE"""),"-")</f>
        <v>-</v>
      </c>
      <c r="J6008" s="239">
        <v>418.00000000046566</v>
      </c>
    </row>
    <row r="6009">
      <c r="A6009" s="234"/>
      <c r="B6009" s="238" t="str">
        <f>IFERROR(__xludf.DUMMYFUNCTION("""COMPUTED_VALUE"""),"SoC_PE_Jaboatão dos Guararapes")</f>
        <v>SoC_PE_Jaboatão dos Guararapes</v>
      </c>
      <c r="C6009" s="238" t="str">
        <f>IFERROR(__xludf.DUMMYFUNCTION("""COMPUTED_VALUE"""),"SOC-PE2")</f>
        <v>SOC-PE2</v>
      </c>
      <c r="D6009" s="234"/>
      <c r="E6009" s="237" t="str">
        <f>IFERROR(__xludf.DUMMYFUNCTION("""COMPUTED_VALUE"""),"LT0Q1R01XICH4")</f>
        <v>LT0Q1R01XICH4</v>
      </c>
      <c r="F6009" s="238" t="str">
        <f>IFERROR(__xludf.DUMMYFUNCTION("""COMPUTED_VALUE"""),"RDZ4E63,QSR8C55")</f>
        <v>RDZ4E63,QSR8C55</v>
      </c>
      <c r="G6009" s="238">
        <f>IFERROR(__xludf.DUMMYFUNCTION("""COMPUTED_VALUE"""),46050.16805555555)</f>
        <v>46050.16806</v>
      </c>
      <c r="H6009" s="238">
        <f>IFERROR(__xludf.DUMMYFUNCTION("""COMPUTED_VALUE"""),46050.45833333333)</f>
        <v>46050.45833</v>
      </c>
      <c r="J6009" s="239">
        <v>598.0000000004657</v>
      </c>
    </row>
    <row r="6010">
      <c r="A6010" s="234"/>
      <c r="B6010" s="238" t="str">
        <f>IFERROR(__xludf.DUMMYFUNCTION("""COMPUTED_VALUE"""),"SoC_PE_Jaboatão dos Guararapes")</f>
        <v>SoC_PE_Jaboatão dos Guararapes</v>
      </c>
      <c r="C6010" s="238" t="str">
        <f>IFERROR(__xludf.DUMMYFUNCTION("""COMPUTED_VALUE"""),"SOC-PE2")</f>
        <v>SOC-PE2</v>
      </c>
      <c r="D6010" s="234">
        <f>IFERROR(__xludf.DUMMYFUNCTION("""COMPUTED_VALUE"""),98.0)</f>
        <v>98</v>
      </c>
      <c r="E6010" s="237" t="str">
        <f>IFERROR(__xludf.DUMMYFUNCTION("""COMPUTED_VALUE"""),"LT0Q1S01XIBM2")</f>
        <v>LT0Q1S01XIBM2</v>
      </c>
      <c r="F6010" s="238" t="str">
        <f>IFERROR(__xludf.DUMMYFUNCTION("""COMPUTED_VALUE"""),"MKB0J30,IPY6I69")</f>
        <v>MKB0J30,IPY6I69</v>
      </c>
      <c r="G6010" s="238">
        <f>IFERROR(__xludf.DUMMYFUNCTION("""COMPUTED_VALUE"""),46050.25138888889)</f>
        <v>46050.25139</v>
      </c>
      <c r="H6010" s="238">
        <f>IFERROR(__xludf.DUMMYFUNCTION("""COMPUTED_VALUE"""),46050.66666666667)</f>
        <v>46050.66667</v>
      </c>
      <c r="J6010" s="239">
        <v>415.9999999939464</v>
      </c>
    </row>
    <row r="6011">
      <c r="A6011" s="234"/>
      <c r="B6011" s="238" t="str">
        <f>IFERROR(__xludf.DUMMYFUNCTION("""COMPUTED_VALUE"""),"SoC_RJ_Duque de Caxias")</f>
        <v>SoC_RJ_Duque de Caxias</v>
      </c>
      <c r="C6011" s="238" t="str">
        <f>IFERROR(__xludf.DUMMYFUNCTION("""COMPUTED_VALUE"""),"SOC-RJ2")</f>
        <v>SOC-RJ2</v>
      </c>
      <c r="D6011" s="234">
        <f>IFERROR(__xludf.DUMMYFUNCTION("""COMPUTED_VALUE"""),97.0)</f>
        <v>97</v>
      </c>
      <c r="E6011" s="237" t="str">
        <f>IFERROR(__xludf.DUMMYFUNCTION("""COMPUTED_VALUE"""),"LT0Q1R01XF9K1")</f>
        <v>LT0Q1R01XF9K1</v>
      </c>
      <c r="F6011" s="238" t="str">
        <f>IFERROR(__xludf.DUMMYFUNCTION("""COMPUTED_VALUE"""),"BZF4B42,ATP5H78")</f>
        <v>BZF4B42,ATP5H78</v>
      </c>
      <c r="G6011" s="238">
        <f>IFERROR(__xludf.DUMMYFUNCTION("""COMPUTED_VALUE"""),46050.169444444444)</f>
        <v>46050.16944</v>
      </c>
      <c r="H6011" s="238">
        <f>IFERROR(__xludf.DUMMYFUNCTION("""COMPUTED_VALUE"""),46050.45833333333)</f>
        <v>46050.45833</v>
      </c>
      <c r="J6011" s="239">
        <v>540.0</v>
      </c>
    </row>
    <row r="6012">
      <c r="A6012" s="234"/>
      <c r="B6012" s="238" t="str">
        <f>IFERROR(__xludf.DUMMYFUNCTION("""COMPUTED_VALUE"""),"SoC_GO_Goiânia_02")</f>
        <v>SoC_GO_Goiânia_02</v>
      </c>
      <c r="C6012" s="238" t="str">
        <f>IFERROR(__xludf.DUMMYFUNCTION("""COMPUTED_VALUE"""),"SOC-GO2")</f>
        <v>SOC-GO2</v>
      </c>
      <c r="D6012" s="234"/>
      <c r="E6012" s="237" t="str">
        <f>IFERROR(__xludf.DUMMYFUNCTION("""COMPUTED_VALUE"""),"LT0Q1R01XIQY2")</f>
        <v>LT0Q1R01XIQY2</v>
      </c>
      <c r="F6012" s="238" t="str">
        <f>IFERROR(__xludf.DUMMYFUNCTION("""COMPUTED_VALUE"""),"PWL6E21,EWU4B45")</f>
        <v>PWL6E21,EWU4B45</v>
      </c>
      <c r="G6012" s="238">
        <f>IFERROR(__xludf.DUMMYFUNCTION("""COMPUTED_VALUE"""),46050.1875)</f>
        <v>46050.1875</v>
      </c>
      <c r="H6012" s="238">
        <f>IFERROR(__xludf.DUMMYFUNCTION("""COMPUTED_VALUE"""),46050.5625)</f>
        <v>46050.5625</v>
      </c>
      <c r="J6012" s="239">
        <v>538.9999999967404</v>
      </c>
    </row>
    <row r="6013">
      <c r="A6013" s="234"/>
      <c r="B6013" s="238" t="str">
        <f>IFERROR(__xludf.DUMMYFUNCTION("""COMPUTED_VALUE"""),"SoC_SC_Itajaí")</f>
        <v>SoC_SC_Itajaí</v>
      </c>
      <c r="C6013" s="238" t="str">
        <f>IFERROR(__xludf.DUMMYFUNCTION("""COMPUTED_VALUE"""),"SOC-SC1")</f>
        <v>SOC-SC1</v>
      </c>
      <c r="D6013" s="234">
        <f>IFERROR(__xludf.DUMMYFUNCTION("""COMPUTED_VALUE"""),100.0)</f>
        <v>100</v>
      </c>
      <c r="E6013" s="237" t="str">
        <f>IFERROR(__xludf.DUMMYFUNCTION("""COMPUTED_VALUE"""),"LT0Q1S01XHHU2")</f>
        <v>LT0Q1S01XHHU2</v>
      </c>
      <c r="F6013" s="238" t="str">
        <f>IFERROR(__xludf.DUMMYFUNCTION("""COMPUTED_VALUE"""),"RXR3J63,RXS5F83")</f>
        <v>RXR3J63,RXS5F83</v>
      </c>
      <c r="G6013" s="238">
        <f>IFERROR(__xludf.DUMMYFUNCTION("""COMPUTED_VALUE"""),46050.50069444445)</f>
        <v>46050.50069</v>
      </c>
      <c r="H6013" s="238">
        <f>IFERROR(__xludf.DUMMYFUNCTION("""COMPUTED_VALUE"""),46050.875)</f>
        <v>46050.875</v>
      </c>
      <c r="J6013" s="239">
        <v>538.9999999967404</v>
      </c>
    </row>
    <row r="6014">
      <c r="A6014" s="234"/>
      <c r="B6014" s="238" t="str">
        <f>IFERROR(__xludf.DUMMYFUNCTION("""COMPUTED_VALUE"""),"SoC_RS_Gravataí_02")</f>
        <v>SoC_RS_Gravataí_02</v>
      </c>
      <c r="C6014" s="238" t="str">
        <f>IFERROR(__xludf.DUMMYFUNCTION("""COMPUTED_VALUE"""),"SOC-RS2")</f>
        <v>SOC-RS2</v>
      </c>
      <c r="D6014" s="234">
        <f>IFERROR(__xludf.DUMMYFUNCTION("""COMPUTED_VALUE"""),92.0)</f>
        <v>92</v>
      </c>
      <c r="E6014" s="237" t="str">
        <f>IFERROR(__xludf.DUMMYFUNCTION("""COMPUTED_VALUE"""),"LT0Q1S01XISM1")</f>
        <v>LT0Q1S01XISM1</v>
      </c>
      <c r="F6014" s="238" t="str">
        <f>IFERROR(__xludf.DUMMYFUNCTION("""COMPUTED_VALUE"""),"EJF8F29,JCV5A53")</f>
        <v>EJF8F29,JCV5A53</v>
      </c>
      <c r="G6014" s="238">
        <f>IFERROR(__xludf.DUMMYFUNCTION("""COMPUTED_VALUE"""),46050.584027777775)</f>
        <v>46050.58403</v>
      </c>
      <c r="H6014" s="238">
        <f>IFERROR(__xludf.DUMMYFUNCTION("""COMPUTED_VALUE"""),46050.95833333333)</f>
        <v>46050.95833</v>
      </c>
      <c r="J6014" s="239">
        <v>537.9999999934807</v>
      </c>
    </row>
    <row r="6015">
      <c r="A6015" s="234"/>
      <c r="B6015" s="238" t="str">
        <f>IFERROR(__xludf.DUMMYFUNCTION("""COMPUTED_VALUE"""),"SoC_GO_Goiânia_02")</f>
        <v>SoC_GO_Goiânia_02</v>
      </c>
      <c r="C6015" s="238" t="str">
        <f>IFERROR(__xludf.DUMMYFUNCTION("""COMPUTED_VALUE"""),"SOC-GO2")</f>
        <v>SOC-GO2</v>
      </c>
      <c r="D6015" s="234">
        <f>IFERROR(__xludf.DUMMYFUNCTION("""COMPUTED_VALUE"""),86.0)</f>
        <v>86</v>
      </c>
      <c r="E6015" s="237" t="str">
        <f>IFERROR(__xludf.DUMMYFUNCTION("""COMPUTED_VALUE"""),"LT0Q1S01XIQK2")</f>
        <v>LT0Q1S01XIQK2</v>
      </c>
      <c r="F6015" s="238" t="str">
        <f>IFERROR(__xludf.DUMMYFUNCTION("""COMPUTED_VALUE"""),"JBJ1C23,SFV1I43")</f>
        <v>JBJ1C23,SFV1I43</v>
      </c>
      <c r="G6015" s="238">
        <f>IFERROR(__xludf.DUMMYFUNCTION("""COMPUTED_VALUE"""),46050.58472222222)</f>
        <v>46050.58472</v>
      </c>
      <c r="H6015" s="238">
        <f>IFERROR(__xludf.DUMMYFUNCTION("""COMPUTED_VALUE"""),46050.95833333333)</f>
        <v>46050.95833</v>
      </c>
      <c r="J6015" s="239">
        <v>120.00000001396984</v>
      </c>
    </row>
    <row r="6016">
      <c r="A6016" s="234"/>
      <c r="B6016" s="238" t="str">
        <f>IFERROR(__xludf.DUMMYFUNCTION("""COMPUTED_VALUE"""),"SoC_SP_São Bernardo do Campo")</f>
        <v>SoC_SP_São Bernardo do Campo</v>
      </c>
      <c r="C6016" s="238" t="str">
        <f>IFERROR(__xludf.DUMMYFUNCTION("""COMPUTED_VALUE"""),"SOC-SP8")</f>
        <v>SOC-SP8</v>
      </c>
      <c r="D6016" s="234">
        <f>IFERROR(__xludf.DUMMYFUNCTION("""COMPUTED_VALUE"""),54.0)</f>
        <v>54</v>
      </c>
      <c r="E6016" s="237" t="str">
        <f>IFERROR(__xludf.DUMMYFUNCTION("""COMPUTED_VALUE"""),"LT0Q1S01XDDV1")</f>
        <v>LT0Q1S01XDDV1</v>
      </c>
      <c r="F6016" s="238" t="str">
        <f>IFERROR(__xludf.DUMMYFUNCTION("""COMPUTED_VALUE"""),"DVA3A62,DBC7D61")</f>
        <v>DVA3A62,DBC7D61</v>
      </c>
      <c r="G6016" s="238">
        <f>IFERROR(__xludf.DUMMYFUNCTION("""COMPUTED_VALUE"""),46050.89583333333)</f>
        <v>46050.89583</v>
      </c>
      <c r="H6016" s="238">
        <f>IFERROR(__xludf.DUMMYFUNCTION("""COMPUTED_VALUE"""),46050.97916666667)</f>
        <v>46050.97917</v>
      </c>
      <c r="J6016" s="239">
        <v>120.00000001396984</v>
      </c>
    </row>
    <row r="6017">
      <c r="A6017" s="234"/>
      <c r="B6017" s="238" t="str">
        <f>IFERROR(__xludf.DUMMYFUNCTION("""COMPUTED_VALUE"""),"LM Hub_SP_Santos_Praia Grande")</f>
        <v>LM Hub_SP_Santos_Praia Grande</v>
      </c>
      <c r="C6017" s="238" t="str">
        <f>IFERROR(__xludf.DUMMYFUNCTION("""COMPUTED_VALUE"""),"HUB-LSP-09")</f>
        <v>HUB-LSP-09</v>
      </c>
      <c r="D6017" s="234">
        <f>IFERROR(__xludf.DUMMYFUNCTION("""COMPUTED_VALUE"""),35.0)</f>
        <v>35</v>
      </c>
      <c r="E6017" s="237" t="str">
        <f>IFERROR(__xludf.DUMMYFUNCTION("""COMPUTED_VALUE"""),"LT0Q1S01XDH01")</f>
        <v>LT0Q1S01XDH01</v>
      </c>
      <c r="F6017" s="238" t="str">
        <f>IFERROR(__xludf.DUMMYFUNCTION("""COMPUTED_VALUE"""),"TPV1I59,TPU0B29")</f>
        <v>TPV1I59,TPU0B29</v>
      </c>
      <c r="G6017" s="238">
        <f>IFERROR(__xludf.DUMMYFUNCTION("""COMPUTED_VALUE"""),46050.89583333333)</f>
        <v>46050.89583</v>
      </c>
      <c r="H6017" s="238">
        <f>IFERROR(__xludf.DUMMYFUNCTION("""COMPUTED_VALUE"""),46050.97916666667)</f>
        <v>46050.97917</v>
      </c>
      <c r="J6017" s="239">
        <v>120.00000001396984</v>
      </c>
    </row>
    <row r="6018">
      <c r="A6018" s="234"/>
      <c r="B6018" s="238" t="str">
        <f>IFERROR(__xludf.DUMMYFUNCTION("""COMPUTED_VALUE"""),"LM Hub_SP_São José dos Campos")</f>
        <v>LM Hub_SP_São José dos Campos</v>
      </c>
      <c r="C6018" s="238" t="str">
        <f>IFERROR(__xludf.DUMMYFUNCTION("""COMPUTED_VALUE"""),"HUB-LSP-04")</f>
        <v>HUB-LSP-04</v>
      </c>
      <c r="D6018" s="234">
        <f>IFERROR(__xludf.DUMMYFUNCTION("""COMPUTED_VALUE"""),18.0)</f>
        <v>18</v>
      </c>
      <c r="E6018" s="237" t="str">
        <f>IFERROR(__xludf.DUMMYFUNCTION("""COMPUTED_VALUE"""),"LT0Q1S01XM6V1")</f>
        <v>LT0Q1S01XM6V1</v>
      </c>
      <c r="F6018" s="238" t="str">
        <f>IFERROR(__xludf.DUMMYFUNCTION("""COMPUTED_VALUE"""),"TIR7J78")</f>
        <v>TIR7J78</v>
      </c>
      <c r="G6018" s="238">
        <f>IFERROR(__xludf.DUMMYFUNCTION("""COMPUTED_VALUE"""),46050.89583333333)</f>
        <v>46050.89583</v>
      </c>
      <c r="H6018" s="238">
        <f>IFERROR(__xludf.DUMMYFUNCTION("""COMPUTED_VALUE"""),46050.97916666667)</f>
        <v>46050.97917</v>
      </c>
      <c r="J6018" s="239">
        <v>117.00000000419095</v>
      </c>
    </row>
    <row r="6019">
      <c r="A6019" s="234"/>
      <c r="B6019" s="238" t="str">
        <f>IFERROR(__xludf.DUMMYFUNCTION("""COMPUTED_VALUE"""),"LM Hub_SP_Jurubatuba")</f>
        <v>LM Hub_SP_Jurubatuba</v>
      </c>
      <c r="C6019" s="238" t="str">
        <f>IFERROR(__xludf.DUMMYFUNCTION("""COMPUTED_VALUE"""),"HUB-LSP-16")</f>
        <v>HUB-LSP-16</v>
      </c>
      <c r="D6019" s="234">
        <f>IFERROR(__xludf.DUMMYFUNCTION("""COMPUTED_VALUE"""),28.0)</f>
        <v>28</v>
      </c>
      <c r="E6019" s="237" t="str">
        <f>IFERROR(__xludf.DUMMYFUNCTION("""COMPUTED_VALUE"""),"LT0Q1S01XM661")</f>
        <v>LT0Q1S01XM661</v>
      </c>
      <c r="F6019" s="238" t="str">
        <f>IFERROR(__xludf.DUMMYFUNCTION("""COMPUTED_VALUE"""),"DTD4722,NCK7E66")</f>
        <v>DTD4722,NCK7E66</v>
      </c>
      <c r="G6019" s="238">
        <f>IFERROR(__xludf.DUMMYFUNCTION("""COMPUTED_VALUE"""),46050.89791666667)</f>
        <v>46050.89792</v>
      </c>
      <c r="H6019" s="238">
        <f>IFERROR(__xludf.DUMMYFUNCTION("""COMPUTED_VALUE"""),46050.97916666667)</f>
        <v>46050.97917</v>
      </c>
      <c r="J6019" s="239">
        <v>119.99999999301508</v>
      </c>
    </row>
    <row r="6020">
      <c r="A6020" s="234"/>
      <c r="B6020" s="238" t="str">
        <f>IFERROR(__xludf.DUMMYFUNCTION("""COMPUTED_VALUE"""),"LM Hub_SP_Artur Alvim")</f>
        <v>LM Hub_SP_Artur Alvim</v>
      </c>
      <c r="C6020" s="238" t="str">
        <f>IFERROR(__xludf.DUMMYFUNCTION("""COMPUTED_VALUE"""),"HUB-LSP-07")</f>
        <v>HUB-LSP-07</v>
      </c>
      <c r="D6020" s="234">
        <f>IFERROR(__xludf.DUMMYFUNCTION("""COMPUTED_VALUE"""),21.0)</f>
        <v>21</v>
      </c>
      <c r="E6020" s="237" t="str">
        <f>IFERROR(__xludf.DUMMYFUNCTION("""COMPUTED_VALUE"""),"LT0Q1S01XDDD1")</f>
        <v>LT0Q1S01XDDD1</v>
      </c>
      <c r="F6020" s="238" t="str">
        <f>IFERROR(__xludf.DUMMYFUNCTION("""COMPUTED_VALUE"""),"OUV2G66,JMU8H37")</f>
        <v>OUV2G66,JMU8H37</v>
      </c>
      <c r="G6020" s="238">
        <f>IFERROR(__xludf.DUMMYFUNCTION("""COMPUTED_VALUE"""),46050.91666666667)</f>
        <v>46050.91667</v>
      </c>
      <c r="H6020" s="238">
        <f>IFERROR(__xludf.DUMMYFUNCTION("""COMPUTED_VALUE"""),46051.0)</f>
        <v>46051</v>
      </c>
      <c r="J6020" s="239">
        <v>119.99999999301508</v>
      </c>
    </row>
    <row r="6021">
      <c r="A6021" s="234"/>
      <c r="B6021" s="238" t="str">
        <f>IFERROR(__xludf.DUMMYFUNCTION("""COMPUTED_VALUE"""),"LM Hub_SP_Osasco_02")</f>
        <v>LM Hub_SP_Osasco_02</v>
      </c>
      <c r="C6021" s="238" t="str">
        <f>IFERROR(__xludf.DUMMYFUNCTION("""COMPUTED_VALUE"""),"HUB-LSP-60")</f>
        <v>HUB-LSP-60</v>
      </c>
      <c r="D6021" s="234">
        <f>IFERROR(__xludf.DUMMYFUNCTION("""COMPUTED_VALUE"""),36.0)</f>
        <v>36</v>
      </c>
      <c r="E6021" s="237" t="str">
        <f>IFERROR(__xludf.DUMMYFUNCTION("""COMPUTED_VALUE"""),"LT0Q1S01XDEY1")</f>
        <v>LT0Q1S01XDEY1</v>
      </c>
      <c r="F6021" s="238" t="str">
        <f>IFERROR(__xludf.DUMMYFUNCTION("""COMPUTED_VALUE"""),"FUZ6B23,FUA8006")</f>
        <v>FUZ6B23,FUA8006</v>
      </c>
      <c r="G6021" s="238">
        <f>IFERROR(__xludf.DUMMYFUNCTION("""COMPUTED_VALUE"""),46050.91666666667)</f>
        <v>46050.91667</v>
      </c>
      <c r="H6021" s="238">
        <f>IFERROR(__xludf.DUMMYFUNCTION("""COMPUTED_VALUE"""),46051.0)</f>
        <v>46051</v>
      </c>
      <c r="J6021" s="239">
        <v>119.99999999301508</v>
      </c>
    </row>
    <row r="6022">
      <c r="A6022" s="234"/>
      <c r="B6022" s="238" t="str">
        <f>IFERROR(__xludf.DUMMYFUNCTION("""COMPUTED_VALUE"""),"LM Hub_SP_Mauá")</f>
        <v>LM Hub_SP_Mauá</v>
      </c>
      <c r="C6022" s="238" t="str">
        <f>IFERROR(__xludf.DUMMYFUNCTION("""COMPUTED_VALUE"""),"HUB-LSP-64")</f>
        <v>HUB-LSP-64</v>
      </c>
      <c r="D6022" s="234">
        <f>IFERROR(__xludf.DUMMYFUNCTION("""COMPUTED_VALUE"""),26.0)</f>
        <v>26</v>
      </c>
      <c r="E6022" s="237" t="str">
        <f>IFERROR(__xludf.DUMMYFUNCTION("""COMPUTED_VALUE"""),"LT0Q1S01XDF41")</f>
        <v>LT0Q1S01XDF41</v>
      </c>
      <c r="F6022" s="238" t="str">
        <f>IFERROR(__xludf.DUMMYFUNCTION("""COMPUTED_VALUE"""),"FQF6B98,DTA7802")</f>
        <v>FQF6B98,DTA7802</v>
      </c>
      <c r="G6022" s="238">
        <f>IFERROR(__xludf.DUMMYFUNCTION("""COMPUTED_VALUE"""),46050.91666666667)</f>
        <v>46050.91667</v>
      </c>
      <c r="H6022" s="238">
        <f>IFERROR(__xludf.DUMMYFUNCTION("""COMPUTED_VALUE"""),46051.0)</f>
        <v>46051</v>
      </c>
      <c r="J6022" s="239">
        <v>119.99999999301508</v>
      </c>
    </row>
    <row r="6023">
      <c r="A6023" s="234"/>
      <c r="B6023" s="238" t="str">
        <f>IFERROR(__xludf.DUMMYFUNCTION("""COMPUTED_VALUE"""),"LM Hub_SP_Limeira_Campo Belo")</f>
        <v>LM Hub_SP_Limeira_Campo Belo</v>
      </c>
      <c r="C6023" s="238" t="str">
        <f>IFERROR(__xludf.DUMMYFUNCTION("""COMPUTED_VALUE"""),"HUB-LSP-24")</f>
        <v>HUB-LSP-24</v>
      </c>
      <c r="D6023" s="234">
        <f>IFERROR(__xludf.DUMMYFUNCTION("""COMPUTED_VALUE"""),34.0)</f>
        <v>34</v>
      </c>
      <c r="E6023" s="237" t="str">
        <f>IFERROR(__xludf.DUMMYFUNCTION("""COMPUTED_VALUE"""),"LT0Q1S01XDHN1")</f>
        <v>LT0Q1S01XDHN1</v>
      </c>
      <c r="F6023" s="238" t="str">
        <f>IFERROR(__xludf.DUMMYFUNCTION("""COMPUTED_VALUE"""),"STS7H95,TAX1I64")</f>
        <v>STS7H95,TAX1I64</v>
      </c>
      <c r="G6023" s="238">
        <f>IFERROR(__xludf.DUMMYFUNCTION("""COMPUTED_VALUE"""),46050.91666666667)</f>
        <v>46050.91667</v>
      </c>
      <c r="H6023" s="238">
        <f>IFERROR(__xludf.DUMMYFUNCTION("""COMPUTED_VALUE"""),46051.0)</f>
        <v>46051</v>
      </c>
      <c r="J6023" s="239">
        <v>119.99999999301508</v>
      </c>
    </row>
    <row r="6024">
      <c r="A6024" s="234"/>
      <c r="B6024" s="238" t="str">
        <f>IFERROR(__xludf.DUMMYFUNCTION("""COMPUTED_VALUE"""),"LM Hub_SP_Guarulhos")</f>
        <v>LM Hub_SP_Guarulhos</v>
      </c>
      <c r="C6024" s="238" t="str">
        <f>IFERROR(__xludf.DUMMYFUNCTION("""COMPUTED_VALUE"""),"HUB-LSP-77")</f>
        <v>HUB-LSP-77</v>
      </c>
      <c r="D6024" s="234">
        <f>IFERROR(__xludf.DUMMYFUNCTION("""COMPUTED_VALUE"""),22.0)</f>
        <v>22</v>
      </c>
      <c r="E6024" s="237" t="str">
        <f>IFERROR(__xludf.DUMMYFUNCTION("""COMPUTED_VALUE"""),"LT0Q1S01XE471")</f>
        <v>LT0Q1S01XE471</v>
      </c>
      <c r="F6024" s="238" t="str">
        <f>IFERROR(__xludf.DUMMYFUNCTION("""COMPUTED_VALUE"""),"MFO5E94,JXB0B94")</f>
        <v>MFO5E94,JXB0B94</v>
      </c>
      <c r="G6024" s="238">
        <f>IFERROR(__xludf.DUMMYFUNCTION("""COMPUTED_VALUE"""),46050.91666666667)</f>
        <v>46050.91667</v>
      </c>
      <c r="H6024" s="238">
        <f>IFERROR(__xludf.DUMMYFUNCTION("""COMPUTED_VALUE"""),46051.0)</f>
        <v>46051</v>
      </c>
      <c r="J6024" s="239">
        <v>119.99999999301508</v>
      </c>
    </row>
    <row r="6025">
      <c r="A6025" s="234"/>
      <c r="B6025" s="238" t="str">
        <f>IFERROR(__xludf.DUMMYFUNCTION("""COMPUTED_VALUE"""),"LM Hub_SP_Jundiaí")</f>
        <v>LM Hub_SP_Jundiaí</v>
      </c>
      <c r="C6025" s="238" t="str">
        <f>IFERROR(__xludf.DUMMYFUNCTION("""COMPUTED_VALUE"""),"HUB-LSP-100")</f>
        <v>HUB-LSP-100</v>
      </c>
      <c r="D6025" s="234">
        <f>IFERROR(__xludf.DUMMYFUNCTION("""COMPUTED_VALUE"""),16.0)</f>
        <v>16</v>
      </c>
      <c r="E6025" s="237" t="str">
        <f>IFERROR(__xludf.DUMMYFUNCTION("""COMPUTED_VALUE"""),"LT0Q1S01XJI21")</f>
        <v>LT0Q1S01XJI21</v>
      </c>
      <c r="F6025" s="238" t="str">
        <f>IFERROR(__xludf.DUMMYFUNCTION("""COMPUTED_VALUE"""),"UFX7E99,TLZ5G97")</f>
        <v>UFX7E99,TLZ5G97</v>
      </c>
      <c r="G6025" s="238">
        <f>IFERROR(__xludf.DUMMYFUNCTION("""COMPUTED_VALUE"""),46050.91666666667)</f>
        <v>46050.91667</v>
      </c>
      <c r="H6025" s="238">
        <f>IFERROR(__xludf.DUMMYFUNCTION("""COMPUTED_VALUE"""),46051.0)</f>
        <v>46051</v>
      </c>
      <c r="J6025" s="239">
        <v>119.00000000023283</v>
      </c>
    </row>
    <row r="6026">
      <c r="A6026" s="234"/>
      <c r="B6026" s="238" t="str">
        <f>IFERROR(__xludf.DUMMYFUNCTION("""COMPUTED_VALUE"""),"LM Hub_SP_Mooca_02")</f>
        <v>LM Hub_SP_Mooca_02</v>
      </c>
      <c r="C6026" s="238" t="str">
        <f>IFERROR(__xludf.DUMMYFUNCTION("""COMPUTED_VALUE"""),"HUB-LSP-94")</f>
        <v>HUB-LSP-94</v>
      </c>
      <c r="D6026" s="234"/>
      <c r="E6026" s="237" t="str">
        <f>IFERROR(__xludf.DUMMYFUNCTION("""COMPUTED_VALUE"""),"LT0Q1S01XI0N1")</f>
        <v>LT0Q1S01XI0N1</v>
      </c>
      <c r="F6026" s="238" t="str">
        <f>IFERROR(__xludf.DUMMYFUNCTION("""COMPUTED_VALUE"""),"FZH4B68")</f>
        <v>FZH4B68</v>
      </c>
      <c r="G6026" s="238">
        <f>IFERROR(__xludf.DUMMYFUNCTION("""COMPUTED_VALUE"""),46050.91736111111)</f>
        <v>46050.91736</v>
      </c>
      <c r="H6026" s="238">
        <f>IFERROR(__xludf.DUMMYFUNCTION("""COMPUTED_VALUE"""),46051.0)</f>
        <v>46051</v>
      </c>
      <c r="J6026" s="239">
        <v>119.00000000023283</v>
      </c>
    </row>
    <row r="6027">
      <c r="A6027" s="234"/>
      <c r="B6027" s="238" t="str">
        <f>IFERROR(__xludf.DUMMYFUNCTION("""COMPUTED_VALUE"""),"LM Hub_SP_Barueri_01")</f>
        <v>LM Hub_SP_Barueri_01</v>
      </c>
      <c r="C6027" s="238" t="str">
        <f>IFERROR(__xludf.DUMMYFUNCTION("""COMPUTED_VALUE"""),"HUB-LSP-81")</f>
        <v>HUB-LSP-81</v>
      </c>
      <c r="D6027" s="234">
        <f>IFERROR(__xludf.DUMMYFUNCTION("""COMPUTED_VALUE"""),29.0)</f>
        <v>29</v>
      </c>
      <c r="E6027" s="237" t="str">
        <f>IFERROR(__xludf.DUMMYFUNCTION("""COMPUTED_VALUE"""),"LT0Q1S01XI3R1")</f>
        <v>LT0Q1S01XI3R1</v>
      </c>
      <c r="F6027" s="238" t="str">
        <f>IFERROR(__xludf.DUMMYFUNCTION("""COMPUTED_VALUE"""),"DZD3C02")</f>
        <v>DZD3C02</v>
      </c>
      <c r="G6027" s="238">
        <f>IFERROR(__xludf.DUMMYFUNCTION("""COMPUTED_VALUE"""),46050.91736111111)</f>
        <v>46050.91736</v>
      </c>
      <c r="H6027" s="238">
        <f>IFERROR(__xludf.DUMMYFUNCTION("""COMPUTED_VALUE"""),46051.0)</f>
        <v>46051</v>
      </c>
      <c r="J6027" s="239">
        <v>118.00000000745058</v>
      </c>
    </row>
    <row r="6028">
      <c r="A6028" s="234"/>
      <c r="B6028" s="238" t="str">
        <f>IFERROR(__xludf.DUMMYFUNCTION("""COMPUTED_VALUE"""),"LM Hub_SP_Santo André")</f>
        <v>LM Hub_SP_Santo André</v>
      </c>
      <c r="C6028" s="238" t="str">
        <f>IFERROR(__xludf.DUMMYFUNCTION("""COMPUTED_VALUE"""),"HUB-LSP-93")</f>
        <v>HUB-LSP-93</v>
      </c>
      <c r="D6028" s="234">
        <f>IFERROR(__xludf.DUMMYFUNCTION("""COMPUTED_VALUE"""),23.0)</f>
        <v>23</v>
      </c>
      <c r="E6028" s="237" t="str">
        <f>IFERROR(__xludf.DUMMYFUNCTION("""COMPUTED_VALUE"""),"LT0Q1S01XFOP1")</f>
        <v>LT0Q1S01XFOP1</v>
      </c>
      <c r="F6028" s="238" t="str">
        <f>IFERROR(__xludf.DUMMYFUNCTION("""COMPUTED_VALUE"""),"FXQ8H67,EZL9D42")</f>
        <v>FXQ8H67,EZL9D42</v>
      </c>
      <c r="G6028" s="238">
        <f>IFERROR(__xludf.DUMMYFUNCTION("""COMPUTED_VALUE"""),46050.91805555555)</f>
        <v>46050.91806</v>
      </c>
      <c r="H6028" s="238">
        <f>IFERROR(__xludf.DUMMYFUNCTION("""COMPUTED_VALUE"""),46051.0)</f>
        <v>46051</v>
      </c>
      <c r="J6028" s="239">
        <v>119.99999999301508</v>
      </c>
    </row>
    <row r="6029">
      <c r="A6029" s="234"/>
      <c r="B6029" s="238" t="str">
        <f>IFERROR(__xludf.DUMMYFUNCTION("""COMPUTED_VALUE"""),"LM Hub_SP_Jardim Adriana")</f>
        <v>LM Hub_SP_Jardim Adriana</v>
      </c>
      <c r="C6029" s="238" t="str">
        <f>IFERROR(__xludf.DUMMYFUNCTION("""COMPUTED_VALUE"""),"HUB-LSP-12")</f>
        <v>HUB-LSP-12</v>
      </c>
      <c r="D6029" s="234">
        <f>IFERROR(__xludf.DUMMYFUNCTION("""COMPUTED_VALUE"""),47.0)</f>
        <v>47</v>
      </c>
      <c r="E6029" s="237" t="str">
        <f>IFERROR(__xludf.DUMMYFUNCTION("""COMPUTED_VALUE"""),"LT0Q1S01XDDK1")</f>
        <v>LT0Q1S01XDDK1</v>
      </c>
      <c r="F6029" s="238" t="str">
        <f>IFERROR(__xludf.DUMMYFUNCTION("""COMPUTED_VALUE"""),"EVU4B22")</f>
        <v>EVU4B22</v>
      </c>
      <c r="G6029" s="238">
        <f>IFERROR(__xludf.DUMMYFUNCTION("""COMPUTED_VALUE"""),46050.9375)</f>
        <v>46050.9375</v>
      </c>
      <c r="H6029" s="238">
        <f>IFERROR(__xludf.DUMMYFUNCTION("""COMPUTED_VALUE"""),46051.02083333333)</f>
        <v>46051.02083</v>
      </c>
      <c r="J6029" s="239">
        <v>39.999999994179234</v>
      </c>
    </row>
    <row r="6030">
      <c r="A6030" s="234"/>
      <c r="B6030" s="238" t="str">
        <f>IFERROR(__xludf.DUMMYFUNCTION("""COMPUTED_VALUE"""),"LM Hub_SP_Sorocaba_Região Norte")</f>
        <v>LM Hub_SP_Sorocaba_Região Norte</v>
      </c>
      <c r="C6030" s="238" t="str">
        <f>IFERROR(__xludf.DUMMYFUNCTION("""COMPUTED_VALUE"""),"HUB-LSP-10")</f>
        <v>HUB-LSP-10</v>
      </c>
      <c r="D6030" s="234">
        <f>IFERROR(__xludf.DUMMYFUNCTION("""COMPUTED_VALUE"""),16.0)</f>
        <v>16</v>
      </c>
      <c r="E6030" s="237" t="str">
        <f>IFERROR(__xludf.DUMMYFUNCTION("""COMPUTED_VALUE"""),"LT0Q1S01XDHD1")</f>
        <v>LT0Q1S01XDHD1</v>
      </c>
      <c r="F6030" s="238" t="str">
        <f>IFERROR(__xludf.DUMMYFUNCTION("""COMPUTED_VALUE"""),"TBQ6J10")</f>
        <v>TBQ6J10</v>
      </c>
      <c r="G6030" s="238">
        <f>IFERROR(__xludf.DUMMYFUNCTION("""COMPUTED_VALUE"""),46050.993055555555)</f>
        <v>46050.99306</v>
      </c>
      <c r="H6030" s="238">
        <f>IFERROR(__xludf.DUMMYFUNCTION("""COMPUTED_VALUE"""),46051.02083333333)</f>
        <v>46051.02083</v>
      </c>
      <c r="J6030" s="239">
        <v>119.99999999301508</v>
      </c>
    </row>
    <row r="6031">
      <c r="A6031" s="234"/>
      <c r="B6031" s="238" t="str">
        <f>IFERROR(__xludf.DUMMYFUNCTION("""COMPUTED_VALUE"""),"LM Hub_SP_Piracicaba")</f>
        <v>LM Hub_SP_Piracicaba</v>
      </c>
      <c r="C6031" s="238" t="str">
        <f>IFERROR(__xludf.DUMMYFUNCTION("""COMPUTED_VALUE"""),"HUB-LSP-62")</f>
        <v>HUB-LSP-62</v>
      </c>
      <c r="D6031" s="234">
        <f>IFERROR(__xludf.DUMMYFUNCTION("""COMPUTED_VALUE"""),27.0)</f>
        <v>27</v>
      </c>
      <c r="E6031" s="237" t="str">
        <f>IFERROR(__xludf.DUMMYFUNCTION("""COMPUTED_VALUE"""),"LT0Q1S01XE4J1")</f>
        <v>LT0Q1S01XE4J1</v>
      </c>
      <c r="F6031" s="238" t="str">
        <f>IFERROR(__xludf.DUMMYFUNCTION("""COMPUTED_VALUE"""),"SVN6D77,SXJ9F40")</f>
        <v>SVN6D77,SXJ9F40</v>
      </c>
      <c r="G6031" s="238">
        <f>IFERROR(__xludf.DUMMYFUNCTION("""COMPUTED_VALUE"""),46050.9375)</f>
        <v>46050.9375</v>
      </c>
      <c r="H6031" s="238">
        <f>IFERROR(__xludf.DUMMYFUNCTION("""COMPUTED_VALUE"""),46051.02083333333)</f>
        <v>46051.02083</v>
      </c>
      <c r="J6031" s="239">
        <v>119.99999999301508</v>
      </c>
    </row>
    <row r="6032">
      <c r="A6032" s="234"/>
      <c r="B6032" s="238" t="str">
        <f>IFERROR(__xludf.DUMMYFUNCTION("""COMPUTED_VALUE"""),"LM Hub_SP_Suzano_Baruel")</f>
        <v>LM Hub_SP_Suzano_Baruel</v>
      </c>
      <c r="C6032" s="238" t="str">
        <f>IFERROR(__xludf.DUMMYFUNCTION("""COMPUTED_VALUE"""),"HUB-LSP-97")</f>
        <v>HUB-LSP-97</v>
      </c>
      <c r="D6032" s="234">
        <f>IFERROR(__xludf.DUMMYFUNCTION("""COMPUTED_VALUE"""),19.0)</f>
        <v>19</v>
      </c>
      <c r="E6032" s="237" t="str">
        <f>IFERROR(__xludf.DUMMYFUNCTION("""COMPUTED_VALUE"""),"LT0Q1S01XJTU1")</f>
        <v>LT0Q1S01XJTU1</v>
      </c>
      <c r="F6032" s="238" t="str">
        <f>IFERROR(__xludf.DUMMYFUNCTION("""COMPUTED_VALUE"""),"EHH8C74,FNI0D21")</f>
        <v>EHH8C74,FNI0D21</v>
      </c>
      <c r="G6032" s="238">
        <f>IFERROR(__xludf.DUMMYFUNCTION("""COMPUTED_VALUE"""),46050.9375)</f>
        <v>46050.9375</v>
      </c>
      <c r="H6032" s="238">
        <f>IFERROR(__xludf.DUMMYFUNCTION("""COMPUTED_VALUE"""),46051.02083333333)</f>
        <v>46051.02083</v>
      </c>
      <c r="J6032" s="239">
        <v>118.99999998975545</v>
      </c>
    </row>
    <row r="6033">
      <c r="A6033" s="234"/>
      <c r="B6033" s="238" t="str">
        <f>IFERROR(__xludf.DUMMYFUNCTION("""COMPUTED_VALUE"""),"LM Hub_SP_São Paulo_Carandiru")</f>
        <v>LM Hub_SP_São Paulo_Carandiru</v>
      </c>
      <c r="C6033" s="238" t="str">
        <f>IFERROR(__xludf.DUMMYFUNCTION("""COMPUTED_VALUE"""),"HUB-LSP-18")</f>
        <v>HUB-LSP-18</v>
      </c>
      <c r="D6033" s="234">
        <f>IFERROR(__xludf.DUMMYFUNCTION("""COMPUTED_VALUE"""),45.0)</f>
        <v>45</v>
      </c>
      <c r="E6033" s="237" t="str">
        <f>IFERROR(__xludf.DUMMYFUNCTION("""COMPUTED_VALUE"""),"LT0Q1S01XDEA1")</f>
        <v>LT0Q1S01XDEA1</v>
      </c>
      <c r="F6033" s="238" t="str">
        <f>IFERROR(__xludf.DUMMYFUNCTION("""COMPUTED_VALUE"""),"AXH9D10")</f>
        <v>AXH9D10</v>
      </c>
      <c r="G6033" s="238">
        <f>IFERROR(__xludf.DUMMYFUNCTION("""COMPUTED_VALUE"""),46050.93819444445)</f>
        <v>46050.93819</v>
      </c>
      <c r="H6033" s="238">
        <f>IFERROR(__xludf.DUMMYFUNCTION("""COMPUTED_VALUE"""),46051.02083333333)</f>
        <v>46051.02083</v>
      </c>
      <c r="J6033" s="239">
        <v>118.99999998975545</v>
      </c>
    </row>
    <row r="6034">
      <c r="A6034" s="234"/>
      <c r="B6034" s="238" t="str">
        <f>IFERROR(__xludf.DUMMYFUNCTION("""COMPUTED_VALUE"""),"LM Hub_SP_VilaGuilherme")</f>
        <v>LM Hub_SP_VilaGuilherme</v>
      </c>
      <c r="C6034" s="238" t="str">
        <f>IFERROR(__xludf.DUMMYFUNCTION("""COMPUTED_VALUE"""),"HUB-LSP-68")</f>
        <v>HUB-LSP-68</v>
      </c>
      <c r="D6034" s="234">
        <f>IFERROR(__xludf.DUMMYFUNCTION("""COMPUTED_VALUE"""),46.0)</f>
        <v>46</v>
      </c>
      <c r="E6034" s="237" t="str">
        <f>IFERROR(__xludf.DUMMYFUNCTION("""COMPUTED_VALUE"""),"LT0Q1S01XM691")</f>
        <v>LT0Q1S01XM691</v>
      </c>
      <c r="F6034" s="238" t="str">
        <f>IFERROR(__xludf.DUMMYFUNCTION("""COMPUTED_VALUE"""),"HFD4H27,JXG9745")</f>
        <v>HFD4H27,JXG9745</v>
      </c>
      <c r="G6034" s="238">
        <f>IFERROR(__xludf.DUMMYFUNCTION("""COMPUTED_VALUE"""),46050.93819444445)</f>
        <v>46050.93819</v>
      </c>
      <c r="H6034" s="238">
        <f>IFERROR(__xludf.DUMMYFUNCTION("""COMPUTED_VALUE"""),46051.02083333333)</f>
        <v>46051.02083</v>
      </c>
      <c r="J6034" s="239">
        <v>118.99999998975545</v>
      </c>
    </row>
    <row r="6035">
      <c r="A6035" s="234"/>
      <c r="B6035" s="238" t="str">
        <f>IFERROR(__xludf.DUMMYFUNCTION("""COMPUTED_VALUE"""),"LM Hub_SP_Parque Novo Mundo")</f>
        <v>LM Hub_SP_Parque Novo Mundo</v>
      </c>
      <c r="C6035" s="238" t="str">
        <f>IFERROR(__xludf.DUMMYFUNCTION("""COMPUTED_VALUE"""),"HUB-LSP-89")</f>
        <v>HUB-LSP-89</v>
      </c>
      <c r="D6035" s="234">
        <f>IFERROR(__xludf.DUMMYFUNCTION("""COMPUTED_VALUE"""),24.0)</f>
        <v>24</v>
      </c>
      <c r="E6035" s="237" t="str">
        <f>IFERROR(__xludf.DUMMYFUNCTION("""COMPUTED_VALUE"""),"LT0Q1S01XMCN1")</f>
        <v>LT0Q1S01XMCN1</v>
      </c>
      <c r="F6035" s="238" t="str">
        <f>IFERROR(__xludf.DUMMYFUNCTION("""COMPUTED_VALUE"""),"FNK8E47,FAM1829")</f>
        <v>FNK8E47,FAM1829</v>
      </c>
      <c r="G6035" s="238">
        <f>IFERROR(__xludf.DUMMYFUNCTION("""COMPUTED_VALUE"""),46050.93819444445)</f>
        <v>46050.93819</v>
      </c>
      <c r="H6035" s="238">
        <f>IFERROR(__xludf.DUMMYFUNCTION("""COMPUTED_VALUE"""),46051.02083333333)</f>
        <v>46051.02083</v>
      </c>
      <c r="J6035" s="239">
        <v>120.00000001396984</v>
      </c>
    </row>
    <row r="6036">
      <c r="A6036" s="234"/>
      <c r="B6036" s="238" t="str">
        <f>IFERROR(__xludf.DUMMYFUNCTION("""COMPUTED_VALUE"""),"SoC_PR_Curitiba")</f>
        <v>SoC_PR_Curitiba</v>
      </c>
      <c r="C6036" s="238" t="str">
        <f>IFERROR(__xludf.DUMMYFUNCTION("""COMPUTED_VALUE"""),"SOC-PR1")</f>
        <v>SOC-PR1</v>
      </c>
      <c r="D6036" s="234">
        <f>IFERROR(__xludf.DUMMYFUNCTION("""COMPUTED_VALUE"""),42.0)</f>
        <v>42</v>
      </c>
      <c r="E6036" s="237" t="str">
        <f>IFERROR(__xludf.DUMMYFUNCTION("""COMPUTED_VALUE"""),"LT0Q1S01XDBQ1")</f>
        <v>LT0Q1S01XDBQ1</v>
      </c>
      <c r="F6036" s="238" t="str">
        <f>IFERROR(__xludf.DUMMYFUNCTION("""COMPUTED_VALUE"""),"RLH6H86,TKP6H61")</f>
        <v>RLH6H86,TKP6H61</v>
      </c>
      <c r="G6036" s="238">
        <f>IFERROR(__xludf.DUMMYFUNCTION("""COMPUTED_VALUE"""),46050.95833333333)</f>
        <v>46050.95833</v>
      </c>
      <c r="H6036" s="238">
        <f>IFERROR(__xludf.DUMMYFUNCTION("""COMPUTED_VALUE"""),46051.04166666667)</f>
        <v>46051.04167</v>
      </c>
      <c r="J6036" s="239">
        <v>120.00000001396984</v>
      </c>
    </row>
    <row r="6037">
      <c r="A6037" s="234"/>
      <c r="B6037" s="238" t="str">
        <f>IFERROR(__xludf.DUMMYFUNCTION("""COMPUTED_VALUE"""),"LM Hub_SP_Mogi Mirim")</f>
        <v>LM Hub_SP_Mogi Mirim</v>
      </c>
      <c r="C6037" s="238" t="str">
        <f>IFERROR(__xludf.DUMMYFUNCTION("""COMPUTED_VALUE"""),"HUB-LSP-37")</f>
        <v>HUB-LSP-37</v>
      </c>
      <c r="D6037" s="234">
        <f>IFERROR(__xludf.DUMMYFUNCTION("""COMPUTED_VALUE"""),12.0)</f>
        <v>12</v>
      </c>
      <c r="E6037" s="237" t="str">
        <f>IFERROR(__xludf.DUMMYFUNCTION("""COMPUTED_VALUE"""),"LT0Q1S01XDID1")</f>
        <v>LT0Q1S01XDID1</v>
      </c>
      <c r="F6037" s="238" t="str">
        <f>IFERROR(__xludf.DUMMYFUNCTION("""COMPUTED_VALUE"""),"FVL1B63,TJQ3B56")</f>
        <v>FVL1B63,TJQ3B56</v>
      </c>
      <c r="G6037" s="238">
        <f>IFERROR(__xludf.DUMMYFUNCTION("""COMPUTED_VALUE"""),46050.95833333333)</f>
        <v>46050.95833</v>
      </c>
      <c r="H6037" s="238">
        <f>IFERROR(__xludf.DUMMYFUNCTION("""COMPUTED_VALUE"""),46051.04166666667)</f>
        <v>46051.04167</v>
      </c>
      <c r="J6037" s="239">
        <v>120.00000001396984</v>
      </c>
    </row>
    <row r="6038">
      <c r="A6038" s="234"/>
      <c r="B6038" s="238" t="str">
        <f>IFERROR(__xludf.DUMMYFUNCTION("""COMPUTED_VALUE"""),"LM Hub_RJ_Rio de Janeiro_Campo G")</f>
        <v>LM Hub_RJ_Rio de Janeiro_Campo G</v>
      </c>
      <c r="C6038" s="238" t="str">
        <f>IFERROR(__xludf.DUMMYFUNCTION("""COMPUTED_VALUE"""),"HUB-LRJ-04")</f>
        <v>HUB-LRJ-04</v>
      </c>
      <c r="D6038" s="234"/>
      <c r="E6038" s="237" t="str">
        <f>IFERROR(__xludf.DUMMYFUNCTION("""COMPUTED_VALUE"""),"LT0Q1S01XDJJ1")</f>
        <v>LT0Q1S01XDJJ1</v>
      </c>
      <c r="F6038" s="238" t="str">
        <f>IFERROR(__xludf.DUMMYFUNCTION("""COMPUTED_VALUE"""),"TBQ6J10")</f>
        <v>TBQ6J10</v>
      </c>
      <c r="G6038" s="238">
        <f>IFERROR(__xludf.DUMMYFUNCTION("""COMPUTED_VALUE"""),46051.08333333333)</f>
        <v>46051.08333</v>
      </c>
      <c r="H6038" s="238">
        <f>IFERROR(__xludf.DUMMYFUNCTION("""COMPUTED_VALUE"""),46051.16666666667)</f>
        <v>46051.16667</v>
      </c>
      <c r="J6038" s="239">
        <v>120.00000001396984</v>
      </c>
    </row>
    <row r="6039">
      <c r="A6039" s="234"/>
      <c r="B6039" s="238" t="str">
        <f>IFERROR(__xludf.DUMMYFUNCTION("""COMPUTED_VALUE"""),"LM Hub_RJ_Nova Iguaçu")</f>
        <v>LM Hub_RJ_Nova Iguaçu</v>
      </c>
      <c r="C6039" s="238" t="str">
        <f>IFERROR(__xludf.DUMMYFUNCTION("""COMPUTED_VALUE"""),"HUB-LRJ-27")</f>
        <v>HUB-LRJ-27</v>
      </c>
      <c r="D6039" s="234">
        <f>IFERROR(__xludf.DUMMYFUNCTION("""COMPUTED_VALUE"""),113.0)</f>
        <v>113</v>
      </c>
      <c r="E6039" s="237" t="str">
        <f>IFERROR(__xludf.DUMMYFUNCTION("""COMPUTED_VALUE"""),"LT0Q1S01XIMW1")</f>
        <v>LT0Q1S01XIMW1</v>
      </c>
      <c r="F6039" s="238" t="str">
        <f>IFERROR(__xludf.DUMMYFUNCTION("""COMPUTED_VALUE"""),"TBQ6J09")</f>
        <v>TBQ6J09</v>
      </c>
      <c r="G6039" s="238">
        <f>IFERROR(__xludf.DUMMYFUNCTION("""COMPUTED_VALUE"""),46050.95833333333)</f>
        <v>46050.95833</v>
      </c>
      <c r="H6039" s="238">
        <f>IFERROR(__xludf.DUMMYFUNCTION("""COMPUTED_VALUE"""),46051.04166666667)</f>
        <v>46051.04167</v>
      </c>
      <c r="J6039" s="239">
        <v>120.00000001396984</v>
      </c>
    </row>
    <row r="6040">
      <c r="A6040" s="234"/>
      <c r="B6040" s="238" t="str">
        <f>IFERROR(__xludf.DUMMYFUNCTION("""COMPUTED_VALUE"""),"LM Hub_RJ_São João do Meriti")</f>
        <v>LM Hub_RJ_São João do Meriti</v>
      </c>
      <c r="C6040" s="238" t="str">
        <f>IFERROR(__xludf.DUMMYFUNCTION("""COMPUTED_VALUE"""),"HUB-LRJ-01")</f>
        <v>HUB-LRJ-01</v>
      </c>
      <c r="D6040" s="234">
        <f>IFERROR(__xludf.DUMMYFUNCTION("""COMPUTED_VALUE"""),114.0)</f>
        <v>114</v>
      </c>
      <c r="E6040" s="237" t="str">
        <f>IFERROR(__xludf.DUMMYFUNCTION("""COMPUTED_VALUE"""),"LT0Q1S01XINP1")</f>
        <v>LT0Q1S01XINP1</v>
      </c>
      <c r="F6040" s="238" t="str">
        <f>IFERROR(__xludf.DUMMYFUNCTION("""COMPUTED_VALUE"""),"CUT5C59,TKZ7B16")</f>
        <v>CUT5C59,TKZ7B16</v>
      </c>
      <c r="G6040" s="238">
        <f>IFERROR(__xludf.DUMMYFUNCTION("""COMPUTED_VALUE"""),46050.95833333333)</f>
        <v>46050.95833</v>
      </c>
      <c r="H6040" s="238">
        <f>IFERROR(__xludf.DUMMYFUNCTION("""COMPUTED_VALUE"""),46051.04166666667)</f>
        <v>46051.04167</v>
      </c>
      <c r="J6040" s="239">
        <v>120.00000001396984</v>
      </c>
    </row>
    <row r="6041">
      <c r="A6041" s="234"/>
      <c r="B6041" s="238" t="str">
        <f>IFERROR(__xludf.DUMMYFUNCTION("""COMPUTED_VALUE"""),"LM Hub_RJ_Rio de Janeiro_Campo G")</f>
        <v>LM Hub_RJ_Rio de Janeiro_Campo G</v>
      </c>
      <c r="C6041" s="238" t="str">
        <f>IFERROR(__xludf.DUMMYFUNCTION("""COMPUTED_VALUE"""),"HUB-LRJ-04")</f>
        <v>HUB-LRJ-04</v>
      </c>
      <c r="D6041" s="234">
        <f>IFERROR(__xludf.DUMMYFUNCTION("""COMPUTED_VALUE"""),5.0)</f>
        <v>5</v>
      </c>
      <c r="E6041" s="237" t="str">
        <f>IFERROR(__xludf.DUMMYFUNCTION("""COMPUTED_VALUE"""),"LT1Q1S01XSMM1")</f>
        <v>LT1Q1S01XSMM1</v>
      </c>
      <c r="F6041" s="238" t="str">
        <f>IFERROR(__xludf.DUMMYFUNCTION("""COMPUTED_VALUE"""),"FFD7D29,JQT3I39")</f>
        <v>FFD7D29,JQT3I39</v>
      </c>
      <c r="G6041" s="238">
        <f>IFERROR(__xludf.DUMMYFUNCTION("""COMPUTED_VALUE"""),46050.95833333333)</f>
        <v>46050.95833</v>
      </c>
      <c r="H6041" s="238">
        <f>IFERROR(__xludf.DUMMYFUNCTION("""COMPUTED_VALUE"""),46051.04166666667)</f>
        <v>46051.04167</v>
      </c>
      <c r="J6041" s="239">
        <v>119.99999999301508</v>
      </c>
    </row>
    <row r="6042">
      <c r="A6042" s="234"/>
      <c r="B6042" s="238" t="str">
        <f>IFERROR(__xludf.DUMMYFUNCTION("""COMPUTED_VALUE"""),"LM Hub_SP_Araraquara")</f>
        <v>LM Hub_SP_Araraquara</v>
      </c>
      <c r="C6042" s="238" t="str">
        <f>IFERROR(__xludf.DUMMYFUNCTION("""COMPUTED_VALUE"""),"HUB-LSP-29")</f>
        <v>HUB-LSP-29</v>
      </c>
      <c r="D6042" s="234">
        <f>IFERROR(__xludf.DUMMYFUNCTION("""COMPUTED_VALUE"""),32.0)</f>
        <v>32</v>
      </c>
      <c r="E6042" s="237" t="str">
        <f>IFERROR(__xludf.DUMMYFUNCTION("""COMPUTED_VALUE"""),"LT0Q1S01XDII1")</f>
        <v>LT0Q1S01XDII1</v>
      </c>
      <c r="F6042" s="238" t="str">
        <f>IFERROR(__xludf.DUMMYFUNCTION("""COMPUTED_VALUE"""),"ISQ7F01,ANM9G89")</f>
        <v>ISQ7F01,ANM9G89</v>
      </c>
      <c r="G6042" s="238">
        <f>IFERROR(__xludf.DUMMYFUNCTION("""COMPUTED_VALUE"""),46050.97916666667)</f>
        <v>46050.97917</v>
      </c>
      <c r="H6042" s="238">
        <f>IFERROR(__xludf.DUMMYFUNCTION("""COMPUTED_VALUE"""),46051.0625)</f>
        <v>46051.0625</v>
      </c>
      <c r="J6042" s="239">
        <v>119.99999999301508</v>
      </c>
    </row>
    <row r="6043">
      <c r="A6043" s="234"/>
      <c r="B6043" s="238" t="str">
        <f>IFERROR(__xludf.DUMMYFUNCTION("""COMPUTED_VALUE"""),"LM Hub_SP_Atibaia_Ponte_Alta")</f>
        <v>LM Hub_SP_Atibaia_Ponte_Alta</v>
      </c>
      <c r="C6043" s="238" t="str">
        <f>IFERROR(__xludf.DUMMYFUNCTION("""COMPUTED_VALUE"""),"HUB-LSP-87")</f>
        <v>HUB-LSP-87</v>
      </c>
      <c r="D6043" s="234">
        <f>IFERROR(__xludf.DUMMYFUNCTION("""COMPUTED_VALUE"""),14.0)</f>
        <v>14</v>
      </c>
      <c r="E6043" s="237" t="str">
        <f>IFERROR(__xludf.DUMMYFUNCTION("""COMPUTED_VALUE"""),"LT0Q1S01XGUS1")</f>
        <v>LT0Q1S01XGUS1</v>
      </c>
      <c r="F6043" s="238" t="str">
        <f>IFERROR(__xludf.DUMMYFUNCTION("""COMPUTED_VALUE"""),"FVE2A86,SSX3G22")</f>
        <v>FVE2A86,SSX3G22</v>
      </c>
      <c r="G6043" s="238">
        <f>IFERROR(__xludf.DUMMYFUNCTION("""COMPUTED_VALUE"""),46050.97916666667)</f>
        <v>46050.97917</v>
      </c>
      <c r="H6043" s="238">
        <f>IFERROR(__xludf.DUMMYFUNCTION("""COMPUTED_VALUE"""),46051.0625)</f>
        <v>46051.0625</v>
      </c>
      <c r="J6043" s="239">
        <v>119.00000000023283</v>
      </c>
    </row>
    <row r="6044">
      <c r="A6044" s="234"/>
      <c r="B6044" s="238" t="str">
        <f>IFERROR(__xludf.DUMMYFUNCTION("""COMPUTED_VALUE"""),"LM Hub_SP_Várzea Paulista")</f>
        <v>LM Hub_SP_Várzea Paulista</v>
      </c>
      <c r="C6044" s="238" t="str">
        <f>IFERROR(__xludf.DUMMYFUNCTION("""COMPUTED_VALUE"""),"HUB-LSP-20")</f>
        <v>HUB-LSP-20</v>
      </c>
      <c r="D6044" s="234">
        <f>IFERROR(__xludf.DUMMYFUNCTION("""COMPUTED_VALUE"""),15.0)</f>
        <v>15</v>
      </c>
      <c r="E6044" s="237" t="str">
        <f>IFERROR(__xludf.DUMMYFUNCTION("""COMPUTED_VALUE"""),"LT0Q1S01XM701")</f>
        <v>LT0Q1S01XM701</v>
      </c>
      <c r="F6044" s="238" t="str">
        <f>IFERROR(__xludf.DUMMYFUNCTION("""COMPUTED_VALUE"""),"FYQ5533")</f>
        <v>FYQ5533</v>
      </c>
      <c r="G6044" s="238">
        <f>IFERROR(__xludf.DUMMYFUNCTION("""COMPUTED_VALUE"""),46050.97986111111)</f>
        <v>46050.97986</v>
      </c>
      <c r="H6044" s="238">
        <f>IFERROR(__xludf.DUMMYFUNCTION("""COMPUTED_VALUE"""),46051.0625)</f>
        <v>46051.0625</v>
      </c>
      <c r="J6044" s="239">
        <v>119.99999999301508</v>
      </c>
    </row>
    <row r="6045">
      <c r="A6045" s="234"/>
      <c r="B6045" s="238" t="str">
        <f>IFERROR(__xludf.DUMMYFUNCTION("""COMPUTED_VALUE"""),"SoC_SP_Guarulhos")</f>
        <v>SoC_SP_Guarulhos</v>
      </c>
      <c r="C6045" s="238" t="str">
        <f>IFERROR(__xludf.DUMMYFUNCTION("""COMPUTED_VALUE"""),"SOC-SP6")</f>
        <v>SOC-SP6</v>
      </c>
      <c r="D6045" s="234">
        <f>IFERROR(__xludf.DUMMYFUNCTION("""COMPUTED_VALUE"""),49.0)</f>
        <v>49</v>
      </c>
      <c r="E6045" s="237" t="str">
        <f>IFERROR(__xludf.DUMMYFUNCTION("""COMPUTED_VALUE"""),"LT0Q1S01XEDA1")</f>
        <v>LT0Q1S01XEDA1</v>
      </c>
      <c r="F6045" s="238" t="str">
        <f>IFERROR(__xludf.DUMMYFUNCTION("""COMPUTED_VALUE"""),"DBM1F51,MDA3C82")</f>
        <v>DBM1F51,MDA3C82</v>
      </c>
      <c r="G6045" s="238">
        <f>IFERROR(__xludf.DUMMYFUNCTION("""COMPUTED_VALUE"""),46051.0)</f>
        <v>46051</v>
      </c>
      <c r="H6045" s="238">
        <f>IFERROR(__xludf.DUMMYFUNCTION("""COMPUTED_VALUE"""),46051.08333333333)</f>
        <v>46051.08333</v>
      </c>
      <c r="J6045" s="239">
        <v>119.99999999301508</v>
      </c>
    </row>
    <row r="6046">
      <c r="A6046" s="234"/>
      <c r="B6046" s="238" t="str">
        <f>IFERROR(__xludf.DUMMYFUNCTION("""COMPUTED_VALUE"""),"LM Hub_SP_Tatuí")</f>
        <v>LM Hub_SP_Tatuí</v>
      </c>
      <c r="C6046" s="238" t="str">
        <f>IFERROR(__xludf.DUMMYFUNCTION("""COMPUTED_VALUE"""),"HUB-LSP-51")</f>
        <v>HUB-LSP-51</v>
      </c>
      <c r="D6046" s="234">
        <f>IFERROR(__xludf.DUMMYFUNCTION("""COMPUTED_VALUE"""),37.0)</f>
        <v>37</v>
      </c>
      <c r="E6046" s="237" t="str">
        <f>IFERROR(__xludf.DUMMYFUNCTION("""COMPUTED_VALUE"""),"LT0Q1T01XDFJ1")</f>
        <v>LT0Q1T01XDFJ1</v>
      </c>
      <c r="F6046" s="238" t="str">
        <f>IFERROR(__xludf.DUMMYFUNCTION("""COMPUTED_VALUE"""),"GHB5H18,GDU4H95")</f>
        <v>GHB5H18,GDU4H95</v>
      </c>
      <c r="G6046" s="238">
        <f>IFERROR(__xludf.DUMMYFUNCTION("""COMPUTED_VALUE"""),46051.0)</f>
        <v>46051</v>
      </c>
      <c r="H6046" s="238">
        <f>IFERROR(__xludf.DUMMYFUNCTION("""COMPUTED_VALUE"""),46051.08333333333)</f>
        <v>46051.08333</v>
      </c>
      <c r="J6046" s="239">
        <v>119.99999999301508</v>
      </c>
    </row>
    <row r="6047">
      <c r="A6047" s="234"/>
      <c r="B6047" s="238" t="str">
        <f>IFERROR(__xludf.DUMMYFUNCTION("""COMPUTED_VALUE"""),"LM Hub_RJ_Ilha do Governador")</f>
        <v>LM Hub_RJ_Ilha do Governador</v>
      </c>
      <c r="C6047" s="238" t="str">
        <f>IFERROR(__xludf.DUMMYFUNCTION("""COMPUTED_VALUE"""),"HUB-LRJ-32")</f>
        <v>HUB-LRJ-32</v>
      </c>
      <c r="D6047" s="234">
        <f>IFERROR(__xludf.DUMMYFUNCTION("""COMPUTED_VALUE"""),111.0)</f>
        <v>111</v>
      </c>
      <c r="E6047" s="237" t="str">
        <f>IFERROR(__xludf.DUMMYFUNCTION("""COMPUTED_VALUE"""),"LT0Q1T01XIN91")</f>
        <v>LT0Q1T01XIN91</v>
      </c>
      <c r="F6047" s="238" t="str">
        <f>IFERROR(__xludf.DUMMYFUNCTION("""COMPUTED_VALUE"""),"QHK5J11")</f>
        <v>QHK5J11</v>
      </c>
      <c r="G6047" s="238">
        <f>IFERROR(__xludf.DUMMYFUNCTION("""COMPUTED_VALUE"""),46051.0)</f>
        <v>46051</v>
      </c>
      <c r="H6047" s="238">
        <f>IFERROR(__xludf.DUMMYFUNCTION("""COMPUTED_VALUE"""),46051.08333333333)</f>
        <v>46051.08333</v>
      </c>
      <c r="J6047" s="239">
        <v>120.00000001396984</v>
      </c>
    </row>
    <row r="6048">
      <c r="A6048" s="234"/>
      <c r="B6048" s="238" t="str">
        <f>IFERROR(__xludf.DUMMYFUNCTION("""COMPUTED_VALUE"""),"LM Hub_MG_Varginha_Fausto")</f>
        <v>LM Hub_MG_Varginha_Fausto</v>
      </c>
      <c r="C6048" s="238" t="str">
        <f>IFERROR(__xludf.DUMMYFUNCTION("""COMPUTED_VALUE"""),"HUB-LMG-45")</f>
        <v>HUB-LMG-45</v>
      </c>
      <c r="D6048" s="234"/>
      <c r="E6048" s="237" t="str">
        <f>IFERROR(__xludf.DUMMYFUNCTION("""COMPUTED_VALUE"""),"LT0Q1T01XI371")</f>
        <v>LT0Q1T01XI371</v>
      </c>
      <c r="F6048" s="238" t="str">
        <f>IFERROR(__xludf.DUMMYFUNCTION("""COMPUTED_VALUE"""),"GGT7B46")</f>
        <v>GGT7B46</v>
      </c>
      <c r="G6048" s="238">
        <f>IFERROR(__xludf.DUMMYFUNCTION("""COMPUTED_VALUE"""),46051.02083333333)</f>
        <v>46051.02083</v>
      </c>
      <c r="H6048" s="238">
        <f>IFERROR(__xludf.DUMMYFUNCTION("""COMPUTED_VALUE"""),46051.10416666667)</f>
        <v>46051.10417</v>
      </c>
      <c r="J6048" s="239">
        <v>540.0</v>
      </c>
    </row>
    <row r="6049">
      <c r="A6049" s="234"/>
      <c r="B6049" s="238" t="str">
        <f>IFERROR(__xludf.DUMMYFUNCTION("""COMPUTED_VALUE"""),"SoC_RJ_Duque de Caxias")</f>
        <v>SoC_RJ_Duque de Caxias</v>
      </c>
      <c r="C6049" s="238" t="str">
        <f>IFERROR(__xludf.DUMMYFUNCTION("""COMPUTED_VALUE"""),"SOC-RJ2")</f>
        <v>SOC-RJ2</v>
      </c>
      <c r="D6049" s="234">
        <f>IFERROR(__xludf.DUMMYFUNCTION("""COMPUTED_VALUE"""),97.0)</f>
        <v>97</v>
      </c>
      <c r="E6049" s="237" t="str">
        <f>IFERROR(__xludf.DUMMYFUNCTION("""COMPUTED_VALUE"""),"LT0Q1S01XF942")</f>
        <v>LT0Q1S01XF942</v>
      </c>
      <c r="F6049" s="238" t="str">
        <f>IFERROR(__xludf.DUMMYFUNCTION("""COMPUTED_VALUE"""),"HMK0A79,MKO6E49")</f>
        <v>HMK0A79,MKO6E49</v>
      </c>
      <c r="G6049" s="238">
        <f>IFERROR(__xludf.DUMMYFUNCTION("""COMPUTED_VALUE"""),46050.75)</f>
        <v>46050.75</v>
      </c>
      <c r="H6049" s="238">
        <f>IFERROR(__xludf.DUMMYFUNCTION("""COMPUTED_VALUE"""),46051.125)</f>
        <v>46051.125</v>
      </c>
      <c r="J6049" s="239">
        <v>540.0</v>
      </c>
    </row>
    <row r="6050">
      <c r="A6050" s="234"/>
      <c r="B6050" s="238" t="str">
        <f>IFERROR(__xludf.DUMMYFUNCTION("""COMPUTED_VALUE"""),"SoC_RJ_Duque de Caxias")</f>
        <v>SoC_RJ_Duque de Caxias</v>
      </c>
      <c r="C6050" s="238" t="str">
        <f>IFERROR(__xludf.DUMMYFUNCTION("""COMPUTED_VALUE"""),"SOC-RJ2")</f>
        <v>SOC-RJ2</v>
      </c>
      <c r="D6050" s="234">
        <f>IFERROR(__xludf.DUMMYFUNCTION("""COMPUTED_VALUE"""),96.0)</f>
        <v>96</v>
      </c>
      <c r="E6050" s="237" t="str">
        <f>IFERROR(__xludf.DUMMYFUNCTION("""COMPUTED_VALUE"""),"LT0Q1S01XF963")</f>
        <v>LT0Q1S01XF963</v>
      </c>
      <c r="F6050" s="238" t="str">
        <f>IFERROR(__xludf.DUMMYFUNCTION("""COMPUTED_VALUE"""),"HBF0565,EOE8420")</f>
        <v>HBF0565,EOE8420</v>
      </c>
      <c r="G6050" s="238">
        <f>IFERROR(__xludf.DUMMYFUNCTION("""COMPUTED_VALUE"""),46050.75)</f>
        <v>46050.75</v>
      </c>
      <c r="H6050" s="238">
        <f>IFERROR(__xludf.DUMMYFUNCTION("""COMPUTED_VALUE"""),46051.125)</f>
        <v>46051.125</v>
      </c>
      <c r="J6050" s="239">
        <v>119.99999999301508</v>
      </c>
    </row>
    <row r="6051">
      <c r="A6051" s="234"/>
      <c r="B6051" s="238" t="str">
        <f>IFERROR(__xludf.DUMMYFUNCTION("""COMPUTED_VALUE"""),"SoC_SP_Louveira")</f>
        <v>SoC_SP_Louveira</v>
      </c>
      <c r="C6051" s="238" t="str">
        <f>IFERROR(__xludf.DUMMYFUNCTION("""COMPUTED_VALUE"""),"SOC-SP7")</f>
        <v>SOC-SP7</v>
      </c>
      <c r="D6051" s="234">
        <f>IFERROR(__xludf.DUMMYFUNCTION("""COMPUTED_VALUE"""),39.0)</f>
        <v>39</v>
      </c>
      <c r="E6051" s="237" t="str">
        <f>IFERROR(__xludf.DUMMYFUNCTION("""COMPUTED_VALUE"""),"LT0Q1T01XDCV1")</f>
        <v>LT0Q1T01XDCV1</v>
      </c>
      <c r="F6051" s="238" t="str">
        <f>IFERROR(__xludf.DUMMYFUNCTION("""COMPUTED_VALUE"""),"GHH2J56,FCB5G85")</f>
        <v>GHH2J56,FCB5G85</v>
      </c>
      <c r="G6051" s="238">
        <f>IFERROR(__xludf.DUMMYFUNCTION("""COMPUTED_VALUE"""),46051.04166666667)</f>
        <v>46051.04167</v>
      </c>
      <c r="H6051" s="238">
        <f>IFERROR(__xludf.DUMMYFUNCTION("""COMPUTED_VALUE"""),46051.125)</f>
        <v>46051.125</v>
      </c>
      <c r="J6051" s="239">
        <v>540.0</v>
      </c>
    </row>
    <row r="6052">
      <c r="A6052" s="234"/>
      <c r="B6052" s="238" t="str">
        <f>IFERROR(__xludf.DUMMYFUNCTION("""COMPUTED_VALUE"""),"SoC_MG_Betim")</f>
        <v>SoC_MG_Betim</v>
      </c>
      <c r="C6052" s="238" t="str">
        <f>IFERROR(__xludf.DUMMYFUNCTION("""COMPUTED_VALUE"""),"SOC-MG2")</f>
        <v>SOC-MG2</v>
      </c>
      <c r="D6052" s="234">
        <f>IFERROR(__xludf.DUMMYFUNCTION("""COMPUTED_VALUE"""),91.0)</f>
        <v>91</v>
      </c>
      <c r="E6052" s="237" t="str">
        <f>IFERROR(__xludf.DUMMYFUNCTION("""COMPUTED_VALUE"""),"LT0Q1S01XDA32")</f>
        <v>LT0Q1S01XDA32</v>
      </c>
      <c r="F6052" s="238" t="str">
        <f>IFERROR(__xludf.DUMMYFUNCTION("""COMPUTED_VALUE"""),"SWG2G22,EDH7D24")</f>
        <v>SWG2G22,EDH7D24</v>
      </c>
      <c r="G6052" s="238">
        <f>IFERROR(__xludf.DUMMYFUNCTION("""COMPUTED_VALUE"""),46050.79166666667)</f>
        <v>46050.79167</v>
      </c>
      <c r="H6052" s="238">
        <f>IFERROR(__xludf.DUMMYFUNCTION("""COMPUTED_VALUE"""),46051.16666666667)</f>
        <v>46051.16667</v>
      </c>
      <c r="J6052" s="239">
        <v>540.0</v>
      </c>
    </row>
    <row r="6053">
      <c r="A6053" s="234"/>
      <c r="B6053" s="238" t="str">
        <f>IFERROR(__xludf.DUMMYFUNCTION("""COMPUTED_VALUE"""),"SoC_PR_Curitiba")</f>
        <v>SoC_PR_Curitiba</v>
      </c>
      <c r="C6053" s="238" t="str">
        <f>IFERROR(__xludf.DUMMYFUNCTION("""COMPUTED_VALUE"""),"SOC-PR1")</f>
        <v>SOC-PR1</v>
      </c>
      <c r="D6053" s="234">
        <f>IFERROR(__xludf.DUMMYFUNCTION("""COMPUTED_VALUE"""),43.0)</f>
        <v>43</v>
      </c>
      <c r="E6053" s="237" t="str">
        <f>IFERROR(__xludf.DUMMYFUNCTION("""COMPUTED_VALUE"""),"LT0Q1S01XDBI1")</f>
        <v>LT0Q1S01XDBI1</v>
      </c>
      <c r="F6053" s="238" t="str">
        <f>IFERROR(__xludf.DUMMYFUNCTION("""COMPUTED_VALUE"""),"BEX8B07,SDS9C87")</f>
        <v>BEX8B07,SDS9C87</v>
      </c>
      <c r="G6053" s="238">
        <f>IFERROR(__xludf.DUMMYFUNCTION("""COMPUTED_VALUE"""),46050.79166666667)</f>
        <v>46050.79167</v>
      </c>
      <c r="H6053" s="238">
        <f>IFERROR(__xludf.DUMMYFUNCTION("""COMPUTED_VALUE"""),46051.16666666667)</f>
        <v>46051.16667</v>
      </c>
      <c r="J6053" s="239">
        <v>540.0</v>
      </c>
    </row>
    <row r="6054">
      <c r="A6054" s="234"/>
      <c r="B6054" s="238" t="str">
        <f>IFERROR(__xludf.DUMMYFUNCTION("""COMPUTED_VALUE"""),"SoC_RJ_Duque de Caxias")</f>
        <v>SoC_RJ_Duque de Caxias</v>
      </c>
      <c r="C6054" s="238" t="str">
        <f>IFERROR(__xludf.DUMMYFUNCTION("""COMPUTED_VALUE"""),"SOC-RJ2")</f>
        <v>SOC-RJ2</v>
      </c>
      <c r="D6054" s="234" t="str">
        <f>IFERROR(__xludf.DUMMYFUNCTION("""COMPUTED_VALUE"""),"97/27")</f>
        <v>97/27</v>
      </c>
      <c r="E6054" s="237" t="str">
        <f>IFERROR(__xludf.DUMMYFUNCTION("""COMPUTED_VALUE"""),"LT0Q1S01XF921")</f>
        <v>LT0Q1S01XF921</v>
      </c>
      <c r="F6054" s="238" t="str">
        <f>IFERROR(__xludf.DUMMYFUNCTION("""COMPUTED_VALUE"""),"MKG9D89,EQM4D52")</f>
        <v>MKG9D89,EQM4D52</v>
      </c>
      <c r="G6054" s="238">
        <f>IFERROR(__xludf.DUMMYFUNCTION("""COMPUTED_VALUE"""),46050.79166666667)</f>
        <v>46050.79167</v>
      </c>
      <c r="H6054" s="238">
        <f>IFERROR(__xludf.DUMMYFUNCTION("""COMPUTED_VALUE"""),46051.16666666667)</f>
        <v>46051.16667</v>
      </c>
      <c r="J6054" s="239">
        <v>540.0</v>
      </c>
    </row>
    <row r="6055">
      <c r="A6055" s="234"/>
      <c r="B6055" s="238" t="str">
        <f>IFERROR(__xludf.DUMMYFUNCTION("""COMPUTED_VALUE"""),"SoC_RJ_Duque de Caxias")</f>
        <v>SoC_RJ_Duque de Caxias</v>
      </c>
      <c r="C6055" s="238" t="str">
        <f>IFERROR(__xludf.DUMMYFUNCTION("""COMPUTED_VALUE"""),"SOC-RJ2")</f>
        <v>SOC-RJ2</v>
      </c>
      <c r="D6055" s="234" t="str">
        <f>IFERROR(__xludf.DUMMYFUNCTION("""COMPUTED_VALUE"""),"97/28")</f>
        <v>97/28</v>
      </c>
      <c r="E6055" s="237" t="str">
        <f>IFERROR(__xludf.DUMMYFUNCTION("""COMPUTED_VALUE"""),"LT0Q1S01XF984")</f>
        <v>LT0Q1S01XF984</v>
      </c>
      <c r="F6055" s="238" t="str">
        <f>IFERROR(__xludf.DUMMYFUNCTION("""COMPUTED_VALUE"""),"BBR6A51,GGJ5D61")</f>
        <v>BBR6A51,GGJ5D61</v>
      </c>
      <c r="G6055" s="238">
        <f>IFERROR(__xludf.DUMMYFUNCTION("""COMPUTED_VALUE"""),46050.79166666667)</f>
        <v>46050.79167</v>
      </c>
      <c r="H6055" s="238">
        <f>IFERROR(__xludf.DUMMYFUNCTION("""COMPUTED_VALUE"""),46051.16666666667)</f>
        <v>46051.16667</v>
      </c>
      <c r="J6055" s="239">
        <v>540.0</v>
      </c>
    </row>
    <row r="6056">
      <c r="A6056" s="234"/>
      <c r="B6056" s="238" t="str">
        <f>IFERROR(__xludf.DUMMYFUNCTION("""COMPUTED_VALUE"""),"SoC_RJ_Duque de Caxias")</f>
        <v>SoC_RJ_Duque de Caxias</v>
      </c>
      <c r="C6056" s="238" t="str">
        <f>IFERROR(__xludf.DUMMYFUNCTION("""COMPUTED_VALUE"""),"SOC-RJ2")</f>
        <v>SOC-RJ2</v>
      </c>
      <c r="D6056" s="234">
        <f>IFERROR(__xludf.DUMMYFUNCTION("""COMPUTED_VALUE"""),96.0)</f>
        <v>96</v>
      </c>
      <c r="E6056" s="237" t="str">
        <f>IFERROR(__xludf.DUMMYFUNCTION("""COMPUTED_VALUE"""),"LT0Q1S01XF9A5")</f>
        <v>LT0Q1S01XF9A5</v>
      </c>
      <c r="F6056" s="238" t="str">
        <f>IFERROR(__xludf.DUMMYFUNCTION("""COMPUTED_VALUE"""),"FST5E90,ITS0A71")</f>
        <v>FST5E90,ITS0A71</v>
      </c>
      <c r="G6056" s="238">
        <f>IFERROR(__xludf.DUMMYFUNCTION("""COMPUTED_VALUE"""),46050.79166666667)</f>
        <v>46050.79167</v>
      </c>
      <c r="H6056" s="238">
        <f>IFERROR(__xludf.DUMMYFUNCTION("""COMPUTED_VALUE"""),46051.16666666667)</f>
        <v>46051.16667</v>
      </c>
      <c r="J6056" s="239" t="e">
        <v>#VALUE!</v>
      </c>
    </row>
    <row r="6057">
      <c r="A6057" s="234"/>
      <c r="B6057" s="238" t="str">
        <f>IFERROR(__xludf.DUMMYFUNCTION("""COMPUTED_VALUE"""),"Fanout Desconhecido")</f>
        <v>Fanout Desconhecido</v>
      </c>
      <c r="C6057" s="238" t="str">
        <f>IFERROR(__xludf.DUMMYFUNCTION("""COMPUTED_VALUE"""),"-")</f>
        <v>-</v>
      </c>
      <c r="D6057" s="234">
        <f>IFERROR(__xludf.DUMMYFUNCTION("""COMPUTED_VALUE"""),101.0)</f>
        <v>101</v>
      </c>
      <c r="E6057" s="237" t="str">
        <f>IFERROR(__xludf.DUMMYFUNCTION("""COMPUTED_VALUE"""),"LT0Q1S01XHHS1")</f>
        <v>LT0Q1S01XHHS1</v>
      </c>
      <c r="F6057" s="238" t="str">
        <f>IFERROR(__xludf.DUMMYFUNCTION("""COMPUTED_VALUE"""),"-")</f>
        <v>-</v>
      </c>
      <c r="G6057" s="238" t="str">
        <f>IFERROR(__xludf.DUMMYFUNCTION("""COMPUTED_VALUE"""),"-")</f>
        <v>-</v>
      </c>
      <c r="H6057" s="238" t="str">
        <f>IFERROR(__xludf.DUMMYFUNCTION("""COMPUTED_VALUE"""),"-")</f>
        <v>-</v>
      </c>
      <c r="J6057" s="239">
        <v>119.99999999301508</v>
      </c>
    </row>
    <row r="6058">
      <c r="A6058" s="234"/>
      <c r="B6058" s="238" t="str">
        <f>IFERROR(__xludf.DUMMYFUNCTION("""COMPUTED_VALUE"""),"LM Hub_SP_Itapetininga")</f>
        <v>LM Hub_SP_Itapetininga</v>
      </c>
      <c r="C6058" s="238" t="str">
        <f>IFERROR(__xludf.DUMMYFUNCTION("""COMPUTED_VALUE"""),"HUB-LSP-53")</f>
        <v>HUB-LSP-53</v>
      </c>
      <c r="D6058" s="234">
        <f>IFERROR(__xludf.DUMMYFUNCTION("""COMPUTED_VALUE"""),14.0)</f>
        <v>14</v>
      </c>
      <c r="E6058" s="237" t="str">
        <f>IFERROR(__xludf.DUMMYFUNCTION("""COMPUTED_VALUE"""),"LT0Q1T01XDFE1")</f>
        <v>LT0Q1T01XDFE1</v>
      </c>
      <c r="F6058" s="238" t="str">
        <f>IFERROR(__xludf.DUMMYFUNCTION("""COMPUTED_VALUE"""),"FZY3F48")</f>
        <v>FZY3F48</v>
      </c>
      <c r="G6058" s="238">
        <f>IFERROR(__xludf.DUMMYFUNCTION("""COMPUTED_VALUE"""),46051.10416666667)</f>
        <v>46051.10417</v>
      </c>
      <c r="H6058" s="238">
        <f>IFERROR(__xludf.DUMMYFUNCTION("""COMPUTED_VALUE"""),46051.1875)</f>
        <v>46051.1875</v>
      </c>
      <c r="J6058" s="239">
        <v>119.99999999301508</v>
      </c>
    </row>
    <row r="6059">
      <c r="A6059" s="234"/>
      <c r="B6059" s="238" t="str">
        <f>IFERROR(__xludf.DUMMYFUNCTION("""COMPUTED_VALUE"""),"LM Hub_SP_São Carlos")</f>
        <v>LM Hub_SP_São Carlos</v>
      </c>
      <c r="C6059" s="238" t="str">
        <f>IFERROR(__xludf.DUMMYFUNCTION("""COMPUTED_VALUE"""),"HUB-LSP-31")</f>
        <v>HUB-LSP-31</v>
      </c>
      <c r="D6059" s="234">
        <f>IFERROR(__xludf.DUMMYFUNCTION("""COMPUTED_VALUE"""),32.0)</f>
        <v>32</v>
      </c>
      <c r="E6059" s="237" t="str">
        <f>IFERROR(__xludf.DUMMYFUNCTION("""COMPUTED_VALUE"""),"LT0Q1T01XDHX1")</f>
        <v>LT0Q1T01XDHX1</v>
      </c>
      <c r="F6059" s="238" t="str">
        <f>IFERROR(__xludf.DUMMYFUNCTION("""COMPUTED_VALUE"""),"DQB3984")</f>
        <v>DQB3984</v>
      </c>
      <c r="G6059" s="238">
        <f>IFERROR(__xludf.DUMMYFUNCTION("""COMPUTED_VALUE"""),46051.10416666667)</f>
        <v>46051.10417</v>
      </c>
      <c r="H6059" s="238">
        <f>IFERROR(__xludf.DUMMYFUNCTION("""COMPUTED_VALUE"""),46051.1875)</f>
        <v>46051.1875</v>
      </c>
      <c r="J6059" s="239">
        <v>540.0</v>
      </c>
    </row>
    <row r="6060">
      <c r="A6060" s="234"/>
      <c r="B6060" s="238" t="str">
        <f>IFERROR(__xludf.DUMMYFUNCTION("""COMPUTED_VALUE"""),"SoC_BA_Simoes Filho")</f>
        <v>SoC_BA_Simoes Filho</v>
      </c>
      <c r="C6060" s="238" t="str">
        <f>IFERROR(__xludf.DUMMYFUNCTION("""COMPUTED_VALUE"""),"SOC-BA2")</f>
        <v>SOC-BA2</v>
      </c>
      <c r="D6060" s="234">
        <f>IFERROR(__xludf.DUMMYFUNCTION("""COMPUTED_VALUE"""),88.0)</f>
        <v>88</v>
      </c>
      <c r="E6060" s="237" t="str">
        <f>IFERROR(__xludf.DUMMYFUNCTION("""COMPUTED_VALUE"""),"LT0Q1S01XIFF2")</f>
        <v>LT0Q1S01XIFF2</v>
      </c>
      <c r="F6060" s="238" t="str">
        <f>IFERROR(__xludf.DUMMYFUNCTION("""COMPUTED_VALUE"""),"HJF7423,FFN4G60")</f>
        <v>HJF7423,FFN4G60</v>
      </c>
      <c r="G6060" s="238">
        <f>IFERROR(__xludf.DUMMYFUNCTION("""COMPUTED_VALUE"""),46050.83333333333)</f>
        <v>46050.83333</v>
      </c>
      <c r="H6060" s="238">
        <f>IFERROR(__xludf.DUMMYFUNCTION("""COMPUTED_VALUE"""),46051.20833333333)</f>
        <v>46051.20833</v>
      </c>
      <c r="J6060" s="239" t="e">
        <v>#VALUE!</v>
      </c>
    </row>
    <row r="6061">
      <c r="A6061" s="234"/>
      <c r="B6061" s="238" t="str">
        <f>IFERROR(__xludf.DUMMYFUNCTION("""COMPUTED_VALUE"""),"Fanout Desconhecido")</f>
        <v>Fanout Desconhecido</v>
      </c>
      <c r="C6061" s="238" t="str">
        <f>IFERROR(__xludf.DUMMYFUNCTION("""COMPUTED_VALUE"""),"-")</f>
        <v>-</v>
      </c>
      <c r="D6061" s="234">
        <f>IFERROR(__xludf.DUMMYFUNCTION("""COMPUTED_VALUE"""),100.0)</f>
        <v>100</v>
      </c>
      <c r="E6061" s="237" t="str">
        <f>IFERROR(__xludf.DUMMYFUNCTION("""COMPUTED_VALUE"""),"LT0Q1S01XHI32")</f>
        <v>LT0Q1S01XHI32</v>
      </c>
      <c r="F6061" s="238" t="str">
        <f>IFERROR(__xludf.DUMMYFUNCTION("""COMPUTED_VALUE"""),"-")</f>
        <v>-</v>
      </c>
      <c r="G6061" s="238" t="str">
        <f>IFERROR(__xludf.DUMMYFUNCTION("""COMPUTED_VALUE"""),"-")</f>
        <v>-</v>
      </c>
      <c r="H6061" s="238" t="str">
        <f>IFERROR(__xludf.DUMMYFUNCTION("""COMPUTED_VALUE"""),"-")</f>
        <v>-</v>
      </c>
      <c r="J6061" s="239" t="e">
        <v>#VALUE!</v>
      </c>
    </row>
    <row r="6062">
      <c r="A6062" s="234"/>
      <c r="B6062" s="238" t="str">
        <f>IFERROR(__xludf.DUMMYFUNCTION("""COMPUTED_VALUE"""),"Fanout Desconhecido")</f>
        <v>Fanout Desconhecido</v>
      </c>
      <c r="C6062" s="238" t="str">
        <f>IFERROR(__xludf.DUMMYFUNCTION("""COMPUTED_VALUE"""),"-")</f>
        <v>-</v>
      </c>
      <c r="D6062" s="234">
        <f>IFERROR(__xludf.DUMMYFUNCTION("""COMPUTED_VALUE"""),87.0)</f>
        <v>87</v>
      </c>
      <c r="E6062" s="237" t="str">
        <f>IFERROR(__xludf.DUMMYFUNCTION("""COMPUTED_VALUE"""),"LT0Q1S01XIR13")</f>
        <v>LT0Q1S01XIR13</v>
      </c>
      <c r="F6062" s="238" t="str">
        <f>IFERROR(__xludf.DUMMYFUNCTION("""COMPUTED_VALUE"""),"-")</f>
        <v>-</v>
      </c>
      <c r="G6062" s="238" t="str">
        <f>IFERROR(__xludf.DUMMYFUNCTION("""COMPUTED_VALUE"""),"-")</f>
        <v>-</v>
      </c>
      <c r="H6062" s="238" t="str">
        <f>IFERROR(__xludf.DUMMYFUNCTION("""COMPUTED_VALUE"""),"-")</f>
        <v>-</v>
      </c>
      <c r="J6062" s="239">
        <v>538.9999999967404</v>
      </c>
    </row>
    <row r="6063">
      <c r="A6063" s="234"/>
      <c r="B6063" s="238" t="str">
        <f>IFERROR(__xludf.DUMMYFUNCTION("""COMPUTED_VALUE"""),"SoC_GO_Goiânia_02")</f>
        <v>SoC_GO_Goiânia_02</v>
      </c>
      <c r="C6063" s="238" t="str">
        <f>IFERROR(__xludf.DUMMYFUNCTION("""COMPUTED_VALUE"""),"SOC-GO2")</f>
        <v>SOC-GO2</v>
      </c>
      <c r="D6063" s="234"/>
      <c r="E6063" s="237" t="str">
        <f>IFERROR(__xludf.DUMMYFUNCTION("""COMPUTED_VALUE"""),"LT0Q1S01XIR34")</f>
        <v>LT0Q1S01XIR34</v>
      </c>
      <c r="F6063" s="238" t="str">
        <f>IFERROR(__xludf.DUMMYFUNCTION("""COMPUTED_VALUE"""),"NKN1C71,IUN3I21")</f>
        <v>NKN1C71,IUN3I21</v>
      </c>
      <c r="G6063" s="238">
        <f>IFERROR(__xludf.DUMMYFUNCTION("""COMPUTED_VALUE"""),46050.834027777775)</f>
        <v>46050.83403</v>
      </c>
      <c r="H6063" s="238">
        <f>IFERROR(__xludf.DUMMYFUNCTION("""COMPUTED_VALUE"""),46051.20833333333)</f>
        <v>46051.20833</v>
      </c>
      <c r="J6063" s="239">
        <v>537.9999999934807</v>
      </c>
    </row>
    <row r="6064">
      <c r="A6064" s="234"/>
      <c r="B6064" s="238" t="str">
        <f>IFERROR(__xludf.DUMMYFUNCTION("""COMPUTED_VALUE"""),"SoC_RS_Gravataí_02")</f>
        <v>SoC_RS_Gravataí_02</v>
      </c>
      <c r="C6064" s="238" t="str">
        <f>IFERROR(__xludf.DUMMYFUNCTION("""COMPUTED_VALUE"""),"SOC-RS2")</f>
        <v>SOC-RS2</v>
      </c>
      <c r="D6064" s="234">
        <f>IFERROR(__xludf.DUMMYFUNCTION("""COMPUTED_VALUE"""),93.0)</f>
        <v>93</v>
      </c>
      <c r="E6064" s="237" t="str">
        <f>IFERROR(__xludf.DUMMYFUNCTION("""COMPUTED_VALUE"""),"LT0Q1S01XISZ2")</f>
        <v>LT0Q1S01XISZ2</v>
      </c>
      <c r="F6064" s="238" t="str">
        <f>IFERROR(__xludf.DUMMYFUNCTION("""COMPUTED_VALUE"""),"FZR1E14,CUA9E36")</f>
        <v>FZR1E14,CUA9E36</v>
      </c>
      <c r="G6064" s="238">
        <f>IFERROR(__xludf.DUMMYFUNCTION("""COMPUTED_VALUE"""),46050.83472222222)</f>
        <v>46050.83472</v>
      </c>
      <c r="H6064" s="238">
        <f>IFERROR(__xludf.DUMMYFUNCTION("""COMPUTED_VALUE"""),46051.20833333333)</f>
        <v>46051.20833</v>
      </c>
      <c r="J6064" s="239">
        <v>540.0</v>
      </c>
    </row>
    <row r="6065">
      <c r="A6065" s="234"/>
      <c r="B6065" s="238" t="str">
        <f>IFERROR(__xludf.DUMMYFUNCTION("""COMPUTED_VALUE"""),"SoC_GO_Goiânia_02")</f>
        <v>SoC_GO_Goiânia_02</v>
      </c>
      <c r="C6065" s="238" t="str">
        <f>IFERROR(__xludf.DUMMYFUNCTION("""COMPUTED_VALUE"""),"SOC-GO2")</f>
        <v>SOC-GO2</v>
      </c>
      <c r="D6065" s="234">
        <f>IFERROR(__xludf.DUMMYFUNCTION("""COMPUTED_VALUE"""),86.0)</f>
        <v>86</v>
      </c>
      <c r="E6065" s="237" t="str">
        <f>IFERROR(__xludf.DUMMYFUNCTION("""COMPUTED_VALUE"""),"LT0Q1S01XIQM3")</f>
        <v>LT0Q1S01XIQM3</v>
      </c>
      <c r="F6065" s="238" t="str">
        <f>IFERROR(__xludf.DUMMYFUNCTION("""COMPUTED_VALUE"""),"PRD1932,PRI3838")</f>
        <v>PRD1932,PRI3838</v>
      </c>
      <c r="G6065" s="238">
        <f>IFERROR(__xludf.DUMMYFUNCTION("""COMPUTED_VALUE"""),46050.79166666667)</f>
        <v>46050.79167</v>
      </c>
      <c r="H6065" s="238">
        <f>IFERROR(__xludf.DUMMYFUNCTION("""COMPUTED_VALUE"""),46051.16666666667)</f>
        <v>46051.16667</v>
      </c>
      <c r="J6065" s="239" t="e">
        <v>#VALUE!</v>
      </c>
    </row>
    <row r="6066">
      <c r="A6066" s="234"/>
      <c r="B6066" s="238" t="str">
        <f>IFERROR(__xludf.DUMMYFUNCTION("""COMPUTED_VALUE"""),"Fanout Desconhecido")</f>
        <v>Fanout Desconhecido</v>
      </c>
      <c r="C6066" s="238" t="str">
        <f>IFERROR(__xludf.DUMMYFUNCTION("""COMPUTED_VALUE"""),"-")</f>
        <v>-</v>
      </c>
      <c r="D6066" s="234" t="str">
        <f>IFERROR(__xludf.DUMMYFUNCTION("""COMPUTED_VALUE"""),"92/05")</f>
        <v>92/05</v>
      </c>
      <c r="E6066" s="237" t="str">
        <f>IFERROR(__xludf.DUMMYFUNCTION("""COMPUTED_VALUE"""),"LT0Q1S01XISO2")</f>
        <v>LT0Q1S01XISO2</v>
      </c>
      <c r="F6066" s="238" t="str">
        <f>IFERROR(__xludf.DUMMYFUNCTION("""COMPUTED_VALUE"""),"-")</f>
        <v>-</v>
      </c>
      <c r="G6066" s="238" t="str">
        <f>IFERROR(__xludf.DUMMYFUNCTION("""COMPUTED_VALUE"""),"-")</f>
        <v>-</v>
      </c>
      <c r="H6066" s="238" t="str">
        <f>IFERROR(__xludf.DUMMYFUNCTION("""COMPUTED_VALUE"""),"-")</f>
        <v>-</v>
      </c>
      <c r="J6066" s="239">
        <v>540.0</v>
      </c>
    </row>
    <row r="6067">
      <c r="A6067" s="234"/>
      <c r="B6067" s="238" t="str">
        <f>IFERROR(__xludf.DUMMYFUNCTION("""COMPUTED_VALUE"""),"SoC_SP_Cravinhos")</f>
        <v>SoC_SP_Cravinhos</v>
      </c>
      <c r="C6067" s="238" t="str">
        <f>IFERROR(__xludf.DUMMYFUNCTION("""COMPUTED_VALUE"""),"SOC-SP5")</f>
        <v>SOC-SP5</v>
      </c>
      <c r="D6067" s="234">
        <f>IFERROR(__xludf.DUMMYFUNCTION("""COMPUTED_VALUE"""),94.0)</f>
        <v>94</v>
      </c>
      <c r="E6067" s="237" t="str">
        <f>IFERROR(__xludf.DUMMYFUNCTION("""COMPUTED_VALUE"""),"LT0Q1S01XM5J1")</f>
        <v>LT0Q1S01XM5J1</v>
      </c>
      <c r="F6067" s="238" t="str">
        <f>IFERROR(__xludf.DUMMYFUNCTION("""COMPUTED_VALUE"""),"AQT0E76,EJY3D08")</f>
        <v>AQT0E76,EJY3D08</v>
      </c>
      <c r="G6067" s="238">
        <f>IFERROR(__xludf.DUMMYFUNCTION("""COMPUTED_VALUE"""),46050.79166666667)</f>
        <v>46050.79167</v>
      </c>
      <c r="H6067" s="238">
        <f>IFERROR(__xludf.DUMMYFUNCTION("""COMPUTED_VALUE"""),46051.16666666667)</f>
        <v>46051.16667</v>
      </c>
      <c r="J6067" s="239">
        <v>536.9999999902211</v>
      </c>
    </row>
    <row r="6068">
      <c r="A6068" s="234"/>
      <c r="B6068" s="238" t="str">
        <f>IFERROR(__xludf.DUMMYFUNCTION("""COMPUTED_VALUE"""),"SoC_PE_Jaboatão dos Guararapes")</f>
        <v>SoC_PE_Jaboatão dos Guararapes</v>
      </c>
      <c r="C6068" s="238" t="str">
        <f>IFERROR(__xludf.DUMMYFUNCTION("""COMPUTED_VALUE"""),"SOC-PE2")</f>
        <v>SOC-PE2</v>
      </c>
      <c r="D6068" s="234"/>
      <c r="E6068" s="237" t="str">
        <f>IFERROR(__xludf.DUMMYFUNCTION("""COMPUTED_VALUE"""),"LT0Q1S01XICG1")</f>
        <v>LT0Q1S01XICG1</v>
      </c>
      <c r="F6068" s="238" t="str">
        <f>IFERROR(__xludf.DUMMYFUNCTION("""COMPUTED_VALUE"""),"TPN1B67,TPQ3F40")</f>
        <v>TPN1B67,TPQ3F40</v>
      </c>
      <c r="G6068" s="238">
        <f>IFERROR(__xludf.DUMMYFUNCTION("""COMPUTED_VALUE"""),46050.83541666667)</f>
        <v>46050.83542</v>
      </c>
      <c r="H6068" s="238">
        <f>IFERROR(__xludf.DUMMYFUNCTION("""COMPUTED_VALUE"""),46051.20833333333)</f>
        <v>46051.20833</v>
      </c>
      <c r="J6068" s="239">
        <v>535.9999999869615</v>
      </c>
    </row>
    <row r="6069">
      <c r="A6069" s="234"/>
      <c r="B6069" s="238" t="str">
        <f>IFERROR(__xludf.DUMMYFUNCTION("""COMPUTED_VALUE"""),"SoC_MG_Betim")</f>
        <v>SoC_MG_Betim</v>
      </c>
      <c r="C6069" s="238" t="str">
        <f>IFERROR(__xludf.DUMMYFUNCTION("""COMPUTED_VALUE"""),"SOC-MG2")</f>
        <v>SOC-MG2</v>
      </c>
      <c r="D6069" s="234" t="str">
        <f>IFERROR(__xludf.DUMMYFUNCTION("""COMPUTED_VALUE"""),"90/15")</f>
        <v>90/15</v>
      </c>
      <c r="E6069" s="237" t="str">
        <f>IFERROR(__xludf.DUMMYFUNCTION("""COMPUTED_VALUE"""),"LT0Q1S01XDAS3")</f>
        <v>LT0Q1S01XDAS3</v>
      </c>
      <c r="F6069" s="238" t="str">
        <f>IFERROR(__xludf.DUMMYFUNCTION("""COMPUTED_VALUE"""),"SWX3E45,DVS4J05")</f>
        <v>SWX3E45,DVS4J05</v>
      </c>
      <c r="G6069" s="238">
        <f>IFERROR(__xludf.DUMMYFUNCTION("""COMPUTED_VALUE"""),46050.836111111115)</f>
        <v>46050.83611</v>
      </c>
      <c r="H6069" s="238">
        <f>IFERROR(__xludf.DUMMYFUNCTION("""COMPUTED_VALUE"""),46051.20833333333)</f>
        <v>46051.20833</v>
      </c>
      <c r="J6069" s="239">
        <v>535.9999999869615</v>
      </c>
    </row>
    <row r="6070">
      <c r="A6070" s="234"/>
      <c r="B6070" s="238" t="str">
        <f>IFERROR(__xludf.DUMMYFUNCTION("""COMPUTED_VALUE"""),"SoC_MG_Betim")</f>
        <v>SoC_MG_Betim</v>
      </c>
      <c r="C6070" s="238" t="str">
        <f>IFERROR(__xludf.DUMMYFUNCTION("""COMPUTED_VALUE"""),"SOC-MG2")</f>
        <v>SOC-MG2</v>
      </c>
      <c r="D6070" s="234">
        <f>IFERROR(__xludf.DUMMYFUNCTION("""COMPUTED_VALUE"""),91.0)</f>
        <v>91</v>
      </c>
      <c r="E6070" s="237" t="str">
        <f>IFERROR(__xludf.DUMMYFUNCTION("""COMPUTED_VALUE"""),"LT0Q1S01XDAU4")</f>
        <v>LT0Q1S01XDAU4</v>
      </c>
      <c r="F6070" s="238" t="str">
        <f>IFERROR(__xludf.DUMMYFUNCTION("""COMPUTED_VALUE"""),"FNY2B06,FCR2E04")</f>
        <v>FNY2B06,FCR2E04</v>
      </c>
      <c r="G6070" s="238">
        <f>IFERROR(__xludf.DUMMYFUNCTION("""COMPUTED_VALUE"""),46050.836111111115)</f>
        <v>46050.83611</v>
      </c>
      <c r="H6070" s="238">
        <f>IFERROR(__xludf.DUMMYFUNCTION("""COMPUTED_VALUE"""),46051.20833333333)</f>
        <v>46051.20833</v>
      </c>
      <c r="J6070" s="239" t="e">
        <v>#VALUE!</v>
      </c>
    </row>
    <row r="6071">
      <c r="A6071" s="234"/>
      <c r="B6071" s="238" t="str">
        <f>IFERROR(__xludf.DUMMYFUNCTION("""COMPUTED_VALUE"""),"Fanout Desconhecido")</f>
        <v>Fanout Desconhecido</v>
      </c>
      <c r="C6071" s="238" t="str">
        <f>IFERROR(__xludf.DUMMYFUNCTION("""COMPUTED_VALUE"""),"-")</f>
        <v>-</v>
      </c>
      <c r="D6071" s="234">
        <f>IFERROR(__xludf.DUMMYFUNCTION("""COMPUTED_VALUE"""),96.0)</f>
        <v>96</v>
      </c>
      <c r="E6071" s="237" t="str">
        <f>IFERROR(__xludf.DUMMYFUNCTION("""COMPUTED_VALUE"""),"LT0Q1S01XF9U3")</f>
        <v>LT0Q1S01XF9U3</v>
      </c>
      <c r="F6071" s="238" t="str">
        <f>IFERROR(__xludf.DUMMYFUNCTION("""COMPUTED_VALUE"""),"-")</f>
        <v>-</v>
      </c>
      <c r="G6071" s="238" t="str">
        <f>IFERROR(__xludf.DUMMYFUNCTION("""COMPUTED_VALUE"""),"-")</f>
        <v>-</v>
      </c>
      <c r="H6071" s="238" t="str">
        <f>IFERROR(__xludf.DUMMYFUNCTION("""COMPUTED_VALUE"""),"-")</f>
        <v>-</v>
      </c>
      <c r="J6071" s="239">
        <v>119.99999999301508</v>
      </c>
    </row>
    <row r="6072">
      <c r="A6072" s="234"/>
      <c r="B6072" s="238" t="str">
        <f>IFERROR(__xludf.DUMMYFUNCTION("""COMPUTED_VALUE"""),"LM Hub_SP_Itapeva")</f>
        <v>LM Hub_SP_Itapeva</v>
      </c>
      <c r="C6072" s="238" t="str">
        <f>IFERROR(__xludf.DUMMYFUNCTION("""COMPUTED_VALUE"""),"HUB-LSP-39")</f>
        <v>HUB-LSP-39</v>
      </c>
      <c r="D6072" s="234">
        <f>IFERROR(__xludf.DUMMYFUNCTION("""COMPUTED_VALUE"""),9.0)</f>
        <v>9</v>
      </c>
      <c r="E6072" s="237" t="str">
        <f>IFERROR(__xludf.DUMMYFUNCTION("""COMPUTED_VALUE"""),"LT0Q1T01XDFO1")</f>
        <v>LT0Q1T01XDFO1</v>
      </c>
      <c r="F6072" s="238" t="str">
        <f>IFERROR(__xludf.DUMMYFUNCTION("""COMPUTED_VALUE"""),"FCT0F31")</f>
        <v>FCT0F31</v>
      </c>
      <c r="G6072" s="238">
        <f>IFERROR(__xludf.DUMMYFUNCTION("""COMPUTED_VALUE"""),46051.125)</f>
        <v>46051.125</v>
      </c>
      <c r="H6072" s="238">
        <f>IFERROR(__xludf.DUMMYFUNCTION("""COMPUTED_VALUE"""),46051.20833333333)</f>
        <v>46051.20833</v>
      </c>
      <c r="J6072" s="239">
        <v>119.99999999301508</v>
      </c>
    </row>
    <row r="6073">
      <c r="A6073" s="234"/>
      <c r="B6073" s="238" t="str">
        <f>IFERROR(__xludf.DUMMYFUNCTION("""COMPUTED_VALUE"""),"LM Hub_SP_Sumaré_Nova Veneza_1")</f>
        <v>LM Hub_SP_Sumaré_Nova Veneza_1</v>
      </c>
      <c r="C6073" s="238" t="str">
        <f>IFERROR(__xludf.DUMMYFUNCTION("""COMPUTED_VALUE"""),"HUB-LSP-88")</f>
        <v>HUB-LSP-88</v>
      </c>
      <c r="D6073" s="234">
        <f>IFERROR(__xludf.DUMMYFUNCTION("""COMPUTED_VALUE"""),28.0)</f>
        <v>28</v>
      </c>
      <c r="E6073" s="237" t="str">
        <f>IFERROR(__xludf.DUMMYFUNCTION("""COMPUTED_VALUE"""),"LT0Q1T01XHYI1")</f>
        <v>LT0Q1T01XHYI1</v>
      </c>
      <c r="F6073" s="238" t="str">
        <f>IFERROR(__xludf.DUMMYFUNCTION("""COMPUTED_VALUE"""),"ENZ4737")</f>
        <v>ENZ4737</v>
      </c>
      <c r="G6073" s="238">
        <f>IFERROR(__xludf.DUMMYFUNCTION("""COMPUTED_VALUE"""),46051.125)</f>
        <v>46051.125</v>
      </c>
      <c r="H6073" s="238">
        <f>IFERROR(__xludf.DUMMYFUNCTION("""COMPUTED_VALUE"""),46051.20833333333)</f>
        <v>46051.20833</v>
      </c>
      <c r="J6073" s="239">
        <v>119.99999999301508</v>
      </c>
    </row>
    <row r="6074">
      <c r="A6074" s="234"/>
      <c r="B6074" s="238" t="str">
        <f>IFERROR(__xludf.DUMMYFUNCTION("""COMPUTED_VALUE"""),"SoC_SP_Louveira")</f>
        <v>SoC_SP_Louveira</v>
      </c>
      <c r="C6074" s="238" t="str">
        <f>IFERROR(__xludf.DUMMYFUNCTION("""COMPUTED_VALUE"""),"SOC-SP7")</f>
        <v>SOC-SP7</v>
      </c>
      <c r="D6074" s="234"/>
      <c r="E6074" s="237" t="str">
        <f>IFERROR(__xludf.DUMMYFUNCTION("""COMPUTED_VALUE"""),"LT1Q1S01XRS11")</f>
        <v>LT1Q1S01XRS11</v>
      </c>
      <c r="F6074" s="238" t="str">
        <f>IFERROR(__xludf.DUMMYFUNCTION("""COMPUTED_VALUE"""),"DPF0B69,CBR4F59")</f>
        <v>DPF0B69,CBR4F59</v>
      </c>
      <c r="G6074" s="238">
        <f>IFERROR(__xludf.DUMMYFUNCTION("""COMPUTED_VALUE"""),46051.125)</f>
        <v>46051.125</v>
      </c>
      <c r="H6074" s="238">
        <f>IFERROR(__xludf.DUMMYFUNCTION("""COMPUTED_VALUE"""),46051.20833333333)</f>
        <v>46051.20833</v>
      </c>
      <c r="J6074" s="239">
        <v>120.00000001396984</v>
      </c>
    </row>
    <row r="6075">
      <c r="A6075" s="234"/>
      <c r="B6075" s="238" t="str">
        <f>IFERROR(__xludf.DUMMYFUNCTION("""COMPUTED_VALUE"""),"LM Hub_SP_Mogi Mirim")</f>
        <v>LM Hub_SP_Mogi Mirim</v>
      </c>
      <c r="C6075" s="238" t="str">
        <f>IFERROR(__xludf.DUMMYFUNCTION("""COMPUTED_VALUE"""),"HUB-LSP-37")</f>
        <v>HUB-LSP-37</v>
      </c>
      <c r="D6075" s="234">
        <f>IFERROR(__xludf.DUMMYFUNCTION("""COMPUTED_VALUE"""),12.0)</f>
        <v>12</v>
      </c>
      <c r="E6075" s="237" t="str">
        <f>IFERROR(__xludf.DUMMYFUNCTION("""COMPUTED_VALUE"""),"LT0Q1T01XDI81")</f>
        <v>LT0Q1T01XDI81</v>
      </c>
      <c r="F6075" s="238" t="str">
        <f>IFERROR(__xludf.DUMMYFUNCTION("""COMPUTED_VALUE"""),"GFM6E44,AOF2G51")</f>
        <v>GFM6E44,AOF2G51</v>
      </c>
      <c r="G6075" s="238">
        <f>IFERROR(__xludf.DUMMYFUNCTION("""COMPUTED_VALUE"""),46051.14583333333)</f>
        <v>46051.14583</v>
      </c>
      <c r="H6075" s="238">
        <f>IFERROR(__xludf.DUMMYFUNCTION("""COMPUTED_VALUE"""),46051.22916666667)</f>
        <v>46051.22917</v>
      </c>
      <c r="J6075" s="239">
        <v>120.00000001396984</v>
      </c>
    </row>
    <row r="6076">
      <c r="A6076" s="234"/>
      <c r="B6076" s="238" t="str">
        <f>IFERROR(__xludf.DUMMYFUNCTION("""COMPUTED_VALUE"""),"LM Hub_SP_Campinas_São Martinho")</f>
        <v>LM Hub_SP_Campinas_São Martinho</v>
      </c>
      <c r="C6076" s="238" t="str">
        <f>IFERROR(__xludf.DUMMYFUNCTION("""COMPUTED_VALUE"""),"HUB-LSP-19")</f>
        <v>HUB-LSP-19</v>
      </c>
      <c r="D6076" s="234">
        <f>IFERROR(__xludf.DUMMYFUNCTION("""COMPUTED_VALUE"""),110.0)</f>
        <v>110</v>
      </c>
      <c r="E6076" s="237" t="str">
        <f>IFERROR(__xludf.DUMMYFUNCTION("""COMPUTED_VALUE"""),"LT0Q1T01XDJO1")</f>
        <v>LT0Q1T01XDJO1</v>
      </c>
      <c r="F6076" s="238" t="str">
        <f>IFERROR(__xludf.DUMMYFUNCTION("""COMPUTED_VALUE"""),"GCJ6G71")</f>
        <v>GCJ6G71</v>
      </c>
      <c r="G6076" s="238">
        <f>IFERROR(__xludf.DUMMYFUNCTION("""COMPUTED_VALUE"""),46051.14583333333)</f>
        <v>46051.14583</v>
      </c>
      <c r="H6076" s="238">
        <f>IFERROR(__xludf.DUMMYFUNCTION("""COMPUTED_VALUE"""),46051.22916666667)</f>
        <v>46051.22917</v>
      </c>
      <c r="J6076" s="239" t="e">
        <v>#VALUE!</v>
      </c>
    </row>
    <row r="6077">
      <c r="A6077" s="234"/>
      <c r="B6077" s="238" t="str">
        <f>IFERROR(__xludf.DUMMYFUNCTION("""COMPUTED_VALUE"""),"Fanout Desconhecido")</f>
        <v>Fanout Desconhecido</v>
      </c>
      <c r="C6077" s="238" t="str">
        <f>IFERROR(__xludf.DUMMYFUNCTION("""COMPUTED_VALUE"""),"-")</f>
        <v>-</v>
      </c>
      <c r="D6077" s="234">
        <f>IFERROR(__xludf.DUMMYFUNCTION("""COMPUTED_VALUE"""),40.0)</f>
        <v>40</v>
      </c>
      <c r="E6077" s="237" t="str">
        <f>IFERROR(__xludf.DUMMYFUNCTION("""COMPUTED_VALUE"""),"LT0Q1T01XDB51")</f>
        <v>LT0Q1T01XDB51</v>
      </c>
      <c r="F6077" s="238" t="str">
        <f>IFERROR(__xludf.DUMMYFUNCTION("""COMPUTED_VALUE"""),"-")</f>
        <v>-</v>
      </c>
      <c r="G6077" s="238" t="str">
        <f>IFERROR(__xludf.DUMMYFUNCTION("""COMPUTED_VALUE"""),"-")</f>
        <v>-</v>
      </c>
      <c r="H6077" s="238" t="str">
        <f>IFERROR(__xludf.DUMMYFUNCTION("""COMPUTED_VALUE"""),"-")</f>
        <v>-</v>
      </c>
      <c r="J6077" s="239" t="e">
        <v>#VALUE!</v>
      </c>
    </row>
    <row r="6078">
      <c r="A6078" s="234"/>
      <c r="B6078" s="238" t="str">
        <f>IFERROR(__xludf.DUMMYFUNCTION("""COMPUTED_VALUE"""),"Fanout Desconhecido")</f>
        <v>Fanout Desconhecido</v>
      </c>
      <c r="C6078" s="238" t="str">
        <f>IFERROR(__xludf.DUMMYFUNCTION("""COMPUTED_VALUE"""),"-")</f>
        <v>-</v>
      </c>
      <c r="D6078" s="234">
        <f>IFERROR(__xludf.DUMMYFUNCTION("""COMPUTED_VALUE"""),29.0)</f>
        <v>29</v>
      </c>
      <c r="E6078" s="237" t="str">
        <f>IFERROR(__xludf.DUMMYFUNCTION("""COMPUTED_VALUE"""),"LT0Q1T01XMAM1")</f>
        <v>LT0Q1T01XMAM1</v>
      </c>
      <c r="F6078" s="238" t="str">
        <f>IFERROR(__xludf.DUMMYFUNCTION("""COMPUTED_VALUE"""),"-")</f>
        <v>-</v>
      </c>
      <c r="G6078" s="238" t="str">
        <f>IFERROR(__xludf.DUMMYFUNCTION("""COMPUTED_VALUE"""),"-")</f>
        <v>-</v>
      </c>
      <c r="H6078" s="238" t="str">
        <f>IFERROR(__xludf.DUMMYFUNCTION("""COMPUTED_VALUE"""),"-")</f>
        <v>-</v>
      </c>
      <c r="J6078" s="239" t="e">
        <v>#VALUE!</v>
      </c>
    </row>
    <row r="6079">
      <c r="A6079" s="234"/>
      <c r="B6079" s="238" t="str">
        <f>IFERROR(__xludf.DUMMYFUNCTION("""COMPUTED_VALUE"""),"Fanout Desconhecido")</f>
        <v>Fanout Desconhecido</v>
      </c>
      <c r="C6079" s="238" t="str">
        <f>IFERROR(__xludf.DUMMYFUNCTION("""COMPUTED_VALUE"""),"-")</f>
        <v>-</v>
      </c>
      <c r="D6079" s="234">
        <f>IFERROR(__xludf.DUMMYFUNCTION("""COMPUTED_VALUE"""),13.0)</f>
        <v>13</v>
      </c>
      <c r="E6079" s="237" t="str">
        <f>IFERROR(__xludf.DUMMYFUNCTION("""COMPUTED_VALUE"""),"LT0Q1T01XDG61")</f>
        <v>LT0Q1T01XDG61</v>
      </c>
      <c r="F6079" s="238" t="str">
        <f>IFERROR(__xludf.DUMMYFUNCTION("""COMPUTED_VALUE"""),"-")</f>
        <v>-</v>
      </c>
      <c r="G6079" s="238" t="str">
        <f>IFERROR(__xludf.DUMMYFUNCTION("""COMPUTED_VALUE"""),"-")</f>
        <v>-</v>
      </c>
      <c r="H6079" s="238" t="str">
        <f>IFERROR(__xludf.DUMMYFUNCTION("""COMPUTED_VALUE"""),"-")</f>
        <v>-</v>
      </c>
      <c r="J6079" s="239" t="e">
        <v>#VALUE!</v>
      </c>
    </row>
    <row r="6080">
      <c r="A6080" s="234"/>
      <c r="B6080" s="238" t="str">
        <f>IFERROR(__xludf.DUMMYFUNCTION("""COMPUTED_VALUE"""),"Fanout Desconhecido")</f>
        <v>Fanout Desconhecido</v>
      </c>
      <c r="C6080" s="238" t="str">
        <f>IFERROR(__xludf.DUMMYFUNCTION("""COMPUTED_VALUE"""),"-")</f>
        <v>-</v>
      </c>
      <c r="D6080" s="234">
        <f>IFERROR(__xludf.DUMMYFUNCTION("""COMPUTED_VALUE"""),21.0)</f>
        <v>21</v>
      </c>
      <c r="E6080" s="237" t="str">
        <f>IFERROR(__xludf.DUMMYFUNCTION("""COMPUTED_VALUE"""),"LT0Q1T01XDGH1")</f>
        <v>LT0Q1T01XDGH1</v>
      </c>
      <c r="F6080" s="238" t="str">
        <f>IFERROR(__xludf.DUMMYFUNCTION("""COMPUTED_VALUE"""),"-")</f>
        <v>-</v>
      </c>
      <c r="G6080" s="238" t="str">
        <f>IFERROR(__xludf.DUMMYFUNCTION("""COMPUTED_VALUE"""),"-")</f>
        <v>-</v>
      </c>
      <c r="H6080" s="238" t="str">
        <f>IFERROR(__xludf.DUMMYFUNCTION("""COMPUTED_VALUE"""),"-")</f>
        <v>-</v>
      </c>
      <c r="J6080" s="239" t="e">
        <v>#VALUE!</v>
      </c>
    </row>
    <row r="6081">
      <c r="A6081" s="234"/>
      <c r="B6081" s="238" t="str">
        <f>IFERROR(__xludf.DUMMYFUNCTION("""COMPUTED_VALUE"""),"Fanout Desconhecido")</f>
        <v>Fanout Desconhecido</v>
      </c>
      <c r="C6081" s="238" t="str">
        <f>IFERROR(__xludf.DUMMYFUNCTION("""COMPUTED_VALUE"""),"-")</f>
        <v>-</v>
      </c>
      <c r="D6081" s="234">
        <f>IFERROR(__xludf.DUMMYFUNCTION("""COMPUTED_VALUE"""),8.0)</f>
        <v>8</v>
      </c>
      <c r="E6081" s="237" t="str">
        <f>IFERROR(__xludf.DUMMYFUNCTION("""COMPUTED_VALUE"""),"LT0Q1T01XDHI1")</f>
        <v>LT0Q1T01XDHI1</v>
      </c>
      <c r="F6081" s="238" t="str">
        <f>IFERROR(__xludf.DUMMYFUNCTION("""COMPUTED_VALUE"""),"-")</f>
        <v>-</v>
      </c>
      <c r="G6081" s="238" t="str">
        <f>IFERROR(__xludf.DUMMYFUNCTION("""COMPUTED_VALUE"""),"-")</f>
        <v>-</v>
      </c>
      <c r="H6081" s="238" t="str">
        <f>IFERROR(__xludf.DUMMYFUNCTION("""COMPUTED_VALUE"""),"-")</f>
        <v>-</v>
      </c>
      <c r="J6081" s="239" t="e">
        <v>#VALUE!</v>
      </c>
    </row>
    <row r="6082">
      <c r="A6082" s="234"/>
      <c r="B6082" s="238" t="str">
        <f>IFERROR(__xludf.DUMMYFUNCTION("""COMPUTED_VALUE"""),"Fanout Desconhecido")</f>
        <v>Fanout Desconhecido</v>
      </c>
      <c r="C6082" s="238" t="str">
        <f>IFERROR(__xludf.DUMMYFUNCTION("""COMPUTED_VALUE"""),"-")</f>
        <v>-</v>
      </c>
      <c r="D6082" s="234">
        <f>IFERROR(__xludf.DUMMYFUNCTION("""COMPUTED_VALUE"""),111.0)</f>
        <v>111</v>
      </c>
      <c r="E6082" s="237" t="str">
        <f>IFERROR(__xludf.DUMMYFUNCTION("""COMPUTED_VALUE"""),"LT1Q1T01XSQ11")</f>
        <v>LT1Q1T01XSQ11</v>
      </c>
      <c r="F6082" s="238" t="str">
        <f>IFERROR(__xludf.DUMMYFUNCTION("""COMPUTED_VALUE"""),"-")</f>
        <v>-</v>
      </c>
      <c r="G6082" s="238" t="str">
        <f>IFERROR(__xludf.DUMMYFUNCTION("""COMPUTED_VALUE"""),"-")</f>
        <v>-</v>
      </c>
      <c r="H6082" s="238" t="str">
        <f>IFERROR(__xludf.DUMMYFUNCTION("""COMPUTED_VALUE"""),"-")</f>
        <v>-</v>
      </c>
      <c r="J6082" s="239" t="e">
        <v>#VALUE!</v>
      </c>
    </row>
    <row r="6083">
      <c r="A6083" s="234"/>
      <c r="B6083" s="238" t="str">
        <f>IFERROR(__xludf.DUMMYFUNCTION("""COMPUTED_VALUE"""),"Fanout Desconhecido")</f>
        <v>Fanout Desconhecido</v>
      </c>
      <c r="C6083" s="238" t="str">
        <f>IFERROR(__xludf.DUMMYFUNCTION("""COMPUTED_VALUE"""),"-")</f>
        <v>-</v>
      </c>
      <c r="D6083" s="234"/>
      <c r="E6083" s="237" t="str">
        <f>IFERROR(__xludf.DUMMYFUNCTION("""COMPUTED_VALUE"""),"LT0Q1T01XDH41")</f>
        <v>LT0Q1T01XDH41</v>
      </c>
      <c r="F6083" s="238" t="str">
        <f>IFERROR(__xludf.DUMMYFUNCTION("""COMPUTED_VALUE"""),"-")</f>
        <v>-</v>
      </c>
      <c r="G6083" s="238" t="str">
        <f>IFERROR(__xludf.DUMMYFUNCTION("""COMPUTED_VALUE"""),"-")</f>
        <v>-</v>
      </c>
      <c r="H6083" s="238" t="str">
        <f>IFERROR(__xludf.DUMMYFUNCTION("""COMPUTED_VALUE"""),"-")</f>
        <v>-</v>
      </c>
      <c r="J6083" s="239" t="e">
        <v>#VALUE!</v>
      </c>
    </row>
    <row r="6084">
      <c r="A6084" s="234"/>
      <c r="B6084" s="238" t="str">
        <f>IFERROR(__xludf.DUMMYFUNCTION("""COMPUTED_VALUE"""),"Fanout Desconhecido")</f>
        <v>Fanout Desconhecido</v>
      </c>
      <c r="C6084" s="238" t="str">
        <f>IFERROR(__xludf.DUMMYFUNCTION("""COMPUTED_VALUE"""),"-")</f>
        <v>-</v>
      </c>
      <c r="D6084" s="234">
        <f>IFERROR(__xludf.DUMMYFUNCTION("""COMPUTED_VALUE"""),24.0)</f>
        <v>24</v>
      </c>
      <c r="E6084" s="237" t="str">
        <f>IFERROR(__xludf.DUMMYFUNCTION("""COMPUTED_VALUE"""),"LT0Q1T01XGUN1")</f>
        <v>LT0Q1T01XGUN1</v>
      </c>
      <c r="F6084" s="238" t="str">
        <f>IFERROR(__xludf.DUMMYFUNCTION("""COMPUTED_VALUE"""),"-")</f>
        <v>-</v>
      </c>
      <c r="G6084" s="238" t="str">
        <f>IFERROR(__xludf.DUMMYFUNCTION("""COMPUTED_VALUE"""),"-")</f>
        <v>-</v>
      </c>
      <c r="H6084" s="238" t="str">
        <f>IFERROR(__xludf.DUMMYFUNCTION("""COMPUTED_VALUE"""),"-")</f>
        <v>-</v>
      </c>
      <c r="J6084" s="239" t="e">
        <v>#VALUE!</v>
      </c>
    </row>
    <row r="6085">
      <c r="A6085" s="234"/>
      <c r="B6085" s="238" t="str">
        <f>IFERROR(__xludf.DUMMYFUNCTION("""COMPUTED_VALUE"""),"Fanout Desconhecido")</f>
        <v>Fanout Desconhecido</v>
      </c>
      <c r="C6085" s="238" t="str">
        <f>IFERROR(__xludf.DUMMYFUNCTION("""COMPUTED_VALUE"""),"-")</f>
        <v>-</v>
      </c>
      <c r="D6085" s="234">
        <f>IFERROR(__xludf.DUMMYFUNCTION("""COMPUTED_VALUE"""),46.0)</f>
        <v>46</v>
      </c>
      <c r="E6085" s="237" t="str">
        <f>IFERROR(__xludf.DUMMYFUNCTION("""COMPUTED_VALUE"""),"LT0Q1T01XDGS1")</f>
        <v>LT0Q1T01XDGS1</v>
      </c>
      <c r="F6085" s="238" t="str">
        <f>IFERROR(__xludf.DUMMYFUNCTION("""COMPUTED_VALUE"""),"-")</f>
        <v>-</v>
      </c>
      <c r="G6085" s="238" t="str">
        <f>IFERROR(__xludf.DUMMYFUNCTION("""COMPUTED_VALUE"""),"-")</f>
        <v>-</v>
      </c>
      <c r="H6085" s="238" t="str">
        <f>IFERROR(__xludf.DUMMYFUNCTION("""COMPUTED_VALUE"""),"-")</f>
        <v>-</v>
      </c>
      <c r="J6085" s="239" t="e">
        <v>#VALUE!</v>
      </c>
    </row>
    <row r="6086">
      <c r="A6086" s="234"/>
      <c r="B6086" s="238" t="str">
        <f>IFERROR(__xludf.DUMMYFUNCTION("""COMPUTED_VALUE"""),"Fanout Desconhecido")</f>
        <v>Fanout Desconhecido</v>
      </c>
      <c r="C6086" s="238" t="str">
        <f>IFERROR(__xludf.DUMMYFUNCTION("""COMPUTED_VALUE"""),"-")</f>
        <v>-</v>
      </c>
      <c r="D6086" s="234">
        <f>IFERROR(__xludf.DUMMYFUNCTION("""COMPUTED_VALUE"""),89.0)</f>
        <v>89</v>
      </c>
      <c r="E6086" s="237" t="str">
        <f>IFERROR(__xludf.DUMMYFUNCTION("""COMPUTED_VALUE"""),"LT0Q1S01XIFD1")</f>
        <v>LT0Q1S01XIFD1</v>
      </c>
      <c r="F6086" s="238" t="str">
        <f>IFERROR(__xludf.DUMMYFUNCTION("""COMPUTED_VALUE"""),"-")</f>
        <v>-</v>
      </c>
      <c r="G6086" s="238" t="str">
        <f>IFERROR(__xludf.DUMMYFUNCTION("""COMPUTED_VALUE"""),"-")</f>
        <v>-</v>
      </c>
      <c r="H6086" s="238" t="str">
        <f>IFERROR(__xludf.DUMMYFUNCTION("""COMPUTED_VALUE"""),"-")</f>
        <v>-</v>
      </c>
      <c r="J6086" s="239">
        <v>539.0000000072177</v>
      </c>
    </row>
    <row r="6087">
      <c r="A6087" s="234"/>
      <c r="B6087" s="238" t="str">
        <f>IFERROR(__xludf.DUMMYFUNCTION("""COMPUTED_VALUE"""),"SoC_GO_Goiânia_02")</f>
        <v>SoC_GO_Goiânia_02</v>
      </c>
      <c r="C6087" s="238" t="str">
        <f>IFERROR(__xludf.DUMMYFUNCTION("""COMPUTED_VALUE"""),"SOC-GO2")</f>
        <v>SOC-GO2</v>
      </c>
      <c r="D6087" s="234">
        <f>IFERROR(__xludf.DUMMYFUNCTION("""COMPUTED_VALUE"""),87.0)</f>
        <v>87</v>
      </c>
      <c r="E6087" s="237" t="str">
        <f>IFERROR(__xludf.DUMMYFUNCTION("""COMPUTED_VALUE"""),"LT0Q1S01XIQX1")</f>
        <v>LT0Q1S01XIQX1</v>
      </c>
      <c r="F6087" s="238" t="str">
        <f>IFERROR(__xludf.DUMMYFUNCTION("""COMPUTED_VALUE"""),"DKI3I01,GFQ2I85")</f>
        <v>DKI3I01,GFQ2I85</v>
      </c>
      <c r="G6087" s="238">
        <f>IFERROR(__xludf.DUMMYFUNCTION("""COMPUTED_VALUE"""),46050.91736111111)</f>
        <v>46050.91736</v>
      </c>
      <c r="H6087" s="238">
        <f>IFERROR(__xludf.DUMMYFUNCTION("""COMPUTED_VALUE"""),46051.29166666667)</f>
        <v>46051.29167</v>
      </c>
      <c r="J6087" s="239">
        <v>539.0000000072177</v>
      </c>
    </row>
    <row r="6088">
      <c r="A6088" s="234"/>
      <c r="B6088" s="238" t="str">
        <f>IFERROR(__xludf.DUMMYFUNCTION("""COMPUTED_VALUE"""),"SoC_GO_Goiânia_02")</f>
        <v>SoC_GO_Goiânia_02</v>
      </c>
      <c r="C6088" s="238" t="str">
        <f>IFERROR(__xludf.DUMMYFUNCTION("""COMPUTED_VALUE"""),"SOC-GO2")</f>
        <v>SOC-GO2</v>
      </c>
      <c r="D6088" s="234"/>
      <c r="E6088" s="237" t="str">
        <f>IFERROR(__xludf.DUMMYFUNCTION("""COMPUTED_VALUE"""),"LT0Q1S01XIQZ2")</f>
        <v>LT0Q1S01XIQZ2</v>
      </c>
      <c r="F6088" s="238" t="str">
        <f>IFERROR(__xludf.DUMMYFUNCTION("""COMPUTED_VALUE"""),"JCG4I58,ENZ0J80")</f>
        <v>JCG4I58,ENZ0J80</v>
      </c>
      <c r="G6088" s="238">
        <f>IFERROR(__xludf.DUMMYFUNCTION("""COMPUTED_VALUE"""),46050.91736111111)</f>
        <v>46050.91736</v>
      </c>
      <c r="H6088" s="238">
        <f>IFERROR(__xludf.DUMMYFUNCTION("""COMPUTED_VALUE"""),46051.29166666667)</f>
        <v>46051.29167</v>
      </c>
      <c r="J6088" s="239" t="e">
        <v>#VALUE!</v>
      </c>
    </row>
    <row r="6089">
      <c r="A6089" s="234"/>
      <c r="B6089" s="238" t="str">
        <f>IFERROR(__xludf.DUMMYFUNCTION("""COMPUTED_VALUE"""),"Fanout Desconhecido")</f>
        <v>Fanout Desconhecido</v>
      </c>
      <c r="C6089" s="238" t="str">
        <f>IFERROR(__xludf.DUMMYFUNCTION("""COMPUTED_VALUE"""),"-")</f>
        <v>-</v>
      </c>
      <c r="D6089" s="234">
        <f>IFERROR(__xludf.DUMMYFUNCTION("""COMPUTED_VALUE"""),93.0)</f>
        <v>93</v>
      </c>
      <c r="E6089" s="237" t="str">
        <f>IFERROR(__xludf.DUMMYFUNCTION("""COMPUTED_VALUE"""),"LT0Q1S01XISX1")</f>
        <v>LT0Q1S01XISX1</v>
      </c>
      <c r="F6089" s="238" t="str">
        <f>IFERROR(__xludf.DUMMYFUNCTION("""COMPUTED_VALUE"""),"-")</f>
        <v>-</v>
      </c>
      <c r="G6089" s="238" t="str">
        <f>IFERROR(__xludf.DUMMYFUNCTION("""COMPUTED_VALUE"""),"-")</f>
        <v>-</v>
      </c>
      <c r="H6089" s="238" t="str">
        <f>IFERROR(__xludf.DUMMYFUNCTION("""COMPUTED_VALUE"""),"-")</f>
        <v>-</v>
      </c>
      <c r="J6089" s="239">
        <v>537.0000000111759</v>
      </c>
    </row>
    <row r="6090">
      <c r="A6090" s="234"/>
      <c r="B6090" s="238" t="str">
        <f>IFERROR(__xludf.DUMMYFUNCTION("""COMPUTED_VALUE"""),"SoC_PE_Jaboatão dos Guararapes")</f>
        <v>SoC_PE_Jaboatão dos Guararapes</v>
      </c>
      <c r="C6090" s="238" t="str">
        <f>IFERROR(__xludf.DUMMYFUNCTION("""COMPUTED_VALUE"""),"SOC-PE2")</f>
        <v>SOC-PE2</v>
      </c>
      <c r="D6090" s="234">
        <f>IFERROR(__xludf.DUMMYFUNCTION("""COMPUTED_VALUE"""),99.0)</f>
        <v>99</v>
      </c>
      <c r="E6090" s="237" t="str">
        <f>IFERROR(__xludf.DUMMYFUNCTION("""COMPUTED_VALUE"""),"LT0Q1S01XICI2")</f>
        <v>LT0Q1S01XICI2</v>
      </c>
      <c r="F6090" s="238" t="str">
        <f>IFERROR(__xludf.DUMMYFUNCTION("""COMPUTED_VALUE"""),"FPY6A07,TIZ4C46")</f>
        <v>FPY6A07,TIZ4C46</v>
      </c>
      <c r="G6090" s="238">
        <f>IFERROR(__xludf.DUMMYFUNCTION("""COMPUTED_VALUE"""),46050.91875)</f>
        <v>46050.91875</v>
      </c>
      <c r="H6090" s="238">
        <f>IFERROR(__xludf.DUMMYFUNCTION("""COMPUTED_VALUE"""),46051.29166666667)</f>
        <v>46051.29167</v>
      </c>
      <c r="J6090" s="239" t="e">
        <v>#VALUE!</v>
      </c>
    </row>
    <row r="6091">
      <c r="A6091" s="234"/>
      <c r="B6091" s="238" t="str">
        <f>IFERROR(__xludf.DUMMYFUNCTION("""COMPUTED_VALUE"""),"Fanout Desconhecido")</f>
        <v>Fanout Desconhecido</v>
      </c>
      <c r="C6091" s="238" t="str">
        <f>IFERROR(__xludf.DUMMYFUNCTION("""COMPUTED_VALUE"""),"-")</f>
        <v>-</v>
      </c>
      <c r="D6091" s="234">
        <f>IFERROR(__xludf.DUMMYFUNCTION("""COMPUTED_VALUE"""),91.0)</f>
        <v>91</v>
      </c>
      <c r="E6091" s="237" t="str">
        <f>IFERROR(__xludf.DUMMYFUNCTION("""COMPUTED_VALUE"""),"LT0Q1S01XDAQ2")</f>
        <v>LT0Q1S01XDAQ2</v>
      </c>
      <c r="F6091" s="238" t="str">
        <f>IFERROR(__xludf.DUMMYFUNCTION("""COMPUTED_VALUE"""),"-")</f>
        <v>-</v>
      </c>
      <c r="G6091" s="238" t="str">
        <f>IFERROR(__xludf.DUMMYFUNCTION("""COMPUTED_VALUE"""),"-")</f>
        <v>-</v>
      </c>
      <c r="H6091" s="238" t="str">
        <f>IFERROR(__xludf.DUMMYFUNCTION("""COMPUTED_VALUE"""),"-")</f>
        <v>-</v>
      </c>
      <c r="J6091" s="239">
        <v>536.0000000079162</v>
      </c>
    </row>
    <row r="6092">
      <c r="A6092" s="234"/>
      <c r="B6092" s="238" t="str">
        <f>IFERROR(__xludf.DUMMYFUNCTION("""COMPUTED_VALUE"""),"SoC_RJ_Duque de Caxias")</f>
        <v>SoC_RJ_Duque de Caxias</v>
      </c>
      <c r="C6092" s="238" t="str">
        <f>IFERROR(__xludf.DUMMYFUNCTION("""COMPUTED_VALUE"""),"SOC-RJ2")</f>
        <v>SOC-RJ2</v>
      </c>
      <c r="D6092" s="234">
        <f>IFERROR(__xludf.DUMMYFUNCTION("""COMPUTED_VALUE"""),96.0)</f>
        <v>96</v>
      </c>
      <c r="E6092" s="237" t="str">
        <f>IFERROR(__xludf.DUMMYFUNCTION("""COMPUTED_VALUE"""),"LT0Q1S01XF9W4")</f>
        <v>LT0Q1S01XF9W4</v>
      </c>
      <c r="F6092" s="238" t="str">
        <f>IFERROR(__xludf.DUMMYFUNCTION("""COMPUTED_VALUE"""),"MLO0H90,GIJ0E53")</f>
        <v>MLO0H90,GIJ0E53</v>
      </c>
      <c r="G6092" s="238">
        <f>IFERROR(__xludf.DUMMYFUNCTION("""COMPUTED_VALUE"""),46050.919444444444)</f>
        <v>46050.91944</v>
      </c>
      <c r="H6092" s="238">
        <f>IFERROR(__xludf.DUMMYFUNCTION("""COMPUTED_VALUE"""),46051.29166666667)</f>
        <v>46051.29167</v>
      </c>
      <c r="J6092" s="239" t="e">
        <v>#VALUE!</v>
      </c>
    </row>
    <row r="6093">
      <c r="A6093" s="234"/>
      <c r="B6093" s="238" t="str">
        <f>IFERROR(__xludf.DUMMYFUNCTION("""COMPUTED_VALUE"""),"Fanout Desconhecido")</f>
        <v>Fanout Desconhecido</v>
      </c>
      <c r="C6093" s="238" t="str">
        <f>IFERROR(__xludf.DUMMYFUNCTION("""COMPUTED_VALUE"""),"-")</f>
        <v>-</v>
      </c>
      <c r="D6093" s="234">
        <f>IFERROR(__xludf.DUMMYFUNCTION("""COMPUTED_VALUE"""),23.0)</f>
        <v>23</v>
      </c>
      <c r="E6093" s="237" t="str">
        <f>IFERROR(__xludf.DUMMYFUNCTION("""COMPUTED_VALUE"""),"LT0Q1T01XE4D1")</f>
        <v>LT0Q1T01XE4D1</v>
      </c>
      <c r="F6093" s="238" t="str">
        <f>IFERROR(__xludf.DUMMYFUNCTION("""COMPUTED_VALUE"""),"-")</f>
        <v>-</v>
      </c>
      <c r="G6093" s="238" t="str">
        <f>IFERROR(__xludf.DUMMYFUNCTION("""COMPUTED_VALUE"""),"-")</f>
        <v>-</v>
      </c>
      <c r="H6093" s="238" t="str">
        <f>IFERROR(__xludf.DUMMYFUNCTION("""COMPUTED_VALUE"""),"-")</f>
        <v>-</v>
      </c>
      <c r="J6093" s="239" t="e">
        <v>#VALUE!</v>
      </c>
    </row>
    <row r="6094">
      <c r="A6094" s="234"/>
      <c r="B6094" s="238" t="str">
        <f>IFERROR(__xludf.DUMMYFUNCTION("""COMPUTED_VALUE"""),"Fanout Desconhecido")</f>
        <v>Fanout Desconhecido</v>
      </c>
      <c r="C6094" s="238" t="str">
        <f>IFERROR(__xludf.DUMMYFUNCTION("""COMPUTED_VALUE"""),"-")</f>
        <v>-</v>
      </c>
      <c r="D6094" s="234">
        <f>IFERROR(__xludf.DUMMYFUNCTION("""COMPUTED_VALUE"""),48.0)</f>
        <v>48</v>
      </c>
      <c r="E6094" s="237" t="str">
        <f>IFERROR(__xludf.DUMMYFUNCTION("""COMPUTED_VALUE"""),"LT0Q1T01XEKX1")</f>
        <v>LT0Q1T01XEKX1</v>
      </c>
      <c r="F6094" s="238" t="str">
        <f>IFERROR(__xludf.DUMMYFUNCTION("""COMPUTED_VALUE"""),"-")</f>
        <v>-</v>
      </c>
      <c r="G6094" s="238" t="str">
        <f>IFERROR(__xludf.DUMMYFUNCTION("""COMPUTED_VALUE"""),"-")</f>
        <v>-</v>
      </c>
      <c r="H6094" s="238" t="str">
        <f>IFERROR(__xludf.DUMMYFUNCTION("""COMPUTED_VALUE"""),"-")</f>
        <v>-</v>
      </c>
      <c r="J6094" s="239" t="e">
        <v>#VALUE!</v>
      </c>
    </row>
    <row r="6095">
      <c r="A6095" s="234"/>
      <c r="B6095" s="238" t="str">
        <f>IFERROR(__xludf.DUMMYFUNCTION("""COMPUTED_VALUE"""),"Fanout Desconhecido")</f>
        <v>Fanout Desconhecido</v>
      </c>
      <c r="C6095" s="238" t="str">
        <f>IFERROR(__xludf.DUMMYFUNCTION("""COMPUTED_VALUE"""),"-")</f>
        <v>-</v>
      </c>
      <c r="D6095" s="234">
        <f>IFERROR(__xludf.DUMMYFUNCTION("""COMPUTED_VALUE"""),17.0)</f>
        <v>17</v>
      </c>
      <c r="E6095" s="237" t="str">
        <f>IFERROR(__xludf.DUMMYFUNCTION("""COMPUTED_VALUE"""),"LT0Q1T01XI3I1")</f>
        <v>LT0Q1T01XI3I1</v>
      </c>
      <c r="F6095" s="238" t="str">
        <f>IFERROR(__xludf.DUMMYFUNCTION("""COMPUTED_VALUE"""),"-")</f>
        <v>-</v>
      </c>
      <c r="G6095" s="238" t="str">
        <f>IFERROR(__xludf.DUMMYFUNCTION("""COMPUTED_VALUE"""),"-")</f>
        <v>-</v>
      </c>
      <c r="H6095" s="238" t="str">
        <f>IFERROR(__xludf.DUMMYFUNCTION("""COMPUTED_VALUE"""),"-")</f>
        <v>-</v>
      </c>
      <c r="J6095" s="239" t="e">
        <v>#VALUE!</v>
      </c>
    </row>
    <row r="6096">
      <c r="A6096" s="234"/>
      <c r="B6096" s="238" t="str">
        <f>IFERROR(__xludf.DUMMYFUNCTION("""COMPUTED_VALUE"""),"Fanout Desconhecido")</f>
        <v>Fanout Desconhecido</v>
      </c>
      <c r="C6096" s="238" t="str">
        <f>IFERROR(__xludf.DUMMYFUNCTION("""COMPUTED_VALUE"""),"-")</f>
        <v>-</v>
      </c>
      <c r="D6096" s="234">
        <f>IFERROR(__xludf.DUMMYFUNCTION("""COMPUTED_VALUE"""),14.0)</f>
        <v>14</v>
      </c>
      <c r="E6096" s="237" t="str">
        <f>IFERROR(__xludf.DUMMYFUNCTION("""COMPUTED_VALUE"""),"LT0Q1T01XJHX1")</f>
        <v>LT0Q1T01XJHX1</v>
      </c>
      <c r="F6096" s="238" t="str">
        <f>IFERROR(__xludf.DUMMYFUNCTION("""COMPUTED_VALUE"""),"-")</f>
        <v>-</v>
      </c>
      <c r="G6096" s="238" t="str">
        <f>IFERROR(__xludf.DUMMYFUNCTION("""COMPUTED_VALUE"""),"-")</f>
        <v>-</v>
      </c>
      <c r="H6096" s="238" t="str">
        <f>IFERROR(__xludf.DUMMYFUNCTION("""COMPUTED_VALUE"""),"-")</f>
        <v>-</v>
      </c>
      <c r="J6096" s="239" t="e">
        <v>#VALUE!</v>
      </c>
    </row>
    <row r="6097">
      <c r="A6097" s="234"/>
      <c r="B6097" s="238" t="str">
        <f>IFERROR(__xludf.DUMMYFUNCTION("""COMPUTED_VALUE"""),"Fanout Desconhecido")</f>
        <v>Fanout Desconhecido</v>
      </c>
      <c r="C6097" s="238" t="str">
        <f>IFERROR(__xludf.DUMMYFUNCTION("""COMPUTED_VALUE"""),"-")</f>
        <v>-</v>
      </c>
      <c r="D6097" s="234">
        <f>IFERROR(__xludf.DUMMYFUNCTION("""COMPUTED_VALUE"""),7.0)</f>
        <v>7</v>
      </c>
      <c r="E6097" s="237" t="str">
        <f>IFERROR(__xludf.DUMMYFUNCTION("""COMPUTED_VALUE"""),"LT0Q1T01XDEN1")</f>
        <v>LT0Q1T01XDEN1</v>
      </c>
      <c r="F6097" s="238" t="str">
        <f>IFERROR(__xludf.DUMMYFUNCTION("""COMPUTED_VALUE"""),"-")</f>
        <v>-</v>
      </c>
      <c r="G6097" s="238" t="str">
        <f>IFERROR(__xludf.DUMMYFUNCTION("""COMPUTED_VALUE"""),"-")</f>
        <v>-</v>
      </c>
      <c r="H6097" s="238" t="str">
        <f>IFERROR(__xludf.DUMMYFUNCTION("""COMPUTED_VALUE"""),"-")</f>
        <v>-</v>
      </c>
      <c r="J6097" s="239" t="e">
        <v>#VALUE!</v>
      </c>
    </row>
    <row r="6098">
      <c r="A6098" s="234"/>
      <c r="B6098" s="238" t="str">
        <f>IFERROR(__xludf.DUMMYFUNCTION("""COMPUTED_VALUE"""),"Fanout Desconhecido")</f>
        <v>Fanout Desconhecido</v>
      </c>
      <c r="C6098" s="238" t="str">
        <f>IFERROR(__xludf.DUMMYFUNCTION("""COMPUTED_VALUE"""),"-")</f>
        <v>-</v>
      </c>
      <c r="D6098" s="234">
        <f>IFERROR(__xludf.DUMMYFUNCTION("""COMPUTED_VALUE"""),34.0)</f>
        <v>34</v>
      </c>
      <c r="E6098" s="237" t="str">
        <f>IFERROR(__xludf.DUMMYFUNCTION("""COMPUTED_VALUE"""),"LT0Q1T01XEKA1")</f>
        <v>LT0Q1T01XEKA1</v>
      </c>
      <c r="F6098" s="238" t="str">
        <f>IFERROR(__xludf.DUMMYFUNCTION("""COMPUTED_VALUE"""),"-")</f>
        <v>-</v>
      </c>
      <c r="G6098" s="238" t="str">
        <f>IFERROR(__xludf.DUMMYFUNCTION("""COMPUTED_VALUE"""),"-")</f>
        <v>-</v>
      </c>
      <c r="H6098" s="238" t="str">
        <f>IFERROR(__xludf.DUMMYFUNCTION("""COMPUTED_VALUE"""),"-")</f>
        <v>-</v>
      </c>
      <c r="J6098" s="239" t="e">
        <v>#VALUE!</v>
      </c>
    </row>
    <row r="6099">
      <c r="A6099" s="234"/>
      <c r="B6099" s="238" t="str">
        <f>IFERROR(__xludf.DUMMYFUNCTION("""COMPUTED_VALUE"""),"Fanout Desconhecido")</f>
        <v>Fanout Desconhecido</v>
      </c>
      <c r="C6099" s="238" t="str">
        <f>IFERROR(__xludf.DUMMYFUNCTION("""COMPUTED_VALUE"""),"-")</f>
        <v>-</v>
      </c>
      <c r="D6099" s="234">
        <f>IFERROR(__xludf.DUMMYFUNCTION("""COMPUTED_VALUE"""),33.0)</f>
        <v>33</v>
      </c>
      <c r="E6099" s="237" t="str">
        <f>IFERROR(__xludf.DUMMYFUNCTION("""COMPUTED_VALUE"""),"LT0Q1T01XEKC2")</f>
        <v>LT0Q1T01XEKC2</v>
      </c>
      <c r="F6099" s="238" t="str">
        <f>IFERROR(__xludf.DUMMYFUNCTION("""COMPUTED_VALUE"""),"-")</f>
        <v>-</v>
      </c>
      <c r="G6099" s="238" t="str">
        <f>IFERROR(__xludf.DUMMYFUNCTION("""COMPUTED_VALUE"""),"-")</f>
        <v>-</v>
      </c>
      <c r="H6099" s="238" t="str">
        <f>IFERROR(__xludf.DUMMYFUNCTION("""COMPUTED_VALUE"""),"-")</f>
        <v>-</v>
      </c>
      <c r="J6099" s="239" t="e">
        <v>#VALUE!</v>
      </c>
    </row>
    <row r="6100">
      <c r="A6100" s="234"/>
      <c r="B6100" s="238" t="str">
        <f>IFERROR(__xludf.DUMMYFUNCTION("""COMPUTED_VALUE"""),"Fanout Desconhecido")</f>
        <v>Fanout Desconhecido</v>
      </c>
      <c r="C6100" s="238" t="str">
        <f>IFERROR(__xludf.DUMMYFUNCTION("""COMPUTED_VALUE"""),"-")</f>
        <v>-</v>
      </c>
      <c r="D6100" s="234"/>
      <c r="E6100" s="237" t="str">
        <f>IFERROR(__xludf.DUMMYFUNCTION("""COMPUTED_VALUE"""),"LT0Q1T01XEKI1")</f>
        <v>LT0Q1T01XEKI1</v>
      </c>
      <c r="F6100" s="238" t="str">
        <f>IFERROR(__xludf.DUMMYFUNCTION("""COMPUTED_VALUE"""),"-")</f>
        <v>-</v>
      </c>
      <c r="G6100" s="238" t="str">
        <f>IFERROR(__xludf.DUMMYFUNCTION("""COMPUTED_VALUE"""),"-")</f>
        <v>-</v>
      </c>
      <c r="H6100" s="238" t="str">
        <f>IFERROR(__xludf.DUMMYFUNCTION("""COMPUTED_VALUE"""),"-")</f>
        <v>-</v>
      </c>
      <c r="J6100" s="239" t="e">
        <v>#VALUE!</v>
      </c>
    </row>
    <row r="6101">
      <c r="A6101" s="234"/>
      <c r="B6101" s="238" t="str">
        <f>IFERROR(__xludf.DUMMYFUNCTION("""COMPUTED_VALUE"""),"Fanout Desconhecido")</f>
        <v>Fanout Desconhecido</v>
      </c>
      <c r="C6101" s="238" t="str">
        <f>IFERROR(__xludf.DUMMYFUNCTION("""COMPUTED_VALUE"""),"-")</f>
        <v>-</v>
      </c>
      <c r="D6101" s="234">
        <f>IFERROR(__xludf.DUMMYFUNCTION("""COMPUTED_VALUE"""),22.0)</f>
        <v>22</v>
      </c>
      <c r="E6101" s="237" t="str">
        <f>IFERROR(__xludf.DUMMYFUNCTION("""COMPUTED_VALUE"""),"LT0Q1T01XEKN1")</f>
        <v>LT0Q1T01XEKN1</v>
      </c>
      <c r="F6101" s="238" t="str">
        <f>IFERROR(__xludf.DUMMYFUNCTION("""COMPUTED_VALUE"""),"-")</f>
        <v>-</v>
      </c>
      <c r="G6101" s="238" t="str">
        <f>IFERROR(__xludf.DUMMYFUNCTION("""COMPUTED_VALUE"""),"-")</f>
        <v>-</v>
      </c>
      <c r="H6101" s="238" t="str">
        <f>IFERROR(__xludf.DUMMYFUNCTION("""COMPUTED_VALUE"""),"-")</f>
        <v>-</v>
      </c>
      <c r="J6101" s="239" t="e">
        <v>#VALUE!</v>
      </c>
    </row>
    <row r="6102">
      <c r="A6102" s="234"/>
      <c r="B6102" s="238" t="str">
        <f>IFERROR(__xludf.DUMMYFUNCTION("""COMPUTED_VALUE"""),"Fanout Desconhecido")</f>
        <v>Fanout Desconhecido</v>
      </c>
      <c r="C6102" s="238" t="str">
        <f>IFERROR(__xludf.DUMMYFUNCTION("""COMPUTED_VALUE"""),"-")</f>
        <v>-</v>
      </c>
      <c r="D6102" s="234">
        <f>IFERROR(__xludf.DUMMYFUNCTION("""COMPUTED_VALUE"""),49.0)</f>
        <v>49</v>
      </c>
      <c r="E6102" s="237" t="str">
        <f>IFERROR(__xludf.DUMMYFUNCTION("""COMPUTED_VALUE"""),"LT0Q1T01XME41")</f>
        <v>LT0Q1T01XME41</v>
      </c>
      <c r="F6102" s="238" t="str">
        <f>IFERROR(__xludf.DUMMYFUNCTION("""COMPUTED_VALUE"""),"-")</f>
        <v>-</v>
      </c>
      <c r="G6102" s="238" t="str">
        <f>IFERROR(__xludf.DUMMYFUNCTION("""COMPUTED_VALUE"""),"-")</f>
        <v>-</v>
      </c>
      <c r="H6102" s="238" t="str">
        <f>IFERROR(__xludf.DUMMYFUNCTION("""COMPUTED_VALUE"""),"-")</f>
        <v>-</v>
      </c>
      <c r="J6102" s="239" t="e">
        <v>#VALUE!</v>
      </c>
    </row>
    <row r="6103">
      <c r="A6103" s="234"/>
      <c r="B6103" s="238" t="str">
        <f>IFERROR(__xludf.DUMMYFUNCTION("""COMPUTED_VALUE"""),"Fanout Desconhecido")</f>
        <v>Fanout Desconhecido</v>
      </c>
      <c r="C6103" s="238" t="str">
        <f>IFERROR(__xludf.DUMMYFUNCTION("""COMPUTED_VALUE"""),"-")</f>
        <v>-</v>
      </c>
      <c r="D6103" s="234">
        <f>IFERROR(__xludf.DUMMYFUNCTION("""COMPUTED_VALUE"""),26.0)</f>
        <v>26</v>
      </c>
      <c r="E6103" s="237" t="str">
        <f>IFERROR(__xludf.DUMMYFUNCTION("""COMPUTED_VALUE"""),"LT0Q1T01XDIN1")</f>
        <v>LT0Q1T01XDIN1</v>
      </c>
      <c r="F6103" s="238" t="str">
        <f>IFERROR(__xludf.DUMMYFUNCTION("""COMPUTED_VALUE"""),"-")</f>
        <v>-</v>
      </c>
      <c r="G6103" s="238" t="str">
        <f>IFERROR(__xludf.DUMMYFUNCTION("""COMPUTED_VALUE"""),"-")</f>
        <v>-</v>
      </c>
      <c r="H6103" s="238" t="str">
        <f>IFERROR(__xludf.DUMMYFUNCTION("""COMPUTED_VALUE"""),"-")</f>
        <v>-</v>
      </c>
      <c r="J6103" s="239" t="e">
        <v>#VALUE!</v>
      </c>
    </row>
    <row r="6104">
      <c r="A6104" s="234"/>
      <c r="B6104" s="238" t="str">
        <f>IFERROR(__xludf.DUMMYFUNCTION("""COMPUTED_VALUE"""),"Fanout Desconhecido")</f>
        <v>Fanout Desconhecido</v>
      </c>
      <c r="C6104" s="238" t="str">
        <f>IFERROR(__xludf.DUMMYFUNCTION("""COMPUTED_VALUE"""),"-")</f>
        <v>-</v>
      </c>
      <c r="D6104" s="234">
        <f>IFERROR(__xludf.DUMMYFUNCTION("""COMPUTED_VALUE"""),18.0)</f>
        <v>18</v>
      </c>
      <c r="E6104" s="237" t="str">
        <f>IFERROR(__xludf.DUMMYFUNCTION("""COMPUTED_VALUE"""),"LT0Q1T01XEJ91")</f>
        <v>LT0Q1T01XEJ91</v>
      </c>
      <c r="F6104" s="238" t="str">
        <f>IFERROR(__xludf.DUMMYFUNCTION("""COMPUTED_VALUE"""),"-")</f>
        <v>-</v>
      </c>
      <c r="G6104" s="238" t="str">
        <f>IFERROR(__xludf.DUMMYFUNCTION("""COMPUTED_VALUE"""),"-")</f>
        <v>-</v>
      </c>
      <c r="H6104" s="238" t="str">
        <f>IFERROR(__xludf.DUMMYFUNCTION("""COMPUTED_VALUE"""),"-")</f>
        <v>-</v>
      </c>
      <c r="J6104" s="239" t="e">
        <v>#VALUE!</v>
      </c>
    </row>
    <row r="6105">
      <c r="A6105" s="234"/>
      <c r="B6105" s="238" t="str">
        <f>IFERROR(__xludf.DUMMYFUNCTION("""COMPUTED_VALUE"""),"Fanout Desconhecido")</f>
        <v>Fanout Desconhecido</v>
      </c>
      <c r="C6105" s="238" t="str">
        <f>IFERROR(__xludf.DUMMYFUNCTION("""COMPUTED_VALUE"""),"-")</f>
        <v>-</v>
      </c>
      <c r="D6105" s="234">
        <f>IFERROR(__xludf.DUMMYFUNCTION("""COMPUTED_VALUE"""),41.0)</f>
        <v>41</v>
      </c>
      <c r="E6105" s="237" t="str">
        <f>IFERROR(__xludf.DUMMYFUNCTION("""COMPUTED_VALUE"""),"LT0Q1T01XEL21")</f>
        <v>LT0Q1T01XEL21</v>
      </c>
      <c r="F6105" s="238" t="str">
        <f>IFERROR(__xludf.DUMMYFUNCTION("""COMPUTED_VALUE"""),"-")</f>
        <v>-</v>
      </c>
      <c r="G6105" s="238" t="str">
        <f>IFERROR(__xludf.DUMMYFUNCTION("""COMPUTED_VALUE"""),"-")</f>
        <v>-</v>
      </c>
      <c r="H6105" s="238" t="str">
        <f>IFERROR(__xludf.DUMMYFUNCTION("""COMPUTED_VALUE"""),"-")</f>
        <v>-</v>
      </c>
      <c r="J6105" s="239" t="e">
        <v>#VALUE!</v>
      </c>
    </row>
    <row r="6106">
      <c r="A6106" s="234"/>
      <c r="B6106" s="238" t="str">
        <f>IFERROR(__xludf.DUMMYFUNCTION("""COMPUTED_VALUE"""),"Fanout Desconhecido")</f>
        <v>Fanout Desconhecido</v>
      </c>
      <c r="C6106" s="238" t="str">
        <f>IFERROR(__xludf.DUMMYFUNCTION("""COMPUTED_VALUE"""),"-")</f>
        <v>-</v>
      </c>
      <c r="D6106" s="234">
        <f>IFERROR(__xludf.DUMMYFUNCTION("""COMPUTED_VALUE"""),25.0)</f>
        <v>25</v>
      </c>
      <c r="E6106" s="237" t="str">
        <f>IFERROR(__xludf.DUMMYFUNCTION("""COMPUTED_VALUE"""),"LT0Q1T01XEJI1")</f>
        <v>LT0Q1T01XEJI1</v>
      </c>
      <c r="F6106" s="238" t="str">
        <f>IFERROR(__xludf.DUMMYFUNCTION("""COMPUTED_VALUE"""),"-")</f>
        <v>-</v>
      </c>
      <c r="G6106" s="238" t="str">
        <f>IFERROR(__xludf.DUMMYFUNCTION("""COMPUTED_VALUE"""),"-")</f>
        <v>-</v>
      </c>
      <c r="H6106" s="238" t="str">
        <f>IFERROR(__xludf.DUMMYFUNCTION("""COMPUTED_VALUE"""),"-")</f>
        <v>-</v>
      </c>
      <c r="J6106" s="239" t="e">
        <v>#VALUE!</v>
      </c>
    </row>
    <row r="6107">
      <c r="A6107" s="234"/>
      <c r="B6107" s="238" t="str">
        <f>IFERROR(__xludf.DUMMYFUNCTION("""COMPUTED_VALUE"""),"Fanout Desconhecido")</f>
        <v>Fanout Desconhecido</v>
      </c>
      <c r="C6107" s="238" t="str">
        <f>IFERROR(__xludf.DUMMYFUNCTION("""COMPUTED_VALUE"""),"-")</f>
        <v>-</v>
      </c>
      <c r="D6107" s="234">
        <f>IFERROR(__xludf.DUMMYFUNCTION("""COMPUTED_VALUE"""),39.0)</f>
        <v>39</v>
      </c>
      <c r="E6107" s="237" t="str">
        <f>IFERROR(__xludf.DUMMYFUNCTION("""COMPUTED_VALUE"""),"LT0Q1T01XDCZ1")</f>
        <v>LT0Q1T01XDCZ1</v>
      </c>
      <c r="F6107" s="238" t="str">
        <f>IFERROR(__xludf.DUMMYFUNCTION("""COMPUTED_VALUE"""),"-")</f>
        <v>-</v>
      </c>
      <c r="G6107" s="238" t="str">
        <f>IFERROR(__xludf.DUMMYFUNCTION("""COMPUTED_VALUE"""),"-")</f>
        <v>-</v>
      </c>
      <c r="H6107" s="238" t="str">
        <f>IFERROR(__xludf.DUMMYFUNCTION("""COMPUTED_VALUE"""),"-")</f>
        <v>-</v>
      </c>
      <c r="J6107" s="239" t="e">
        <v>#VALUE!</v>
      </c>
    </row>
    <row r="6108">
      <c r="A6108" s="234"/>
      <c r="B6108" s="238" t="str">
        <f>IFERROR(__xludf.DUMMYFUNCTION("""COMPUTED_VALUE"""),"Fanout Desconhecido")</f>
        <v>Fanout Desconhecido</v>
      </c>
      <c r="C6108" s="238" t="str">
        <f>IFERROR(__xludf.DUMMYFUNCTION("""COMPUTED_VALUE"""),"-")</f>
        <v>-</v>
      </c>
      <c r="D6108" s="234">
        <f>IFERROR(__xludf.DUMMYFUNCTION("""COMPUTED_VALUE"""),19.0)</f>
        <v>19</v>
      </c>
      <c r="E6108" s="237" t="str">
        <f>IFERROR(__xludf.DUMMYFUNCTION("""COMPUTED_VALUE"""),"LT0Q1T01XEJX1")</f>
        <v>LT0Q1T01XEJX1</v>
      </c>
      <c r="F6108" s="238" t="str">
        <f>IFERROR(__xludf.DUMMYFUNCTION("""COMPUTED_VALUE"""),"-")</f>
        <v>-</v>
      </c>
      <c r="G6108" s="238" t="str">
        <f>IFERROR(__xludf.DUMMYFUNCTION("""COMPUTED_VALUE"""),"-")</f>
        <v>-</v>
      </c>
      <c r="H6108" s="238" t="str">
        <f>IFERROR(__xludf.DUMMYFUNCTION("""COMPUTED_VALUE"""),"-")</f>
        <v>-</v>
      </c>
      <c r="J6108" s="239" t="e">
        <v>#VALUE!</v>
      </c>
    </row>
    <row r="6109">
      <c r="A6109" s="234"/>
      <c r="B6109" s="238" t="str">
        <f>IFERROR(__xludf.DUMMYFUNCTION("""COMPUTED_VALUE"""),"Fanout Desconhecido")</f>
        <v>Fanout Desconhecido</v>
      </c>
      <c r="C6109" s="238" t="str">
        <f>IFERROR(__xludf.DUMMYFUNCTION("""COMPUTED_VALUE"""),"-")</f>
        <v>-</v>
      </c>
      <c r="D6109" s="234">
        <f>IFERROR(__xludf.DUMMYFUNCTION("""COMPUTED_VALUE"""),40.0)</f>
        <v>40</v>
      </c>
      <c r="E6109" s="237" t="str">
        <f>IFERROR(__xludf.DUMMYFUNCTION("""COMPUTED_VALUE"""),"LT0Q1T01XDBA1")</f>
        <v>LT0Q1T01XDBA1</v>
      </c>
      <c r="F6109" s="238" t="str">
        <f>IFERROR(__xludf.DUMMYFUNCTION("""COMPUTED_VALUE"""),"-")</f>
        <v>-</v>
      </c>
      <c r="G6109" s="238" t="str">
        <f>IFERROR(__xludf.DUMMYFUNCTION("""COMPUTED_VALUE"""),"-")</f>
        <v>-</v>
      </c>
      <c r="H6109" s="238" t="str">
        <f>IFERROR(__xludf.DUMMYFUNCTION("""COMPUTED_VALUE"""),"-")</f>
        <v>-</v>
      </c>
      <c r="J6109" s="239" t="e">
        <v>#VALUE!</v>
      </c>
    </row>
    <row r="6110">
      <c r="A6110" s="234"/>
      <c r="B6110" s="238" t="str">
        <f>IFERROR(__xludf.DUMMYFUNCTION("""COMPUTED_VALUE"""),"Fanout Desconhecido")</f>
        <v>Fanout Desconhecido</v>
      </c>
      <c r="C6110" s="238" t="str">
        <f>IFERROR(__xludf.DUMMYFUNCTION("""COMPUTED_VALUE"""),"-")</f>
        <v>-</v>
      </c>
      <c r="D6110" s="234">
        <f>IFERROR(__xludf.DUMMYFUNCTION("""COMPUTED_VALUE"""),9.0)</f>
        <v>9</v>
      </c>
      <c r="E6110" s="237" t="str">
        <f>IFERROR(__xludf.DUMMYFUNCTION("""COMPUTED_VALUE"""),"LT0Q1T01XEK71")</f>
        <v>LT0Q1T01XEK71</v>
      </c>
      <c r="F6110" s="238" t="str">
        <f>IFERROR(__xludf.DUMMYFUNCTION("""COMPUTED_VALUE"""),"-")</f>
        <v>-</v>
      </c>
      <c r="G6110" s="238" t="str">
        <f>IFERROR(__xludf.DUMMYFUNCTION("""COMPUTED_VALUE"""),"-")</f>
        <v>-</v>
      </c>
      <c r="H6110" s="238" t="str">
        <f>IFERROR(__xludf.DUMMYFUNCTION("""COMPUTED_VALUE"""),"-")</f>
        <v>-</v>
      </c>
      <c r="J6110" s="239" t="e">
        <v>#VALUE!</v>
      </c>
    </row>
    <row r="6111">
      <c r="A6111" s="234"/>
      <c r="B6111" s="238" t="str">
        <f>IFERROR(__xludf.DUMMYFUNCTION("""COMPUTED_VALUE"""),"Fanout Desconhecido")</f>
        <v>Fanout Desconhecido</v>
      </c>
      <c r="C6111" s="238" t="str">
        <f>IFERROR(__xludf.DUMMYFUNCTION("""COMPUTED_VALUE"""),"-")</f>
        <v>-</v>
      </c>
      <c r="D6111" s="234">
        <f>IFERROR(__xludf.DUMMYFUNCTION("""COMPUTED_VALUE"""),32.0)</f>
        <v>32</v>
      </c>
      <c r="E6111" s="237" t="str">
        <f>IFERROR(__xludf.DUMMYFUNCTION("""COMPUTED_VALUE"""),"LT0Q1T01XEK21")</f>
        <v>LT0Q1T01XEK21</v>
      </c>
      <c r="F6111" s="238" t="str">
        <f>IFERROR(__xludf.DUMMYFUNCTION("""COMPUTED_VALUE"""),"-")</f>
        <v>-</v>
      </c>
      <c r="G6111" s="238" t="str">
        <f>IFERROR(__xludf.DUMMYFUNCTION("""COMPUTED_VALUE"""),"-")</f>
        <v>-</v>
      </c>
      <c r="H6111" s="238" t="str">
        <f>IFERROR(__xludf.DUMMYFUNCTION("""COMPUTED_VALUE"""),"-")</f>
        <v>-</v>
      </c>
      <c r="J6111" s="239" t="e">
        <v>#VALUE!</v>
      </c>
    </row>
    <row r="6112">
      <c r="A6112" s="234"/>
      <c r="B6112" s="238" t="str">
        <f>IFERROR(__xludf.DUMMYFUNCTION("""COMPUTED_VALUE"""),"Fanout Desconhecido")</f>
        <v>Fanout Desconhecido</v>
      </c>
      <c r="C6112" s="238" t="str">
        <f>IFERROR(__xludf.DUMMYFUNCTION("""COMPUTED_VALUE"""),"-")</f>
        <v>-</v>
      </c>
      <c r="D6112" s="234">
        <f>IFERROR(__xludf.DUMMYFUNCTION("""COMPUTED_VALUE"""),16.0)</f>
        <v>16</v>
      </c>
      <c r="E6112" s="237" t="str">
        <f>IFERROR(__xludf.DUMMYFUNCTION("""COMPUTED_VALUE"""),"LT0Q1T01XEBD1")</f>
        <v>LT0Q1T01XEBD1</v>
      </c>
      <c r="F6112" s="238" t="str">
        <f>IFERROR(__xludf.DUMMYFUNCTION("""COMPUTED_VALUE"""),"-")</f>
        <v>-</v>
      </c>
      <c r="G6112" s="238" t="str">
        <f>IFERROR(__xludf.DUMMYFUNCTION("""COMPUTED_VALUE"""),"-")</f>
        <v>-</v>
      </c>
      <c r="H6112" s="238" t="str">
        <f>IFERROR(__xludf.DUMMYFUNCTION("""COMPUTED_VALUE"""),"-")</f>
        <v>-</v>
      </c>
      <c r="J6112" s="239" t="e">
        <v>#VALUE!</v>
      </c>
    </row>
    <row r="6113">
      <c r="A6113" s="234"/>
      <c r="B6113" s="238" t="str">
        <f>IFERROR(__xludf.DUMMYFUNCTION("""COMPUTED_VALUE"""),"Fanout Desconhecido")</f>
        <v>Fanout Desconhecido</v>
      </c>
      <c r="C6113" s="238" t="str">
        <f>IFERROR(__xludf.DUMMYFUNCTION("""COMPUTED_VALUE"""),"-")</f>
        <v>-</v>
      </c>
      <c r="D6113" s="234">
        <f>IFERROR(__xludf.DUMMYFUNCTION("""COMPUTED_VALUE"""),35.0)</f>
        <v>35</v>
      </c>
      <c r="E6113" s="237" t="str">
        <f>IFERROR(__xludf.DUMMYFUNCTION("""COMPUTED_VALUE"""),"LT0Q1T01XME91")</f>
        <v>LT0Q1T01XME91</v>
      </c>
      <c r="F6113" s="238" t="str">
        <f>IFERROR(__xludf.DUMMYFUNCTION("""COMPUTED_VALUE"""),"-")</f>
        <v>-</v>
      </c>
      <c r="G6113" s="238" t="str">
        <f>IFERROR(__xludf.DUMMYFUNCTION("""COMPUTED_VALUE"""),"-")</f>
        <v>-</v>
      </c>
      <c r="H6113" s="238" t="str">
        <f>IFERROR(__xludf.DUMMYFUNCTION("""COMPUTED_VALUE"""),"-")</f>
        <v>-</v>
      </c>
      <c r="J6113" s="239" t="e">
        <v>#VALUE!</v>
      </c>
    </row>
    <row r="6114">
      <c r="A6114" s="234"/>
      <c r="B6114" s="238" t="str">
        <f>IFERROR(__xludf.DUMMYFUNCTION("""COMPUTED_VALUE"""),"Fanout Desconhecido")</f>
        <v>Fanout Desconhecido</v>
      </c>
      <c r="C6114" s="238" t="str">
        <f>IFERROR(__xludf.DUMMYFUNCTION("""COMPUTED_VALUE"""),"-")</f>
        <v>-</v>
      </c>
      <c r="D6114" s="234"/>
      <c r="E6114" s="237" t="str">
        <f>IFERROR(__xludf.DUMMYFUNCTION("""COMPUTED_VALUE"""),"LT0Q1T01XE0X1")</f>
        <v>LT0Q1T01XE0X1</v>
      </c>
      <c r="F6114" s="238" t="str">
        <f>IFERROR(__xludf.DUMMYFUNCTION("""COMPUTED_VALUE"""),"-")</f>
        <v>-</v>
      </c>
      <c r="G6114" s="238" t="str">
        <f>IFERROR(__xludf.DUMMYFUNCTION("""COMPUTED_VALUE"""),"-")</f>
        <v>-</v>
      </c>
      <c r="H6114" s="238" t="str">
        <f>IFERROR(__xludf.DUMMYFUNCTION("""COMPUTED_VALUE"""),"-")</f>
        <v>-</v>
      </c>
      <c r="J6114" s="239" t="e">
        <v>#VALUE!</v>
      </c>
    </row>
    <row r="6115">
      <c r="A6115" s="234"/>
      <c r="B6115" s="238" t="str">
        <f>IFERROR(__xludf.DUMMYFUNCTION("""COMPUTED_VALUE"""),"Fanout Desconhecido")</f>
        <v>Fanout Desconhecido</v>
      </c>
      <c r="C6115" s="238" t="str">
        <f>IFERROR(__xludf.DUMMYFUNCTION("""COMPUTED_VALUE"""),"-")</f>
        <v>-</v>
      </c>
      <c r="D6115" s="234">
        <f>IFERROR(__xludf.DUMMYFUNCTION("""COMPUTED_VALUE"""),6.0)</f>
        <v>6</v>
      </c>
      <c r="E6115" s="237" t="str">
        <f>IFERROR(__xludf.DUMMYFUNCTION("""COMPUTED_VALUE"""),"LT0Q1T01XI0G2")</f>
        <v>LT0Q1T01XI0G2</v>
      </c>
      <c r="F6115" s="238" t="str">
        <f>IFERROR(__xludf.DUMMYFUNCTION("""COMPUTED_VALUE"""),"-")</f>
        <v>-</v>
      </c>
      <c r="G6115" s="238" t="str">
        <f>IFERROR(__xludf.DUMMYFUNCTION("""COMPUTED_VALUE"""),"-")</f>
        <v>-</v>
      </c>
      <c r="H6115" s="238" t="str">
        <f>IFERROR(__xludf.DUMMYFUNCTION("""COMPUTED_VALUE"""),"-")</f>
        <v>-</v>
      </c>
      <c r="J6115" s="239" t="e">
        <v>#VALUE!</v>
      </c>
    </row>
    <row r="6116">
      <c r="A6116" s="234"/>
      <c r="B6116" s="238" t="str">
        <f>IFERROR(__xludf.DUMMYFUNCTION("""COMPUTED_VALUE"""),"Fanout Desconhecido")</f>
        <v>Fanout Desconhecido</v>
      </c>
      <c r="C6116" s="238" t="str">
        <f>IFERROR(__xludf.DUMMYFUNCTION("""COMPUTED_VALUE"""),"-")</f>
        <v>-</v>
      </c>
      <c r="D6116" s="234">
        <f>IFERROR(__xludf.DUMMYFUNCTION("""COMPUTED_VALUE"""),27.0)</f>
        <v>27</v>
      </c>
      <c r="E6116" s="237" t="str">
        <f>IFERROR(__xludf.DUMMYFUNCTION("""COMPUTED_VALUE"""),"LT0Q1T01XGNT1")</f>
        <v>LT0Q1T01XGNT1</v>
      </c>
      <c r="F6116" s="238" t="str">
        <f>IFERROR(__xludf.DUMMYFUNCTION("""COMPUTED_VALUE"""),"-")</f>
        <v>-</v>
      </c>
      <c r="G6116" s="238" t="str">
        <f>IFERROR(__xludf.DUMMYFUNCTION("""COMPUTED_VALUE"""),"-")</f>
        <v>-</v>
      </c>
      <c r="H6116" s="238" t="str">
        <f>IFERROR(__xludf.DUMMYFUNCTION("""COMPUTED_VALUE"""),"-")</f>
        <v>-</v>
      </c>
      <c r="J6116" s="239" t="e">
        <v>#VALUE!</v>
      </c>
    </row>
    <row r="6117">
      <c r="A6117" s="234"/>
      <c r="B6117" s="238" t="str">
        <f>IFERROR(__xludf.DUMMYFUNCTION("""COMPUTED_VALUE"""),"Fanout Desconhecido")</f>
        <v>Fanout Desconhecido</v>
      </c>
      <c r="C6117" s="238" t="str">
        <f>IFERROR(__xludf.DUMMYFUNCTION("""COMPUTED_VALUE"""),"-")</f>
        <v>-</v>
      </c>
      <c r="D6117" s="234"/>
      <c r="E6117" s="237" t="str">
        <f>IFERROR(__xludf.DUMMYFUNCTION("""COMPUTED_VALUE"""),"LT1Q1S01XRS31")</f>
        <v>LT1Q1S01XRS31</v>
      </c>
      <c r="F6117" s="238" t="str">
        <f>IFERROR(__xludf.DUMMYFUNCTION("""COMPUTED_VALUE"""),"-")</f>
        <v>-</v>
      </c>
      <c r="G6117" s="238" t="str">
        <f>IFERROR(__xludf.DUMMYFUNCTION("""COMPUTED_VALUE"""),"-")</f>
        <v>-</v>
      </c>
      <c r="H6117" s="238" t="str">
        <f>IFERROR(__xludf.DUMMYFUNCTION("""COMPUTED_VALUE"""),"-")</f>
        <v>-</v>
      </c>
      <c r="J6117" s="239" t="e">
        <v>#VALUE!</v>
      </c>
    </row>
    <row r="6118">
      <c r="A6118" s="234"/>
      <c r="B6118" s="238" t="str">
        <f>IFERROR(__xludf.DUMMYFUNCTION("""COMPUTED_VALUE"""),"Fanout Desconhecido")</f>
        <v>Fanout Desconhecido</v>
      </c>
      <c r="C6118" s="238" t="str">
        <f>IFERROR(__xludf.DUMMYFUNCTION("""COMPUTED_VALUE"""),"-")</f>
        <v>-</v>
      </c>
      <c r="D6118" s="234"/>
      <c r="E6118" s="237" t="str">
        <f>IFERROR(__xludf.DUMMYFUNCTION("""COMPUTED_VALUE"""),"LT0Q1S01XHI11")</f>
        <v>LT0Q1S01XHI11</v>
      </c>
      <c r="F6118" s="238" t="str">
        <f>IFERROR(__xludf.DUMMYFUNCTION("""COMPUTED_VALUE"""),"-")</f>
        <v>-</v>
      </c>
      <c r="G6118" s="238" t="str">
        <f>IFERROR(__xludf.DUMMYFUNCTION("""COMPUTED_VALUE"""),"-")</f>
        <v>-</v>
      </c>
      <c r="H6118" s="238" t="str">
        <f>IFERROR(__xludf.DUMMYFUNCTION("""COMPUTED_VALUE"""),"-")</f>
        <v>-</v>
      </c>
      <c r="J6118" s="239" t="e">
        <v>#VALUE!</v>
      </c>
    </row>
    <row r="6119">
      <c r="A6119" s="234"/>
      <c r="B6119" s="238" t="str">
        <f>IFERROR(__xludf.DUMMYFUNCTION("""COMPUTED_VALUE"""),"Fanout Desconhecido")</f>
        <v>Fanout Desconhecido</v>
      </c>
      <c r="C6119" s="238" t="str">
        <f>IFERROR(__xludf.DUMMYFUNCTION("""COMPUTED_VALUE"""),"-")</f>
        <v>-</v>
      </c>
      <c r="D6119" s="234">
        <f>IFERROR(__xludf.DUMMYFUNCTION("""COMPUTED_VALUE"""),97.0)</f>
        <v>97</v>
      </c>
      <c r="E6119" s="237" t="str">
        <f>IFERROR(__xludf.DUMMYFUNCTION("""COMPUTED_VALUE"""),"LT0Q1S01XF9S2")</f>
        <v>LT0Q1S01XF9S2</v>
      </c>
      <c r="F6119" s="238" t="str">
        <f>IFERROR(__xludf.DUMMYFUNCTION("""COMPUTED_VALUE"""),"-")</f>
        <v>-</v>
      </c>
      <c r="G6119" s="238" t="str">
        <f>IFERROR(__xludf.DUMMYFUNCTION("""COMPUTED_VALUE"""),"-")</f>
        <v>-</v>
      </c>
      <c r="H6119" s="238" t="str">
        <f>IFERROR(__xludf.DUMMYFUNCTION("""COMPUTED_VALUE"""),"-")</f>
        <v>-</v>
      </c>
      <c r="J6119" s="239" t="e">
        <v>#VALUE!</v>
      </c>
    </row>
    <row r="6120">
      <c r="A6120" s="234"/>
      <c r="B6120" s="238" t="str">
        <f>IFERROR(__xludf.DUMMYFUNCTION("""COMPUTED_VALUE"""),"Fanout Desconhecido")</f>
        <v>Fanout Desconhecido</v>
      </c>
      <c r="C6120" s="238" t="str">
        <f>IFERROR(__xludf.DUMMYFUNCTION("""COMPUTED_VALUE"""),"-")</f>
        <v>-</v>
      </c>
      <c r="D6120" s="234">
        <f>IFERROR(__xludf.DUMMYFUNCTION("""COMPUTED_VALUE"""),90.0)</f>
        <v>90</v>
      </c>
      <c r="E6120" s="237" t="str">
        <f>IFERROR(__xludf.DUMMYFUNCTION("""COMPUTED_VALUE"""),"LT0Q1S01XDAO1")</f>
        <v>LT0Q1S01XDAO1</v>
      </c>
      <c r="F6120" s="238" t="str">
        <f>IFERROR(__xludf.DUMMYFUNCTION("""COMPUTED_VALUE"""),"-")</f>
        <v>-</v>
      </c>
      <c r="G6120" s="238" t="str">
        <f>IFERROR(__xludf.DUMMYFUNCTION("""COMPUTED_VALUE"""),"-")</f>
        <v>-</v>
      </c>
      <c r="H6120" s="238" t="str">
        <f>IFERROR(__xludf.DUMMYFUNCTION("""COMPUTED_VALUE"""),"-")</f>
        <v>-</v>
      </c>
      <c r="J6120" s="239" t="e">
        <v>#VALUE!</v>
      </c>
    </row>
    <row r="6121">
      <c r="A6121" s="234"/>
      <c r="B6121" s="238" t="str">
        <f>IFERROR(__xludf.DUMMYFUNCTION("""COMPUTED_VALUE"""),"Fanout Desconhecido")</f>
        <v>Fanout Desconhecido</v>
      </c>
      <c r="C6121" s="238" t="str">
        <f>IFERROR(__xludf.DUMMYFUNCTION("""COMPUTED_VALUE"""),"-")</f>
        <v>-</v>
      </c>
      <c r="D6121" s="234">
        <f>IFERROR(__xludf.DUMMYFUNCTION("""COMPUTED_VALUE"""),44.0)</f>
        <v>44</v>
      </c>
      <c r="E6121" s="237" t="str">
        <f>IFERROR(__xludf.DUMMYFUNCTION("""COMPUTED_VALUE"""),"LT0Q1S01XM5L1")</f>
        <v>LT0Q1S01XM5L1</v>
      </c>
      <c r="F6121" s="238" t="str">
        <f>IFERROR(__xludf.DUMMYFUNCTION("""COMPUTED_VALUE"""),"-")</f>
        <v>-</v>
      </c>
      <c r="G6121" s="238" t="str">
        <f>IFERROR(__xludf.DUMMYFUNCTION("""COMPUTED_VALUE"""),"-")</f>
        <v>-</v>
      </c>
      <c r="H6121" s="238" t="str">
        <f>IFERROR(__xludf.DUMMYFUNCTION("""COMPUTED_VALUE"""),"-")</f>
        <v>-</v>
      </c>
      <c r="J6121" s="239" t="e">
        <v>#VALUE!</v>
      </c>
    </row>
    <row r="6122">
      <c r="A6122" s="234"/>
      <c r="B6122" s="238" t="str">
        <f>IFERROR(__xludf.DUMMYFUNCTION("""COMPUTED_VALUE"""),"Fanout Desconhecido")</f>
        <v>Fanout Desconhecido</v>
      </c>
      <c r="C6122" s="238" t="str">
        <f>IFERROR(__xludf.DUMMYFUNCTION("""COMPUTED_VALUE"""),"-")</f>
        <v>-</v>
      </c>
      <c r="D6122" s="234">
        <f>IFERROR(__xludf.DUMMYFUNCTION("""COMPUTED_VALUE"""),94.0)</f>
        <v>94</v>
      </c>
      <c r="E6122" s="237" t="str">
        <f>IFERROR(__xludf.DUMMYFUNCTION("""COMPUTED_VALUE"""),"LT0Q1S01XDCH1")</f>
        <v>LT0Q1S01XDCH1</v>
      </c>
      <c r="F6122" s="238" t="str">
        <f>IFERROR(__xludf.DUMMYFUNCTION("""COMPUTED_VALUE"""),"-")</f>
        <v>-</v>
      </c>
      <c r="G6122" s="238" t="str">
        <f>IFERROR(__xludf.DUMMYFUNCTION("""COMPUTED_VALUE"""),"-")</f>
        <v>-</v>
      </c>
      <c r="H6122" s="238" t="str">
        <f>IFERROR(__xludf.DUMMYFUNCTION("""COMPUTED_VALUE"""),"-")</f>
        <v>-</v>
      </c>
      <c r="J6122" s="239" t="e">
        <v>#VALUE!</v>
      </c>
    </row>
    <row r="6123">
      <c r="A6123" s="234"/>
      <c r="B6123" s="238" t="str">
        <f>IFERROR(__xludf.DUMMYFUNCTION("""COMPUTED_VALUE"""),"Fanout Desconhecido")</f>
        <v>Fanout Desconhecido</v>
      </c>
      <c r="C6123" s="238" t="str">
        <f>IFERROR(__xludf.DUMMYFUNCTION("""COMPUTED_VALUE"""),"-")</f>
        <v>-</v>
      </c>
      <c r="D6123" s="234">
        <f>IFERROR(__xludf.DUMMYFUNCTION("""COMPUTED_VALUE"""),98.0)</f>
        <v>98</v>
      </c>
      <c r="E6123" s="237" t="str">
        <f>IFERROR(__xludf.DUMMYFUNCTION("""COMPUTED_VALUE"""),"LT0Q1T01XIBI3")</f>
        <v>LT0Q1T01XIBI3</v>
      </c>
      <c r="F6123" s="238" t="str">
        <f>IFERROR(__xludf.DUMMYFUNCTION("""COMPUTED_VALUE"""),"-")</f>
        <v>-</v>
      </c>
      <c r="G6123" s="238" t="str">
        <f>IFERROR(__xludf.DUMMYFUNCTION("""COMPUTED_VALUE"""),"-")</f>
        <v>-</v>
      </c>
      <c r="H6123" s="238" t="str">
        <f>IFERROR(__xludf.DUMMYFUNCTION("""COMPUTED_VALUE"""),"-")</f>
        <v>-</v>
      </c>
      <c r="J6123" s="239" t="e">
        <v>#VALUE!</v>
      </c>
    </row>
    <row r="6124">
      <c r="A6124" s="234"/>
      <c r="B6124" s="238" t="str">
        <f>IFERROR(__xludf.DUMMYFUNCTION("""COMPUTED_VALUE"""),"Fanout Desconhecido")</f>
        <v>Fanout Desconhecido</v>
      </c>
      <c r="C6124" s="238" t="str">
        <f>IFERROR(__xludf.DUMMYFUNCTION("""COMPUTED_VALUE"""),"-")</f>
        <v>-</v>
      </c>
      <c r="D6124" s="234">
        <f>IFERROR(__xludf.DUMMYFUNCTION("""COMPUTED_VALUE"""),99.0)</f>
        <v>99</v>
      </c>
      <c r="E6124" s="237" t="str">
        <f>IFERROR(__xludf.DUMMYFUNCTION("""COMPUTED_VALUE"""),"LT0Q1T01XIBF1")</f>
        <v>LT0Q1T01XIBF1</v>
      </c>
      <c r="F6124" s="238" t="str">
        <f>IFERROR(__xludf.DUMMYFUNCTION("""COMPUTED_VALUE"""),"-")</f>
        <v>-</v>
      </c>
      <c r="G6124" s="238" t="str">
        <f>IFERROR(__xludf.DUMMYFUNCTION("""COMPUTED_VALUE"""),"-")</f>
        <v>-</v>
      </c>
      <c r="H6124" s="238" t="str">
        <f>IFERROR(__xludf.DUMMYFUNCTION("""COMPUTED_VALUE"""),"-")</f>
        <v>-</v>
      </c>
      <c r="J6124" s="239" t="e">
        <v>#VALUE!</v>
      </c>
    </row>
    <row r="6125">
      <c r="A6125" s="234"/>
      <c r="B6125" s="238" t="str">
        <f>IFERROR(__xludf.DUMMYFUNCTION("""COMPUTED_VALUE"""),"Fanout Desconhecido")</f>
        <v>Fanout Desconhecido</v>
      </c>
      <c r="C6125" s="238" t="str">
        <f>IFERROR(__xludf.DUMMYFUNCTION("""COMPUTED_VALUE"""),"-")</f>
        <v>-</v>
      </c>
      <c r="D6125" s="234">
        <f>IFERROR(__xludf.DUMMYFUNCTION("""COMPUTED_VALUE"""),89.0)</f>
        <v>89</v>
      </c>
      <c r="E6125" s="237" t="str">
        <f>IFERROR(__xludf.DUMMYFUNCTION("""COMPUTED_VALUE"""),"LT0Q1T01XIES1")</f>
        <v>LT0Q1T01XIES1</v>
      </c>
      <c r="F6125" s="238" t="str">
        <f>IFERROR(__xludf.DUMMYFUNCTION("""COMPUTED_VALUE"""),"-")</f>
        <v>-</v>
      </c>
      <c r="G6125" s="238" t="str">
        <f>IFERROR(__xludf.DUMMYFUNCTION("""COMPUTED_VALUE"""),"-")</f>
        <v>-</v>
      </c>
      <c r="H6125" s="238" t="str">
        <f>IFERROR(__xludf.DUMMYFUNCTION("""COMPUTED_VALUE"""),"-")</f>
        <v>-</v>
      </c>
      <c r="J6125" s="239" t="e">
        <v>#VALUE!</v>
      </c>
    </row>
    <row r="6126">
      <c r="A6126" s="234"/>
      <c r="B6126" s="238" t="str">
        <f>IFERROR(__xludf.DUMMYFUNCTION("""COMPUTED_VALUE"""),"Fanout Desconhecido")</f>
        <v>Fanout Desconhecido</v>
      </c>
      <c r="C6126" s="238" t="str">
        <f>IFERROR(__xludf.DUMMYFUNCTION("""COMPUTED_VALUE"""),"-")</f>
        <v>-</v>
      </c>
      <c r="D6126" s="234">
        <f>IFERROR(__xludf.DUMMYFUNCTION("""COMPUTED_VALUE"""),99.0)</f>
        <v>99</v>
      </c>
      <c r="E6126" s="237" t="str">
        <f>IFERROR(__xludf.DUMMYFUNCTION("""COMPUTED_VALUE"""),"LT0Q1T01XIBG2")</f>
        <v>LT0Q1T01XIBG2</v>
      </c>
      <c r="F6126" s="238" t="str">
        <f>IFERROR(__xludf.DUMMYFUNCTION("""COMPUTED_VALUE"""),"-")</f>
        <v>-</v>
      </c>
      <c r="G6126" s="238" t="str">
        <f>IFERROR(__xludf.DUMMYFUNCTION("""COMPUTED_VALUE"""),"-")</f>
        <v>-</v>
      </c>
      <c r="H6126" s="238" t="str">
        <f>IFERROR(__xludf.DUMMYFUNCTION("""COMPUTED_VALUE"""),"-")</f>
        <v>-</v>
      </c>
      <c r="J6126" s="239" t="e">
        <v>#VALUE!</v>
      </c>
    </row>
    <row r="6127">
      <c r="A6127" s="234"/>
      <c r="B6127" s="238" t="str">
        <f>IFERROR(__xludf.DUMMYFUNCTION("""COMPUTED_VALUE"""),"Fanout Desconhecido")</f>
        <v>Fanout Desconhecido</v>
      </c>
      <c r="C6127" s="238" t="str">
        <f>IFERROR(__xludf.DUMMYFUNCTION("""COMPUTED_VALUE"""),"-")</f>
        <v>-</v>
      </c>
      <c r="D6127" s="234">
        <f>IFERROR(__xludf.DUMMYFUNCTION("""COMPUTED_VALUE"""),92.0)</f>
        <v>92</v>
      </c>
      <c r="E6127" s="237" t="str">
        <f>IFERROR(__xludf.DUMMYFUNCTION("""COMPUTED_VALUE"""),"LT0Q1T01XISE1")</f>
        <v>LT0Q1T01XISE1</v>
      </c>
      <c r="F6127" s="238" t="str">
        <f>IFERROR(__xludf.DUMMYFUNCTION("""COMPUTED_VALUE"""),"-")</f>
        <v>-</v>
      </c>
      <c r="G6127" s="238" t="str">
        <f>IFERROR(__xludf.DUMMYFUNCTION("""COMPUTED_VALUE"""),"-")</f>
        <v>-</v>
      </c>
      <c r="H6127" s="238" t="str">
        <f>IFERROR(__xludf.DUMMYFUNCTION("""COMPUTED_VALUE"""),"-")</f>
        <v>-</v>
      </c>
      <c r="J6127" s="239">
        <v>537.9999999934807</v>
      </c>
    </row>
    <row r="6128">
      <c r="A6128" s="234"/>
      <c r="B6128" s="238" t="str">
        <f>IFERROR(__xludf.DUMMYFUNCTION("""COMPUTED_VALUE"""),"SoC_SP_Cravinhos")</f>
        <v>SoC_SP_Cravinhos</v>
      </c>
      <c r="C6128" s="238" t="str">
        <f>IFERROR(__xludf.DUMMYFUNCTION("""COMPUTED_VALUE"""),"SOC-SP5")</f>
        <v>SOC-SP5</v>
      </c>
      <c r="D6128" s="234">
        <f>IFERROR(__xludf.DUMMYFUNCTION("""COMPUTED_VALUE"""),94.0)</f>
        <v>94</v>
      </c>
      <c r="E6128" s="237" t="str">
        <f>IFERROR(__xludf.DUMMYFUNCTION("""COMPUTED_VALUE"""),"LT0Q1T01XDCF1")</f>
        <v>LT0Q1T01XDCF1</v>
      </c>
      <c r="F6128" s="238" t="str">
        <f>IFERROR(__xludf.DUMMYFUNCTION("""COMPUTED_VALUE"""),"TEC8J72,BEF4I43")</f>
        <v>TEC8J72,BEF4I43</v>
      </c>
      <c r="G6128" s="238">
        <f>IFERROR(__xludf.DUMMYFUNCTION("""COMPUTED_VALUE"""),46051.58472222222)</f>
        <v>46051.58472</v>
      </c>
      <c r="H6128" s="238">
        <f>IFERROR(__xludf.DUMMYFUNCTION("""COMPUTED_VALUE"""),46051.95833333333)</f>
        <v>46051.95833</v>
      </c>
      <c r="J6128" s="239">
        <v>120.00000001396984</v>
      </c>
    </row>
    <row r="6129">
      <c r="A6129" s="234"/>
      <c r="B6129" s="238" t="str">
        <f>IFERROR(__xludf.DUMMYFUNCTION("""COMPUTED_VALUE"""),"LM Hub_RJ_Jacarepaguá")</f>
        <v>LM Hub_RJ_Jacarepaguá</v>
      </c>
      <c r="C6129" s="238" t="str">
        <f>IFERROR(__xludf.DUMMYFUNCTION("""COMPUTED_VALUE"""),"HUB-LRJ-29")</f>
        <v>HUB-LRJ-29</v>
      </c>
      <c r="D6129" s="234">
        <f>IFERROR(__xludf.DUMMYFUNCTION("""COMPUTED_VALUE"""),110.0)</f>
        <v>110</v>
      </c>
      <c r="E6129" s="237" t="str">
        <f>IFERROR(__xludf.DUMMYFUNCTION("""COMPUTED_VALUE"""),"LT0Q1T01XIMM1")</f>
        <v>LT0Q1T01XIMM1</v>
      </c>
      <c r="F6129" s="238" t="str">
        <f>IFERROR(__xludf.DUMMYFUNCTION("""COMPUTED_VALUE"""),"HLD0E70")</f>
        <v>HLD0E70</v>
      </c>
      <c r="G6129" s="238">
        <f>IFERROR(__xludf.DUMMYFUNCTION("""COMPUTED_VALUE"""),46051.89583333333)</f>
        <v>46051.89583</v>
      </c>
      <c r="H6129" s="238">
        <f>IFERROR(__xludf.DUMMYFUNCTION("""COMPUTED_VALUE"""),46051.97916666667)</f>
        <v>46051.97917</v>
      </c>
      <c r="J6129" s="239">
        <v>120.00000001396984</v>
      </c>
    </row>
    <row r="6130">
      <c r="A6130" s="234"/>
      <c r="B6130" s="238" t="str">
        <f>IFERROR(__xludf.DUMMYFUNCTION("""COMPUTED_VALUE"""),"LM Hub_SP_Santos_Praia Grande")</f>
        <v>LM Hub_SP_Santos_Praia Grande</v>
      </c>
      <c r="C6130" s="238" t="str">
        <f>IFERROR(__xludf.DUMMYFUNCTION("""COMPUTED_VALUE"""),"HUB-LSP-09")</f>
        <v>HUB-LSP-09</v>
      </c>
      <c r="D6130" s="234">
        <f>IFERROR(__xludf.DUMMYFUNCTION("""COMPUTED_VALUE"""),18.0)</f>
        <v>18</v>
      </c>
      <c r="E6130" s="237" t="str">
        <f>IFERROR(__xludf.DUMMYFUNCTION("""COMPUTED_VALUE"""),"LT0Q1T01XDH11")</f>
        <v>LT0Q1T01XDH11</v>
      </c>
      <c r="F6130" s="238" t="str">
        <f>IFERROR(__xludf.DUMMYFUNCTION("""COMPUTED_VALUE"""),"FVG9C61,FKQ7070")</f>
        <v>FVG9C61,FKQ7070</v>
      </c>
      <c r="G6130" s="238">
        <f>IFERROR(__xludf.DUMMYFUNCTION("""COMPUTED_VALUE"""),46051.89583333333)</f>
        <v>46051.89583</v>
      </c>
      <c r="H6130" s="238">
        <f>IFERROR(__xludf.DUMMYFUNCTION("""COMPUTED_VALUE"""),46051.97916666667)</f>
        <v>46051.97917</v>
      </c>
      <c r="J6130" s="239">
        <v>120.00000001396984</v>
      </c>
    </row>
    <row r="6131">
      <c r="A6131" s="234"/>
      <c r="B6131" s="238" t="str">
        <f>IFERROR(__xludf.DUMMYFUNCTION("""COMPUTED_VALUE"""),"LM Hub_SP_São Paulo_Lapa")</f>
        <v>LM Hub_SP_São Paulo_Lapa</v>
      </c>
      <c r="C6131" s="238" t="str">
        <f>IFERROR(__xludf.DUMMYFUNCTION("""COMPUTED_VALUE"""),"HUB-LSP-15")</f>
        <v>HUB-LSP-15</v>
      </c>
      <c r="D6131" s="234">
        <f>IFERROR(__xludf.DUMMYFUNCTION("""COMPUTED_VALUE"""),49.0)</f>
        <v>49</v>
      </c>
      <c r="E6131" s="237" t="str">
        <f>IFERROR(__xludf.DUMMYFUNCTION("""COMPUTED_VALUE"""),"LT0Q1T01XDDW1")</f>
        <v>LT0Q1T01XDDW1</v>
      </c>
      <c r="F6131" s="238" t="str">
        <f>IFERROR(__xludf.DUMMYFUNCTION("""COMPUTED_VALUE"""),"QPV1A02,ELQ6F04")</f>
        <v>QPV1A02,ELQ6F04</v>
      </c>
      <c r="G6131" s="238">
        <f>IFERROR(__xludf.DUMMYFUNCTION("""COMPUTED_VALUE"""),46051.89583333333)</f>
        <v>46051.89583</v>
      </c>
      <c r="H6131" s="238">
        <f>IFERROR(__xludf.DUMMYFUNCTION("""COMPUTED_VALUE"""),46051.97916666667)</f>
        <v>46051.97917</v>
      </c>
      <c r="J6131" s="239">
        <v>119.00000001071021</v>
      </c>
    </row>
    <row r="6132">
      <c r="A6132" s="234"/>
      <c r="B6132" s="238" t="str">
        <f>IFERROR(__xludf.DUMMYFUNCTION("""COMPUTED_VALUE"""),"LM Hub_SP_Itaqua_Zimba")</f>
        <v>LM Hub_SP_Itaqua_Zimba</v>
      </c>
      <c r="C6132" s="238" t="str">
        <f>IFERROR(__xludf.DUMMYFUNCTION("""COMPUTED_VALUE"""),"HUB-LSP-74")</f>
        <v>HUB-LSP-74</v>
      </c>
      <c r="D6132" s="234">
        <f>IFERROR(__xludf.DUMMYFUNCTION("""COMPUTED_VALUE"""),17.0)</f>
        <v>17</v>
      </c>
      <c r="E6132" s="237" t="str">
        <f>IFERROR(__xludf.DUMMYFUNCTION("""COMPUTED_VALUE"""),"LT0Q1T01XM6F1")</f>
        <v>LT0Q1T01XM6F1</v>
      </c>
      <c r="F6132" s="238" t="str">
        <f>IFERROR(__xludf.DUMMYFUNCTION("""COMPUTED_VALUE"""),"MEZ3B05,MCK9433")</f>
        <v>MEZ3B05,MCK9433</v>
      </c>
      <c r="G6132" s="238">
        <f>IFERROR(__xludf.DUMMYFUNCTION("""COMPUTED_VALUE"""),46051.896527777775)</f>
        <v>46051.89653</v>
      </c>
      <c r="H6132" s="238">
        <f>IFERROR(__xludf.DUMMYFUNCTION("""COMPUTED_VALUE"""),46051.97916666667)</f>
        <v>46051.97917</v>
      </c>
      <c r="J6132" s="239">
        <v>119.00000001071021</v>
      </c>
    </row>
    <row r="6133">
      <c r="A6133" s="234"/>
      <c r="B6133" s="238" t="str">
        <f>IFERROR(__xludf.DUMMYFUNCTION("""COMPUTED_VALUE"""),"LM Hub_SP_São José dos Campos")</f>
        <v>LM Hub_SP_São José dos Campos</v>
      </c>
      <c r="C6133" s="238" t="str">
        <f>IFERROR(__xludf.DUMMYFUNCTION("""COMPUTED_VALUE"""),"HUB-LSP-04")</f>
        <v>HUB-LSP-04</v>
      </c>
      <c r="D6133" s="234">
        <f>IFERROR(__xludf.DUMMYFUNCTION("""COMPUTED_VALUE"""),13.0)</f>
        <v>13</v>
      </c>
      <c r="E6133" s="237" t="str">
        <f>IFERROR(__xludf.DUMMYFUNCTION("""COMPUTED_VALUE"""),"LT0Q1T01XDHT1")</f>
        <v>LT0Q1T01XDHT1</v>
      </c>
      <c r="F6133" s="238" t="str">
        <f>IFERROR(__xludf.DUMMYFUNCTION("""COMPUTED_VALUE"""),"TBX6C27")</f>
        <v>TBX6C27</v>
      </c>
      <c r="G6133" s="238">
        <f>IFERROR(__xludf.DUMMYFUNCTION("""COMPUTED_VALUE"""),46051.896527777775)</f>
        <v>46051.89653</v>
      </c>
      <c r="H6133" s="238">
        <f>IFERROR(__xludf.DUMMYFUNCTION("""COMPUTED_VALUE"""),46051.97916666667)</f>
        <v>46051.97917</v>
      </c>
      <c r="J6133" s="239">
        <v>117.00000000419095</v>
      </c>
    </row>
    <row r="6134">
      <c r="A6134" s="234"/>
      <c r="B6134" s="238" t="str">
        <f>IFERROR(__xludf.DUMMYFUNCTION("""COMPUTED_VALUE"""),"LM Hub_SP_Jurubatuba")</f>
        <v>LM Hub_SP_Jurubatuba</v>
      </c>
      <c r="C6134" s="238" t="str">
        <f>IFERROR(__xludf.DUMMYFUNCTION("""COMPUTED_VALUE"""),"HUB-LSP-16")</f>
        <v>HUB-LSP-16</v>
      </c>
      <c r="D6134" s="234">
        <f>IFERROR(__xludf.DUMMYFUNCTION("""COMPUTED_VALUE"""),28.0)</f>
        <v>28</v>
      </c>
      <c r="E6134" s="237" t="str">
        <f>IFERROR(__xludf.DUMMYFUNCTION("""COMPUTED_VALUE"""),"LT0Q1T01XM671")</f>
        <v>LT0Q1T01XM671</v>
      </c>
      <c r="F6134" s="238" t="str">
        <f>IFERROR(__xludf.DUMMYFUNCTION("""COMPUTED_VALUE"""),"DTD4722,NCK7E66")</f>
        <v>DTD4722,NCK7E66</v>
      </c>
      <c r="G6134" s="238">
        <f>IFERROR(__xludf.DUMMYFUNCTION("""COMPUTED_VALUE"""),46051.89791666667)</f>
        <v>46051.89792</v>
      </c>
      <c r="H6134" s="238">
        <f>IFERROR(__xludf.DUMMYFUNCTION("""COMPUTED_VALUE"""),46051.97916666667)</f>
        <v>46051.97917</v>
      </c>
      <c r="J6134" s="239">
        <v>118.99999998975545</v>
      </c>
    </row>
    <row r="6135">
      <c r="A6135" s="234"/>
      <c r="B6135" s="238" t="str">
        <f>IFERROR(__xludf.DUMMYFUNCTION("""COMPUTED_VALUE"""),"LM Hub_SP_Guarujá")</f>
        <v>LM Hub_SP_Guarujá</v>
      </c>
      <c r="C6135" s="238" t="str">
        <f>IFERROR(__xludf.DUMMYFUNCTION("""COMPUTED_VALUE"""),"HUB-LSP-06")</f>
        <v>HUB-LSP-06</v>
      </c>
      <c r="D6135" s="234">
        <f>IFERROR(__xludf.DUMMYFUNCTION("""COMPUTED_VALUE"""),35.0)</f>
        <v>35</v>
      </c>
      <c r="E6135" s="237" t="str">
        <f>IFERROR(__xludf.DUMMYFUNCTION("""COMPUTED_VALUE"""),"LT0Q1T01XDG11")</f>
        <v>LT0Q1T01XDG11</v>
      </c>
      <c r="F6135" s="238" t="str">
        <f>IFERROR(__xludf.DUMMYFUNCTION("""COMPUTED_VALUE"""),"SVL5H32")</f>
        <v>SVL5H32</v>
      </c>
      <c r="G6135" s="238">
        <f>IFERROR(__xludf.DUMMYFUNCTION("""COMPUTED_VALUE"""),46051.91666666667)</f>
        <v>46051.91667</v>
      </c>
      <c r="H6135" s="238">
        <f>IFERROR(__xludf.DUMMYFUNCTION("""COMPUTED_VALUE"""),46051.99930555555)</f>
        <v>46051.99931</v>
      </c>
      <c r="J6135" s="239">
        <v>360.0</v>
      </c>
    </row>
    <row r="6136">
      <c r="A6136" s="234"/>
      <c r="B6136" s="238" t="str">
        <f>IFERROR(__xludf.DUMMYFUNCTION("""COMPUTED_VALUE"""),"SoC_MG_Betim")</f>
        <v>SoC_MG_Betim</v>
      </c>
      <c r="C6136" s="238" t="str">
        <f>IFERROR(__xludf.DUMMYFUNCTION("""COMPUTED_VALUE"""),"SOC-MG2")</f>
        <v>SOC-MG2</v>
      </c>
      <c r="D6136" s="234" t="str">
        <f>IFERROR(__xludf.DUMMYFUNCTION("""COMPUTED_VALUE"""),"90/22")</f>
        <v>90/22</v>
      </c>
      <c r="E6136" s="237" t="str">
        <f>IFERROR(__xludf.DUMMYFUNCTION("""COMPUTED_VALUE"""),"LT0Q1T01XD9R3")</f>
        <v>LT0Q1T01XD9R3</v>
      </c>
      <c r="F6136" s="238" t="str">
        <f>IFERROR(__xludf.DUMMYFUNCTION("""COMPUTED_VALUE"""),"CUR8I80,EOD1A69")</f>
        <v>CUR8I80,EOD1A69</v>
      </c>
      <c r="G6136" s="238">
        <f>IFERROR(__xludf.DUMMYFUNCTION("""COMPUTED_VALUE"""),46051.75)</f>
        <v>46051.75</v>
      </c>
      <c r="H6136" s="238">
        <f>IFERROR(__xludf.DUMMYFUNCTION("""COMPUTED_VALUE"""),46052.0)</f>
        <v>46052</v>
      </c>
      <c r="J6136" s="239">
        <v>119.99999999301508</v>
      </c>
    </row>
    <row r="6137">
      <c r="A6137" s="234"/>
      <c r="B6137" s="238" t="str">
        <f>IFERROR(__xludf.DUMMYFUNCTION("""COMPUTED_VALUE"""),"LM Hub_RS_Porto Alegre_Floresta")</f>
        <v>LM Hub_RS_Porto Alegre_Floresta</v>
      </c>
      <c r="C6137" s="238" t="str">
        <f>IFERROR(__xludf.DUMMYFUNCTION("""COMPUTED_VALUE"""),"HUB-LRS-03")</f>
        <v>HUB-LRS-03</v>
      </c>
      <c r="D6137" s="234"/>
      <c r="E6137" s="237" t="str">
        <f>IFERROR(__xludf.DUMMYFUNCTION("""COMPUTED_VALUE"""),"LT0Q1T01XJ7B1")</f>
        <v>LT0Q1T01XJ7B1</v>
      </c>
      <c r="F6137" s="238" t="str">
        <f>IFERROR(__xludf.DUMMYFUNCTION("""COMPUTED_VALUE"""),"QHE4E06")</f>
        <v>QHE4E06</v>
      </c>
      <c r="G6137" s="238">
        <f>IFERROR(__xludf.DUMMYFUNCTION("""COMPUTED_VALUE"""),46051.91666666667)</f>
        <v>46051.91667</v>
      </c>
      <c r="H6137" s="238">
        <f>IFERROR(__xludf.DUMMYFUNCTION("""COMPUTED_VALUE"""),46052.0)</f>
        <v>46052</v>
      </c>
      <c r="J6137" s="239">
        <v>119.99999999301508</v>
      </c>
    </row>
    <row r="6138">
      <c r="A6138" s="234"/>
      <c r="B6138" s="238" t="str">
        <f>IFERROR(__xludf.DUMMYFUNCTION("""COMPUTED_VALUE"""),"LM Hub_SP_Artur Alvim")</f>
        <v>LM Hub_SP_Artur Alvim</v>
      </c>
      <c r="C6138" s="238" t="str">
        <f>IFERROR(__xludf.DUMMYFUNCTION("""COMPUTED_VALUE"""),"HUB-LSP-07")</f>
        <v>HUB-LSP-07</v>
      </c>
      <c r="D6138" s="234"/>
      <c r="E6138" s="237" t="str">
        <f>IFERROR(__xludf.DUMMYFUNCTION("""COMPUTED_VALUE"""),"LT0Q1T01XDDE1")</f>
        <v>LT0Q1T01XDDE1</v>
      </c>
      <c r="F6138" s="238" t="str">
        <f>IFERROR(__xludf.DUMMYFUNCTION("""COMPUTED_VALUE"""),"OUV2G66,JMU8H37")</f>
        <v>OUV2G66,JMU8H37</v>
      </c>
      <c r="G6138" s="238">
        <f>IFERROR(__xludf.DUMMYFUNCTION("""COMPUTED_VALUE"""),46051.91666666667)</f>
        <v>46051.91667</v>
      </c>
      <c r="H6138" s="238">
        <f>IFERROR(__xludf.DUMMYFUNCTION("""COMPUTED_VALUE"""),46052.0)</f>
        <v>46052</v>
      </c>
      <c r="J6138" s="239">
        <v>119.99999999301508</v>
      </c>
    </row>
    <row r="6139">
      <c r="A6139" s="234"/>
      <c r="B6139" s="238" t="str">
        <f>IFERROR(__xludf.DUMMYFUNCTION("""COMPUTED_VALUE"""),"LM Hub_SP_Barueri_01")</f>
        <v>LM Hub_SP_Barueri_01</v>
      </c>
      <c r="C6139" s="238" t="str">
        <f>IFERROR(__xludf.DUMMYFUNCTION("""COMPUTED_VALUE"""),"HUB-LSP-81")</f>
        <v>HUB-LSP-81</v>
      </c>
      <c r="D6139" s="234">
        <f>IFERROR(__xludf.DUMMYFUNCTION("""COMPUTED_VALUE"""),19.0)</f>
        <v>19</v>
      </c>
      <c r="E6139" s="237" t="str">
        <f>IFERROR(__xludf.DUMMYFUNCTION("""COMPUTED_VALUE"""),"LT0Q1T01XI3O1")</f>
        <v>LT0Q1T01XI3O1</v>
      </c>
      <c r="F6139" s="238" t="str">
        <f>IFERROR(__xludf.DUMMYFUNCTION("""COMPUTED_VALUE"""),"SUQ5C99,TLD5B82")</f>
        <v>SUQ5C99,TLD5B82</v>
      </c>
      <c r="G6139" s="238">
        <f>IFERROR(__xludf.DUMMYFUNCTION("""COMPUTED_VALUE"""),46051.91666666667)</f>
        <v>46051.91667</v>
      </c>
      <c r="H6139" s="238">
        <f>IFERROR(__xludf.DUMMYFUNCTION("""COMPUTED_VALUE"""),46052.0)</f>
        <v>46052</v>
      </c>
      <c r="J6139" s="239">
        <v>119.99999999301508</v>
      </c>
    </row>
    <row r="6140">
      <c r="A6140" s="234"/>
      <c r="B6140" s="238" t="str">
        <f>IFERROR(__xludf.DUMMYFUNCTION("""COMPUTED_VALUE"""),"LM Hub_SP_Guarulhos")</f>
        <v>LM Hub_SP_Guarulhos</v>
      </c>
      <c r="C6140" s="238" t="str">
        <f>IFERROR(__xludf.DUMMYFUNCTION("""COMPUTED_VALUE"""),"HUB-LSP-77")</f>
        <v>HUB-LSP-77</v>
      </c>
      <c r="D6140" s="234">
        <f>IFERROR(__xludf.DUMMYFUNCTION("""COMPUTED_VALUE"""),39.0)</f>
        <v>39</v>
      </c>
      <c r="E6140" s="237" t="str">
        <f>IFERROR(__xludf.DUMMYFUNCTION("""COMPUTED_VALUE"""),"LT0Q1T01XE481")</f>
        <v>LT0Q1T01XE481</v>
      </c>
      <c r="F6140" s="238" t="str">
        <f>IFERROR(__xludf.DUMMYFUNCTION("""COMPUTED_VALUE"""),"MFO5E94,JXB0B94")</f>
        <v>MFO5E94,JXB0B94</v>
      </c>
      <c r="G6140" s="238">
        <f>IFERROR(__xludf.DUMMYFUNCTION("""COMPUTED_VALUE"""),46051.91666666667)</f>
        <v>46051.91667</v>
      </c>
      <c r="H6140" s="238">
        <f>IFERROR(__xludf.DUMMYFUNCTION("""COMPUTED_VALUE"""),46052.0)</f>
        <v>46052</v>
      </c>
      <c r="J6140" s="239">
        <v>119.99999999301508</v>
      </c>
    </row>
    <row r="6141">
      <c r="A6141" s="234"/>
      <c r="B6141" s="238" t="str">
        <f>IFERROR(__xludf.DUMMYFUNCTION("""COMPUTED_VALUE"""),"LM Hub_SP_Itapevi")</f>
        <v>LM Hub_SP_Itapevi</v>
      </c>
      <c r="C6141" s="238" t="str">
        <f>IFERROR(__xludf.DUMMYFUNCTION("""COMPUTED_VALUE"""),"HUB-LSP-41")</f>
        <v>HUB-LSP-41</v>
      </c>
      <c r="D6141" s="234">
        <f>IFERROR(__xludf.DUMMYFUNCTION("""COMPUTED_VALUE"""),21.0)</f>
        <v>21</v>
      </c>
      <c r="E6141" s="237" t="str">
        <f>IFERROR(__xludf.DUMMYFUNCTION("""COMPUTED_VALUE"""),"LT0Q1T01XDET1")</f>
        <v>LT0Q1T01XDET1</v>
      </c>
      <c r="F6141" s="238" t="str">
        <f>IFERROR(__xludf.DUMMYFUNCTION("""COMPUTED_VALUE"""),"BCS4J31,DJB0J76")</f>
        <v>BCS4J31,DJB0J76</v>
      </c>
      <c r="G6141" s="238">
        <f>IFERROR(__xludf.DUMMYFUNCTION("""COMPUTED_VALUE"""),46051.91666666667)</f>
        <v>46051.91667</v>
      </c>
      <c r="H6141" s="238">
        <f>IFERROR(__xludf.DUMMYFUNCTION("""COMPUTED_VALUE"""),46052.0)</f>
        <v>46052</v>
      </c>
      <c r="J6141" s="239">
        <v>119.99999999301508</v>
      </c>
    </row>
    <row r="6142">
      <c r="A6142" s="234"/>
      <c r="B6142" s="238" t="str">
        <f>IFERROR(__xludf.DUMMYFUNCTION("""COMPUTED_VALUE"""),"LM Hub_SP_Jundiaí")</f>
        <v>LM Hub_SP_Jundiaí</v>
      </c>
      <c r="C6142" s="238" t="str">
        <f>IFERROR(__xludf.DUMMYFUNCTION("""COMPUTED_VALUE"""),"HUB-LSP-100")</f>
        <v>HUB-LSP-100</v>
      </c>
      <c r="D6142" s="234">
        <f>IFERROR(__xludf.DUMMYFUNCTION("""COMPUTED_VALUE"""),32.0)</f>
        <v>32</v>
      </c>
      <c r="E6142" s="237" t="str">
        <f>IFERROR(__xludf.DUMMYFUNCTION("""COMPUTED_VALUE"""),"LT0Q1T01XJI31")</f>
        <v>LT0Q1T01XJI31</v>
      </c>
      <c r="F6142" s="238" t="str">
        <f>IFERROR(__xludf.DUMMYFUNCTION("""COMPUTED_VALUE"""),"EWJ4D08,STD0A94")</f>
        <v>EWJ4D08,STD0A94</v>
      </c>
      <c r="G6142" s="238">
        <f>IFERROR(__xludf.DUMMYFUNCTION("""COMPUTED_VALUE"""),46051.91666666667)</f>
        <v>46051.91667</v>
      </c>
      <c r="H6142" s="238">
        <f>IFERROR(__xludf.DUMMYFUNCTION("""COMPUTED_VALUE"""),46052.0)</f>
        <v>46052</v>
      </c>
      <c r="J6142" s="239">
        <v>119.99999999301508</v>
      </c>
    </row>
    <row r="6143">
      <c r="A6143" s="234"/>
      <c r="B6143" s="238" t="str">
        <f>IFERROR(__xludf.DUMMYFUNCTION("""COMPUTED_VALUE"""),"LM Hub_SP_Limeira_Campo Belo")</f>
        <v>LM Hub_SP_Limeira_Campo Belo</v>
      </c>
      <c r="C6143" s="238" t="str">
        <f>IFERROR(__xludf.DUMMYFUNCTION("""COMPUTED_VALUE"""),"HUB-LSP-24")</f>
        <v>HUB-LSP-24</v>
      </c>
      <c r="D6143" s="234">
        <f>IFERROR(__xludf.DUMMYFUNCTION("""COMPUTED_VALUE"""),34.0)</f>
        <v>34</v>
      </c>
      <c r="E6143" s="237" t="str">
        <f>IFERROR(__xludf.DUMMYFUNCTION("""COMPUTED_VALUE"""),"LT0Q1T01XDHO1")</f>
        <v>LT0Q1T01XDHO1</v>
      </c>
      <c r="F6143" s="238" t="str">
        <f>IFERROR(__xludf.DUMMYFUNCTION("""COMPUTED_VALUE"""),"SWD2I13,STN3J57")</f>
        <v>SWD2I13,STN3J57</v>
      </c>
      <c r="G6143" s="238">
        <f>IFERROR(__xludf.DUMMYFUNCTION("""COMPUTED_VALUE"""),46051.91666666667)</f>
        <v>46051.91667</v>
      </c>
      <c r="H6143" s="238">
        <f>IFERROR(__xludf.DUMMYFUNCTION("""COMPUTED_VALUE"""),46052.0)</f>
        <v>46052</v>
      </c>
      <c r="J6143" s="239">
        <v>119.99999999301508</v>
      </c>
    </row>
    <row r="6144">
      <c r="A6144" s="234"/>
      <c r="B6144" s="238" t="str">
        <f>IFERROR(__xludf.DUMMYFUNCTION("""COMPUTED_VALUE"""),"LM Hub_SP_Mauá")</f>
        <v>LM Hub_SP_Mauá</v>
      </c>
      <c r="C6144" s="238" t="str">
        <f>IFERROR(__xludf.DUMMYFUNCTION("""COMPUTED_VALUE"""),"HUB-LSP-64")</f>
        <v>HUB-LSP-64</v>
      </c>
      <c r="D6144" s="234">
        <f>IFERROR(__xludf.DUMMYFUNCTION("""COMPUTED_VALUE"""),29.0)</f>
        <v>29</v>
      </c>
      <c r="E6144" s="237" t="str">
        <f>IFERROR(__xludf.DUMMYFUNCTION("""COMPUTED_VALUE"""),"LT0Q1T01XDF51")</f>
        <v>LT0Q1T01XDF51</v>
      </c>
      <c r="F6144" s="238" t="str">
        <f>IFERROR(__xludf.DUMMYFUNCTION("""COMPUTED_VALUE"""),"FQF6B98,DTA7802")</f>
        <v>FQF6B98,DTA7802</v>
      </c>
      <c r="G6144" s="238">
        <f>IFERROR(__xludf.DUMMYFUNCTION("""COMPUTED_VALUE"""),46051.91666666667)</f>
        <v>46051.91667</v>
      </c>
      <c r="H6144" s="238">
        <f>IFERROR(__xludf.DUMMYFUNCTION("""COMPUTED_VALUE"""),46052.0)</f>
        <v>46052</v>
      </c>
      <c r="J6144" s="239">
        <v>119.99999999301508</v>
      </c>
    </row>
    <row r="6145">
      <c r="A6145" s="234"/>
      <c r="B6145" s="238" t="str">
        <f>IFERROR(__xludf.DUMMYFUNCTION("""COMPUTED_VALUE"""),"LM Hub_SP_São José do Rio P")</f>
        <v>LM Hub_SP_São José do Rio P</v>
      </c>
      <c r="C6145" s="238" t="str">
        <f>IFERROR(__xludf.DUMMYFUNCTION("""COMPUTED_VALUE"""),"HUB-LSP-27")</f>
        <v>HUB-LSP-27</v>
      </c>
      <c r="D6145" s="234"/>
      <c r="E6145" s="237" t="str">
        <f>IFERROR(__xludf.DUMMYFUNCTION("""COMPUTED_VALUE"""),"LT0Q1T01XGZ61")</f>
        <v>LT0Q1T01XGZ61</v>
      </c>
      <c r="F6145" s="238" t="str">
        <f>IFERROR(__xludf.DUMMYFUNCTION("""COMPUTED_VALUE"""),"OWD6C29")</f>
        <v>OWD6C29</v>
      </c>
      <c r="G6145" s="238">
        <f>IFERROR(__xludf.DUMMYFUNCTION("""COMPUTED_VALUE"""),46051.91666666667)</f>
        <v>46051.91667</v>
      </c>
      <c r="H6145" s="238">
        <f>IFERROR(__xludf.DUMMYFUNCTION("""COMPUTED_VALUE"""),46052.0)</f>
        <v>46052</v>
      </c>
      <c r="J6145" s="239">
        <v>119.00000000023283</v>
      </c>
    </row>
    <row r="6146">
      <c r="A6146" s="234"/>
      <c r="B6146" s="238" t="str">
        <f>IFERROR(__xludf.DUMMYFUNCTION("""COMPUTED_VALUE"""),"LM Hub_SP_Mooca_02")</f>
        <v>LM Hub_SP_Mooca_02</v>
      </c>
      <c r="C6146" s="238" t="str">
        <f>IFERROR(__xludf.DUMMYFUNCTION("""COMPUTED_VALUE"""),"HUB-LSP-94")</f>
        <v>HUB-LSP-94</v>
      </c>
      <c r="D6146" s="234"/>
      <c r="E6146" s="237" t="str">
        <f>IFERROR(__xludf.DUMMYFUNCTION("""COMPUTED_VALUE"""),"LT0Q1T01XI0O1")</f>
        <v>LT0Q1T01XI0O1</v>
      </c>
      <c r="F6146" s="238" t="str">
        <f>IFERROR(__xludf.DUMMYFUNCTION("""COMPUTED_VALUE"""),"FZH4B68")</f>
        <v>FZH4B68</v>
      </c>
      <c r="G6146" s="238">
        <f>IFERROR(__xludf.DUMMYFUNCTION("""COMPUTED_VALUE"""),46051.91736111111)</f>
        <v>46051.91736</v>
      </c>
      <c r="H6146" s="238">
        <f>IFERROR(__xludf.DUMMYFUNCTION("""COMPUTED_VALUE"""),46052.0)</f>
        <v>46052</v>
      </c>
      <c r="J6146" s="239">
        <v>118.00000000745058</v>
      </c>
    </row>
    <row r="6147">
      <c r="A6147" s="234"/>
      <c r="B6147" s="238" t="str">
        <f>IFERROR(__xludf.DUMMYFUNCTION("""COMPUTED_VALUE"""),"LM Hub_SP_Santo André")</f>
        <v>LM Hub_SP_Santo André</v>
      </c>
      <c r="C6147" s="238" t="str">
        <f>IFERROR(__xludf.DUMMYFUNCTION("""COMPUTED_VALUE"""),"HUB-LSP-93")</f>
        <v>HUB-LSP-93</v>
      </c>
      <c r="D6147" s="234"/>
      <c r="E6147" s="237" t="str">
        <f>IFERROR(__xludf.DUMMYFUNCTION("""COMPUTED_VALUE"""),"LT0Q1T01XFOQ1")</f>
        <v>LT0Q1T01XFOQ1</v>
      </c>
      <c r="F6147" s="238" t="str">
        <f>IFERROR(__xludf.DUMMYFUNCTION("""COMPUTED_VALUE"""),"FXQ8H67,EZL9D42")</f>
        <v>FXQ8H67,EZL9D42</v>
      </c>
      <c r="G6147" s="238">
        <f>IFERROR(__xludf.DUMMYFUNCTION("""COMPUTED_VALUE"""),46051.91805555555)</f>
        <v>46051.91806</v>
      </c>
      <c r="H6147" s="238">
        <f>IFERROR(__xludf.DUMMYFUNCTION("""COMPUTED_VALUE"""),46052.0)</f>
        <v>46052</v>
      </c>
      <c r="J6147" s="239">
        <v>119.99999999301508</v>
      </c>
    </row>
    <row r="6148">
      <c r="A6148" s="234"/>
      <c r="B6148" s="238" t="str">
        <f>IFERROR(__xludf.DUMMYFUNCTION("""COMPUTED_VALUE"""),"LM Hub_SP_Jardim Adriana")</f>
        <v>LM Hub_SP_Jardim Adriana</v>
      </c>
      <c r="C6148" s="238" t="str">
        <f>IFERROR(__xludf.DUMMYFUNCTION("""COMPUTED_VALUE"""),"HUB-LSP-12")</f>
        <v>HUB-LSP-12</v>
      </c>
      <c r="D6148" s="234">
        <f>IFERROR(__xludf.DUMMYFUNCTION("""COMPUTED_VALUE"""),12.0)</f>
        <v>12</v>
      </c>
      <c r="E6148" s="237" t="str">
        <f>IFERROR(__xludf.DUMMYFUNCTION("""COMPUTED_VALUE"""),"LT0Q1T01XDDL1")</f>
        <v>LT0Q1T01XDDL1</v>
      </c>
      <c r="F6148" s="238" t="str">
        <f>IFERROR(__xludf.DUMMYFUNCTION("""COMPUTED_VALUE"""),"EVU4B22")</f>
        <v>EVU4B22</v>
      </c>
      <c r="G6148" s="238">
        <f>IFERROR(__xludf.DUMMYFUNCTION("""COMPUTED_VALUE"""),46051.9375)</f>
        <v>46051.9375</v>
      </c>
      <c r="H6148" s="238">
        <f>IFERROR(__xludf.DUMMYFUNCTION("""COMPUTED_VALUE"""),46052.02083333333)</f>
        <v>46052.02083</v>
      </c>
      <c r="J6148" s="239">
        <v>119.99999999301508</v>
      </c>
    </row>
    <row r="6149">
      <c r="A6149" s="234"/>
      <c r="B6149" s="238" t="str">
        <f>IFERROR(__xludf.DUMMYFUNCTION("""COMPUTED_VALUE"""),"LM Hub_SP_Piracicaba")</f>
        <v>LM Hub_SP_Piracicaba</v>
      </c>
      <c r="C6149" s="238" t="str">
        <f>IFERROR(__xludf.DUMMYFUNCTION("""COMPUTED_VALUE"""),"HUB-LSP-62")</f>
        <v>HUB-LSP-62</v>
      </c>
      <c r="D6149" s="234"/>
      <c r="E6149" s="237" t="str">
        <f>IFERROR(__xludf.DUMMYFUNCTION("""COMPUTED_VALUE"""),"LT0Q1T01XE4K1")</f>
        <v>LT0Q1T01XE4K1</v>
      </c>
      <c r="F6149" s="238" t="str">
        <f>IFERROR(__xludf.DUMMYFUNCTION("""COMPUTED_VALUE"""),"EWU3F45,EFO2725")</f>
        <v>EWU3F45,EFO2725</v>
      </c>
      <c r="G6149" s="238">
        <f>IFERROR(__xludf.DUMMYFUNCTION("""COMPUTED_VALUE"""),46051.9375)</f>
        <v>46051.9375</v>
      </c>
      <c r="H6149" s="238">
        <f>IFERROR(__xludf.DUMMYFUNCTION("""COMPUTED_VALUE"""),46052.02083333333)</f>
        <v>46052.02083</v>
      </c>
      <c r="J6149" s="239">
        <v>119.99999999301508</v>
      </c>
    </row>
    <row r="6150">
      <c r="A6150" s="234"/>
      <c r="B6150" s="238" t="str">
        <f>IFERROR(__xludf.DUMMYFUNCTION("""COMPUTED_VALUE"""),"LM Hub_SP_São Paulo_Carandiru")</f>
        <v>LM Hub_SP_São Paulo_Carandiru</v>
      </c>
      <c r="C6150" s="238" t="str">
        <f>IFERROR(__xludf.DUMMYFUNCTION("""COMPUTED_VALUE"""),"HUB-LSP-18")</f>
        <v>HUB-LSP-18</v>
      </c>
      <c r="D6150" s="234">
        <f>IFERROR(__xludf.DUMMYFUNCTION("""COMPUTED_VALUE"""),9.0)</f>
        <v>9</v>
      </c>
      <c r="E6150" s="237" t="str">
        <f>IFERROR(__xludf.DUMMYFUNCTION("""COMPUTED_VALUE"""),"LT0Q1T01XDE81")</f>
        <v>LT0Q1T01XDE81</v>
      </c>
      <c r="F6150" s="238" t="str">
        <f>IFERROR(__xludf.DUMMYFUNCTION("""COMPUTED_VALUE"""),"AXH9D10")</f>
        <v>AXH9D10</v>
      </c>
      <c r="G6150" s="238">
        <f>IFERROR(__xludf.DUMMYFUNCTION("""COMPUTED_VALUE"""),46051.9375)</f>
        <v>46051.9375</v>
      </c>
      <c r="H6150" s="238">
        <f>IFERROR(__xludf.DUMMYFUNCTION("""COMPUTED_VALUE"""),46052.02083333333)</f>
        <v>46052.02083</v>
      </c>
      <c r="J6150" s="239">
        <v>119.99999999301508</v>
      </c>
    </row>
    <row r="6151">
      <c r="A6151" s="234"/>
      <c r="B6151" s="238" t="str">
        <f>IFERROR(__xludf.DUMMYFUNCTION("""COMPUTED_VALUE"""),"LM Hub_SP_Sorocaba_Região Norte")</f>
        <v>LM Hub_SP_Sorocaba_Região Norte</v>
      </c>
      <c r="C6151" s="238" t="str">
        <f>IFERROR(__xludf.DUMMYFUNCTION("""COMPUTED_VALUE"""),"HUB-LSP-10")</f>
        <v>HUB-LSP-10</v>
      </c>
      <c r="D6151" s="234">
        <f>IFERROR(__xludf.DUMMYFUNCTION("""COMPUTED_VALUE"""),26.0)</f>
        <v>26</v>
      </c>
      <c r="E6151" s="237" t="str">
        <f>IFERROR(__xludf.DUMMYFUNCTION("""COMPUTED_VALUE"""),"LT0Q1T01XDHE1")</f>
        <v>LT0Q1T01XDHE1</v>
      </c>
      <c r="F6151" s="238" t="str">
        <f>IFERROR(__xludf.DUMMYFUNCTION("""COMPUTED_VALUE"""),"SUI1E62,TLW5H77")</f>
        <v>SUI1E62,TLW5H77</v>
      </c>
      <c r="G6151" s="238">
        <f>IFERROR(__xludf.DUMMYFUNCTION("""COMPUTED_VALUE"""),46051.9375)</f>
        <v>46051.9375</v>
      </c>
      <c r="H6151" s="238">
        <f>IFERROR(__xludf.DUMMYFUNCTION("""COMPUTED_VALUE"""),46052.02083333333)</f>
        <v>46052.02083</v>
      </c>
      <c r="J6151" s="239">
        <v>119.99999999301508</v>
      </c>
    </row>
    <row r="6152">
      <c r="A6152" s="234"/>
      <c r="B6152" s="238" t="str">
        <f>IFERROR(__xludf.DUMMYFUNCTION("""COMPUTED_VALUE"""),"LM Hub_SP_Suzano_Baruel")</f>
        <v>LM Hub_SP_Suzano_Baruel</v>
      </c>
      <c r="C6152" s="238" t="str">
        <f>IFERROR(__xludf.DUMMYFUNCTION("""COMPUTED_VALUE"""),"HUB-LSP-97")</f>
        <v>HUB-LSP-97</v>
      </c>
      <c r="D6152" s="234">
        <f>IFERROR(__xludf.DUMMYFUNCTION("""COMPUTED_VALUE"""),15.0)</f>
        <v>15</v>
      </c>
      <c r="E6152" s="237" t="str">
        <f>IFERROR(__xludf.DUMMYFUNCTION("""COMPUTED_VALUE"""),"LT0Q1T01XJTV1")</f>
        <v>LT0Q1T01XJTV1</v>
      </c>
      <c r="F6152" s="238" t="str">
        <f>IFERROR(__xludf.DUMMYFUNCTION("""COMPUTED_VALUE"""),"DPR5J10,TJX9B42")</f>
        <v>DPR5J10,TJX9B42</v>
      </c>
      <c r="G6152" s="238">
        <f>IFERROR(__xludf.DUMMYFUNCTION("""COMPUTED_VALUE"""),46051.9375)</f>
        <v>46051.9375</v>
      </c>
      <c r="H6152" s="238">
        <f>IFERROR(__xludf.DUMMYFUNCTION("""COMPUTED_VALUE"""),46052.02083333333)</f>
        <v>46052.02083</v>
      </c>
      <c r="J6152" s="239">
        <v>118.99999998975545</v>
      </c>
    </row>
    <row r="6153">
      <c r="A6153" s="234"/>
      <c r="B6153" s="238" t="str">
        <f>IFERROR(__xludf.DUMMYFUNCTION("""COMPUTED_VALUE"""),"LM Hub_SP_Parque Novo Mundo")</f>
        <v>LM Hub_SP_Parque Novo Mundo</v>
      </c>
      <c r="C6153" s="238" t="str">
        <f>IFERROR(__xludf.DUMMYFUNCTION("""COMPUTED_VALUE"""),"HUB-LSP-89")</f>
        <v>HUB-LSP-89</v>
      </c>
      <c r="D6153" s="234">
        <f>IFERROR(__xludf.DUMMYFUNCTION("""COMPUTED_VALUE"""),14.0)</f>
        <v>14</v>
      </c>
      <c r="E6153" s="237" t="str">
        <f>IFERROR(__xludf.DUMMYFUNCTION("""COMPUTED_VALUE"""),"LT0Q1T01XMCO1")</f>
        <v>LT0Q1T01XMCO1</v>
      </c>
      <c r="F6153" s="238" t="str">
        <f>IFERROR(__xludf.DUMMYFUNCTION("""COMPUTED_VALUE"""),"FNK8E47,FAM1829")</f>
        <v>FNK8E47,FAM1829</v>
      </c>
      <c r="G6153" s="238">
        <f>IFERROR(__xludf.DUMMYFUNCTION("""COMPUTED_VALUE"""),46051.93819444445)</f>
        <v>46051.93819</v>
      </c>
      <c r="H6153" s="238">
        <f>IFERROR(__xludf.DUMMYFUNCTION("""COMPUTED_VALUE"""),46052.02083333333)</f>
        <v>46052.02083</v>
      </c>
      <c r="J6153" s="239">
        <v>118.99999998975545</v>
      </c>
    </row>
    <row r="6154">
      <c r="A6154" s="234"/>
      <c r="B6154" s="238" t="str">
        <f>IFERROR(__xludf.DUMMYFUNCTION("""COMPUTED_VALUE"""),"LM Hub_SP_VilaGuilherme")</f>
        <v>LM Hub_SP_VilaGuilherme</v>
      </c>
      <c r="C6154" s="238" t="str">
        <f>IFERROR(__xludf.DUMMYFUNCTION("""COMPUTED_VALUE"""),"HUB-LSP-68")</f>
        <v>HUB-LSP-68</v>
      </c>
      <c r="D6154" s="234">
        <f>IFERROR(__xludf.DUMMYFUNCTION("""COMPUTED_VALUE"""),33.0)</f>
        <v>33</v>
      </c>
      <c r="E6154" s="237" t="str">
        <f>IFERROR(__xludf.DUMMYFUNCTION("""COMPUTED_VALUE"""),"LT0Q1T01XM6A1")</f>
        <v>LT0Q1T01XM6A1</v>
      </c>
      <c r="F6154" s="238" t="str">
        <f>IFERROR(__xludf.DUMMYFUNCTION("""COMPUTED_VALUE"""),"HFD4H27,JXG9745")</f>
        <v>HFD4H27,JXG9745</v>
      </c>
      <c r="G6154" s="238">
        <f>IFERROR(__xludf.DUMMYFUNCTION("""COMPUTED_VALUE"""),46051.93819444445)</f>
        <v>46051.93819</v>
      </c>
      <c r="H6154" s="238">
        <f>IFERROR(__xludf.DUMMYFUNCTION("""COMPUTED_VALUE"""),46052.02083333333)</f>
        <v>46052.02083</v>
      </c>
      <c r="J6154" s="239">
        <v>538.0000000144355</v>
      </c>
    </row>
    <row r="6155">
      <c r="A6155" s="234"/>
      <c r="B6155" s="238" t="str">
        <f>IFERROR(__xludf.DUMMYFUNCTION("""COMPUTED_VALUE"""),"SoC_MG_Betim")</f>
        <v>SoC_MG_Betim</v>
      </c>
      <c r="C6155" s="238" t="str">
        <f>IFERROR(__xludf.DUMMYFUNCTION("""COMPUTED_VALUE"""),"SOC-MG2")</f>
        <v>SOC-MG2</v>
      </c>
      <c r="D6155" s="234">
        <f>IFERROR(__xludf.DUMMYFUNCTION("""COMPUTED_VALUE"""),91.0)</f>
        <v>91</v>
      </c>
      <c r="E6155" s="237" t="str">
        <f>IFERROR(__xludf.DUMMYFUNCTION("""COMPUTED_VALUE"""),"LT0Q1T01XDAE4")</f>
        <v>LT0Q1T01XDAE4</v>
      </c>
      <c r="F6155" s="238" t="str">
        <f>IFERROR(__xludf.DUMMYFUNCTION("""COMPUTED_VALUE"""),"SUS0E35,FXG4H42")</f>
        <v>SUS0E35,FXG4H42</v>
      </c>
      <c r="G6155" s="238">
        <f>IFERROR(__xludf.DUMMYFUNCTION("""COMPUTED_VALUE"""),46051.66805555555)</f>
        <v>46051.66806</v>
      </c>
      <c r="H6155" s="238">
        <f>IFERROR(__xludf.DUMMYFUNCTION("""COMPUTED_VALUE"""),46052.04166666667)</f>
        <v>46052.04167</v>
      </c>
      <c r="J6155" s="239">
        <v>538.0000000144355</v>
      </c>
    </row>
    <row r="6156">
      <c r="A6156" s="234"/>
      <c r="B6156" s="238" t="str">
        <f>IFERROR(__xludf.DUMMYFUNCTION("""COMPUTED_VALUE"""),"SoC_MG_Betim")</f>
        <v>SoC_MG_Betim</v>
      </c>
      <c r="C6156" s="238" t="str">
        <f>IFERROR(__xludf.DUMMYFUNCTION("""COMPUTED_VALUE"""),"SOC-MG2")</f>
        <v>SOC-MG2</v>
      </c>
      <c r="D6156" s="234">
        <f>IFERROR(__xludf.DUMMYFUNCTION("""COMPUTED_VALUE"""),91.0)</f>
        <v>91</v>
      </c>
      <c r="E6156" s="237" t="str">
        <f>IFERROR(__xludf.DUMMYFUNCTION("""COMPUTED_VALUE"""),"LT0Q1T01XDAE4")</f>
        <v>LT0Q1T01XDAE4</v>
      </c>
      <c r="F6156" s="238" t="str">
        <f>IFERROR(__xludf.DUMMYFUNCTION("""COMPUTED_VALUE"""),"SUS0E35,FXG4H42")</f>
        <v>SUS0E35,FXG4H42</v>
      </c>
      <c r="G6156" s="238">
        <f>IFERROR(__xludf.DUMMYFUNCTION("""COMPUTED_VALUE"""),46051.66805555555)</f>
        <v>46051.66806</v>
      </c>
      <c r="H6156" s="238">
        <f>IFERROR(__xludf.DUMMYFUNCTION("""COMPUTED_VALUE"""),46052.04166666667)</f>
        <v>46052.04167</v>
      </c>
      <c r="J6156" s="239">
        <v>120.00000001396984</v>
      </c>
    </row>
    <row r="6157">
      <c r="A6157" s="234"/>
      <c r="B6157" s="238" t="str">
        <f>IFERROR(__xludf.DUMMYFUNCTION("""COMPUTED_VALUE"""),"LM Hub_RJ_Nova Iguaçu")</f>
        <v>LM Hub_RJ_Nova Iguaçu</v>
      </c>
      <c r="C6157" s="238" t="str">
        <f>IFERROR(__xludf.DUMMYFUNCTION("""COMPUTED_VALUE"""),"HUB-LRJ-27")</f>
        <v>HUB-LRJ-27</v>
      </c>
      <c r="D6157" s="234">
        <f>IFERROR(__xludf.DUMMYFUNCTION("""COMPUTED_VALUE"""),111.0)</f>
        <v>111</v>
      </c>
      <c r="E6157" s="237" t="str">
        <f>IFERROR(__xludf.DUMMYFUNCTION("""COMPUTED_VALUE"""),"LT0Q1T01XIMX1")</f>
        <v>LT0Q1T01XIMX1</v>
      </c>
      <c r="F6157" s="238" t="str">
        <f>IFERROR(__xludf.DUMMYFUNCTION("""COMPUTED_VALUE"""),"UBA1H99")</f>
        <v>UBA1H99</v>
      </c>
      <c r="G6157" s="238">
        <f>IFERROR(__xludf.DUMMYFUNCTION("""COMPUTED_VALUE"""),46051.95833333333)</f>
        <v>46051.95833</v>
      </c>
      <c r="H6157" s="238">
        <f>IFERROR(__xludf.DUMMYFUNCTION("""COMPUTED_VALUE"""),46052.04166666667)</f>
        <v>46052.04167</v>
      </c>
      <c r="J6157" s="239">
        <v>120.00000001396984</v>
      </c>
    </row>
    <row r="6158">
      <c r="A6158" s="234"/>
      <c r="B6158" s="238" t="str">
        <f>IFERROR(__xludf.DUMMYFUNCTION("""COMPUTED_VALUE"""),"LM Hub_RJ_Rio de Janeiro_Campo G")</f>
        <v>LM Hub_RJ_Rio de Janeiro_Campo G</v>
      </c>
      <c r="C6158" s="238" t="str">
        <f>IFERROR(__xludf.DUMMYFUNCTION("""COMPUTED_VALUE"""),"HUB-LRJ-04")</f>
        <v>HUB-LRJ-04</v>
      </c>
      <c r="D6158" s="234">
        <f>IFERROR(__xludf.DUMMYFUNCTION("""COMPUTED_VALUE"""),5.0)</f>
        <v>5</v>
      </c>
      <c r="E6158" s="237" t="str">
        <f>IFERROR(__xludf.DUMMYFUNCTION("""COMPUTED_VALUE"""),"LT0Q1T01XDJK1")</f>
        <v>LT0Q1T01XDJK1</v>
      </c>
      <c r="F6158" s="238" t="str">
        <f>IFERROR(__xludf.DUMMYFUNCTION("""COMPUTED_VALUE"""),"TAK9C48")</f>
        <v>TAK9C48</v>
      </c>
      <c r="G6158" s="238">
        <f>IFERROR(__xludf.DUMMYFUNCTION("""COMPUTED_VALUE"""),46051.95833333333)</f>
        <v>46051.95833</v>
      </c>
      <c r="H6158" s="238">
        <f>IFERROR(__xludf.DUMMYFUNCTION("""COMPUTED_VALUE"""),46052.04166666667)</f>
        <v>46052.04167</v>
      </c>
      <c r="J6158" s="239">
        <v>120.00000001396984</v>
      </c>
    </row>
    <row r="6159">
      <c r="A6159" s="234"/>
      <c r="B6159" s="238" t="str">
        <f>IFERROR(__xludf.DUMMYFUNCTION("""COMPUTED_VALUE"""),"LM Hub_SP_Mogi Mirim")</f>
        <v>LM Hub_SP_Mogi Mirim</v>
      </c>
      <c r="C6159" s="238" t="str">
        <f>IFERROR(__xludf.DUMMYFUNCTION("""COMPUTED_VALUE"""),"HUB-LSP-37")</f>
        <v>HUB-LSP-37</v>
      </c>
      <c r="D6159" s="234">
        <f>IFERROR(__xludf.DUMMYFUNCTION("""COMPUTED_VALUE"""),23.0)</f>
        <v>23</v>
      </c>
      <c r="E6159" s="237" t="str">
        <f>IFERROR(__xludf.DUMMYFUNCTION("""COMPUTED_VALUE"""),"LT0Q1T01XDIE1")</f>
        <v>LT0Q1T01XDIE1</v>
      </c>
      <c r="F6159" s="238" t="str">
        <f>IFERROR(__xludf.DUMMYFUNCTION("""COMPUTED_VALUE"""),"FVL1B63,TJQ3B56")</f>
        <v>FVL1B63,TJQ3B56</v>
      </c>
      <c r="G6159" s="238">
        <f>IFERROR(__xludf.DUMMYFUNCTION("""COMPUTED_VALUE"""),46051.95833333333)</f>
        <v>46051.95833</v>
      </c>
      <c r="H6159" s="238">
        <f>IFERROR(__xludf.DUMMYFUNCTION("""COMPUTED_VALUE"""),46052.04166666667)</f>
        <v>46052.04167</v>
      </c>
      <c r="J6159" s="239">
        <v>119.00000001071021</v>
      </c>
    </row>
    <row r="6160">
      <c r="A6160" s="234"/>
      <c r="B6160" s="238" t="str">
        <f>IFERROR(__xludf.DUMMYFUNCTION("""COMPUTED_VALUE"""),"LM Hub_RJ_São João do Meriti")</f>
        <v>LM Hub_RJ_São João do Meriti</v>
      </c>
      <c r="C6160" s="238" t="str">
        <f>IFERROR(__xludf.DUMMYFUNCTION("""COMPUTED_VALUE"""),"HUB-LRJ-01")</f>
        <v>HUB-LRJ-01</v>
      </c>
      <c r="D6160" s="234">
        <f>IFERROR(__xludf.DUMMYFUNCTION("""COMPUTED_VALUE"""),114.0)</f>
        <v>114</v>
      </c>
      <c r="E6160" s="237" t="str">
        <f>IFERROR(__xludf.DUMMYFUNCTION("""COMPUTED_VALUE"""),"LT0Q1T01XN8R1")</f>
        <v>LT0Q1T01XN8R1</v>
      </c>
      <c r="F6160" s="238" t="str">
        <f>IFERROR(__xludf.DUMMYFUNCTION("""COMPUTED_VALUE"""),"FDP1C98")</f>
        <v>FDP1C98</v>
      </c>
      <c r="G6160" s="238">
        <f>IFERROR(__xludf.DUMMYFUNCTION("""COMPUTED_VALUE"""),46051.959027777775)</f>
        <v>46051.95903</v>
      </c>
      <c r="H6160" s="238">
        <f>IFERROR(__xludf.DUMMYFUNCTION("""COMPUTED_VALUE"""),46052.04166666667)</f>
        <v>46052.04167</v>
      </c>
      <c r="J6160" s="239">
        <v>119.99999999301508</v>
      </c>
    </row>
    <row r="6161">
      <c r="A6161" s="234"/>
      <c r="B6161" s="238" t="str">
        <f>IFERROR(__xludf.DUMMYFUNCTION("""COMPUTED_VALUE"""),"LM Hub_SP_Araraquara")</f>
        <v>LM Hub_SP_Araraquara</v>
      </c>
      <c r="C6161" s="238" t="str">
        <f>IFERROR(__xludf.DUMMYFUNCTION("""COMPUTED_VALUE"""),"HUB-LSP-29")</f>
        <v>HUB-LSP-29</v>
      </c>
      <c r="D6161" s="234">
        <f>IFERROR(__xludf.DUMMYFUNCTION("""COMPUTED_VALUE"""),25.0)</f>
        <v>25</v>
      </c>
      <c r="E6161" s="237" t="str">
        <f>IFERROR(__xludf.DUMMYFUNCTION("""COMPUTED_VALUE"""),"LT0Q1T01XDIJ1")</f>
        <v>LT0Q1T01XDIJ1</v>
      </c>
      <c r="F6161" s="238" t="str">
        <f>IFERROR(__xludf.DUMMYFUNCTION("""COMPUTED_VALUE"""),"ISQ7F01,ANM9G89")</f>
        <v>ISQ7F01,ANM9G89</v>
      </c>
      <c r="G6161" s="238">
        <f>IFERROR(__xludf.DUMMYFUNCTION("""COMPUTED_VALUE"""),46051.97916666667)</f>
        <v>46051.97917</v>
      </c>
      <c r="H6161" s="238">
        <f>IFERROR(__xludf.DUMMYFUNCTION("""COMPUTED_VALUE"""),46052.0625)</f>
        <v>46052.0625</v>
      </c>
      <c r="J6161" s="239">
        <v>119.99999999301508</v>
      </c>
    </row>
    <row r="6162">
      <c r="A6162" s="234"/>
      <c r="B6162" s="238" t="str">
        <f>IFERROR(__xludf.DUMMYFUNCTION("""COMPUTED_VALUE"""),"LM Hub_SP_Atibaia_Ponte_Alta")</f>
        <v>LM Hub_SP_Atibaia_Ponte_Alta</v>
      </c>
      <c r="C6162" s="238" t="str">
        <f>IFERROR(__xludf.DUMMYFUNCTION("""COMPUTED_VALUE"""),"HUB-LSP-87")</f>
        <v>HUB-LSP-87</v>
      </c>
      <c r="D6162" s="234">
        <f>IFERROR(__xludf.DUMMYFUNCTION("""COMPUTED_VALUE"""),24.0)</f>
        <v>24</v>
      </c>
      <c r="E6162" s="237" t="str">
        <f>IFERROR(__xludf.DUMMYFUNCTION("""COMPUTED_VALUE"""),"LT0Q1T01XGUT1")</f>
        <v>LT0Q1T01XGUT1</v>
      </c>
      <c r="F6162" s="238" t="str">
        <f>IFERROR(__xludf.DUMMYFUNCTION("""COMPUTED_VALUE"""),"FME7F94,TPO4C75")</f>
        <v>FME7F94,TPO4C75</v>
      </c>
      <c r="G6162" s="238">
        <f>IFERROR(__xludf.DUMMYFUNCTION("""COMPUTED_VALUE"""),46051.97916666667)</f>
        <v>46051.97917</v>
      </c>
      <c r="H6162" s="238">
        <f>IFERROR(__xludf.DUMMYFUNCTION("""COMPUTED_VALUE"""),46052.0625)</f>
        <v>46052.0625</v>
      </c>
      <c r="J6162" s="239">
        <v>119.99999999301508</v>
      </c>
    </row>
    <row r="6163">
      <c r="A6163" s="234"/>
      <c r="B6163" s="238" t="str">
        <f>IFERROR(__xludf.DUMMYFUNCTION("""COMPUTED_VALUE"""),"LM Hub_SP_Várzea Paulista")</f>
        <v>LM Hub_SP_Várzea Paulista</v>
      </c>
      <c r="C6163" s="238" t="str">
        <f>IFERROR(__xludf.DUMMYFUNCTION("""COMPUTED_VALUE"""),"HUB-LSP-20")</f>
        <v>HUB-LSP-20</v>
      </c>
      <c r="D6163" s="234">
        <f>IFERROR(__xludf.DUMMYFUNCTION("""COMPUTED_VALUE"""),22.0)</f>
        <v>22</v>
      </c>
      <c r="E6163" s="237" t="str">
        <f>IFERROR(__xludf.DUMMYFUNCTION("""COMPUTED_VALUE"""),"LT0Q1T01XDIX1")</f>
        <v>LT0Q1T01XDIX1</v>
      </c>
      <c r="F6163" s="238" t="str">
        <f>IFERROR(__xludf.DUMMYFUNCTION("""COMPUTED_VALUE"""),"RBG0F94,UGJ8A38")</f>
        <v>RBG0F94,UGJ8A38</v>
      </c>
      <c r="G6163" s="238">
        <f>IFERROR(__xludf.DUMMYFUNCTION("""COMPUTED_VALUE"""),46051.97916666667)</f>
        <v>46051.97917</v>
      </c>
      <c r="H6163" s="238">
        <f>IFERROR(__xludf.DUMMYFUNCTION("""COMPUTED_VALUE"""),46052.0625)</f>
        <v>46052.0625</v>
      </c>
      <c r="J6163" s="239">
        <v>479.9999999930151</v>
      </c>
    </row>
    <row r="6164">
      <c r="A6164" s="234"/>
      <c r="B6164" s="238" t="str">
        <f>IFERROR(__xludf.DUMMYFUNCTION("""COMPUTED_VALUE"""),"SoC_SP_Cravinhos")</f>
        <v>SoC_SP_Cravinhos</v>
      </c>
      <c r="C6164" s="238" t="str">
        <f>IFERROR(__xludf.DUMMYFUNCTION("""COMPUTED_VALUE"""),"SOC-SP5")</f>
        <v>SOC-SP5</v>
      </c>
      <c r="D6164" s="234">
        <f>IFERROR(__xludf.DUMMYFUNCTION("""COMPUTED_VALUE"""),95.0)</f>
        <v>95</v>
      </c>
      <c r="E6164" s="237" t="str">
        <f>IFERROR(__xludf.DUMMYFUNCTION("""COMPUTED_VALUE"""),"LT1Q1T01XSJ21")</f>
        <v>LT1Q1T01XSJ21</v>
      </c>
      <c r="F6164" s="238" t="str">
        <f>IFERROR(__xludf.DUMMYFUNCTION("""COMPUTED_VALUE"""),"FEK3A22,EWJ2318")</f>
        <v>FEK3A22,EWJ2318</v>
      </c>
      <c r="G6164" s="238">
        <f>IFERROR(__xludf.DUMMYFUNCTION("""COMPUTED_VALUE"""),46051.75)</f>
        <v>46051.75</v>
      </c>
      <c r="H6164" s="238">
        <f>IFERROR(__xludf.DUMMYFUNCTION("""COMPUTED_VALUE"""),46052.08333333333)</f>
        <v>46052.08333</v>
      </c>
      <c r="J6164" s="239">
        <v>119.99999999301508</v>
      </c>
    </row>
    <row r="6165">
      <c r="A6165" s="234"/>
      <c r="B6165" s="238" t="str">
        <f>IFERROR(__xludf.DUMMYFUNCTION("""COMPUTED_VALUE"""),"LM Hub_SP_Tatuí")</f>
        <v>LM Hub_SP_Tatuí</v>
      </c>
      <c r="C6165" s="238" t="str">
        <f>IFERROR(__xludf.DUMMYFUNCTION("""COMPUTED_VALUE"""),"HUB-LSP-51")</f>
        <v>HUB-LSP-51</v>
      </c>
      <c r="D6165" s="234">
        <f>IFERROR(__xludf.DUMMYFUNCTION("""COMPUTED_VALUE"""),37.0)</f>
        <v>37</v>
      </c>
      <c r="E6165" s="237" t="str">
        <f>IFERROR(__xludf.DUMMYFUNCTION("""COMPUTED_VALUE"""),"LT0Q1U01XDFK1")</f>
        <v>LT0Q1U01XDFK1</v>
      </c>
      <c r="F6165" s="238" t="str">
        <f>IFERROR(__xludf.DUMMYFUNCTION("""COMPUTED_VALUE"""),"GHB5H18,GDU4H95")</f>
        <v>GHB5H18,GDU4H95</v>
      </c>
      <c r="G6165" s="238">
        <f>IFERROR(__xludf.DUMMYFUNCTION("""COMPUTED_VALUE"""),46052.0)</f>
        <v>46052</v>
      </c>
      <c r="H6165" s="238">
        <f>IFERROR(__xludf.DUMMYFUNCTION("""COMPUTED_VALUE"""),46052.08333333333)</f>
        <v>46052.08333</v>
      </c>
      <c r="J6165" s="239">
        <v>119.99999999301508</v>
      </c>
    </row>
    <row r="6166">
      <c r="A6166" s="234"/>
      <c r="B6166" s="238" t="str">
        <f>IFERROR(__xludf.DUMMYFUNCTION("""COMPUTED_VALUE"""),"SoC_SP_Cravinhos")</f>
        <v>SoC_SP_Cravinhos</v>
      </c>
      <c r="C6166" s="238" t="str">
        <f>IFERROR(__xludf.DUMMYFUNCTION("""COMPUTED_VALUE"""),"SOC-SP5")</f>
        <v>SOC-SP5</v>
      </c>
      <c r="D6166" s="234">
        <f>IFERROR(__xludf.DUMMYFUNCTION("""COMPUTED_VALUE"""),44.0)</f>
        <v>44</v>
      </c>
      <c r="E6166" s="237" t="str">
        <f>IFERROR(__xludf.DUMMYFUNCTION("""COMPUTED_VALUE"""),"LT1Q1U01XSJ01")</f>
        <v>LT1Q1U01XSJ01</v>
      </c>
      <c r="F6166" s="238" t="str">
        <f>IFERROR(__xludf.DUMMYFUNCTION("""COMPUTED_VALUE"""),"FDB0I10,TBJ8G26")</f>
        <v>FDB0I10,TBJ8G26</v>
      </c>
      <c r="G6166" s="238">
        <f>IFERROR(__xludf.DUMMYFUNCTION("""COMPUTED_VALUE"""),46052.0)</f>
        <v>46052</v>
      </c>
      <c r="H6166" s="238">
        <f>IFERROR(__xludf.DUMMYFUNCTION("""COMPUTED_VALUE"""),46052.08333333333)</f>
        <v>46052.08333</v>
      </c>
      <c r="J6166" s="239">
        <v>119.99999999301508</v>
      </c>
    </row>
    <row r="6167">
      <c r="A6167" s="234"/>
      <c r="B6167" s="238" t="str">
        <f>IFERROR(__xludf.DUMMYFUNCTION("""COMPUTED_VALUE"""),"SoC_SP_Louveira")</f>
        <v>SoC_SP_Louveira</v>
      </c>
      <c r="C6167" s="238" t="str">
        <f>IFERROR(__xludf.DUMMYFUNCTION("""COMPUTED_VALUE"""),"SOC-SP7")</f>
        <v>SOC-SP7</v>
      </c>
      <c r="D6167" s="234">
        <f>IFERROR(__xludf.DUMMYFUNCTION("""COMPUTED_VALUE"""),45.0)</f>
        <v>45</v>
      </c>
      <c r="E6167" s="237" t="str">
        <f>IFERROR(__xludf.DUMMYFUNCTION("""COMPUTED_VALUE"""),"LT0Q1U01XDCW1")</f>
        <v>LT0Q1U01XDCW1</v>
      </c>
      <c r="F6167" s="238" t="str">
        <f>IFERROR(__xludf.DUMMYFUNCTION("""COMPUTED_VALUE"""),"CJZ1I95,FRT7631")</f>
        <v>CJZ1I95,FRT7631</v>
      </c>
      <c r="G6167" s="238">
        <f>IFERROR(__xludf.DUMMYFUNCTION("""COMPUTED_VALUE"""),46052.0)</f>
        <v>46052</v>
      </c>
      <c r="H6167" s="238">
        <f>IFERROR(__xludf.DUMMYFUNCTION("""COMPUTED_VALUE"""),46052.08333333333)</f>
        <v>46052.08333</v>
      </c>
      <c r="J6167" s="239">
        <v>119.99999999301508</v>
      </c>
    </row>
    <row r="6168">
      <c r="A6168" s="234"/>
      <c r="B6168" s="238" t="str">
        <f>IFERROR(__xludf.DUMMYFUNCTION("""COMPUTED_VALUE"""),"SoC_PR_Curitiba")</f>
        <v>SoC_PR_Curitiba</v>
      </c>
      <c r="C6168" s="238" t="str">
        <f>IFERROR(__xludf.DUMMYFUNCTION("""COMPUTED_VALUE"""),"SOC-PR1")</f>
        <v>SOC-PR1</v>
      </c>
      <c r="D6168" s="234">
        <f>IFERROR(__xludf.DUMMYFUNCTION("""COMPUTED_VALUE"""),42.0)</f>
        <v>42</v>
      </c>
      <c r="E6168" s="237" t="str">
        <f>IFERROR(__xludf.DUMMYFUNCTION("""COMPUTED_VALUE"""),"LT0Q1U01XDB01")</f>
        <v>LT0Q1U01XDB01</v>
      </c>
      <c r="F6168" s="238" t="str">
        <f>IFERROR(__xludf.DUMMYFUNCTION("""COMPUTED_VALUE"""),"RAG7228,RYZ0F99")</f>
        <v>RAG7228,RYZ0F99</v>
      </c>
      <c r="G6168" s="238">
        <f>IFERROR(__xludf.DUMMYFUNCTION("""COMPUTED_VALUE"""),46052.0)</f>
        <v>46052</v>
      </c>
      <c r="H6168" s="238">
        <f>IFERROR(__xludf.DUMMYFUNCTION("""COMPUTED_VALUE"""),46052.08333333333)</f>
        <v>46052.08333</v>
      </c>
      <c r="J6168" s="239">
        <v>120.00000001396984</v>
      </c>
    </row>
    <row r="6169">
      <c r="A6169" s="234"/>
      <c r="B6169" s="238" t="str">
        <f>IFERROR(__xludf.DUMMYFUNCTION("""COMPUTED_VALUE"""),"LM Hub_MG_Varginha_Fausto")</f>
        <v>LM Hub_MG_Varginha_Fausto</v>
      </c>
      <c r="C6169" s="238" t="str">
        <f>IFERROR(__xludf.DUMMYFUNCTION("""COMPUTED_VALUE"""),"HUB-LMG-45")</f>
        <v>HUB-LMG-45</v>
      </c>
      <c r="D6169" s="234"/>
      <c r="E6169" s="237" t="str">
        <f>IFERROR(__xludf.DUMMYFUNCTION("""COMPUTED_VALUE"""),"LT0Q1U01XI381")</f>
        <v>LT0Q1U01XI381</v>
      </c>
      <c r="F6169" s="238" t="str">
        <f>IFERROR(__xludf.DUMMYFUNCTION("""COMPUTED_VALUE"""),"GGT7B46")</f>
        <v>GGT7B46</v>
      </c>
      <c r="G6169" s="238">
        <f>IFERROR(__xludf.DUMMYFUNCTION("""COMPUTED_VALUE"""),46052.02083333333)</f>
        <v>46052.02083</v>
      </c>
      <c r="H6169" s="238">
        <f>IFERROR(__xludf.DUMMYFUNCTION("""COMPUTED_VALUE"""),46052.10416666667)</f>
        <v>46052.10417</v>
      </c>
      <c r="J6169" s="239">
        <v>119.99999999301508</v>
      </c>
    </row>
    <row r="6170">
      <c r="A6170" s="234"/>
      <c r="B6170" s="238" t="str">
        <f>IFERROR(__xludf.DUMMYFUNCTION("""COMPUTED_VALUE"""),"LM Hub_RJ_Ilha do Governador")</f>
        <v>LM Hub_RJ_Ilha do Governador</v>
      </c>
      <c r="C6170" s="238" t="str">
        <f>IFERROR(__xludf.DUMMYFUNCTION("""COMPUTED_VALUE"""),"HUB-LRJ-32")</f>
        <v>HUB-LRJ-32</v>
      </c>
      <c r="D6170" s="234"/>
      <c r="E6170" s="237" t="str">
        <f>IFERROR(__xludf.DUMMYFUNCTION("""COMPUTED_VALUE"""),"LT0Q1U01XINA1")</f>
        <v>LT0Q1U01XINA1</v>
      </c>
      <c r="F6170" s="238" t="str">
        <f>IFERROR(__xludf.DUMMYFUNCTION("""COMPUTED_VALUE"""),"QHK5J11")</f>
        <v>QHK5J11</v>
      </c>
      <c r="G6170" s="238">
        <f>IFERROR(__xludf.DUMMYFUNCTION("""COMPUTED_VALUE"""),46052.04166666667)</f>
        <v>46052.04167</v>
      </c>
      <c r="H6170" s="238">
        <f>IFERROR(__xludf.DUMMYFUNCTION("""COMPUTED_VALUE"""),46052.125)</f>
        <v>46052.125</v>
      </c>
      <c r="J6170" s="239">
        <v>119.99999999301508</v>
      </c>
    </row>
    <row r="6171">
      <c r="A6171" s="234"/>
      <c r="B6171" s="238" t="str">
        <f>IFERROR(__xludf.DUMMYFUNCTION("""COMPUTED_VALUE"""),"LM Hub_SP_Artur Alvim")</f>
        <v>LM Hub_SP_Artur Alvim</v>
      </c>
      <c r="C6171" s="238" t="str">
        <f>IFERROR(__xludf.DUMMYFUNCTION("""COMPUTED_VALUE"""),"HUB-LSP-07")</f>
        <v>HUB-LSP-07</v>
      </c>
      <c r="D6171" s="234">
        <f>IFERROR(__xludf.DUMMYFUNCTION("""COMPUTED_VALUE"""),15.0)</f>
        <v>15</v>
      </c>
      <c r="E6171" s="237" t="str">
        <f>IFERROR(__xludf.DUMMYFUNCTION("""COMPUTED_VALUE"""),"LT1Q1U01XTAW1")</f>
        <v>LT1Q1U01XTAW1</v>
      </c>
      <c r="F6171" s="238" t="str">
        <f>IFERROR(__xludf.DUMMYFUNCTION("""COMPUTED_VALUE"""),"BCN8D83,EFU9D97")</f>
        <v>BCN8D83,EFU9D97</v>
      </c>
      <c r="G6171" s="238">
        <f>IFERROR(__xludf.DUMMYFUNCTION("""COMPUTED_VALUE"""),46052.04166666667)</f>
        <v>46052.04167</v>
      </c>
      <c r="H6171" s="238">
        <f>IFERROR(__xludf.DUMMYFUNCTION("""COMPUTED_VALUE"""),46052.125)</f>
        <v>46052.125</v>
      </c>
      <c r="J6171" s="239">
        <v>540.0</v>
      </c>
    </row>
    <row r="6172">
      <c r="A6172" s="234"/>
      <c r="B6172" s="238" t="str">
        <f>IFERROR(__xludf.DUMMYFUNCTION("""COMPUTED_VALUE"""),"SoC_RS_Gravataí_02")</f>
        <v>SoC_RS_Gravataí_02</v>
      </c>
      <c r="C6172" s="238" t="str">
        <f>IFERROR(__xludf.DUMMYFUNCTION("""COMPUTED_VALUE"""),"SOC-RS2")</f>
        <v>SOC-RS2</v>
      </c>
      <c r="D6172" s="234">
        <f>IFERROR(__xludf.DUMMYFUNCTION("""COMPUTED_VALUE"""),92.0)</f>
        <v>92</v>
      </c>
      <c r="E6172" s="237" t="str">
        <f>IFERROR(__xludf.DUMMYFUNCTION("""COMPUTED_VALUE"""),"LT0Q1T01XISR2")</f>
        <v>LT0Q1T01XISR2</v>
      </c>
      <c r="F6172" s="238" t="str">
        <f>IFERROR(__xludf.DUMMYFUNCTION("""COMPUTED_VALUE"""),"QJO9I79,RYB6B92")</f>
        <v>QJO9I79,RYB6B92</v>
      </c>
      <c r="G6172" s="238">
        <f>IFERROR(__xludf.DUMMYFUNCTION("""COMPUTED_VALUE"""),46051.79166666667)</f>
        <v>46051.79167</v>
      </c>
      <c r="H6172" s="238">
        <f>IFERROR(__xludf.DUMMYFUNCTION("""COMPUTED_VALUE"""),46052.16666666667)</f>
        <v>46052.16667</v>
      </c>
      <c r="J6172" s="239">
        <v>540.0</v>
      </c>
    </row>
    <row r="6173">
      <c r="A6173" s="234"/>
      <c r="B6173" s="238" t="str">
        <f>IFERROR(__xludf.DUMMYFUNCTION("""COMPUTED_VALUE"""),"SoC_RS_Gravataí_02")</f>
        <v>SoC_RS_Gravataí_02</v>
      </c>
      <c r="C6173" s="238" t="str">
        <f>IFERROR(__xludf.DUMMYFUNCTION("""COMPUTED_VALUE"""),"SOC-RS2")</f>
        <v>SOC-RS2</v>
      </c>
      <c r="D6173" s="234" t="str">
        <f>IFERROR(__xludf.DUMMYFUNCTION("""COMPUTED_VALUE"""),"92/93")</f>
        <v>92/93</v>
      </c>
      <c r="E6173" s="237" t="str">
        <f>IFERROR(__xludf.DUMMYFUNCTION("""COMPUTED_VALUE"""),"LT0Q1T01XISP1")</f>
        <v>LT0Q1T01XISP1</v>
      </c>
      <c r="F6173" s="238" t="str">
        <f>IFERROR(__xludf.DUMMYFUNCTION("""COMPUTED_VALUE"""),"JDM0D70,UEO5D77")</f>
        <v>JDM0D70,UEO5D77</v>
      </c>
      <c r="G6173" s="238">
        <f>IFERROR(__xludf.DUMMYFUNCTION("""COMPUTED_VALUE"""),46051.79166666667)</f>
        <v>46051.79167</v>
      </c>
      <c r="H6173" s="238">
        <f>IFERROR(__xludf.DUMMYFUNCTION("""COMPUTED_VALUE"""),46052.16666666667)</f>
        <v>46052.16667</v>
      </c>
      <c r="J6173" s="239">
        <v>539.0000000072177</v>
      </c>
    </row>
    <row r="6174">
      <c r="A6174" s="234"/>
      <c r="B6174" s="238" t="str">
        <f>IFERROR(__xludf.DUMMYFUNCTION("""COMPUTED_VALUE"""),"SoC_SP_Cravinhos")</f>
        <v>SoC_SP_Cravinhos</v>
      </c>
      <c r="C6174" s="238" t="str">
        <f>IFERROR(__xludf.DUMMYFUNCTION("""COMPUTED_VALUE"""),"SOC-SP5")</f>
        <v>SOC-SP5</v>
      </c>
      <c r="D6174" s="234">
        <f>IFERROR(__xludf.DUMMYFUNCTION("""COMPUTED_VALUE"""),94.0)</f>
        <v>94</v>
      </c>
      <c r="E6174" s="237" t="str">
        <f>IFERROR(__xludf.DUMMYFUNCTION("""COMPUTED_VALUE"""),"LT0Q1T01XDC61")</f>
        <v>LT0Q1T01XDC61</v>
      </c>
      <c r="F6174" s="238" t="str">
        <f>IFERROR(__xludf.DUMMYFUNCTION("""COMPUTED_VALUE"""),"LSG3D84,TKU4G31")</f>
        <v>LSG3D84,TKU4G31</v>
      </c>
      <c r="G6174" s="238">
        <f>IFERROR(__xludf.DUMMYFUNCTION("""COMPUTED_VALUE"""),46051.79236111111)</f>
        <v>46051.79236</v>
      </c>
      <c r="H6174" s="238">
        <f>IFERROR(__xludf.DUMMYFUNCTION("""COMPUTED_VALUE"""),46052.16666666667)</f>
        <v>46052.16667</v>
      </c>
      <c r="J6174" s="239">
        <v>120.00000001396984</v>
      </c>
    </row>
    <row r="6175">
      <c r="A6175" s="234"/>
      <c r="B6175" s="238" t="str">
        <f>IFERROR(__xludf.DUMMYFUNCTION("""COMPUTED_VALUE"""),"SoC_PE_Jaboatão dos Guararapes")</f>
        <v>SoC_PE_Jaboatão dos Guararapes</v>
      </c>
      <c r="C6175" s="238" t="str">
        <f>IFERROR(__xludf.DUMMYFUNCTION("""COMPUTED_VALUE"""),"SOC-PE2")</f>
        <v>SOC-PE2</v>
      </c>
      <c r="D6175" s="234"/>
      <c r="E6175" s="237" t="str">
        <f>IFERROR(__xludf.DUMMYFUNCTION("""COMPUTED_VALUE"""),"LT1Q1U01XSIT1")</f>
        <v>LT1Q1U01XSIT1</v>
      </c>
      <c r="F6175" s="238" t="str">
        <f>IFERROR(__xludf.DUMMYFUNCTION("""COMPUTED_VALUE"""),"SYY8B52,TCC4B02")</f>
        <v>SYY8B52,TCC4B02</v>
      </c>
      <c r="G6175" s="238">
        <f>IFERROR(__xludf.DUMMYFUNCTION("""COMPUTED_VALUE"""),46052.08333333333)</f>
        <v>46052.08333</v>
      </c>
      <c r="H6175" s="238">
        <f>IFERROR(__xludf.DUMMYFUNCTION("""COMPUTED_VALUE"""),46052.16666666667)</f>
        <v>46052.16667</v>
      </c>
      <c r="J6175" s="239">
        <v>120.00000001396984</v>
      </c>
    </row>
    <row r="6176">
      <c r="A6176" s="234"/>
      <c r="B6176" s="238" t="str">
        <f>IFERROR(__xludf.DUMMYFUNCTION("""COMPUTED_VALUE"""),"SoC_RS_Gravataí_02")</f>
        <v>SoC_RS_Gravataí_02</v>
      </c>
      <c r="C6176" s="238" t="str">
        <f>IFERROR(__xludf.DUMMYFUNCTION("""COMPUTED_VALUE"""),"SOC-RS2")</f>
        <v>SOC-RS2</v>
      </c>
      <c r="D6176" s="234"/>
      <c r="E6176" s="237" t="str">
        <f>IFERROR(__xludf.DUMMYFUNCTION("""COMPUTED_VALUE"""),"LT1Q1U01XSWQ1")</f>
        <v>LT1Q1U01XSWQ1</v>
      </c>
      <c r="F6176" s="238" t="str">
        <f>IFERROR(__xludf.DUMMYFUNCTION("""COMPUTED_VALUE"""),"IRM3418,ITY6E82")</f>
        <v>IRM3418,ITY6E82</v>
      </c>
      <c r="G6176" s="238">
        <f>IFERROR(__xludf.DUMMYFUNCTION("""COMPUTED_VALUE"""),46052.08333333333)</f>
        <v>46052.08333</v>
      </c>
      <c r="H6176" s="238">
        <f>IFERROR(__xludf.DUMMYFUNCTION("""COMPUTED_VALUE"""),46052.16666666667)</f>
        <v>46052.16667</v>
      </c>
      <c r="J6176" s="239">
        <v>120.00000001396984</v>
      </c>
    </row>
    <row r="6177">
      <c r="A6177" s="234"/>
      <c r="B6177" s="238" t="str">
        <f>IFERROR(__xludf.DUMMYFUNCTION("""COMPUTED_VALUE"""),"SoC_SP_Santana")</f>
        <v>SoC_SP_Santana</v>
      </c>
      <c r="C6177" s="238" t="str">
        <f>IFERROR(__xludf.DUMMYFUNCTION("""COMPUTED_VALUE"""),"SOC-SP2")</f>
        <v>SOC-SP2</v>
      </c>
      <c r="D6177" s="234">
        <f>IFERROR(__xludf.DUMMYFUNCTION("""COMPUTED_VALUE"""),26.0)</f>
        <v>26</v>
      </c>
      <c r="E6177" s="237" t="str">
        <f>IFERROR(__xludf.DUMMYFUNCTION("""COMPUTED_VALUE"""),"LT0Q1U01XDWJ1")</f>
        <v>LT0Q1U01XDWJ1</v>
      </c>
      <c r="F6177" s="238" t="str">
        <f>IFERROR(__xludf.DUMMYFUNCTION("""COMPUTED_VALUE"""),"FCT6F34,EOB8J55")</f>
        <v>FCT6F34,EOB8J55</v>
      </c>
      <c r="G6177" s="238">
        <f>IFERROR(__xludf.DUMMYFUNCTION("""COMPUTED_VALUE"""),46052.08333333333)</f>
        <v>46052.08333</v>
      </c>
      <c r="H6177" s="238">
        <f>IFERROR(__xludf.DUMMYFUNCTION("""COMPUTED_VALUE"""),46052.16666666667)</f>
        <v>46052.16667</v>
      </c>
      <c r="J6177" s="239">
        <v>119.99999999301508</v>
      </c>
    </row>
    <row r="6178">
      <c r="A6178" s="234"/>
      <c r="B6178" s="238" t="str">
        <f>IFERROR(__xludf.DUMMYFUNCTION("""COMPUTED_VALUE"""),"LM Hub_SP_Itapetininga")</f>
        <v>LM Hub_SP_Itapetininga</v>
      </c>
      <c r="C6178" s="238" t="str">
        <f>IFERROR(__xludf.DUMMYFUNCTION("""COMPUTED_VALUE"""),"HUB-LSP-53")</f>
        <v>HUB-LSP-53</v>
      </c>
      <c r="D6178" s="234">
        <f>IFERROR(__xludf.DUMMYFUNCTION("""COMPUTED_VALUE"""),37.0)</f>
        <v>37</v>
      </c>
      <c r="E6178" s="237" t="str">
        <f>IFERROR(__xludf.DUMMYFUNCTION("""COMPUTED_VALUE"""),"LT0Q1U01XDFF1")</f>
        <v>LT0Q1U01XDFF1</v>
      </c>
      <c r="F6178" s="238" t="str">
        <f>IFERROR(__xludf.DUMMYFUNCTION("""COMPUTED_VALUE"""),"FZY3F48")</f>
        <v>FZY3F48</v>
      </c>
      <c r="G6178" s="238">
        <f>IFERROR(__xludf.DUMMYFUNCTION("""COMPUTED_VALUE"""),46052.10416666667)</f>
        <v>46052.10417</v>
      </c>
      <c r="H6178" s="238">
        <f>IFERROR(__xludf.DUMMYFUNCTION("""COMPUTED_VALUE"""),46052.1875)</f>
        <v>46052.1875</v>
      </c>
      <c r="J6178" s="239">
        <v>119.99999999301508</v>
      </c>
    </row>
    <row r="6179">
      <c r="A6179" s="234"/>
      <c r="B6179" s="238" t="str">
        <f>IFERROR(__xludf.DUMMYFUNCTION("""COMPUTED_VALUE"""),"LM Hub_SP_Piracicaba")</f>
        <v>LM Hub_SP_Piracicaba</v>
      </c>
      <c r="C6179" s="238" t="str">
        <f>IFERROR(__xludf.DUMMYFUNCTION("""COMPUTED_VALUE"""),"HUB-LSP-62")</f>
        <v>HUB-LSP-62</v>
      </c>
      <c r="D6179" s="234">
        <f>IFERROR(__xludf.DUMMYFUNCTION("""COMPUTED_VALUE"""),27.0)</f>
        <v>27</v>
      </c>
      <c r="E6179" s="237" t="str">
        <f>IFERROR(__xludf.DUMMYFUNCTION("""COMPUTED_VALUE"""),"LT1Q1U01XTBD1")</f>
        <v>LT1Q1U01XTBD1</v>
      </c>
      <c r="F6179" s="238" t="str">
        <f>IFERROR(__xludf.DUMMYFUNCTION("""COMPUTED_VALUE"""),"OMY3I62")</f>
        <v>OMY3I62</v>
      </c>
      <c r="G6179" s="238">
        <f>IFERROR(__xludf.DUMMYFUNCTION("""COMPUTED_VALUE"""),46052.10416666667)</f>
        <v>46052.10417</v>
      </c>
      <c r="H6179" s="238">
        <f>IFERROR(__xludf.DUMMYFUNCTION("""COMPUTED_VALUE"""),46052.1875)</f>
        <v>46052.1875</v>
      </c>
      <c r="J6179" s="239">
        <v>119.99999999301508</v>
      </c>
    </row>
    <row r="6180">
      <c r="A6180" s="234"/>
      <c r="B6180" s="238" t="str">
        <f>IFERROR(__xludf.DUMMYFUNCTION("""COMPUTED_VALUE"""),"LM Hub_SP_Santo André")</f>
        <v>LM Hub_SP_Santo André</v>
      </c>
      <c r="C6180" s="238" t="str">
        <f>IFERROR(__xludf.DUMMYFUNCTION("""COMPUTED_VALUE"""),"HUB-LSP-93")</f>
        <v>HUB-LSP-93</v>
      </c>
      <c r="D6180" s="234">
        <f>IFERROR(__xludf.DUMMYFUNCTION("""COMPUTED_VALUE"""),35.0)</f>
        <v>35</v>
      </c>
      <c r="E6180" s="237" t="str">
        <f>IFERROR(__xludf.DUMMYFUNCTION("""COMPUTED_VALUE"""),"LT1Q1U01XTC01")</f>
        <v>LT1Q1U01XTC01</v>
      </c>
      <c r="F6180" s="238" t="str">
        <f>IFERROR(__xludf.DUMMYFUNCTION("""COMPUTED_VALUE"""),"FQF6B98,DTA7802")</f>
        <v>FQF6B98,DTA7802</v>
      </c>
      <c r="G6180" s="238">
        <f>IFERROR(__xludf.DUMMYFUNCTION("""COMPUTED_VALUE"""),46052.10416666667)</f>
        <v>46052.10417</v>
      </c>
      <c r="H6180" s="238">
        <f>IFERROR(__xludf.DUMMYFUNCTION("""COMPUTED_VALUE"""),46052.1875)</f>
        <v>46052.1875</v>
      </c>
      <c r="J6180" s="239">
        <v>119.99999999301508</v>
      </c>
    </row>
    <row r="6181">
      <c r="A6181" s="234"/>
      <c r="B6181" s="238" t="str">
        <f>IFERROR(__xludf.DUMMYFUNCTION("""COMPUTED_VALUE"""),"LM Hub_SP_São Carlos")</f>
        <v>LM Hub_SP_São Carlos</v>
      </c>
      <c r="C6181" s="238" t="str">
        <f>IFERROR(__xludf.DUMMYFUNCTION("""COMPUTED_VALUE"""),"HUB-LSP-31")</f>
        <v>HUB-LSP-31</v>
      </c>
      <c r="D6181" s="234">
        <f>IFERROR(__xludf.DUMMYFUNCTION("""COMPUTED_VALUE"""),32.0)</f>
        <v>32</v>
      </c>
      <c r="E6181" s="237" t="str">
        <f>IFERROR(__xludf.DUMMYFUNCTION("""COMPUTED_VALUE"""),"LT0Q1U01XDHY1")</f>
        <v>LT0Q1U01XDHY1</v>
      </c>
      <c r="F6181" s="238" t="str">
        <f>IFERROR(__xludf.DUMMYFUNCTION("""COMPUTED_VALUE"""),"CUB1B38")</f>
        <v>CUB1B38</v>
      </c>
      <c r="G6181" s="238">
        <f>IFERROR(__xludf.DUMMYFUNCTION("""COMPUTED_VALUE"""),46052.10416666667)</f>
        <v>46052.10417</v>
      </c>
      <c r="H6181" s="238">
        <f>IFERROR(__xludf.DUMMYFUNCTION("""COMPUTED_VALUE"""),46052.1875)</f>
        <v>46052.1875</v>
      </c>
      <c r="J6181" s="239">
        <v>479.9999999930151</v>
      </c>
    </row>
    <row r="6182">
      <c r="A6182" s="234"/>
      <c r="B6182" s="238" t="str">
        <f>IFERROR(__xludf.DUMMYFUNCTION("""COMPUTED_VALUE"""),"SoC_SC_Itajaí")</f>
        <v>SoC_SC_Itajaí</v>
      </c>
      <c r="C6182" s="238" t="str">
        <f>IFERROR(__xludf.DUMMYFUNCTION("""COMPUTED_VALUE"""),"SOC-SC1")</f>
        <v>SOC-SC1</v>
      </c>
      <c r="D6182" s="234">
        <f>IFERROR(__xludf.DUMMYFUNCTION("""COMPUTED_VALUE"""),100.0)</f>
        <v>100</v>
      </c>
      <c r="E6182" s="237" t="str">
        <f>IFERROR(__xludf.DUMMYFUNCTION("""COMPUTED_VALUE"""),"LT0Q1T01XHHX2")</f>
        <v>LT0Q1T01XHHX2</v>
      </c>
      <c r="F6182" s="238" t="str">
        <f>IFERROR(__xludf.DUMMYFUNCTION("""COMPUTED_VALUE"""),"RLI5B09,QJQ2126")</f>
        <v>RLI5B09,QJQ2126</v>
      </c>
      <c r="G6182" s="238">
        <f>IFERROR(__xludf.DUMMYFUNCTION("""COMPUTED_VALUE"""),46051.875)</f>
        <v>46051.875</v>
      </c>
      <c r="H6182" s="238">
        <f>IFERROR(__xludf.DUMMYFUNCTION("""COMPUTED_VALUE"""),46052.20833333333)</f>
        <v>46052.20833</v>
      </c>
      <c r="J6182" s="239">
        <v>479.9999999930151</v>
      </c>
    </row>
    <row r="6183">
      <c r="A6183" s="234"/>
      <c r="B6183" s="238" t="str">
        <f>IFERROR(__xludf.DUMMYFUNCTION("""COMPUTED_VALUE"""),"SoC_SC_Itajaí")</f>
        <v>SoC_SC_Itajaí</v>
      </c>
      <c r="C6183" s="238" t="str">
        <f>IFERROR(__xludf.DUMMYFUNCTION("""COMPUTED_VALUE"""),"SOC-SC1")</f>
        <v>SOC-SC1</v>
      </c>
      <c r="D6183" s="234">
        <f>IFERROR(__xludf.DUMMYFUNCTION("""COMPUTED_VALUE"""),101.0)</f>
        <v>101</v>
      </c>
      <c r="E6183" s="237" t="str">
        <f>IFERROR(__xludf.DUMMYFUNCTION("""COMPUTED_VALUE"""),"LT0Q1T01XHHV1")</f>
        <v>LT0Q1T01XHHV1</v>
      </c>
      <c r="F6183" s="238" t="str">
        <f>IFERROR(__xludf.DUMMYFUNCTION("""COMPUTED_VALUE"""),"TPN0A19,SXK6F54")</f>
        <v>TPN0A19,SXK6F54</v>
      </c>
      <c r="G6183" s="238">
        <f>IFERROR(__xludf.DUMMYFUNCTION("""COMPUTED_VALUE"""),46051.875)</f>
        <v>46051.875</v>
      </c>
      <c r="H6183" s="238">
        <f>IFERROR(__xludf.DUMMYFUNCTION("""COMPUTED_VALUE"""),46052.20833333333)</f>
        <v>46052.20833</v>
      </c>
      <c r="J6183" s="239">
        <v>119.99999999301508</v>
      </c>
    </row>
    <row r="6184">
      <c r="A6184" s="234"/>
      <c r="B6184" s="238" t="str">
        <f>IFERROR(__xludf.DUMMYFUNCTION("""COMPUTED_VALUE"""),"LM Hub_SP_Itapeva")</f>
        <v>LM Hub_SP_Itapeva</v>
      </c>
      <c r="C6184" s="238" t="str">
        <f>IFERROR(__xludf.DUMMYFUNCTION("""COMPUTED_VALUE"""),"HUB-LSP-39")</f>
        <v>HUB-LSP-39</v>
      </c>
      <c r="D6184" s="234">
        <f>IFERROR(__xludf.DUMMYFUNCTION("""COMPUTED_VALUE"""),12.0)</f>
        <v>12</v>
      </c>
      <c r="E6184" s="237" t="str">
        <f>IFERROR(__xludf.DUMMYFUNCTION("""COMPUTED_VALUE"""),"LT0Q1U01XDFP1")</f>
        <v>LT0Q1U01XDFP1</v>
      </c>
      <c r="F6184" s="238" t="str">
        <f>IFERROR(__xludf.DUMMYFUNCTION("""COMPUTED_VALUE"""),"FCT0F31")</f>
        <v>FCT0F31</v>
      </c>
      <c r="G6184" s="238">
        <f>IFERROR(__xludf.DUMMYFUNCTION("""COMPUTED_VALUE"""),46052.125)</f>
        <v>46052.125</v>
      </c>
      <c r="H6184" s="238">
        <f>IFERROR(__xludf.DUMMYFUNCTION("""COMPUTED_VALUE"""),46052.20833333333)</f>
        <v>46052.20833</v>
      </c>
      <c r="J6184" s="239">
        <v>119.99999999301508</v>
      </c>
    </row>
    <row r="6185">
      <c r="A6185" s="234"/>
      <c r="B6185" s="238" t="str">
        <f>IFERROR(__xludf.DUMMYFUNCTION("""COMPUTED_VALUE"""),"LM Hub_SP_Sumaré_Nova Veneza_1")</f>
        <v>LM Hub_SP_Sumaré_Nova Veneza_1</v>
      </c>
      <c r="C6185" s="238" t="str">
        <f>IFERROR(__xludf.DUMMYFUNCTION("""COMPUTED_VALUE"""),"HUB-LSP-88")</f>
        <v>HUB-LSP-88</v>
      </c>
      <c r="D6185" s="234"/>
      <c r="E6185" s="237" t="str">
        <f>IFERROR(__xludf.DUMMYFUNCTION("""COMPUTED_VALUE"""),"LT0Q1U01XHYJ1")</f>
        <v>LT0Q1U01XHYJ1</v>
      </c>
      <c r="F6185" s="238" t="str">
        <f>IFERROR(__xludf.DUMMYFUNCTION("""COMPUTED_VALUE"""),"FZO3D72")</f>
        <v>FZO3D72</v>
      </c>
      <c r="G6185" s="238">
        <f>IFERROR(__xludf.DUMMYFUNCTION("""COMPUTED_VALUE"""),46052.125)</f>
        <v>46052.125</v>
      </c>
      <c r="H6185" s="238">
        <f>IFERROR(__xludf.DUMMYFUNCTION("""COMPUTED_VALUE"""),46052.20833333333)</f>
        <v>46052.20833</v>
      </c>
      <c r="J6185" s="239">
        <v>119.99999999301508</v>
      </c>
    </row>
    <row r="6186">
      <c r="A6186" s="234"/>
      <c r="B6186" s="238" t="str">
        <f>IFERROR(__xludf.DUMMYFUNCTION("""COMPUTED_VALUE"""),"SoC_SP_Cravinhos")</f>
        <v>SoC_SP_Cravinhos</v>
      </c>
      <c r="C6186" s="238" t="str">
        <f>IFERROR(__xludf.DUMMYFUNCTION("""COMPUTED_VALUE"""),"SOC-SP5")</f>
        <v>SOC-SP5</v>
      </c>
      <c r="D6186" s="234"/>
      <c r="E6186" s="237" t="str">
        <f>IFERROR(__xludf.DUMMYFUNCTION("""COMPUTED_VALUE"""),"LT1Q1U01XSJ11")</f>
        <v>LT1Q1U01XSJ11</v>
      </c>
      <c r="F6186" s="238" t="str">
        <f>IFERROR(__xludf.DUMMYFUNCTION("""COMPUTED_VALUE"""),"FVL6H27,EWJ9F18")</f>
        <v>FVL6H27,EWJ9F18</v>
      </c>
      <c r="G6186" s="238">
        <f>IFERROR(__xludf.DUMMYFUNCTION("""COMPUTED_VALUE"""),46052.125)</f>
        <v>46052.125</v>
      </c>
      <c r="H6186" s="238">
        <f>IFERROR(__xludf.DUMMYFUNCTION("""COMPUTED_VALUE"""),46052.20833333333)</f>
        <v>46052.20833</v>
      </c>
      <c r="J6186" s="239">
        <v>119.99999999301508</v>
      </c>
    </row>
    <row r="6187">
      <c r="A6187" s="234"/>
      <c r="B6187" s="238" t="str">
        <f>IFERROR(__xludf.DUMMYFUNCTION("""COMPUTED_VALUE"""),"SoC_SP_Louveira")</f>
        <v>SoC_SP_Louveira</v>
      </c>
      <c r="C6187" s="238" t="str">
        <f>IFERROR(__xludf.DUMMYFUNCTION("""COMPUTED_VALUE"""),"SOC-SP7")</f>
        <v>SOC-SP7</v>
      </c>
      <c r="D6187" s="234">
        <f>IFERROR(__xludf.DUMMYFUNCTION("""COMPUTED_VALUE"""),45.0)</f>
        <v>45</v>
      </c>
      <c r="E6187" s="237" t="str">
        <f>IFERROR(__xludf.DUMMYFUNCTION("""COMPUTED_VALUE"""),"LT1Q1U01XSJ51")</f>
        <v>LT1Q1U01XSJ51</v>
      </c>
      <c r="F6187" s="238" t="str">
        <f>IFERROR(__xludf.DUMMYFUNCTION("""COMPUTED_VALUE"""),"LQB3J21,IEQ3J02")</f>
        <v>LQB3J21,IEQ3J02</v>
      </c>
      <c r="G6187" s="238">
        <f>IFERROR(__xludf.DUMMYFUNCTION("""COMPUTED_VALUE"""),46052.125)</f>
        <v>46052.125</v>
      </c>
      <c r="H6187" s="238">
        <f>IFERROR(__xludf.DUMMYFUNCTION("""COMPUTED_VALUE"""),46052.20833333333)</f>
        <v>46052.20833</v>
      </c>
      <c r="J6187" s="239">
        <v>120.00000001396984</v>
      </c>
    </row>
    <row r="6188">
      <c r="A6188" s="234"/>
      <c r="B6188" s="238" t="str">
        <f>IFERROR(__xludf.DUMMYFUNCTION("""COMPUTED_VALUE"""),"LM Hub_SP_Campinas_São Martinho")</f>
        <v>LM Hub_SP_Campinas_São Martinho</v>
      </c>
      <c r="C6188" s="238" t="str">
        <f>IFERROR(__xludf.DUMMYFUNCTION("""COMPUTED_VALUE"""),"HUB-LSP-19")</f>
        <v>HUB-LSP-19</v>
      </c>
      <c r="D6188" s="234">
        <f>IFERROR(__xludf.DUMMYFUNCTION("""COMPUTED_VALUE"""),111.0)</f>
        <v>111</v>
      </c>
      <c r="E6188" s="237" t="str">
        <f>IFERROR(__xludf.DUMMYFUNCTION("""COMPUTED_VALUE"""),"LT0Q1U01XDJP1")</f>
        <v>LT0Q1U01XDJP1</v>
      </c>
      <c r="F6188" s="238" t="str">
        <f>IFERROR(__xludf.DUMMYFUNCTION("""COMPUTED_VALUE"""),"GCJ6G71")</f>
        <v>GCJ6G71</v>
      </c>
      <c r="G6188" s="238">
        <f>IFERROR(__xludf.DUMMYFUNCTION("""COMPUTED_VALUE"""),46052.14583333333)</f>
        <v>46052.14583</v>
      </c>
      <c r="H6188" s="238">
        <f>IFERROR(__xludf.DUMMYFUNCTION("""COMPUTED_VALUE"""),46052.22916666667)</f>
        <v>46052.22917</v>
      </c>
      <c r="J6188" s="239">
        <v>120.00000001396984</v>
      </c>
    </row>
    <row r="6189">
      <c r="A6189" s="234"/>
      <c r="B6189" s="238" t="str">
        <f>IFERROR(__xludf.DUMMYFUNCTION("""COMPUTED_VALUE"""),"LM Hub_SP_Mogi Mirim")</f>
        <v>LM Hub_SP_Mogi Mirim</v>
      </c>
      <c r="C6189" s="238" t="str">
        <f>IFERROR(__xludf.DUMMYFUNCTION("""COMPUTED_VALUE"""),"HUB-LSP-37")</f>
        <v>HUB-LSP-37</v>
      </c>
      <c r="D6189" s="234">
        <f>IFERROR(__xludf.DUMMYFUNCTION("""COMPUTED_VALUE"""),8.0)</f>
        <v>8</v>
      </c>
      <c r="E6189" s="237" t="str">
        <f>IFERROR(__xludf.DUMMYFUNCTION("""COMPUTED_VALUE"""),"LT0Q1U01XDI91")</f>
        <v>LT0Q1U01XDI91</v>
      </c>
      <c r="F6189" s="238" t="str">
        <f>IFERROR(__xludf.DUMMYFUNCTION("""COMPUTED_VALUE"""),"STT8D25,SVN1E68")</f>
        <v>STT8D25,SVN1E68</v>
      </c>
      <c r="G6189" s="238">
        <f>IFERROR(__xludf.DUMMYFUNCTION("""COMPUTED_VALUE"""),46052.14583333333)</f>
        <v>46052.14583</v>
      </c>
      <c r="H6189" s="238">
        <f>IFERROR(__xludf.DUMMYFUNCTION("""COMPUTED_VALUE"""),46052.22916666667)</f>
        <v>46052.22917</v>
      </c>
      <c r="J6189" s="239">
        <v>119.99999999301508</v>
      </c>
    </row>
    <row r="6190">
      <c r="A6190" s="234"/>
      <c r="B6190" s="238" t="str">
        <f>IFERROR(__xludf.DUMMYFUNCTION("""COMPUTED_VALUE"""),"LM Hub_SP_Guaratinguetá")</f>
        <v>LM Hub_SP_Guaratinguetá</v>
      </c>
      <c r="C6190" s="238" t="str">
        <f>IFERROR(__xludf.DUMMYFUNCTION("""COMPUTED_VALUE"""),"HUB-LSP-33")</f>
        <v>HUB-LSP-33</v>
      </c>
      <c r="D6190" s="234">
        <f>IFERROR(__xludf.DUMMYFUNCTION("""COMPUTED_VALUE"""),21.0)</f>
        <v>21</v>
      </c>
      <c r="E6190" s="237" t="str">
        <f>IFERROR(__xludf.DUMMYFUNCTION("""COMPUTED_VALUE"""),"LT0Q1U01XDGI1")</f>
        <v>LT0Q1U01XDGI1</v>
      </c>
      <c r="F6190" s="238" t="str">
        <f>IFERROR(__xludf.DUMMYFUNCTION("""COMPUTED_VALUE"""),"SWQ6D05,SWG3J97")</f>
        <v>SWQ6D05,SWG3J97</v>
      </c>
      <c r="G6190" s="238">
        <f>IFERROR(__xludf.DUMMYFUNCTION("""COMPUTED_VALUE"""),46052.16666666667)</f>
        <v>46052.16667</v>
      </c>
      <c r="H6190" s="238">
        <f>IFERROR(__xludf.DUMMYFUNCTION("""COMPUTED_VALUE"""),46052.25)</f>
        <v>46052.25</v>
      </c>
      <c r="J6190" s="239">
        <v>119.99999999301508</v>
      </c>
    </row>
    <row r="6191">
      <c r="A6191" s="234"/>
      <c r="B6191" s="238" t="str">
        <f>IFERROR(__xludf.DUMMYFUNCTION("""COMPUTED_VALUE"""),"LM Hub_SP_Limeira_Campo Belo")</f>
        <v>LM Hub_SP_Limeira_Campo Belo</v>
      </c>
      <c r="C6191" s="238" t="str">
        <f>IFERROR(__xludf.DUMMYFUNCTION("""COMPUTED_VALUE"""),"HUB-LSP-24")</f>
        <v>HUB-LSP-24</v>
      </c>
      <c r="D6191" s="234">
        <f>IFERROR(__xludf.DUMMYFUNCTION("""COMPUTED_VALUE"""),36.0)</f>
        <v>36</v>
      </c>
      <c r="E6191" s="237" t="str">
        <f>IFERROR(__xludf.DUMMYFUNCTION("""COMPUTED_VALUE"""),"LT0Q1U01XDHJ1")</f>
        <v>LT0Q1U01XDHJ1</v>
      </c>
      <c r="F6191" s="238" t="str">
        <f>IFERROR(__xludf.DUMMYFUNCTION("""COMPUTED_VALUE"""),"UGF1A20")</f>
        <v>UGF1A20</v>
      </c>
      <c r="G6191" s="238">
        <f>IFERROR(__xludf.DUMMYFUNCTION("""COMPUTED_VALUE"""),46052.16666666667)</f>
        <v>46052.16667</v>
      </c>
      <c r="H6191" s="238">
        <f>IFERROR(__xludf.DUMMYFUNCTION("""COMPUTED_VALUE"""),46052.25)</f>
        <v>46052.25</v>
      </c>
      <c r="J6191" s="239">
        <v>119.99999999301508</v>
      </c>
    </row>
    <row r="6192">
      <c r="A6192" s="234"/>
      <c r="B6192" s="238" t="str">
        <f>IFERROR(__xludf.DUMMYFUNCTION("""COMPUTED_VALUE"""),"LM Hub_SP_Registro")</f>
        <v>LM Hub_SP_Registro</v>
      </c>
      <c r="C6192" s="238" t="str">
        <f>IFERROR(__xludf.DUMMYFUNCTION("""COMPUTED_VALUE"""),"HUB-LSP-40")</f>
        <v>HUB-LSP-40</v>
      </c>
      <c r="D6192" s="234">
        <f>IFERROR(__xludf.DUMMYFUNCTION("""COMPUTED_VALUE"""),33.0)</f>
        <v>33</v>
      </c>
      <c r="E6192" s="237" t="str">
        <f>IFERROR(__xludf.DUMMYFUNCTION("""COMPUTED_VALUE"""),"LT0Q1U01XDG71")</f>
        <v>LT0Q1U01XDG71</v>
      </c>
      <c r="F6192" s="238" t="str">
        <f>IFERROR(__xludf.DUMMYFUNCTION("""COMPUTED_VALUE"""),"GYS8H24")</f>
        <v>GYS8H24</v>
      </c>
      <c r="G6192" s="238">
        <f>IFERROR(__xludf.DUMMYFUNCTION("""COMPUTED_VALUE"""),46052.16666666667)</f>
        <v>46052.16667</v>
      </c>
      <c r="H6192" s="238">
        <f>IFERROR(__xludf.DUMMYFUNCTION("""COMPUTED_VALUE"""),46052.25)</f>
        <v>46052.25</v>
      </c>
      <c r="J6192" s="239">
        <v>119.99999999301508</v>
      </c>
    </row>
    <row r="6193">
      <c r="A6193" s="234"/>
      <c r="B6193" s="238" t="str">
        <f>IFERROR(__xludf.DUMMYFUNCTION("""COMPUTED_VALUE"""),"SoC_MG_Betim")</f>
        <v>SoC_MG_Betim</v>
      </c>
      <c r="C6193" s="238" t="str">
        <f>IFERROR(__xludf.DUMMYFUNCTION("""COMPUTED_VALUE"""),"SOC-MG2")</f>
        <v>SOC-MG2</v>
      </c>
      <c r="D6193" s="234" t="str">
        <f>IFERROR(__xludf.DUMMYFUNCTION("""COMPUTED_VALUE"""),"90/15")</f>
        <v>90/15</v>
      </c>
      <c r="E6193" s="237" t="str">
        <f>IFERROR(__xludf.DUMMYFUNCTION("""COMPUTED_VALUE"""),"LT1Q1U01XSIR1")</f>
        <v>LT1Q1U01XSIR1</v>
      </c>
      <c r="F6193" s="238" t="str">
        <f>IFERROR(__xludf.DUMMYFUNCTION("""COMPUTED_VALUE"""),"JAG4E10,JAJ3A33")</f>
        <v>JAG4E10,JAJ3A33</v>
      </c>
      <c r="G6193" s="238">
        <f>IFERROR(__xludf.DUMMYFUNCTION("""COMPUTED_VALUE"""),46052.16666666667)</f>
        <v>46052.16667</v>
      </c>
      <c r="H6193" s="238">
        <f>IFERROR(__xludf.DUMMYFUNCTION("""COMPUTED_VALUE"""),46052.25)</f>
        <v>46052.25</v>
      </c>
      <c r="J6193" s="239">
        <v>119.99999999301508</v>
      </c>
    </row>
    <row r="6194">
      <c r="A6194" s="234"/>
      <c r="B6194" s="238" t="str">
        <f>IFERROR(__xludf.DUMMYFUNCTION("""COMPUTED_VALUE"""),"SoC_PE_Jaboatão dos Guararapes")</f>
        <v>SoC_PE_Jaboatão dos Guararapes</v>
      </c>
      <c r="C6194" s="238" t="str">
        <f>IFERROR(__xludf.DUMMYFUNCTION("""COMPUTED_VALUE"""),"SOC-PE2")</f>
        <v>SOC-PE2</v>
      </c>
      <c r="D6194" s="234"/>
      <c r="E6194" s="237" t="str">
        <f>IFERROR(__xludf.DUMMYFUNCTION("""COMPUTED_VALUE"""),"LT1Q1U01XSIU1")</f>
        <v>LT1Q1U01XSIU1</v>
      </c>
      <c r="F6194" s="238" t="str">
        <f>IFERROR(__xludf.DUMMYFUNCTION("""COMPUTED_VALUE"""),"TPN1B67,TPQ3F40")</f>
        <v>TPN1B67,TPQ3F40</v>
      </c>
      <c r="G6194" s="238">
        <f>IFERROR(__xludf.DUMMYFUNCTION("""COMPUTED_VALUE"""),46052.16666666667)</f>
        <v>46052.16667</v>
      </c>
      <c r="H6194" s="238">
        <f>IFERROR(__xludf.DUMMYFUNCTION("""COMPUTED_VALUE"""),46052.25)</f>
        <v>46052.25</v>
      </c>
      <c r="J6194" s="239">
        <v>119.99999999301508</v>
      </c>
    </row>
    <row r="6195">
      <c r="A6195" s="234"/>
      <c r="B6195" s="238" t="str">
        <f>IFERROR(__xludf.DUMMYFUNCTION("""COMPUTED_VALUE"""),"SoC_PR_Curitiba")</f>
        <v>SoC_PR_Curitiba</v>
      </c>
      <c r="C6195" s="238" t="str">
        <f>IFERROR(__xludf.DUMMYFUNCTION("""COMPUTED_VALUE"""),"SOC-PR1")</f>
        <v>SOC-PR1</v>
      </c>
      <c r="D6195" s="234">
        <f>IFERROR(__xludf.DUMMYFUNCTION("""COMPUTED_VALUE"""),112.0)</f>
        <v>112</v>
      </c>
      <c r="E6195" s="237" t="str">
        <f>IFERROR(__xludf.DUMMYFUNCTION("""COMPUTED_VALUE"""),"LT1Q1U01XSWR1")</f>
        <v>LT1Q1U01XSWR1</v>
      </c>
      <c r="F6195" s="238" t="str">
        <f>IFERROR(__xludf.DUMMYFUNCTION("""COMPUTED_VALUE"""),"TJR4G15,UFH0B67")</f>
        <v>TJR4G15,UFH0B67</v>
      </c>
      <c r="G6195" s="238">
        <f>IFERROR(__xludf.DUMMYFUNCTION("""COMPUTED_VALUE"""),46052.16666666667)</f>
        <v>46052.16667</v>
      </c>
      <c r="H6195" s="238">
        <f>IFERROR(__xludf.DUMMYFUNCTION("""COMPUTED_VALUE"""),46052.25)</f>
        <v>46052.25</v>
      </c>
      <c r="J6195" s="239">
        <v>119.99999999301508</v>
      </c>
    </row>
    <row r="6196">
      <c r="A6196" s="234"/>
      <c r="B6196" s="238" t="str">
        <f>IFERROR(__xludf.DUMMYFUNCTION("""COMPUTED_VALUE"""),"SoC_PR_Curitiba")</f>
        <v>SoC_PR_Curitiba</v>
      </c>
      <c r="C6196" s="238" t="str">
        <f>IFERROR(__xludf.DUMMYFUNCTION("""COMPUTED_VALUE"""),"SOC-PR1")</f>
        <v>SOC-PR1</v>
      </c>
      <c r="D6196" s="234"/>
      <c r="E6196" s="237" t="str">
        <f>IFERROR(__xludf.DUMMYFUNCTION("""COMPUTED_VALUE"""),"LT0Q1U01XDB71")</f>
        <v>LT0Q1U01XDB71</v>
      </c>
      <c r="F6196" s="238" t="str">
        <f>IFERROR(__xludf.DUMMYFUNCTION("""COMPUTED_VALUE"""),"FQJ8B01,UGV7H67")</f>
        <v>FQJ8B01,UGV7H67</v>
      </c>
      <c r="G6196" s="238">
        <f>IFERROR(__xludf.DUMMYFUNCTION("""COMPUTED_VALUE"""),46052.16666666667)</f>
        <v>46052.16667</v>
      </c>
      <c r="H6196" s="238">
        <f>IFERROR(__xludf.DUMMYFUNCTION("""COMPUTED_VALUE"""),46052.25)</f>
        <v>46052.25</v>
      </c>
      <c r="J6196" s="239">
        <v>119.99999999301508</v>
      </c>
    </row>
    <row r="6197">
      <c r="A6197" s="234"/>
      <c r="B6197" s="238" t="str">
        <f>IFERROR(__xludf.DUMMYFUNCTION("""COMPUTED_VALUE"""),"SoC_RJ_Duque de Caxias")</f>
        <v>SoC_RJ_Duque de Caxias</v>
      </c>
      <c r="C6197" s="238" t="str">
        <f>IFERROR(__xludf.DUMMYFUNCTION("""COMPUTED_VALUE"""),"SOC-RJ2")</f>
        <v>SOC-RJ2</v>
      </c>
      <c r="D6197" s="234"/>
      <c r="E6197" s="237" t="str">
        <f>IFERROR(__xludf.DUMMYFUNCTION("""COMPUTED_VALUE"""),"LT1Q1U01XSWS1")</f>
        <v>LT1Q1U01XSWS1</v>
      </c>
      <c r="F6197" s="238" t="str">
        <f>IFERROR(__xludf.DUMMYFUNCTION("""COMPUTED_VALUE"""),"OVB9B40,EFW2H14")</f>
        <v>OVB9B40,EFW2H14</v>
      </c>
      <c r="G6197" s="238">
        <f>IFERROR(__xludf.DUMMYFUNCTION("""COMPUTED_VALUE"""),46052.16666666667)</f>
        <v>46052.16667</v>
      </c>
      <c r="H6197" s="238">
        <f>IFERROR(__xludf.DUMMYFUNCTION("""COMPUTED_VALUE"""),46052.25)</f>
        <v>46052.25</v>
      </c>
      <c r="J6197" s="239">
        <v>119.99999999301508</v>
      </c>
    </row>
    <row r="6198">
      <c r="A6198" s="234"/>
      <c r="B6198" s="238" t="str">
        <f>IFERROR(__xludf.DUMMYFUNCTION("""COMPUTED_VALUE"""),"SoC_RJ_Duque de Caxias")</f>
        <v>SoC_RJ_Duque de Caxias</v>
      </c>
      <c r="C6198" s="238" t="str">
        <f>IFERROR(__xludf.DUMMYFUNCTION("""COMPUTED_VALUE"""),"SOC-RJ2")</f>
        <v>SOC-RJ2</v>
      </c>
      <c r="D6198" s="234">
        <f>IFERROR(__xludf.DUMMYFUNCTION("""COMPUTED_VALUE"""),26.0)</f>
        <v>26</v>
      </c>
      <c r="E6198" s="237" t="str">
        <f>IFERROR(__xludf.DUMMYFUNCTION("""COMPUTED_VALUE"""),"LT1Q1U01XSIY1")</f>
        <v>LT1Q1U01XSIY1</v>
      </c>
      <c r="F6198" s="238" t="str">
        <f>IFERROR(__xludf.DUMMYFUNCTION("""COMPUTED_VALUE"""),"OVB9B40,EFW2H14")</f>
        <v>OVB9B40,EFW2H14</v>
      </c>
      <c r="G6198" s="238">
        <f>IFERROR(__xludf.DUMMYFUNCTION("""COMPUTED_VALUE"""),46052.16666666667)</f>
        <v>46052.16667</v>
      </c>
      <c r="H6198" s="238">
        <f>IFERROR(__xludf.DUMMYFUNCTION("""COMPUTED_VALUE"""),46052.25)</f>
        <v>46052.25</v>
      </c>
      <c r="J6198" s="239">
        <v>120.00000001396984</v>
      </c>
    </row>
    <row r="6199">
      <c r="A6199" s="234"/>
      <c r="B6199" s="238" t="str">
        <f>IFERROR(__xludf.DUMMYFUNCTION("""COMPUTED_VALUE"""),"SoC_SP_Louveira")</f>
        <v>SoC_SP_Louveira</v>
      </c>
      <c r="C6199" s="238" t="str">
        <f>IFERROR(__xludf.DUMMYFUNCTION("""COMPUTED_VALUE"""),"SOC-SP7")</f>
        <v>SOC-SP7</v>
      </c>
      <c r="D6199" s="234"/>
      <c r="E6199" s="237" t="str">
        <f>IFERROR(__xludf.DUMMYFUNCTION("""COMPUTED_VALUE"""),"LT1Q1U01XSJ61")</f>
        <v>LT1Q1U01XSJ61</v>
      </c>
      <c r="F6199" s="238" t="str">
        <f>IFERROR(__xludf.DUMMYFUNCTION("""COMPUTED_VALUE"""),"FFK2A01,CVP9835")</f>
        <v>FFK2A01,CVP9835</v>
      </c>
      <c r="G6199" s="238">
        <f>IFERROR(__xludf.DUMMYFUNCTION("""COMPUTED_VALUE"""),46052.20833333333)</f>
        <v>46052.20833</v>
      </c>
      <c r="H6199" s="238">
        <f>IFERROR(__xludf.DUMMYFUNCTION("""COMPUTED_VALUE"""),46052.29166666667)</f>
        <v>46052.29167</v>
      </c>
      <c r="J6199" s="239">
        <v>119.99999999301508</v>
      </c>
    </row>
    <row r="6200">
      <c r="A6200" s="234"/>
      <c r="B6200" s="238" t="str">
        <f>IFERROR(__xludf.DUMMYFUNCTION("""COMPUTED_VALUE"""),"LM Hub_SP_Atibaia_Ponte_Alta")</f>
        <v>LM Hub_SP_Atibaia_Ponte_Alta</v>
      </c>
      <c r="C6200" s="238" t="str">
        <f>IFERROR(__xludf.DUMMYFUNCTION("""COMPUTED_VALUE"""),"HUB-LSP-87")</f>
        <v>HUB-LSP-87</v>
      </c>
      <c r="D6200" s="234">
        <f>IFERROR(__xludf.DUMMYFUNCTION("""COMPUTED_VALUE"""),23.0)</f>
        <v>23</v>
      </c>
      <c r="E6200" s="237" t="str">
        <f>IFERROR(__xludf.DUMMYFUNCTION("""COMPUTED_VALUE"""),"LT0Q1U01XGUO1")</f>
        <v>LT0Q1U01XGUO1</v>
      </c>
      <c r="F6200" s="238" t="str">
        <f>IFERROR(__xludf.DUMMYFUNCTION("""COMPUTED_VALUE"""),"UET0H20,TPO4H25")</f>
        <v>UET0H20,TPO4H25</v>
      </c>
      <c r="G6200" s="238">
        <f>IFERROR(__xludf.DUMMYFUNCTION("""COMPUTED_VALUE"""),46052.1875)</f>
        <v>46052.1875</v>
      </c>
      <c r="H6200" s="238">
        <f>IFERROR(__xludf.DUMMYFUNCTION("""COMPUTED_VALUE"""),46052.27083333333)</f>
        <v>46052.27083</v>
      </c>
      <c r="J6200" s="239">
        <v>119.99999999301508</v>
      </c>
    </row>
    <row r="6201">
      <c r="A6201" s="234"/>
      <c r="B6201" s="238" t="str">
        <f>IFERROR(__xludf.DUMMYFUNCTION("""COMPUTED_VALUE"""),"LM Hub_SP_Sorocaba_Região Norte")</f>
        <v>LM Hub_SP_Sorocaba_Região Norte</v>
      </c>
      <c r="C6201" s="238" t="str">
        <f>IFERROR(__xludf.DUMMYFUNCTION("""COMPUTED_VALUE"""),"HUB-LSP-10")</f>
        <v>HUB-LSP-10</v>
      </c>
      <c r="D6201" s="234">
        <f>IFERROR(__xludf.DUMMYFUNCTION("""COMPUTED_VALUE"""),25.0)</f>
        <v>25</v>
      </c>
      <c r="E6201" s="237" t="str">
        <f>IFERROR(__xludf.DUMMYFUNCTION("""COMPUTED_VALUE"""),"LT0Q1U01XDH51")</f>
        <v>LT0Q1U01XDH51</v>
      </c>
      <c r="F6201" s="238" t="str">
        <f>IFERROR(__xludf.DUMMYFUNCTION("""COMPUTED_VALUE"""),"UAV9J03,STR3C81")</f>
        <v>UAV9J03,STR3C81</v>
      </c>
      <c r="G6201" s="238">
        <f>IFERROR(__xludf.DUMMYFUNCTION("""COMPUTED_VALUE"""),46052.1875)</f>
        <v>46052.1875</v>
      </c>
      <c r="H6201" s="238">
        <f>IFERROR(__xludf.DUMMYFUNCTION("""COMPUTED_VALUE"""),46052.27083333333)</f>
        <v>46052.27083</v>
      </c>
      <c r="J6201" s="239">
        <v>119.99999999301508</v>
      </c>
    </row>
    <row r="6202">
      <c r="A6202" s="234"/>
      <c r="B6202" s="238" t="str">
        <f>IFERROR(__xludf.DUMMYFUNCTION("""COMPUTED_VALUE"""),"LM Hub_SP_Taubaté")</f>
        <v>LM Hub_SP_Taubaté</v>
      </c>
      <c r="C6202" s="238" t="str">
        <f>IFERROR(__xludf.DUMMYFUNCTION("""COMPUTED_VALUE"""),"HUB-LSP-08")</f>
        <v>HUB-LSP-08</v>
      </c>
      <c r="D6202" s="234">
        <f>IFERROR(__xludf.DUMMYFUNCTION("""COMPUTED_VALUE"""),34.0)</f>
        <v>34</v>
      </c>
      <c r="E6202" s="237" t="str">
        <f>IFERROR(__xludf.DUMMYFUNCTION("""COMPUTED_VALUE"""),"LT0Q1U01XM6J1")</f>
        <v>LT0Q1U01XM6J1</v>
      </c>
      <c r="F6202" s="238" t="str">
        <f>IFERROR(__xludf.DUMMYFUNCTION("""COMPUTED_VALUE"""),"DVA4185,FWZ1H59")</f>
        <v>DVA4185,FWZ1H59</v>
      </c>
      <c r="G6202" s="238">
        <f>IFERROR(__xludf.DUMMYFUNCTION("""COMPUTED_VALUE"""),46052.1875)</f>
        <v>46052.1875</v>
      </c>
      <c r="H6202" s="238">
        <f>IFERROR(__xludf.DUMMYFUNCTION("""COMPUTED_VALUE"""),46052.27083333333)</f>
        <v>46052.27083</v>
      </c>
      <c r="J6202" s="239">
        <v>540.0</v>
      </c>
    </row>
    <row r="6203">
      <c r="A6203" s="234"/>
      <c r="B6203" s="238" t="str">
        <f>IFERROR(__xludf.DUMMYFUNCTION("""COMPUTED_VALUE"""),"SoC_BA_Simoes Filho")</f>
        <v>SoC_BA_Simoes Filho</v>
      </c>
      <c r="C6203" s="238" t="str">
        <f>IFERROR(__xludf.DUMMYFUNCTION("""COMPUTED_VALUE"""),"SOC-BA2")</f>
        <v>SOC-BA2</v>
      </c>
      <c r="D6203" s="234">
        <f>IFERROR(__xludf.DUMMYFUNCTION("""COMPUTED_VALUE"""),89.0)</f>
        <v>89</v>
      </c>
      <c r="E6203" s="237" t="str">
        <f>IFERROR(__xludf.DUMMYFUNCTION("""COMPUTED_VALUE"""),"LT0Q1T01XIFG1")</f>
        <v>LT0Q1T01XIFG1</v>
      </c>
      <c r="F6203" s="238" t="str">
        <f>IFERROR(__xludf.DUMMYFUNCTION("""COMPUTED_VALUE"""),"CLU3D09,PZX4C25")</f>
        <v>CLU3D09,PZX4C25</v>
      </c>
      <c r="G6203" s="238">
        <f>IFERROR(__xludf.DUMMYFUNCTION("""COMPUTED_VALUE"""),46051.91666666667)</f>
        <v>46051.91667</v>
      </c>
      <c r="H6203" s="238">
        <f>IFERROR(__xludf.DUMMYFUNCTION("""COMPUTED_VALUE"""),46052.29166666667)</f>
        <v>46052.29167</v>
      </c>
      <c r="J6203" s="239">
        <v>539.0000000072177</v>
      </c>
    </row>
    <row r="6204">
      <c r="A6204" s="234"/>
      <c r="B6204" s="238" t="str">
        <f>IFERROR(__xludf.DUMMYFUNCTION("""COMPUTED_VALUE"""),"SoC_GO_Goiânia_02")</f>
        <v>SoC_GO_Goiânia_02</v>
      </c>
      <c r="C6204" s="238" t="str">
        <f>IFERROR(__xludf.DUMMYFUNCTION("""COMPUTED_VALUE"""),"SOC-GO2")</f>
        <v>SOC-GO2</v>
      </c>
      <c r="D6204" s="234">
        <f>IFERROR(__xludf.DUMMYFUNCTION("""COMPUTED_VALUE"""),86.0)</f>
        <v>86</v>
      </c>
      <c r="E6204" s="237" t="str">
        <f>IFERROR(__xludf.DUMMYFUNCTION("""COMPUTED_VALUE"""),"LT0Q1T01XIR62")</f>
        <v>LT0Q1T01XIR62</v>
      </c>
      <c r="F6204" s="238" t="str">
        <f>IFERROR(__xludf.DUMMYFUNCTION("""COMPUTED_VALUE"""),"RCN9E58,RBN1C39")</f>
        <v>RCN9E58,RBN1C39</v>
      </c>
      <c r="G6204" s="238">
        <f>IFERROR(__xludf.DUMMYFUNCTION("""COMPUTED_VALUE"""),46051.91736111111)</f>
        <v>46051.91736</v>
      </c>
      <c r="H6204" s="238">
        <f>IFERROR(__xludf.DUMMYFUNCTION("""COMPUTED_VALUE"""),46052.29166666667)</f>
        <v>46052.29167</v>
      </c>
      <c r="J6204" s="239">
        <v>539.0000000072177</v>
      </c>
    </row>
    <row r="6205">
      <c r="A6205" s="234"/>
      <c r="B6205" s="238" t="str">
        <f>IFERROR(__xludf.DUMMYFUNCTION("""COMPUTED_VALUE"""),"SoC_GO_Goiânia_02")</f>
        <v>SoC_GO_Goiânia_02</v>
      </c>
      <c r="C6205" s="238" t="str">
        <f>IFERROR(__xludf.DUMMYFUNCTION("""COMPUTED_VALUE"""),"SOC-GO2")</f>
        <v>SOC-GO2</v>
      </c>
      <c r="D6205" s="234">
        <f>IFERROR(__xludf.DUMMYFUNCTION("""COMPUTED_VALUE"""),87.0)</f>
        <v>87</v>
      </c>
      <c r="E6205" s="237" t="str">
        <f>IFERROR(__xludf.DUMMYFUNCTION("""COMPUTED_VALUE"""),"LT0Q1T01XIRA4")</f>
        <v>LT0Q1T01XIRA4</v>
      </c>
      <c r="F6205" s="238" t="str">
        <f>IFERROR(__xludf.DUMMYFUNCTION("""COMPUTED_VALUE"""),"EOF9A02,NAP6E22")</f>
        <v>EOF9A02,NAP6E22</v>
      </c>
      <c r="G6205" s="238">
        <f>IFERROR(__xludf.DUMMYFUNCTION("""COMPUTED_VALUE"""),46051.91736111111)</f>
        <v>46051.91736</v>
      </c>
      <c r="H6205" s="238">
        <f>IFERROR(__xludf.DUMMYFUNCTION("""COMPUTED_VALUE"""),46052.29166666667)</f>
        <v>46052.29167</v>
      </c>
      <c r="J6205" s="239">
        <v>539.0000000072177</v>
      </c>
    </row>
    <row r="6206">
      <c r="A6206" s="234"/>
      <c r="B6206" s="238" t="str">
        <f>IFERROR(__xludf.DUMMYFUNCTION("""COMPUTED_VALUE"""),"SoC_PE_Jaboatão dos Guararapes")</f>
        <v>SoC_PE_Jaboatão dos Guararapes</v>
      </c>
      <c r="C6206" s="238" t="str">
        <f>IFERROR(__xludf.DUMMYFUNCTION("""COMPUTED_VALUE"""),"SOC-PE2")</f>
        <v>SOC-PE2</v>
      </c>
      <c r="D6206" s="234">
        <f>IFERROR(__xludf.DUMMYFUNCTION("""COMPUTED_VALUE"""),99.0)</f>
        <v>99</v>
      </c>
      <c r="E6206" s="237" t="str">
        <f>IFERROR(__xludf.DUMMYFUNCTION("""COMPUTED_VALUE"""),"LT0Q1T01XIC83")</f>
        <v>LT0Q1T01XIC83</v>
      </c>
      <c r="F6206" s="238" t="str">
        <f>IFERROR(__xludf.DUMMYFUNCTION("""COMPUTED_VALUE"""),"EJZ9A74,BWF7193")</f>
        <v>EJZ9A74,BWF7193</v>
      </c>
      <c r="G6206" s="238">
        <f>IFERROR(__xludf.DUMMYFUNCTION("""COMPUTED_VALUE"""),46051.91736111111)</f>
        <v>46051.91736</v>
      </c>
      <c r="H6206" s="238">
        <f>IFERROR(__xludf.DUMMYFUNCTION("""COMPUTED_VALUE"""),46052.29166666667)</f>
        <v>46052.29167</v>
      </c>
      <c r="J6206" s="239">
        <v>539.0000000072177</v>
      </c>
    </row>
    <row r="6207">
      <c r="A6207" s="234"/>
      <c r="B6207" s="238" t="str">
        <f>IFERROR(__xludf.DUMMYFUNCTION("""COMPUTED_VALUE"""),"SoC_PE_Jaboatão dos Guararapes")</f>
        <v>SoC_PE_Jaboatão dos Guararapes</v>
      </c>
      <c r="C6207" s="238" t="str">
        <f>IFERROR(__xludf.DUMMYFUNCTION("""COMPUTED_VALUE"""),"SOC-PE2")</f>
        <v>SOC-PE2</v>
      </c>
      <c r="D6207" s="234">
        <f>IFERROR(__xludf.DUMMYFUNCTION("""COMPUTED_VALUE"""),99.0)</f>
        <v>99</v>
      </c>
      <c r="E6207" s="237" t="str">
        <f>IFERROR(__xludf.DUMMYFUNCTION("""COMPUTED_VALUE"""),"LT0Q1T01XIC62")</f>
        <v>LT0Q1T01XIC62</v>
      </c>
      <c r="F6207" s="238" t="str">
        <f>IFERROR(__xludf.DUMMYFUNCTION("""COMPUTED_VALUE"""),"QXM0F88,HMM4E77")</f>
        <v>QXM0F88,HMM4E77</v>
      </c>
      <c r="G6207" s="238">
        <f>IFERROR(__xludf.DUMMYFUNCTION("""COMPUTED_VALUE"""),46051.91736111111)</f>
        <v>46051.91736</v>
      </c>
      <c r="H6207" s="238">
        <f>IFERROR(__xludf.DUMMYFUNCTION("""COMPUTED_VALUE"""),46052.29166666667)</f>
        <v>46052.29167</v>
      </c>
      <c r="J6207" s="239">
        <v>537.0000000111759</v>
      </c>
    </row>
    <row r="6208">
      <c r="A6208" s="234"/>
      <c r="B6208" s="238" t="str">
        <f>IFERROR(__xludf.DUMMYFUNCTION("""COMPUTED_VALUE"""),"SoC_RJ_Duque de Caxias")</f>
        <v>SoC_RJ_Duque de Caxias</v>
      </c>
      <c r="C6208" s="238" t="str">
        <f>IFERROR(__xludf.DUMMYFUNCTION("""COMPUTED_VALUE"""),"SOC-RJ2")</f>
        <v>SOC-RJ2</v>
      </c>
      <c r="D6208" s="234">
        <f>IFERROR(__xludf.DUMMYFUNCTION("""COMPUTED_VALUE"""),96.0)</f>
        <v>96</v>
      </c>
      <c r="E6208" s="237" t="str">
        <f>IFERROR(__xludf.DUMMYFUNCTION("""COMPUTED_VALUE"""),"LT0Q1T01XMJ31")</f>
        <v>LT0Q1T01XMJ31</v>
      </c>
      <c r="F6208" s="238" t="str">
        <f>IFERROR(__xludf.DUMMYFUNCTION("""COMPUTED_VALUE"""),"IYX1J37,ODH9G75")</f>
        <v>IYX1J37,ODH9G75</v>
      </c>
      <c r="G6208" s="238">
        <f>IFERROR(__xludf.DUMMYFUNCTION("""COMPUTED_VALUE"""),46051.91875)</f>
        <v>46051.91875</v>
      </c>
      <c r="H6208" s="238">
        <f>IFERROR(__xludf.DUMMYFUNCTION("""COMPUTED_VALUE"""),46052.29166666667)</f>
        <v>46052.29167</v>
      </c>
      <c r="J6208" s="239">
        <v>537.0000000111759</v>
      </c>
    </row>
    <row r="6209">
      <c r="A6209" s="234"/>
      <c r="B6209" s="238" t="str">
        <f>IFERROR(__xludf.DUMMYFUNCTION("""COMPUTED_VALUE"""),"SoC_RJ_Duque de Caxias")</f>
        <v>SoC_RJ_Duque de Caxias</v>
      </c>
      <c r="C6209" s="238" t="str">
        <f>IFERROR(__xludf.DUMMYFUNCTION("""COMPUTED_VALUE"""),"SOC-RJ2")</f>
        <v>SOC-RJ2</v>
      </c>
      <c r="D6209" s="234">
        <f>IFERROR(__xludf.DUMMYFUNCTION("""COMPUTED_VALUE"""),96.0)</f>
        <v>96</v>
      </c>
      <c r="E6209" s="237" t="str">
        <f>IFERROR(__xludf.DUMMYFUNCTION("""COMPUTED_VALUE"""),"LT0Q1T01XMJ52")</f>
        <v>LT0Q1T01XMJ52</v>
      </c>
      <c r="F6209" s="238" t="str">
        <f>IFERROR(__xludf.DUMMYFUNCTION("""COMPUTED_VALUE"""),"GLI0404,OWR6109")</f>
        <v>GLI0404,OWR6109</v>
      </c>
      <c r="G6209" s="238">
        <f>IFERROR(__xludf.DUMMYFUNCTION("""COMPUTED_VALUE"""),46051.91875)</f>
        <v>46051.91875</v>
      </c>
      <c r="H6209" s="238">
        <f>IFERROR(__xludf.DUMMYFUNCTION("""COMPUTED_VALUE"""),46052.29166666667)</f>
        <v>46052.29167</v>
      </c>
      <c r="J6209" s="239">
        <v>537.0000000111759</v>
      </c>
    </row>
    <row r="6210">
      <c r="A6210" s="234"/>
      <c r="B6210" s="238" t="str">
        <f>IFERROR(__xludf.DUMMYFUNCTION("""COMPUTED_VALUE"""),"SoC_SP_Cravinhos")</f>
        <v>SoC_SP_Cravinhos</v>
      </c>
      <c r="C6210" s="238" t="str">
        <f>IFERROR(__xludf.DUMMYFUNCTION("""COMPUTED_VALUE"""),"SOC-SP5")</f>
        <v>SOC-SP5</v>
      </c>
      <c r="D6210" s="234">
        <f>IFERROR(__xludf.DUMMYFUNCTION("""COMPUTED_VALUE"""),94.0)</f>
        <v>94</v>
      </c>
      <c r="E6210" s="237" t="str">
        <f>IFERROR(__xludf.DUMMYFUNCTION("""COMPUTED_VALUE"""),"LT0Q1T01XDCJ1")</f>
        <v>LT0Q1T01XDCJ1</v>
      </c>
      <c r="F6210" s="238" t="str">
        <f>IFERROR(__xludf.DUMMYFUNCTION("""COMPUTED_VALUE"""),"ESU5I07,EZL9D52")</f>
        <v>ESU5I07,EZL9D52</v>
      </c>
      <c r="G6210" s="238">
        <f>IFERROR(__xludf.DUMMYFUNCTION("""COMPUTED_VALUE"""),46051.91875)</f>
        <v>46051.91875</v>
      </c>
      <c r="H6210" s="238">
        <f>IFERROR(__xludf.DUMMYFUNCTION("""COMPUTED_VALUE"""),46052.29166666667)</f>
        <v>46052.29167</v>
      </c>
      <c r="J6210" s="239">
        <v>536.0000000079162</v>
      </c>
    </row>
    <row r="6211">
      <c r="A6211" s="234"/>
      <c r="B6211" s="238" t="str">
        <f>IFERROR(__xludf.DUMMYFUNCTION("""COMPUTED_VALUE"""),"SoC_MG_Betim")</f>
        <v>SoC_MG_Betim</v>
      </c>
      <c r="C6211" s="238" t="str">
        <f>IFERROR(__xludf.DUMMYFUNCTION("""COMPUTED_VALUE"""),"SOC-MG2")</f>
        <v>SOC-MG2</v>
      </c>
      <c r="D6211" s="234">
        <f>IFERROR(__xludf.DUMMYFUNCTION("""COMPUTED_VALUE"""),91.0)</f>
        <v>91</v>
      </c>
      <c r="E6211" s="237" t="str">
        <f>IFERROR(__xludf.DUMMYFUNCTION("""COMPUTED_VALUE"""),"LT0Q1T01XDB35")</f>
        <v>LT0Q1T01XDB35</v>
      </c>
      <c r="F6211" s="238" t="str">
        <f>IFERROR(__xludf.DUMMYFUNCTION("""COMPUTED_VALUE"""),"TJU6D89,TAX1I65")</f>
        <v>TJU6D89,TAX1I65</v>
      </c>
      <c r="G6211" s="238">
        <f>IFERROR(__xludf.DUMMYFUNCTION("""COMPUTED_VALUE"""),46051.919444444444)</f>
        <v>46051.91944</v>
      </c>
      <c r="H6211" s="238">
        <f>IFERROR(__xludf.DUMMYFUNCTION("""COMPUTED_VALUE"""),46052.29166666667)</f>
        <v>46052.29167</v>
      </c>
      <c r="J6211" s="239">
        <v>180.0</v>
      </c>
    </row>
    <row r="6212">
      <c r="A6212" s="234"/>
      <c r="B6212" s="238" t="str">
        <f>IFERROR(__xludf.DUMMYFUNCTION("""COMPUTED_VALUE"""),"SoC_MG_Betim")</f>
        <v>SoC_MG_Betim</v>
      </c>
      <c r="C6212" s="238" t="str">
        <f>IFERROR(__xludf.DUMMYFUNCTION("""COMPUTED_VALUE"""),"SOC-MG2")</f>
        <v>SOC-MG2</v>
      </c>
      <c r="D6212" s="234"/>
      <c r="E6212" s="237" t="str">
        <f>IFERROR(__xludf.DUMMYFUNCTION("""COMPUTED_VALUE"""),"LT1Q1U01XSIQ1")</f>
        <v>LT1Q1U01XSIQ1</v>
      </c>
      <c r="F6212" s="238" t="str">
        <f>IFERROR(__xludf.DUMMYFUNCTION("""COMPUTED_VALUE"""),"BTO4B66,EVU3J56")</f>
        <v>BTO4B66,EVU3J56</v>
      </c>
      <c r="G6212" s="238">
        <f>IFERROR(__xludf.DUMMYFUNCTION("""COMPUTED_VALUE"""),46052.16666666667)</f>
        <v>46052.16667</v>
      </c>
      <c r="H6212" s="238">
        <f>IFERROR(__xludf.DUMMYFUNCTION("""COMPUTED_VALUE"""),46052.29166666667)</f>
        <v>46052.29167</v>
      </c>
      <c r="J6212" s="239">
        <v>120.00000001396984</v>
      </c>
    </row>
    <row r="6213">
      <c r="A6213" s="234"/>
      <c r="B6213" s="238" t="str">
        <f>IFERROR(__xludf.DUMMYFUNCTION("""COMPUTED_VALUE"""),"LM Hub_SP_Barueri_01")</f>
        <v>LM Hub_SP_Barueri_01</v>
      </c>
      <c r="C6213" s="238" t="str">
        <f>IFERROR(__xludf.DUMMYFUNCTION("""COMPUTED_VALUE"""),"HUB-LSP-81")</f>
        <v>HUB-LSP-81</v>
      </c>
      <c r="D6213" s="234">
        <f>IFERROR(__xludf.DUMMYFUNCTION("""COMPUTED_VALUE"""),22.0)</f>
        <v>22</v>
      </c>
      <c r="E6213" s="237" t="str">
        <f>IFERROR(__xludf.DUMMYFUNCTION("""COMPUTED_VALUE"""),"LT0Q1U01XI3J1")</f>
        <v>LT0Q1U01XI3J1</v>
      </c>
      <c r="F6213" s="238" t="str">
        <f>IFERROR(__xludf.DUMMYFUNCTION("""COMPUTED_VALUE"""),"SUQ5C99")</f>
        <v>SUQ5C99</v>
      </c>
      <c r="G6213" s="238">
        <f>IFERROR(__xludf.DUMMYFUNCTION("""COMPUTED_VALUE"""),46052.20833333333)</f>
        <v>46052.20833</v>
      </c>
      <c r="H6213" s="238">
        <f>IFERROR(__xludf.DUMMYFUNCTION("""COMPUTED_VALUE"""),46052.29166666667)</f>
        <v>46052.29167</v>
      </c>
      <c r="J6213" s="239">
        <v>120.00000001396984</v>
      </c>
    </row>
    <row r="6214">
      <c r="A6214" s="234"/>
      <c r="B6214" s="238" t="str">
        <f>IFERROR(__xludf.DUMMYFUNCTION("""COMPUTED_VALUE"""),"LM Hub_SP_Jundiaí")</f>
        <v>LM Hub_SP_Jundiaí</v>
      </c>
      <c r="C6214" s="238" t="str">
        <f>IFERROR(__xludf.DUMMYFUNCTION("""COMPUTED_VALUE"""),"HUB-LSP-100")</f>
        <v>HUB-LSP-100</v>
      </c>
      <c r="D6214" s="234">
        <f>IFERROR(__xludf.DUMMYFUNCTION("""COMPUTED_VALUE"""),16.0)</f>
        <v>16</v>
      </c>
      <c r="E6214" s="237" t="str">
        <f>IFERROR(__xludf.DUMMYFUNCTION("""COMPUTED_VALUE"""),"LT0Q1U01XJHY1")</f>
        <v>LT0Q1U01XJHY1</v>
      </c>
      <c r="F6214" s="238" t="str">
        <f>IFERROR(__xludf.DUMMYFUNCTION("""COMPUTED_VALUE"""),"EKM7H21,TPO5B55")</f>
        <v>EKM7H21,TPO5B55</v>
      </c>
      <c r="G6214" s="238">
        <f>IFERROR(__xludf.DUMMYFUNCTION("""COMPUTED_VALUE"""),46052.20833333333)</f>
        <v>46052.20833</v>
      </c>
      <c r="H6214" s="238">
        <f>IFERROR(__xludf.DUMMYFUNCTION("""COMPUTED_VALUE"""),46052.29166666667)</f>
        <v>46052.29167</v>
      </c>
      <c r="J6214" s="239">
        <v>120.00000001396984</v>
      </c>
    </row>
    <row r="6215">
      <c r="A6215" s="234"/>
      <c r="B6215" s="238" t="str">
        <f>IFERROR(__xludf.DUMMYFUNCTION("""COMPUTED_VALUE"""),"LM Hub_SP_Piracicaba")</f>
        <v>LM Hub_SP_Piracicaba</v>
      </c>
      <c r="C6215" s="238" t="str">
        <f>IFERROR(__xludf.DUMMYFUNCTION("""COMPUTED_VALUE"""),"HUB-LSP-62")</f>
        <v>HUB-LSP-62</v>
      </c>
      <c r="D6215" s="234">
        <f>IFERROR(__xludf.DUMMYFUNCTION("""COMPUTED_VALUE"""),17.0)</f>
        <v>17</v>
      </c>
      <c r="E6215" s="237" t="str">
        <f>IFERROR(__xludf.DUMMYFUNCTION("""COMPUTED_VALUE"""),"LT0Q1U01XE4E1")</f>
        <v>LT0Q1U01XE4E1</v>
      </c>
      <c r="F6215" s="238" t="str">
        <f>IFERROR(__xludf.DUMMYFUNCTION("""COMPUTED_VALUE"""),"EOF4D32")</f>
        <v>EOF4D32</v>
      </c>
      <c r="G6215" s="238">
        <f>IFERROR(__xludf.DUMMYFUNCTION("""COMPUTED_VALUE"""),46052.20833333333)</f>
        <v>46052.20833</v>
      </c>
      <c r="H6215" s="238">
        <f>IFERROR(__xludf.DUMMYFUNCTION("""COMPUTED_VALUE"""),46052.29166666667)</f>
        <v>46052.29167</v>
      </c>
      <c r="J6215" s="239">
        <v>120.00000001396984</v>
      </c>
    </row>
    <row r="6216">
      <c r="A6216" s="234"/>
      <c r="B6216" s="238" t="str">
        <f>IFERROR(__xludf.DUMMYFUNCTION("""COMPUTED_VALUE"""),"LM Hub_SP_Santos_PraiaGrande_02")</f>
        <v>LM Hub_SP_Santos_PraiaGrande_02</v>
      </c>
      <c r="C6216" s="238" t="str">
        <f>IFERROR(__xludf.DUMMYFUNCTION("""COMPUTED_VALUE"""),"HUB-LSP-63")</f>
        <v>HUB-LSP-63</v>
      </c>
      <c r="D6216" s="234">
        <f>IFERROR(__xludf.DUMMYFUNCTION("""COMPUTED_VALUE"""),52.0)</f>
        <v>52</v>
      </c>
      <c r="E6216" s="237" t="str">
        <f>IFERROR(__xludf.DUMMYFUNCTION("""COMPUTED_VALUE"""),"LT0Q1U01XEKY1")</f>
        <v>LT0Q1U01XEKY1</v>
      </c>
      <c r="F6216" s="238" t="str">
        <f>IFERROR(__xludf.DUMMYFUNCTION("""COMPUTED_VALUE"""),"BTZ8H57,FCW8D21")</f>
        <v>BTZ8H57,FCW8D21</v>
      </c>
      <c r="G6216" s="238">
        <f>IFERROR(__xludf.DUMMYFUNCTION("""COMPUTED_VALUE"""),46052.20833333333)</f>
        <v>46052.20833</v>
      </c>
      <c r="H6216" s="238">
        <f>IFERROR(__xludf.DUMMYFUNCTION("""COMPUTED_VALUE"""),46052.29166666667)</f>
        <v>46052.29167</v>
      </c>
      <c r="J6216" s="239">
        <v>119.99999999301508</v>
      </c>
    </row>
    <row r="6217">
      <c r="A6217" s="234"/>
      <c r="B6217" s="238" t="str">
        <f>IFERROR(__xludf.DUMMYFUNCTION("""COMPUTED_VALUE"""),"LM Hub_SP_Itapevi")</f>
        <v>LM Hub_SP_Itapevi</v>
      </c>
      <c r="C6217" s="238" t="str">
        <f>IFERROR(__xludf.DUMMYFUNCTION("""COMPUTED_VALUE"""),"HUB-LSP-41")</f>
        <v>HUB-LSP-41</v>
      </c>
      <c r="D6217" s="234">
        <f>IFERROR(__xludf.DUMMYFUNCTION("""COMPUTED_VALUE"""),14.0)</f>
        <v>14</v>
      </c>
      <c r="E6217" s="237" t="str">
        <f>IFERROR(__xludf.DUMMYFUNCTION("""COMPUTED_VALUE"""),"LT0Q1U01XDEO1")</f>
        <v>LT0Q1U01XDEO1</v>
      </c>
      <c r="F6217" s="238" t="str">
        <f>IFERROR(__xludf.DUMMYFUNCTION("""COMPUTED_VALUE"""),"EWJ2F50,EVO3C99")</f>
        <v>EWJ2F50,EVO3C99</v>
      </c>
      <c r="G6217" s="238">
        <f>IFERROR(__xludf.DUMMYFUNCTION("""COMPUTED_VALUE"""),46052.22916666667)</f>
        <v>46052.22917</v>
      </c>
      <c r="H6217" s="238">
        <f>IFERROR(__xludf.DUMMYFUNCTION("""COMPUTED_VALUE"""),46052.3125)</f>
        <v>46052.3125</v>
      </c>
      <c r="J6217" s="239">
        <v>119.99999999301508</v>
      </c>
    </row>
    <row r="6218">
      <c r="A6218" s="234"/>
      <c r="B6218" s="238" t="str">
        <f>IFERROR(__xludf.DUMMYFUNCTION("""COMPUTED_VALUE"""),"LM Hub_SP_Santos_Praia Grande")</f>
        <v>LM Hub_SP_Santos_Praia Grande</v>
      </c>
      <c r="C6218" s="238" t="str">
        <f>IFERROR(__xludf.DUMMYFUNCTION("""COMPUTED_VALUE"""),"HUB-LSP-09")</f>
        <v>HUB-LSP-09</v>
      </c>
      <c r="D6218" s="234">
        <f>IFERROR(__xludf.DUMMYFUNCTION("""COMPUTED_VALUE"""),13.0)</f>
        <v>13</v>
      </c>
      <c r="E6218" s="237" t="str">
        <f>IFERROR(__xludf.DUMMYFUNCTION("""COMPUTED_VALUE"""),"LT0Q1U01XEKJ1")</f>
        <v>LT0Q1U01XEKJ1</v>
      </c>
      <c r="F6218" s="238" t="str">
        <f>IFERROR(__xludf.DUMMYFUNCTION("""COMPUTED_VALUE"""),"UEU6I01")</f>
        <v>UEU6I01</v>
      </c>
      <c r="G6218" s="238">
        <f>IFERROR(__xludf.DUMMYFUNCTION("""COMPUTED_VALUE"""),46052.22916666667)</f>
        <v>46052.22917</v>
      </c>
      <c r="H6218" s="238">
        <f>IFERROR(__xludf.DUMMYFUNCTION("""COMPUTED_VALUE"""),46052.3125)</f>
        <v>46052.3125</v>
      </c>
      <c r="J6218" s="239">
        <v>119.99999999301508</v>
      </c>
    </row>
    <row r="6219">
      <c r="A6219" s="234"/>
      <c r="B6219" s="238" t="str">
        <f>IFERROR(__xludf.DUMMYFUNCTION("""COMPUTED_VALUE"""),"LM Hub_SP_São José dos Campos")</f>
        <v>LM Hub_SP_São José dos Campos</v>
      </c>
      <c r="C6219" s="238" t="str">
        <f>IFERROR(__xludf.DUMMYFUNCTION("""COMPUTED_VALUE"""),"HUB-LSP-04")</f>
        <v>HUB-LSP-04</v>
      </c>
      <c r="D6219" s="234">
        <f>IFERROR(__xludf.DUMMYFUNCTION("""COMPUTED_VALUE"""),12.0)</f>
        <v>12</v>
      </c>
      <c r="E6219" s="237" t="str">
        <f>IFERROR(__xludf.DUMMYFUNCTION("""COMPUTED_VALUE"""),"LT0Q1U01XEKO1")</f>
        <v>LT0Q1U01XEKO1</v>
      </c>
      <c r="F6219" s="238" t="str">
        <f>IFERROR(__xludf.DUMMYFUNCTION("""COMPUTED_VALUE"""),"JBO1I53")</f>
        <v>JBO1I53</v>
      </c>
      <c r="G6219" s="238">
        <f>IFERROR(__xludf.DUMMYFUNCTION("""COMPUTED_VALUE"""),46052.22916666667)</f>
        <v>46052.22917</v>
      </c>
      <c r="H6219" s="238">
        <f>IFERROR(__xludf.DUMMYFUNCTION("""COMPUTED_VALUE"""),46052.3125)</f>
        <v>46052.3125</v>
      </c>
      <c r="J6219" s="239">
        <v>119.99999999301508</v>
      </c>
    </row>
    <row r="6220">
      <c r="A6220" s="234"/>
      <c r="B6220" s="238" t="str">
        <f>IFERROR(__xludf.DUMMYFUNCTION("""COMPUTED_VALUE"""),"LM Hub_SP_São Paulo_Mooca")</f>
        <v>LM Hub_SP_São Paulo_Mooca</v>
      </c>
      <c r="C6220" s="238" t="str">
        <f>IFERROR(__xludf.DUMMYFUNCTION("""COMPUTED_VALUE"""),"HUB-LSP-13")</f>
        <v>HUB-LSP-13</v>
      </c>
      <c r="D6220" s="234">
        <f>IFERROR(__xludf.DUMMYFUNCTION("""COMPUTED_VALUE"""),6.0)</f>
        <v>6</v>
      </c>
      <c r="E6220" s="237" t="str">
        <f>IFERROR(__xludf.DUMMYFUNCTION("""COMPUTED_VALUE"""),"LT0Q1U01XME51")</f>
        <v>LT0Q1U01XME51</v>
      </c>
      <c r="F6220" s="238" t="str">
        <f>IFERROR(__xludf.DUMMYFUNCTION("""COMPUTED_VALUE"""),"FGI1F79")</f>
        <v>FGI1F79</v>
      </c>
      <c r="G6220" s="238">
        <f>IFERROR(__xludf.DUMMYFUNCTION("""COMPUTED_VALUE"""),46052.22916666667)</f>
        <v>46052.22917</v>
      </c>
      <c r="H6220" s="238">
        <f>IFERROR(__xludf.DUMMYFUNCTION("""COMPUTED_VALUE"""),46052.3125)</f>
        <v>46052.3125</v>
      </c>
      <c r="J6220" s="239">
        <v>119.99999999301508</v>
      </c>
    </row>
    <row r="6221">
      <c r="A6221" s="234"/>
      <c r="B6221" s="238" t="str">
        <f>IFERROR(__xludf.DUMMYFUNCTION("""COMPUTED_VALUE"""),"LM Hub_SP_Várzea Paulista")</f>
        <v>LM Hub_SP_Várzea Paulista</v>
      </c>
      <c r="C6221" s="238" t="str">
        <f>IFERROR(__xludf.DUMMYFUNCTION("""COMPUTED_VALUE"""),"HUB-LSP-20")</f>
        <v>HUB-LSP-20</v>
      </c>
      <c r="D6221" s="234"/>
      <c r="E6221" s="237" t="str">
        <f>IFERROR(__xludf.DUMMYFUNCTION("""COMPUTED_VALUE"""),"LT0Q1U01XM6Y1")</f>
        <v>LT0Q1U01XM6Y1</v>
      </c>
      <c r="F6221" s="238" t="str">
        <f>IFERROR(__xludf.DUMMYFUNCTION("""COMPUTED_VALUE"""),"FYQ5533")</f>
        <v>FYQ5533</v>
      </c>
      <c r="G6221" s="238">
        <f>IFERROR(__xludf.DUMMYFUNCTION("""COMPUTED_VALUE"""),46052.22916666667)</f>
        <v>46052.22917</v>
      </c>
      <c r="H6221" s="238">
        <f>IFERROR(__xludf.DUMMYFUNCTION("""COMPUTED_VALUE"""),46052.3125)</f>
        <v>46052.3125</v>
      </c>
      <c r="J6221" s="239">
        <v>119.99999999301508</v>
      </c>
    </row>
    <row r="6222">
      <c r="A6222" s="234"/>
      <c r="B6222" s="238" t="str">
        <f>IFERROR(__xludf.DUMMYFUNCTION("""COMPUTED_VALUE"""),"LM Hub_SP_VilaGuilherme")</f>
        <v>LM Hub_SP_VilaGuilherme</v>
      </c>
      <c r="C6222" s="238" t="str">
        <f>IFERROR(__xludf.DUMMYFUNCTION("""COMPUTED_VALUE"""),"HUB-LSP-68")</f>
        <v>HUB-LSP-68</v>
      </c>
      <c r="D6222" s="234">
        <f>IFERROR(__xludf.DUMMYFUNCTION("""COMPUTED_VALUE"""),44.0)</f>
        <v>44</v>
      </c>
      <c r="E6222" s="237" t="str">
        <f>IFERROR(__xludf.DUMMYFUNCTION("""COMPUTED_VALUE"""),"LT0Q1U01XEK31")</f>
        <v>LT0Q1U01XEK31</v>
      </c>
      <c r="F6222" s="238" t="str">
        <f>IFERROR(__xludf.DUMMYFUNCTION("""COMPUTED_VALUE"""),"GBP5G56")</f>
        <v>GBP5G56</v>
      </c>
      <c r="G6222" s="238">
        <f>IFERROR(__xludf.DUMMYFUNCTION("""COMPUTED_VALUE"""),46052.25)</f>
        <v>46052.25</v>
      </c>
      <c r="H6222" s="238">
        <f>IFERROR(__xludf.DUMMYFUNCTION("""COMPUTED_VALUE"""),46052.33333333333)</f>
        <v>46052.33333</v>
      </c>
      <c r="J6222" s="239">
        <v>119.99999999301508</v>
      </c>
    </row>
    <row r="6223">
      <c r="A6223" s="234"/>
      <c r="B6223" s="238" t="str">
        <f>IFERROR(__xludf.DUMMYFUNCTION("""COMPUTED_VALUE"""),"LM Hub_SP_Embu das Artes")</f>
        <v>LM Hub_SP_Embu das Artes</v>
      </c>
      <c r="C6223" s="238" t="str">
        <f>IFERROR(__xludf.DUMMYFUNCTION("""COMPUTED_VALUE"""),"HUB-LSP-36")</f>
        <v>HUB-LSP-36</v>
      </c>
      <c r="D6223" s="234">
        <f>IFERROR(__xludf.DUMMYFUNCTION("""COMPUTED_VALUE"""),37.0)</f>
        <v>37</v>
      </c>
      <c r="E6223" s="237" t="str">
        <f>IFERROR(__xludf.DUMMYFUNCTION("""COMPUTED_VALUE"""),"LT0Q1U01XEL31")</f>
        <v>LT0Q1U01XEL31</v>
      </c>
      <c r="F6223" s="238" t="str">
        <f>IFERROR(__xludf.DUMMYFUNCTION("""COMPUTED_VALUE"""),"AXH9D10")</f>
        <v>AXH9D10</v>
      </c>
      <c r="G6223" s="238">
        <f>IFERROR(__xludf.DUMMYFUNCTION("""COMPUTED_VALUE"""),46052.25)</f>
        <v>46052.25</v>
      </c>
      <c r="H6223" s="238">
        <f>IFERROR(__xludf.DUMMYFUNCTION("""COMPUTED_VALUE"""),46052.33333333333)</f>
        <v>46052.33333</v>
      </c>
      <c r="J6223" s="239">
        <v>119.99999999301508</v>
      </c>
    </row>
    <row r="6224">
      <c r="A6224" s="234"/>
      <c r="B6224" s="238" t="str">
        <f>IFERROR(__xludf.DUMMYFUNCTION("""COMPUTED_VALUE"""),"LM Hub_SP_São Paulo_Lapa")</f>
        <v>LM Hub_SP_São Paulo_Lapa</v>
      </c>
      <c r="C6224" s="238" t="str">
        <f>IFERROR(__xludf.DUMMYFUNCTION("""COMPUTED_VALUE"""),"HUB-LSP-15")</f>
        <v>HUB-LSP-15</v>
      </c>
      <c r="D6224" s="234">
        <f>IFERROR(__xludf.DUMMYFUNCTION("""COMPUTED_VALUE"""),29.0)</f>
        <v>29</v>
      </c>
      <c r="E6224" s="237" t="str">
        <f>IFERROR(__xludf.DUMMYFUNCTION("""COMPUTED_VALUE"""),"LT0Q1U01XEJJ1")</f>
        <v>LT0Q1U01XEJJ1</v>
      </c>
      <c r="F6224" s="238" t="str">
        <f>IFERROR(__xludf.DUMMYFUNCTION("""COMPUTED_VALUE"""),"DAJ3E28")</f>
        <v>DAJ3E28</v>
      </c>
      <c r="G6224" s="238">
        <f>IFERROR(__xludf.DUMMYFUNCTION("""COMPUTED_VALUE"""),46052.25)</f>
        <v>46052.25</v>
      </c>
      <c r="H6224" s="238">
        <f>IFERROR(__xludf.DUMMYFUNCTION("""COMPUTED_VALUE"""),46052.33333333333)</f>
        <v>46052.33333</v>
      </c>
      <c r="J6224" s="239">
        <v>119.99999999301508</v>
      </c>
    </row>
    <row r="6225">
      <c r="A6225" s="234"/>
      <c r="B6225" s="238" t="str">
        <f>IFERROR(__xludf.DUMMYFUNCTION("""COMPUTED_VALUE"""),"LM Hub_SP_Artur Alvim")</f>
        <v>LM Hub_SP_Artur Alvim</v>
      </c>
      <c r="C6225" s="238" t="str">
        <f>IFERROR(__xludf.DUMMYFUNCTION("""COMPUTED_VALUE"""),"HUB-LSP-07")</f>
        <v>HUB-LSP-07</v>
      </c>
      <c r="D6225" s="234">
        <f>IFERROR(__xludf.DUMMYFUNCTION("""COMPUTED_VALUE"""),19.0)</f>
        <v>19</v>
      </c>
      <c r="E6225" s="237" t="str">
        <f>IFERROR(__xludf.DUMMYFUNCTION("""COMPUTED_VALUE"""),"LT0Q1U01XEJ81")</f>
        <v>LT0Q1U01XEJ81</v>
      </c>
      <c r="F6225" s="238" t="str">
        <f>IFERROR(__xludf.DUMMYFUNCTION("""COMPUTED_VALUE"""),"GVJ3C48")</f>
        <v>GVJ3C48</v>
      </c>
      <c r="G6225" s="238">
        <f>IFERROR(__xludf.DUMMYFUNCTION("""COMPUTED_VALUE"""),46052.25)</f>
        <v>46052.25</v>
      </c>
      <c r="H6225" s="238">
        <f>IFERROR(__xludf.DUMMYFUNCTION("""COMPUTED_VALUE"""),46052.33333333333)</f>
        <v>46052.33333</v>
      </c>
      <c r="J6225" s="239">
        <v>119.99999999301508</v>
      </c>
    </row>
    <row r="6226">
      <c r="A6226" s="234"/>
      <c r="B6226" s="238" t="str">
        <f>IFERROR(__xludf.DUMMYFUNCTION("""COMPUTED_VALUE"""),"LM Hub_SP_Guarulhos")</f>
        <v>LM Hub_SP_Guarulhos</v>
      </c>
      <c r="C6226" s="238" t="str">
        <f>IFERROR(__xludf.DUMMYFUNCTION("""COMPUTED_VALUE"""),"HUB-LSP-77")</f>
        <v>HUB-LSP-77</v>
      </c>
      <c r="D6226" s="234">
        <f>IFERROR(__xludf.DUMMYFUNCTION("""COMPUTED_VALUE"""),46.0)</f>
        <v>46</v>
      </c>
      <c r="E6226" s="237" t="str">
        <f>IFERROR(__xludf.DUMMYFUNCTION("""COMPUTED_VALUE"""),"LT0Q1U01XEKT1")</f>
        <v>LT0Q1U01XEKT1</v>
      </c>
      <c r="F6226" s="238" t="str">
        <f>IFERROR(__xludf.DUMMYFUNCTION("""COMPUTED_VALUE"""),"EJV5A67")</f>
        <v>EJV5A67</v>
      </c>
      <c r="G6226" s="238">
        <f>IFERROR(__xludf.DUMMYFUNCTION("""COMPUTED_VALUE"""),46052.25)</f>
        <v>46052.25</v>
      </c>
      <c r="H6226" s="238">
        <f>IFERROR(__xludf.DUMMYFUNCTION("""COMPUTED_VALUE"""),46052.33333333333)</f>
        <v>46052.33333</v>
      </c>
      <c r="J6226" s="239">
        <v>119.99999999301508</v>
      </c>
    </row>
    <row r="6227">
      <c r="A6227" s="234"/>
      <c r="B6227" s="238" t="str">
        <f>IFERROR(__xludf.DUMMYFUNCTION("""COMPUTED_VALUE"""),"LM Hub_SP_Itaqua_Zimba")</f>
        <v>LM Hub_SP_Itaqua_Zimba</v>
      </c>
      <c r="C6227" s="238" t="str">
        <f>IFERROR(__xludf.DUMMYFUNCTION("""COMPUTED_VALUE"""),"HUB-LSP-74")</f>
        <v>HUB-LSP-74</v>
      </c>
      <c r="D6227" s="234">
        <f>IFERROR(__xludf.DUMMYFUNCTION("""COMPUTED_VALUE"""),9.0)</f>
        <v>9</v>
      </c>
      <c r="E6227" s="237" t="str">
        <f>IFERROR(__xludf.DUMMYFUNCTION("""COMPUTED_VALUE"""),"LT0Q1U01XEK81")</f>
        <v>LT0Q1U01XEK81</v>
      </c>
      <c r="F6227" s="238" t="str">
        <f>IFERROR(__xludf.DUMMYFUNCTION("""COMPUTED_VALUE"""),"FZJ9H38")</f>
        <v>FZJ9H38</v>
      </c>
      <c r="G6227" s="238">
        <f>IFERROR(__xludf.DUMMYFUNCTION("""COMPUTED_VALUE"""),46052.25)</f>
        <v>46052.25</v>
      </c>
      <c r="H6227" s="238">
        <f>IFERROR(__xludf.DUMMYFUNCTION("""COMPUTED_VALUE"""),46052.33333333333)</f>
        <v>46052.33333</v>
      </c>
      <c r="J6227" s="239">
        <v>119.99999999301508</v>
      </c>
    </row>
    <row r="6228">
      <c r="A6228" s="234"/>
      <c r="B6228" s="238" t="str">
        <f>IFERROR(__xludf.DUMMYFUNCTION("""COMPUTED_VALUE"""),"LM Hub_SP_Artur Alvim")</f>
        <v>LM Hub_SP_Artur Alvim</v>
      </c>
      <c r="C6228" s="238" t="str">
        <f>IFERROR(__xludf.DUMMYFUNCTION("""COMPUTED_VALUE"""),"HUB-LSP-07")</f>
        <v>HUB-LSP-07</v>
      </c>
      <c r="D6228" s="234">
        <f>IFERROR(__xludf.DUMMYFUNCTION("""COMPUTED_VALUE"""),18.0)</f>
        <v>18</v>
      </c>
      <c r="E6228" s="237" t="str">
        <f>IFERROR(__xludf.DUMMYFUNCTION("""COMPUTED_VALUE"""),"LT0Q1U01XEJ81")</f>
        <v>LT0Q1U01XEJ81</v>
      </c>
      <c r="F6228" s="238" t="str">
        <f>IFERROR(__xludf.DUMMYFUNCTION("""COMPUTED_VALUE"""),"GVJ3C48")</f>
        <v>GVJ3C48</v>
      </c>
      <c r="G6228" s="238">
        <f>IFERROR(__xludf.DUMMYFUNCTION("""COMPUTED_VALUE"""),46052.25)</f>
        <v>46052.25</v>
      </c>
      <c r="H6228" s="238">
        <f>IFERROR(__xludf.DUMMYFUNCTION("""COMPUTED_VALUE"""),46052.33333333333)</f>
        <v>46052.33333</v>
      </c>
      <c r="J6228" s="239">
        <v>59.99999998603016</v>
      </c>
    </row>
    <row r="6229">
      <c r="A6229" s="234"/>
      <c r="B6229" s="238" t="str">
        <f>IFERROR(__xludf.DUMMYFUNCTION("""COMPUTED_VALUE"""),"LM Hub_SP_Mooca_02")</f>
        <v>LM Hub_SP_Mooca_02</v>
      </c>
      <c r="C6229" s="238" t="str">
        <f>IFERROR(__xludf.DUMMYFUNCTION("""COMPUTED_VALUE"""),"HUB-LSP-94")</f>
        <v>HUB-LSP-94</v>
      </c>
      <c r="D6229" s="234">
        <f>IFERROR(__xludf.DUMMYFUNCTION("""COMPUTED_VALUE"""),49.0)</f>
        <v>49</v>
      </c>
      <c r="E6229" s="237" t="str">
        <f>IFERROR(__xludf.DUMMYFUNCTION("""COMPUTED_VALUE"""),"LT1Q1U01XRQ11")</f>
        <v>LT1Q1U01XRQ11</v>
      </c>
      <c r="F6229" s="238" t="str">
        <f>IFERROR(__xludf.DUMMYFUNCTION("""COMPUTED_VALUE"""),"BZA9F56")</f>
        <v>BZA9F56</v>
      </c>
      <c r="G6229" s="238">
        <f>IFERROR(__xludf.DUMMYFUNCTION("""COMPUTED_VALUE"""),46052.29166666667)</f>
        <v>46052.29167</v>
      </c>
      <c r="H6229" s="238">
        <f>IFERROR(__xludf.DUMMYFUNCTION("""COMPUTED_VALUE"""),46052.33333333333)</f>
        <v>46052.33333</v>
      </c>
      <c r="J6229" s="239">
        <v>119.99999999301508</v>
      </c>
    </row>
    <row r="6230">
      <c r="A6230" s="234"/>
      <c r="B6230" s="238" t="str">
        <f>IFERROR(__xludf.DUMMYFUNCTION("""COMPUTED_VALUE"""),"LM Hub_SP_Osasco_02")</f>
        <v>LM Hub_SP_Osasco_02</v>
      </c>
      <c r="C6230" s="238" t="str">
        <f>IFERROR(__xludf.DUMMYFUNCTION("""COMPUTED_VALUE"""),"HUB-LSP-60")</f>
        <v>HUB-LSP-60</v>
      </c>
      <c r="D6230" s="234">
        <f>IFERROR(__xludf.DUMMYFUNCTION("""COMPUTED_VALUE"""),32.0)</f>
        <v>32</v>
      </c>
      <c r="E6230" s="237" t="str">
        <f>IFERROR(__xludf.DUMMYFUNCTION("""COMPUTED_VALUE"""),"LT0Q1U01XEJY1")</f>
        <v>LT0Q1U01XEJY1</v>
      </c>
      <c r="F6230" s="238" t="str">
        <f>IFERROR(__xludf.DUMMYFUNCTION("""COMPUTED_VALUE"""),"DVT5A35,EGK6174")</f>
        <v>DVT5A35,EGK6174</v>
      </c>
      <c r="G6230" s="238">
        <f>IFERROR(__xludf.DUMMYFUNCTION("""COMPUTED_VALUE"""),46052.25)</f>
        <v>46052.25</v>
      </c>
      <c r="H6230" s="238">
        <f>IFERROR(__xludf.DUMMYFUNCTION("""COMPUTED_VALUE"""),46052.33333333333)</f>
        <v>46052.33333</v>
      </c>
      <c r="J6230" s="239">
        <v>120.00000001396984</v>
      </c>
    </row>
    <row r="6231">
      <c r="A6231" s="234"/>
      <c r="B6231" s="238" t="str">
        <f>IFERROR(__xludf.DUMMYFUNCTION("""COMPUTED_VALUE"""),"LM Hub_SP_São Bernardo do Campo")</f>
        <v>LM Hub_SP_São Bernardo do Campo</v>
      </c>
      <c r="C6231" s="238" t="str">
        <f>IFERROR(__xludf.DUMMYFUNCTION("""COMPUTED_VALUE"""),"HUB-LSP-79")</f>
        <v>HUB-LSP-79</v>
      </c>
      <c r="D6231" s="234">
        <f>IFERROR(__xludf.DUMMYFUNCTION("""COMPUTED_VALUE"""),27.0)</f>
        <v>27</v>
      </c>
      <c r="E6231" s="237" t="str">
        <f>IFERROR(__xludf.DUMMYFUNCTION("""COMPUTED_VALUE"""),"LT0Q1U01XE0Y1")</f>
        <v>LT0Q1U01XE0Y1</v>
      </c>
      <c r="F6231" s="238" t="str">
        <f>IFERROR(__xludf.DUMMYFUNCTION("""COMPUTED_VALUE"""),"DVT5D28")</f>
        <v>DVT5D28</v>
      </c>
      <c r="G6231" s="238">
        <f>IFERROR(__xludf.DUMMYFUNCTION("""COMPUTED_VALUE"""),46052.27083333333)</f>
        <v>46052.27083</v>
      </c>
      <c r="H6231" s="238">
        <f>IFERROR(__xludf.DUMMYFUNCTION("""COMPUTED_VALUE"""),46052.35416666667)</f>
        <v>46052.35417</v>
      </c>
      <c r="J6231" s="239">
        <v>119.99999999301508</v>
      </c>
    </row>
    <row r="6232">
      <c r="A6232" s="234"/>
      <c r="B6232" s="238" t="str">
        <f>IFERROR(__xludf.DUMMYFUNCTION("""COMPUTED_VALUE"""),"LM Hub_SP_Embu das Artes_02")</f>
        <v>LM Hub_SP_Embu das Artes_02</v>
      </c>
      <c r="C6232" s="238" t="str">
        <f>IFERROR(__xludf.DUMMYFUNCTION("""COMPUTED_VALUE"""),"HUB-LSP-96")</f>
        <v>HUB-LSP-96</v>
      </c>
      <c r="D6232" s="234">
        <f>IFERROR(__xludf.DUMMYFUNCTION("""COMPUTED_VALUE"""),24.0)</f>
        <v>24</v>
      </c>
      <c r="E6232" s="237" t="str">
        <f>IFERROR(__xludf.DUMMYFUNCTION("""COMPUTED_VALUE"""),"LT0Q1U01XGNU1")</f>
        <v>LT0Q1U01XGNU1</v>
      </c>
      <c r="F6232" s="238" t="str">
        <f>IFERROR(__xludf.DUMMYFUNCTION("""COMPUTED_VALUE"""),"FUF6H46")</f>
        <v>FUF6H46</v>
      </c>
      <c r="G6232" s="238">
        <f>IFERROR(__xludf.DUMMYFUNCTION("""COMPUTED_VALUE"""),46052.29166666667)</f>
        <v>46052.29167</v>
      </c>
      <c r="H6232" s="238">
        <f>IFERROR(__xludf.DUMMYFUNCTION("""COMPUTED_VALUE"""),46052.375)</f>
        <v>46052.375</v>
      </c>
      <c r="J6232" s="239">
        <v>119.99999999301508</v>
      </c>
    </row>
    <row r="6233">
      <c r="A6233" s="234"/>
      <c r="B6233" s="238" t="str">
        <f>IFERROR(__xludf.DUMMYFUNCTION("""COMPUTED_VALUE"""),"LM Hub_SP_Suzano_Baruel")</f>
        <v>LM Hub_SP_Suzano_Baruel</v>
      </c>
      <c r="C6233" s="238" t="str">
        <f>IFERROR(__xludf.DUMMYFUNCTION("""COMPUTED_VALUE"""),"HUB-LSP-97")</f>
        <v>HUB-LSP-97</v>
      </c>
      <c r="D6233" s="234">
        <f>IFERROR(__xludf.DUMMYFUNCTION("""COMPUTED_VALUE"""),28.0)</f>
        <v>28</v>
      </c>
      <c r="E6233" s="237" t="str">
        <f>IFERROR(__xludf.DUMMYFUNCTION("""COMPUTED_VALUE"""),"LT0Q1U01XJTQ1")</f>
        <v>LT0Q1U01XJTQ1</v>
      </c>
      <c r="F6233" s="238" t="str">
        <f>IFERROR(__xludf.DUMMYFUNCTION("""COMPUTED_VALUE"""),"LTR7J66,BTB3E49")</f>
        <v>LTR7J66,BTB3E49</v>
      </c>
      <c r="G6233" s="238">
        <f>IFERROR(__xludf.DUMMYFUNCTION("""COMPUTED_VALUE"""),46052.29166666667)</f>
        <v>46052.29167</v>
      </c>
      <c r="H6233" s="238">
        <f>IFERROR(__xludf.DUMMYFUNCTION("""COMPUTED_VALUE"""),46052.375)</f>
        <v>46052.375</v>
      </c>
      <c r="J6233" s="239">
        <v>119.99999999301508</v>
      </c>
    </row>
    <row r="6234">
      <c r="A6234" s="234"/>
      <c r="B6234" s="238" t="str">
        <f>IFERROR(__xludf.DUMMYFUNCTION("""COMPUTED_VALUE"""),"LM Hub_SP_Mauá")</f>
        <v>LM Hub_SP_Mauá</v>
      </c>
      <c r="C6234" s="238" t="str">
        <f>IFERROR(__xludf.DUMMYFUNCTION("""COMPUTED_VALUE"""),"HUB-LSP-64")</f>
        <v>HUB-LSP-64</v>
      </c>
      <c r="D6234" s="234">
        <f>IFERROR(__xludf.DUMMYFUNCTION("""COMPUTED_VALUE"""),38.0)</f>
        <v>38</v>
      </c>
      <c r="E6234" s="237" t="str">
        <f>IFERROR(__xludf.DUMMYFUNCTION("""COMPUTED_VALUE"""),"LT0Q1U01XMEA1")</f>
        <v>LT0Q1U01XMEA1</v>
      </c>
      <c r="F6234" s="238" t="str">
        <f>IFERROR(__xludf.DUMMYFUNCTION("""COMPUTED_VALUE"""),"PQV0E87")</f>
        <v>PQV0E87</v>
      </c>
      <c r="G6234" s="238">
        <f>IFERROR(__xludf.DUMMYFUNCTION("""COMPUTED_VALUE"""),46052.3125)</f>
        <v>46052.3125</v>
      </c>
      <c r="H6234" s="238">
        <f>IFERROR(__xludf.DUMMYFUNCTION("""COMPUTED_VALUE"""),46052.39583333333)</f>
        <v>46052.39583</v>
      </c>
      <c r="J6234" s="239">
        <v>119.99999999301508</v>
      </c>
    </row>
    <row r="6235">
      <c r="A6235" s="234"/>
      <c r="B6235" s="238" t="str">
        <f>IFERROR(__xludf.DUMMYFUNCTION("""COMPUTED_VALUE"""),"LM Hub_MG_Belo Horizonte_02")</f>
        <v>LM Hub_MG_Belo Horizonte_02</v>
      </c>
      <c r="C6235" s="238" t="str">
        <f>IFERROR(__xludf.DUMMYFUNCTION("""COMPUTED_VALUE"""),"HUB-LMG-50")</f>
        <v>HUB-LMG-50</v>
      </c>
      <c r="D6235" s="234">
        <f>IFERROR(__xludf.DUMMYFUNCTION("""COMPUTED_VALUE"""),113.0)</f>
        <v>113</v>
      </c>
      <c r="E6235" s="237" t="str">
        <f>IFERROR(__xludf.DUMMYFUNCTION("""COMPUTED_VALUE"""),"LT0Q1U01XH0A1")</f>
        <v>LT0Q1U01XH0A1</v>
      </c>
      <c r="F6235" s="238" t="str">
        <f>IFERROR(__xludf.DUMMYFUNCTION("""COMPUTED_VALUE"""),"NVU3F99,RFJ0E80")</f>
        <v>NVU3F99,RFJ0E80</v>
      </c>
      <c r="G6235" s="238">
        <f>IFERROR(__xludf.DUMMYFUNCTION("""COMPUTED_VALUE"""),46052.35416666667)</f>
        <v>46052.35417</v>
      </c>
      <c r="H6235" s="238">
        <f>IFERROR(__xludf.DUMMYFUNCTION("""COMPUTED_VALUE"""),46052.4375)</f>
        <v>46052.4375</v>
      </c>
      <c r="J6235" s="239">
        <v>418.00000000046566</v>
      </c>
    </row>
    <row r="6236">
      <c r="A6236" s="234"/>
      <c r="B6236" s="238" t="str">
        <f>IFERROR(__xludf.DUMMYFUNCTION("""COMPUTED_VALUE"""),"SoC_RJ_Duque de Caxias")</f>
        <v>SoC_RJ_Duque de Caxias</v>
      </c>
      <c r="C6236" s="238" t="str">
        <f>IFERROR(__xludf.DUMMYFUNCTION("""COMPUTED_VALUE"""),"SOC-RJ2")</f>
        <v>SOC-RJ2</v>
      </c>
      <c r="D6236" s="234"/>
      <c r="E6236" s="237" t="str">
        <f>IFERROR(__xludf.DUMMYFUNCTION("""COMPUTED_VALUE"""),"LT0Q1T01XF9N3")</f>
        <v>LT0Q1T01XF9N3</v>
      </c>
      <c r="F6236" s="238" t="str">
        <f>IFERROR(__xludf.DUMMYFUNCTION("""COMPUTED_VALUE"""),"DVS7H95,HOA1D64")</f>
        <v>DVS7H95,HOA1D64</v>
      </c>
      <c r="G6236" s="238">
        <f>IFERROR(__xludf.DUMMYFUNCTION("""COMPUTED_VALUE"""),46052.16805555555)</f>
        <v>46052.16806</v>
      </c>
      <c r="H6236" s="238">
        <f>IFERROR(__xludf.DUMMYFUNCTION("""COMPUTED_VALUE"""),46052.45833333333)</f>
        <v>46052.45833</v>
      </c>
      <c r="J6236" s="239">
        <v>414.9999999906868</v>
      </c>
    </row>
    <row r="6237">
      <c r="A6237" s="234"/>
      <c r="B6237" s="238" t="str">
        <f>IFERROR(__xludf.DUMMYFUNCTION("""COMPUTED_VALUE"""),"SoC_RJ_Duque de Caxias")</f>
        <v>SoC_RJ_Duque de Caxias</v>
      </c>
      <c r="C6237" s="238" t="str">
        <f>IFERROR(__xludf.DUMMYFUNCTION("""COMPUTED_VALUE"""),"SOC-RJ2")</f>
        <v>SOC-RJ2</v>
      </c>
      <c r="D6237" s="234">
        <f>IFERROR(__xludf.DUMMYFUNCTION("""COMPUTED_VALUE"""),97.0)</f>
        <v>97</v>
      </c>
      <c r="E6237" s="237" t="str">
        <f>IFERROR(__xludf.DUMMYFUNCTION("""COMPUTED_VALUE"""),"LT0Q1T01XMIZ1")</f>
        <v>LT0Q1T01XMIZ1</v>
      </c>
      <c r="F6237" s="238" t="str">
        <f>IFERROR(__xludf.DUMMYFUNCTION("""COMPUTED_VALUE"""),"KPX6E24,NZQ8A90")</f>
        <v>KPX6E24,NZQ8A90</v>
      </c>
      <c r="G6237" s="238">
        <f>IFERROR(__xludf.DUMMYFUNCTION("""COMPUTED_VALUE"""),46052.17013888889)</f>
        <v>46052.17014</v>
      </c>
      <c r="H6237" s="238">
        <f>IFERROR(__xludf.DUMMYFUNCTION("""COMPUTED_VALUE"""),46052.45833333333)</f>
        <v>46052.45833</v>
      </c>
      <c r="J6237" s="239">
        <v>120.00000001396984</v>
      </c>
    </row>
    <row r="6238">
      <c r="A6238" s="234"/>
      <c r="B6238" s="238" t="str">
        <f>IFERROR(__xludf.DUMMYFUNCTION("""COMPUTED_VALUE"""),"SoC_SP_Louveira")</f>
        <v>SoC_SP_Louveira</v>
      </c>
      <c r="C6238" s="238" t="str">
        <f>IFERROR(__xludf.DUMMYFUNCTION("""COMPUTED_VALUE"""),"SOC-SP7")</f>
        <v>SOC-SP7</v>
      </c>
      <c r="D6238" s="234"/>
      <c r="E6238" s="237" t="str">
        <f>IFERROR(__xludf.DUMMYFUNCTION("""COMPUTED_VALUE"""),"LT0Q1U01XM5N1")</f>
        <v>LT0Q1U01XM5N1</v>
      </c>
      <c r="F6238" s="238" t="str">
        <f>IFERROR(__xludf.DUMMYFUNCTION("""COMPUTED_VALUE"""),"MEZ3B05,MCK9433")</f>
        <v>MEZ3B05,MCK9433</v>
      </c>
      <c r="G6238" s="238">
        <f>IFERROR(__xludf.DUMMYFUNCTION("""COMPUTED_VALUE"""),46052.39583333333)</f>
        <v>46052.39583</v>
      </c>
      <c r="H6238" s="238">
        <f>IFERROR(__xludf.DUMMYFUNCTION("""COMPUTED_VALUE"""),46052.47916666667)</f>
        <v>46052.47917</v>
      </c>
      <c r="J6238" s="239">
        <v>600.0000000069849</v>
      </c>
    </row>
    <row r="6239">
      <c r="A6239" s="234"/>
      <c r="B6239" s="238" t="str">
        <f>IFERROR(__xludf.DUMMYFUNCTION("""COMPUTED_VALUE"""),"SoC_BA_Simoes Filho")</f>
        <v>SoC_BA_Simoes Filho</v>
      </c>
      <c r="C6239" s="238" t="str">
        <f>IFERROR(__xludf.DUMMYFUNCTION("""COMPUTED_VALUE"""),"SOC-BA2")</f>
        <v>SOC-BA2</v>
      </c>
      <c r="D6239" s="234"/>
      <c r="E6239" s="237" t="str">
        <f>IFERROR(__xludf.DUMMYFUNCTION("""COMPUTED_VALUE"""),"LT0Q1U01XIET1")</f>
        <v>LT0Q1U01XIET1</v>
      </c>
      <c r="F6239" s="234" t="str">
        <f>IFERROR(__xludf.DUMMYFUNCTION("""COMPUTED_VALUE"""),"PUG8H72,ECM4J66")</f>
        <v>PUG8H72,ECM4J66</v>
      </c>
      <c r="G6239" s="238">
        <f>IFERROR(__xludf.DUMMYFUNCTION("""COMPUTED_VALUE"""),46052.25)</f>
        <v>46052.25</v>
      </c>
      <c r="H6239" s="238">
        <f>IFERROR(__xludf.DUMMYFUNCTION("""COMPUTED_VALUE"""),46052.66666666667)</f>
        <v>46052.66667</v>
      </c>
      <c r="J6239" s="239">
        <v>538.9999999967404</v>
      </c>
    </row>
    <row r="6240">
      <c r="A6240" s="234"/>
      <c r="B6240" s="238" t="str">
        <f>IFERROR(__xludf.DUMMYFUNCTION("""COMPUTED_VALUE"""),"SoC_GO_Goiânia_02")</f>
        <v>SoC_GO_Goiânia_02</v>
      </c>
      <c r="C6240" s="238" t="str">
        <f>IFERROR(__xludf.DUMMYFUNCTION("""COMPUTED_VALUE"""),"SOC-GO2")</f>
        <v>SOC-GO2</v>
      </c>
      <c r="D6240" s="234"/>
      <c r="E6240" s="237" t="str">
        <f>IFERROR(__xludf.DUMMYFUNCTION("""COMPUTED_VALUE"""),"LT0Q1T01XIR41")</f>
        <v>LT0Q1T01XIR41</v>
      </c>
      <c r="F6240" s="238" t="str">
        <f>IFERROR(__xludf.DUMMYFUNCTION("""COMPUTED_VALUE"""),"THH3G94,UFY4D67")</f>
        <v>THH3G94,UFY4D67</v>
      </c>
      <c r="G6240" s="238">
        <f>IFERROR(__xludf.DUMMYFUNCTION("""COMPUTED_VALUE"""),46052.084027777775)</f>
        <v>46052.08403</v>
      </c>
      <c r="H6240" s="238">
        <f>IFERROR(__xludf.DUMMYFUNCTION("""COMPUTED_VALUE"""),46052.45833333333)</f>
        <v>46052.45833</v>
      </c>
      <c r="J6240" s="239">
        <v>538.9999999967404</v>
      </c>
    </row>
    <row r="6241">
      <c r="A6241" s="234"/>
      <c r="B6241" s="238" t="str">
        <f>IFERROR(__xludf.DUMMYFUNCTION("""COMPUTED_VALUE"""),"SoC_PE_Jaboatão dos Guararapes")</f>
        <v>SoC_PE_Jaboatão dos Guararapes</v>
      </c>
      <c r="C6241" s="238" t="str">
        <f>IFERROR(__xludf.DUMMYFUNCTION("""COMPUTED_VALUE"""),"SOC-PE2")</f>
        <v>SOC-PE2</v>
      </c>
      <c r="D6241" s="234">
        <f>IFERROR(__xludf.DUMMYFUNCTION("""COMPUTED_VALUE"""),98.0)</f>
        <v>98</v>
      </c>
      <c r="E6241" s="237" t="str">
        <f>IFERROR(__xludf.DUMMYFUNCTION("""COMPUTED_VALUE"""),"LT0Q1T01XIC41")</f>
        <v>LT0Q1T01XIC41</v>
      </c>
      <c r="F6241" s="238" t="str">
        <f>IFERROR(__xludf.DUMMYFUNCTION("""COMPUTED_VALUE"""),"NVM7E88,MIG1E01")</f>
        <v>NVM7E88,MIG1E01</v>
      </c>
      <c r="G6241" s="238">
        <f>IFERROR(__xludf.DUMMYFUNCTION("""COMPUTED_VALUE"""),46052.084027777775)</f>
        <v>46052.08403</v>
      </c>
      <c r="H6241" s="238">
        <f>IFERROR(__xludf.DUMMYFUNCTION("""COMPUTED_VALUE"""),46052.45833333333)</f>
        <v>46052.45833</v>
      </c>
      <c r="J6241" s="239">
        <v>537.9999999934807</v>
      </c>
    </row>
    <row r="6242">
      <c r="A6242" s="234"/>
      <c r="B6242" s="238" t="str">
        <f>IFERROR(__xludf.DUMMYFUNCTION("""COMPUTED_VALUE"""),"SoC_RS_Gravataí_02")</f>
        <v>SoC_RS_Gravataí_02</v>
      </c>
      <c r="C6242" s="238" t="str">
        <f>IFERROR(__xludf.DUMMYFUNCTION("""COMPUTED_VALUE"""),"SOC-RS2")</f>
        <v>SOC-RS2</v>
      </c>
      <c r="D6242" s="234">
        <f>IFERROR(__xludf.DUMMYFUNCTION("""COMPUTED_VALUE"""),93.0)</f>
        <v>93</v>
      </c>
      <c r="E6242" s="237" t="str">
        <f>IFERROR(__xludf.DUMMYFUNCTION("""COMPUTED_VALUE"""),"LT0Q1T01XIT11")</f>
        <v>LT0Q1T01XIT11</v>
      </c>
      <c r="F6242" s="238" t="str">
        <f>IFERROR(__xludf.DUMMYFUNCTION("""COMPUTED_VALUE"""),"QJR4J09,JCW2A95")</f>
        <v>QJR4J09,JCW2A95</v>
      </c>
      <c r="G6242" s="238">
        <f>IFERROR(__xludf.DUMMYFUNCTION("""COMPUTED_VALUE"""),46052.08472222222)</f>
        <v>46052.08472</v>
      </c>
      <c r="H6242" s="238">
        <f>IFERROR(__xludf.DUMMYFUNCTION("""COMPUTED_VALUE"""),46052.45833333333)</f>
        <v>46052.45833</v>
      </c>
      <c r="J6242" s="239">
        <v>535.9999999869615</v>
      </c>
    </row>
    <row r="6243">
      <c r="A6243" s="234"/>
      <c r="B6243" s="238" t="str">
        <f>IFERROR(__xludf.DUMMYFUNCTION("""COMPUTED_VALUE"""),"SoC_MG_Betim")</f>
        <v>SoC_MG_Betim</v>
      </c>
      <c r="C6243" s="238" t="str">
        <f>IFERROR(__xludf.DUMMYFUNCTION("""COMPUTED_VALUE"""),"SOC-MG2")</f>
        <v>SOC-MG2</v>
      </c>
      <c r="D6243" s="234"/>
      <c r="E6243" s="237" t="str">
        <f>IFERROR(__xludf.DUMMYFUNCTION("""COMPUTED_VALUE"""),"LT0Q1T01XDAZ3")</f>
        <v>LT0Q1T01XDAZ3</v>
      </c>
      <c r="F6243" s="238" t="str">
        <f>IFERROR(__xludf.DUMMYFUNCTION("""COMPUTED_VALUE"""),"SWK9I32,SUK7D45")</f>
        <v>SWK9I32,SUK7D45</v>
      </c>
      <c r="G6243" s="238">
        <f>IFERROR(__xludf.DUMMYFUNCTION("""COMPUTED_VALUE"""),46052.086111111115)</f>
        <v>46052.08611</v>
      </c>
      <c r="H6243" s="238">
        <f>IFERROR(__xludf.DUMMYFUNCTION("""COMPUTED_VALUE"""),46052.45833333333)</f>
        <v>46052.45833</v>
      </c>
      <c r="J6243" s="239">
        <v>535.9999999869615</v>
      </c>
    </row>
    <row r="6244">
      <c r="A6244" s="234"/>
      <c r="B6244" s="238" t="str">
        <f>IFERROR(__xludf.DUMMYFUNCTION("""COMPUTED_VALUE"""),"SoC_MG_Betim")</f>
        <v>SoC_MG_Betim</v>
      </c>
      <c r="C6244" s="238" t="str">
        <f>IFERROR(__xludf.DUMMYFUNCTION("""COMPUTED_VALUE"""),"SOC-MG2")</f>
        <v>SOC-MG2</v>
      </c>
      <c r="D6244" s="234"/>
      <c r="E6244" s="237" t="str">
        <f>IFERROR(__xludf.DUMMYFUNCTION("""COMPUTED_VALUE"""),"LT0Q1T01XDB14")</f>
        <v>LT0Q1T01XDB14</v>
      </c>
      <c r="F6244" s="238" t="str">
        <f>IFERROR(__xludf.DUMMYFUNCTION("""COMPUTED_VALUE"""),"GES8A28,UGR3D03")</f>
        <v>GES8A28,UGR3D03</v>
      </c>
      <c r="G6244" s="238">
        <f>IFERROR(__xludf.DUMMYFUNCTION("""COMPUTED_VALUE"""),46052.086111111115)</f>
        <v>46052.08611</v>
      </c>
      <c r="H6244" s="238">
        <f>IFERROR(__xludf.DUMMYFUNCTION("""COMPUTED_VALUE"""),46052.45833333333)</f>
        <v>46052.45833</v>
      </c>
      <c r="J6244" s="239">
        <v>419.99999998603016</v>
      </c>
    </row>
    <row r="6245">
      <c r="A6245" s="234"/>
      <c r="B6245" s="238" t="str">
        <f>IFERROR(__xludf.DUMMYFUNCTION("""COMPUTED_VALUE"""),"SoC_BA_Simoes Filho")</f>
        <v>SoC_BA_Simoes Filho</v>
      </c>
      <c r="C6245" s="238" t="str">
        <f>IFERROR(__xludf.DUMMYFUNCTION("""COMPUTED_VALUE"""),"SOC-BA2")</f>
        <v>SOC-BA2</v>
      </c>
      <c r="D6245" s="234">
        <f>IFERROR(__xludf.DUMMYFUNCTION("""COMPUTED_VALUE"""),89.0)</f>
        <v>89</v>
      </c>
      <c r="E6245" s="237" t="str">
        <f>IFERROR(__xludf.DUMMYFUNCTION("""COMPUTED_VALUE"""),"LT1Q1U01XTB11")</f>
        <v>LT1Q1U01XTB11</v>
      </c>
      <c r="F6245" s="238" t="str">
        <f>IFERROR(__xludf.DUMMYFUNCTION("""COMPUTED_VALUE"""),"HEH3965,GHO1D98")</f>
        <v>HEH3965,GHO1D98</v>
      </c>
      <c r="G6245" s="238">
        <f>IFERROR(__xludf.DUMMYFUNCTION("""COMPUTED_VALUE"""),46052.16666666667)</f>
        <v>46052.16667</v>
      </c>
      <c r="H6245" s="238">
        <f>IFERROR(__xludf.DUMMYFUNCTION("""COMPUTED_VALUE"""),46052.45833333333)</f>
        <v>46052.45833</v>
      </c>
      <c r="J6245" s="239">
        <v>419.99999998603016</v>
      </c>
    </row>
    <row r="6246">
      <c r="A6246" s="234"/>
      <c r="B6246" s="238" t="str">
        <f>IFERROR(__xludf.DUMMYFUNCTION("""COMPUTED_VALUE"""),"SoC_SP_Cravinhos")</f>
        <v>SoC_SP_Cravinhos</v>
      </c>
      <c r="C6246" s="238" t="str">
        <f>IFERROR(__xludf.DUMMYFUNCTION("""COMPUTED_VALUE"""),"SOC-SP5")</f>
        <v>SOC-SP5</v>
      </c>
      <c r="D6246" s="234"/>
      <c r="E6246" s="237" t="str">
        <f>IFERROR(__xludf.DUMMYFUNCTION("""COMPUTED_VALUE"""),"LT0Q1T01XDC82")</f>
        <v>LT0Q1T01XDC82</v>
      </c>
      <c r="F6246" s="238" t="str">
        <f>IFERROR(__xludf.DUMMYFUNCTION("""COMPUTED_VALUE"""),"FRU2141,TKN4J33")</f>
        <v>FRU2141,TKN4J33</v>
      </c>
      <c r="G6246" s="238">
        <f>IFERROR(__xludf.DUMMYFUNCTION("""COMPUTED_VALUE"""),46052.16666666667)</f>
        <v>46052.16667</v>
      </c>
      <c r="H6246" s="238">
        <f>IFERROR(__xludf.DUMMYFUNCTION("""COMPUTED_VALUE"""),46052.45833333333)</f>
        <v>46052.45833</v>
      </c>
      <c r="J6246" s="239">
        <v>540.0</v>
      </c>
    </row>
    <row r="6247">
      <c r="A6247" s="234"/>
      <c r="B6247" s="238" t="str">
        <f>IFERROR(__xludf.DUMMYFUNCTION("""COMPUTED_VALUE"""),"SoC_RJ_Duque de Caxias")</f>
        <v>SoC_RJ_Duque de Caxias</v>
      </c>
      <c r="C6247" s="238" t="str">
        <f>IFERROR(__xludf.DUMMYFUNCTION("""COMPUTED_VALUE"""),"SOC-RJ2")</f>
        <v>SOC-RJ2</v>
      </c>
      <c r="D6247" s="234"/>
      <c r="E6247" s="237" t="str">
        <f>IFERROR(__xludf.DUMMYFUNCTION("""COMPUTED_VALUE"""),"LT1Q1T01XSJH1")</f>
        <v>LT1Q1T01XSJH1</v>
      </c>
      <c r="F6247" s="238" t="str">
        <f>IFERROR(__xludf.DUMMYFUNCTION("""COMPUTED_VALUE"""),"DVS7H95,HOA1D64")</f>
        <v>DVS7H95,HOA1D64</v>
      </c>
      <c r="G6247" s="238">
        <f>IFERROR(__xludf.DUMMYFUNCTION("""COMPUTED_VALUE"""),46052.08333333333)</f>
        <v>46052.08333</v>
      </c>
      <c r="H6247" s="238">
        <f>IFERROR(__xludf.DUMMYFUNCTION("""COMPUTED_VALUE"""),46052.45833333333)</f>
        <v>46052.45833</v>
      </c>
      <c r="J6247" s="239">
        <v>540.0</v>
      </c>
    </row>
    <row r="6248">
      <c r="A6248" s="234"/>
      <c r="B6248" s="238" t="str">
        <f>IFERROR(__xludf.DUMMYFUNCTION("""COMPUTED_VALUE"""),"SoC_RJ_Duque de Caxias")</f>
        <v>SoC_RJ_Duque de Caxias</v>
      </c>
      <c r="C6248" s="238" t="str">
        <f>IFERROR(__xludf.DUMMYFUNCTION("""COMPUTED_VALUE"""),"SOC-RJ2")</f>
        <v>SOC-RJ2</v>
      </c>
      <c r="D6248" s="234"/>
      <c r="E6248" s="237" t="str">
        <f>IFERROR(__xludf.DUMMYFUNCTION("""COMPUTED_VALUE"""),"LT1Q1U01XSIX1")</f>
        <v>LT1Q1U01XSIX1</v>
      </c>
      <c r="F6248" s="238" t="str">
        <f>IFERROR(__xludf.DUMMYFUNCTION("""COMPUTED_VALUE"""),"UDR9J89,GFX6I53")</f>
        <v>UDR9J89,GFX6I53</v>
      </c>
      <c r="G6248" s="238">
        <f>IFERROR(__xludf.DUMMYFUNCTION("""COMPUTED_VALUE"""),46052.08333333333)</f>
        <v>46052.08333</v>
      </c>
      <c r="H6248" s="238">
        <f>IFERROR(__xludf.DUMMYFUNCTION("""COMPUTED_VALUE"""),46052.45833333333)</f>
        <v>46052.45833</v>
      </c>
      <c r="J6248" s="239">
        <v>540.0</v>
      </c>
    </row>
    <row r="6249">
      <c r="A6249" s="234"/>
      <c r="B6249" s="238" t="str">
        <f>IFERROR(__xludf.DUMMYFUNCTION("""COMPUTED_VALUE"""),"SoC_SP_Cravinhos")</f>
        <v>SoC_SP_Cravinhos</v>
      </c>
      <c r="C6249" s="238" t="str">
        <f>IFERROR(__xludf.DUMMYFUNCTION("""COMPUTED_VALUE"""),"SOC-SP5")</f>
        <v>SOC-SP5</v>
      </c>
      <c r="D6249" s="234"/>
      <c r="E6249" s="237" t="str">
        <f>IFERROR(__xludf.DUMMYFUNCTION("""COMPUTED_VALUE"""),"LT0Q1T01XDBY2")</f>
        <v>LT0Q1T01XDBY2</v>
      </c>
      <c r="F6249" s="238" t="str">
        <f>IFERROR(__xludf.DUMMYFUNCTION("""COMPUTED_VALUE"""),"HBN8F05,TKX7F43")</f>
        <v>HBN8F05,TKX7F43</v>
      </c>
      <c r="G6249" s="238">
        <f>IFERROR(__xludf.DUMMYFUNCTION("""COMPUTED_VALUE"""),46052.08333333333)</f>
        <v>46052.08333</v>
      </c>
      <c r="H6249" s="238">
        <f>IFERROR(__xludf.DUMMYFUNCTION("""COMPUTED_VALUE"""),46052.45833333333)</f>
        <v>46052.45833</v>
      </c>
      <c r="J6249" s="239">
        <v>537.9999999934807</v>
      </c>
    </row>
    <row r="6250">
      <c r="A6250" s="234"/>
      <c r="B6250" s="238" t="str">
        <f>IFERROR(__xludf.DUMMYFUNCTION("""COMPUTED_VALUE"""),"SoC_RJ_Duque de Caxias")</f>
        <v>SoC_RJ_Duque de Caxias</v>
      </c>
      <c r="C6250" s="238" t="str">
        <f>IFERROR(__xludf.DUMMYFUNCTION("""COMPUTED_VALUE"""),"SOC-RJ2")</f>
        <v>SOC-RJ2</v>
      </c>
      <c r="D6250" s="234"/>
      <c r="E6250" s="237" t="str">
        <f>IFERROR(__xludf.DUMMYFUNCTION("""COMPUTED_VALUE"""),"LT0Q1T01XF9J1")</f>
        <v>LT0Q1T01XF9J1</v>
      </c>
      <c r="F6250" s="238" t="str">
        <f>IFERROR(__xludf.DUMMYFUNCTION("""COMPUTED_VALUE"""),"QQN6I76,FYU8B15")</f>
        <v>QQN6I76,FYU8B15</v>
      </c>
      <c r="G6250" s="238">
        <f>IFERROR(__xludf.DUMMYFUNCTION("""COMPUTED_VALUE"""),46052.08472222222)</f>
        <v>46052.08472</v>
      </c>
      <c r="H6250" s="238">
        <f>IFERROR(__xludf.DUMMYFUNCTION("""COMPUTED_VALUE"""),46052.45833333333)</f>
        <v>46052.45833</v>
      </c>
      <c r="J6250" s="239">
        <v>537.9999999934807</v>
      </c>
    </row>
    <row r="6251">
      <c r="A6251" s="234"/>
      <c r="B6251" s="238" t="str">
        <f>IFERROR(__xludf.DUMMYFUNCTION("""COMPUTED_VALUE"""),"SoC_RJ_Duque de Caxias")</f>
        <v>SoC_RJ_Duque de Caxias</v>
      </c>
      <c r="C6251" s="238" t="str">
        <f>IFERROR(__xludf.DUMMYFUNCTION("""COMPUTED_VALUE"""),"SOC-RJ2")</f>
        <v>SOC-RJ2</v>
      </c>
      <c r="D6251" s="234"/>
      <c r="E6251" s="237" t="str">
        <f>IFERROR(__xludf.DUMMYFUNCTION("""COMPUTED_VALUE"""),"LT0Q1T01XF9L2")</f>
        <v>LT0Q1T01XF9L2</v>
      </c>
      <c r="F6251" s="238" t="str">
        <f>IFERROR(__xludf.DUMMYFUNCTION("""COMPUTED_VALUE"""),"ETU7688,STM0F98")</f>
        <v>ETU7688,STM0F98</v>
      </c>
      <c r="G6251" s="238">
        <f>IFERROR(__xludf.DUMMYFUNCTION("""COMPUTED_VALUE"""),46052.08472222222)</f>
        <v>46052.08472</v>
      </c>
      <c r="H6251" s="238">
        <f>IFERROR(__xludf.DUMMYFUNCTION("""COMPUTED_VALUE"""),46052.45833333333)</f>
        <v>46052.45833</v>
      </c>
      <c r="J6251" s="239">
        <v>537.9999999934807</v>
      </c>
    </row>
    <row r="6252">
      <c r="A6252" s="234"/>
      <c r="B6252" s="238" t="str">
        <f>IFERROR(__xludf.DUMMYFUNCTION("""COMPUTED_VALUE"""),"SoC_RS_Gravataí_02")</f>
        <v>SoC_RS_Gravataí_02</v>
      </c>
      <c r="C6252" s="238" t="str">
        <f>IFERROR(__xludf.DUMMYFUNCTION("""COMPUTED_VALUE"""),"SOC-RS2")</f>
        <v>SOC-RS2</v>
      </c>
      <c r="D6252" s="234"/>
      <c r="E6252" s="237" t="str">
        <f>IFERROR(__xludf.DUMMYFUNCTION("""COMPUTED_VALUE"""),"LT0Q1T01XIT32")</f>
        <v>LT0Q1T01XIT32</v>
      </c>
      <c r="F6252" s="238" t="str">
        <f>IFERROR(__xludf.DUMMYFUNCTION("""COMPUTED_VALUE"""),"ECM7F13,ATR8I85")</f>
        <v>ECM7F13,ATR8I85</v>
      </c>
      <c r="G6252" s="238">
        <f>IFERROR(__xludf.DUMMYFUNCTION("""COMPUTED_VALUE"""),46052.08472222222)</f>
        <v>46052.08472</v>
      </c>
      <c r="H6252" s="238">
        <f>IFERROR(__xludf.DUMMYFUNCTION("""COMPUTED_VALUE"""),46052.45833333333)</f>
        <v>46052.45833</v>
      </c>
      <c r="J6252" s="239">
        <v>535.9999999869615</v>
      </c>
    </row>
    <row r="6253">
      <c r="A6253" s="234"/>
      <c r="B6253" s="238" t="str">
        <f>IFERROR(__xludf.DUMMYFUNCTION("""COMPUTED_VALUE"""),"SoC_MG_Betim")</f>
        <v>SoC_MG_Betim</v>
      </c>
      <c r="C6253" s="238" t="str">
        <f>IFERROR(__xludf.DUMMYFUNCTION("""COMPUTED_VALUE"""),"SOC-MG2")</f>
        <v>SOC-MG2</v>
      </c>
      <c r="D6253" s="234"/>
      <c r="E6253" s="237" t="str">
        <f>IFERROR(__xludf.DUMMYFUNCTION("""COMPUTED_VALUE"""),"LT0Q1T01XDAV1")</f>
        <v>LT0Q1T01XDAV1</v>
      </c>
      <c r="F6253" s="238" t="str">
        <f>IFERROR(__xludf.DUMMYFUNCTION("""COMPUTED_VALUE"""),"FSW4I21,RBB2B76")</f>
        <v>FSW4I21,RBB2B76</v>
      </c>
      <c r="G6253" s="238">
        <f>IFERROR(__xludf.DUMMYFUNCTION("""COMPUTED_VALUE"""),46052.086111111115)</f>
        <v>46052.08611</v>
      </c>
      <c r="H6253" s="238">
        <f>IFERROR(__xludf.DUMMYFUNCTION("""COMPUTED_VALUE"""),46052.45833333333)</f>
        <v>46052.45833</v>
      </c>
      <c r="J6253" s="239">
        <v>535.9999999869615</v>
      </c>
    </row>
    <row r="6254">
      <c r="A6254" s="234"/>
      <c r="B6254" s="238" t="str">
        <f>IFERROR(__xludf.DUMMYFUNCTION("""COMPUTED_VALUE"""),"SoC_SP_Cravinhos")</f>
        <v>SoC_SP_Cravinhos</v>
      </c>
      <c r="C6254" s="238" t="str">
        <f>IFERROR(__xludf.DUMMYFUNCTION("""COMPUTED_VALUE"""),"SOC-SP5")</f>
        <v>SOC-SP5</v>
      </c>
      <c r="D6254" s="234"/>
      <c r="E6254" s="237" t="str">
        <f>IFERROR(__xludf.DUMMYFUNCTION("""COMPUTED_VALUE"""),"LT0Q1T01XDCT1")</f>
        <v>LT0Q1T01XDCT1</v>
      </c>
      <c r="F6254" s="238" t="str">
        <f>IFERROR(__xludf.DUMMYFUNCTION("""COMPUTED_VALUE"""),"FDB7E79,IRG8J25")</f>
        <v>FDB7E79,IRG8J25</v>
      </c>
      <c r="G6254" s="238">
        <f>IFERROR(__xludf.DUMMYFUNCTION("""COMPUTED_VALUE"""),46052.086111111115)</f>
        <v>46052.08611</v>
      </c>
      <c r="H6254" s="238">
        <f>IFERROR(__xludf.DUMMYFUNCTION("""COMPUTED_VALUE"""),46052.45833333333)</f>
        <v>46052.45833</v>
      </c>
      <c r="J6254" s="239">
        <v>360.0</v>
      </c>
    </row>
    <row r="6255">
      <c r="A6255" s="234"/>
      <c r="B6255" s="238" t="str">
        <f>IFERROR(__xludf.DUMMYFUNCTION("""COMPUTED_VALUE"""),"SoC_MG_Betim")</f>
        <v>SoC_MG_Betim</v>
      </c>
      <c r="C6255" s="238" t="str">
        <f>IFERROR(__xludf.DUMMYFUNCTION("""COMPUTED_VALUE"""),"SOC-MG2")</f>
        <v>SOC-MG2</v>
      </c>
      <c r="D6255" s="234"/>
      <c r="E6255" s="237" t="str">
        <f>IFERROR(__xludf.DUMMYFUNCTION("""COMPUTED_VALUE"""),"LT0Q1T01XDAX2")</f>
        <v>LT0Q1T01XDAX2</v>
      </c>
      <c r="F6255" s="238" t="str">
        <f>IFERROR(__xludf.DUMMYFUNCTION("""COMPUTED_VALUE"""),"DCU9C23,UGK6G16")</f>
        <v>DCU9C23,UGK6G16</v>
      </c>
      <c r="G6255" s="238">
        <f>IFERROR(__xludf.DUMMYFUNCTION("""COMPUTED_VALUE"""),46052.20833333333)</f>
        <v>46052.20833</v>
      </c>
      <c r="H6255" s="238">
        <f>IFERROR(__xludf.DUMMYFUNCTION("""COMPUTED_VALUE"""),46052.45833333333)</f>
        <v>46052.45833</v>
      </c>
      <c r="J6255" s="239">
        <v>418.9999999932479</v>
      </c>
    </row>
    <row r="6256">
      <c r="A6256" s="234"/>
      <c r="B6256" s="238" t="str">
        <f>IFERROR(__xludf.DUMMYFUNCTION("""COMPUTED_VALUE"""),"SoC_GO_Goiânia_02")</f>
        <v>SoC_GO_Goiânia_02</v>
      </c>
      <c r="C6256" s="238" t="str">
        <f>IFERROR(__xludf.DUMMYFUNCTION("""COMPUTED_VALUE"""),"SOC-GO2")</f>
        <v>SOC-GO2</v>
      </c>
      <c r="D6256" s="234"/>
      <c r="E6256" s="237" t="str">
        <f>IFERROR(__xludf.DUMMYFUNCTION("""COMPUTED_VALUE"""),"LT0Q1T01XIR83")</f>
        <v>LT0Q1T01XIR83</v>
      </c>
      <c r="F6256" s="238" t="str">
        <f>IFERROR(__xludf.DUMMYFUNCTION("""COMPUTED_VALUE"""),"JAE9H62,QTO1F64")</f>
        <v>JAE9H62,QTO1F64</v>
      </c>
      <c r="G6256" s="238">
        <f>IFERROR(__xludf.DUMMYFUNCTION("""COMPUTED_VALUE"""),46052.16736111111)</f>
        <v>46052.16736</v>
      </c>
      <c r="H6256" s="238">
        <f>IFERROR(__xludf.DUMMYFUNCTION("""COMPUTED_VALUE"""),46052.45833333333)</f>
        <v>46052.45833</v>
      </c>
      <c r="J6256" s="239">
        <v>418.9999999932479</v>
      </c>
    </row>
    <row r="6257">
      <c r="A6257" s="234"/>
      <c r="B6257" s="238" t="str">
        <f>IFERROR(__xludf.DUMMYFUNCTION("""COMPUTED_VALUE"""),"SoC_SC_Itajaí")</f>
        <v>SoC_SC_Itajaí</v>
      </c>
      <c r="C6257" s="238" t="str">
        <f>IFERROR(__xludf.DUMMYFUNCTION("""COMPUTED_VALUE"""),"SOC-SC1")</f>
        <v>SOC-SC1</v>
      </c>
      <c r="D6257" s="234"/>
      <c r="E6257" s="237" t="str">
        <f>IFERROR(__xludf.DUMMYFUNCTION("""COMPUTED_VALUE"""),"LT0Q1T01XHI41")</f>
        <v>LT0Q1T01XHI41</v>
      </c>
      <c r="F6257" s="238" t="str">
        <f>IFERROR(__xludf.DUMMYFUNCTION("""COMPUTED_VALUE"""),"SXE7E67,SXN1H17")</f>
        <v>SXE7E67,SXN1H17</v>
      </c>
      <c r="G6257" s="238">
        <f>IFERROR(__xludf.DUMMYFUNCTION("""COMPUTED_VALUE"""),46052.16736111111)</f>
        <v>46052.16736</v>
      </c>
      <c r="H6257" s="238">
        <f>IFERROR(__xludf.DUMMYFUNCTION("""COMPUTED_VALUE"""),46052.45833333333)</f>
        <v>46052.45833</v>
      </c>
      <c r="J6257" s="239">
        <v>418.9999999932479</v>
      </c>
    </row>
    <row r="6258">
      <c r="A6258" s="234"/>
      <c r="B6258" s="238" t="str">
        <f>IFERROR(__xludf.DUMMYFUNCTION("""COMPUTED_VALUE"""),"SoC_SC_Itajaí")</f>
        <v>SoC_SC_Itajaí</v>
      </c>
      <c r="C6258" s="238" t="str">
        <f>IFERROR(__xludf.DUMMYFUNCTION("""COMPUTED_VALUE"""),"SOC-SC1")</f>
        <v>SOC-SC1</v>
      </c>
      <c r="D6258" s="234"/>
      <c r="E6258" s="237" t="str">
        <f>IFERROR(__xludf.DUMMYFUNCTION("""COMPUTED_VALUE"""),"LT0Q1T01XHI62")</f>
        <v>LT0Q1T01XHI62</v>
      </c>
      <c r="F6258" s="238" t="str">
        <f>IFERROR(__xludf.DUMMYFUNCTION("""COMPUTED_VALUE"""),"OPN3H95,IPN8J87")</f>
        <v>OPN3H95,IPN8J87</v>
      </c>
      <c r="G6258" s="238">
        <f>IFERROR(__xludf.DUMMYFUNCTION("""COMPUTED_VALUE"""),46052.16736111111)</f>
        <v>46052.16736</v>
      </c>
      <c r="H6258" s="238">
        <f>IFERROR(__xludf.DUMMYFUNCTION("""COMPUTED_VALUE"""),46052.45833333333)</f>
        <v>46052.45833</v>
      </c>
      <c r="J6258" s="239">
        <v>359.00000000721775</v>
      </c>
    </row>
    <row r="6259">
      <c r="A6259" s="234"/>
      <c r="B6259" s="238" t="str">
        <f>IFERROR(__xludf.DUMMYFUNCTION("""COMPUTED_VALUE"""),"SoC_RS_Gravataí_02")</f>
        <v>SoC_RS_Gravataí_02</v>
      </c>
      <c r="C6259" s="238" t="str">
        <f>IFERROR(__xludf.DUMMYFUNCTION("""COMPUTED_VALUE"""),"SOC-RS2")</f>
        <v>SOC-RS2</v>
      </c>
      <c r="D6259" s="234">
        <f>IFERROR(__xludf.DUMMYFUNCTION("""COMPUTED_VALUE"""),93.0)</f>
        <v>93</v>
      </c>
      <c r="E6259" s="237" t="str">
        <f>IFERROR(__xludf.DUMMYFUNCTION("""COMPUTED_VALUE"""),"LT0Q1U01XISF1")</f>
        <v>LT0Q1U01XISF1</v>
      </c>
      <c r="F6259" s="238" t="str">
        <f>IFERROR(__xludf.DUMMYFUNCTION("""COMPUTED_VALUE"""),"IRM3418,ITY6E82")</f>
        <v>IRM3418,ITY6E82</v>
      </c>
      <c r="G6259" s="238">
        <f>IFERROR(__xludf.DUMMYFUNCTION("""COMPUTED_VALUE"""),46052.41736111111)</f>
        <v>46052.41736</v>
      </c>
      <c r="H6259" s="238">
        <f>IFERROR(__xludf.DUMMYFUNCTION("""COMPUTED_VALUE"""),46052.66666666667)</f>
        <v>46052.66667</v>
      </c>
      <c r="J6259" s="239">
        <v>538.9999999967404</v>
      </c>
    </row>
    <row r="6260">
      <c r="A6260" s="234"/>
      <c r="B6260" s="238" t="str">
        <f>IFERROR(__xludf.DUMMYFUNCTION("""COMPUTED_VALUE"""),"SoC_BA_Simoes Filho")</f>
        <v>SoC_BA_Simoes Filho</v>
      </c>
      <c r="C6260" s="238" t="str">
        <f>IFERROR(__xludf.DUMMYFUNCTION("""COMPUTED_VALUE"""),"SOC-BA2")</f>
        <v>SOC-BA2</v>
      </c>
      <c r="D6260" s="234">
        <f>IFERROR(__xludf.DUMMYFUNCTION("""COMPUTED_VALUE"""),88.0)</f>
        <v>88</v>
      </c>
      <c r="E6260" s="237" t="str">
        <f>IFERROR(__xludf.DUMMYFUNCTION("""COMPUTED_VALUE"""),"LT0Q1U01XIF72")</f>
        <v>LT0Q1U01XIF72</v>
      </c>
      <c r="F6260" s="238" t="str">
        <f>IFERROR(__xludf.DUMMYFUNCTION("""COMPUTED_VALUE"""),"ETU7I20,EJV4E66")</f>
        <v>ETU7I20,EJV4E66</v>
      </c>
      <c r="G6260" s="238">
        <f>IFERROR(__xludf.DUMMYFUNCTION("""COMPUTED_VALUE"""),46052.584027777775)</f>
        <v>46052.58403</v>
      </c>
      <c r="H6260" s="238">
        <f>IFERROR(__xludf.DUMMYFUNCTION("""COMPUTED_VALUE"""),46052.95833333333)</f>
        <v>46052.95833</v>
      </c>
      <c r="J6260" s="239">
        <v>537.9999999934807</v>
      </c>
    </row>
    <row r="6261">
      <c r="A6261" s="234"/>
      <c r="B6261" s="238" t="str">
        <f>IFERROR(__xludf.DUMMYFUNCTION("""COMPUTED_VALUE"""),"SoC_PE_Jaboatão dos Guararapes")</f>
        <v>SoC_PE_Jaboatão dos Guararapes</v>
      </c>
      <c r="C6261" s="238" t="str">
        <f>IFERROR(__xludf.DUMMYFUNCTION("""COMPUTED_VALUE"""),"SOC-PE2")</f>
        <v>SOC-PE2</v>
      </c>
      <c r="D6261" s="234">
        <f>IFERROR(__xludf.DUMMYFUNCTION("""COMPUTED_VALUE"""),98.0)</f>
        <v>98</v>
      </c>
      <c r="E6261" s="237" t="str">
        <f>IFERROR(__xludf.DUMMYFUNCTION("""COMPUTED_VALUE"""),"LT0Q1U01XIBY1")</f>
        <v>LT0Q1U01XIBY1</v>
      </c>
      <c r="F6261" s="238" t="str">
        <f>IFERROR(__xludf.DUMMYFUNCTION("""COMPUTED_VALUE"""),"TPN1B67,TPQ3F40")</f>
        <v>TPN1B67,TPQ3F40</v>
      </c>
      <c r="G6261" s="238">
        <f>IFERROR(__xludf.DUMMYFUNCTION("""COMPUTED_VALUE"""),46052.58472222222)</f>
        <v>46052.58472</v>
      </c>
      <c r="H6261" s="238">
        <f>IFERROR(__xludf.DUMMYFUNCTION("""COMPUTED_VALUE"""),46052.95833333333)</f>
        <v>46052.95833</v>
      </c>
      <c r="J6261" s="239">
        <v>119.99999999301508</v>
      </c>
    </row>
    <row r="6262">
      <c r="A6262" s="234"/>
      <c r="B6262" s="238" t="str">
        <f>IFERROR(__xludf.DUMMYFUNCTION("""COMPUTED_VALUE"""),"LM Hub_SP_Embu das Artes")</f>
        <v>LM Hub_SP_Embu das Artes</v>
      </c>
      <c r="C6262" s="238" t="str">
        <f>IFERROR(__xludf.DUMMYFUNCTION("""COMPUTED_VALUE"""),"HUB-LSP-36")</f>
        <v>HUB-LSP-36</v>
      </c>
      <c r="D6262" s="234">
        <f>IFERROR(__xludf.DUMMYFUNCTION("""COMPUTED_VALUE"""),15.0)</f>
        <v>15</v>
      </c>
      <c r="E6262" s="237" t="str">
        <f>IFERROR(__xludf.DUMMYFUNCTION("""COMPUTED_VALUE"""),"LT0Q1U01XDEH1")</f>
        <v>LT0Q1U01XDEH1</v>
      </c>
      <c r="F6262" s="238" t="str">
        <f>IFERROR(__xludf.DUMMYFUNCTION("""COMPUTED_VALUE"""),"FGL3B43,FQB3D75")</f>
        <v>FGL3B43,FQB3D75</v>
      </c>
      <c r="G6262" s="238">
        <f>IFERROR(__xludf.DUMMYFUNCTION("""COMPUTED_VALUE"""),46052.875)</f>
        <v>46052.875</v>
      </c>
      <c r="H6262" s="238">
        <f>IFERROR(__xludf.DUMMYFUNCTION("""COMPUTED_VALUE"""),46052.95833333333)</f>
        <v>46052.95833</v>
      </c>
      <c r="J6262" s="239">
        <v>119.99999999301508</v>
      </c>
    </row>
    <row r="6263">
      <c r="A6263" s="234"/>
      <c r="B6263" s="238" t="str">
        <f>IFERROR(__xludf.DUMMYFUNCTION("""COMPUTED_VALUE"""),"LM Hub_SP_Taubaté")</f>
        <v>LM Hub_SP_Taubaté</v>
      </c>
      <c r="C6263" s="238" t="str">
        <f>IFERROR(__xludf.DUMMYFUNCTION("""COMPUTED_VALUE"""),"HUB-LSP-08")</f>
        <v>HUB-LSP-08</v>
      </c>
      <c r="D6263" s="234">
        <f>IFERROR(__xludf.DUMMYFUNCTION("""COMPUTED_VALUE"""),47.0)</f>
        <v>47</v>
      </c>
      <c r="E6263" s="237" t="str">
        <f>IFERROR(__xludf.DUMMYFUNCTION("""COMPUTED_VALUE"""),"LT0Q1U01XDGW1")</f>
        <v>LT0Q1U01XDGW1</v>
      </c>
      <c r="F6263" s="238" t="str">
        <f>IFERROR(__xludf.DUMMYFUNCTION("""COMPUTED_VALUE"""),"FXR4B87,FCB2F69")</f>
        <v>FXR4B87,FCB2F69</v>
      </c>
      <c r="G6263" s="238">
        <f>IFERROR(__xludf.DUMMYFUNCTION("""COMPUTED_VALUE"""),46052.875)</f>
        <v>46052.875</v>
      </c>
      <c r="H6263" s="238">
        <f>IFERROR(__xludf.DUMMYFUNCTION("""COMPUTED_VALUE"""),46052.95833333333)</f>
        <v>46052.95833</v>
      </c>
      <c r="J6263" s="239">
        <v>59.99999998603016</v>
      </c>
    </row>
    <row r="6264">
      <c r="A6264" s="234"/>
      <c r="B6264" s="238" t="str">
        <f>IFERROR(__xludf.DUMMYFUNCTION("""COMPUTED_VALUE"""),"LM Hub_SP_Mooca_02")</f>
        <v>LM Hub_SP_Mooca_02</v>
      </c>
      <c r="C6264" s="238" t="str">
        <f>IFERROR(__xludf.DUMMYFUNCTION("""COMPUTED_VALUE"""),"HUB-LSP-94")</f>
        <v>HUB-LSP-94</v>
      </c>
      <c r="D6264" s="234"/>
      <c r="E6264" s="237" t="str">
        <f>IFERROR(__xludf.DUMMYFUNCTION("""COMPUTED_VALUE"""),"LT1Q1U01XSX61")</f>
        <v>LT1Q1U01XSX61</v>
      </c>
      <c r="F6264" s="238" t="str">
        <f>IFERROR(__xludf.DUMMYFUNCTION("""COMPUTED_VALUE"""),"CUC5823")</f>
        <v>CUC5823</v>
      </c>
      <c r="G6264" s="238">
        <f>IFERROR(__xludf.DUMMYFUNCTION("""COMPUTED_VALUE"""),46052.91666666667)</f>
        <v>46052.91667</v>
      </c>
      <c r="H6264" s="238">
        <f>IFERROR(__xludf.DUMMYFUNCTION("""COMPUTED_VALUE"""),46052.95833333333)</f>
        <v>46052.95833</v>
      </c>
      <c r="J6264" s="239">
        <v>120.00000001396984</v>
      </c>
    </row>
    <row r="6265">
      <c r="A6265" s="234"/>
      <c r="B6265" s="238" t="str">
        <f>IFERROR(__xludf.DUMMYFUNCTION("""COMPUTED_VALUE"""),"LM Hub_RJ_Jacarepaguá")</f>
        <v>LM Hub_RJ_Jacarepaguá</v>
      </c>
      <c r="C6265" s="238" t="str">
        <f>IFERROR(__xludf.DUMMYFUNCTION("""COMPUTED_VALUE"""),"HUB-LRJ-29")</f>
        <v>HUB-LRJ-29</v>
      </c>
      <c r="D6265" s="234"/>
      <c r="E6265" s="237" t="str">
        <f>IFERROR(__xludf.DUMMYFUNCTION("""COMPUTED_VALUE"""),"LT0Q1U01XIMN1")</f>
        <v>LT0Q1U01XIMN1</v>
      </c>
      <c r="F6265" s="234"/>
      <c r="G6265" s="238">
        <f>IFERROR(__xludf.DUMMYFUNCTION("""COMPUTED_VALUE"""),46052.89583333333)</f>
        <v>46052.89583</v>
      </c>
      <c r="H6265" s="238">
        <f>IFERROR(__xludf.DUMMYFUNCTION("""COMPUTED_VALUE"""),46052.97916666667)</f>
        <v>46052.97917</v>
      </c>
      <c r="J6265" s="239">
        <v>120.00000001396984</v>
      </c>
    </row>
    <row r="6266">
      <c r="A6266" s="234"/>
      <c r="B6266" s="238" t="str">
        <f>IFERROR(__xludf.DUMMYFUNCTION("""COMPUTED_VALUE"""),"LM Hub_SP_Jurubatuba")</f>
        <v>LM Hub_SP_Jurubatuba</v>
      </c>
      <c r="C6266" s="238" t="str">
        <f>IFERROR(__xludf.DUMMYFUNCTION("""COMPUTED_VALUE"""),"HUB-LSP-16")</f>
        <v>HUB-LSP-16</v>
      </c>
      <c r="D6266" s="234">
        <f>IFERROR(__xludf.DUMMYFUNCTION("""COMPUTED_VALUE"""),29.0)</f>
        <v>29</v>
      </c>
      <c r="E6266" s="237" t="str">
        <f>IFERROR(__xludf.DUMMYFUNCTION("""COMPUTED_VALUE"""),"LT0Q1U01XDE11")</f>
        <v>LT0Q1U01XDE11</v>
      </c>
      <c r="F6266" s="238" t="str">
        <f>IFERROR(__xludf.DUMMYFUNCTION("""COMPUTED_VALUE"""),"ISW3H16")</f>
        <v>ISW3H16</v>
      </c>
      <c r="G6266" s="238">
        <f>IFERROR(__xludf.DUMMYFUNCTION("""COMPUTED_VALUE"""),46052.89583333333)</f>
        <v>46052.89583</v>
      </c>
      <c r="H6266" s="238">
        <f>IFERROR(__xludf.DUMMYFUNCTION("""COMPUTED_VALUE"""),46052.97916666667)</f>
        <v>46052.97917</v>
      </c>
      <c r="J6266" s="239">
        <v>120.00000001396984</v>
      </c>
    </row>
    <row r="6267">
      <c r="A6267" s="234"/>
      <c r="B6267" s="238" t="str">
        <f>IFERROR(__xludf.DUMMYFUNCTION("""COMPUTED_VALUE"""),"LM Hub_SP_São José dos Campos")</f>
        <v>LM Hub_SP_São José dos Campos</v>
      </c>
      <c r="C6267" s="238" t="str">
        <f>IFERROR(__xludf.DUMMYFUNCTION("""COMPUTED_VALUE"""),"HUB-LSP-04")</f>
        <v>HUB-LSP-04</v>
      </c>
      <c r="D6267" s="234">
        <f>IFERROR(__xludf.DUMMYFUNCTION("""COMPUTED_VALUE"""),20.0)</f>
        <v>20</v>
      </c>
      <c r="E6267" s="237" t="str">
        <f>IFERROR(__xludf.DUMMYFUNCTION("""COMPUTED_VALUE"""),"LT0Q1U01XM6W1")</f>
        <v>LT0Q1U01XM6W1</v>
      </c>
      <c r="F6267" s="238" t="str">
        <f>IFERROR(__xludf.DUMMYFUNCTION("""COMPUTED_VALUE"""),"FLX0F06")</f>
        <v>FLX0F06</v>
      </c>
      <c r="G6267" s="238">
        <f>IFERROR(__xludf.DUMMYFUNCTION("""COMPUTED_VALUE"""),46052.89583333333)</f>
        <v>46052.89583</v>
      </c>
      <c r="H6267" s="238">
        <f>IFERROR(__xludf.DUMMYFUNCTION("""COMPUTED_VALUE"""),46052.97916666667)</f>
        <v>46052.97917</v>
      </c>
      <c r="J6267" s="239">
        <v>120.00000001396984</v>
      </c>
    </row>
    <row r="6268">
      <c r="A6268" s="234"/>
      <c r="B6268" s="238" t="str">
        <f>IFERROR(__xludf.DUMMYFUNCTION("""COMPUTED_VALUE"""),"LM Hub_SP_São Paulo_Lapa")</f>
        <v>LM Hub_SP_São Paulo_Lapa</v>
      </c>
      <c r="C6268" s="238" t="str">
        <f>IFERROR(__xludf.DUMMYFUNCTION("""COMPUTED_VALUE"""),"HUB-LSP-15")</f>
        <v>HUB-LSP-15</v>
      </c>
      <c r="D6268" s="234">
        <f>IFERROR(__xludf.DUMMYFUNCTION("""COMPUTED_VALUE"""),53.0)</f>
        <v>53</v>
      </c>
      <c r="E6268" s="237" t="str">
        <f>IFERROR(__xludf.DUMMYFUNCTION("""COMPUTED_VALUE"""),"LT0Q1U01XDDX1")</f>
        <v>LT0Q1U01XDDX1</v>
      </c>
      <c r="F6268" s="238" t="str">
        <f>IFERROR(__xludf.DUMMYFUNCTION("""COMPUTED_VALUE"""),"QPV1A02,ELQ6F04")</f>
        <v>QPV1A02,ELQ6F04</v>
      </c>
      <c r="G6268" s="238">
        <f>IFERROR(__xludf.DUMMYFUNCTION("""COMPUTED_VALUE"""),46052.89583333333)</f>
        <v>46052.89583</v>
      </c>
      <c r="H6268" s="238">
        <f>IFERROR(__xludf.DUMMYFUNCTION("""COMPUTED_VALUE"""),46052.97916666667)</f>
        <v>46052.97917</v>
      </c>
      <c r="J6268" s="239">
        <v>118.99999998975545</v>
      </c>
    </row>
    <row r="6269">
      <c r="A6269" s="234"/>
      <c r="B6269" s="238" t="str">
        <f>IFERROR(__xludf.DUMMYFUNCTION("""COMPUTED_VALUE"""),"LM Hub_SP_Guarujá")</f>
        <v>LM Hub_SP_Guarujá</v>
      </c>
      <c r="C6269" s="238" t="str">
        <f>IFERROR(__xludf.DUMMYFUNCTION("""COMPUTED_VALUE"""),"HUB-LSP-06")</f>
        <v>HUB-LSP-06</v>
      </c>
      <c r="D6269" s="234"/>
      <c r="E6269" s="237" t="str">
        <f>IFERROR(__xludf.DUMMYFUNCTION("""COMPUTED_VALUE"""),"LT0Q1U01XDG21")</f>
        <v>LT0Q1U01XDG21</v>
      </c>
      <c r="F6269" s="238" t="str">
        <f>IFERROR(__xludf.DUMMYFUNCTION("""COMPUTED_VALUE"""),"TJN5H17")</f>
        <v>TJN5H17</v>
      </c>
      <c r="G6269" s="238">
        <f>IFERROR(__xludf.DUMMYFUNCTION("""COMPUTED_VALUE"""),46052.91666666667)</f>
        <v>46052.91667</v>
      </c>
      <c r="H6269" s="238">
        <f>IFERROR(__xludf.DUMMYFUNCTION("""COMPUTED_VALUE"""),46052.99930555555)</f>
        <v>46052.99931</v>
      </c>
      <c r="J6269" s="239">
        <v>540.0</v>
      </c>
    </row>
    <row r="6270">
      <c r="A6270" s="234"/>
      <c r="B6270" s="238" t="str">
        <f>IFERROR(__xludf.DUMMYFUNCTION("""COMPUTED_VALUE"""),"SoC_MG_Betim")</f>
        <v>SoC_MG_Betim</v>
      </c>
      <c r="C6270" s="238" t="str">
        <f>IFERROR(__xludf.DUMMYFUNCTION("""COMPUTED_VALUE"""),"SOC-MG2")</f>
        <v>SOC-MG2</v>
      </c>
      <c r="D6270" s="234"/>
      <c r="E6270" s="237" t="str">
        <f>IFERROR(__xludf.DUMMYFUNCTION("""COMPUTED_VALUE"""),"LT1Q1U01Y70G1")</f>
        <v>LT1Q1U01Y70G1</v>
      </c>
      <c r="F6270" s="234"/>
      <c r="G6270" s="238">
        <f>IFERROR(__xludf.DUMMYFUNCTION("""COMPUTED_VALUE"""),46052.625)</f>
        <v>46052.625</v>
      </c>
      <c r="H6270" s="238">
        <f>IFERROR(__xludf.DUMMYFUNCTION("""COMPUTED_VALUE"""),46053.0)</f>
        <v>46053</v>
      </c>
      <c r="J6270" s="239">
        <v>119.99999999301508</v>
      </c>
    </row>
    <row r="6271">
      <c r="A6271" s="234"/>
      <c r="B6271" s="238" t="str">
        <f>IFERROR(__xludf.DUMMYFUNCTION("""COMPUTED_VALUE"""),"LM Hub_SP_Artur Alvim")</f>
        <v>LM Hub_SP_Artur Alvim</v>
      </c>
      <c r="C6271" s="238" t="str">
        <f>IFERROR(__xludf.DUMMYFUNCTION("""COMPUTED_VALUE"""),"HUB-LSP-07")</f>
        <v>HUB-LSP-07</v>
      </c>
      <c r="D6271" s="234">
        <f>IFERROR(__xludf.DUMMYFUNCTION("""COMPUTED_VALUE"""),12.0)</f>
        <v>12</v>
      </c>
      <c r="E6271" s="237" t="str">
        <f>IFERROR(__xludf.DUMMYFUNCTION("""COMPUTED_VALUE"""),"LT0Q1U01XDDF1")</f>
        <v>LT0Q1U01XDDF1</v>
      </c>
      <c r="F6271" s="238" t="str">
        <f>IFERROR(__xludf.DUMMYFUNCTION("""COMPUTED_VALUE"""),"OUV2G66,JMU8H37")</f>
        <v>OUV2G66,JMU8H37</v>
      </c>
      <c r="G6271" s="238">
        <f>IFERROR(__xludf.DUMMYFUNCTION("""COMPUTED_VALUE"""),46052.91666666667)</f>
        <v>46052.91667</v>
      </c>
      <c r="H6271" s="238">
        <f>IFERROR(__xludf.DUMMYFUNCTION("""COMPUTED_VALUE"""),46053.0)</f>
        <v>46053</v>
      </c>
      <c r="J6271" s="239">
        <v>119.99999999301508</v>
      </c>
    </row>
    <row r="6272">
      <c r="A6272" s="234"/>
      <c r="B6272" s="238" t="str">
        <f>IFERROR(__xludf.DUMMYFUNCTION("""COMPUTED_VALUE"""),"LM Hub_SP_Barueri_01")</f>
        <v>LM Hub_SP_Barueri_01</v>
      </c>
      <c r="C6272" s="238" t="str">
        <f>IFERROR(__xludf.DUMMYFUNCTION("""COMPUTED_VALUE"""),"HUB-LSP-81")</f>
        <v>HUB-LSP-81</v>
      </c>
      <c r="D6272" s="234">
        <f>IFERROR(__xludf.DUMMYFUNCTION("""COMPUTED_VALUE"""),25.0)</f>
        <v>25</v>
      </c>
      <c r="E6272" s="237" t="str">
        <f>IFERROR(__xludf.DUMMYFUNCTION("""COMPUTED_VALUE"""),"LT0Q1U01XI3P1")</f>
        <v>LT0Q1U01XI3P1</v>
      </c>
      <c r="F6272" s="238" t="str">
        <f>IFERROR(__xludf.DUMMYFUNCTION("""COMPUTED_VALUE"""),"SUQ5C99,TLD5B82")</f>
        <v>SUQ5C99,TLD5B82</v>
      </c>
      <c r="G6272" s="238">
        <f>IFERROR(__xludf.DUMMYFUNCTION("""COMPUTED_VALUE"""),46052.91666666667)</f>
        <v>46052.91667</v>
      </c>
      <c r="H6272" s="238">
        <f>IFERROR(__xludf.DUMMYFUNCTION("""COMPUTED_VALUE"""),46053.0)</f>
        <v>46053</v>
      </c>
      <c r="J6272" s="239">
        <v>119.99999999301508</v>
      </c>
    </row>
    <row r="6273">
      <c r="A6273" s="234"/>
      <c r="B6273" s="238" t="str">
        <f>IFERROR(__xludf.DUMMYFUNCTION("""COMPUTED_VALUE"""),"LM Hub_SP_Guarulhos")</f>
        <v>LM Hub_SP_Guarulhos</v>
      </c>
      <c r="C6273" s="238" t="str">
        <f>IFERROR(__xludf.DUMMYFUNCTION("""COMPUTED_VALUE"""),"HUB-LSP-77")</f>
        <v>HUB-LSP-77</v>
      </c>
      <c r="D6273" s="234">
        <f>IFERROR(__xludf.DUMMYFUNCTION("""COMPUTED_VALUE"""),49.0)</f>
        <v>49</v>
      </c>
      <c r="E6273" s="237" t="str">
        <f>IFERROR(__xludf.DUMMYFUNCTION("""COMPUTED_VALUE"""),"LT0Q1U01XE491")</f>
        <v>LT0Q1U01XE491</v>
      </c>
      <c r="F6273" s="238" t="str">
        <f>IFERROR(__xludf.DUMMYFUNCTION("""COMPUTED_VALUE"""),"EPU0B23,BWP1348")</f>
        <v>EPU0B23,BWP1348</v>
      </c>
      <c r="G6273" s="238">
        <f>IFERROR(__xludf.DUMMYFUNCTION("""COMPUTED_VALUE"""),46052.91666666667)</f>
        <v>46052.91667</v>
      </c>
      <c r="H6273" s="238">
        <f>IFERROR(__xludf.DUMMYFUNCTION("""COMPUTED_VALUE"""),46053.0)</f>
        <v>46053</v>
      </c>
      <c r="J6273" s="239">
        <v>119.99999999301508</v>
      </c>
    </row>
    <row r="6274">
      <c r="A6274" s="234"/>
      <c r="B6274" s="238" t="str">
        <f>IFERROR(__xludf.DUMMYFUNCTION("""COMPUTED_VALUE"""),"LM Hub_SP_Itapevi")</f>
        <v>LM Hub_SP_Itapevi</v>
      </c>
      <c r="C6274" s="238" t="str">
        <f>IFERROR(__xludf.DUMMYFUNCTION("""COMPUTED_VALUE"""),"HUB-LSP-41")</f>
        <v>HUB-LSP-41</v>
      </c>
      <c r="D6274" s="234">
        <f>IFERROR(__xludf.DUMMYFUNCTION("""COMPUTED_VALUE"""),19.0)</f>
        <v>19</v>
      </c>
      <c r="E6274" s="237" t="str">
        <f>IFERROR(__xludf.DUMMYFUNCTION("""COMPUTED_VALUE"""),"LT0Q1U01XDEU1")</f>
        <v>LT0Q1U01XDEU1</v>
      </c>
      <c r="F6274" s="238" t="str">
        <f>IFERROR(__xludf.DUMMYFUNCTION("""COMPUTED_VALUE"""),"BCS4J31,DJB0J76")</f>
        <v>BCS4J31,DJB0J76</v>
      </c>
      <c r="G6274" s="238">
        <f>IFERROR(__xludf.DUMMYFUNCTION("""COMPUTED_VALUE"""),46052.91666666667)</f>
        <v>46052.91667</v>
      </c>
      <c r="H6274" s="238">
        <f>IFERROR(__xludf.DUMMYFUNCTION("""COMPUTED_VALUE"""),46053.0)</f>
        <v>46053</v>
      </c>
      <c r="J6274" s="239">
        <v>119.99999999301508</v>
      </c>
    </row>
    <row r="6275">
      <c r="A6275" s="234"/>
      <c r="B6275" s="238" t="str">
        <f>IFERROR(__xludf.DUMMYFUNCTION("""COMPUTED_VALUE"""),"LM Hub_SP_Jundiaí")</f>
        <v>LM Hub_SP_Jundiaí</v>
      </c>
      <c r="C6275" s="238" t="str">
        <f>IFERROR(__xludf.DUMMYFUNCTION("""COMPUTED_VALUE"""),"HUB-LSP-100")</f>
        <v>HUB-LSP-100</v>
      </c>
      <c r="D6275" s="234">
        <f>IFERROR(__xludf.DUMMYFUNCTION("""COMPUTED_VALUE"""),28.0)</f>
        <v>28</v>
      </c>
      <c r="E6275" s="237" t="str">
        <f>IFERROR(__xludf.DUMMYFUNCTION("""COMPUTED_VALUE"""),"LT0Q1U01XJI41")</f>
        <v>LT0Q1U01XJI41</v>
      </c>
      <c r="F6275" s="238" t="str">
        <f>IFERROR(__xludf.DUMMYFUNCTION("""COMPUTED_VALUE"""),"EWU2E82,FDG3J00")</f>
        <v>EWU2E82,FDG3J00</v>
      </c>
      <c r="G6275" s="238">
        <f>IFERROR(__xludf.DUMMYFUNCTION("""COMPUTED_VALUE"""),46052.91666666667)</f>
        <v>46052.91667</v>
      </c>
      <c r="H6275" s="238">
        <f>IFERROR(__xludf.DUMMYFUNCTION("""COMPUTED_VALUE"""),46053.0)</f>
        <v>46053</v>
      </c>
      <c r="J6275" s="239">
        <v>119.99999999301508</v>
      </c>
    </row>
    <row r="6276">
      <c r="A6276" s="234"/>
      <c r="B6276" s="238" t="str">
        <f>IFERROR(__xludf.DUMMYFUNCTION("""COMPUTED_VALUE"""),"LM Hub_SP_Limeira_Campo Belo")</f>
        <v>LM Hub_SP_Limeira_Campo Belo</v>
      </c>
      <c r="C6276" s="238" t="str">
        <f>IFERROR(__xludf.DUMMYFUNCTION("""COMPUTED_VALUE"""),"HUB-LSP-24")</f>
        <v>HUB-LSP-24</v>
      </c>
      <c r="D6276" s="234">
        <f>IFERROR(__xludf.DUMMYFUNCTION("""COMPUTED_VALUE"""),37.0)</f>
        <v>37</v>
      </c>
      <c r="E6276" s="237" t="str">
        <f>IFERROR(__xludf.DUMMYFUNCTION("""COMPUTED_VALUE"""),"LT0Q1U01XDHP1")</f>
        <v>LT0Q1U01XDHP1</v>
      </c>
      <c r="F6276" s="238" t="str">
        <f>IFERROR(__xludf.DUMMYFUNCTION("""COMPUTED_VALUE"""),"FKB6C94,DVS4C82")</f>
        <v>FKB6C94,DVS4C82</v>
      </c>
      <c r="G6276" s="238">
        <f>IFERROR(__xludf.DUMMYFUNCTION("""COMPUTED_VALUE"""),46052.91666666667)</f>
        <v>46052.91667</v>
      </c>
      <c r="H6276" s="238">
        <f>IFERROR(__xludf.DUMMYFUNCTION("""COMPUTED_VALUE"""),46053.0)</f>
        <v>46053</v>
      </c>
      <c r="J6276" s="239">
        <v>119.99999999301508</v>
      </c>
    </row>
    <row r="6277">
      <c r="A6277" s="234"/>
      <c r="B6277" s="238" t="str">
        <f>IFERROR(__xludf.DUMMYFUNCTION("""COMPUTED_VALUE"""),"LM Hub_SP_Mauá")</f>
        <v>LM Hub_SP_Mauá</v>
      </c>
      <c r="C6277" s="238" t="str">
        <f>IFERROR(__xludf.DUMMYFUNCTION("""COMPUTED_VALUE"""),"HUB-LSP-64")</f>
        <v>HUB-LSP-64</v>
      </c>
      <c r="D6277" s="234">
        <f>IFERROR(__xludf.DUMMYFUNCTION("""COMPUTED_VALUE"""),42.0)</f>
        <v>42</v>
      </c>
      <c r="E6277" s="237" t="str">
        <f>IFERROR(__xludf.DUMMYFUNCTION("""COMPUTED_VALUE"""),"LT0Q1U01XDF61")</f>
        <v>LT0Q1U01XDF61</v>
      </c>
      <c r="F6277" s="238" t="str">
        <f>IFERROR(__xludf.DUMMYFUNCTION("""COMPUTED_VALUE"""),"FQF6B98,DTA7802")</f>
        <v>FQF6B98,DTA7802</v>
      </c>
      <c r="G6277" s="238">
        <f>IFERROR(__xludf.DUMMYFUNCTION("""COMPUTED_VALUE"""),46052.91666666667)</f>
        <v>46052.91667</v>
      </c>
      <c r="H6277" s="238">
        <f>IFERROR(__xludf.DUMMYFUNCTION("""COMPUTED_VALUE"""),46053.0)</f>
        <v>46053</v>
      </c>
      <c r="J6277" s="239">
        <v>119.99999999301508</v>
      </c>
    </row>
    <row r="6278">
      <c r="A6278" s="234"/>
      <c r="B6278" s="238" t="str">
        <f>IFERROR(__xludf.DUMMYFUNCTION("""COMPUTED_VALUE"""),"LM Hub_SP_Mooca_02")</f>
        <v>LM Hub_SP_Mooca_02</v>
      </c>
      <c r="C6278" s="238" t="str">
        <f>IFERROR(__xludf.DUMMYFUNCTION("""COMPUTED_VALUE"""),"HUB-LSP-94")</f>
        <v>HUB-LSP-94</v>
      </c>
      <c r="D6278" s="234"/>
      <c r="E6278" s="237" t="str">
        <f>IFERROR(__xludf.DUMMYFUNCTION("""COMPUTED_VALUE"""),"LT0Q1U01XI0J1")</f>
        <v>LT0Q1U01XI0J1</v>
      </c>
      <c r="F6278" s="238" t="str">
        <f>IFERROR(__xludf.DUMMYFUNCTION("""COMPUTED_VALUE"""),"FZH4B68")</f>
        <v>FZH4B68</v>
      </c>
      <c r="G6278" s="238">
        <f>IFERROR(__xludf.DUMMYFUNCTION("""COMPUTED_VALUE"""),46052.91666666667)</f>
        <v>46052.91667</v>
      </c>
      <c r="H6278" s="238">
        <f>IFERROR(__xludf.DUMMYFUNCTION("""COMPUTED_VALUE"""),46053.0)</f>
        <v>46053</v>
      </c>
      <c r="J6278" s="239">
        <v>119.99999999301508</v>
      </c>
    </row>
    <row r="6279">
      <c r="A6279" s="234"/>
      <c r="B6279" s="238" t="str">
        <f>IFERROR(__xludf.DUMMYFUNCTION("""COMPUTED_VALUE"""),"LM Hub_SP_São José do Rio P")</f>
        <v>LM Hub_SP_São José do Rio P</v>
      </c>
      <c r="C6279" s="238" t="str">
        <f>IFERROR(__xludf.DUMMYFUNCTION("""COMPUTED_VALUE"""),"HUB-LSP-27")</f>
        <v>HUB-LSP-27</v>
      </c>
      <c r="D6279" s="234"/>
      <c r="E6279" s="237" t="str">
        <f>IFERROR(__xludf.DUMMYFUNCTION("""COMPUTED_VALUE"""),"LT0Q1U01XGZ71")</f>
        <v>LT0Q1U01XGZ71</v>
      </c>
      <c r="F6279" s="238" t="str">
        <f>IFERROR(__xludf.DUMMYFUNCTION("""COMPUTED_VALUE"""),"FZR0D24")</f>
        <v>FZR0D24</v>
      </c>
      <c r="G6279" s="238">
        <f>IFERROR(__xludf.DUMMYFUNCTION("""COMPUTED_VALUE"""),46052.91666666667)</f>
        <v>46052.91667</v>
      </c>
      <c r="H6279" s="238">
        <f>IFERROR(__xludf.DUMMYFUNCTION("""COMPUTED_VALUE"""),46053.0)</f>
        <v>46053</v>
      </c>
      <c r="J6279" s="239">
        <v>119.99999999301508</v>
      </c>
    </row>
    <row r="6280">
      <c r="A6280" s="234"/>
      <c r="B6280" s="238" t="str">
        <f>IFERROR(__xludf.DUMMYFUNCTION("""COMPUTED_VALUE"""),"SoC_SP_Louveira")</f>
        <v>SoC_SP_Louveira</v>
      </c>
      <c r="C6280" s="238" t="str">
        <f>IFERROR(__xludf.DUMMYFUNCTION("""COMPUTED_VALUE"""),"SOC-SP7")</f>
        <v>SOC-SP7</v>
      </c>
      <c r="D6280" s="234">
        <f>IFERROR(__xludf.DUMMYFUNCTION("""COMPUTED_VALUE"""),34.0)</f>
        <v>34</v>
      </c>
      <c r="E6280" s="237" t="str">
        <f>IFERROR(__xludf.DUMMYFUNCTION("""COMPUTED_VALUE"""),"LT0Q1U01XM5Q1")</f>
        <v>LT0Q1U01XM5Q1</v>
      </c>
      <c r="F6280" s="238" t="str">
        <f>IFERROR(__xludf.DUMMYFUNCTION("""COMPUTED_VALUE"""),"MEZ3B05,MCK9433")</f>
        <v>MEZ3B05,MCK9433</v>
      </c>
      <c r="G6280" s="238">
        <f>IFERROR(__xludf.DUMMYFUNCTION("""COMPUTED_VALUE"""),46052.91666666667)</f>
        <v>46052.91667</v>
      </c>
      <c r="H6280" s="238">
        <f>IFERROR(__xludf.DUMMYFUNCTION("""COMPUTED_VALUE"""),46053.0)</f>
        <v>46053</v>
      </c>
      <c r="J6280" s="239">
        <v>118.00000000745058</v>
      </c>
    </row>
    <row r="6281">
      <c r="A6281" s="234"/>
      <c r="B6281" s="238" t="str">
        <f>IFERROR(__xludf.DUMMYFUNCTION("""COMPUTED_VALUE"""),"LM Hub_SP_Santo André")</f>
        <v>LM Hub_SP_Santo André</v>
      </c>
      <c r="C6281" s="238" t="str">
        <f>IFERROR(__xludf.DUMMYFUNCTION("""COMPUTED_VALUE"""),"HUB-LSP-93")</f>
        <v>HUB-LSP-93</v>
      </c>
      <c r="D6281" s="234">
        <f>IFERROR(__xludf.DUMMYFUNCTION("""COMPUTED_VALUE"""),35.0)</f>
        <v>35</v>
      </c>
      <c r="E6281" s="237" t="str">
        <f>IFERROR(__xludf.DUMMYFUNCTION("""COMPUTED_VALUE"""),"LT0Q1U01XFOR1")</f>
        <v>LT0Q1U01XFOR1</v>
      </c>
      <c r="F6281" s="238" t="str">
        <f>IFERROR(__xludf.DUMMYFUNCTION("""COMPUTED_VALUE"""),"FXQ8H67,EZL9D42")</f>
        <v>FXQ8H67,EZL9D42</v>
      </c>
      <c r="G6281" s="238">
        <f>IFERROR(__xludf.DUMMYFUNCTION("""COMPUTED_VALUE"""),46052.91805555555)</f>
        <v>46052.91806</v>
      </c>
      <c r="H6281" s="238">
        <f>IFERROR(__xludf.DUMMYFUNCTION("""COMPUTED_VALUE"""),46053.0)</f>
        <v>46053</v>
      </c>
      <c r="J6281" s="239">
        <v>119.99999999301508</v>
      </c>
    </row>
    <row r="6282">
      <c r="A6282" s="234"/>
      <c r="B6282" s="238" t="str">
        <f>IFERROR(__xludf.DUMMYFUNCTION("""COMPUTED_VALUE"""),"LM Hub_SP_Parque Novo Mundo")</f>
        <v>LM Hub_SP_Parque Novo Mundo</v>
      </c>
      <c r="C6282" s="238" t="str">
        <f>IFERROR(__xludf.DUMMYFUNCTION("""COMPUTED_VALUE"""),"HUB-LSP-89")</f>
        <v>HUB-LSP-89</v>
      </c>
      <c r="D6282" s="234">
        <f>IFERROR(__xludf.DUMMYFUNCTION("""COMPUTED_VALUE"""),13.0)</f>
        <v>13</v>
      </c>
      <c r="E6282" s="237" t="str">
        <f>IFERROR(__xludf.DUMMYFUNCTION("""COMPUTED_VALUE"""),"LT0Q1U01XEBH1")</f>
        <v>LT0Q1U01XEBH1</v>
      </c>
      <c r="F6282" s="238" t="str">
        <f>IFERROR(__xludf.DUMMYFUNCTION("""COMPUTED_VALUE"""),"CVN5G56,OPD3C39")</f>
        <v>CVN5G56,OPD3C39</v>
      </c>
      <c r="G6282" s="238">
        <f>IFERROR(__xludf.DUMMYFUNCTION("""COMPUTED_VALUE"""),46052.9375)</f>
        <v>46052.9375</v>
      </c>
      <c r="H6282" s="238">
        <f>IFERROR(__xludf.DUMMYFUNCTION("""COMPUTED_VALUE"""),46053.02083333333)</f>
        <v>46053.02083</v>
      </c>
      <c r="J6282" s="239">
        <v>119.99999999301508</v>
      </c>
    </row>
    <row r="6283">
      <c r="A6283" s="234"/>
      <c r="B6283" s="238" t="str">
        <f>IFERROR(__xludf.DUMMYFUNCTION("""COMPUTED_VALUE"""),"LM Hub_SP_Piracicaba")</f>
        <v>LM Hub_SP_Piracicaba</v>
      </c>
      <c r="C6283" s="238" t="str">
        <f>IFERROR(__xludf.DUMMYFUNCTION("""COMPUTED_VALUE"""),"HUB-LSP-62")</f>
        <v>HUB-LSP-62</v>
      </c>
      <c r="D6283" s="234">
        <f>IFERROR(__xludf.DUMMYFUNCTION("""COMPUTED_VALUE"""),24.0)</f>
        <v>24</v>
      </c>
      <c r="E6283" s="237" t="str">
        <f>IFERROR(__xludf.DUMMYFUNCTION("""COMPUTED_VALUE"""),"LT0Q1U01XE4L1")</f>
        <v>LT0Q1U01XE4L1</v>
      </c>
      <c r="F6283" s="238" t="str">
        <f>IFERROR(__xludf.DUMMYFUNCTION("""COMPUTED_VALUE"""),"EGB0G74,BKO8351")</f>
        <v>EGB0G74,BKO8351</v>
      </c>
      <c r="G6283" s="238">
        <f>IFERROR(__xludf.DUMMYFUNCTION("""COMPUTED_VALUE"""),46052.9375)</f>
        <v>46052.9375</v>
      </c>
      <c r="H6283" s="238">
        <f>IFERROR(__xludf.DUMMYFUNCTION("""COMPUTED_VALUE"""),46053.02083333333)</f>
        <v>46053.02083</v>
      </c>
      <c r="J6283" s="239">
        <v>119.99999999301508</v>
      </c>
    </row>
    <row r="6284">
      <c r="A6284" s="234"/>
      <c r="B6284" s="238" t="str">
        <f>IFERROR(__xludf.DUMMYFUNCTION("""COMPUTED_VALUE"""),"LM Hub_SP_Sorocaba_Região Norte")</f>
        <v>LM Hub_SP_Sorocaba_Região Norte</v>
      </c>
      <c r="C6284" s="238" t="str">
        <f>IFERROR(__xludf.DUMMYFUNCTION("""COMPUTED_VALUE"""),"HUB-LSP-10")</f>
        <v>HUB-LSP-10</v>
      </c>
      <c r="D6284" s="234">
        <f>IFERROR(__xludf.DUMMYFUNCTION("""COMPUTED_VALUE"""),23.0)</f>
        <v>23</v>
      </c>
      <c r="E6284" s="237" t="str">
        <f>IFERROR(__xludf.DUMMYFUNCTION("""COMPUTED_VALUE"""),"LT0Q1U01XDHF1")</f>
        <v>LT0Q1U01XDHF1</v>
      </c>
      <c r="F6284" s="238" t="str">
        <f>IFERROR(__xludf.DUMMYFUNCTION("""COMPUTED_VALUE"""),"UAV9I85,UGU0I83")</f>
        <v>UAV9I85,UGU0I83</v>
      </c>
      <c r="G6284" s="238">
        <f>IFERROR(__xludf.DUMMYFUNCTION("""COMPUTED_VALUE"""),46052.9375)</f>
        <v>46052.9375</v>
      </c>
      <c r="H6284" s="238">
        <f>IFERROR(__xludf.DUMMYFUNCTION("""COMPUTED_VALUE"""),46053.02083333333)</f>
        <v>46053.02083</v>
      </c>
      <c r="J6284" s="239">
        <v>119.99999999301508</v>
      </c>
    </row>
    <row r="6285">
      <c r="A6285" s="234"/>
      <c r="B6285" s="238" t="str">
        <f>IFERROR(__xludf.DUMMYFUNCTION("""COMPUTED_VALUE"""),"LM Hub_SP_Suzano_Baruel")</f>
        <v>LM Hub_SP_Suzano_Baruel</v>
      </c>
      <c r="C6285" s="238" t="str">
        <f>IFERROR(__xludf.DUMMYFUNCTION("""COMPUTED_VALUE"""),"HUB-LSP-97")</f>
        <v>HUB-LSP-97</v>
      </c>
      <c r="D6285" s="234">
        <f>IFERROR(__xludf.DUMMYFUNCTION("""COMPUTED_VALUE"""),17.0)</f>
        <v>17</v>
      </c>
      <c r="E6285" s="237" t="str">
        <f>IFERROR(__xludf.DUMMYFUNCTION("""COMPUTED_VALUE"""),"LT0Q1U01XJTW1")</f>
        <v>LT0Q1U01XJTW1</v>
      </c>
      <c r="F6285" s="238" t="str">
        <f>IFERROR(__xludf.DUMMYFUNCTION("""COMPUTED_VALUE"""),"LTR7J66,BTB3E49")</f>
        <v>LTR7J66,BTB3E49</v>
      </c>
      <c r="G6285" s="238">
        <f>IFERROR(__xludf.DUMMYFUNCTION("""COMPUTED_VALUE"""),46052.9375)</f>
        <v>46052.9375</v>
      </c>
      <c r="H6285" s="238">
        <f>IFERROR(__xludf.DUMMYFUNCTION("""COMPUTED_VALUE"""),46053.02083333333)</f>
        <v>46053.02083</v>
      </c>
      <c r="J6285" s="239">
        <v>118.99999998975545</v>
      </c>
    </row>
    <row r="6286">
      <c r="A6286" s="234"/>
      <c r="B6286" s="238" t="str">
        <f>IFERROR(__xludf.DUMMYFUNCTION("""COMPUTED_VALUE"""),"LM Hub_SP_Jardim Adriana")</f>
        <v>LM Hub_SP_Jardim Adriana</v>
      </c>
      <c r="C6286" s="238" t="str">
        <f>IFERROR(__xludf.DUMMYFUNCTION("""COMPUTED_VALUE"""),"HUB-LSP-12")</f>
        <v>HUB-LSP-12</v>
      </c>
      <c r="D6286" s="234">
        <f>IFERROR(__xludf.DUMMYFUNCTION("""COMPUTED_VALUE"""),16.0)</f>
        <v>16</v>
      </c>
      <c r="E6286" s="237" t="str">
        <f>IFERROR(__xludf.DUMMYFUNCTION("""COMPUTED_VALUE"""),"LT0Q1U01XDDO1")</f>
        <v>LT0Q1U01XDDO1</v>
      </c>
      <c r="F6286" s="238" t="str">
        <f>IFERROR(__xludf.DUMMYFUNCTION("""COMPUTED_VALUE"""),"FYZ2D15")</f>
        <v>FYZ2D15</v>
      </c>
      <c r="G6286" s="238">
        <f>IFERROR(__xludf.DUMMYFUNCTION("""COMPUTED_VALUE"""),46052.93819444445)</f>
        <v>46052.93819</v>
      </c>
      <c r="H6286" s="238">
        <f>IFERROR(__xludf.DUMMYFUNCTION("""COMPUTED_VALUE"""),46053.02083333333)</f>
        <v>46053.02083</v>
      </c>
      <c r="J6286" s="239">
        <v>118.99999998975545</v>
      </c>
    </row>
    <row r="6287">
      <c r="A6287" s="234"/>
      <c r="B6287" s="238" t="str">
        <f>IFERROR(__xludf.DUMMYFUNCTION("""COMPUTED_VALUE"""),"LM Hub_SP_Parque Novo Mundo")</f>
        <v>LM Hub_SP_Parque Novo Mundo</v>
      </c>
      <c r="C6287" s="238" t="str">
        <f>IFERROR(__xludf.DUMMYFUNCTION("""COMPUTED_VALUE"""),"HUB-LSP-89")</f>
        <v>HUB-LSP-89</v>
      </c>
      <c r="D6287" s="234"/>
      <c r="E6287" s="237" t="str">
        <f>IFERROR(__xludf.DUMMYFUNCTION("""COMPUTED_VALUE"""),"LT0Q1U01XMCP1")</f>
        <v>LT0Q1U01XMCP1</v>
      </c>
      <c r="F6287" s="238" t="str">
        <f>IFERROR(__xludf.DUMMYFUNCTION("""COMPUTED_VALUE"""),"FNK8E47,FAM1829")</f>
        <v>FNK8E47,FAM1829</v>
      </c>
      <c r="G6287" s="238">
        <f>IFERROR(__xludf.DUMMYFUNCTION("""COMPUTED_VALUE"""),46052.93819444445)</f>
        <v>46052.93819</v>
      </c>
      <c r="H6287" s="238">
        <f>IFERROR(__xludf.DUMMYFUNCTION("""COMPUTED_VALUE"""),46053.02083333333)</f>
        <v>46053.02083</v>
      </c>
      <c r="J6287" s="239">
        <v>118.99999998975545</v>
      </c>
    </row>
    <row r="6288">
      <c r="A6288" s="234"/>
      <c r="B6288" s="238" t="str">
        <f>IFERROR(__xludf.DUMMYFUNCTION("""COMPUTED_VALUE"""),"LM Hub_SP_São Paulo_Carandiru")</f>
        <v>LM Hub_SP_São Paulo_Carandiru</v>
      </c>
      <c r="C6288" s="238" t="str">
        <f>IFERROR(__xludf.DUMMYFUNCTION("""COMPUTED_VALUE"""),"HUB-LSP-18")</f>
        <v>HUB-LSP-18</v>
      </c>
      <c r="D6288" s="234">
        <f>IFERROR(__xludf.DUMMYFUNCTION("""COMPUTED_VALUE"""),18.0)</f>
        <v>18</v>
      </c>
      <c r="E6288" s="237" t="str">
        <f>IFERROR(__xludf.DUMMYFUNCTION("""COMPUTED_VALUE"""),"LT0Q1U01XDEB1")</f>
        <v>LT0Q1U01XDEB1</v>
      </c>
      <c r="F6288" s="238" t="str">
        <f>IFERROR(__xludf.DUMMYFUNCTION("""COMPUTED_VALUE"""),"NVO0561")</f>
        <v>NVO0561</v>
      </c>
      <c r="G6288" s="238">
        <f>IFERROR(__xludf.DUMMYFUNCTION("""COMPUTED_VALUE"""),46052.93819444445)</f>
        <v>46052.93819</v>
      </c>
      <c r="H6288" s="238">
        <f>IFERROR(__xludf.DUMMYFUNCTION("""COMPUTED_VALUE"""),46053.02083333333)</f>
        <v>46053.02083</v>
      </c>
      <c r="J6288" s="239">
        <v>118.99999998975545</v>
      </c>
    </row>
    <row r="6289">
      <c r="A6289" s="234"/>
      <c r="B6289" s="238" t="str">
        <f>IFERROR(__xludf.DUMMYFUNCTION("""COMPUTED_VALUE"""),"LM Hub_SP_VilaGuilherme")</f>
        <v>LM Hub_SP_VilaGuilherme</v>
      </c>
      <c r="C6289" s="238" t="str">
        <f>IFERROR(__xludf.DUMMYFUNCTION("""COMPUTED_VALUE"""),"HUB-LSP-68")</f>
        <v>HUB-LSP-68</v>
      </c>
      <c r="D6289" s="234">
        <f>IFERROR(__xludf.DUMMYFUNCTION("""COMPUTED_VALUE"""),32.0)</f>
        <v>32</v>
      </c>
      <c r="E6289" s="237" t="str">
        <f>IFERROR(__xludf.DUMMYFUNCTION("""COMPUTED_VALUE"""),"LT0Q1U01XM6B1")</f>
        <v>LT0Q1U01XM6B1</v>
      </c>
      <c r="F6289" s="238" t="str">
        <f>IFERROR(__xludf.DUMMYFUNCTION("""COMPUTED_VALUE"""),"HFD4H27,JXG9745")</f>
        <v>HFD4H27,JXG9745</v>
      </c>
      <c r="G6289" s="238">
        <f>IFERROR(__xludf.DUMMYFUNCTION("""COMPUTED_VALUE"""),46052.93819444445)</f>
        <v>46052.93819</v>
      </c>
      <c r="H6289" s="238">
        <f>IFERROR(__xludf.DUMMYFUNCTION("""COMPUTED_VALUE"""),46053.02083333333)</f>
        <v>46053.02083</v>
      </c>
      <c r="J6289" s="239">
        <v>360.0</v>
      </c>
    </row>
    <row r="6290">
      <c r="A6290" s="234"/>
      <c r="B6290" s="238" t="str">
        <f>IFERROR(__xludf.DUMMYFUNCTION("""COMPUTED_VALUE"""),"SoC_MG_Betim")</f>
        <v>SoC_MG_Betim</v>
      </c>
      <c r="C6290" s="238" t="str">
        <f>IFERROR(__xludf.DUMMYFUNCTION("""COMPUTED_VALUE"""),"SOC-MG2")</f>
        <v>SOC-MG2</v>
      </c>
      <c r="D6290" s="234"/>
      <c r="E6290" s="237" t="str">
        <f>IFERROR(__xludf.DUMMYFUNCTION("""COMPUTED_VALUE"""),"LT0Q1U01XM5E1")</f>
        <v>LT0Q1U01XM5E1</v>
      </c>
      <c r="F6290" s="238" t="str">
        <f>IFERROR(__xludf.DUMMYFUNCTION("""COMPUTED_VALUE"""),"DPF1E65,EWJ1I10")</f>
        <v>DPF1E65,EWJ1I10</v>
      </c>
      <c r="G6290" s="238">
        <f>IFERROR(__xludf.DUMMYFUNCTION("""COMPUTED_VALUE"""),46052.79166666667)</f>
        <v>46052.79167</v>
      </c>
      <c r="H6290" s="238">
        <f>IFERROR(__xludf.DUMMYFUNCTION("""COMPUTED_VALUE"""),46053.04166666667)</f>
        <v>46053.04167</v>
      </c>
      <c r="J6290" s="239">
        <v>120.00000001396984</v>
      </c>
    </row>
    <row r="6291">
      <c r="A6291" s="234"/>
      <c r="B6291" s="238" t="str">
        <f>IFERROR(__xludf.DUMMYFUNCTION("""COMPUTED_VALUE"""),"LM Hub_RJ_Nova Iguaçu")</f>
        <v>LM Hub_RJ_Nova Iguaçu</v>
      </c>
      <c r="C6291" s="238" t="str">
        <f>IFERROR(__xludf.DUMMYFUNCTION("""COMPUTED_VALUE"""),"HUB-LRJ-27")</f>
        <v>HUB-LRJ-27</v>
      </c>
      <c r="D6291" s="234"/>
      <c r="E6291" s="237" t="str">
        <f>IFERROR(__xludf.DUMMYFUNCTION("""COMPUTED_VALUE"""),"LT0Q1U01XIMY1")</f>
        <v>LT0Q1U01XIMY1</v>
      </c>
      <c r="F6291" s="238" t="str">
        <f>IFERROR(__xludf.DUMMYFUNCTION("""COMPUTED_VALUE"""),"UBA1H99")</f>
        <v>UBA1H99</v>
      </c>
      <c r="G6291" s="238">
        <f>IFERROR(__xludf.DUMMYFUNCTION("""COMPUTED_VALUE"""),46052.95833333333)</f>
        <v>46052.95833</v>
      </c>
      <c r="H6291" s="238">
        <f>IFERROR(__xludf.DUMMYFUNCTION("""COMPUTED_VALUE"""),46053.04166666667)</f>
        <v>46053.04167</v>
      </c>
      <c r="J6291" s="239">
        <v>120.00000001396984</v>
      </c>
    </row>
    <row r="6292">
      <c r="A6292" s="234"/>
      <c r="B6292" s="238" t="str">
        <f>IFERROR(__xludf.DUMMYFUNCTION("""COMPUTED_VALUE"""),"LM Hub_RJ_Rio de Janeiro_Campo G")</f>
        <v>LM Hub_RJ_Rio de Janeiro_Campo G</v>
      </c>
      <c r="C6292" s="238" t="str">
        <f>IFERROR(__xludf.DUMMYFUNCTION("""COMPUTED_VALUE"""),"HUB-LRJ-04")</f>
        <v>HUB-LRJ-04</v>
      </c>
      <c r="D6292" s="234"/>
      <c r="E6292" s="237" t="str">
        <f>IFERROR(__xludf.DUMMYFUNCTION("""COMPUTED_VALUE"""),"LT0Q1U01XDJL1")</f>
        <v>LT0Q1U01XDJL1</v>
      </c>
      <c r="F6292" s="238" t="str">
        <f>IFERROR(__xludf.DUMMYFUNCTION("""COMPUTED_VALUE"""),"TBB5J93")</f>
        <v>TBB5J93</v>
      </c>
      <c r="G6292" s="238">
        <f>IFERROR(__xludf.DUMMYFUNCTION("""COMPUTED_VALUE"""),46052.95833333333)</f>
        <v>46052.95833</v>
      </c>
      <c r="H6292" s="238">
        <f>IFERROR(__xludf.DUMMYFUNCTION("""COMPUTED_VALUE"""),46053.04166666667)</f>
        <v>46053.04167</v>
      </c>
      <c r="J6292" s="239">
        <v>120.00000001396984</v>
      </c>
    </row>
    <row r="6293">
      <c r="A6293" s="234"/>
      <c r="B6293" s="238" t="str">
        <f>IFERROR(__xludf.DUMMYFUNCTION("""COMPUTED_VALUE"""),"LM Hub_RJ_São João do Meriti")</f>
        <v>LM Hub_RJ_São João do Meriti</v>
      </c>
      <c r="C6293" s="238" t="str">
        <f>IFERROR(__xludf.DUMMYFUNCTION("""COMPUTED_VALUE"""),"HUB-LRJ-01")</f>
        <v>HUB-LRJ-01</v>
      </c>
      <c r="D6293" s="234"/>
      <c r="E6293" s="237" t="str">
        <f>IFERROR(__xludf.DUMMYFUNCTION("""COMPUTED_VALUE"""),"LT0Q1U01XINQ1")</f>
        <v>LT0Q1U01XINQ1</v>
      </c>
      <c r="F6293" s="238" t="str">
        <f>IFERROR(__xludf.DUMMYFUNCTION("""COMPUTED_VALUE"""),"DCU9C23,UGK6G16")</f>
        <v>DCU9C23,UGK6G16</v>
      </c>
      <c r="G6293" s="238">
        <f>IFERROR(__xludf.DUMMYFUNCTION("""COMPUTED_VALUE"""),46052.95833333333)</f>
        <v>46052.95833</v>
      </c>
      <c r="H6293" s="238">
        <f>IFERROR(__xludf.DUMMYFUNCTION("""COMPUTED_VALUE"""),46053.04166666667)</f>
        <v>46053.04167</v>
      </c>
      <c r="J6293" s="239">
        <v>120.00000001396984</v>
      </c>
    </row>
    <row r="6294">
      <c r="A6294" s="234"/>
      <c r="B6294" s="238" t="str">
        <f>IFERROR(__xludf.DUMMYFUNCTION("""COMPUTED_VALUE"""),"LM Hub_SP_Mogi Mirim")</f>
        <v>LM Hub_SP_Mogi Mirim</v>
      </c>
      <c r="C6294" s="238" t="str">
        <f>IFERROR(__xludf.DUMMYFUNCTION("""COMPUTED_VALUE"""),"HUB-LSP-37")</f>
        <v>HUB-LSP-37</v>
      </c>
      <c r="D6294" s="234">
        <f>IFERROR(__xludf.DUMMYFUNCTION("""COMPUTED_VALUE"""),26.0)</f>
        <v>26</v>
      </c>
      <c r="E6294" s="237" t="str">
        <f>IFERROR(__xludf.DUMMYFUNCTION("""COMPUTED_VALUE"""),"LT0Q1U01XDIF1")</f>
        <v>LT0Q1U01XDIF1</v>
      </c>
      <c r="F6294" s="238" t="str">
        <f>IFERROR(__xludf.DUMMYFUNCTION("""COMPUTED_VALUE"""),"FVL1B63,TJQ3B56")</f>
        <v>FVL1B63,TJQ3B56</v>
      </c>
      <c r="G6294" s="238">
        <f>IFERROR(__xludf.DUMMYFUNCTION("""COMPUTED_VALUE"""),46052.95833333333)</f>
        <v>46052.95833</v>
      </c>
      <c r="H6294" s="238">
        <f>IFERROR(__xludf.DUMMYFUNCTION("""COMPUTED_VALUE"""),46053.04166666667)</f>
        <v>46053.04167</v>
      </c>
      <c r="J6294" s="239">
        <v>119.99999999301508</v>
      </c>
    </row>
    <row r="6295">
      <c r="A6295" s="234"/>
      <c r="B6295" s="238" t="str">
        <f>IFERROR(__xludf.DUMMYFUNCTION("""COMPUTED_VALUE"""),"LM Hub_SP_Araraquara")</f>
        <v>LM Hub_SP_Araraquara</v>
      </c>
      <c r="C6295" s="238" t="str">
        <f>IFERROR(__xludf.DUMMYFUNCTION("""COMPUTED_VALUE"""),"HUB-LSP-29")</f>
        <v>HUB-LSP-29</v>
      </c>
      <c r="D6295" s="234">
        <f>IFERROR(__xludf.DUMMYFUNCTION("""COMPUTED_VALUE"""),14.0)</f>
        <v>14</v>
      </c>
      <c r="E6295" s="237" t="str">
        <f>IFERROR(__xludf.DUMMYFUNCTION("""COMPUTED_VALUE"""),"LT0Q1U01XDIK1")</f>
        <v>LT0Q1U01XDIK1</v>
      </c>
      <c r="F6295" s="238" t="str">
        <f>IFERROR(__xludf.DUMMYFUNCTION("""COMPUTED_VALUE"""),"ISQ7F01,ANM9G89")</f>
        <v>ISQ7F01,ANM9G89</v>
      </c>
      <c r="G6295" s="238">
        <f>IFERROR(__xludf.DUMMYFUNCTION("""COMPUTED_VALUE"""),46052.97916666667)</f>
        <v>46052.97917</v>
      </c>
      <c r="H6295" s="238">
        <f>IFERROR(__xludf.DUMMYFUNCTION("""COMPUTED_VALUE"""),46053.0625)</f>
        <v>46053.0625</v>
      </c>
      <c r="J6295" s="239">
        <v>119.99999999301508</v>
      </c>
    </row>
    <row r="6296">
      <c r="A6296" s="234"/>
      <c r="B6296" s="238" t="str">
        <f>IFERROR(__xludf.DUMMYFUNCTION("""COMPUTED_VALUE"""),"LM Hub_SP_Atibaia_Ponte_Alta")</f>
        <v>LM Hub_SP_Atibaia_Ponte_Alta</v>
      </c>
      <c r="C6296" s="238" t="str">
        <f>IFERROR(__xludf.DUMMYFUNCTION("""COMPUTED_VALUE"""),"HUB-LSP-87")</f>
        <v>HUB-LSP-87</v>
      </c>
      <c r="D6296" s="234">
        <f>IFERROR(__xludf.DUMMYFUNCTION("""COMPUTED_VALUE"""),33.0)</f>
        <v>33</v>
      </c>
      <c r="E6296" s="237" t="str">
        <f>IFERROR(__xludf.DUMMYFUNCTION("""COMPUTED_VALUE"""),"LT0Q1U01XGUV1")</f>
        <v>LT0Q1U01XGUV1</v>
      </c>
      <c r="F6296" s="238" t="str">
        <f>IFERROR(__xludf.DUMMYFUNCTION("""COMPUTED_VALUE"""),"FCV1I36,TPO3D55")</f>
        <v>FCV1I36,TPO3D55</v>
      </c>
      <c r="G6296" s="238">
        <f>IFERROR(__xludf.DUMMYFUNCTION("""COMPUTED_VALUE"""),46052.97916666667)</f>
        <v>46052.97917</v>
      </c>
      <c r="H6296" s="238">
        <f>IFERROR(__xludf.DUMMYFUNCTION("""COMPUTED_VALUE"""),46053.0625)</f>
        <v>46053.0625</v>
      </c>
      <c r="J6296" s="239">
        <v>119.99999999301508</v>
      </c>
    </row>
    <row r="6297">
      <c r="A6297" s="234"/>
      <c r="B6297" s="238" t="str">
        <f>IFERROR(__xludf.DUMMYFUNCTION("""COMPUTED_VALUE"""),"LM Hub_SP_Várzea Paulista")</f>
        <v>LM Hub_SP_Várzea Paulista</v>
      </c>
      <c r="C6297" s="238" t="str">
        <f>IFERROR(__xludf.DUMMYFUNCTION("""COMPUTED_VALUE"""),"HUB-LSP-20")</f>
        <v>HUB-LSP-20</v>
      </c>
      <c r="D6297" s="234">
        <f>IFERROR(__xludf.DUMMYFUNCTION("""COMPUTED_VALUE"""),15.0)</f>
        <v>15</v>
      </c>
      <c r="E6297" s="237" t="str">
        <f>IFERROR(__xludf.DUMMYFUNCTION("""COMPUTED_VALUE"""),"LT0Q1U01XDIY1")</f>
        <v>LT0Q1U01XDIY1</v>
      </c>
      <c r="F6297" s="238" t="str">
        <f>IFERROR(__xludf.DUMMYFUNCTION("""COMPUTED_VALUE"""),"DPR5J10,TJX9B42")</f>
        <v>DPR5J10,TJX9B42</v>
      </c>
      <c r="G6297" s="238">
        <f>IFERROR(__xludf.DUMMYFUNCTION("""COMPUTED_VALUE"""),46052.97916666667)</f>
        <v>46052.97917</v>
      </c>
      <c r="H6297" s="238">
        <f>IFERROR(__xludf.DUMMYFUNCTION("""COMPUTED_VALUE"""),46053.0625)</f>
        <v>46053.0625</v>
      </c>
      <c r="J6297" s="239">
        <v>60.00000000698492</v>
      </c>
    </row>
    <row r="6298">
      <c r="A6298" s="234"/>
      <c r="B6298" s="238" t="str">
        <f>IFERROR(__xludf.DUMMYFUNCTION("""COMPUTED_VALUE"""),"LM Hub_SP_Guarujá")</f>
        <v>LM Hub_SP_Guarujá</v>
      </c>
      <c r="C6298" s="238" t="str">
        <f>IFERROR(__xludf.DUMMYFUNCTION("""COMPUTED_VALUE"""),"HUB-LSP-06")</f>
        <v>HUB-LSP-06</v>
      </c>
      <c r="D6298" s="234">
        <f>IFERROR(__xludf.DUMMYFUNCTION("""COMPUTED_VALUE"""),32.0)</f>
        <v>32</v>
      </c>
      <c r="E6298" s="237" t="str">
        <f>IFERROR(__xludf.DUMMYFUNCTION("""COMPUTED_VALUE"""),"LT1Q1V01Y9RF1")</f>
        <v>LT1Q1V01Y9RF1</v>
      </c>
      <c r="F6298" s="238" t="str">
        <f>IFERROR(__xludf.DUMMYFUNCTION("""COMPUTED_VALUE"""),"GGN4792")</f>
        <v>GGN4792</v>
      </c>
      <c r="G6298" s="238">
        <f>IFERROR(__xludf.DUMMYFUNCTION("""COMPUTED_VALUE"""),46053.038888888885)</f>
        <v>46053.03889</v>
      </c>
      <c r="H6298" s="238">
        <f>IFERROR(__xludf.DUMMYFUNCTION("""COMPUTED_VALUE"""),46053.080555555556)</f>
        <v>46053.08056</v>
      </c>
      <c r="J6298" s="239">
        <v>540.0</v>
      </c>
    </row>
    <row r="6299">
      <c r="A6299" s="234"/>
      <c r="B6299" s="238" t="str">
        <f>IFERROR(__xludf.DUMMYFUNCTION("""COMPUTED_VALUE"""),"SoC_MG_Betim")</f>
        <v>SoC_MG_Betim</v>
      </c>
      <c r="C6299" s="238" t="str">
        <f>IFERROR(__xludf.DUMMYFUNCTION("""COMPUTED_VALUE"""),"SOC-MG2")</f>
        <v>SOC-MG2</v>
      </c>
      <c r="D6299" s="234"/>
      <c r="E6299" s="237" t="str">
        <f>IFERROR(__xludf.DUMMYFUNCTION("""COMPUTED_VALUE"""),"LT1Q1U01Y70Y1")</f>
        <v>LT1Q1U01Y70Y1</v>
      </c>
      <c r="F6299" s="238" t="str">
        <f>IFERROR(__xludf.DUMMYFUNCTION("""COMPUTED_VALUE"""),"SUR9E19,FUP2C03")</f>
        <v>SUR9E19,FUP2C03</v>
      </c>
      <c r="G6299" s="238">
        <f>IFERROR(__xludf.DUMMYFUNCTION("""COMPUTED_VALUE"""),46052.70833333333)</f>
        <v>46052.70833</v>
      </c>
      <c r="H6299" s="238">
        <f>IFERROR(__xludf.DUMMYFUNCTION("""COMPUTED_VALUE"""),46053.08333333333)</f>
        <v>46053.08333</v>
      </c>
      <c r="J6299" s="239">
        <v>119.99999999301508</v>
      </c>
    </row>
    <row r="6300">
      <c r="A6300" s="234"/>
      <c r="B6300" s="238" t="str">
        <f>IFERROR(__xludf.DUMMYFUNCTION("""COMPUTED_VALUE"""),"LM Hub_RJ_Ilha do Governador")</f>
        <v>LM Hub_RJ_Ilha do Governador</v>
      </c>
      <c r="C6300" s="238" t="str">
        <f>IFERROR(__xludf.DUMMYFUNCTION("""COMPUTED_VALUE"""),"HUB-LRJ-32")</f>
        <v>HUB-LRJ-32</v>
      </c>
      <c r="D6300" s="234"/>
      <c r="E6300" s="237" t="str">
        <f>IFERROR(__xludf.DUMMYFUNCTION("""COMPUTED_VALUE"""),"LT0Q1V01XINB1")</f>
        <v>LT0Q1V01XINB1</v>
      </c>
      <c r="F6300" s="238" t="str">
        <f>IFERROR(__xludf.DUMMYFUNCTION("""COMPUTED_VALUE"""),"QHK5J11")</f>
        <v>QHK5J11</v>
      </c>
      <c r="G6300" s="238">
        <f>IFERROR(__xludf.DUMMYFUNCTION("""COMPUTED_VALUE"""),46053.0)</f>
        <v>46053</v>
      </c>
      <c r="H6300" s="238">
        <f>IFERROR(__xludf.DUMMYFUNCTION("""COMPUTED_VALUE"""),46053.08333333333)</f>
        <v>46053.08333</v>
      </c>
      <c r="J6300" s="239">
        <v>119.99999999301508</v>
      </c>
    </row>
    <row r="6301">
      <c r="A6301" s="234"/>
      <c r="B6301" s="238" t="str">
        <f>IFERROR(__xludf.DUMMYFUNCTION("""COMPUTED_VALUE"""),"LM Hub_SP_Tatuí")</f>
        <v>LM Hub_SP_Tatuí</v>
      </c>
      <c r="C6301" s="238" t="str">
        <f>IFERROR(__xludf.DUMMYFUNCTION("""COMPUTED_VALUE"""),"HUB-LSP-51")</f>
        <v>HUB-LSP-51</v>
      </c>
      <c r="D6301" s="234">
        <f>IFERROR(__xludf.DUMMYFUNCTION("""COMPUTED_VALUE"""),36.0)</f>
        <v>36</v>
      </c>
      <c r="E6301" s="237" t="str">
        <f>IFERROR(__xludf.DUMMYFUNCTION("""COMPUTED_VALUE"""),"LT0Q1V01XDFL1")</f>
        <v>LT0Q1V01XDFL1</v>
      </c>
      <c r="F6301" s="238" t="str">
        <f>IFERROR(__xludf.DUMMYFUNCTION("""COMPUTED_VALUE"""),"GHB5H18,FZB6G45")</f>
        <v>GHB5H18,FZB6G45</v>
      </c>
      <c r="G6301" s="238">
        <f>IFERROR(__xludf.DUMMYFUNCTION("""COMPUTED_VALUE"""),46053.0)</f>
        <v>46053</v>
      </c>
      <c r="H6301" s="238">
        <f>IFERROR(__xludf.DUMMYFUNCTION("""COMPUTED_VALUE"""),46053.08333333333)</f>
        <v>46053.08333</v>
      </c>
      <c r="J6301" s="239">
        <v>120.00000001396984</v>
      </c>
    </row>
    <row r="6302">
      <c r="A6302" s="234"/>
      <c r="B6302" s="238" t="str">
        <f>IFERROR(__xludf.DUMMYFUNCTION("""COMPUTED_VALUE"""),"LM Hub_MG_Varginha_Fausto")</f>
        <v>LM Hub_MG_Varginha_Fausto</v>
      </c>
      <c r="C6302" s="238" t="str">
        <f>IFERROR(__xludf.DUMMYFUNCTION("""COMPUTED_VALUE"""),"HUB-LMG-45")</f>
        <v>HUB-LMG-45</v>
      </c>
      <c r="D6302" s="234">
        <f>IFERROR(__xludf.DUMMYFUNCTION("""COMPUTED_VALUE"""),111.0)</f>
        <v>111</v>
      </c>
      <c r="E6302" s="237" t="str">
        <f>IFERROR(__xludf.DUMMYFUNCTION("""COMPUTED_VALUE"""),"LT0Q1V01XI391")</f>
        <v>LT0Q1V01XI391</v>
      </c>
      <c r="F6302" s="238" t="str">
        <f>IFERROR(__xludf.DUMMYFUNCTION("""COMPUTED_VALUE"""),"GGT7B46")</f>
        <v>GGT7B46</v>
      </c>
      <c r="G6302" s="238">
        <f>IFERROR(__xludf.DUMMYFUNCTION("""COMPUTED_VALUE"""),46053.02083333333)</f>
        <v>46053.02083</v>
      </c>
      <c r="H6302" s="238">
        <f>IFERROR(__xludf.DUMMYFUNCTION("""COMPUTED_VALUE"""),46053.10416666667)</f>
        <v>46053.10417</v>
      </c>
      <c r="J6302" s="239">
        <v>119.99999999301508</v>
      </c>
    </row>
    <row r="6303">
      <c r="A6303" s="234"/>
      <c r="B6303" s="238" t="str">
        <f>IFERROR(__xludf.DUMMYFUNCTION("""COMPUTED_VALUE"""),"SoC_PE_Jaboatão dos Guararapes")</f>
        <v>SoC_PE_Jaboatão dos Guararapes</v>
      </c>
      <c r="C6303" s="238" t="str">
        <f>IFERROR(__xludf.DUMMYFUNCTION("""COMPUTED_VALUE"""),"SOC-PE2")</f>
        <v>SOC-PE2</v>
      </c>
      <c r="D6303" s="234"/>
      <c r="E6303" s="237" t="str">
        <f>IFERROR(__xludf.DUMMYFUNCTION("""COMPUTED_VALUE"""),"LT1Q1V01Y3UM1")</f>
        <v>LT1Q1V01Y3UM1</v>
      </c>
      <c r="F6303" s="238" t="str">
        <f>IFERROR(__xludf.DUMMYFUNCTION("""COMPUTED_VALUE"""),"OGX9D47,PQF7B93")</f>
        <v>OGX9D47,PQF7B93</v>
      </c>
      <c r="G6303" s="238">
        <f>IFERROR(__xludf.DUMMYFUNCTION("""COMPUTED_VALUE"""),46053.04166666667)</f>
        <v>46053.04167</v>
      </c>
      <c r="H6303" s="238">
        <f>IFERROR(__xludf.DUMMYFUNCTION("""COMPUTED_VALUE"""),46053.125)</f>
        <v>46053.125</v>
      </c>
      <c r="J6303" s="239">
        <v>119.99999999301508</v>
      </c>
    </row>
    <row r="6304">
      <c r="A6304" s="234"/>
      <c r="B6304" s="238" t="str">
        <f>IFERROR(__xludf.DUMMYFUNCTION("""COMPUTED_VALUE"""),"SoC_PE_Jaboatão dos Guararapes")</f>
        <v>SoC_PE_Jaboatão dos Guararapes</v>
      </c>
      <c r="C6304" s="238" t="str">
        <f>IFERROR(__xludf.DUMMYFUNCTION("""COMPUTED_VALUE"""),"SOC-PE2")</f>
        <v>SOC-PE2</v>
      </c>
      <c r="D6304" s="234"/>
      <c r="E6304" s="237" t="str">
        <f>IFERROR(__xludf.DUMMYFUNCTION("""COMPUTED_VALUE"""),"LT1Q1V01XTL01")</f>
        <v>LT1Q1V01XTL01</v>
      </c>
      <c r="F6304" s="234"/>
      <c r="G6304" s="238">
        <f>IFERROR(__xludf.DUMMYFUNCTION("""COMPUTED_VALUE"""),46053.04166666667)</f>
        <v>46053.04167</v>
      </c>
      <c r="H6304" s="238">
        <f>IFERROR(__xludf.DUMMYFUNCTION("""COMPUTED_VALUE"""),46053.125)</f>
        <v>46053.125</v>
      </c>
      <c r="J6304" s="239">
        <v>540.0</v>
      </c>
    </row>
    <row r="6305">
      <c r="A6305" s="234"/>
      <c r="B6305" s="238" t="str">
        <f>IFERROR(__xludf.DUMMYFUNCTION("""COMPUTED_VALUE"""),"SoC_BA_Simoes Filho")</f>
        <v>SoC_BA_Simoes Filho</v>
      </c>
      <c r="C6305" s="238" t="str">
        <f>IFERROR(__xludf.DUMMYFUNCTION("""COMPUTED_VALUE"""),"SOC-BA2")</f>
        <v>SOC-BA2</v>
      </c>
      <c r="D6305" s="234"/>
      <c r="E6305" s="237" t="str">
        <f>IFERROR(__xludf.DUMMYFUNCTION("""COMPUTED_VALUE"""),"LT0Q1U01XIF51")</f>
        <v>LT0Q1U01XIF51</v>
      </c>
      <c r="F6305" s="238" t="str">
        <f>IFERROR(__xludf.DUMMYFUNCTION("""COMPUTED_VALUE"""),"OWK4H62,TLF8J44")</f>
        <v>OWK4H62,TLF8J44</v>
      </c>
      <c r="G6305" s="238">
        <f>IFERROR(__xludf.DUMMYFUNCTION("""COMPUTED_VALUE"""),46052.79166666667)</f>
        <v>46052.79167</v>
      </c>
      <c r="H6305" s="238">
        <f>IFERROR(__xludf.DUMMYFUNCTION("""COMPUTED_VALUE"""),46053.16666666667)</f>
        <v>46053.16667</v>
      </c>
      <c r="J6305" s="239">
        <v>540.0</v>
      </c>
    </row>
    <row r="6306">
      <c r="A6306" s="234"/>
      <c r="B6306" s="238" t="str">
        <f>IFERROR(__xludf.DUMMYFUNCTION("""COMPUTED_VALUE"""),"SoC_GO_Goiânia_02")</f>
        <v>SoC_GO_Goiânia_02</v>
      </c>
      <c r="C6306" s="238" t="str">
        <f>IFERROR(__xludf.DUMMYFUNCTION("""COMPUTED_VALUE"""),"SOC-GO2")</f>
        <v>SOC-GO2</v>
      </c>
      <c r="D6306" s="234" t="str">
        <f>IFERROR(__xludf.DUMMYFUNCTION("""COMPUTED_VALUE"""),"86/87")</f>
        <v>86/87</v>
      </c>
      <c r="E6306" s="237" t="str">
        <f>IFERROR(__xludf.DUMMYFUNCTION("""COMPUTED_VALUE"""),"LT0Q1U01XIQB1")</f>
        <v>LT0Q1U01XIQB1</v>
      </c>
      <c r="F6306" s="238" t="str">
        <f>IFERROR(__xludf.DUMMYFUNCTION("""COMPUTED_VALUE"""),"FQK8B25,EJZ5A94")</f>
        <v>FQK8B25,EJZ5A94</v>
      </c>
      <c r="G6306" s="238">
        <f>IFERROR(__xludf.DUMMYFUNCTION("""COMPUTED_VALUE"""),46052.79166666667)</f>
        <v>46052.79167</v>
      </c>
      <c r="H6306" s="238">
        <f>IFERROR(__xludf.DUMMYFUNCTION("""COMPUTED_VALUE"""),46053.16666666667)</f>
        <v>46053.16667</v>
      </c>
      <c r="J6306" s="239">
        <v>540.0</v>
      </c>
    </row>
    <row r="6307">
      <c r="A6307" s="234"/>
      <c r="B6307" s="238" t="str">
        <f>IFERROR(__xludf.DUMMYFUNCTION("""COMPUTED_VALUE"""),"SoC_GO_Goiânia_02")</f>
        <v>SoC_GO_Goiânia_02</v>
      </c>
      <c r="C6307" s="238" t="str">
        <f>IFERROR(__xludf.DUMMYFUNCTION("""COMPUTED_VALUE"""),"SOC-GO2")</f>
        <v>SOC-GO2</v>
      </c>
      <c r="D6307" s="234"/>
      <c r="E6307" s="237" t="str">
        <f>IFERROR(__xludf.DUMMYFUNCTION("""COMPUTED_VALUE"""),"LT0Q1U01XIQD2")</f>
        <v>LT0Q1U01XIQD2</v>
      </c>
      <c r="F6307" s="238" t="str">
        <f>IFERROR(__xludf.DUMMYFUNCTION("""COMPUTED_VALUE"""),"EFV4F12,DIL3024")</f>
        <v>EFV4F12,DIL3024</v>
      </c>
      <c r="G6307" s="238">
        <f>IFERROR(__xludf.DUMMYFUNCTION("""COMPUTED_VALUE"""),46052.79166666667)</f>
        <v>46052.79167</v>
      </c>
      <c r="H6307" s="238">
        <f>IFERROR(__xludf.DUMMYFUNCTION("""COMPUTED_VALUE"""),46053.16666666667)</f>
        <v>46053.16667</v>
      </c>
      <c r="J6307" s="239">
        <v>540.0</v>
      </c>
    </row>
    <row r="6308">
      <c r="A6308" s="234"/>
      <c r="B6308" s="238" t="str">
        <f>IFERROR(__xludf.DUMMYFUNCTION("""COMPUTED_VALUE"""),"SoC_MG_Betim")</f>
        <v>SoC_MG_Betim</v>
      </c>
      <c r="C6308" s="238" t="str">
        <f>IFERROR(__xludf.DUMMYFUNCTION("""COMPUTED_VALUE"""),"SOC-MG2")</f>
        <v>SOC-MG2</v>
      </c>
      <c r="D6308" s="234"/>
      <c r="E6308" s="237" t="str">
        <f>IFERROR(__xludf.DUMMYFUNCTION("""COMPUTED_VALUE"""),"LT0Q1U01XDAB2")</f>
        <v>LT0Q1U01XDAB2</v>
      </c>
      <c r="F6308" s="238" t="str">
        <f>IFERROR(__xludf.DUMMYFUNCTION("""COMPUTED_VALUE"""),"SWX1C68,TBC8A43")</f>
        <v>SWX1C68,TBC8A43</v>
      </c>
      <c r="G6308" s="238">
        <f>IFERROR(__xludf.DUMMYFUNCTION("""COMPUTED_VALUE"""),46052.79166666667)</f>
        <v>46052.79167</v>
      </c>
      <c r="H6308" s="238">
        <f>IFERROR(__xludf.DUMMYFUNCTION("""COMPUTED_VALUE"""),46053.16666666667)</f>
        <v>46053.16667</v>
      </c>
      <c r="J6308" s="239">
        <v>540.0</v>
      </c>
    </row>
    <row r="6309">
      <c r="A6309" s="234"/>
      <c r="B6309" s="238" t="str">
        <f>IFERROR(__xludf.DUMMYFUNCTION("""COMPUTED_VALUE"""),"SoC_MG_Betim")</f>
        <v>SoC_MG_Betim</v>
      </c>
      <c r="C6309" s="238" t="str">
        <f>IFERROR(__xludf.DUMMYFUNCTION("""COMPUTED_VALUE"""),"SOC-MG2")</f>
        <v>SOC-MG2</v>
      </c>
      <c r="D6309" s="234"/>
      <c r="E6309" s="237" t="str">
        <f>IFERROR(__xludf.DUMMYFUNCTION("""COMPUTED_VALUE"""),"LT0Q1U01XDAD3")</f>
        <v>LT0Q1U01XDAD3</v>
      </c>
      <c r="F6309" s="238" t="str">
        <f>IFERROR(__xludf.DUMMYFUNCTION("""COMPUTED_VALUE"""),"SVM9C81,EZU2C31")</f>
        <v>SVM9C81,EZU2C31</v>
      </c>
      <c r="G6309" s="238">
        <f>IFERROR(__xludf.DUMMYFUNCTION("""COMPUTED_VALUE"""),46052.79166666667)</f>
        <v>46052.79167</v>
      </c>
      <c r="H6309" s="238">
        <f>IFERROR(__xludf.DUMMYFUNCTION("""COMPUTED_VALUE"""),46053.16666666667)</f>
        <v>46053.16667</v>
      </c>
      <c r="J6309" s="239">
        <v>540.0</v>
      </c>
    </row>
    <row r="6310">
      <c r="A6310" s="234"/>
      <c r="B6310" s="238" t="str">
        <f>IFERROR(__xludf.DUMMYFUNCTION("""COMPUTED_VALUE"""),"SoC_PE_Jaboatão dos Guararapes")</f>
        <v>SoC_PE_Jaboatão dos Guararapes</v>
      </c>
      <c r="C6310" s="238" t="str">
        <f>IFERROR(__xludf.DUMMYFUNCTION("""COMPUTED_VALUE"""),"SOC-PE2")</f>
        <v>SOC-PE2</v>
      </c>
      <c r="D6310" s="234">
        <f>IFERROR(__xludf.DUMMYFUNCTION("""COMPUTED_VALUE"""),99.0)</f>
        <v>99</v>
      </c>
      <c r="E6310" s="237" t="str">
        <f>IFERROR(__xludf.DUMMYFUNCTION("""COMPUTED_VALUE"""),"LT0Q1U01XIBZ2")</f>
        <v>LT0Q1U01XIBZ2</v>
      </c>
      <c r="F6310" s="238" t="str">
        <f>IFERROR(__xludf.DUMMYFUNCTION("""COMPUTED_VALUE"""),"QWW2B04,TEJ7G21")</f>
        <v>QWW2B04,TEJ7G21</v>
      </c>
      <c r="G6310" s="238">
        <f>IFERROR(__xludf.DUMMYFUNCTION("""COMPUTED_VALUE"""),46052.79166666667)</f>
        <v>46052.79167</v>
      </c>
      <c r="H6310" s="238">
        <f>IFERROR(__xludf.DUMMYFUNCTION("""COMPUTED_VALUE"""),46053.16666666667)</f>
        <v>46053.16667</v>
      </c>
      <c r="J6310" s="239">
        <v>540.0</v>
      </c>
    </row>
    <row r="6311">
      <c r="A6311" s="234"/>
      <c r="B6311" s="238" t="str">
        <f>IFERROR(__xludf.DUMMYFUNCTION("""COMPUTED_VALUE"""),"SoC_RJ_Duque de Caxias")</f>
        <v>SoC_RJ_Duque de Caxias</v>
      </c>
      <c r="C6311" s="238" t="str">
        <f>IFERROR(__xludf.DUMMYFUNCTION("""COMPUTED_VALUE"""),"SOC-RJ2")</f>
        <v>SOC-RJ2</v>
      </c>
      <c r="D6311" s="234">
        <f>IFERROR(__xludf.DUMMYFUNCTION("""COMPUTED_VALUE"""),97.0)</f>
        <v>97</v>
      </c>
      <c r="E6311" s="237" t="str">
        <f>IFERROR(__xludf.DUMMYFUNCTION("""COMPUTED_VALUE"""),"LT1Q1U01XTKY1")</f>
        <v>LT1Q1U01XTKY1</v>
      </c>
      <c r="F6311" s="238" t="str">
        <f>IFERROR(__xludf.DUMMYFUNCTION("""COMPUTED_VALUE"""),"TJO9D99,SWI3G77")</f>
        <v>TJO9D99,SWI3G77</v>
      </c>
      <c r="G6311" s="238">
        <f>IFERROR(__xludf.DUMMYFUNCTION("""COMPUTED_VALUE"""),46052.79166666667)</f>
        <v>46052.79167</v>
      </c>
      <c r="H6311" s="238">
        <f>IFERROR(__xludf.DUMMYFUNCTION("""COMPUTED_VALUE"""),46053.16666666667)</f>
        <v>46053.16667</v>
      </c>
      <c r="J6311" s="239">
        <v>540.0</v>
      </c>
    </row>
    <row r="6312">
      <c r="A6312" s="234"/>
      <c r="B6312" s="238" t="str">
        <f>IFERROR(__xludf.DUMMYFUNCTION("""COMPUTED_VALUE"""),"SoC_RJ_Duque de Caxias")</f>
        <v>SoC_RJ_Duque de Caxias</v>
      </c>
      <c r="C6312" s="238" t="str">
        <f>IFERROR(__xludf.DUMMYFUNCTION("""COMPUTED_VALUE"""),"SOC-RJ2")</f>
        <v>SOC-RJ2</v>
      </c>
      <c r="D6312" s="234"/>
      <c r="E6312" s="237" t="str">
        <f>IFERROR(__xludf.DUMMYFUNCTION("""COMPUTED_VALUE"""),"LT0Q1U01XF8V2")</f>
        <v>LT0Q1U01XF8V2</v>
      </c>
      <c r="F6312" s="238" t="str">
        <f>IFERROR(__xludf.DUMMYFUNCTION("""COMPUTED_VALUE"""),"BZF4B42,ATP5H78")</f>
        <v>BZF4B42,ATP5H78</v>
      </c>
      <c r="G6312" s="238">
        <f>IFERROR(__xludf.DUMMYFUNCTION("""COMPUTED_VALUE"""),46052.79166666667)</f>
        <v>46052.79167</v>
      </c>
      <c r="H6312" s="238">
        <f>IFERROR(__xludf.DUMMYFUNCTION("""COMPUTED_VALUE"""),46053.16666666667)</f>
        <v>46053.16667</v>
      </c>
      <c r="J6312" s="239">
        <v>540.0</v>
      </c>
    </row>
    <row r="6313">
      <c r="A6313" s="234"/>
      <c r="B6313" s="238" t="str">
        <f>IFERROR(__xludf.DUMMYFUNCTION("""COMPUTED_VALUE"""),"SoC_RS_Gravataí_02")</f>
        <v>SoC_RS_Gravataí_02</v>
      </c>
      <c r="C6313" s="238" t="str">
        <f>IFERROR(__xludf.DUMMYFUNCTION("""COMPUTED_VALUE"""),"SOC-RS2")</f>
        <v>SOC-RS2</v>
      </c>
      <c r="D6313" s="234"/>
      <c r="E6313" s="237" t="str">
        <f>IFERROR(__xludf.DUMMYFUNCTION("""COMPUTED_VALUE"""),"LT1Q1U01XTKZ1")</f>
        <v>LT1Q1U01XTKZ1</v>
      </c>
      <c r="F6313" s="238" t="str">
        <f>IFERROR(__xludf.DUMMYFUNCTION("""COMPUTED_VALUE"""),"IOJ1F31,IMM3A92")</f>
        <v>IOJ1F31,IMM3A92</v>
      </c>
      <c r="G6313" s="238">
        <f>IFERROR(__xludf.DUMMYFUNCTION("""COMPUTED_VALUE"""),46052.79166666667)</f>
        <v>46052.79167</v>
      </c>
      <c r="H6313" s="238">
        <f>IFERROR(__xludf.DUMMYFUNCTION("""COMPUTED_VALUE"""),46053.16666666667)</f>
        <v>46053.16667</v>
      </c>
      <c r="J6313" s="239">
        <v>540.0</v>
      </c>
    </row>
    <row r="6314">
      <c r="A6314" s="234"/>
      <c r="B6314" s="238" t="str">
        <f>IFERROR(__xludf.DUMMYFUNCTION("""COMPUTED_VALUE"""),"SoC_RS_Gravataí_02")</f>
        <v>SoC_RS_Gravataí_02</v>
      </c>
      <c r="C6314" s="238" t="str">
        <f>IFERROR(__xludf.DUMMYFUNCTION("""COMPUTED_VALUE"""),"SOC-RS2")</f>
        <v>SOC-RS2</v>
      </c>
      <c r="D6314" s="234"/>
      <c r="E6314" s="237" t="str">
        <f>IFERROR(__xludf.DUMMYFUNCTION("""COMPUTED_VALUE"""),"LT1Q1U01Y3UO1")</f>
        <v>LT1Q1U01Y3UO1</v>
      </c>
      <c r="F6314" s="238" t="str">
        <f>IFERROR(__xludf.DUMMYFUNCTION("""COMPUTED_VALUE"""),"IOJ1F31,IMM3A92")</f>
        <v>IOJ1F31,IMM3A92</v>
      </c>
      <c r="G6314" s="238">
        <f>IFERROR(__xludf.DUMMYFUNCTION("""COMPUTED_VALUE"""),46052.79166666667)</f>
        <v>46052.79167</v>
      </c>
      <c r="H6314" s="238">
        <f>IFERROR(__xludf.DUMMYFUNCTION("""COMPUTED_VALUE"""),46053.16666666667)</f>
        <v>46053.16667</v>
      </c>
      <c r="J6314" s="239">
        <v>540.0</v>
      </c>
    </row>
    <row r="6315">
      <c r="A6315" s="234"/>
      <c r="B6315" s="238" t="str">
        <f>IFERROR(__xludf.DUMMYFUNCTION("""COMPUTED_VALUE"""),"SoC_SC_Itajaí")</f>
        <v>SoC_SC_Itajaí</v>
      </c>
      <c r="C6315" s="238" t="str">
        <f>IFERROR(__xludf.DUMMYFUNCTION("""COMPUTED_VALUE"""),"SOC-SC1")</f>
        <v>SOC-SC1</v>
      </c>
      <c r="D6315" s="234">
        <f>IFERROR(__xludf.DUMMYFUNCTION("""COMPUTED_VALUE"""),101.0)</f>
        <v>101</v>
      </c>
      <c r="E6315" s="237" t="str">
        <f>IFERROR(__xludf.DUMMYFUNCTION("""COMPUTED_VALUE"""),"LT0Q1U01XHHW1")</f>
        <v>LT0Q1U01XHHW1</v>
      </c>
      <c r="F6315" s="238" t="str">
        <f>IFERROR(__xludf.DUMMYFUNCTION("""COMPUTED_VALUE"""),"RLH2B54,RAJ1147")</f>
        <v>RLH2B54,RAJ1147</v>
      </c>
      <c r="G6315" s="238">
        <f>IFERROR(__xludf.DUMMYFUNCTION("""COMPUTED_VALUE"""),46052.79166666667)</f>
        <v>46052.79167</v>
      </c>
      <c r="H6315" s="238">
        <f>IFERROR(__xludf.DUMMYFUNCTION("""COMPUTED_VALUE"""),46053.16666666667)</f>
        <v>46053.16667</v>
      </c>
      <c r="J6315" s="239">
        <v>540.0</v>
      </c>
    </row>
    <row r="6316">
      <c r="A6316" s="234"/>
      <c r="B6316" s="238" t="str">
        <f>IFERROR(__xludf.DUMMYFUNCTION("""COMPUTED_VALUE"""),"SoC_SC_Itajaí")</f>
        <v>SoC_SC_Itajaí</v>
      </c>
      <c r="C6316" s="238" t="str">
        <f>IFERROR(__xludf.DUMMYFUNCTION("""COMPUTED_VALUE"""),"SOC-SC1")</f>
        <v>SOC-SC1</v>
      </c>
      <c r="D6316" s="234">
        <f>IFERROR(__xludf.DUMMYFUNCTION("""COMPUTED_VALUE"""),100.0)</f>
        <v>100</v>
      </c>
      <c r="E6316" s="237" t="str">
        <f>IFERROR(__xludf.DUMMYFUNCTION("""COMPUTED_VALUE"""),"LT0Q1U01XHHY2")</f>
        <v>LT0Q1U01XHHY2</v>
      </c>
      <c r="F6316" s="238" t="str">
        <f>IFERROR(__xludf.DUMMYFUNCTION("""COMPUTED_VALUE"""),"SXE7E67,SXN1H17")</f>
        <v>SXE7E67,SXN1H17</v>
      </c>
      <c r="G6316" s="238">
        <f>IFERROR(__xludf.DUMMYFUNCTION("""COMPUTED_VALUE"""),46052.79166666667)</f>
        <v>46052.79167</v>
      </c>
      <c r="H6316" s="238">
        <f>IFERROR(__xludf.DUMMYFUNCTION("""COMPUTED_VALUE"""),46053.16666666667)</f>
        <v>46053.16667</v>
      </c>
      <c r="J6316" s="239">
        <v>540.0</v>
      </c>
    </row>
    <row r="6317">
      <c r="A6317" s="234"/>
      <c r="B6317" s="238" t="str">
        <f>IFERROR(__xludf.DUMMYFUNCTION("""COMPUTED_VALUE"""),"SoC_SP_Cravinhos")</f>
        <v>SoC_SP_Cravinhos</v>
      </c>
      <c r="C6317" s="238" t="str">
        <f>IFERROR(__xludf.DUMMYFUNCTION("""COMPUTED_VALUE"""),"SOC-SP5")</f>
        <v>SOC-SP5</v>
      </c>
      <c r="D6317" s="234">
        <f>IFERROR(__xludf.DUMMYFUNCTION("""COMPUTED_VALUE"""),94.0)</f>
        <v>94</v>
      </c>
      <c r="E6317" s="237" t="str">
        <f>IFERROR(__xludf.DUMMYFUNCTION("""COMPUTED_VALUE"""),"LT0Q1U01XDC91")</f>
        <v>LT0Q1U01XDC91</v>
      </c>
      <c r="F6317" s="238" t="str">
        <f>IFERROR(__xludf.DUMMYFUNCTION("""COMPUTED_VALUE"""),"OWU2H12,TKF7A41")</f>
        <v>OWU2H12,TKF7A41</v>
      </c>
      <c r="G6317" s="238">
        <f>IFERROR(__xludf.DUMMYFUNCTION("""COMPUTED_VALUE"""),46052.79166666667)</f>
        <v>46052.79167</v>
      </c>
      <c r="H6317" s="238">
        <f>IFERROR(__xludf.DUMMYFUNCTION("""COMPUTED_VALUE"""),46053.16666666667)</f>
        <v>46053.16667</v>
      </c>
      <c r="J6317" s="239">
        <v>119.99999999301508</v>
      </c>
    </row>
    <row r="6318">
      <c r="A6318" s="234"/>
      <c r="B6318" s="238" t="str">
        <f>IFERROR(__xludf.DUMMYFUNCTION("""COMPUTED_VALUE"""),"LM Hub_SP_Itapetininga")</f>
        <v>LM Hub_SP_Itapetininga</v>
      </c>
      <c r="C6318" s="238" t="str">
        <f>IFERROR(__xludf.DUMMYFUNCTION("""COMPUTED_VALUE"""),"HUB-LSP-53")</f>
        <v>HUB-LSP-53</v>
      </c>
      <c r="D6318" s="234">
        <f>IFERROR(__xludf.DUMMYFUNCTION("""COMPUTED_VALUE"""),14.0)</f>
        <v>14</v>
      </c>
      <c r="E6318" s="237" t="str">
        <f>IFERROR(__xludf.DUMMYFUNCTION("""COMPUTED_VALUE"""),"LT0Q1V01XDFG1")</f>
        <v>LT0Q1V01XDFG1</v>
      </c>
      <c r="F6318" s="238" t="str">
        <f>IFERROR(__xludf.DUMMYFUNCTION("""COMPUTED_VALUE"""),"FZY3F48")</f>
        <v>FZY3F48</v>
      </c>
      <c r="G6318" s="238">
        <f>IFERROR(__xludf.DUMMYFUNCTION("""COMPUTED_VALUE"""),46053.10416666667)</f>
        <v>46053.10417</v>
      </c>
      <c r="H6318" s="238">
        <f>IFERROR(__xludf.DUMMYFUNCTION("""COMPUTED_VALUE"""),46053.1875)</f>
        <v>46053.1875</v>
      </c>
      <c r="J6318" s="239">
        <v>119.99999999301508</v>
      </c>
    </row>
    <row r="6319">
      <c r="A6319" s="234"/>
      <c r="B6319" s="238" t="str">
        <f>IFERROR(__xludf.DUMMYFUNCTION("""COMPUTED_VALUE"""),"LM Hub_SP_São Carlos")</f>
        <v>LM Hub_SP_São Carlos</v>
      </c>
      <c r="C6319" s="238" t="str">
        <f>IFERROR(__xludf.DUMMYFUNCTION("""COMPUTED_VALUE"""),"HUB-LSP-31")</f>
        <v>HUB-LSP-31</v>
      </c>
      <c r="D6319" s="234">
        <f>IFERROR(__xludf.DUMMYFUNCTION("""COMPUTED_VALUE"""),9.0)</f>
        <v>9</v>
      </c>
      <c r="E6319" s="237" t="str">
        <f>IFERROR(__xludf.DUMMYFUNCTION("""COMPUTED_VALUE"""),"LT0Q1V01XDHZ1")</f>
        <v>LT0Q1V01XDHZ1</v>
      </c>
      <c r="F6319" s="238" t="str">
        <f>IFERROR(__xludf.DUMMYFUNCTION("""COMPUTED_VALUE"""),"EGK7D60")</f>
        <v>EGK7D60</v>
      </c>
      <c r="G6319" s="238">
        <f>IFERROR(__xludf.DUMMYFUNCTION("""COMPUTED_VALUE"""),46053.10416666667)</f>
        <v>46053.10417</v>
      </c>
      <c r="H6319" s="238">
        <f>IFERROR(__xludf.DUMMYFUNCTION("""COMPUTED_VALUE"""),46053.1875)</f>
        <v>46053.1875</v>
      </c>
      <c r="J6319" s="239">
        <v>419.99999998603016</v>
      </c>
    </row>
    <row r="6320">
      <c r="A6320" s="234"/>
      <c r="B6320" s="238" t="str">
        <f>IFERROR(__xludf.DUMMYFUNCTION("""COMPUTED_VALUE"""),"SoC_PR_Curitiba")</f>
        <v>SoC_PR_Curitiba</v>
      </c>
      <c r="C6320" s="238" t="str">
        <f>IFERROR(__xludf.DUMMYFUNCTION("""COMPUTED_VALUE"""),"SOC-PR1")</f>
        <v>SOC-PR1</v>
      </c>
      <c r="D6320" s="234">
        <f>IFERROR(__xludf.DUMMYFUNCTION("""COMPUTED_VALUE"""),45.0)</f>
        <v>45</v>
      </c>
      <c r="E6320" s="237" t="str">
        <f>IFERROR(__xludf.DUMMYFUNCTION("""COMPUTED_VALUE"""),"LT1Q1U01XT1Z1")</f>
        <v>LT1Q1U01XT1Z1</v>
      </c>
      <c r="F6320" s="238" t="str">
        <f>IFERROR(__xludf.DUMMYFUNCTION("""COMPUTED_VALUE"""),"TAT3H09,AXD6707")</f>
        <v>TAT3H09,AXD6707</v>
      </c>
      <c r="G6320" s="238">
        <f>IFERROR(__xludf.DUMMYFUNCTION("""COMPUTED_VALUE"""),46052.91666666667)</f>
        <v>46052.91667</v>
      </c>
      <c r="H6320" s="238">
        <f>IFERROR(__xludf.DUMMYFUNCTION("""COMPUTED_VALUE"""),46053.20833333333)</f>
        <v>46053.20833</v>
      </c>
      <c r="J6320" s="239">
        <v>119.99999999301508</v>
      </c>
    </row>
    <row r="6321">
      <c r="A6321" s="234"/>
      <c r="B6321" s="238" t="str">
        <f>IFERROR(__xludf.DUMMYFUNCTION("""COMPUTED_VALUE"""),"LM Hub_SP_Itapeva")</f>
        <v>LM Hub_SP_Itapeva</v>
      </c>
      <c r="C6321" s="238" t="str">
        <f>IFERROR(__xludf.DUMMYFUNCTION("""COMPUTED_VALUE"""),"HUB-LSP-39")</f>
        <v>HUB-LSP-39</v>
      </c>
      <c r="D6321" s="234">
        <f>IFERROR(__xludf.DUMMYFUNCTION("""COMPUTED_VALUE"""),34.0)</f>
        <v>34</v>
      </c>
      <c r="E6321" s="237" t="str">
        <f>IFERROR(__xludf.DUMMYFUNCTION("""COMPUTED_VALUE"""),"LT0Q1V01XDFQ1")</f>
        <v>LT0Q1V01XDFQ1</v>
      </c>
      <c r="F6321" s="238" t="str">
        <f>IFERROR(__xludf.DUMMYFUNCTION("""COMPUTED_VALUE"""),"FCT0F31")</f>
        <v>FCT0F31</v>
      </c>
      <c r="G6321" s="238">
        <f>IFERROR(__xludf.DUMMYFUNCTION("""COMPUTED_VALUE"""),46053.125)</f>
        <v>46053.125</v>
      </c>
      <c r="H6321" s="238">
        <f>IFERROR(__xludf.DUMMYFUNCTION("""COMPUTED_VALUE"""),46053.20833333333)</f>
        <v>46053.20833</v>
      </c>
      <c r="J6321" s="239">
        <v>119.99999999301508</v>
      </c>
    </row>
    <row r="6322">
      <c r="A6322" s="234"/>
      <c r="B6322" s="238" t="str">
        <f>IFERROR(__xludf.DUMMYFUNCTION("""COMPUTED_VALUE"""),"LM Hub_SP_Sumaré_Nova Veneza_1")</f>
        <v>LM Hub_SP_Sumaré_Nova Veneza_1</v>
      </c>
      <c r="C6322" s="238" t="str">
        <f>IFERROR(__xludf.DUMMYFUNCTION("""COMPUTED_VALUE"""),"HUB-LSP-88")</f>
        <v>HUB-LSP-88</v>
      </c>
      <c r="D6322" s="234">
        <f>IFERROR(__xludf.DUMMYFUNCTION("""COMPUTED_VALUE"""),26.0)</f>
        <v>26</v>
      </c>
      <c r="E6322" s="237" t="str">
        <f>IFERROR(__xludf.DUMMYFUNCTION("""COMPUTED_VALUE"""),"LT0Q1V01XHYK1")</f>
        <v>LT0Q1V01XHYK1</v>
      </c>
      <c r="F6322" s="238" t="str">
        <f>IFERROR(__xludf.DUMMYFUNCTION("""COMPUTED_VALUE"""),"ENZ4737")</f>
        <v>ENZ4737</v>
      </c>
      <c r="G6322" s="238">
        <f>IFERROR(__xludf.DUMMYFUNCTION("""COMPUTED_VALUE"""),46053.125)</f>
        <v>46053.125</v>
      </c>
      <c r="H6322" s="238">
        <f>IFERROR(__xludf.DUMMYFUNCTION("""COMPUTED_VALUE"""),46053.20833333333)</f>
        <v>46053.20833</v>
      </c>
      <c r="J6322" s="239">
        <v>119.99999999301508</v>
      </c>
    </row>
    <row r="6323">
      <c r="A6323" s="234"/>
      <c r="B6323" s="238" t="str">
        <f>IFERROR(__xludf.DUMMYFUNCTION("""COMPUTED_VALUE"""),"SoC_PE_Jaboatão dos Guararapes")</f>
        <v>SoC_PE_Jaboatão dos Guararapes</v>
      </c>
      <c r="C6323" s="238" t="str">
        <f>IFERROR(__xludf.DUMMYFUNCTION("""COMPUTED_VALUE"""),"SOC-PE2")</f>
        <v>SOC-PE2</v>
      </c>
      <c r="D6323" s="234"/>
      <c r="E6323" s="237" t="str">
        <f>IFERROR(__xludf.DUMMYFUNCTION("""COMPUTED_VALUE"""),"LT1Q1V01Y3UN1")</f>
        <v>LT1Q1V01Y3UN1</v>
      </c>
      <c r="F6323" s="238" t="str">
        <f>IFERROR(__xludf.DUMMYFUNCTION("""COMPUTED_VALUE"""),"SYY8B52,TCC4B02")</f>
        <v>SYY8B52,TCC4B02</v>
      </c>
      <c r="G6323" s="238">
        <f>IFERROR(__xludf.DUMMYFUNCTION("""COMPUTED_VALUE"""),46053.125)</f>
        <v>46053.125</v>
      </c>
      <c r="H6323" s="238">
        <f>IFERROR(__xludf.DUMMYFUNCTION("""COMPUTED_VALUE"""),46053.20833333333)</f>
        <v>46053.20833</v>
      </c>
      <c r="J6323" s="239">
        <v>119.99999999301508</v>
      </c>
    </row>
    <row r="6324">
      <c r="A6324" s="234"/>
      <c r="B6324" s="238" t="str">
        <f>IFERROR(__xludf.DUMMYFUNCTION("""COMPUTED_VALUE"""),"SoC_PE_Jaboatão dos Guararapes")</f>
        <v>SoC_PE_Jaboatão dos Guararapes</v>
      </c>
      <c r="C6324" s="238" t="str">
        <f>IFERROR(__xludf.DUMMYFUNCTION("""COMPUTED_VALUE"""),"SOC-PE2")</f>
        <v>SOC-PE2</v>
      </c>
      <c r="D6324" s="234"/>
      <c r="E6324" s="237" t="str">
        <f>IFERROR(__xludf.DUMMYFUNCTION("""COMPUTED_VALUE"""),"LT1Q1V01XTL11")</f>
        <v>LT1Q1V01XTL11</v>
      </c>
      <c r="F6324" s="234"/>
      <c r="G6324" s="238">
        <f>IFERROR(__xludf.DUMMYFUNCTION("""COMPUTED_VALUE"""),46053.125)</f>
        <v>46053.125</v>
      </c>
      <c r="H6324" s="238">
        <f>IFERROR(__xludf.DUMMYFUNCTION("""COMPUTED_VALUE"""),46053.20833333333)</f>
        <v>46053.20833</v>
      </c>
      <c r="J6324" s="239">
        <v>119.99999999301508</v>
      </c>
    </row>
    <row r="6325">
      <c r="A6325" s="234"/>
      <c r="B6325" s="238" t="str">
        <f>IFERROR(__xludf.DUMMYFUNCTION("""COMPUTED_VALUE"""),"SoC_SP_Louveira")</f>
        <v>SoC_SP_Louveira</v>
      </c>
      <c r="C6325" s="238" t="str">
        <f>IFERROR(__xludf.DUMMYFUNCTION("""COMPUTED_VALUE"""),"SOC-SP7")</f>
        <v>SOC-SP7</v>
      </c>
      <c r="D6325" s="234"/>
      <c r="E6325" s="237" t="str">
        <f>IFERROR(__xludf.DUMMYFUNCTION("""COMPUTED_VALUE"""),"LT0Q1U01XDD51")</f>
        <v>LT0Q1U01XDD51</v>
      </c>
      <c r="F6325" s="238" t="str">
        <f>IFERROR(__xludf.DUMMYFUNCTION("""COMPUTED_VALUE"""),"ACU0C29,FFK5H72")</f>
        <v>ACU0C29,FFK5H72</v>
      </c>
      <c r="G6325" s="238">
        <f>IFERROR(__xludf.DUMMYFUNCTION("""COMPUTED_VALUE"""),46053.125)</f>
        <v>46053.125</v>
      </c>
      <c r="H6325" s="238">
        <f>IFERROR(__xludf.DUMMYFUNCTION("""COMPUTED_VALUE"""),46053.20833333333)</f>
        <v>46053.20833</v>
      </c>
      <c r="J6325" s="239">
        <v>120.00000001396984</v>
      </c>
    </row>
    <row r="6326">
      <c r="A6326" s="234"/>
      <c r="B6326" s="238" t="str">
        <f>IFERROR(__xludf.DUMMYFUNCTION("""COMPUTED_VALUE"""),"LM Hub_SP_Campinas_São Martinho")</f>
        <v>LM Hub_SP_Campinas_São Martinho</v>
      </c>
      <c r="C6326" s="238" t="str">
        <f>IFERROR(__xludf.DUMMYFUNCTION("""COMPUTED_VALUE"""),"HUB-LSP-19")</f>
        <v>HUB-LSP-19</v>
      </c>
      <c r="D6326" s="234">
        <f>IFERROR(__xludf.DUMMYFUNCTION("""COMPUTED_VALUE"""),110.0)</f>
        <v>110</v>
      </c>
      <c r="E6326" s="237" t="str">
        <f>IFERROR(__xludf.DUMMYFUNCTION("""COMPUTED_VALUE"""),"LT0Q1V01XDJQ1")</f>
        <v>LT0Q1V01XDJQ1</v>
      </c>
      <c r="F6326" s="238" t="str">
        <f>IFERROR(__xludf.DUMMYFUNCTION("""COMPUTED_VALUE"""),"GCJ6G71")</f>
        <v>GCJ6G71</v>
      </c>
      <c r="G6326" s="238">
        <f>IFERROR(__xludf.DUMMYFUNCTION("""COMPUTED_VALUE"""),46053.14583333333)</f>
        <v>46053.14583</v>
      </c>
      <c r="H6326" s="238">
        <f>IFERROR(__xludf.DUMMYFUNCTION("""COMPUTED_VALUE"""),46053.22916666667)</f>
        <v>46053.22917</v>
      </c>
      <c r="J6326" s="239">
        <v>120.00000001396984</v>
      </c>
    </row>
    <row r="6327">
      <c r="A6327" s="234"/>
      <c r="B6327" s="238" t="str">
        <f>IFERROR(__xludf.DUMMYFUNCTION("""COMPUTED_VALUE"""),"LM Hub_SP_Mogi Mirim")</f>
        <v>LM Hub_SP_Mogi Mirim</v>
      </c>
      <c r="C6327" s="238" t="str">
        <f>IFERROR(__xludf.DUMMYFUNCTION("""COMPUTED_VALUE"""),"HUB-LSP-37")</f>
        <v>HUB-LSP-37</v>
      </c>
      <c r="D6327" s="234">
        <f>IFERROR(__xludf.DUMMYFUNCTION("""COMPUTED_VALUE"""),18.0)</f>
        <v>18</v>
      </c>
      <c r="E6327" s="237" t="str">
        <f>IFERROR(__xludf.DUMMYFUNCTION("""COMPUTED_VALUE"""),"LT0Q1V01XDIA1")</f>
        <v>LT0Q1V01XDIA1</v>
      </c>
      <c r="F6327" s="238" t="str">
        <f>IFERROR(__xludf.DUMMYFUNCTION("""COMPUTED_VALUE"""),"STO4D24,SWG3F74")</f>
        <v>STO4D24,SWG3F74</v>
      </c>
      <c r="G6327" s="238">
        <f>IFERROR(__xludf.DUMMYFUNCTION("""COMPUTED_VALUE"""),46053.14583333333)</f>
        <v>46053.14583</v>
      </c>
      <c r="H6327" s="238">
        <f>IFERROR(__xludf.DUMMYFUNCTION("""COMPUTED_VALUE"""),46053.22916666667)</f>
        <v>46053.22917</v>
      </c>
      <c r="J6327" s="239">
        <v>119.99999999301508</v>
      </c>
    </row>
    <row r="6328">
      <c r="A6328" s="234"/>
      <c r="B6328" s="238" t="str">
        <f>IFERROR(__xludf.DUMMYFUNCTION("""COMPUTED_VALUE"""),"LM Hub_SP_Guaratinguetá")</f>
        <v>LM Hub_SP_Guaratinguetá</v>
      </c>
      <c r="C6328" s="238" t="str">
        <f>IFERROR(__xludf.DUMMYFUNCTION("""COMPUTED_VALUE"""),"HUB-LSP-33")</f>
        <v>HUB-LSP-33</v>
      </c>
      <c r="D6328" s="234">
        <f>IFERROR(__xludf.DUMMYFUNCTION("""COMPUTED_VALUE"""),25.0)</f>
        <v>25</v>
      </c>
      <c r="E6328" s="237" t="str">
        <f>IFERROR(__xludf.DUMMYFUNCTION("""COMPUTED_VALUE"""),"LT0Q1V01XDGJ1")</f>
        <v>LT0Q1V01XDGJ1</v>
      </c>
      <c r="F6328" s="238" t="str">
        <f>IFERROR(__xludf.DUMMYFUNCTION("""COMPUTED_VALUE"""),"SWQ6D05,SWG3J97")</f>
        <v>SWQ6D05,SWG3J97</v>
      </c>
      <c r="G6328" s="238">
        <f>IFERROR(__xludf.DUMMYFUNCTION("""COMPUTED_VALUE"""),46053.16666666667)</f>
        <v>46053.16667</v>
      </c>
      <c r="H6328" s="238">
        <f>IFERROR(__xludf.DUMMYFUNCTION("""COMPUTED_VALUE"""),46053.25)</f>
        <v>46053.25</v>
      </c>
      <c r="J6328" s="239">
        <v>119.99999999301508</v>
      </c>
    </row>
    <row r="6329">
      <c r="A6329" s="234"/>
      <c r="B6329" s="238" t="str">
        <f>IFERROR(__xludf.DUMMYFUNCTION("""COMPUTED_VALUE"""),"LM Hub_SP_Limeira_Campo Belo")</f>
        <v>LM Hub_SP_Limeira_Campo Belo</v>
      </c>
      <c r="C6329" s="238" t="str">
        <f>IFERROR(__xludf.DUMMYFUNCTION("""COMPUTED_VALUE"""),"HUB-LSP-24")</f>
        <v>HUB-LSP-24</v>
      </c>
      <c r="D6329" s="234">
        <f>IFERROR(__xludf.DUMMYFUNCTION("""COMPUTED_VALUE"""),12.0)</f>
        <v>12</v>
      </c>
      <c r="E6329" s="237" t="str">
        <f>IFERROR(__xludf.DUMMYFUNCTION("""COMPUTED_VALUE"""),"LT0Q1V01XDHK1")</f>
        <v>LT0Q1V01XDHK1</v>
      </c>
      <c r="F6329" s="238" t="str">
        <f>IFERROR(__xludf.DUMMYFUNCTION("""COMPUTED_VALUE"""),"UGF1A20")</f>
        <v>UGF1A20</v>
      </c>
      <c r="G6329" s="238">
        <f>IFERROR(__xludf.DUMMYFUNCTION("""COMPUTED_VALUE"""),46053.16666666667)</f>
        <v>46053.16667</v>
      </c>
      <c r="H6329" s="238">
        <f>IFERROR(__xludf.DUMMYFUNCTION("""COMPUTED_VALUE"""),46053.25)</f>
        <v>46053.25</v>
      </c>
      <c r="J6329" s="239">
        <v>119.99999999301508</v>
      </c>
    </row>
    <row r="6330">
      <c r="A6330" s="234"/>
      <c r="B6330" s="238" t="str">
        <f>IFERROR(__xludf.DUMMYFUNCTION("""COMPUTED_VALUE"""),"LM Hub_SP_Registro")</f>
        <v>LM Hub_SP_Registro</v>
      </c>
      <c r="C6330" s="238" t="str">
        <f>IFERROR(__xludf.DUMMYFUNCTION("""COMPUTED_VALUE"""),"HUB-LSP-40")</f>
        <v>HUB-LSP-40</v>
      </c>
      <c r="D6330" s="234">
        <f>IFERROR(__xludf.DUMMYFUNCTION("""COMPUTED_VALUE"""),33.0)</f>
        <v>33</v>
      </c>
      <c r="E6330" s="237" t="str">
        <f>IFERROR(__xludf.DUMMYFUNCTION("""COMPUTED_VALUE"""),"LT0Q1V01XDG81")</f>
        <v>LT0Q1V01XDG81</v>
      </c>
      <c r="F6330" s="238" t="str">
        <f>IFERROR(__xludf.DUMMYFUNCTION("""COMPUTED_VALUE"""),"EOF4D32")</f>
        <v>EOF4D32</v>
      </c>
      <c r="G6330" s="238">
        <f>IFERROR(__xludf.DUMMYFUNCTION("""COMPUTED_VALUE"""),46053.16666666667)</f>
        <v>46053.16667</v>
      </c>
      <c r="H6330" s="238">
        <f>IFERROR(__xludf.DUMMYFUNCTION("""COMPUTED_VALUE"""),46053.25)</f>
        <v>46053.25</v>
      </c>
      <c r="J6330" s="239">
        <v>119.99999999301508</v>
      </c>
    </row>
    <row r="6331">
      <c r="A6331" s="234"/>
      <c r="B6331" s="238" t="str">
        <f>IFERROR(__xludf.DUMMYFUNCTION("""COMPUTED_VALUE"""),"SoC_PR_Curitiba")</f>
        <v>SoC_PR_Curitiba</v>
      </c>
      <c r="C6331" s="238" t="str">
        <f>IFERROR(__xludf.DUMMYFUNCTION("""COMPUTED_VALUE"""),"SOC-PR1")</f>
        <v>SOC-PR1</v>
      </c>
      <c r="D6331" s="234">
        <f>IFERROR(__xludf.DUMMYFUNCTION("""COMPUTED_VALUE"""),44.0)</f>
        <v>44</v>
      </c>
      <c r="E6331" s="237" t="str">
        <f>IFERROR(__xludf.DUMMYFUNCTION("""COMPUTED_VALUE"""),"LT0Q1V01XDB61")</f>
        <v>LT0Q1V01XDB61</v>
      </c>
      <c r="F6331" s="238" t="str">
        <f>IFERROR(__xludf.DUMMYFUNCTION("""COMPUTED_VALUE"""),"SDS9C87,BEX8B07")</f>
        <v>SDS9C87,BEX8B07</v>
      </c>
      <c r="G6331" s="238">
        <f>IFERROR(__xludf.DUMMYFUNCTION("""COMPUTED_VALUE"""),46053.16666666667)</f>
        <v>46053.16667</v>
      </c>
      <c r="H6331" s="238">
        <f>IFERROR(__xludf.DUMMYFUNCTION("""COMPUTED_VALUE"""),46053.25)</f>
        <v>46053.25</v>
      </c>
      <c r="J6331" s="239">
        <v>119.99999999301508</v>
      </c>
    </row>
    <row r="6332">
      <c r="A6332" s="234"/>
      <c r="B6332" s="238" t="str">
        <f>IFERROR(__xludf.DUMMYFUNCTION("""COMPUTED_VALUE"""),"SoC_SP_Louveira")</f>
        <v>SoC_SP_Louveira</v>
      </c>
      <c r="C6332" s="238" t="str">
        <f>IFERROR(__xludf.DUMMYFUNCTION("""COMPUTED_VALUE"""),"SOC-SP7")</f>
        <v>SOC-SP7</v>
      </c>
      <c r="D6332" s="234">
        <f>IFERROR(__xludf.DUMMYFUNCTION("""COMPUTED_VALUE"""),41.0)</f>
        <v>41</v>
      </c>
      <c r="E6332" s="237" t="str">
        <f>IFERROR(__xludf.DUMMYFUNCTION("""COMPUTED_VALUE"""),"LT0Q1V01XDCX1")</f>
        <v>LT0Q1V01XDCX1</v>
      </c>
      <c r="F6332" s="238" t="str">
        <f>IFERROR(__xludf.DUMMYFUNCTION("""COMPUTED_VALUE"""),"GDL9D12,GJM4992")</f>
        <v>GDL9D12,GJM4992</v>
      </c>
      <c r="G6332" s="238">
        <f>IFERROR(__xludf.DUMMYFUNCTION("""COMPUTED_VALUE"""),46053.16666666667)</f>
        <v>46053.16667</v>
      </c>
      <c r="H6332" s="238">
        <f>IFERROR(__xludf.DUMMYFUNCTION("""COMPUTED_VALUE"""),46053.25)</f>
        <v>46053.25</v>
      </c>
      <c r="J6332" s="239">
        <v>119.00000000023283</v>
      </c>
    </row>
    <row r="6333">
      <c r="A6333" s="234"/>
      <c r="B6333" s="238" t="str">
        <f>IFERROR(__xludf.DUMMYFUNCTION("""COMPUTED_VALUE"""),"SoC_SP_Santana")</f>
        <v>SoC_SP_Santana</v>
      </c>
      <c r="C6333" s="238" t="str">
        <f>IFERROR(__xludf.DUMMYFUNCTION("""COMPUTED_VALUE"""),"SOC-SP2")</f>
        <v>SOC-SP2</v>
      </c>
      <c r="D6333" s="234">
        <f>IFERROR(__xludf.DUMMYFUNCTION("""COMPUTED_VALUE"""),32.0)</f>
        <v>32</v>
      </c>
      <c r="E6333" s="237" t="str">
        <f>IFERROR(__xludf.DUMMYFUNCTION("""COMPUTED_VALUE"""),"LT0Q1V01XMAN1")</f>
        <v>LT0Q1V01XMAN1</v>
      </c>
      <c r="F6333" s="238" t="str">
        <f>IFERROR(__xludf.DUMMYFUNCTION("""COMPUTED_VALUE"""),"ARS3312,MEK3E28")</f>
        <v>ARS3312,MEK3E28</v>
      </c>
      <c r="G6333" s="238">
        <f>IFERROR(__xludf.DUMMYFUNCTION("""COMPUTED_VALUE"""),46053.16736111111)</f>
        <v>46053.16736</v>
      </c>
      <c r="H6333" s="238">
        <f>IFERROR(__xludf.DUMMYFUNCTION("""COMPUTED_VALUE"""),46053.25)</f>
        <v>46053.25</v>
      </c>
      <c r="J6333" s="239">
        <v>119.99999999301508</v>
      </c>
    </row>
    <row r="6334">
      <c r="A6334" s="234"/>
      <c r="B6334" s="238" t="str">
        <f>IFERROR(__xludf.DUMMYFUNCTION("""COMPUTED_VALUE"""),"LM Hub_SP_Atibaia_Ponte_Alta")</f>
        <v>LM Hub_SP_Atibaia_Ponte_Alta</v>
      </c>
      <c r="C6334" s="238" t="str">
        <f>IFERROR(__xludf.DUMMYFUNCTION("""COMPUTED_VALUE"""),"HUB-LSP-87")</f>
        <v>HUB-LSP-87</v>
      </c>
      <c r="D6334" s="234">
        <f>IFERROR(__xludf.DUMMYFUNCTION("""COMPUTED_VALUE"""),36.0)</f>
        <v>36</v>
      </c>
      <c r="E6334" s="237" t="str">
        <f>IFERROR(__xludf.DUMMYFUNCTION("""COMPUTED_VALUE"""),"LT0Q1V01XGUP1")</f>
        <v>LT0Q1V01XGUP1</v>
      </c>
      <c r="F6334" s="238" t="str">
        <f>IFERROR(__xludf.DUMMYFUNCTION("""COMPUTED_VALUE"""),"RGC7B22,TKX4F07")</f>
        <v>RGC7B22,TKX4F07</v>
      </c>
      <c r="G6334" s="238">
        <f>IFERROR(__xludf.DUMMYFUNCTION("""COMPUTED_VALUE"""),46053.1875)</f>
        <v>46053.1875</v>
      </c>
      <c r="H6334" s="238">
        <f>IFERROR(__xludf.DUMMYFUNCTION("""COMPUTED_VALUE"""),46053.27083333333)</f>
        <v>46053.27083</v>
      </c>
      <c r="J6334" s="239">
        <v>119.99999999301508</v>
      </c>
    </row>
    <row r="6335">
      <c r="A6335" s="234"/>
      <c r="B6335" s="238" t="str">
        <f>IFERROR(__xludf.DUMMYFUNCTION("""COMPUTED_VALUE"""),"LM Hub_SP_Sorocaba_Região Norte")</f>
        <v>LM Hub_SP_Sorocaba_Região Norte</v>
      </c>
      <c r="C6335" s="238" t="str">
        <f>IFERROR(__xludf.DUMMYFUNCTION("""COMPUTED_VALUE"""),"HUB-LSP-10")</f>
        <v>HUB-LSP-10</v>
      </c>
      <c r="D6335" s="234">
        <f>IFERROR(__xludf.DUMMYFUNCTION("""COMPUTED_VALUE"""),13.0)</f>
        <v>13</v>
      </c>
      <c r="E6335" s="237" t="str">
        <f>IFERROR(__xludf.DUMMYFUNCTION("""COMPUTED_VALUE"""),"LT0Q1V01XDH61")</f>
        <v>LT0Q1V01XDH61</v>
      </c>
      <c r="F6335" s="238" t="str">
        <f>IFERROR(__xludf.DUMMYFUNCTION("""COMPUTED_VALUE"""),"UAX1H36,SUO8I62")</f>
        <v>UAX1H36,SUO8I62</v>
      </c>
      <c r="G6335" s="238">
        <f>IFERROR(__xludf.DUMMYFUNCTION("""COMPUTED_VALUE"""),46053.1875)</f>
        <v>46053.1875</v>
      </c>
      <c r="H6335" s="238">
        <f>IFERROR(__xludf.DUMMYFUNCTION("""COMPUTED_VALUE"""),46053.27083333333)</f>
        <v>46053.27083</v>
      </c>
      <c r="J6335" s="239">
        <v>118.99999998975545</v>
      </c>
    </row>
    <row r="6336">
      <c r="A6336" s="234"/>
      <c r="B6336" s="238" t="str">
        <f>IFERROR(__xludf.DUMMYFUNCTION("""COMPUTED_VALUE"""),"LM Hub_SP_Taubaté")</f>
        <v>LM Hub_SP_Taubaté</v>
      </c>
      <c r="C6336" s="238" t="str">
        <f>IFERROR(__xludf.DUMMYFUNCTION("""COMPUTED_VALUE"""),"HUB-LSP-08")</f>
        <v>HUB-LSP-08</v>
      </c>
      <c r="D6336" s="234">
        <f>IFERROR(__xludf.DUMMYFUNCTION("""COMPUTED_VALUE"""),49.0)</f>
        <v>49</v>
      </c>
      <c r="E6336" s="237" t="str">
        <f>IFERROR(__xludf.DUMMYFUNCTION("""COMPUTED_VALUE"""),"LT0Q1V01XDGT1")</f>
        <v>LT0Q1V01XDGT1</v>
      </c>
      <c r="F6336" s="238" t="str">
        <f>IFERROR(__xludf.DUMMYFUNCTION("""COMPUTED_VALUE"""),"ONN9D62")</f>
        <v>ONN9D62</v>
      </c>
      <c r="G6336" s="238">
        <f>IFERROR(__xludf.DUMMYFUNCTION("""COMPUTED_VALUE"""),46053.18819444445)</f>
        <v>46053.18819</v>
      </c>
      <c r="H6336" s="238">
        <f>IFERROR(__xludf.DUMMYFUNCTION("""COMPUTED_VALUE"""),46053.27083333333)</f>
        <v>46053.27083</v>
      </c>
      <c r="J6336" s="239">
        <v>540.0</v>
      </c>
    </row>
    <row r="6337">
      <c r="A6337" s="234"/>
      <c r="B6337" s="238" t="str">
        <f>IFERROR(__xludf.DUMMYFUNCTION("""COMPUTED_VALUE"""),"SoC_BA_Simoes Filho")</f>
        <v>SoC_BA_Simoes Filho</v>
      </c>
      <c r="C6337" s="238" t="str">
        <f>IFERROR(__xludf.DUMMYFUNCTION("""COMPUTED_VALUE"""),"SOC-BA2")</f>
        <v>SOC-BA2</v>
      </c>
      <c r="D6337" s="234">
        <f>IFERROR(__xludf.DUMMYFUNCTION("""COMPUTED_VALUE"""),89.0)</f>
        <v>89</v>
      </c>
      <c r="E6337" s="237" t="str">
        <f>IFERROR(__xludf.DUMMYFUNCTION("""COMPUTED_VALUE"""),"LT0Q1U01XIFJ2")</f>
        <v>LT0Q1U01XIFJ2</v>
      </c>
      <c r="F6337" s="238" t="str">
        <f>IFERROR(__xludf.DUMMYFUNCTION("""COMPUTED_VALUE"""),"EJZ9E22,QIF6D69")</f>
        <v>EJZ9E22,QIF6D69</v>
      </c>
      <c r="G6337" s="238">
        <f>IFERROR(__xludf.DUMMYFUNCTION("""COMPUTED_VALUE"""),46052.91666666667)</f>
        <v>46052.91667</v>
      </c>
      <c r="H6337" s="238">
        <f>IFERROR(__xludf.DUMMYFUNCTION("""COMPUTED_VALUE"""),46053.29166666667)</f>
        <v>46053.29167</v>
      </c>
      <c r="J6337" s="239">
        <v>540.0</v>
      </c>
    </row>
    <row r="6338">
      <c r="A6338" s="234"/>
      <c r="B6338" s="238" t="str">
        <f>IFERROR(__xludf.DUMMYFUNCTION("""COMPUTED_VALUE"""),"SoC_SP_Cravinhos")</f>
        <v>SoC_SP_Cravinhos</v>
      </c>
      <c r="C6338" s="238" t="str">
        <f>IFERROR(__xludf.DUMMYFUNCTION("""COMPUTED_VALUE"""),"SOC-SP5")</f>
        <v>SOC-SP5</v>
      </c>
      <c r="D6338" s="234">
        <f>IFERROR(__xludf.DUMMYFUNCTION("""COMPUTED_VALUE"""),94.0)</f>
        <v>94</v>
      </c>
      <c r="E6338" s="237" t="str">
        <f>IFERROR(__xludf.DUMMYFUNCTION("""COMPUTED_VALUE"""),"LT0Q1U01XDCB2")</f>
        <v>LT0Q1U01XDCB2</v>
      </c>
      <c r="F6338" s="238" t="str">
        <f>IFERROR(__xludf.DUMMYFUNCTION("""COMPUTED_VALUE"""),"LSG3D84,TKU4G31")</f>
        <v>LSG3D84,TKU4G31</v>
      </c>
      <c r="G6338" s="238">
        <f>IFERROR(__xludf.DUMMYFUNCTION("""COMPUTED_VALUE"""),46052.91666666667)</f>
        <v>46052.91667</v>
      </c>
      <c r="H6338" s="238">
        <f>IFERROR(__xludf.DUMMYFUNCTION("""COMPUTED_VALUE"""),46053.29166666667)</f>
        <v>46053.29167</v>
      </c>
      <c r="J6338" s="239">
        <v>539.0000000072177</v>
      </c>
    </row>
    <row r="6339">
      <c r="A6339" s="234"/>
      <c r="B6339" s="238" t="str">
        <f>IFERROR(__xludf.DUMMYFUNCTION("""COMPUTED_VALUE"""),"SoC_SC_Itajaí")</f>
        <v>SoC_SC_Itajaí</v>
      </c>
      <c r="C6339" s="238" t="str">
        <f>IFERROR(__xludf.DUMMYFUNCTION("""COMPUTED_VALUE"""),"SOC-SC1")</f>
        <v>SOC-SC1</v>
      </c>
      <c r="D6339" s="234"/>
      <c r="E6339" s="237" t="str">
        <f>IFERROR(__xludf.DUMMYFUNCTION("""COMPUTED_VALUE"""),"LT0Q1U01XHI51")</f>
        <v>LT0Q1U01XHI51</v>
      </c>
      <c r="F6339" s="238" t="str">
        <f>IFERROR(__xludf.DUMMYFUNCTION("""COMPUTED_VALUE"""),"RXR5H82,RLH9C55")</f>
        <v>RXR5H82,RLH9C55</v>
      </c>
      <c r="G6339" s="238">
        <f>IFERROR(__xludf.DUMMYFUNCTION("""COMPUTED_VALUE"""),46052.91736111111)</f>
        <v>46052.91736</v>
      </c>
      <c r="H6339" s="238">
        <f>IFERROR(__xludf.DUMMYFUNCTION("""COMPUTED_VALUE"""),46053.29166666667)</f>
        <v>46053.29167</v>
      </c>
      <c r="J6339" s="239">
        <v>537.0000000111759</v>
      </c>
    </row>
    <row r="6340">
      <c r="A6340" s="234"/>
      <c r="B6340" s="238" t="str">
        <f>IFERROR(__xludf.DUMMYFUNCTION("""COMPUTED_VALUE"""),"SoC_MG_Betim")</f>
        <v>SoC_MG_Betim</v>
      </c>
      <c r="C6340" s="238" t="str">
        <f>IFERROR(__xludf.DUMMYFUNCTION("""COMPUTED_VALUE"""),"SOC-MG2")</f>
        <v>SOC-MG2</v>
      </c>
      <c r="D6340" s="234" t="str">
        <f>IFERROR(__xludf.DUMMYFUNCTION("""COMPUTED_VALUE"""),"90/91")</f>
        <v>90/91</v>
      </c>
      <c r="E6340" s="237" t="str">
        <f>IFERROR(__xludf.DUMMYFUNCTION("""COMPUTED_VALUE"""),"LT0Q1U01XM5H1")</f>
        <v>LT0Q1U01XM5H1</v>
      </c>
      <c r="F6340" s="238" t="str">
        <f>IFERROR(__xludf.DUMMYFUNCTION("""COMPUTED_VALUE"""),"ACS2F59,UDC0C85")</f>
        <v>ACS2F59,UDC0C85</v>
      </c>
      <c r="G6340" s="238">
        <f>IFERROR(__xludf.DUMMYFUNCTION("""COMPUTED_VALUE"""),46052.91875)</f>
        <v>46052.91875</v>
      </c>
      <c r="H6340" s="238">
        <f>IFERROR(__xludf.DUMMYFUNCTION("""COMPUTED_VALUE"""),46053.29166666667)</f>
        <v>46053.29167</v>
      </c>
      <c r="J6340" s="239">
        <v>537.0000000111759</v>
      </c>
    </row>
    <row r="6341">
      <c r="A6341" s="234"/>
      <c r="B6341" s="238" t="str">
        <f>IFERROR(__xludf.DUMMYFUNCTION("""COMPUTED_VALUE"""),"SoC_RJ_Duque de Caxias")</f>
        <v>SoC_RJ_Duque de Caxias</v>
      </c>
      <c r="C6341" s="238" t="str">
        <f>IFERROR(__xludf.DUMMYFUNCTION("""COMPUTED_VALUE"""),"SOC-RJ2")</f>
        <v>SOC-RJ2</v>
      </c>
      <c r="D6341" s="234">
        <f>IFERROR(__xludf.DUMMYFUNCTION("""COMPUTED_VALUE"""),97.0)</f>
        <v>97</v>
      </c>
      <c r="E6341" s="237" t="str">
        <f>IFERROR(__xludf.DUMMYFUNCTION("""COMPUTED_VALUE"""),"LT0Q1U01XMJ61")</f>
        <v>LT0Q1U01XMJ61</v>
      </c>
      <c r="F6341" s="238" t="str">
        <f>IFERROR(__xludf.DUMMYFUNCTION("""COMPUTED_VALUE"""),"LUR6D59,SUL8E73")</f>
        <v>LUR6D59,SUL8E73</v>
      </c>
      <c r="G6341" s="238">
        <f>IFERROR(__xludf.DUMMYFUNCTION("""COMPUTED_VALUE"""),46052.91875)</f>
        <v>46052.91875</v>
      </c>
      <c r="H6341" s="238">
        <f>IFERROR(__xludf.DUMMYFUNCTION("""COMPUTED_VALUE"""),46053.29166666667)</f>
        <v>46053.29167</v>
      </c>
      <c r="J6341" s="239">
        <v>120.00000001396984</v>
      </c>
    </row>
    <row r="6342">
      <c r="A6342" s="234"/>
      <c r="B6342" s="238" t="str">
        <f>IFERROR(__xludf.DUMMYFUNCTION("""COMPUTED_VALUE"""),"LM Hub_SP_Barueri_01")</f>
        <v>LM Hub_SP_Barueri_01</v>
      </c>
      <c r="C6342" s="238" t="str">
        <f>IFERROR(__xludf.DUMMYFUNCTION("""COMPUTED_VALUE"""),"HUB-LSP-81")</f>
        <v>HUB-LSP-81</v>
      </c>
      <c r="D6342" s="234">
        <f>IFERROR(__xludf.DUMMYFUNCTION("""COMPUTED_VALUE"""),21.0)</f>
        <v>21</v>
      </c>
      <c r="E6342" s="237" t="str">
        <f>IFERROR(__xludf.DUMMYFUNCTION("""COMPUTED_VALUE"""),"LT0Q1V01XI3K1")</f>
        <v>LT0Q1V01XI3K1</v>
      </c>
      <c r="F6342" s="238" t="str">
        <f>IFERROR(__xludf.DUMMYFUNCTION("""COMPUTED_VALUE"""),"SUQ5C99")</f>
        <v>SUQ5C99</v>
      </c>
      <c r="G6342" s="238">
        <f>IFERROR(__xludf.DUMMYFUNCTION("""COMPUTED_VALUE"""),46053.20833333333)</f>
        <v>46053.20833</v>
      </c>
      <c r="H6342" s="238">
        <f>IFERROR(__xludf.DUMMYFUNCTION("""COMPUTED_VALUE"""),46053.29166666667)</f>
        <v>46053.29167</v>
      </c>
      <c r="J6342" s="239">
        <v>120.00000001396984</v>
      </c>
    </row>
    <row r="6343">
      <c r="A6343" s="234"/>
      <c r="B6343" s="238" t="str">
        <f>IFERROR(__xludf.DUMMYFUNCTION("""COMPUTED_VALUE"""),"LM Hub_SP_Piracicaba")</f>
        <v>LM Hub_SP_Piracicaba</v>
      </c>
      <c r="C6343" s="238" t="str">
        <f>IFERROR(__xludf.DUMMYFUNCTION("""COMPUTED_VALUE"""),"HUB-LSP-62")</f>
        <v>HUB-LSP-62</v>
      </c>
      <c r="D6343" s="234">
        <f>IFERROR(__xludf.DUMMYFUNCTION("""COMPUTED_VALUE"""),19.0)</f>
        <v>19</v>
      </c>
      <c r="E6343" s="237" t="str">
        <f>IFERROR(__xludf.DUMMYFUNCTION("""COMPUTED_VALUE"""),"LT0Q1V01XE4F1")</f>
        <v>LT0Q1V01XE4F1</v>
      </c>
      <c r="F6343" s="238" t="str">
        <f>IFERROR(__xludf.DUMMYFUNCTION("""COMPUTED_VALUE"""),"OMY3I62")</f>
        <v>OMY3I62</v>
      </c>
      <c r="G6343" s="238">
        <f>IFERROR(__xludf.DUMMYFUNCTION("""COMPUTED_VALUE"""),46053.20833333333)</f>
        <v>46053.20833</v>
      </c>
      <c r="H6343" s="238">
        <f>IFERROR(__xludf.DUMMYFUNCTION("""COMPUTED_VALUE"""),46053.29166666667)</f>
        <v>46053.29167</v>
      </c>
      <c r="J6343" s="239">
        <v>120.00000001396984</v>
      </c>
    </row>
    <row r="6344">
      <c r="A6344" s="234"/>
      <c r="B6344" s="238" t="str">
        <f>IFERROR(__xludf.DUMMYFUNCTION("""COMPUTED_VALUE"""),"LM Hub_SP_Santos_PraiaGrande_02")</f>
        <v>LM Hub_SP_Santos_PraiaGrande_02</v>
      </c>
      <c r="C6344" s="238" t="str">
        <f>IFERROR(__xludf.DUMMYFUNCTION("""COMPUTED_VALUE"""),"HUB-LSP-63")</f>
        <v>HUB-LSP-63</v>
      </c>
      <c r="D6344" s="234">
        <f>IFERROR(__xludf.DUMMYFUNCTION("""COMPUTED_VALUE"""),27.0)</f>
        <v>27</v>
      </c>
      <c r="E6344" s="237" t="str">
        <f>IFERROR(__xludf.DUMMYFUNCTION("""COMPUTED_VALUE"""),"LT0Q1V01XEKZ1")</f>
        <v>LT0Q1V01XEKZ1</v>
      </c>
      <c r="F6344" s="238" t="str">
        <f>IFERROR(__xludf.DUMMYFUNCTION("""COMPUTED_VALUE"""),"EHH6F53,BYU0C58")</f>
        <v>EHH6F53,BYU0C58</v>
      </c>
      <c r="G6344" s="238">
        <f>IFERROR(__xludf.DUMMYFUNCTION("""COMPUTED_VALUE"""),46053.20833333333)</f>
        <v>46053.20833</v>
      </c>
      <c r="H6344" s="238">
        <f>IFERROR(__xludf.DUMMYFUNCTION("""COMPUTED_VALUE"""),46053.29166666667)</f>
        <v>46053.29167</v>
      </c>
      <c r="J6344" s="239">
        <v>119.99999999301508</v>
      </c>
    </row>
    <row r="6345">
      <c r="A6345" s="234"/>
      <c r="B6345" s="238" t="str">
        <f>IFERROR(__xludf.DUMMYFUNCTION("""COMPUTED_VALUE"""),"LM Hub_SP_Itapevi")</f>
        <v>LM Hub_SP_Itapevi</v>
      </c>
      <c r="C6345" s="238" t="str">
        <f>IFERROR(__xludf.DUMMYFUNCTION("""COMPUTED_VALUE"""),"HUB-LSP-41")</f>
        <v>HUB-LSP-41</v>
      </c>
      <c r="D6345" s="234">
        <f>IFERROR(__xludf.DUMMYFUNCTION("""COMPUTED_VALUE"""),22.0)</f>
        <v>22</v>
      </c>
      <c r="E6345" s="237" t="str">
        <f>IFERROR(__xludf.DUMMYFUNCTION("""COMPUTED_VALUE"""),"LT0Q1V01XDEP1")</f>
        <v>LT0Q1V01XDEP1</v>
      </c>
      <c r="F6345" s="238" t="str">
        <f>IFERROR(__xludf.DUMMYFUNCTION("""COMPUTED_VALUE"""),"GHJ3J72,TKW6E15")</f>
        <v>GHJ3J72,TKW6E15</v>
      </c>
      <c r="G6345" s="238">
        <f>IFERROR(__xludf.DUMMYFUNCTION("""COMPUTED_VALUE"""),46053.22916666667)</f>
        <v>46053.22917</v>
      </c>
      <c r="H6345" s="238">
        <f>IFERROR(__xludf.DUMMYFUNCTION("""COMPUTED_VALUE"""),46053.3125)</f>
        <v>46053.3125</v>
      </c>
      <c r="J6345" s="239">
        <v>119.99999999301508</v>
      </c>
    </row>
    <row r="6346">
      <c r="A6346" s="234"/>
      <c r="B6346" s="238" t="str">
        <f>IFERROR(__xludf.DUMMYFUNCTION("""COMPUTED_VALUE"""),"LM Hub_SP_Santos_Praia Grande")</f>
        <v>LM Hub_SP_Santos_Praia Grande</v>
      </c>
      <c r="C6346" s="238" t="str">
        <f>IFERROR(__xludf.DUMMYFUNCTION("""COMPUTED_VALUE"""),"HUB-LSP-09")</f>
        <v>HUB-LSP-09</v>
      </c>
      <c r="D6346" s="234">
        <f>IFERROR(__xludf.DUMMYFUNCTION("""COMPUTED_VALUE"""),9.0)</f>
        <v>9</v>
      </c>
      <c r="E6346" s="237" t="str">
        <f>IFERROR(__xludf.DUMMYFUNCTION("""COMPUTED_VALUE"""),"LT0Q1V01XEKK1")</f>
        <v>LT0Q1V01XEKK1</v>
      </c>
      <c r="F6346" s="238" t="str">
        <f>IFERROR(__xludf.DUMMYFUNCTION("""COMPUTED_VALUE"""),"DCU8E76")</f>
        <v>DCU8E76</v>
      </c>
      <c r="G6346" s="238">
        <f>IFERROR(__xludf.DUMMYFUNCTION("""COMPUTED_VALUE"""),46053.22916666667)</f>
        <v>46053.22917</v>
      </c>
      <c r="H6346" s="238">
        <f>IFERROR(__xludf.DUMMYFUNCTION("""COMPUTED_VALUE"""),46053.3125)</f>
        <v>46053.3125</v>
      </c>
      <c r="J6346" s="239">
        <v>119.99999999301508</v>
      </c>
    </row>
    <row r="6347">
      <c r="A6347" s="234"/>
      <c r="B6347" s="238" t="str">
        <f>IFERROR(__xludf.DUMMYFUNCTION("""COMPUTED_VALUE"""),"LM Hub_SP_São José dos Campos")</f>
        <v>LM Hub_SP_São José dos Campos</v>
      </c>
      <c r="C6347" s="238" t="str">
        <f>IFERROR(__xludf.DUMMYFUNCTION("""COMPUTED_VALUE"""),"HUB-LSP-04")</f>
        <v>HUB-LSP-04</v>
      </c>
      <c r="D6347" s="234">
        <f>IFERROR(__xludf.DUMMYFUNCTION("""COMPUTED_VALUE"""),16.0)</f>
        <v>16</v>
      </c>
      <c r="E6347" s="237" t="str">
        <f>IFERROR(__xludf.DUMMYFUNCTION("""COMPUTED_VALUE"""),"LT0Q1V01XEKP1")</f>
        <v>LT0Q1V01XEKP1</v>
      </c>
      <c r="F6347" s="238" t="str">
        <f>IFERROR(__xludf.DUMMYFUNCTION("""COMPUTED_VALUE"""),"BZV6J05")</f>
        <v>BZV6J05</v>
      </c>
      <c r="G6347" s="238">
        <f>IFERROR(__xludf.DUMMYFUNCTION("""COMPUTED_VALUE"""),46053.22916666667)</f>
        <v>46053.22917</v>
      </c>
      <c r="H6347" s="238">
        <f>IFERROR(__xludf.DUMMYFUNCTION("""COMPUTED_VALUE"""),46053.3125)</f>
        <v>46053.3125</v>
      </c>
      <c r="J6347" s="239">
        <v>119.99999999301508</v>
      </c>
    </row>
    <row r="6348">
      <c r="A6348" s="234"/>
      <c r="B6348" s="238" t="str">
        <f>IFERROR(__xludf.DUMMYFUNCTION("""COMPUTED_VALUE"""),"LM Hub_SP_São Paulo_Mooca")</f>
        <v>LM Hub_SP_São Paulo_Mooca</v>
      </c>
      <c r="C6348" s="238" t="str">
        <f>IFERROR(__xludf.DUMMYFUNCTION("""COMPUTED_VALUE"""),"HUB-LSP-13")</f>
        <v>HUB-LSP-13</v>
      </c>
      <c r="D6348" s="234">
        <f>IFERROR(__xludf.DUMMYFUNCTION("""COMPUTED_VALUE"""),34.0)</f>
        <v>34</v>
      </c>
      <c r="E6348" s="237" t="str">
        <f>IFERROR(__xludf.DUMMYFUNCTION("""COMPUTED_VALUE"""),"LT0Q1V01XME61")</f>
        <v>LT0Q1V01XME61</v>
      </c>
      <c r="F6348" s="238" t="str">
        <f>IFERROR(__xludf.DUMMYFUNCTION("""COMPUTED_VALUE"""),"FGI1F79")</f>
        <v>FGI1F79</v>
      </c>
      <c r="G6348" s="238">
        <f>IFERROR(__xludf.DUMMYFUNCTION("""COMPUTED_VALUE"""),46053.22916666667)</f>
        <v>46053.22917</v>
      </c>
      <c r="H6348" s="238">
        <f>IFERROR(__xludf.DUMMYFUNCTION("""COMPUTED_VALUE"""),46053.3125)</f>
        <v>46053.3125</v>
      </c>
      <c r="J6348" s="239">
        <v>119.99999999301508</v>
      </c>
    </row>
    <row r="6349">
      <c r="A6349" s="234"/>
      <c r="B6349" s="238" t="str">
        <f>IFERROR(__xludf.DUMMYFUNCTION("""COMPUTED_VALUE"""),"LM Hub_SP_Várzea Paulista")</f>
        <v>LM Hub_SP_Várzea Paulista</v>
      </c>
      <c r="C6349" s="238" t="str">
        <f>IFERROR(__xludf.DUMMYFUNCTION("""COMPUTED_VALUE"""),"HUB-LSP-20")</f>
        <v>HUB-LSP-20</v>
      </c>
      <c r="D6349" s="234">
        <f>IFERROR(__xludf.DUMMYFUNCTION("""COMPUTED_VALUE"""),15.0)</f>
        <v>15</v>
      </c>
      <c r="E6349" s="237" t="str">
        <f>IFERROR(__xludf.DUMMYFUNCTION("""COMPUTED_VALUE"""),"LT0Q1V01XM6Z1")</f>
        <v>LT0Q1V01XM6Z1</v>
      </c>
      <c r="F6349" s="238" t="str">
        <f>IFERROR(__xludf.DUMMYFUNCTION("""COMPUTED_VALUE"""),"FYQ5533")</f>
        <v>FYQ5533</v>
      </c>
      <c r="G6349" s="238">
        <f>IFERROR(__xludf.DUMMYFUNCTION("""COMPUTED_VALUE"""),46053.22916666667)</f>
        <v>46053.22917</v>
      </c>
      <c r="H6349" s="238">
        <f>IFERROR(__xludf.DUMMYFUNCTION("""COMPUTED_VALUE"""),46053.3125)</f>
        <v>46053.3125</v>
      </c>
      <c r="J6349" s="239">
        <v>119.00000000023283</v>
      </c>
    </row>
    <row r="6350">
      <c r="A6350" s="234"/>
      <c r="B6350" s="238" t="str">
        <f>IFERROR(__xludf.DUMMYFUNCTION("""COMPUTED_VALUE"""),"LM Hub_SP_Guarujá")</f>
        <v>LM Hub_SP_Guarujá</v>
      </c>
      <c r="C6350" s="238" t="str">
        <f>IFERROR(__xludf.DUMMYFUNCTION("""COMPUTED_VALUE"""),"HUB-LSP-06")</f>
        <v>HUB-LSP-06</v>
      </c>
      <c r="D6350" s="234">
        <f>IFERROR(__xludf.DUMMYFUNCTION("""COMPUTED_VALUE"""),29.0)</f>
        <v>29</v>
      </c>
      <c r="E6350" s="237" t="str">
        <f>IFERROR(__xludf.DUMMYFUNCTION("""COMPUTED_VALUE"""),"LT0Q1V01XEKF1")</f>
        <v>LT0Q1V01XEKF1</v>
      </c>
      <c r="F6350" s="238" t="str">
        <f>IFERROR(__xludf.DUMMYFUNCTION("""COMPUTED_VALUE"""),"SVL5H32")</f>
        <v>SVL5H32</v>
      </c>
      <c r="G6350" s="238">
        <f>IFERROR(__xludf.DUMMYFUNCTION("""COMPUTED_VALUE"""),46053.22986111111)</f>
        <v>46053.22986</v>
      </c>
      <c r="H6350" s="238">
        <f>IFERROR(__xludf.DUMMYFUNCTION("""COMPUTED_VALUE"""),46053.3125)</f>
        <v>46053.3125</v>
      </c>
      <c r="J6350" s="239">
        <v>119.99999999301508</v>
      </c>
    </row>
    <row r="6351">
      <c r="A6351" s="234"/>
      <c r="B6351" s="238" t="str">
        <f>IFERROR(__xludf.DUMMYFUNCTION("""COMPUTED_VALUE"""),"LM Hub_SP_Artur Alvim")</f>
        <v>LM Hub_SP_Artur Alvim</v>
      </c>
      <c r="C6351" s="238" t="str">
        <f>IFERROR(__xludf.DUMMYFUNCTION("""COMPUTED_VALUE"""),"HUB-LSP-07")</f>
        <v>HUB-LSP-07</v>
      </c>
      <c r="D6351" s="234">
        <f>IFERROR(__xludf.DUMMYFUNCTION("""COMPUTED_VALUE"""),23.0)</f>
        <v>23</v>
      </c>
      <c r="E6351" s="237" t="str">
        <f>IFERROR(__xludf.DUMMYFUNCTION("""COMPUTED_VALUE"""),"LT0Q1V01XEJA1")</f>
        <v>LT0Q1V01XEJA1</v>
      </c>
      <c r="F6351" s="238" t="str">
        <f>IFERROR(__xludf.DUMMYFUNCTION("""COMPUTED_VALUE"""),"GBC7H76")</f>
        <v>GBC7H76</v>
      </c>
      <c r="G6351" s="238">
        <f>IFERROR(__xludf.DUMMYFUNCTION("""COMPUTED_VALUE"""),46053.25)</f>
        <v>46053.25</v>
      </c>
      <c r="H6351" s="238">
        <f>IFERROR(__xludf.DUMMYFUNCTION("""COMPUTED_VALUE"""),46053.33333333333)</f>
        <v>46053.33333</v>
      </c>
      <c r="J6351" s="239">
        <v>119.99999999301508</v>
      </c>
    </row>
    <row r="6352">
      <c r="A6352" s="234"/>
      <c r="B6352" s="238" t="str">
        <f>IFERROR(__xludf.DUMMYFUNCTION("""COMPUTED_VALUE"""),"LM Hub_SP_Embu das Artes")</f>
        <v>LM Hub_SP_Embu das Artes</v>
      </c>
      <c r="C6352" s="238" t="str">
        <f>IFERROR(__xludf.DUMMYFUNCTION("""COMPUTED_VALUE"""),"HUB-LSP-36")</f>
        <v>HUB-LSP-36</v>
      </c>
      <c r="D6352" s="234">
        <f>IFERROR(__xludf.DUMMYFUNCTION("""COMPUTED_VALUE"""),17.0)</f>
        <v>17</v>
      </c>
      <c r="E6352" s="237" t="str">
        <f>IFERROR(__xludf.DUMMYFUNCTION("""COMPUTED_VALUE"""),"LT0Q1V01XEL41")</f>
        <v>LT0Q1V01XEL41</v>
      </c>
      <c r="F6352" s="238" t="str">
        <f>IFERROR(__xludf.DUMMYFUNCTION("""COMPUTED_VALUE"""),"FGP3D56")</f>
        <v>FGP3D56</v>
      </c>
      <c r="G6352" s="238">
        <f>IFERROR(__xludf.DUMMYFUNCTION("""COMPUTED_VALUE"""),46053.25)</f>
        <v>46053.25</v>
      </c>
      <c r="H6352" s="238">
        <f>IFERROR(__xludf.DUMMYFUNCTION("""COMPUTED_VALUE"""),46053.33333333333)</f>
        <v>46053.33333</v>
      </c>
      <c r="J6352" s="239">
        <v>119.99999999301508</v>
      </c>
    </row>
    <row r="6353">
      <c r="A6353" s="234"/>
      <c r="B6353" s="238" t="str">
        <f>IFERROR(__xludf.DUMMYFUNCTION("""COMPUTED_VALUE"""),"LM Hub_SP_Guarulhos")</f>
        <v>LM Hub_SP_Guarulhos</v>
      </c>
      <c r="C6353" s="238" t="str">
        <f>IFERROR(__xludf.DUMMYFUNCTION("""COMPUTED_VALUE"""),"HUB-LSP-77")</f>
        <v>HUB-LSP-77</v>
      </c>
      <c r="D6353" s="234">
        <f>IFERROR(__xludf.DUMMYFUNCTION("""COMPUTED_VALUE"""),26.0)</f>
        <v>26</v>
      </c>
      <c r="E6353" s="237" t="str">
        <f>IFERROR(__xludf.DUMMYFUNCTION("""COMPUTED_VALUE"""),"LT0Q1V01XEKU1")</f>
        <v>LT0Q1V01XEKU1</v>
      </c>
      <c r="F6353" s="238" t="str">
        <f>IFERROR(__xludf.DUMMYFUNCTION("""COMPUTED_VALUE"""),"CUA5J41")</f>
        <v>CUA5J41</v>
      </c>
      <c r="G6353" s="238">
        <f>IFERROR(__xludf.DUMMYFUNCTION("""COMPUTED_VALUE"""),46053.25)</f>
        <v>46053.25</v>
      </c>
      <c r="H6353" s="238">
        <f>IFERROR(__xludf.DUMMYFUNCTION("""COMPUTED_VALUE"""),46053.33333333333)</f>
        <v>46053.33333</v>
      </c>
      <c r="J6353" s="239">
        <v>119.99999999301508</v>
      </c>
    </row>
    <row r="6354">
      <c r="A6354" s="234"/>
      <c r="B6354" s="238" t="str">
        <f>IFERROR(__xludf.DUMMYFUNCTION("""COMPUTED_VALUE"""),"LM Hub_SP_Itaqua_Zimba")</f>
        <v>LM Hub_SP_Itaqua_Zimba</v>
      </c>
      <c r="C6354" s="238" t="str">
        <f>IFERROR(__xludf.DUMMYFUNCTION("""COMPUTED_VALUE"""),"HUB-LSP-74")</f>
        <v>HUB-LSP-74</v>
      </c>
      <c r="D6354" s="234">
        <f>IFERROR(__xludf.DUMMYFUNCTION("""COMPUTED_VALUE"""),8.0)</f>
        <v>8</v>
      </c>
      <c r="E6354" s="237" t="str">
        <f>IFERROR(__xludf.DUMMYFUNCTION("""COMPUTED_VALUE"""),"LT0Q1V01XEK91")</f>
        <v>LT0Q1V01XEK91</v>
      </c>
      <c r="F6354" s="238" t="str">
        <f>IFERROR(__xludf.DUMMYFUNCTION("""COMPUTED_VALUE"""),"FZJ9H38")</f>
        <v>FZJ9H38</v>
      </c>
      <c r="G6354" s="238">
        <f>IFERROR(__xludf.DUMMYFUNCTION("""COMPUTED_VALUE"""),46053.25)</f>
        <v>46053.25</v>
      </c>
      <c r="H6354" s="238">
        <f>IFERROR(__xludf.DUMMYFUNCTION("""COMPUTED_VALUE"""),46053.33333333333)</f>
        <v>46053.33333</v>
      </c>
      <c r="J6354" s="239">
        <v>119.99999999301508</v>
      </c>
    </row>
    <row r="6355">
      <c r="A6355" s="234"/>
      <c r="B6355" s="238" t="str">
        <f>IFERROR(__xludf.DUMMYFUNCTION("""COMPUTED_VALUE"""),"LM Hub_SP_Osasco_02")</f>
        <v>LM Hub_SP_Osasco_02</v>
      </c>
      <c r="C6355" s="238" t="str">
        <f>IFERROR(__xludf.DUMMYFUNCTION("""COMPUTED_VALUE"""),"HUB-LSP-60")</f>
        <v>HUB-LSP-60</v>
      </c>
      <c r="D6355" s="234">
        <f>IFERROR(__xludf.DUMMYFUNCTION("""COMPUTED_VALUE"""),28.0)</f>
        <v>28</v>
      </c>
      <c r="E6355" s="237" t="str">
        <f>IFERROR(__xludf.DUMMYFUNCTION("""COMPUTED_VALUE"""),"LT0Q1V01XEJZ1")</f>
        <v>LT0Q1V01XEJZ1</v>
      </c>
      <c r="F6355" s="238" t="str">
        <f>IFERROR(__xludf.DUMMYFUNCTION("""COMPUTED_VALUE"""),"FUZ6B23,FUA8006")</f>
        <v>FUZ6B23,FUA8006</v>
      </c>
      <c r="G6355" s="238">
        <f>IFERROR(__xludf.DUMMYFUNCTION("""COMPUTED_VALUE"""),46053.25)</f>
        <v>46053.25</v>
      </c>
      <c r="H6355" s="238">
        <f>IFERROR(__xludf.DUMMYFUNCTION("""COMPUTED_VALUE"""),46053.33333333333)</f>
        <v>46053.33333</v>
      </c>
      <c r="J6355" s="239">
        <v>119.99999999301508</v>
      </c>
    </row>
    <row r="6356">
      <c r="A6356" s="234"/>
      <c r="B6356" s="238" t="str">
        <f>IFERROR(__xludf.DUMMYFUNCTION("""COMPUTED_VALUE"""),"LM Hub_SP_São Paulo_Lapa")</f>
        <v>LM Hub_SP_São Paulo_Lapa</v>
      </c>
      <c r="C6356" s="238" t="str">
        <f>IFERROR(__xludf.DUMMYFUNCTION("""COMPUTED_VALUE"""),"HUB-LSP-15")</f>
        <v>HUB-LSP-15</v>
      </c>
      <c r="D6356" s="234">
        <f>IFERROR(__xludf.DUMMYFUNCTION("""COMPUTED_VALUE"""),14.0)</f>
        <v>14</v>
      </c>
      <c r="E6356" s="237" t="str">
        <f>IFERROR(__xludf.DUMMYFUNCTION("""COMPUTED_VALUE"""),"LT0Q1V01XEJK1")</f>
        <v>LT0Q1V01XEJK1</v>
      </c>
      <c r="F6356" s="238" t="str">
        <f>IFERROR(__xludf.DUMMYFUNCTION("""COMPUTED_VALUE"""),"QPV1A02")</f>
        <v>QPV1A02</v>
      </c>
      <c r="G6356" s="238">
        <f>IFERROR(__xludf.DUMMYFUNCTION("""COMPUTED_VALUE"""),46053.25)</f>
        <v>46053.25</v>
      </c>
      <c r="H6356" s="238">
        <f>IFERROR(__xludf.DUMMYFUNCTION("""COMPUTED_VALUE"""),46053.33333333333)</f>
        <v>46053.33333</v>
      </c>
      <c r="J6356" s="239">
        <v>119.99999999301508</v>
      </c>
    </row>
    <row r="6357">
      <c r="A6357" s="234"/>
      <c r="B6357" s="238" t="str">
        <f>IFERROR(__xludf.DUMMYFUNCTION("""COMPUTED_VALUE"""),"SoC_SP_Guarulhos")</f>
        <v>SoC_SP_Guarulhos</v>
      </c>
      <c r="C6357" s="238" t="str">
        <f>IFERROR(__xludf.DUMMYFUNCTION("""COMPUTED_VALUE"""),"SOC-SP6")</f>
        <v>SOC-SP6</v>
      </c>
      <c r="D6357" s="234">
        <f>IFERROR(__xludf.DUMMYFUNCTION("""COMPUTED_VALUE"""),48.0)</f>
        <v>48</v>
      </c>
      <c r="E6357" s="237" t="str">
        <f>IFERROR(__xludf.DUMMYFUNCTION("""COMPUTED_VALUE"""),"LT0Q1V01XMCW1")</f>
        <v>LT0Q1V01XMCW1</v>
      </c>
      <c r="F6357" s="238" t="str">
        <f>IFERROR(__xludf.DUMMYFUNCTION("""COMPUTED_VALUE"""),"GFP1C85,UDW9B60")</f>
        <v>GFP1C85,UDW9B60</v>
      </c>
      <c r="G6357" s="238">
        <f>IFERROR(__xludf.DUMMYFUNCTION("""COMPUTED_VALUE"""),46053.25)</f>
        <v>46053.25</v>
      </c>
      <c r="H6357" s="238">
        <f>IFERROR(__xludf.DUMMYFUNCTION("""COMPUTED_VALUE"""),46053.33333333333)</f>
        <v>46053.33333</v>
      </c>
      <c r="J6357" s="239">
        <v>119.99999999301508</v>
      </c>
    </row>
    <row r="6358">
      <c r="A6358" s="234"/>
      <c r="B6358" s="238" t="str">
        <f>IFERROR(__xludf.DUMMYFUNCTION("""COMPUTED_VALUE"""),"LM Hub_SP_VilaGuilherme")</f>
        <v>LM Hub_SP_VilaGuilherme</v>
      </c>
      <c r="C6358" s="238" t="str">
        <f>IFERROR(__xludf.DUMMYFUNCTION("""COMPUTED_VALUE"""),"HUB-LSP-68")</f>
        <v>HUB-LSP-68</v>
      </c>
      <c r="D6358" s="234">
        <f>IFERROR(__xludf.DUMMYFUNCTION("""COMPUTED_VALUE"""),37.0)</f>
        <v>37</v>
      </c>
      <c r="E6358" s="237" t="str">
        <f>IFERROR(__xludf.DUMMYFUNCTION("""COMPUTED_VALUE"""),"LT0Q1V01XEK41")</f>
        <v>LT0Q1V01XEK41</v>
      </c>
      <c r="F6358" s="238" t="str">
        <f>IFERROR(__xludf.DUMMYFUNCTION("""COMPUTED_VALUE"""),"GBP5G56")</f>
        <v>GBP5G56</v>
      </c>
      <c r="G6358" s="238">
        <f>IFERROR(__xludf.DUMMYFUNCTION("""COMPUTED_VALUE"""),46053.25)</f>
        <v>46053.25</v>
      </c>
      <c r="H6358" s="238">
        <f>IFERROR(__xludf.DUMMYFUNCTION("""COMPUTED_VALUE"""),46053.33333333333)</f>
        <v>46053.33333</v>
      </c>
      <c r="J6358" s="239">
        <v>120.00000001396984</v>
      </c>
    </row>
    <row r="6359">
      <c r="A6359" s="234"/>
      <c r="B6359" s="238" t="str">
        <f>IFERROR(__xludf.DUMMYFUNCTION("""COMPUTED_VALUE"""),"LM Hub_SP_Parque Novo Mundo")</f>
        <v>LM Hub_SP_Parque Novo Mundo</v>
      </c>
      <c r="C6359" s="238" t="str">
        <f>IFERROR(__xludf.DUMMYFUNCTION("""COMPUTED_VALUE"""),"HUB-LSP-89")</f>
        <v>HUB-LSP-89</v>
      </c>
      <c r="D6359" s="234"/>
      <c r="E6359" s="237" t="str">
        <f>IFERROR(__xludf.DUMMYFUNCTION("""COMPUTED_VALUE"""),"LT0Q1V01XEBF1")</f>
        <v>LT0Q1V01XEBF1</v>
      </c>
      <c r="F6359" s="238" t="str">
        <f>IFERROR(__xludf.DUMMYFUNCTION("""COMPUTED_VALUE"""),"GIQ1C13")</f>
        <v>GIQ1C13</v>
      </c>
      <c r="G6359" s="238">
        <f>IFERROR(__xludf.DUMMYFUNCTION("""COMPUTED_VALUE"""),46053.27083333333)</f>
        <v>46053.27083</v>
      </c>
      <c r="H6359" s="238">
        <f>IFERROR(__xludf.DUMMYFUNCTION("""COMPUTED_VALUE"""),46053.35416666667)</f>
        <v>46053.35417</v>
      </c>
      <c r="J6359" s="239">
        <v>119.99999999301508</v>
      </c>
    </row>
    <row r="6360">
      <c r="A6360" s="234"/>
      <c r="B6360" s="238" t="str">
        <f>IFERROR(__xludf.DUMMYFUNCTION("""COMPUTED_VALUE"""),"LM Hub_SP_Embu das Artes_02")</f>
        <v>LM Hub_SP_Embu das Artes_02</v>
      </c>
      <c r="C6360" s="238" t="str">
        <f>IFERROR(__xludf.DUMMYFUNCTION("""COMPUTED_VALUE"""),"HUB-LSP-96")</f>
        <v>HUB-LSP-96</v>
      </c>
      <c r="D6360" s="234">
        <f>IFERROR(__xludf.DUMMYFUNCTION("""COMPUTED_VALUE"""),24.0)</f>
        <v>24</v>
      </c>
      <c r="E6360" s="237" t="str">
        <f>IFERROR(__xludf.DUMMYFUNCTION("""COMPUTED_VALUE"""),"LT0Q1V01XGNV1")</f>
        <v>LT0Q1V01XGNV1</v>
      </c>
      <c r="F6360" s="238" t="str">
        <f>IFERROR(__xludf.DUMMYFUNCTION("""COMPUTED_VALUE"""),"FUF6H46")</f>
        <v>FUF6H46</v>
      </c>
      <c r="G6360" s="238">
        <f>IFERROR(__xludf.DUMMYFUNCTION("""COMPUTED_VALUE"""),46053.29166666667)</f>
        <v>46053.29167</v>
      </c>
      <c r="H6360" s="238">
        <f>IFERROR(__xludf.DUMMYFUNCTION("""COMPUTED_VALUE"""),46053.375)</f>
        <v>46053.375</v>
      </c>
      <c r="J6360" s="239">
        <v>119.99999999301508</v>
      </c>
    </row>
    <row r="6361">
      <c r="A6361" s="234"/>
      <c r="B6361" s="238" t="str">
        <f>IFERROR(__xludf.DUMMYFUNCTION("""COMPUTED_VALUE"""),"LM Hub_SP_Mauá")</f>
        <v>LM Hub_SP_Mauá</v>
      </c>
      <c r="C6361" s="238" t="str">
        <f>IFERROR(__xludf.DUMMYFUNCTION("""COMPUTED_VALUE"""),"HUB-LSP-64")</f>
        <v>HUB-LSP-64</v>
      </c>
      <c r="D6361" s="234">
        <f>IFERROR(__xludf.DUMMYFUNCTION("""COMPUTED_VALUE"""),35.0)</f>
        <v>35</v>
      </c>
      <c r="E6361" s="237" t="str">
        <f>IFERROR(__xludf.DUMMYFUNCTION("""COMPUTED_VALUE"""),"LT0Q1V01XMEB1")</f>
        <v>LT0Q1V01XMEB1</v>
      </c>
      <c r="F6361" s="238" t="str">
        <f>IFERROR(__xludf.DUMMYFUNCTION("""COMPUTED_VALUE"""),"PQV0E87")</f>
        <v>PQV0E87</v>
      </c>
      <c r="G6361" s="238">
        <f>IFERROR(__xludf.DUMMYFUNCTION("""COMPUTED_VALUE"""),46053.3125)</f>
        <v>46053.3125</v>
      </c>
      <c r="H6361" s="238">
        <f>IFERROR(__xludf.DUMMYFUNCTION("""COMPUTED_VALUE"""),46053.39583333333)</f>
        <v>46053.39583</v>
      </c>
      <c r="J6361" s="239">
        <v>540.0</v>
      </c>
    </row>
    <row r="6362">
      <c r="A6362" s="234"/>
      <c r="B6362" s="238" t="str">
        <f>IFERROR(__xludf.DUMMYFUNCTION("""COMPUTED_VALUE"""),"SoC_BA_Simoes Filho")</f>
        <v>SoC_BA_Simoes Filho</v>
      </c>
      <c r="C6362" s="238" t="str">
        <f>IFERROR(__xludf.DUMMYFUNCTION("""COMPUTED_VALUE"""),"SOC-BA2")</f>
        <v>SOC-BA2</v>
      </c>
      <c r="D6362" s="234"/>
      <c r="E6362" s="237" t="str">
        <f>IFERROR(__xludf.DUMMYFUNCTION("""COMPUTED_VALUE"""),"LT0Q1U01XIFH1")</f>
        <v>LT0Q1U01XIFH1</v>
      </c>
      <c r="F6362" s="238" t="str">
        <f>IFERROR(__xludf.DUMMYFUNCTION("""COMPUTED_VALUE"""),"EGJ2E24,EFV4J57")</f>
        <v>EGJ2E24,EFV4J57</v>
      </c>
      <c r="G6362" s="238">
        <f>IFERROR(__xludf.DUMMYFUNCTION("""COMPUTED_VALUE"""),46053.08333333333)</f>
        <v>46053.08333</v>
      </c>
      <c r="H6362" s="238">
        <f>IFERROR(__xludf.DUMMYFUNCTION("""COMPUTED_VALUE"""),46053.45833333333)</f>
        <v>46053.45833</v>
      </c>
      <c r="J6362" s="239">
        <v>540.0</v>
      </c>
    </row>
    <row r="6363">
      <c r="A6363" s="234"/>
      <c r="B6363" s="238" t="str">
        <f>IFERROR(__xludf.DUMMYFUNCTION("""COMPUTED_VALUE"""),"SoC_GO_Goiânia_02")</f>
        <v>SoC_GO_Goiânia_02</v>
      </c>
      <c r="C6363" s="238" t="str">
        <f>IFERROR(__xludf.DUMMYFUNCTION("""COMPUTED_VALUE"""),"SOC-GO2")</f>
        <v>SOC-GO2</v>
      </c>
      <c r="D6363" s="234"/>
      <c r="E6363" s="237" t="str">
        <f>IFERROR(__xludf.DUMMYFUNCTION("""COMPUTED_VALUE"""),"LT0Q1U01XIQS1")</f>
        <v>LT0Q1U01XIQS1</v>
      </c>
      <c r="F6363" s="238" t="str">
        <f>IFERROR(__xludf.DUMMYFUNCTION("""COMPUTED_VALUE"""),"SUR9E19,FUP2C03")</f>
        <v>SUR9E19,FUP2C03</v>
      </c>
      <c r="G6363" s="238">
        <f>IFERROR(__xludf.DUMMYFUNCTION("""COMPUTED_VALUE"""),46053.08333333333)</f>
        <v>46053.08333</v>
      </c>
      <c r="H6363" s="238">
        <f>IFERROR(__xludf.DUMMYFUNCTION("""COMPUTED_VALUE"""),46053.45833333333)</f>
        <v>46053.45833</v>
      </c>
      <c r="J6363" s="239">
        <v>540.0</v>
      </c>
    </row>
    <row r="6364">
      <c r="A6364" s="234"/>
      <c r="B6364" s="238" t="str">
        <f>IFERROR(__xludf.DUMMYFUNCTION("""COMPUTED_VALUE"""),"SoC_MG_Betim")</f>
        <v>SoC_MG_Betim</v>
      </c>
      <c r="C6364" s="238" t="str">
        <f>IFERROR(__xludf.DUMMYFUNCTION("""COMPUTED_VALUE"""),"SOC-MG2")</f>
        <v>SOC-MG2</v>
      </c>
      <c r="D6364" s="234">
        <f>IFERROR(__xludf.DUMMYFUNCTION("""COMPUTED_VALUE"""),91.0)</f>
        <v>91</v>
      </c>
      <c r="E6364" s="237" t="str">
        <f>IFERROR(__xludf.DUMMYFUNCTION("""COMPUTED_VALUE"""),"LT0Q1U01XDAI2")</f>
        <v>LT0Q1U01XDAI2</v>
      </c>
      <c r="F6364" s="238" t="str">
        <f>IFERROR(__xludf.DUMMYFUNCTION("""COMPUTED_VALUE"""),"FSW4I21,RBB2B76")</f>
        <v>FSW4I21,RBB2B76</v>
      </c>
      <c r="G6364" s="238">
        <f>IFERROR(__xludf.DUMMYFUNCTION("""COMPUTED_VALUE"""),46053.08333333333)</f>
        <v>46053.08333</v>
      </c>
      <c r="H6364" s="238">
        <f>IFERROR(__xludf.DUMMYFUNCTION("""COMPUTED_VALUE"""),46053.45833333333)</f>
        <v>46053.45833</v>
      </c>
      <c r="J6364" s="239">
        <v>540.0</v>
      </c>
    </row>
    <row r="6365">
      <c r="A6365" s="234"/>
      <c r="B6365" s="238" t="str">
        <f>IFERROR(__xludf.DUMMYFUNCTION("""COMPUTED_VALUE"""),"SoC_MG_Betim")</f>
        <v>SoC_MG_Betim</v>
      </c>
      <c r="C6365" s="238" t="str">
        <f>IFERROR(__xludf.DUMMYFUNCTION("""COMPUTED_VALUE"""),"SOC-MG2")</f>
        <v>SOC-MG2</v>
      </c>
      <c r="D6365" s="234"/>
      <c r="E6365" s="237" t="str">
        <f>IFERROR(__xludf.DUMMYFUNCTION("""COMPUTED_VALUE"""),"LT0Q1U01XDAK3")</f>
        <v>LT0Q1U01XDAK3</v>
      </c>
      <c r="F6365" s="238" t="str">
        <f>IFERROR(__xludf.DUMMYFUNCTION("""COMPUTED_VALUE"""),"RTL6B19,SIH5F34")</f>
        <v>RTL6B19,SIH5F34</v>
      </c>
      <c r="G6365" s="238">
        <f>IFERROR(__xludf.DUMMYFUNCTION("""COMPUTED_VALUE"""),46053.08333333333)</f>
        <v>46053.08333</v>
      </c>
      <c r="H6365" s="238">
        <f>IFERROR(__xludf.DUMMYFUNCTION("""COMPUTED_VALUE"""),46053.45833333333)</f>
        <v>46053.45833</v>
      </c>
      <c r="J6365" s="239">
        <v>540.0</v>
      </c>
    </row>
    <row r="6366">
      <c r="A6366" s="234"/>
      <c r="B6366" s="238" t="str">
        <f>IFERROR(__xludf.DUMMYFUNCTION("""COMPUTED_VALUE"""),"SoC_RJ_Duque de Caxias")</f>
        <v>SoC_RJ_Duque de Caxias</v>
      </c>
      <c r="C6366" s="238" t="str">
        <f>IFERROR(__xludf.DUMMYFUNCTION("""COMPUTED_VALUE"""),"SOC-RJ2")</f>
        <v>SOC-RJ2</v>
      </c>
      <c r="D6366" s="234"/>
      <c r="E6366" s="237" t="str">
        <f>IFERROR(__xludf.DUMMYFUNCTION("""COMPUTED_VALUE"""),"LT0Q1U01XF9G1")</f>
        <v>LT0Q1U01XF9G1</v>
      </c>
      <c r="F6366" s="238" t="str">
        <f>IFERROR(__xludf.DUMMYFUNCTION("""COMPUTED_VALUE"""),"EJZ8E65,DTE5G24")</f>
        <v>EJZ8E65,DTE5G24</v>
      </c>
      <c r="G6366" s="238">
        <f>IFERROR(__xludf.DUMMYFUNCTION("""COMPUTED_VALUE"""),46053.08333333333)</f>
        <v>46053.08333</v>
      </c>
      <c r="H6366" s="238">
        <f>IFERROR(__xludf.DUMMYFUNCTION("""COMPUTED_VALUE"""),46053.45833333333)</f>
        <v>46053.45833</v>
      </c>
      <c r="J6366" s="239">
        <v>540.0</v>
      </c>
    </row>
    <row r="6367">
      <c r="A6367" s="234"/>
      <c r="B6367" s="238" t="str">
        <f>IFERROR(__xludf.DUMMYFUNCTION("""COMPUTED_VALUE"""),"SoC_RJ_Duque de Caxias")</f>
        <v>SoC_RJ_Duque de Caxias</v>
      </c>
      <c r="C6367" s="238" t="str">
        <f>IFERROR(__xludf.DUMMYFUNCTION("""COMPUTED_VALUE"""),"SOC-RJ2")</f>
        <v>SOC-RJ2</v>
      </c>
      <c r="D6367" s="234"/>
      <c r="E6367" s="237" t="str">
        <f>IFERROR(__xludf.DUMMYFUNCTION("""COMPUTED_VALUE"""),"LT1Q1U01XT1X1")</f>
        <v>LT1Q1U01XT1X1</v>
      </c>
      <c r="F6367" s="238" t="str">
        <f>IFERROR(__xludf.DUMMYFUNCTION("""COMPUTED_VALUE"""),"ETU8D01,NSK8235")</f>
        <v>ETU8D01,NSK8235</v>
      </c>
      <c r="G6367" s="238">
        <f>IFERROR(__xludf.DUMMYFUNCTION("""COMPUTED_VALUE"""),46053.08333333333)</f>
        <v>46053.08333</v>
      </c>
      <c r="H6367" s="238">
        <f>IFERROR(__xludf.DUMMYFUNCTION("""COMPUTED_VALUE"""),46053.45833333333)</f>
        <v>46053.45833</v>
      </c>
      <c r="J6367" s="239">
        <v>540.0</v>
      </c>
    </row>
    <row r="6368">
      <c r="A6368" s="234"/>
      <c r="B6368" s="238" t="str">
        <f>IFERROR(__xludf.DUMMYFUNCTION("""COMPUTED_VALUE"""),"SoC_RJ_Duque de Caxias")</f>
        <v>SoC_RJ_Duque de Caxias</v>
      </c>
      <c r="C6368" s="238" t="str">
        <f>IFERROR(__xludf.DUMMYFUNCTION("""COMPUTED_VALUE"""),"SOC-RJ2")</f>
        <v>SOC-RJ2</v>
      </c>
      <c r="D6368" s="234"/>
      <c r="E6368" s="237" t="str">
        <f>IFERROR(__xludf.DUMMYFUNCTION("""COMPUTED_VALUE"""),"LT1Q1U01XT1Y1")</f>
        <v>LT1Q1U01XT1Y1</v>
      </c>
      <c r="F6368" s="238" t="str">
        <f>IFERROR(__xludf.DUMMYFUNCTION("""COMPUTED_VALUE"""),"FPP3B13,DTC0608")</f>
        <v>FPP3B13,DTC0608</v>
      </c>
      <c r="G6368" s="238">
        <f>IFERROR(__xludf.DUMMYFUNCTION("""COMPUTED_VALUE"""),46053.08333333333)</f>
        <v>46053.08333</v>
      </c>
      <c r="H6368" s="238">
        <f>IFERROR(__xludf.DUMMYFUNCTION("""COMPUTED_VALUE"""),46053.45833333333)</f>
        <v>46053.45833</v>
      </c>
      <c r="J6368" s="239">
        <v>538.9999999967404</v>
      </c>
    </row>
    <row r="6369">
      <c r="A6369" s="234"/>
      <c r="B6369" s="238" t="str">
        <f>IFERROR(__xludf.DUMMYFUNCTION("""COMPUTED_VALUE"""),"SoC_PE_Jaboatão dos Guararapes")</f>
        <v>SoC_PE_Jaboatão dos Guararapes</v>
      </c>
      <c r="C6369" s="238" t="str">
        <f>IFERROR(__xludf.DUMMYFUNCTION("""COMPUTED_VALUE"""),"SOC-PE2")</f>
        <v>SOC-PE2</v>
      </c>
      <c r="D6369" s="234"/>
      <c r="E6369" s="237" t="str">
        <f>IFERROR(__xludf.DUMMYFUNCTION("""COMPUTED_VALUE"""),"LT0Q1U01XIC51")</f>
        <v>LT0Q1U01XIC51</v>
      </c>
      <c r="F6369" s="238" t="str">
        <f>IFERROR(__xludf.DUMMYFUNCTION("""COMPUTED_VALUE"""),"OZH6I41,DTB9I94")</f>
        <v>OZH6I41,DTB9I94</v>
      </c>
      <c r="G6369" s="238">
        <f>IFERROR(__xludf.DUMMYFUNCTION("""COMPUTED_VALUE"""),46053.084027777775)</f>
        <v>46053.08403</v>
      </c>
      <c r="H6369" s="238">
        <f>IFERROR(__xludf.DUMMYFUNCTION("""COMPUTED_VALUE"""),46053.45833333333)</f>
        <v>46053.45833</v>
      </c>
      <c r="J6369" s="239">
        <v>538.9999999967404</v>
      </c>
    </row>
    <row r="6370">
      <c r="A6370" s="234"/>
      <c r="B6370" s="238" t="str">
        <f>IFERROR(__xludf.DUMMYFUNCTION("""COMPUTED_VALUE"""),"SoC_PE_Jaboatão dos Guararapes")</f>
        <v>SoC_PE_Jaboatão dos Guararapes</v>
      </c>
      <c r="C6370" s="238" t="str">
        <f>IFERROR(__xludf.DUMMYFUNCTION("""COMPUTED_VALUE"""),"SOC-PE2")</f>
        <v>SOC-PE2</v>
      </c>
      <c r="D6370" s="234">
        <f>IFERROR(__xludf.DUMMYFUNCTION("""COMPUTED_VALUE"""),98.0)</f>
        <v>98</v>
      </c>
      <c r="E6370" s="237" t="str">
        <f>IFERROR(__xludf.DUMMYFUNCTION("""COMPUTED_VALUE"""),"LT0Q1U01XIC72")</f>
        <v>LT0Q1U01XIC72</v>
      </c>
      <c r="F6370" s="238" t="str">
        <f>IFERROR(__xludf.DUMMYFUNCTION("""COMPUTED_VALUE"""),"RIP9H21,QSR4F28")</f>
        <v>RIP9H21,QSR4F28</v>
      </c>
      <c r="G6370" s="238">
        <f>IFERROR(__xludf.DUMMYFUNCTION("""COMPUTED_VALUE"""),46053.084027777775)</f>
        <v>46053.08403</v>
      </c>
      <c r="H6370" s="238">
        <f>IFERROR(__xludf.DUMMYFUNCTION("""COMPUTED_VALUE"""),46053.45833333333)</f>
        <v>46053.45833</v>
      </c>
      <c r="J6370" s="239">
        <v>538.9999999967404</v>
      </c>
    </row>
    <row r="6371">
      <c r="A6371" s="234"/>
      <c r="B6371" s="238" t="str">
        <f>IFERROR(__xludf.DUMMYFUNCTION("""COMPUTED_VALUE"""),"SoC_PE_Jaboatão dos Guararapes")</f>
        <v>SoC_PE_Jaboatão dos Guararapes</v>
      </c>
      <c r="C6371" s="238" t="str">
        <f>IFERROR(__xludf.DUMMYFUNCTION("""COMPUTED_VALUE"""),"SOC-PE2")</f>
        <v>SOC-PE2</v>
      </c>
      <c r="D6371" s="234">
        <f>IFERROR(__xludf.DUMMYFUNCTION("""COMPUTED_VALUE"""),98.0)</f>
        <v>98</v>
      </c>
      <c r="E6371" s="237" t="str">
        <f>IFERROR(__xludf.DUMMYFUNCTION("""COMPUTED_VALUE"""),"LT0Q1U01XIC93")</f>
        <v>LT0Q1U01XIC93</v>
      </c>
      <c r="F6371" s="238" t="str">
        <f>IFERROR(__xludf.DUMMYFUNCTION("""COMPUTED_VALUE"""),"FVH6J48,TYE1G83")</f>
        <v>FVH6J48,TYE1G83</v>
      </c>
      <c r="G6371" s="238">
        <f>IFERROR(__xludf.DUMMYFUNCTION("""COMPUTED_VALUE"""),46053.084027777775)</f>
        <v>46053.08403</v>
      </c>
      <c r="H6371" s="238">
        <f>IFERROR(__xludf.DUMMYFUNCTION("""COMPUTED_VALUE"""),46053.45833333333)</f>
        <v>46053.45833</v>
      </c>
      <c r="J6371" s="239">
        <v>538.9999999967404</v>
      </c>
    </row>
    <row r="6372">
      <c r="A6372" s="234"/>
      <c r="B6372" s="238" t="str">
        <f>IFERROR(__xludf.DUMMYFUNCTION("""COMPUTED_VALUE"""),"SoC_SC_Itajaí")</f>
        <v>SoC_SC_Itajaí</v>
      </c>
      <c r="C6372" s="238" t="str">
        <f>IFERROR(__xludf.DUMMYFUNCTION("""COMPUTED_VALUE"""),"SOC-SC1")</f>
        <v>SOC-SC1</v>
      </c>
      <c r="D6372" s="234"/>
      <c r="E6372" s="237" t="str">
        <f>IFERROR(__xludf.DUMMYFUNCTION("""COMPUTED_VALUE"""),"LT0Q1U01XHI72")</f>
        <v>LT0Q1U01XHI72</v>
      </c>
      <c r="F6372" s="238" t="str">
        <f>IFERROR(__xludf.DUMMYFUNCTION("""COMPUTED_VALUE"""),"AXN2G91,PQT1A41")</f>
        <v>AXN2G91,PQT1A41</v>
      </c>
      <c r="G6372" s="238">
        <f>IFERROR(__xludf.DUMMYFUNCTION("""COMPUTED_VALUE"""),46053.084027777775)</f>
        <v>46053.08403</v>
      </c>
      <c r="H6372" s="238">
        <f>IFERROR(__xludf.DUMMYFUNCTION("""COMPUTED_VALUE"""),46053.45833333333)</f>
        <v>46053.45833</v>
      </c>
      <c r="J6372" s="239">
        <v>537.9999999934807</v>
      </c>
    </row>
    <row r="6373">
      <c r="A6373" s="234"/>
      <c r="B6373" s="238" t="str">
        <f>IFERROR(__xludf.DUMMYFUNCTION("""COMPUTED_VALUE"""),"SoC_RS_Gravataí_02")</f>
        <v>SoC_RS_Gravataí_02</v>
      </c>
      <c r="C6373" s="238" t="str">
        <f>IFERROR(__xludf.DUMMYFUNCTION("""COMPUTED_VALUE"""),"SOC-RS2")</f>
        <v>SOC-RS2</v>
      </c>
      <c r="D6373" s="234"/>
      <c r="E6373" s="237" t="str">
        <f>IFERROR(__xludf.DUMMYFUNCTION("""COMPUTED_VALUE"""),"LT0Q1U01XIT21")</f>
        <v>LT0Q1U01XIT21</v>
      </c>
      <c r="F6373" s="238" t="str">
        <f>IFERROR(__xludf.DUMMYFUNCTION("""COMPUTED_VALUE"""),"QIR3F16,AYP4F04")</f>
        <v>QIR3F16,AYP4F04</v>
      </c>
      <c r="G6373" s="238">
        <f>IFERROR(__xludf.DUMMYFUNCTION("""COMPUTED_VALUE"""),46053.08472222222)</f>
        <v>46053.08472</v>
      </c>
      <c r="H6373" s="238">
        <f>IFERROR(__xludf.DUMMYFUNCTION("""COMPUTED_VALUE"""),46053.45833333333)</f>
        <v>46053.45833</v>
      </c>
      <c r="J6373" s="239">
        <v>537.9999999934807</v>
      </c>
    </row>
    <row r="6374">
      <c r="A6374" s="234"/>
      <c r="B6374" s="238" t="str">
        <f>IFERROR(__xludf.DUMMYFUNCTION("""COMPUTED_VALUE"""),"SoC_RS_Gravataí_02")</f>
        <v>SoC_RS_Gravataí_02</v>
      </c>
      <c r="C6374" s="238" t="str">
        <f>IFERROR(__xludf.DUMMYFUNCTION("""COMPUTED_VALUE"""),"SOC-RS2")</f>
        <v>SOC-RS2</v>
      </c>
      <c r="D6374" s="234"/>
      <c r="E6374" s="237" t="str">
        <f>IFERROR(__xludf.DUMMYFUNCTION("""COMPUTED_VALUE"""),"LT0Q1U01XIT42")</f>
        <v>LT0Q1U01XIT42</v>
      </c>
      <c r="F6374" s="238" t="str">
        <f>IFERROR(__xludf.DUMMYFUNCTION("""COMPUTED_VALUE"""),"HJF7C38,CLK7A64")</f>
        <v>HJF7C38,CLK7A64</v>
      </c>
      <c r="G6374" s="238">
        <f>IFERROR(__xludf.DUMMYFUNCTION("""COMPUTED_VALUE"""),46053.08472222222)</f>
        <v>46053.08472</v>
      </c>
      <c r="H6374" s="238">
        <f>IFERROR(__xludf.DUMMYFUNCTION("""COMPUTED_VALUE"""),46053.45833333333)</f>
        <v>46053.45833</v>
      </c>
      <c r="J6374" s="239">
        <v>419.99999998603016</v>
      </c>
    </row>
    <row r="6375">
      <c r="A6375" s="234"/>
      <c r="B6375" s="238" t="str">
        <f>IFERROR(__xludf.DUMMYFUNCTION("""COMPUTED_VALUE"""),"SoC_GO_Goiânia_02")</f>
        <v>SoC_GO_Goiânia_02</v>
      </c>
      <c r="C6375" s="238" t="str">
        <f>IFERROR(__xludf.DUMMYFUNCTION("""COMPUTED_VALUE"""),"SOC-GO2")</f>
        <v>SOC-GO2</v>
      </c>
      <c r="D6375" s="234">
        <f>IFERROR(__xludf.DUMMYFUNCTION("""COMPUTED_VALUE"""),87.0)</f>
        <v>87</v>
      </c>
      <c r="E6375" s="237" t="str">
        <f>IFERROR(__xludf.DUMMYFUNCTION("""COMPUTED_VALUE"""),"LT0Q1U01XIQU2")</f>
        <v>LT0Q1U01XIQU2</v>
      </c>
      <c r="F6375" s="238" t="str">
        <f>IFERROR(__xludf.DUMMYFUNCTION("""COMPUTED_VALUE"""),"SUR9E19,FUP2C03")</f>
        <v>SUR9E19,FUP2C03</v>
      </c>
      <c r="G6375" s="238">
        <f>IFERROR(__xludf.DUMMYFUNCTION("""COMPUTED_VALUE"""),46053.16666666667)</f>
        <v>46053.16667</v>
      </c>
      <c r="H6375" s="238">
        <f>IFERROR(__xludf.DUMMYFUNCTION("""COMPUTED_VALUE"""),46053.45833333333)</f>
        <v>46053.45833</v>
      </c>
      <c r="J6375" s="239">
        <v>419.99999998603016</v>
      </c>
    </row>
    <row r="6376">
      <c r="A6376" s="234"/>
      <c r="B6376" s="238" t="str">
        <f>IFERROR(__xludf.DUMMYFUNCTION("""COMPUTED_VALUE"""),"SoC_MG_Betim")</f>
        <v>SoC_MG_Betim</v>
      </c>
      <c r="C6376" s="238" t="str">
        <f>IFERROR(__xludf.DUMMYFUNCTION("""COMPUTED_VALUE"""),"SOC-MG2")</f>
        <v>SOC-MG2</v>
      </c>
      <c r="D6376" s="234">
        <f>IFERROR(__xludf.DUMMYFUNCTION("""COMPUTED_VALUE"""),91.0)</f>
        <v>91</v>
      </c>
      <c r="E6376" s="237" t="str">
        <f>IFERROR(__xludf.DUMMYFUNCTION("""COMPUTED_VALUE"""),"LT0Q1U01XDAG1")</f>
        <v>LT0Q1U01XDAG1</v>
      </c>
      <c r="F6376" s="238" t="str">
        <f>IFERROR(__xludf.DUMMYFUNCTION("""COMPUTED_VALUE"""),"CUT3C97,UGQ3D55")</f>
        <v>CUT3C97,UGQ3D55</v>
      </c>
      <c r="G6376" s="238">
        <f>IFERROR(__xludf.DUMMYFUNCTION("""COMPUTED_VALUE"""),46053.16666666667)</f>
        <v>46053.16667</v>
      </c>
      <c r="H6376" s="238">
        <f>IFERROR(__xludf.DUMMYFUNCTION("""COMPUTED_VALUE"""),46053.45833333333)</f>
        <v>46053.45833</v>
      </c>
      <c r="J6376" s="239">
        <v>419.99999998603016</v>
      </c>
    </row>
    <row r="6377">
      <c r="A6377" s="234"/>
      <c r="B6377" s="238" t="str">
        <f>IFERROR(__xludf.DUMMYFUNCTION("""COMPUTED_VALUE"""),"SoC_RJ_Duque de Caxias")</f>
        <v>SoC_RJ_Duque de Caxias</v>
      </c>
      <c r="C6377" s="238" t="str">
        <f>IFERROR(__xludf.DUMMYFUNCTION("""COMPUTED_VALUE"""),"SOC-RJ2")</f>
        <v>SOC-RJ2</v>
      </c>
      <c r="D6377" s="234"/>
      <c r="E6377" s="237" t="str">
        <f>IFERROR(__xludf.DUMMYFUNCTION("""COMPUTED_VALUE"""),"LT0Q1U01XF9I2")</f>
        <v>LT0Q1U01XF9I2</v>
      </c>
      <c r="F6377" s="238" t="str">
        <f>IFERROR(__xludf.DUMMYFUNCTION("""COMPUTED_VALUE"""),"FQF4F47,RBD8C75")</f>
        <v>FQF4F47,RBD8C75</v>
      </c>
      <c r="G6377" s="238">
        <f>IFERROR(__xludf.DUMMYFUNCTION("""COMPUTED_VALUE"""),46053.16666666667)</f>
        <v>46053.16667</v>
      </c>
      <c r="H6377" s="238">
        <f>IFERROR(__xludf.DUMMYFUNCTION("""COMPUTED_VALUE"""),46053.45833333333)</f>
        <v>46053.45833</v>
      </c>
      <c r="J6377" s="239">
        <v>416.99999999720603</v>
      </c>
    </row>
    <row r="6378">
      <c r="A6378" s="234"/>
      <c r="B6378" s="238" t="str">
        <f>IFERROR(__xludf.DUMMYFUNCTION("""COMPUTED_VALUE"""),"SoC_RJ_Duque de Caxias")</f>
        <v>SoC_RJ_Duque de Caxias</v>
      </c>
      <c r="C6378" s="238" t="str">
        <f>IFERROR(__xludf.DUMMYFUNCTION("""COMPUTED_VALUE"""),"SOC-RJ2")</f>
        <v>SOC-RJ2</v>
      </c>
      <c r="D6378" s="234" t="str">
        <f>IFERROR(__xludf.DUMMYFUNCTION("""COMPUTED_VALUE"""),"96/26")</f>
        <v>96/26</v>
      </c>
      <c r="E6378" s="237" t="str">
        <f>IFERROR(__xludf.DUMMYFUNCTION("""COMPUTED_VALUE"""),"LT0Q1U01XMJ82")</f>
        <v>LT0Q1U01XMJ82</v>
      </c>
      <c r="F6378" s="238" t="str">
        <f>IFERROR(__xludf.DUMMYFUNCTION("""COMPUTED_VALUE"""),"GFZ3B99,DVS2826")</f>
        <v>GFZ3B99,DVS2826</v>
      </c>
      <c r="G6378" s="238">
        <f>IFERROR(__xludf.DUMMYFUNCTION("""COMPUTED_VALUE"""),46053.16875)</f>
        <v>46053.16875</v>
      </c>
      <c r="H6378" s="238">
        <f>IFERROR(__xludf.DUMMYFUNCTION("""COMPUTED_VALUE"""),46053.45833333333)</f>
        <v>46053.45833</v>
      </c>
      <c r="J6378" s="239">
        <v>416.99999999720603</v>
      </c>
    </row>
    <row r="6379">
      <c r="A6379" s="234"/>
      <c r="B6379" s="238" t="str">
        <f>IFERROR(__xludf.DUMMYFUNCTION("""COMPUTED_VALUE"""),"SoC_SP_Cravinhos")</f>
        <v>SoC_SP_Cravinhos</v>
      </c>
      <c r="C6379" s="238" t="str">
        <f>IFERROR(__xludf.DUMMYFUNCTION("""COMPUTED_VALUE"""),"SOC-SP5")</f>
        <v>SOC-SP5</v>
      </c>
      <c r="D6379" s="234">
        <f>IFERROR(__xludf.DUMMYFUNCTION("""COMPUTED_VALUE"""),94.0)</f>
        <v>94</v>
      </c>
      <c r="E6379" s="237" t="str">
        <f>IFERROR(__xludf.DUMMYFUNCTION("""COMPUTED_VALUE"""),"LT0Q1U01XDCM1")</f>
        <v>LT0Q1U01XDCM1</v>
      </c>
      <c r="F6379" s="238" t="str">
        <f>IFERROR(__xludf.DUMMYFUNCTION("""COMPUTED_VALUE"""),"FRU2141,TKN4J33")</f>
        <v>FRU2141,TKN4J33</v>
      </c>
      <c r="G6379" s="238">
        <f>IFERROR(__xludf.DUMMYFUNCTION("""COMPUTED_VALUE"""),46053.16875)</f>
        <v>46053.16875</v>
      </c>
      <c r="H6379" s="238">
        <f>IFERROR(__xludf.DUMMYFUNCTION("""COMPUTED_VALUE"""),46053.45833333333)</f>
        <v>46053.45833</v>
      </c>
      <c r="J6379" s="239">
        <v>600.0000000069849</v>
      </c>
    </row>
    <row r="6380">
      <c r="A6380" s="234"/>
      <c r="B6380" s="238" t="str">
        <f>IFERROR(__xludf.DUMMYFUNCTION("""COMPUTED_VALUE"""),"SoC_BA_Simoes Filho")</f>
        <v>SoC_BA_Simoes Filho</v>
      </c>
      <c r="C6380" s="238" t="str">
        <f>IFERROR(__xludf.DUMMYFUNCTION("""COMPUTED_VALUE"""),"SOC-BA2")</f>
        <v>SOC-BA2</v>
      </c>
      <c r="D6380" s="234">
        <f>IFERROR(__xludf.DUMMYFUNCTION("""COMPUTED_VALUE"""),89.0)</f>
        <v>89</v>
      </c>
      <c r="E6380" s="237" t="str">
        <f>IFERROR(__xludf.DUMMYFUNCTION("""COMPUTED_VALUE"""),"LT0Q1V01XIEU1")</f>
        <v>LT0Q1V01XIEU1</v>
      </c>
      <c r="F6380" s="238" t="str">
        <f>IFERROR(__xludf.DUMMYFUNCTION("""COMPUTED_VALUE"""),"MRM5743,KUM9786")</f>
        <v>MRM5743,KUM9786</v>
      </c>
      <c r="G6380" s="238">
        <f>IFERROR(__xludf.DUMMYFUNCTION("""COMPUTED_VALUE"""),46053.25)</f>
        <v>46053.25</v>
      </c>
      <c r="H6380" s="238">
        <f>IFERROR(__xludf.DUMMYFUNCTION("""COMPUTED_VALUE"""),46053.66666666667)</f>
        <v>46053.66667</v>
      </c>
      <c r="J6380" s="239">
        <v>600.0000000069849</v>
      </c>
    </row>
    <row r="6381">
      <c r="A6381" s="234"/>
      <c r="B6381" s="238" t="str">
        <f>IFERROR(__xludf.DUMMYFUNCTION("""COMPUTED_VALUE"""),"SoC_MG_Betim")</f>
        <v>SoC_MG_Betim</v>
      </c>
      <c r="C6381" s="238" t="str">
        <f>IFERROR(__xludf.DUMMYFUNCTION("""COMPUTED_VALUE"""),"SOC-MG2")</f>
        <v>SOC-MG2</v>
      </c>
      <c r="D6381" s="234"/>
      <c r="E6381" s="237" t="str">
        <f>IFERROR(__xludf.DUMMYFUNCTION("""COMPUTED_VALUE"""),"LT0Q1V01XD9J1")</f>
        <v>LT0Q1V01XD9J1</v>
      </c>
      <c r="F6381" s="238" t="str">
        <f>IFERROR(__xludf.DUMMYFUNCTION("""COMPUTED_VALUE"""),"FKB6C94,DVS4C82")</f>
        <v>FKB6C94,DVS4C82</v>
      </c>
      <c r="G6381" s="238">
        <f>IFERROR(__xludf.DUMMYFUNCTION("""COMPUTED_VALUE"""),46053.25)</f>
        <v>46053.25</v>
      </c>
      <c r="H6381" s="238">
        <f>IFERROR(__xludf.DUMMYFUNCTION("""COMPUTED_VALUE"""),46053.66666666667)</f>
        <v>46053.66667</v>
      </c>
      <c r="J6381" s="239">
        <v>600.0000000069849</v>
      </c>
    </row>
    <row r="6382">
      <c r="A6382" s="234"/>
      <c r="B6382" s="238" t="str">
        <f>IFERROR(__xludf.DUMMYFUNCTION("""COMPUTED_VALUE"""),"SoC_MG_Betim")</f>
        <v>SoC_MG_Betim</v>
      </c>
      <c r="C6382" s="238" t="str">
        <f>IFERROR(__xludf.DUMMYFUNCTION("""COMPUTED_VALUE"""),"SOC-MG2")</f>
        <v>SOC-MG2</v>
      </c>
      <c r="D6382" s="234"/>
      <c r="E6382" s="237" t="str">
        <f>IFERROR(__xludf.DUMMYFUNCTION("""COMPUTED_VALUE"""),"LT0Q1V01XD9L2")</f>
        <v>LT0Q1V01XD9L2</v>
      </c>
      <c r="F6382" s="238" t="str">
        <f>IFERROR(__xludf.DUMMYFUNCTION("""COMPUTED_VALUE"""),"QKL5B12,JOM2I61")</f>
        <v>QKL5B12,JOM2I61</v>
      </c>
      <c r="G6382" s="238">
        <f>IFERROR(__xludf.DUMMYFUNCTION("""COMPUTED_VALUE"""),46053.25)</f>
        <v>46053.25</v>
      </c>
      <c r="H6382" s="238">
        <f>IFERROR(__xludf.DUMMYFUNCTION("""COMPUTED_VALUE"""),46053.66666666667)</f>
        <v>46053.66667</v>
      </c>
      <c r="J6382" s="239">
        <v>600.0000000069849</v>
      </c>
    </row>
    <row r="6383">
      <c r="A6383" s="234"/>
      <c r="B6383" s="238" t="str">
        <f>IFERROR(__xludf.DUMMYFUNCTION("""COMPUTED_VALUE"""),"SoC_RJ_Duque de Caxias")</f>
        <v>SoC_RJ_Duque de Caxias</v>
      </c>
      <c r="C6383" s="238" t="str">
        <f>IFERROR(__xludf.DUMMYFUNCTION("""COMPUTED_VALUE"""),"SOC-RJ2")</f>
        <v>SOC-RJ2</v>
      </c>
      <c r="D6383" s="234">
        <f>IFERROR(__xludf.DUMMYFUNCTION("""COMPUTED_VALUE"""),96.0)</f>
        <v>96</v>
      </c>
      <c r="E6383" s="237" t="str">
        <f>IFERROR(__xludf.DUMMYFUNCTION("""COMPUTED_VALUE"""),"LT0Q1V01XF8J1")</f>
        <v>LT0Q1V01XF8J1</v>
      </c>
      <c r="F6383" s="238" t="str">
        <f>IFERROR(__xludf.DUMMYFUNCTION("""COMPUTED_VALUE"""),"EJZ8E65,DTE5G24")</f>
        <v>EJZ8E65,DTE5G24</v>
      </c>
      <c r="G6383" s="238">
        <f>IFERROR(__xludf.DUMMYFUNCTION("""COMPUTED_VALUE"""),46053.25)</f>
        <v>46053.25</v>
      </c>
      <c r="H6383" s="238">
        <f>IFERROR(__xludf.DUMMYFUNCTION("""COMPUTED_VALUE"""),46053.66666666667)</f>
        <v>46053.66667</v>
      </c>
      <c r="J6383" s="239">
        <v>599.0000000037253</v>
      </c>
    </row>
    <row r="6384">
      <c r="A6384" s="234"/>
      <c r="B6384" s="238" t="str">
        <f>IFERROR(__xludf.DUMMYFUNCTION("""COMPUTED_VALUE"""),"SoC_RS_Gravataí_02")</f>
        <v>SoC_RS_Gravataí_02</v>
      </c>
      <c r="C6384" s="238" t="str">
        <f>IFERROR(__xludf.DUMMYFUNCTION("""COMPUTED_VALUE"""),"SOC-RS2")</f>
        <v>SOC-RS2</v>
      </c>
      <c r="D6384" s="234">
        <f>IFERROR(__xludf.DUMMYFUNCTION("""COMPUTED_VALUE"""),93.0)</f>
        <v>93</v>
      </c>
      <c r="E6384" s="237" t="str">
        <f>IFERROR(__xludf.DUMMYFUNCTION("""COMPUTED_VALUE"""),"LT0Q1V01XISK2")</f>
        <v>LT0Q1V01XISK2</v>
      </c>
      <c r="F6384" s="238" t="str">
        <f>IFERROR(__xludf.DUMMYFUNCTION("""COMPUTED_VALUE"""),"ECM7F13,ATR8I85")</f>
        <v>ECM7F13,ATR8I85</v>
      </c>
      <c r="G6384" s="238">
        <f>IFERROR(__xludf.DUMMYFUNCTION("""COMPUTED_VALUE"""),46053.25069444445)</f>
        <v>46053.25069</v>
      </c>
      <c r="H6384" s="238">
        <f>IFERROR(__xludf.DUMMYFUNCTION("""COMPUTED_VALUE"""),46053.66666666667)</f>
        <v>46053.66667</v>
      </c>
      <c r="J6384" s="239">
        <v>598.0000000004657</v>
      </c>
    </row>
    <row r="6385">
      <c r="A6385" s="234"/>
      <c r="B6385" s="238" t="str">
        <f>IFERROR(__xludf.DUMMYFUNCTION("""COMPUTED_VALUE"""),"SoC_GO_Goiânia_02")</f>
        <v>SoC_GO_Goiânia_02</v>
      </c>
      <c r="C6385" s="238" t="str">
        <f>IFERROR(__xludf.DUMMYFUNCTION("""COMPUTED_VALUE"""),"SOC-GO2")</f>
        <v>SOC-GO2</v>
      </c>
      <c r="D6385" s="234">
        <f>IFERROR(__xludf.DUMMYFUNCTION("""COMPUTED_VALUE"""),87.0)</f>
        <v>87</v>
      </c>
      <c r="E6385" s="237" t="str">
        <f>IFERROR(__xludf.DUMMYFUNCTION("""COMPUTED_VALUE"""),"LT0Q1V01XIQC2")</f>
        <v>LT0Q1V01XIQC2</v>
      </c>
      <c r="F6385" s="238" t="str">
        <f>IFERROR(__xludf.DUMMYFUNCTION("""COMPUTED_VALUE"""),"DPB6G11,BSF5F35")</f>
        <v>DPB6G11,BSF5F35</v>
      </c>
      <c r="G6385" s="238">
        <f>IFERROR(__xludf.DUMMYFUNCTION("""COMPUTED_VALUE"""),46053.25138888889)</f>
        <v>46053.25139</v>
      </c>
      <c r="H6385" s="238">
        <f>IFERROR(__xludf.DUMMYFUNCTION("""COMPUTED_VALUE"""),46053.66666666667)</f>
        <v>46053.66667</v>
      </c>
      <c r="J6385" s="239">
        <v>598.0000000004657</v>
      </c>
    </row>
    <row r="6386">
      <c r="A6386" s="234"/>
      <c r="B6386" s="238" t="str">
        <f>IFERROR(__xludf.DUMMYFUNCTION("""COMPUTED_VALUE"""),"SoC_PE_Jaboatão dos Guararapes")</f>
        <v>SoC_PE_Jaboatão dos Guararapes</v>
      </c>
      <c r="C6386" s="238" t="str">
        <f>IFERROR(__xludf.DUMMYFUNCTION("""COMPUTED_VALUE"""),"SOC-PE2")</f>
        <v>SOC-PE2</v>
      </c>
      <c r="D6386" s="234"/>
      <c r="E6386" s="237" t="str">
        <f>IFERROR(__xludf.DUMMYFUNCTION("""COMPUTED_VALUE"""),"LT0Q1V01XIBO1")</f>
        <v>LT0Q1V01XIBO1</v>
      </c>
      <c r="F6386" s="238" t="str">
        <f>IFERROR(__xludf.DUMMYFUNCTION("""COMPUTED_VALUE"""),"NGE1I09,BAP5B41")</f>
        <v>NGE1I09,BAP5B41</v>
      </c>
      <c r="G6386" s="238">
        <f>IFERROR(__xludf.DUMMYFUNCTION("""COMPUTED_VALUE"""),46053.25138888889)</f>
        <v>46053.25139</v>
      </c>
      <c r="H6386" s="238">
        <f>IFERROR(__xludf.DUMMYFUNCTION("""COMPUTED_VALUE"""),46053.66666666667)</f>
        <v>46053.66667</v>
      </c>
      <c r="J6386" s="239">
        <v>597.0000000076834</v>
      </c>
    </row>
    <row r="6387">
      <c r="A6387" s="234"/>
      <c r="B6387" s="238" t="str">
        <f>IFERROR(__xludf.DUMMYFUNCTION("""COMPUTED_VALUE"""),"SoC_RJ_Duque de Caxias")</f>
        <v>SoC_RJ_Duque de Caxias</v>
      </c>
      <c r="C6387" s="238" t="str">
        <f>IFERROR(__xludf.DUMMYFUNCTION("""COMPUTED_VALUE"""),"SOC-RJ2")</f>
        <v>SOC-RJ2</v>
      </c>
      <c r="D6387" s="234">
        <f>IFERROR(__xludf.DUMMYFUNCTION("""COMPUTED_VALUE"""),96.0)</f>
        <v>96</v>
      </c>
      <c r="E6387" s="237" t="str">
        <f>IFERROR(__xludf.DUMMYFUNCTION("""COMPUTED_VALUE"""),"LT0Q1V01XMIV1")</f>
        <v>LT0Q1V01XMIV1</v>
      </c>
      <c r="F6387" s="238" t="str">
        <f>IFERROR(__xludf.DUMMYFUNCTION("""COMPUTED_VALUE"""),"SRD9E27,DWQ3B82")</f>
        <v>SRD9E27,DWQ3B82</v>
      </c>
      <c r="G6387" s="238">
        <f>IFERROR(__xludf.DUMMYFUNCTION("""COMPUTED_VALUE"""),46053.25208333333)</f>
        <v>46053.25208</v>
      </c>
      <c r="H6387" s="238">
        <f>IFERROR(__xludf.DUMMYFUNCTION("""COMPUTED_VALUE"""),46053.66666666667)</f>
        <v>46053.66667</v>
      </c>
      <c r="J6387" s="239">
        <v>120.00000001396984</v>
      </c>
    </row>
    <row r="6388">
      <c r="A6388" s="234"/>
      <c r="B6388" s="238" t="str">
        <f>IFERROR(__xludf.DUMMYFUNCTION("""COMPUTED_VALUE"""),"LM Hub_SP_São Paulo_Lapa")</f>
        <v>LM Hub_SP_São Paulo_Lapa</v>
      </c>
      <c r="C6388" s="238" t="str">
        <f>IFERROR(__xludf.DUMMYFUNCTION("""COMPUTED_VALUE"""),"HUB-LSP-15")</f>
        <v>HUB-LSP-15</v>
      </c>
      <c r="D6388" s="234">
        <f>IFERROR(__xludf.DUMMYFUNCTION("""COMPUTED_VALUE"""),25.0)</f>
        <v>25</v>
      </c>
      <c r="E6388" s="237" t="str">
        <f>IFERROR(__xludf.DUMMYFUNCTION("""COMPUTED_VALUE"""),"LT0Q1V01XDDY1")</f>
        <v>LT0Q1V01XDDY1</v>
      </c>
      <c r="F6388" s="238" t="str">
        <f>IFERROR(__xludf.DUMMYFUNCTION("""COMPUTED_VALUE"""),"QPV1A02,ELQ6F04")</f>
        <v>QPV1A02,ELQ6F04</v>
      </c>
      <c r="G6388" s="238">
        <f>IFERROR(__xludf.DUMMYFUNCTION("""COMPUTED_VALUE"""),46053.89583333333)</f>
        <v>46053.89583</v>
      </c>
      <c r="H6388" s="238">
        <f>IFERROR(__xludf.DUMMYFUNCTION("""COMPUTED_VALUE"""),46053.97916666667)</f>
        <v>46053.97917</v>
      </c>
      <c r="J6388" s="239">
        <v>120.00000001396984</v>
      </c>
    </row>
    <row r="6389">
      <c r="A6389" s="234"/>
      <c r="B6389" s="238" t="str">
        <f>IFERROR(__xludf.DUMMYFUNCTION("""COMPUTED_VALUE"""),"LM Hub_SP_Itaqua_Zimba")</f>
        <v>LM Hub_SP_Itaqua_Zimba</v>
      </c>
      <c r="C6389" s="238" t="str">
        <f>IFERROR(__xludf.DUMMYFUNCTION("""COMPUTED_VALUE"""),"HUB-LSP-74")</f>
        <v>HUB-LSP-74</v>
      </c>
      <c r="D6389" s="234">
        <f>IFERROR(__xludf.DUMMYFUNCTION("""COMPUTED_VALUE"""),9.0)</f>
        <v>9</v>
      </c>
      <c r="E6389" s="237" t="str">
        <f>IFERROR(__xludf.DUMMYFUNCTION("""COMPUTED_VALUE"""),"LT0Q1V01XDFB1")</f>
        <v>LT0Q1V01XDFB1</v>
      </c>
      <c r="F6389" s="238" t="str">
        <f>IFERROR(__xludf.DUMMYFUNCTION("""COMPUTED_VALUE"""),"UFL4C38,UDC4C00")</f>
        <v>UFL4C38,UDC4C00</v>
      </c>
      <c r="G6389" s="238">
        <f>IFERROR(__xludf.DUMMYFUNCTION("""COMPUTED_VALUE"""),46053.89583333333)</f>
        <v>46053.89583</v>
      </c>
      <c r="H6389" s="238">
        <f>IFERROR(__xludf.DUMMYFUNCTION("""COMPUTED_VALUE"""),46053.97916666667)</f>
        <v>46053.97917</v>
      </c>
      <c r="J6389" s="239">
        <v>120.00000001396984</v>
      </c>
    </row>
    <row r="6390">
      <c r="A6390" s="234"/>
      <c r="B6390" s="238" t="str">
        <f>IFERROR(__xludf.DUMMYFUNCTION("""COMPUTED_VALUE"""),"LM Hub_SP_Santos_Praia Grande")</f>
        <v>LM Hub_SP_Santos_Praia Grande</v>
      </c>
      <c r="C6390" s="238" t="str">
        <f>IFERROR(__xludf.DUMMYFUNCTION("""COMPUTED_VALUE"""),"HUB-LSP-09")</f>
        <v>HUB-LSP-09</v>
      </c>
      <c r="D6390" s="234">
        <f>IFERROR(__xludf.DUMMYFUNCTION("""COMPUTED_VALUE"""),19.0)</f>
        <v>19</v>
      </c>
      <c r="E6390" s="237" t="str">
        <f>IFERROR(__xludf.DUMMYFUNCTION("""COMPUTED_VALUE"""),"LT0Q1V01XDH31")</f>
        <v>LT0Q1V01XDH31</v>
      </c>
      <c r="F6390" s="238" t="str">
        <f>IFERROR(__xludf.DUMMYFUNCTION("""COMPUTED_VALUE"""),"FZO3D72,DKH9I98")</f>
        <v>FZO3D72,DKH9I98</v>
      </c>
      <c r="G6390" s="238">
        <f>IFERROR(__xludf.DUMMYFUNCTION("""COMPUTED_VALUE"""),46053.89583333333)</f>
        <v>46053.89583</v>
      </c>
      <c r="H6390" s="238">
        <f>IFERROR(__xludf.DUMMYFUNCTION("""COMPUTED_VALUE"""),46053.97916666667)</f>
        <v>46053.97917</v>
      </c>
      <c r="J6390" s="239">
        <v>119.00000001071021</v>
      </c>
    </row>
    <row r="6391">
      <c r="A6391" s="234"/>
      <c r="B6391" s="238" t="str">
        <f>IFERROR(__xludf.DUMMYFUNCTION("""COMPUTED_VALUE"""),"LM Hub_SP_Jurubatuba")</f>
        <v>LM Hub_SP_Jurubatuba</v>
      </c>
      <c r="C6391" s="238" t="str">
        <f>IFERROR(__xludf.DUMMYFUNCTION("""COMPUTED_VALUE"""),"HUB-LSP-16")</f>
        <v>HUB-LSP-16</v>
      </c>
      <c r="D6391" s="234">
        <f>IFERROR(__xludf.DUMMYFUNCTION("""COMPUTED_VALUE"""),24.0)</f>
        <v>24</v>
      </c>
      <c r="E6391" s="237" t="str">
        <f>IFERROR(__xludf.DUMMYFUNCTION("""COMPUTED_VALUE"""),"LT0Q1V01XDE31")</f>
        <v>LT0Q1V01XDE31</v>
      </c>
      <c r="F6391" s="238" t="str">
        <f>IFERROR(__xludf.DUMMYFUNCTION("""COMPUTED_VALUE"""),"MQV9D62,BVT6J01")</f>
        <v>MQV9D62,BVT6J01</v>
      </c>
      <c r="G6391" s="238">
        <f>IFERROR(__xludf.DUMMYFUNCTION("""COMPUTED_VALUE"""),46053.896527777775)</f>
        <v>46053.89653</v>
      </c>
      <c r="H6391" s="238">
        <f>IFERROR(__xludf.DUMMYFUNCTION("""COMPUTED_VALUE"""),46053.97916666667)</f>
        <v>46053.97917</v>
      </c>
      <c r="J6391" s="239">
        <v>119.00000001071021</v>
      </c>
    </row>
    <row r="6392">
      <c r="A6392" s="234"/>
      <c r="B6392" s="238" t="str">
        <f>IFERROR(__xludf.DUMMYFUNCTION("""COMPUTED_VALUE"""),"LM Hub_SP_São José dos Campos")</f>
        <v>LM Hub_SP_São José dos Campos</v>
      </c>
      <c r="C6392" s="238" t="str">
        <f>IFERROR(__xludf.DUMMYFUNCTION("""COMPUTED_VALUE"""),"HUB-LSP-04")</f>
        <v>HUB-LSP-04</v>
      </c>
      <c r="D6392" s="234">
        <f>IFERROR(__xludf.DUMMYFUNCTION("""COMPUTED_VALUE"""),21.0)</f>
        <v>21</v>
      </c>
      <c r="E6392" s="237" t="str">
        <f>IFERROR(__xludf.DUMMYFUNCTION("""COMPUTED_VALUE"""),"LT0Q1V01XDHU1")</f>
        <v>LT0Q1V01XDHU1</v>
      </c>
      <c r="F6392" s="238" t="str">
        <f>IFERROR(__xludf.DUMMYFUNCTION("""COMPUTED_VALUE"""),"TBX6C27")</f>
        <v>TBX6C27</v>
      </c>
      <c r="G6392" s="238">
        <f>IFERROR(__xludf.DUMMYFUNCTION("""COMPUTED_VALUE"""),46053.896527777775)</f>
        <v>46053.89653</v>
      </c>
      <c r="H6392" s="238">
        <f>IFERROR(__xludf.DUMMYFUNCTION("""COMPUTED_VALUE"""),46053.97916666667)</f>
        <v>46053.97917</v>
      </c>
      <c r="J6392" s="239">
        <v>118.99999998975545</v>
      </c>
    </row>
    <row r="6393">
      <c r="A6393" s="234"/>
      <c r="B6393" s="238" t="str">
        <f>IFERROR(__xludf.DUMMYFUNCTION("""COMPUTED_VALUE"""),"LM Hub_SP_Guarujá")</f>
        <v>LM Hub_SP_Guarujá</v>
      </c>
      <c r="C6393" s="238" t="str">
        <f>IFERROR(__xludf.DUMMYFUNCTION("""COMPUTED_VALUE"""),"HUB-LSP-06")</f>
        <v>HUB-LSP-06</v>
      </c>
      <c r="D6393" s="234">
        <f>IFERROR(__xludf.DUMMYFUNCTION("""COMPUTED_VALUE"""),36.0)</f>
        <v>36</v>
      </c>
      <c r="E6393" s="237" t="str">
        <f>IFERROR(__xludf.DUMMYFUNCTION("""COMPUTED_VALUE"""),"LT0Q1V01XDG31")</f>
        <v>LT0Q1V01XDG31</v>
      </c>
      <c r="F6393" s="238" t="str">
        <f>IFERROR(__xludf.DUMMYFUNCTION("""COMPUTED_VALUE"""),"TJN5H17")</f>
        <v>TJN5H17</v>
      </c>
      <c r="G6393" s="238">
        <f>IFERROR(__xludf.DUMMYFUNCTION("""COMPUTED_VALUE"""),46053.91666666667)</f>
        <v>46053.91667</v>
      </c>
      <c r="H6393" s="238">
        <f>IFERROR(__xludf.DUMMYFUNCTION("""COMPUTED_VALUE"""),46053.99930555555)</f>
        <v>46053.99931</v>
      </c>
      <c r="J6393" s="239">
        <v>119.99999999301508</v>
      </c>
    </row>
    <row r="6394">
      <c r="A6394" s="234"/>
      <c r="B6394" s="238" t="str">
        <f>IFERROR(__xludf.DUMMYFUNCTION("""COMPUTED_VALUE"""),"LM Hub_SP_Artur Alvim")</f>
        <v>LM Hub_SP_Artur Alvim</v>
      </c>
      <c r="C6394" s="238" t="str">
        <f>IFERROR(__xludf.DUMMYFUNCTION("""COMPUTED_VALUE"""),"HUB-LSP-07")</f>
        <v>HUB-LSP-07</v>
      </c>
      <c r="D6394" s="234">
        <f>IFERROR(__xludf.DUMMYFUNCTION("""COMPUTED_VALUE"""),16.0)</f>
        <v>16</v>
      </c>
      <c r="E6394" s="237" t="str">
        <f>IFERROR(__xludf.DUMMYFUNCTION("""COMPUTED_VALUE"""),"LT0Q1V01XDDG1")</f>
        <v>LT0Q1V01XDDG1</v>
      </c>
      <c r="F6394" s="238" t="str">
        <f>IFERROR(__xludf.DUMMYFUNCTION("""COMPUTED_VALUE"""),"DVT5D28,DTC7I46")</f>
        <v>DVT5D28,DTC7I46</v>
      </c>
      <c r="G6394" s="238">
        <f>IFERROR(__xludf.DUMMYFUNCTION("""COMPUTED_VALUE"""),46053.91666666667)</f>
        <v>46053.91667</v>
      </c>
      <c r="H6394" s="238">
        <f>IFERROR(__xludf.DUMMYFUNCTION("""COMPUTED_VALUE"""),46054.0)</f>
        <v>46054</v>
      </c>
      <c r="J6394" s="239">
        <v>119.99999999301508</v>
      </c>
    </row>
    <row r="6395">
      <c r="A6395" s="234"/>
      <c r="B6395" s="238" t="str">
        <f>IFERROR(__xludf.DUMMYFUNCTION("""COMPUTED_VALUE"""),"LM Hub_SP_Itapevi")</f>
        <v>LM Hub_SP_Itapevi</v>
      </c>
      <c r="C6395" s="238" t="str">
        <f>IFERROR(__xludf.DUMMYFUNCTION("""COMPUTED_VALUE"""),"HUB-LSP-41")</f>
        <v>HUB-LSP-41</v>
      </c>
      <c r="D6395" s="234">
        <f>IFERROR(__xludf.DUMMYFUNCTION("""COMPUTED_VALUE"""),17.0)</f>
        <v>17</v>
      </c>
      <c r="E6395" s="237" t="str">
        <f>IFERROR(__xludf.DUMMYFUNCTION("""COMPUTED_VALUE"""),"LT0Q1V01XDEV1")</f>
        <v>LT0Q1V01XDEV1</v>
      </c>
      <c r="F6395" s="238" t="str">
        <f>IFERROR(__xludf.DUMMYFUNCTION("""COMPUTED_VALUE"""),"BCS4J31,DJB0J76")</f>
        <v>BCS4J31,DJB0J76</v>
      </c>
      <c r="G6395" s="238">
        <f>IFERROR(__xludf.DUMMYFUNCTION("""COMPUTED_VALUE"""),46053.91666666667)</f>
        <v>46053.91667</v>
      </c>
      <c r="H6395" s="238">
        <f>IFERROR(__xludf.DUMMYFUNCTION("""COMPUTED_VALUE"""),46054.0)</f>
        <v>46054</v>
      </c>
      <c r="J6395" s="239">
        <v>119.99999999301508</v>
      </c>
    </row>
    <row r="6396">
      <c r="A6396" s="234"/>
      <c r="B6396" s="238" t="str">
        <f>IFERROR(__xludf.DUMMYFUNCTION("""COMPUTED_VALUE"""),"LM Hub_SP_Osasco_02")</f>
        <v>LM Hub_SP_Osasco_02</v>
      </c>
      <c r="C6396" s="238" t="str">
        <f>IFERROR(__xludf.DUMMYFUNCTION("""COMPUTED_VALUE"""),"HUB-LSP-60")</f>
        <v>HUB-LSP-60</v>
      </c>
      <c r="D6396" s="234">
        <f>IFERROR(__xludf.DUMMYFUNCTION("""COMPUTED_VALUE"""),12.0)</f>
        <v>12</v>
      </c>
      <c r="E6396" s="237" t="str">
        <f>IFERROR(__xludf.DUMMYFUNCTION("""COMPUTED_VALUE"""),"LT0Q1V01XDF11")</f>
        <v>LT0Q1V01XDF11</v>
      </c>
      <c r="F6396" s="238" t="str">
        <f>IFERROR(__xludf.DUMMYFUNCTION("""COMPUTED_VALUE"""),"DVT5A35,EGK6174")</f>
        <v>DVT5A35,EGK6174</v>
      </c>
      <c r="G6396" s="238">
        <f>IFERROR(__xludf.DUMMYFUNCTION("""COMPUTED_VALUE"""),46053.91666666667)</f>
        <v>46053.91667</v>
      </c>
      <c r="H6396" s="238">
        <f>IFERROR(__xludf.DUMMYFUNCTION("""COMPUTED_VALUE"""),46054.0)</f>
        <v>46054</v>
      </c>
      <c r="J6396" s="239">
        <v>119.99999999301508</v>
      </c>
    </row>
    <row r="6397">
      <c r="A6397" s="234"/>
      <c r="B6397" s="238" t="str">
        <f>IFERROR(__xludf.DUMMYFUNCTION("""COMPUTED_VALUE"""),"LM Hub_SP_Mauá")</f>
        <v>LM Hub_SP_Mauá</v>
      </c>
      <c r="C6397" s="238" t="str">
        <f>IFERROR(__xludf.DUMMYFUNCTION("""COMPUTED_VALUE"""),"HUB-LSP-64")</f>
        <v>HUB-LSP-64</v>
      </c>
      <c r="D6397" s="234">
        <f>IFERROR(__xludf.DUMMYFUNCTION("""COMPUTED_VALUE"""),39.0)</f>
        <v>39</v>
      </c>
      <c r="E6397" s="237" t="str">
        <f>IFERROR(__xludf.DUMMYFUNCTION("""COMPUTED_VALUE"""),"LT0Q1V01XDF71")</f>
        <v>LT0Q1V01XDF71</v>
      </c>
      <c r="F6397" s="238" t="str">
        <f>IFERROR(__xludf.DUMMYFUNCTION("""COMPUTED_VALUE"""),"FQF6B98,DTA7802")</f>
        <v>FQF6B98,DTA7802</v>
      </c>
      <c r="G6397" s="238">
        <f>IFERROR(__xludf.DUMMYFUNCTION("""COMPUTED_VALUE"""),46053.91666666667)</f>
        <v>46053.91667</v>
      </c>
      <c r="H6397" s="238">
        <f>IFERROR(__xludf.DUMMYFUNCTION("""COMPUTED_VALUE"""),46054.0)</f>
        <v>46054</v>
      </c>
      <c r="J6397" s="239">
        <v>119.99999999301508</v>
      </c>
    </row>
    <row r="6398">
      <c r="A6398" s="234"/>
      <c r="B6398" s="238" t="str">
        <f>IFERROR(__xludf.DUMMYFUNCTION("""COMPUTED_VALUE"""),"LM Hub_SP_Guarulhos")</f>
        <v>LM Hub_SP_Guarulhos</v>
      </c>
      <c r="C6398" s="238" t="str">
        <f>IFERROR(__xludf.DUMMYFUNCTION("""COMPUTED_VALUE"""),"HUB-LSP-77")</f>
        <v>HUB-LSP-77</v>
      </c>
      <c r="D6398" s="234">
        <f>IFERROR(__xludf.DUMMYFUNCTION("""COMPUTED_VALUE"""),26.0)</f>
        <v>26</v>
      </c>
      <c r="E6398" s="237" t="str">
        <f>IFERROR(__xludf.DUMMYFUNCTION("""COMPUTED_VALUE"""),"LT0Q1V01XE4A1")</f>
        <v>LT0Q1V01XE4A1</v>
      </c>
      <c r="F6398" s="238" t="str">
        <f>IFERROR(__xludf.DUMMYFUNCTION("""COMPUTED_VALUE"""),"CUE1J71,GLB6C22")</f>
        <v>CUE1J71,GLB6C22</v>
      </c>
      <c r="G6398" s="238">
        <f>IFERROR(__xludf.DUMMYFUNCTION("""COMPUTED_VALUE"""),46053.91666666667)</f>
        <v>46053.91667</v>
      </c>
      <c r="H6398" s="238">
        <f>IFERROR(__xludf.DUMMYFUNCTION("""COMPUTED_VALUE"""),46054.0)</f>
        <v>46054</v>
      </c>
      <c r="J6398" s="239">
        <v>118.00000000745058</v>
      </c>
    </row>
    <row r="6399">
      <c r="A6399" s="234"/>
      <c r="B6399" s="238" t="str">
        <f>IFERROR(__xludf.DUMMYFUNCTION("""COMPUTED_VALUE"""),"LM Hub_SP_Santo André")</f>
        <v>LM Hub_SP_Santo André</v>
      </c>
      <c r="C6399" s="238" t="str">
        <f>IFERROR(__xludf.DUMMYFUNCTION("""COMPUTED_VALUE"""),"HUB-LSP-93")</f>
        <v>HUB-LSP-93</v>
      </c>
      <c r="D6399" s="234">
        <f>IFERROR(__xludf.DUMMYFUNCTION("""COMPUTED_VALUE"""),40.0)</f>
        <v>40</v>
      </c>
      <c r="E6399" s="237" t="str">
        <f>IFERROR(__xludf.DUMMYFUNCTION("""COMPUTED_VALUE"""),"LT0Q1V01XFOS1")</f>
        <v>LT0Q1V01XFOS1</v>
      </c>
      <c r="F6399" s="238" t="str">
        <f>IFERROR(__xludf.DUMMYFUNCTION("""COMPUTED_VALUE"""),"FXQ8H67,EZL9D42")</f>
        <v>FXQ8H67,EZL9D42</v>
      </c>
      <c r="G6399" s="238">
        <f>IFERROR(__xludf.DUMMYFUNCTION("""COMPUTED_VALUE"""),46053.91805555555)</f>
        <v>46053.91806</v>
      </c>
      <c r="H6399" s="238">
        <f>IFERROR(__xludf.DUMMYFUNCTION("""COMPUTED_VALUE"""),46054.0)</f>
        <v>46054</v>
      </c>
      <c r="J6399" s="239">
        <v>119.99999999301508</v>
      </c>
    </row>
    <row r="6400">
      <c r="A6400" s="234"/>
      <c r="B6400" s="238" t="str">
        <f>IFERROR(__xludf.DUMMYFUNCTION("""COMPUTED_VALUE"""),"LM Hub_SP_Jardim Adriana")</f>
        <v>LM Hub_SP_Jardim Adriana</v>
      </c>
      <c r="C6400" s="238" t="str">
        <f>IFERROR(__xludf.DUMMYFUNCTION("""COMPUTED_VALUE"""),"HUB-LSP-12")</f>
        <v>HUB-LSP-12</v>
      </c>
      <c r="D6400" s="234">
        <f>IFERROR(__xludf.DUMMYFUNCTION("""COMPUTED_VALUE"""),20.0)</f>
        <v>20</v>
      </c>
      <c r="E6400" s="237" t="str">
        <f>IFERROR(__xludf.DUMMYFUNCTION("""COMPUTED_VALUE"""),"LT0Q1V01XDDM1")</f>
        <v>LT0Q1V01XDDM1</v>
      </c>
      <c r="F6400" s="238" t="str">
        <f>IFERROR(__xludf.DUMMYFUNCTION("""COMPUTED_VALUE"""),"FYZ2D15")</f>
        <v>FYZ2D15</v>
      </c>
      <c r="G6400" s="238">
        <f>IFERROR(__xludf.DUMMYFUNCTION("""COMPUTED_VALUE"""),46053.9375)</f>
        <v>46053.9375</v>
      </c>
      <c r="H6400" s="238">
        <f>IFERROR(__xludf.DUMMYFUNCTION("""COMPUTED_VALUE"""),46054.02083333333)</f>
        <v>46054.02083</v>
      </c>
      <c r="J6400" s="239">
        <v>119.99999999301508</v>
      </c>
    </row>
    <row r="6401">
      <c r="A6401" s="234"/>
      <c r="B6401" s="238" t="str">
        <f>IFERROR(__xludf.DUMMYFUNCTION("""COMPUTED_VALUE"""),"LM Hub_SP_Piracicaba")</f>
        <v>LM Hub_SP_Piracicaba</v>
      </c>
      <c r="C6401" s="238" t="str">
        <f>IFERROR(__xludf.DUMMYFUNCTION("""COMPUTED_VALUE"""),"HUB-LSP-62")</f>
        <v>HUB-LSP-62</v>
      </c>
      <c r="D6401" s="234">
        <f>IFERROR(__xludf.DUMMYFUNCTION("""COMPUTED_VALUE"""),23.0)</f>
        <v>23</v>
      </c>
      <c r="E6401" s="237" t="str">
        <f>IFERROR(__xludf.DUMMYFUNCTION("""COMPUTED_VALUE"""),"LT0Q1V01XE4M1")</f>
        <v>LT0Q1V01XE4M1</v>
      </c>
      <c r="F6401" s="238" t="str">
        <f>IFERROR(__xludf.DUMMYFUNCTION("""COMPUTED_VALUE"""),"EGB0G74,BKO8351")</f>
        <v>EGB0G74,BKO8351</v>
      </c>
      <c r="G6401" s="238">
        <f>IFERROR(__xludf.DUMMYFUNCTION("""COMPUTED_VALUE"""),46053.9375)</f>
        <v>46053.9375</v>
      </c>
      <c r="H6401" s="238">
        <f>IFERROR(__xludf.DUMMYFUNCTION("""COMPUTED_VALUE"""),46054.02083333333)</f>
        <v>46054.02083</v>
      </c>
      <c r="J6401" s="239">
        <v>119.99999999301508</v>
      </c>
    </row>
    <row r="6402">
      <c r="A6402" s="234"/>
      <c r="B6402" s="238" t="str">
        <f>IFERROR(__xludf.DUMMYFUNCTION("""COMPUTED_VALUE"""),"LM Hub_SP_Suzano_Baruel")</f>
        <v>LM Hub_SP_Suzano_Baruel</v>
      </c>
      <c r="C6402" s="238" t="str">
        <f>IFERROR(__xludf.DUMMYFUNCTION("""COMPUTED_VALUE"""),"HUB-LSP-97")</f>
        <v>HUB-LSP-97</v>
      </c>
      <c r="D6402" s="234">
        <f>IFERROR(__xludf.DUMMYFUNCTION("""COMPUTED_VALUE"""),22.0)</f>
        <v>22</v>
      </c>
      <c r="E6402" s="237" t="str">
        <f>IFERROR(__xludf.DUMMYFUNCTION("""COMPUTED_VALUE"""),"LT0Q1V01XJTX1")</f>
        <v>LT0Q1V01XJTX1</v>
      </c>
      <c r="F6402" s="238" t="str">
        <f>IFERROR(__xludf.DUMMYFUNCTION("""COMPUTED_VALUE"""),"HJD3B39,SHK3D71")</f>
        <v>HJD3B39,SHK3D71</v>
      </c>
      <c r="G6402" s="238">
        <f>IFERROR(__xludf.DUMMYFUNCTION("""COMPUTED_VALUE"""),46053.9375)</f>
        <v>46053.9375</v>
      </c>
      <c r="H6402" s="238">
        <f>IFERROR(__xludf.DUMMYFUNCTION("""COMPUTED_VALUE"""),46054.02083333333)</f>
        <v>46054.02083</v>
      </c>
      <c r="J6402" s="239">
        <v>119.99999999301508</v>
      </c>
    </row>
    <row r="6403">
      <c r="A6403" s="234"/>
      <c r="B6403" s="238" t="str">
        <f>IFERROR(__xludf.DUMMYFUNCTION("""COMPUTED_VALUE"""),"LM Hub_SP_Jardim Adriana")</f>
        <v>LM Hub_SP_Jardim Adriana</v>
      </c>
      <c r="C6403" s="238" t="str">
        <f>IFERROR(__xludf.DUMMYFUNCTION("""COMPUTED_VALUE"""),"HUB-LSP-12")</f>
        <v>HUB-LSP-12</v>
      </c>
      <c r="D6403" s="234">
        <f>IFERROR(__xludf.DUMMYFUNCTION("""COMPUTED_VALUE"""),32.0)</f>
        <v>32</v>
      </c>
      <c r="E6403" s="237" t="str">
        <f>IFERROR(__xludf.DUMMYFUNCTION("""COMPUTED_VALUE"""),"LT1Q1V01YA7L1")</f>
        <v>LT1Q1V01YA7L1</v>
      </c>
      <c r="F6403" s="238" t="str">
        <f>IFERROR(__xludf.DUMMYFUNCTION("""COMPUTED_VALUE"""),"TLM1G50")</f>
        <v>TLM1G50</v>
      </c>
      <c r="G6403" s="238">
        <f>IFERROR(__xludf.DUMMYFUNCTION("""COMPUTED_VALUE"""),46053.9375)</f>
        <v>46053.9375</v>
      </c>
      <c r="H6403" s="238">
        <f>IFERROR(__xludf.DUMMYFUNCTION("""COMPUTED_VALUE"""),46054.02083333333)</f>
        <v>46054.02083</v>
      </c>
      <c r="J6403" s="239">
        <v>118.99999998975545</v>
      </c>
    </row>
    <row r="6404">
      <c r="A6404" s="234"/>
      <c r="B6404" s="238" t="str">
        <f>IFERROR(__xludf.DUMMYFUNCTION("""COMPUTED_VALUE"""),"LM Hub_SP_São Paulo_Carandiru")</f>
        <v>LM Hub_SP_São Paulo_Carandiru</v>
      </c>
      <c r="C6404" s="238" t="str">
        <f>IFERROR(__xludf.DUMMYFUNCTION("""COMPUTED_VALUE"""),"HUB-LSP-18")</f>
        <v>HUB-LSP-18</v>
      </c>
      <c r="D6404" s="234">
        <f>IFERROR(__xludf.DUMMYFUNCTION("""COMPUTED_VALUE"""),15.0)</f>
        <v>15</v>
      </c>
      <c r="E6404" s="237" t="str">
        <f>IFERROR(__xludf.DUMMYFUNCTION("""COMPUTED_VALUE"""),"LT0Q1V01XDEC1")</f>
        <v>LT0Q1V01XDEC1</v>
      </c>
      <c r="F6404" s="238" t="str">
        <f>IFERROR(__xludf.DUMMYFUNCTION("""COMPUTED_VALUE"""),"DVS2J73")</f>
        <v>DVS2J73</v>
      </c>
      <c r="G6404" s="238">
        <f>IFERROR(__xludf.DUMMYFUNCTION("""COMPUTED_VALUE"""),46053.93819444445)</f>
        <v>46053.93819</v>
      </c>
      <c r="H6404" s="238">
        <f>IFERROR(__xludf.DUMMYFUNCTION("""COMPUTED_VALUE"""),46054.02083333333)</f>
        <v>46054.02083</v>
      </c>
      <c r="J6404" s="239">
        <v>118.99999998975545</v>
      </c>
    </row>
    <row r="6405">
      <c r="A6405" s="234"/>
      <c r="B6405" s="238" t="str">
        <f>IFERROR(__xludf.DUMMYFUNCTION("""COMPUTED_VALUE"""),"LM Hub_SP_VilaGuilherme")</f>
        <v>LM Hub_SP_VilaGuilherme</v>
      </c>
      <c r="C6405" s="238" t="str">
        <f>IFERROR(__xludf.DUMMYFUNCTION("""COMPUTED_VALUE"""),"HUB-LSP-68")</f>
        <v>HUB-LSP-68</v>
      </c>
      <c r="D6405" s="234">
        <f>IFERROR(__xludf.DUMMYFUNCTION("""COMPUTED_VALUE"""),33.0)</f>
        <v>33</v>
      </c>
      <c r="E6405" s="237" t="str">
        <f>IFERROR(__xludf.DUMMYFUNCTION("""COMPUTED_VALUE"""),"LT0Q1V01XM6C1")</f>
        <v>LT0Q1V01XM6C1</v>
      </c>
      <c r="F6405" s="238" t="str">
        <f>IFERROR(__xludf.DUMMYFUNCTION("""COMPUTED_VALUE"""),"HFD4H27,JXG9745")</f>
        <v>HFD4H27,JXG9745</v>
      </c>
      <c r="G6405" s="238">
        <f>IFERROR(__xludf.DUMMYFUNCTION("""COMPUTED_VALUE"""),46053.93819444445)</f>
        <v>46053.93819</v>
      </c>
      <c r="H6405" s="238">
        <f>IFERROR(__xludf.DUMMYFUNCTION("""COMPUTED_VALUE"""),46054.02083333333)</f>
        <v>46054.02083</v>
      </c>
      <c r="J6405" s="239">
        <v>118.99999998975545</v>
      </c>
    </row>
    <row r="6406">
      <c r="A6406" s="234"/>
      <c r="B6406" s="238" t="str">
        <f>IFERROR(__xludf.DUMMYFUNCTION("""COMPUTED_VALUE"""),"LM Hub_SP_Parque Novo Mundo")</f>
        <v>LM Hub_SP_Parque Novo Mundo</v>
      </c>
      <c r="C6406" s="238" t="str">
        <f>IFERROR(__xludf.DUMMYFUNCTION("""COMPUTED_VALUE"""),"HUB-LSP-89")</f>
        <v>HUB-LSP-89</v>
      </c>
      <c r="D6406" s="234">
        <f>IFERROR(__xludf.DUMMYFUNCTION("""COMPUTED_VALUE"""),13.0)</f>
        <v>13</v>
      </c>
      <c r="E6406" s="237" t="str">
        <f>IFERROR(__xludf.DUMMYFUNCTION("""COMPUTED_VALUE"""),"LT0Q1V01XMCQ1")</f>
        <v>LT0Q1V01XMCQ1</v>
      </c>
      <c r="F6406" s="238" t="str">
        <f>IFERROR(__xludf.DUMMYFUNCTION("""COMPUTED_VALUE"""),"FNK8E47,FAM1829")</f>
        <v>FNK8E47,FAM1829</v>
      </c>
      <c r="G6406" s="238">
        <f>IFERROR(__xludf.DUMMYFUNCTION("""COMPUTED_VALUE"""),46053.93819444445)</f>
        <v>46053.93819</v>
      </c>
      <c r="H6406" s="238">
        <f>IFERROR(__xludf.DUMMYFUNCTION("""COMPUTED_VALUE"""),46054.02083333333)</f>
        <v>46054.02083</v>
      </c>
      <c r="J6406" s="239">
        <v>119.99999999301508</v>
      </c>
    </row>
    <row r="6407">
      <c r="A6407" s="234"/>
      <c r="B6407" s="238" t="str">
        <f>IFERROR(__xludf.DUMMYFUNCTION("""COMPUTED_VALUE"""),"LM Hub_SP_Araraquara")</f>
        <v>LM Hub_SP_Araraquara</v>
      </c>
      <c r="C6407" s="238" t="str">
        <f>IFERROR(__xludf.DUMMYFUNCTION("""COMPUTED_VALUE"""),"HUB-LSP-29")</f>
        <v>HUB-LSP-29</v>
      </c>
      <c r="D6407" s="234">
        <f>IFERROR(__xludf.DUMMYFUNCTION("""COMPUTED_VALUE"""),18.0)</f>
        <v>18</v>
      </c>
      <c r="E6407" s="237" t="str">
        <f>IFERROR(__xludf.DUMMYFUNCTION("""COMPUTED_VALUE"""),"LT0Q1V01XDIL1")</f>
        <v>LT0Q1V01XDIL1</v>
      </c>
      <c r="F6407" s="238" t="str">
        <f>IFERROR(__xludf.DUMMYFUNCTION("""COMPUTED_VALUE"""),"ISQ7F01,ANM9G89")</f>
        <v>ISQ7F01,ANM9G89</v>
      </c>
      <c r="G6407" s="238">
        <f>IFERROR(__xludf.DUMMYFUNCTION("""COMPUTED_VALUE"""),46053.97916666667)</f>
        <v>46053.97917</v>
      </c>
      <c r="H6407" s="238">
        <f>IFERROR(__xludf.DUMMYFUNCTION("""COMPUTED_VALUE"""),46054.0625)</f>
        <v>46054.0625</v>
      </c>
      <c r="J6407" s="239">
        <v>540.0</v>
      </c>
    </row>
    <row r="6408">
      <c r="A6408" s="234"/>
      <c r="B6408" s="238" t="str">
        <f>IFERROR(__xludf.DUMMYFUNCTION("""COMPUTED_VALUE"""),"SoC_RJ_Duque de Caxias")</f>
        <v>SoC_RJ_Duque de Caxias</v>
      </c>
      <c r="C6408" s="238" t="str">
        <f>IFERROR(__xludf.DUMMYFUNCTION("""COMPUTED_VALUE"""),"SOC-RJ2")</f>
        <v>SOC-RJ2</v>
      </c>
      <c r="D6408" s="234" t="str">
        <f>IFERROR(__xludf.DUMMYFUNCTION("""COMPUTED_VALUE"""),"96/28")</f>
        <v>96/28</v>
      </c>
      <c r="E6408" s="237" t="str">
        <f>IFERROR(__xludf.DUMMYFUNCTION("""COMPUTED_VALUE"""),"LT0Q1V01XMJ11")</f>
        <v>LT0Q1V01XMJ11</v>
      </c>
      <c r="F6408" s="238" t="str">
        <f>IFERROR(__xludf.DUMMYFUNCTION("""COMPUTED_VALUE"""),"IZB6B87,OVF1D68")</f>
        <v>IZB6B87,OVF1D68</v>
      </c>
      <c r="G6408" s="238">
        <f>IFERROR(__xludf.DUMMYFUNCTION("""COMPUTED_VALUE"""),46053.79166666667)</f>
        <v>46053.79167</v>
      </c>
      <c r="H6408" s="238">
        <f>IFERROR(__xludf.DUMMYFUNCTION("""COMPUTED_VALUE"""),46054.16666666667)</f>
        <v>46054.16667</v>
      </c>
      <c r="J6408" s="239">
        <v>540.0</v>
      </c>
    </row>
    <row r="6409">
      <c r="A6409" s="234"/>
      <c r="B6409" s="238" t="str">
        <f>IFERROR(__xludf.DUMMYFUNCTION("""COMPUTED_VALUE"""),"SoC_PE_Jaboatão dos Guararapes")</f>
        <v>SoC_PE_Jaboatão dos Guararapes</v>
      </c>
      <c r="C6409" s="238" t="str">
        <f>IFERROR(__xludf.DUMMYFUNCTION("""COMPUTED_VALUE"""),"SOC-PE2")</f>
        <v>SOC-PE2</v>
      </c>
      <c r="D6409" s="234">
        <f>IFERROR(__xludf.DUMMYFUNCTION("""COMPUTED_VALUE"""),98.0)</f>
        <v>98</v>
      </c>
      <c r="E6409" s="237" t="str">
        <f>IFERROR(__xludf.DUMMYFUNCTION("""COMPUTED_VALUE"""),"LT0Q1V01XIC11")</f>
        <v>LT0Q1V01XIC11</v>
      </c>
      <c r="F6409" s="238" t="str">
        <f>IFERROR(__xludf.DUMMYFUNCTION("""COMPUTED_VALUE"""),"FRE8I81,TLR9F01")</f>
        <v>FRE8I81,TLR9F01</v>
      </c>
      <c r="G6409" s="238">
        <f>IFERROR(__xludf.DUMMYFUNCTION("""COMPUTED_VALUE"""),46053.79166666667)</f>
        <v>46053.79167</v>
      </c>
      <c r="H6409" s="238">
        <f>IFERROR(__xludf.DUMMYFUNCTION("""COMPUTED_VALUE"""),46054.16666666667)</f>
        <v>46054.16667</v>
      </c>
      <c r="J6409" s="239">
        <v>540.0</v>
      </c>
    </row>
    <row r="6410">
      <c r="A6410" s="234"/>
      <c r="B6410" s="238" t="str">
        <f>IFERROR(__xludf.DUMMYFUNCTION("""COMPUTED_VALUE"""),"SoC_BA_Simoes Filho")</f>
        <v>SoC_BA_Simoes Filho</v>
      </c>
      <c r="C6410" s="238" t="str">
        <f>IFERROR(__xludf.DUMMYFUNCTION("""COMPUTED_VALUE"""),"SOC-BA2")</f>
        <v>SOC-BA2</v>
      </c>
      <c r="D6410" s="234">
        <f>IFERROR(__xludf.DUMMYFUNCTION("""COMPUTED_VALUE"""),88.0)</f>
        <v>88</v>
      </c>
      <c r="E6410" s="237" t="str">
        <f>IFERROR(__xludf.DUMMYFUNCTION("""COMPUTED_VALUE"""),"LT0Q1V01XIFA2")</f>
        <v>LT0Q1V01XIFA2</v>
      </c>
      <c r="F6410" s="238" t="str">
        <f>IFERROR(__xludf.DUMMYFUNCTION("""COMPUTED_VALUE"""),"FBF1C04,BAP5B29")</f>
        <v>FBF1C04,BAP5B29</v>
      </c>
      <c r="G6410" s="238">
        <f>IFERROR(__xludf.DUMMYFUNCTION("""COMPUTED_VALUE"""),46053.79166666667)</f>
        <v>46053.79167</v>
      </c>
      <c r="H6410" s="238">
        <f>IFERROR(__xludf.DUMMYFUNCTION("""COMPUTED_VALUE"""),46054.16666666667)</f>
        <v>46054.16667</v>
      </c>
      <c r="J6410" s="239">
        <v>540.0</v>
      </c>
    </row>
    <row r="6411">
      <c r="A6411" s="234"/>
      <c r="B6411" s="238" t="str">
        <f>IFERROR(__xludf.DUMMYFUNCTION("""COMPUTED_VALUE"""),"SoC_SP_Cravinhos")</f>
        <v>SoC_SP_Cravinhos</v>
      </c>
      <c r="C6411" s="238" t="str">
        <f>IFERROR(__xludf.DUMMYFUNCTION("""COMPUTED_VALUE"""),"SOC-SP5")</f>
        <v>SOC-SP5</v>
      </c>
      <c r="D6411" s="234">
        <f>IFERROR(__xludf.DUMMYFUNCTION("""COMPUTED_VALUE"""),94.0)</f>
        <v>94</v>
      </c>
      <c r="E6411" s="237" t="str">
        <f>IFERROR(__xludf.DUMMYFUNCTION("""COMPUTED_VALUE"""),"LT1Q1V01Y9ZN1")</f>
        <v>LT1Q1V01Y9ZN1</v>
      </c>
      <c r="F6411" s="238" t="str">
        <f>IFERROR(__xludf.DUMMYFUNCTION("""COMPUTED_VALUE"""),"RYL0C59,RYM5G69")</f>
        <v>RYL0C59,RYM5G69</v>
      </c>
      <c r="G6411" s="238">
        <f>IFERROR(__xludf.DUMMYFUNCTION("""COMPUTED_VALUE"""),46053.79166666667)</f>
        <v>46053.79167</v>
      </c>
      <c r="H6411" s="238">
        <f>IFERROR(__xludf.DUMMYFUNCTION("""COMPUTED_VALUE"""),46054.16666666667)</f>
        <v>46054.16667</v>
      </c>
      <c r="J6411" s="239">
        <v>540.0</v>
      </c>
    </row>
    <row r="6412">
      <c r="A6412" s="234"/>
      <c r="B6412" s="238" t="str">
        <f>IFERROR(__xludf.DUMMYFUNCTION("""COMPUTED_VALUE"""),"SoC_SP_Cravinhos")</f>
        <v>SoC_SP_Cravinhos</v>
      </c>
      <c r="C6412" s="238" t="str">
        <f>IFERROR(__xludf.DUMMYFUNCTION("""COMPUTED_VALUE"""),"SOC-SP5")</f>
        <v>SOC-SP5</v>
      </c>
      <c r="D6412" s="234">
        <f>IFERROR(__xludf.DUMMYFUNCTION("""COMPUTED_VALUE"""),95.0)</f>
        <v>95</v>
      </c>
      <c r="E6412" s="237" t="str">
        <f>IFERROR(__xludf.DUMMYFUNCTION("""COMPUTED_VALUE"""),"LT1Q1V01Y9ZO1")</f>
        <v>LT1Q1V01Y9ZO1</v>
      </c>
      <c r="F6412" s="238" t="str">
        <f>IFERROR(__xludf.DUMMYFUNCTION("""COMPUTED_VALUE"""),"RNB8G81,RFD3C52")</f>
        <v>RNB8G81,RFD3C52</v>
      </c>
      <c r="G6412" s="238">
        <f>IFERROR(__xludf.DUMMYFUNCTION("""COMPUTED_VALUE"""),46053.79166666667)</f>
        <v>46053.79167</v>
      </c>
      <c r="H6412" s="238">
        <f>IFERROR(__xludf.DUMMYFUNCTION("""COMPUTED_VALUE"""),46054.16666666667)</f>
        <v>46054.16667</v>
      </c>
      <c r="J6412" s="239">
        <v>119.99999999301508</v>
      </c>
    </row>
    <row r="6413">
      <c r="A6413" s="234"/>
      <c r="B6413" s="238" t="str">
        <f>IFERROR(__xludf.DUMMYFUNCTION("""COMPUTED_VALUE"""),"SoC_SP_Cravinhos")</f>
        <v>SoC_SP_Cravinhos</v>
      </c>
      <c r="C6413" s="238" t="str">
        <f>IFERROR(__xludf.DUMMYFUNCTION("""COMPUTED_VALUE"""),"SOC-SP5")</f>
        <v>SOC-SP5</v>
      </c>
      <c r="D6413" s="234">
        <f>IFERROR(__xludf.DUMMYFUNCTION("""COMPUTED_VALUE"""),45.0)</f>
        <v>45</v>
      </c>
      <c r="E6413" s="237" t="str">
        <f>IFERROR(__xludf.DUMMYFUNCTION("""COMPUTED_VALUE"""),"LT1Q2101Y9ZP1")</f>
        <v>LT1Q2101Y9ZP1</v>
      </c>
      <c r="F6413" s="238" t="str">
        <f>IFERROR(__xludf.DUMMYFUNCTION("""COMPUTED_VALUE"""),"BPQ0J63,CPI5G44")</f>
        <v>BPQ0J63,CPI5G44</v>
      </c>
      <c r="G6413" s="238">
        <f>IFERROR(__xludf.DUMMYFUNCTION("""COMPUTED_VALUE"""),46054.16666666667)</f>
        <v>46054.16667</v>
      </c>
      <c r="H6413" s="238">
        <f>IFERROR(__xludf.DUMMYFUNCTION("""COMPUTED_VALUE"""),46054.25)</f>
        <v>46054.25</v>
      </c>
      <c r="J6413" s="239">
        <v>120.00000001396984</v>
      </c>
    </row>
    <row r="6414">
      <c r="A6414" s="234"/>
      <c r="B6414" s="238" t="str">
        <f>IFERROR(__xludf.DUMMYFUNCTION("""COMPUTED_VALUE"""),"SoC_SP_Louveira")</f>
        <v>SoC_SP_Louveira</v>
      </c>
      <c r="C6414" s="238" t="str">
        <f>IFERROR(__xludf.DUMMYFUNCTION("""COMPUTED_VALUE"""),"SOC-SP7")</f>
        <v>SOC-SP7</v>
      </c>
      <c r="D6414" s="234">
        <f>IFERROR(__xludf.DUMMYFUNCTION("""COMPUTED_VALUE"""),49.0)</f>
        <v>49</v>
      </c>
      <c r="E6414" s="237" t="str">
        <f>IFERROR(__xludf.DUMMYFUNCTION("""COMPUTED_VALUE"""),"LT1Q1V01Y75E1")</f>
        <v>LT1Q1V01Y75E1</v>
      </c>
      <c r="F6414" s="238" t="str">
        <f>IFERROR(__xludf.DUMMYFUNCTION("""COMPUTED_VALUE"""),"FSH2H40,RBA0G01")</f>
        <v>FSH2H40,RBA0G01</v>
      </c>
      <c r="G6414" s="238">
        <f>IFERROR(__xludf.DUMMYFUNCTION("""COMPUTED_VALUE"""),46054.08333333333)</f>
        <v>46054.08333</v>
      </c>
      <c r="H6414" s="238">
        <f>IFERROR(__xludf.DUMMYFUNCTION("""COMPUTED_VALUE"""),46054.16666666667)</f>
        <v>46054.16667</v>
      </c>
      <c r="J6414" s="239">
        <v>120.00000001396984</v>
      </c>
    </row>
    <row r="6415">
      <c r="A6415" s="234"/>
      <c r="B6415" s="238" t="str">
        <f>IFERROR(__xludf.DUMMYFUNCTION("""COMPUTED_VALUE"""),"SoC_SP_Guarulhos")</f>
        <v>SoC_SP_Guarulhos</v>
      </c>
      <c r="C6415" s="238" t="str">
        <f>IFERROR(__xludf.DUMMYFUNCTION("""COMPUTED_VALUE"""),"SOC-SP6")</f>
        <v>SOC-SP6</v>
      </c>
      <c r="D6415" s="234">
        <f>IFERROR(__xludf.DUMMYFUNCTION("""COMPUTED_VALUE"""),48.0)</f>
        <v>48</v>
      </c>
      <c r="E6415" s="237" t="str">
        <f>IFERROR(__xludf.DUMMYFUNCTION("""COMPUTED_VALUE"""),"LT1Q2101YA001")</f>
        <v>LT1Q2101YA001</v>
      </c>
      <c r="F6415" s="238" t="str">
        <f>IFERROR(__xludf.DUMMYFUNCTION("""COMPUTED_VALUE"""),"EMU7J50,MDL1B13")</f>
        <v>EMU7J50,MDL1B13</v>
      </c>
      <c r="G6415" s="238">
        <f>IFERROR(__xludf.DUMMYFUNCTION("""COMPUTED_VALUE"""),46054.08333333333)</f>
        <v>46054.08333</v>
      </c>
      <c r="H6415" s="238">
        <f>IFERROR(__xludf.DUMMYFUNCTION("""COMPUTED_VALUE"""),46054.16666666667)</f>
        <v>46054.16667</v>
      </c>
      <c r="J6415" s="239">
        <v>240.00000000698492</v>
      </c>
    </row>
    <row r="6416">
      <c r="A6416" s="234"/>
      <c r="B6416" s="238" t="str">
        <f>IFERROR(__xludf.DUMMYFUNCTION("""COMPUTED_VALUE"""),"SoC_SP_Louveira")</f>
        <v>SoC_SP_Louveira</v>
      </c>
      <c r="C6416" s="238" t="str">
        <f>IFERROR(__xludf.DUMMYFUNCTION("""COMPUTED_VALUE"""),"SOC-SP7")</f>
        <v>SOC-SP7</v>
      </c>
      <c r="D6416" s="234">
        <f>IFERROR(__xludf.DUMMYFUNCTION("""COMPUTED_VALUE"""),39.0)</f>
        <v>39</v>
      </c>
      <c r="E6416" s="237" t="str">
        <f>IFERROR(__xludf.DUMMYFUNCTION("""COMPUTED_VALUE"""),"LT1Q2101YA021")</f>
        <v>LT1Q2101YA021</v>
      </c>
      <c r="F6416" s="238" t="str">
        <f>IFERROR(__xludf.DUMMYFUNCTION("""COMPUTED_VALUE"""),"OJV6J37,GVE1683")</f>
        <v>OJV6J37,GVE1683</v>
      </c>
      <c r="G6416" s="238">
        <f>IFERROR(__xludf.DUMMYFUNCTION("""COMPUTED_VALUE"""),46054.08333333333)</f>
        <v>46054.08333</v>
      </c>
      <c r="H6416" s="238">
        <f>IFERROR(__xludf.DUMMYFUNCTION("""COMPUTED_VALUE"""),46054.25)</f>
        <v>46054.25</v>
      </c>
      <c r="J6416" s="239">
        <v>120.00000001396984</v>
      </c>
    </row>
    <row r="6417">
      <c r="A6417" s="234"/>
      <c r="B6417" s="238" t="str">
        <f>IFERROR(__xludf.DUMMYFUNCTION("""COMPUTED_VALUE"""),"SoC_PR_Curitiba")</f>
        <v>SoC_PR_Curitiba</v>
      </c>
      <c r="C6417" s="238" t="str">
        <f>IFERROR(__xludf.DUMMYFUNCTION("""COMPUTED_VALUE"""),"SOC-PR1")</f>
        <v>SOC-PR1</v>
      </c>
      <c r="D6417" s="234">
        <f>IFERROR(__xludf.DUMMYFUNCTION("""COMPUTED_VALUE"""),110.0)</f>
        <v>110</v>
      </c>
      <c r="E6417" s="237" t="str">
        <f>IFERROR(__xludf.DUMMYFUNCTION("""COMPUTED_VALUE"""),"LT1Q2101YA031")</f>
        <v>LT1Q2101YA031</v>
      </c>
      <c r="F6417" s="238" t="str">
        <f>IFERROR(__xludf.DUMMYFUNCTION("""COMPUTED_VALUE"""),"TAW1D02,BEX8B12")</f>
        <v>TAW1D02,BEX8B12</v>
      </c>
      <c r="G6417" s="238">
        <f>IFERROR(__xludf.DUMMYFUNCTION("""COMPUTED_VALUE"""),46054.08333333333)</f>
        <v>46054.08333</v>
      </c>
      <c r="H6417" s="238">
        <f>IFERROR(__xludf.DUMMYFUNCTION("""COMPUTED_VALUE"""),46054.16666666667)</f>
        <v>46054.16667</v>
      </c>
      <c r="J6417" s="239">
        <v>180.0</v>
      </c>
    </row>
    <row r="6418">
      <c r="A6418" s="234"/>
      <c r="B6418" s="238" t="str">
        <f>IFERROR(__xludf.DUMMYFUNCTION("""COMPUTED_VALUE"""),"SoC_MG_Betim")</f>
        <v>SoC_MG_Betim</v>
      </c>
      <c r="C6418" s="238" t="str">
        <f>IFERROR(__xludf.DUMMYFUNCTION("""COMPUTED_VALUE"""),"SOC-MG2")</f>
        <v>SOC-MG2</v>
      </c>
      <c r="D6418" s="234">
        <f>IFERROR(__xludf.DUMMYFUNCTION("""COMPUTED_VALUE"""),14.0)</f>
        <v>14</v>
      </c>
      <c r="E6418" s="237" t="str">
        <f>IFERROR(__xludf.DUMMYFUNCTION("""COMPUTED_VALUE"""),"LT1Q2101YA0F1")</f>
        <v>LT1Q2101YA0F1</v>
      </c>
      <c r="F6418" s="238" t="str">
        <f>IFERROR(__xludf.DUMMYFUNCTION("""COMPUTED_VALUE"""),"RGC7B22,TKX4F07")</f>
        <v>RGC7B22,TKX4F07</v>
      </c>
      <c r="G6418" s="238">
        <f>IFERROR(__xludf.DUMMYFUNCTION("""COMPUTED_VALUE"""),46054.16666666667)</f>
        <v>46054.16667</v>
      </c>
      <c r="H6418" s="238">
        <f>IFERROR(__xludf.DUMMYFUNCTION("""COMPUTED_VALUE"""),46054.29166666667)</f>
        <v>46054.29167</v>
      </c>
      <c r="J6418" s="239">
        <v>119.99999999301508</v>
      </c>
    </row>
    <row r="6419">
      <c r="A6419" s="234"/>
      <c r="B6419" s="238" t="str">
        <f>IFERROR(__xludf.DUMMYFUNCTION("""COMPUTED_VALUE"""),"SoC_PR_Curitiba")</f>
        <v>SoC_PR_Curitiba</v>
      </c>
      <c r="C6419" s="238" t="str">
        <f>IFERROR(__xludf.DUMMYFUNCTION("""COMPUTED_VALUE"""),"SOC-PR1")</f>
        <v>SOC-PR1</v>
      </c>
      <c r="D6419" s="234">
        <f>IFERROR(__xludf.DUMMYFUNCTION("""COMPUTED_VALUE"""),42.0)</f>
        <v>42</v>
      </c>
      <c r="E6419" s="237" t="str">
        <f>IFERROR(__xludf.DUMMYFUNCTION("""COMPUTED_VALUE"""),"LT0Q2101XDB81")</f>
        <v>LT0Q2101XDB81</v>
      </c>
      <c r="F6419" s="238" t="str">
        <f>IFERROR(__xludf.DUMMYFUNCTION("""COMPUTED_VALUE"""),"CUC1I14,BEY5C17")</f>
        <v>CUC1I14,BEY5C17</v>
      </c>
      <c r="G6419" s="238">
        <f>IFERROR(__xludf.DUMMYFUNCTION("""COMPUTED_VALUE"""),46054.16666666667)</f>
        <v>46054.16667</v>
      </c>
      <c r="H6419" s="238">
        <f>IFERROR(__xludf.DUMMYFUNCTION("""COMPUTED_VALUE"""),46054.25)</f>
        <v>46054.25</v>
      </c>
      <c r="J6419" s="239">
        <v>540.0</v>
      </c>
    </row>
    <row r="6420">
      <c r="A6420" s="234"/>
      <c r="B6420" s="238" t="str">
        <f>IFERROR(__xludf.DUMMYFUNCTION("""COMPUTED_VALUE"""),"SoC_BA_Simoes Filho")</f>
        <v>SoC_BA_Simoes Filho</v>
      </c>
      <c r="C6420" s="238" t="str">
        <f>IFERROR(__xludf.DUMMYFUNCTION("""COMPUTED_VALUE"""),"SOC-BA2")</f>
        <v>SOC-BA2</v>
      </c>
      <c r="D6420" s="234">
        <f>IFERROR(__xludf.DUMMYFUNCTION("""COMPUTED_VALUE"""),88.0)</f>
        <v>88</v>
      </c>
      <c r="E6420" s="237" t="str">
        <f>IFERROR(__xludf.DUMMYFUNCTION("""COMPUTED_VALUE"""),"LT0Q1V01XIFK1")</f>
        <v>LT0Q1V01XIFK1</v>
      </c>
      <c r="F6420" s="238" t="str">
        <f>IFERROR(__xludf.DUMMYFUNCTION("""COMPUTED_VALUE"""),"FDZ0J65,BEQ3E27")</f>
        <v>FDZ0J65,BEQ3E27</v>
      </c>
      <c r="G6420" s="238">
        <f>IFERROR(__xludf.DUMMYFUNCTION("""COMPUTED_VALUE"""),46053.91666666667)</f>
        <v>46053.91667</v>
      </c>
      <c r="H6420" s="238">
        <f>IFERROR(__xludf.DUMMYFUNCTION("""COMPUTED_VALUE"""),46054.29166666667)</f>
        <v>46054.29167</v>
      </c>
      <c r="J6420" s="239">
        <v>539.0000000072177</v>
      </c>
    </row>
    <row r="6421">
      <c r="A6421" s="234"/>
      <c r="B6421" s="238" t="str">
        <f>IFERROR(__xludf.DUMMYFUNCTION("""COMPUTED_VALUE"""),"SoC_MG_Betim")</f>
        <v>SoC_MG_Betim</v>
      </c>
      <c r="C6421" s="238" t="str">
        <f>IFERROR(__xludf.DUMMYFUNCTION("""COMPUTED_VALUE"""),"SOC-MG2")</f>
        <v>SOC-MG2</v>
      </c>
      <c r="D6421" s="234">
        <f>IFERROR(__xludf.DUMMYFUNCTION("""COMPUTED_VALUE"""),91.0)</f>
        <v>91</v>
      </c>
      <c r="E6421" s="237" t="str">
        <f>IFERROR(__xludf.DUMMYFUNCTION("""COMPUTED_VALUE"""),"LT0Q1V01XDAL1")</f>
        <v>LT0Q1V01XDAL1</v>
      </c>
      <c r="F6421" s="238" t="str">
        <f>IFERROR(__xludf.DUMMYFUNCTION("""COMPUTED_VALUE"""),"GFV3D65,SYQ5G85")</f>
        <v>GFV3D65,SYQ5G85</v>
      </c>
      <c r="G6421" s="238">
        <f>IFERROR(__xludf.DUMMYFUNCTION("""COMPUTED_VALUE"""),46053.91736111111)</f>
        <v>46053.91736</v>
      </c>
      <c r="H6421" s="238">
        <f>IFERROR(__xludf.DUMMYFUNCTION("""COMPUTED_VALUE"""),46054.29166666667)</f>
        <v>46054.29167</v>
      </c>
      <c r="J6421" s="239">
        <v>539.0000000072177</v>
      </c>
    </row>
    <row r="6422">
      <c r="A6422" s="234"/>
      <c r="B6422" s="238" t="str">
        <f>IFERROR(__xludf.DUMMYFUNCTION("""COMPUTED_VALUE"""),"SoC_SC_Itajaí")</f>
        <v>SoC_SC_Itajaí</v>
      </c>
      <c r="C6422" s="238" t="str">
        <f>IFERROR(__xludf.DUMMYFUNCTION("""COMPUTED_VALUE"""),"SOC-SC1")</f>
        <v>SOC-SC1</v>
      </c>
      <c r="D6422" s="234">
        <f>IFERROR(__xludf.DUMMYFUNCTION("""COMPUTED_VALUE"""),100.0)</f>
        <v>100</v>
      </c>
      <c r="E6422" s="237" t="str">
        <f>IFERROR(__xludf.DUMMYFUNCTION("""COMPUTED_VALUE"""),"LT0Q1V01XHI81")</f>
        <v>LT0Q1V01XHI81</v>
      </c>
      <c r="F6422" s="238" t="str">
        <f>IFERROR(__xludf.DUMMYFUNCTION("""COMPUTED_VALUE"""),"MIY3A35,MKY9684")</f>
        <v>MIY3A35,MKY9684</v>
      </c>
      <c r="G6422" s="238">
        <f>IFERROR(__xludf.DUMMYFUNCTION("""COMPUTED_VALUE"""),46053.91736111111)</f>
        <v>46053.91736</v>
      </c>
      <c r="H6422" s="238">
        <f>IFERROR(__xludf.DUMMYFUNCTION("""COMPUTED_VALUE"""),46054.29166666667)</f>
        <v>46054.29167</v>
      </c>
      <c r="J6422" s="239">
        <v>538.0000000144355</v>
      </c>
    </row>
    <row r="6423">
      <c r="A6423" s="234"/>
      <c r="B6423" s="238" t="str">
        <f>IFERROR(__xludf.DUMMYFUNCTION("""COMPUTED_VALUE"""),"SoC_RS_Gravataí_02")</f>
        <v>SoC_RS_Gravataí_02</v>
      </c>
      <c r="C6423" s="238" t="str">
        <f>IFERROR(__xludf.DUMMYFUNCTION("""COMPUTED_VALUE"""),"SOC-RS2")</f>
        <v>SOC-RS2</v>
      </c>
      <c r="D6423" s="234">
        <f>IFERROR(__xludf.DUMMYFUNCTION("""COMPUTED_VALUE"""),92.0)</f>
        <v>92</v>
      </c>
      <c r="E6423" s="237" t="str">
        <f>IFERROR(__xludf.DUMMYFUNCTION("""COMPUTED_VALUE"""),"LT0Q1V01XIT51")</f>
        <v>LT0Q1V01XIT51</v>
      </c>
      <c r="F6423" s="238" t="str">
        <f>IFERROR(__xludf.DUMMYFUNCTION("""COMPUTED_VALUE"""),"QIR3F16,AYP4F04")</f>
        <v>QIR3F16,AYP4F04</v>
      </c>
      <c r="G6423" s="238">
        <f>IFERROR(__xludf.DUMMYFUNCTION("""COMPUTED_VALUE"""),46053.91805555555)</f>
        <v>46053.91806</v>
      </c>
      <c r="H6423" s="238">
        <f>IFERROR(__xludf.DUMMYFUNCTION("""COMPUTED_VALUE"""),46054.29166666667)</f>
        <v>46054.29167</v>
      </c>
      <c r="J6423" s="239">
        <v>537.0000000111759</v>
      </c>
    </row>
    <row r="6424">
      <c r="A6424" s="234"/>
      <c r="B6424" s="238" t="str">
        <f>IFERROR(__xludf.DUMMYFUNCTION("""COMPUTED_VALUE"""),"SoC_RJ_Duque de Caxias")</f>
        <v>SoC_RJ_Duque de Caxias</v>
      </c>
      <c r="C6424" s="238" t="str">
        <f>IFERROR(__xludf.DUMMYFUNCTION("""COMPUTED_VALUE"""),"SOC-RJ2")</f>
        <v>SOC-RJ2</v>
      </c>
      <c r="D6424" s="234">
        <f>IFERROR(__xludf.DUMMYFUNCTION("""COMPUTED_VALUE"""),97.0)</f>
        <v>97</v>
      </c>
      <c r="E6424" s="237" t="str">
        <f>IFERROR(__xludf.DUMMYFUNCTION("""COMPUTED_VALUE"""),"LT0Q1V01XMJ71")</f>
        <v>LT0Q1V01XMJ71</v>
      </c>
      <c r="F6424" s="238" t="str">
        <f>IFERROR(__xludf.DUMMYFUNCTION("""COMPUTED_VALUE"""),"JGZ2838,KET3G80")</f>
        <v>JGZ2838,KET3G80</v>
      </c>
      <c r="G6424" s="238">
        <f>IFERROR(__xludf.DUMMYFUNCTION("""COMPUTED_VALUE"""),46053.91875)</f>
        <v>46053.91875</v>
      </c>
      <c r="H6424" s="238">
        <f>IFERROR(__xludf.DUMMYFUNCTION("""COMPUTED_VALUE"""),46054.29166666667)</f>
        <v>46054.29167</v>
      </c>
      <c r="J6424" s="239">
        <v>300.00000001396984</v>
      </c>
    </row>
    <row r="6425">
      <c r="A6425" s="234"/>
      <c r="B6425" s="238" t="str">
        <f>IFERROR(__xludf.DUMMYFUNCTION("""COMPUTED_VALUE"""),"SoC_GO_Goiânia_02")</f>
        <v>SoC_GO_Goiânia_02</v>
      </c>
      <c r="C6425" s="238" t="str">
        <f>IFERROR(__xludf.DUMMYFUNCTION("""COMPUTED_VALUE"""),"SOC-GO2")</f>
        <v>SOC-GO2</v>
      </c>
      <c r="D6425" s="234">
        <f>IFERROR(__xludf.DUMMYFUNCTION("""COMPUTED_VALUE"""),87.0)</f>
        <v>87</v>
      </c>
      <c r="E6425" s="237" t="str">
        <f>IFERROR(__xludf.DUMMYFUNCTION("""COMPUTED_VALUE"""),"LT0Q1V01XIQT1")</f>
        <v>LT0Q1V01XIQT1</v>
      </c>
      <c r="F6425" s="238" t="str">
        <f>IFERROR(__xludf.DUMMYFUNCTION("""COMPUTED_VALUE"""),"DVL2C82,TKG7G12")</f>
        <v>DVL2C82,TKG7G12</v>
      </c>
      <c r="G6425" s="238">
        <f>IFERROR(__xludf.DUMMYFUNCTION("""COMPUTED_VALUE"""),46054.08333333333)</f>
        <v>46054.08333</v>
      </c>
      <c r="H6425" s="238">
        <f>IFERROR(__xludf.DUMMYFUNCTION("""COMPUTED_VALUE"""),46054.29166666667)</f>
        <v>46054.29167</v>
      </c>
      <c r="J6425" s="239">
        <v>299.0000000107102</v>
      </c>
    </row>
    <row r="6426">
      <c r="A6426" s="234"/>
      <c r="B6426" s="238" t="str">
        <f>IFERROR(__xludf.DUMMYFUNCTION("""COMPUTED_VALUE"""),"SoC_MG_Betim")</f>
        <v>SoC_MG_Betim</v>
      </c>
      <c r="C6426" s="238" t="str">
        <f>IFERROR(__xludf.DUMMYFUNCTION("""COMPUTED_VALUE"""),"SOC-MG2")</f>
        <v>SOC-MG2</v>
      </c>
      <c r="D6426" s="234">
        <f>IFERROR(__xludf.DUMMYFUNCTION("""COMPUTED_VALUE"""),91.0)</f>
        <v>91</v>
      </c>
      <c r="E6426" s="237" t="str">
        <f>IFERROR(__xludf.DUMMYFUNCTION("""COMPUTED_VALUE"""),"LT0Q1V01XDAN2")</f>
        <v>LT0Q1V01XDAN2</v>
      </c>
      <c r="F6426" s="238" t="str">
        <f>IFERROR(__xludf.DUMMYFUNCTION("""COMPUTED_VALUE"""),"ETM1G42,FUC8H71")</f>
        <v>ETM1G42,FUC8H71</v>
      </c>
      <c r="G6426" s="238">
        <f>IFERROR(__xludf.DUMMYFUNCTION("""COMPUTED_VALUE"""),46054.084027777775)</f>
        <v>46054.08403</v>
      </c>
      <c r="H6426" s="238">
        <f>IFERROR(__xludf.DUMMYFUNCTION("""COMPUTED_VALUE"""),46054.29166666667)</f>
        <v>46054.29167</v>
      </c>
      <c r="J6426" s="239">
        <v>299.0000000107102</v>
      </c>
    </row>
    <row r="6427">
      <c r="A6427" s="234"/>
      <c r="B6427" s="238" t="str">
        <f>IFERROR(__xludf.DUMMYFUNCTION("""COMPUTED_VALUE"""),"SoC_RJ_Duque de Caxias")</f>
        <v>SoC_RJ_Duque de Caxias</v>
      </c>
      <c r="C6427" s="238" t="str">
        <f>IFERROR(__xludf.DUMMYFUNCTION("""COMPUTED_VALUE"""),"SOC-RJ2")</f>
        <v>SOC-RJ2</v>
      </c>
      <c r="D6427" s="234"/>
      <c r="E6427" s="237" t="str">
        <f>IFERROR(__xludf.DUMMYFUNCTION("""COMPUTED_VALUE"""),"LT0Q1V01XF9H1")</f>
        <v>LT0Q1V01XF9H1</v>
      </c>
      <c r="F6427" s="238" t="str">
        <f>IFERROR(__xludf.DUMMYFUNCTION("""COMPUTED_VALUE"""),"EPU5B08,DBC5I22")</f>
        <v>EPU5B08,DBC5I22</v>
      </c>
      <c r="G6427" s="238">
        <f>IFERROR(__xludf.DUMMYFUNCTION("""COMPUTED_VALUE"""),46054.084027777775)</f>
        <v>46054.08403</v>
      </c>
      <c r="H6427" s="238">
        <f>IFERROR(__xludf.DUMMYFUNCTION("""COMPUTED_VALUE"""),46054.29166666667)</f>
        <v>46054.29167</v>
      </c>
      <c r="J6427" s="239">
        <v>299.0000000107102</v>
      </c>
    </row>
    <row r="6428">
      <c r="A6428" s="234"/>
      <c r="B6428" s="238" t="str">
        <f>IFERROR(__xludf.DUMMYFUNCTION("""COMPUTED_VALUE"""),"SoC_SC_Itajaí")</f>
        <v>SoC_SC_Itajaí</v>
      </c>
      <c r="C6428" s="238" t="str">
        <f>IFERROR(__xludf.DUMMYFUNCTION("""COMPUTED_VALUE"""),"SOC-SC1")</f>
        <v>SOC-SC1</v>
      </c>
      <c r="D6428" s="234"/>
      <c r="E6428" s="237" t="str">
        <f>IFERROR(__xludf.DUMMYFUNCTION("""COMPUTED_VALUE"""),"LT0Q1V01XHIA2")</f>
        <v>LT0Q1V01XHIA2</v>
      </c>
      <c r="F6428" s="238" t="str">
        <f>IFERROR(__xludf.DUMMYFUNCTION("""COMPUTED_VALUE"""),"TPZ0F66,SXB7D50")</f>
        <v>TPZ0F66,SXB7D50</v>
      </c>
      <c r="G6428" s="238">
        <f>IFERROR(__xludf.DUMMYFUNCTION("""COMPUTED_VALUE"""),46054.084027777775)</f>
        <v>46054.08403</v>
      </c>
      <c r="H6428" s="238">
        <f>IFERROR(__xludf.DUMMYFUNCTION("""COMPUTED_VALUE"""),46054.29166666667)</f>
        <v>46054.29167</v>
      </c>
      <c r="J6428" s="239">
        <v>299.0000000107102</v>
      </c>
    </row>
    <row r="6429">
      <c r="A6429" s="234"/>
      <c r="B6429" s="238" t="str">
        <f>IFERROR(__xludf.DUMMYFUNCTION("""COMPUTED_VALUE"""),"SoC_PE_Jaboatão dos Guararapes")</f>
        <v>SoC_PE_Jaboatão dos Guararapes</v>
      </c>
      <c r="C6429" s="238" t="str">
        <f>IFERROR(__xludf.DUMMYFUNCTION("""COMPUTED_VALUE"""),"SOC-PE2")</f>
        <v>SOC-PE2</v>
      </c>
      <c r="D6429" s="234"/>
      <c r="E6429" s="237" t="str">
        <f>IFERROR(__xludf.DUMMYFUNCTION("""COMPUTED_VALUE"""),"LT0Q1V01XICA1")</f>
        <v>LT0Q1V01XICA1</v>
      </c>
      <c r="F6429" s="238" t="str">
        <f>IFERROR(__xludf.DUMMYFUNCTION("""COMPUTED_VALUE"""),"QKW9C59,AVF3I92")</f>
        <v>QKW9C59,AVF3I92</v>
      </c>
      <c r="G6429" s="238">
        <f>IFERROR(__xludf.DUMMYFUNCTION("""COMPUTED_VALUE"""),46054.084027777775)</f>
        <v>46054.08403</v>
      </c>
      <c r="H6429" s="238">
        <f>IFERROR(__xludf.DUMMYFUNCTION("""COMPUTED_VALUE"""),46054.29166666667)</f>
        <v>46054.29167</v>
      </c>
      <c r="J6429" s="239">
        <v>179.00000000721775</v>
      </c>
    </row>
    <row r="6430">
      <c r="A6430" s="234"/>
      <c r="B6430" s="238" t="str">
        <f>IFERROR(__xludf.DUMMYFUNCTION("""COMPUTED_VALUE"""),"SoC_PE_Jaboatão dos Guararapes")</f>
        <v>SoC_PE_Jaboatão dos Guararapes</v>
      </c>
      <c r="C6430" s="238" t="str">
        <f>IFERROR(__xludf.DUMMYFUNCTION("""COMPUTED_VALUE"""),"SOC-PE2")</f>
        <v>SOC-PE2</v>
      </c>
      <c r="D6430" s="234">
        <f>IFERROR(__xludf.DUMMYFUNCTION("""COMPUTED_VALUE"""),99.0)</f>
        <v>99</v>
      </c>
      <c r="E6430" s="237" t="str">
        <f>IFERROR(__xludf.DUMMYFUNCTION("""COMPUTED_VALUE"""),"LT0Q1V01XICC2")</f>
        <v>LT0Q1V01XICC2</v>
      </c>
      <c r="F6430" s="238" t="str">
        <f>IFERROR(__xludf.DUMMYFUNCTION("""COMPUTED_VALUE"""),"QKW9C59,AVF3I92")</f>
        <v>QKW9C59,AVF3I92</v>
      </c>
      <c r="G6430" s="238">
        <f>IFERROR(__xludf.DUMMYFUNCTION("""COMPUTED_VALUE"""),46054.16736111111)</f>
        <v>46054.16736</v>
      </c>
      <c r="H6430" s="238">
        <f>IFERROR(__xludf.DUMMYFUNCTION("""COMPUTED_VALUE"""),46054.29166666667)</f>
        <v>46054.29167</v>
      </c>
      <c r="J6430" s="239">
        <v>177.00000001117587</v>
      </c>
    </row>
    <row r="6431">
      <c r="A6431" s="234"/>
      <c r="B6431" s="238" t="str">
        <f>IFERROR(__xludf.DUMMYFUNCTION("""COMPUTED_VALUE"""),"SoC_SP_Cravinhos")</f>
        <v>SoC_SP_Cravinhos</v>
      </c>
      <c r="C6431" s="238" t="str">
        <f>IFERROR(__xludf.DUMMYFUNCTION("""COMPUTED_VALUE"""),"SOC-SP5")</f>
        <v>SOC-SP5</v>
      </c>
      <c r="D6431" s="234"/>
      <c r="E6431" s="237" t="str">
        <f>IFERROR(__xludf.DUMMYFUNCTION("""COMPUTED_VALUE"""),"LT0Q1V01XDCN1")</f>
        <v>LT0Q1V01XDCN1</v>
      </c>
      <c r="F6431" s="238" t="str">
        <f>IFERROR(__xludf.DUMMYFUNCTION("""COMPUTED_VALUE"""),"ELA6D76,TKN4J33")</f>
        <v>ELA6D76,TKN4J33</v>
      </c>
      <c r="G6431" s="238">
        <f>IFERROR(__xludf.DUMMYFUNCTION("""COMPUTED_VALUE"""),46054.16875)</f>
        <v>46054.16875</v>
      </c>
      <c r="H6431" s="238">
        <f>IFERROR(__xludf.DUMMYFUNCTION("""COMPUTED_VALUE"""),46054.29166666667)</f>
        <v>46054.29167</v>
      </c>
      <c r="J6431" s="239">
        <v>297.00000000419095</v>
      </c>
    </row>
    <row r="6432">
      <c r="A6432" s="234"/>
      <c r="B6432" s="238" t="str">
        <f>IFERROR(__xludf.DUMMYFUNCTION("""COMPUTED_VALUE"""),"SoC_MG_Betim")</f>
        <v>SoC_MG_Betim</v>
      </c>
      <c r="C6432" s="238" t="str">
        <f>IFERROR(__xludf.DUMMYFUNCTION("""COMPUTED_VALUE"""),"SOC-MG2")</f>
        <v>SOC-MG2</v>
      </c>
      <c r="D6432" s="234">
        <f>IFERROR(__xludf.DUMMYFUNCTION("""COMPUTED_VALUE"""),91.0)</f>
        <v>91</v>
      </c>
      <c r="E6432" s="237" t="str">
        <f>IFERROR(__xludf.DUMMYFUNCTION("""COMPUTED_VALUE"""),"LT0Q1V01XM5I1")</f>
        <v>LT0Q1V01XM5I1</v>
      </c>
      <c r="F6432" s="238" t="str">
        <f>IFERROR(__xludf.DUMMYFUNCTION("""COMPUTED_VALUE"""),"DPF1E65,EWJ1I10")</f>
        <v>DPF1E65,EWJ1I10</v>
      </c>
      <c r="G6432" s="238">
        <f>IFERROR(__xludf.DUMMYFUNCTION("""COMPUTED_VALUE"""),46054.08541666667)</f>
        <v>46054.08542</v>
      </c>
      <c r="H6432" s="238">
        <f>IFERROR(__xludf.DUMMYFUNCTION("""COMPUTED_VALUE"""),46054.29166666667)</f>
        <v>46054.29167</v>
      </c>
      <c r="J6432" s="239">
        <v>297.00000000419095</v>
      </c>
    </row>
    <row r="6433">
      <c r="A6433" s="234"/>
      <c r="B6433" s="238" t="str">
        <f>IFERROR(__xludf.DUMMYFUNCTION("""COMPUTED_VALUE"""),"SoC_RJ_Duque de Caxias")</f>
        <v>SoC_RJ_Duque de Caxias</v>
      </c>
      <c r="C6433" s="238" t="str">
        <f>IFERROR(__xludf.DUMMYFUNCTION("""COMPUTED_VALUE"""),"SOC-RJ2")</f>
        <v>SOC-RJ2</v>
      </c>
      <c r="D6433" s="234">
        <f>IFERROR(__xludf.DUMMYFUNCTION("""COMPUTED_VALUE"""),96.0)</f>
        <v>96</v>
      </c>
      <c r="E6433" s="237" t="str">
        <f>IFERROR(__xludf.DUMMYFUNCTION("""COMPUTED_VALUE"""),"LT0Q1V01XMJ92")</f>
        <v>LT0Q1V01XMJ92</v>
      </c>
      <c r="F6433" s="238" t="str">
        <f>IFERROR(__xludf.DUMMYFUNCTION("""COMPUTED_VALUE"""),"LRU9A27,MQA9B36")</f>
        <v>LRU9A27,MQA9B36</v>
      </c>
      <c r="G6433" s="238">
        <f>IFERROR(__xludf.DUMMYFUNCTION("""COMPUTED_VALUE"""),46054.08541666667)</f>
        <v>46054.08542</v>
      </c>
      <c r="H6433" s="238">
        <f>IFERROR(__xludf.DUMMYFUNCTION("""COMPUTED_VALUE"""),46054.29166666667)</f>
        <v>46054.29167</v>
      </c>
      <c r="J6433" s="239">
        <v>180.0</v>
      </c>
    </row>
    <row r="6434">
      <c r="A6434" s="234"/>
      <c r="B6434" s="238" t="str">
        <f>IFERROR(__xludf.DUMMYFUNCTION("""COMPUTED_VALUE"""),"SoC_GO_Goiânia_02")</f>
        <v>SoC_GO_Goiânia_02</v>
      </c>
      <c r="C6434" s="238" t="str">
        <f>IFERROR(__xludf.DUMMYFUNCTION("""COMPUTED_VALUE"""),"SOC-GO2")</f>
        <v>SOC-GO2</v>
      </c>
      <c r="D6434" s="234" t="str">
        <f>IFERROR(__xludf.DUMMYFUNCTION("""COMPUTED_VALUE"""),"86/16")</f>
        <v>86/16</v>
      </c>
      <c r="E6434" s="237" t="str">
        <f>IFERROR(__xludf.DUMMYFUNCTION("""COMPUTED_VALUE"""),"LT0Q1V01XIQV2")</f>
        <v>LT0Q1V01XIQV2</v>
      </c>
      <c r="F6434" s="238" t="str">
        <f>IFERROR(__xludf.DUMMYFUNCTION("""COMPUTED_VALUE"""),"BJP6C95,TLT1F85")</f>
        <v>BJP6C95,TLT1F85</v>
      </c>
      <c r="G6434" s="238">
        <f>IFERROR(__xludf.DUMMYFUNCTION("""COMPUTED_VALUE"""),46054.16666666667)</f>
        <v>46054.16667</v>
      </c>
      <c r="H6434" s="238">
        <f>IFERROR(__xludf.DUMMYFUNCTION("""COMPUTED_VALUE"""),46054.29166666667)</f>
        <v>46054.29167</v>
      </c>
      <c r="J6434" s="239">
        <v>59.99999998603016</v>
      </c>
    </row>
    <row r="6435">
      <c r="A6435" s="234"/>
      <c r="B6435" s="238" t="str">
        <f>IFERROR(__xludf.DUMMYFUNCTION("""COMPUTED_VALUE"""),"LM Hub_SP_Barueri_01")</f>
        <v>LM Hub_SP_Barueri_01</v>
      </c>
      <c r="C6435" s="238" t="str">
        <f>IFERROR(__xludf.DUMMYFUNCTION("""COMPUTED_VALUE"""),"HUB-LSP-81")</f>
        <v>HUB-LSP-81</v>
      </c>
      <c r="D6435" s="234">
        <f>IFERROR(__xludf.DUMMYFUNCTION("""COMPUTED_VALUE"""),20.0)</f>
        <v>20</v>
      </c>
      <c r="E6435" s="237" t="str">
        <f>IFERROR(__xludf.DUMMYFUNCTION("""COMPUTED_VALUE"""),"LT1Q2201YAXM1")</f>
        <v>LT1Q2201YAXM1</v>
      </c>
      <c r="F6435" s="238" t="str">
        <f>IFERROR(__xludf.DUMMYFUNCTION("""COMPUTED_VALUE"""),"EJW2D71")</f>
        <v>EJW2D71</v>
      </c>
      <c r="G6435" s="238">
        <f>IFERROR(__xludf.DUMMYFUNCTION("""COMPUTED_VALUE"""),46055.91666666667)</f>
        <v>46055.91667</v>
      </c>
      <c r="H6435" s="238">
        <f>IFERROR(__xludf.DUMMYFUNCTION("""COMPUTED_VALUE"""),46055.95833333333)</f>
        <v>46055.95833</v>
      </c>
      <c r="J6435" s="239">
        <v>120.00000001396984</v>
      </c>
    </row>
    <row r="6436">
      <c r="A6436" s="234"/>
      <c r="B6436" s="238" t="str">
        <f>IFERROR(__xludf.DUMMYFUNCTION("""COMPUTED_VALUE"""),"LM Hub_SP_Itaqua_Zimba")</f>
        <v>LM Hub_SP_Itaqua_Zimba</v>
      </c>
      <c r="C6436" s="238" t="str">
        <f>IFERROR(__xludf.DUMMYFUNCTION("""COMPUTED_VALUE"""),"HUB-LSP-74")</f>
        <v>HUB-LSP-74</v>
      </c>
      <c r="D6436" s="234">
        <f>IFERROR(__xludf.DUMMYFUNCTION("""COMPUTED_VALUE"""),9.0)</f>
        <v>9</v>
      </c>
      <c r="E6436" s="237" t="str">
        <f>IFERROR(__xludf.DUMMYFUNCTION("""COMPUTED_VALUE"""),"LT0Q2201XVYS1")</f>
        <v>LT0Q2201XVYS1</v>
      </c>
      <c r="F6436" s="238" t="str">
        <f>IFERROR(__xludf.DUMMYFUNCTION("""COMPUTED_VALUE"""),"CYT4D62,TLF5G42")</f>
        <v>CYT4D62,TLF5G42</v>
      </c>
      <c r="G6436" s="238">
        <f>IFERROR(__xludf.DUMMYFUNCTION("""COMPUTED_VALUE"""),46055.89583333333)</f>
        <v>46055.89583</v>
      </c>
      <c r="H6436" s="238">
        <f>IFERROR(__xludf.DUMMYFUNCTION("""COMPUTED_VALUE"""),46055.97916666667)</f>
        <v>46055.97917</v>
      </c>
      <c r="J6436" s="239">
        <v>120.00000001396984</v>
      </c>
    </row>
    <row r="6437">
      <c r="A6437" s="234"/>
      <c r="B6437" s="238" t="str">
        <f>IFERROR(__xludf.DUMMYFUNCTION("""COMPUTED_VALUE"""),"LM Hub_SP_Santos_Praia Grande")</f>
        <v>LM Hub_SP_Santos_Praia Grande</v>
      </c>
      <c r="C6437" s="238" t="str">
        <f>IFERROR(__xludf.DUMMYFUNCTION("""COMPUTED_VALUE"""),"HUB-LSP-09")</f>
        <v>HUB-LSP-09</v>
      </c>
      <c r="D6437" s="234">
        <f>IFERROR(__xludf.DUMMYFUNCTION("""COMPUTED_VALUE"""),19.0)</f>
        <v>19</v>
      </c>
      <c r="E6437" s="237" t="str">
        <f>IFERROR(__xludf.DUMMYFUNCTION("""COMPUTED_VALUE"""),"LT0Q2201XW0S1")</f>
        <v>LT0Q2201XW0S1</v>
      </c>
      <c r="F6437" s="238" t="str">
        <f>IFERROR(__xludf.DUMMYFUNCTION("""COMPUTED_VALUE"""),"SWJ8J34,SXN5B19")</f>
        <v>SWJ8J34,SXN5B19</v>
      </c>
      <c r="G6437" s="238">
        <f>IFERROR(__xludf.DUMMYFUNCTION("""COMPUTED_VALUE"""),46055.89583333333)</f>
        <v>46055.89583</v>
      </c>
      <c r="H6437" s="238">
        <f>IFERROR(__xludf.DUMMYFUNCTION("""COMPUTED_VALUE"""),46055.97916666667)</f>
        <v>46055.97917</v>
      </c>
      <c r="J6437" s="239">
        <v>120.00000001396984</v>
      </c>
    </row>
    <row r="6438">
      <c r="A6438" s="234"/>
      <c r="B6438" s="238" t="str">
        <f>IFERROR(__xludf.DUMMYFUNCTION("""COMPUTED_VALUE"""),"LM Hub_SP_São Paulo_Lapa")</f>
        <v>LM Hub_SP_São Paulo_Lapa</v>
      </c>
      <c r="C6438" s="238" t="str">
        <f>IFERROR(__xludf.DUMMYFUNCTION("""COMPUTED_VALUE"""),"HUB-LSP-15")</f>
        <v>HUB-LSP-15</v>
      </c>
      <c r="D6438" s="234">
        <f>IFERROR(__xludf.DUMMYFUNCTION("""COMPUTED_VALUE"""),28.0)</f>
        <v>28</v>
      </c>
      <c r="E6438" s="237" t="str">
        <f>IFERROR(__xludf.DUMMYFUNCTION("""COMPUTED_VALUE"""),"LT0Q2201XVX91")</f>
        <v>LT0Q2201XVX91</v>
      </c>
      <c r="F6438" s="238" t="str">
        <f>IFERROR(__xludf.DUMMYFUNCTION("""COMPUTED_VALUE"""),"QPV1A02,ELQ6F04")</f>
        <v>QPV1A02,ELQ6F04</v>
      </c>
      <c r="G6438" s="238">
        <f>IFERROR(__xludf.DUMMYFUNCTION("""COMPUTED_VALUE"""),46055.89583333333)</f>
        <v>46055.89583</v>
      </c>
      <c r="H6438" s="238">
        <f>IFERROR(__xludf.DUMMYFUNCTION("""COMPUTED_VALUE"""),46055.97916666667)</f>
        <v>46055.97917</v>
      </c>
      <c r="J6438" s="239">
        <v>120.00000001396984</v>
      </c>
    </row>
    <row r="6439">
      <c r="A6439" s="234"/>
      <c r="B6439" s="238" t="str">
        <f>IFERROR(__xludf.DUMMYFUNCTION("""COMPUTED_VALUE"""),"LM Hub_SP_Várzea Paulista")</f>
        <v>LM Hub_SP_Várzea Paulista</v>
      </c>
      <c r="C6439" s="238" t="str">
        <f>IFERROR(__xludf.DUMMYFUNCTION("""COMPUTED_VALUE"""),"HUB-LSP-20")</f>
        <v>HUB-LSP-20</v>
      </c>
      <c r="D6439" s="234"/>
      <c r="E6439" s="237" t="str">
        <f>IFERROR(__xludf.DUMMYFUNCTION("""COMPUTED_VALUE"""),"LT0Q2201XW3A1")</f>
        <v>LT0Q2201XW3A1</v>
      </c>
      <c r="F6439" s="238" t="str">
        <f>IFERROR(__xludf.DUMMYFUNCTION("""COMPUTED_VALUE"""),"RJG8E37,FCG5D30")</f>
        <v>RJG8E37,FCG5D30</v>
      </c>
      <c r="G6439" s="238">
        <f>IFERROR(__xludf.DUMMYFUNCTION("""COMPUTED_VALUE"""),46055.89583333333)</f>
        <v>46055.89583</v>
      </c>
      <c r="H6439" s="238">
        <f>IFERROR(__xludf.DUMMYFUNCTION("""COMPUTED_VALUE"""),46055.97916666667)</f>
        <v>46055.97917</v>
      </c>
      <c r="J6439" s="239">
        <v>119.99999999301508</v>
      </c>
    </row>
    <row r="6440">
      <c r="A6440" s="234"/>
      <c r="B6440" s="238" t="str">
        <f>IFERROR(__xludf.DUMMYFUNCTION("""COMPUTED_VALUE"""),"LM Hub_RS_Porto Alegre_Floresta")</f>
        <v>LM Hub_RS_Porto Alegre_Floresta</v>
      </c>
      <c r="C6440" s="238" t="str">
        <f>IFERROR(__xludf.DUMMYFUNCTION("""COMPUTED_VALUE"""),"HUB-LRS-03")</f>
        <v>HUB-LRS-03</v>
      </c>
      <c r="D6440" s="234"/>
      <c r="E6440" s="237" t="str">
        <f>IFERROR(__xludf.DUMMYFUNCTION("""COMPUTED_VALUE"""),"LT0Q2201Y26H1")</f>
        <v>LT0Q2201Y26H1</v>
      </c>
      <c r="F6440" s="238" t="str">
        <f>IFERROR(__xludf.DUMMYFUNCTION("""COMPUTED_VALUE"""),"IUD4271,INU5J24")</f>
        <v>IUD4271,INU5J24</v>
      </c>
      <c r="G6440" s="238">
        <f>IFERROR(__xludf.DUMMYFUNCTION("""COMPUTED_VALUE"""),46055.91666666667)</f>
        <v>46055.91667</v>
      </c>
      <c r="H6440" s="238">
        <f>IFERROR(__xludf.DUMMYFUNCTION("""COMPUTED_VALUE"""),46056.0)</f>
        <v>46056</v>
      </c>
      <c r="J6440" s="239">
        <v>119.99999999301508</v>
      </c>
    </row>
    <row r="6441">
      <c r="A6441" s="234"/>
      <c r="B6441" s="238" t="str">
        <f>IFERROR(__xludf.DUMMYFUNCTION("""COMPUTED_VALUE"""),"LM Hub_SP_Artur Alvim")</f>
        <v>LM Hub_SP_Artur Alvim</v>
      </c>
      <c r="C6441" s="238" t="str">
        <f>IFERROR(__xludf.DUMMYFUNCTION("""COMPUTED_VALUE"""),"HUB-LSP-07")</f>
        <v>HUB-LSP-07</v>
      </c>
      <c r="D6441" s="234">
        <f>IFERROR(__xludf.DUMMYFUNCTION("""COMPUTED_VALUE"""),17.0)</f>
        <v>17</v>
      </c>
      <c r="E6441" s="237" t="str">
        <f>IFERROR(__xludf.DUMMYFUNCTION("""COMPUTED_VALUE"""),"LT0Q2201XVWU1")</f>
        <v>LT0Q2201XVWU1</v>
      </c>
      <c r="F6441" s="238" t="str">
        <f>IFERROR(__xludf.DUMMYFUNCTION("""COMPUTED_VALUE"""),"OUV2G66,JMU8H37")</f>
        <v>OUV2G66,JMU8H37</v>
      </c>
      <c r="G6441" s="238">
        <f>IFERROR(__xludf.DUMMYFUNCTION("""COMPUTED_VALUE"""),46055.91666666667)</f>
        <v>46055.91667</v>
      </c>
      <c r="H6441" s="238">
        <f>IFERROR(__xludf.DUMMYFUNCTION("""COMPUTED_VALUE"""),46056.0)</f>
        <v>46056</v>
      </c>
      <c r="J6441" s="239">
        <v>119.99999999301508</v>
      </c>
    </row>
    <row r="6442">
      <c r="A6442" s="234"/>
      <c r="B6442" s="238" t="str">
        <f>IFERROR(__xludf.DUMMYFUNCTION("""COMPUTED_VALUE"""),"LM Hub_SP_Barueri_01")</f>
        <v>LM Hub_SP_Barueri_01</v>
      </c>
      <c r="C6442" s="238" t="str">
        <f>IFERROR(__xludf.DUMMYFUNCTION("""COMPUTED_VALUE"""),"HUB-LSP-81")</f>
        <v>HUB-LSP-81</v>
      </c>
      <c r="D6442" s="234">
        <f>IFERROR(__xludf.DUMMYFUNCTION("""COMPUTED_VALUE"""),15.0)</f>
        <v>15</v>
      </c>
      <c r="E6442" s="237" t="str">
        <f>IFERROR(__xludf.DUMMYFUNCTION("""COMPUTED_VALUE"""),"LT0Q2201Y0ZC1")</f>
        <v>LT0Q2201Y0ZC1</v>
      </c>
      <c r="F6442" s="238" t="str">
        <f>IFERROR(__xludf.DUMMYFUNCTION("""COMPUTED_VALUE"""),"FRO3D47,EWU4B46")</f>
        <v>FRO3D47,EWU4B46</v>
      </c>
      <c r="G6442" s="238">
        <f>IFERROR(__xludf.DUMMYFUNCTION("""COMPUTED_VALUE"""),46055.91666666667)</f>
        <v>46055.91667</v>
      </c>
      <c r="H6442" s="238">
        <f>IFERROR(__xludf.DUMMYFUNCTION("""COMPUTED_VALUE"""),46056.0)</f>
        <v>46056</v>
      </c>
      <c r="J6442" s="239">
        <v>119.99999999301508</v>
      </c>
    </row>
    <row r="6443">
      <c r="A6443" s="234"/>
      <c r="B6443" s="238" t="str">
        <f>IFERROR(__xludf.DUMMYFUNCTION("""COMPUTED_VALUE"""),"LM Hub_SP_Guarulhos")</f>
        <v>LM Hub_SP_Guarulhos</v>
      </c>
      <c r="C6443" s="238" t="str">
        <f>IFERROR(__xludf.DUMMYFUNCTION("""COMPUTED_VALUE"""),"HUB-LSP-77")</f>
        <v>HUB-LSP-77</v>
      </c>
      <c r="D6443" s="234">
        <f>IFERROR(__xludf.DUMMYFUNCTION("""COMPUTED_VALUE"""),29.0)</f>
        <v>29</v>
      </c>
      <c r="E6443" s="237" t="str">
        <f>IFERROR(__xludf.DUMMYFUNCTION("""COMPUTED_VALUE"""),"LT0Q2201XWQC1")</f>
        <v>LT0Q2201XWQC1</v>
      </c>
      <c r="F6443" s="238" t="str">
        <f>IFERROR(__xludf.DUMMYFUNCTION("""COMPUTED_VALUE"""),"PRB0D29,NKH4A83")</f>
        <v>PRB0D29,NKH4A83</v>
      </c>
      <c r="G6443" s="238">
        <f>IFERROR(__xludf.DUMMYFUNCTION("""COMPUTED_VALUE"""),46055.91666666667)</f>
        <v>46055.91667</v>
      </c>
      <c r="H6443" s="238">
        <f>IFERROR(__xludf.DUMMYFUNCTION("""COMPUTED_VALUE"""),46056.0)</f>
        <v>46056</v>
      </c>
      <c r="J6443" s="239">
        <v>119.99999999301508</v>
      </c>
    </row>
    <row r="6444">
      <c r="A6444" s="234"/>
      <c r="B6444" s="238" t="str">
        <f>IFERROR(__xludf.DUMMYFUNCTION("""COMPUTED_VALUE"""),"LM Hub_SP_Itapevi")</f>
        <v>LM Hub_SP_Itapevi</v>
      </c>
      <c r="C6444" s="238" t="str">
        <f>IFERROR(__xludf.DUMMYFUNCTION("""COMPUTED_VALUE"""),"HUB-LSP-41")</f>
        <v>HUB-LSP-41</v>
      </c>
      <c r="D6444" s="234">
        <f>IFERROR(__xludf.DUMMYFUNCTION("""COMPUTED_VALUE"""),25.0)</f>
        <v>25</v>
      </c>
      <c r="E6444" s="237" t="str">
        <f>IFERROR(__xludf.DUMMYFUNCTION("""COMPUTED_VALUE"""),"LT0Q2201XVY31")</f>
        <v>LT0Q2201XVY31</v>
      </c>
      <c r="F6444" s="238" t="str">
        <f>IFERROR(__xludf.DUMMYFUNCTION("""COMPUTED_VALUE"""),"BCS4J31,DJB0J76")</f>
        <v>BCS4J31,DJB0J76</v>
      </c>
      <c r="G6444" s="238">
        <f>IFERROR(__xludf.DUMMYFUNCTION("""COMPUTED_VALUE"""),46055.91666666667)</f>
        <v>46055.91667</v>
      </c>
      <c r="H6444" s="238">
        <f>IFERROR(__xludf.DUMMYFUNCTION("""COMPUTED_VALUE"""),46056.0)</f>
        <v>46056</v>
      </c>
      <c r="J6444" s="239">
        <v>119.99999999301508</v>
      </c>
    </row>
    <row r="6445">
      <c r="A6445" s="234"/>
      <c r="B6445" s="238" t="str">
        <f>IFERROR(__xludf.DUMMYFUNCTION("""COMPUTED_VALUE"""),"LM Hub_SP_Jundiaí")</f>
        <v>LM Hub_SP_Jundiaí</v>
      </c>
      <c r="C6445" s="238" t="str">
        <f>IFERROR(__xludf.DUMMYFUNCTION("""COMPUTED_VALUE"""),"HUB-LSP-100")</f>
        <v>HUB-LSP-100</v>
      </c>
      <c r="D6445" s="234">
        <f>IFERROR(__xludf.DUMMYFUNCTION("""COMPUTED_VALUE"""),13.0)</f>
        <v>13</v>
      </c>
      <c r="E6445" s="237" t="str">
        <f>IFERROR(__xludf.DUMMYFUNCTION("""COMPUTED_VALUE"""),"LT0Q2201Y2H41")</f>
        <v>LT0Q2201Y2H41</v>
      </c>
      <c r="F6445" s="238" t="str">
        <f>IFERROR(__xludf.DUMMYFUNCTION("""COMPUTED_VALUE"""),"FGE4C82,TMC1B79")</f>
        <v>FGE4C82,TMC1B79</v>
      </c>
      <c r="G6445" s="238">
        <f>IFERROR(__xludf.DUMMYFUNCTION("""COMPUTED_VALUE"""),46055.91666666667)</f>
        <v>46055.91667</v>
      </c>
      <c r="H6445" s="238">
        <f>IFERROR(__xludf.DUMMYFUNCTION("""COMPUTED_VALUE"""),46056.0)</f>
        <v>46056</v>
      </c>
      <c r="J6445" s="239">
        <v>119.99999999301508</v>
      </c>
    </row>
    <row r="6446">
      <c r="A6446" s="234"/>
      <c r="B6446" s="238" t="str">
        <f>IFERROR(__xludf.DUMMYFUNCTION("""COMPUTED_VALUE"""),"LM Hub_SP_Mauá")</f>
        <v>LM Hub_SP_Mauá</v>
      </c>
      <c r="C6446" s="238" t="str">
        <f>IFERROR(__xludf.DUMMYFUNCTION("""COMPUTED_VALUE"""),"HUB-LSP-64")</f>
        <v>HUB-LSP-64</v>
      </c>
      <c r="D6446" s="234">
        <f>IFERROR(__xludf.DUMMYFUNCTION("""COMPUTED_VALUE"""),33.0)</f>
        <v>33</v>
      </c>
      <c r="E6446" s="237" t="str">
        <f>IFERROR(__xludf.DUMMYFUNCTION("""COMPUTED_VALUE"""),"LT0Q2201XVYG1")</f>
        <v>LT0Q2201XVYG1</v>
      </c>
      <c r="F6446" s="238" t="str">
        <f>IFERROR(__xludf.DUMMYFUNCTION("""COMPUTED_VALUE"""),"FQF6B98,DTA7802")</f>
        <v>FQF6B98,DTA7802</v>
      </c>
      <c r="G6446" s="238">
        <f>IFERROR(__xludf.DUMMYFUNCTION("""COMPUTED_VALUE"""),46055.91666666667)</f>
        <v>46055.91667</v>
      </c>
      <c r="H6446" s="238">
        <f>IFERROR(__xludf.DUMMYFUNCTION("""COMPUTED_VALUE"""),46056.0)</f>
        <v>46056</v>
      </c>
      <c r="J6446" s="239">
        <v>119.99999999301508</v>
      </c>
    </row>
    <row r="6447">
      <c r="A6447" s="234"/>
      <c r="B6447" s="238" t="str">
        <f>IFERROR(__xludf.DUMMYFUNCTION("""COMPUTED_VALUE"""),"LM Hub_SP_Mooca_02")</f>
        <v>LM Hub_SP_Mooca_02</v>
      </c>
      <c r="C6447" s="238" t="str">
        <f>IFERROR(__xludf.DUMMYFUNCTION("""COMPUTED_VALUE"""),"HUB-LSP-94")</f>
        <v>HUB-LSP-94</v>
      </c>
      <c r="D6447" s="234">
        <f>IFERROR(__xludf.DUMMYFUNCTION("""COMPUTED_VALUE"""),45.0)</f>
        <v>45</v>
      </c>
      <c r="E6447" s="237" t="str">
        <f>IFERROR(__xludf.DUMMYFUNCTION("""COMPUTED_VALUE"""),"LT0Q2201Y0VS1")</f>
        <v>LT0Q2201Y0VS1</v>
      </c>
      <c r="F6447" s="238" t="str">
        <f>IFERROR(__xludf.DUMMYFUNCTION("""COMPUTED_VALUE"""),"ELQ4I30")</f>
        <v>ELQ4I30</v>
      </c>
      <c r="G6447" s="238">
        <f>IFERROR(__xludf.DUMMYFUNCTION("""COMPUTED_VALUE"""),46055.91666666667)</f>
        <v>46055.91667</v>
      </c>
      <c r="H6447" s="238">
        <f>IFERROR(__xludf.DUMMYFUNCTION("""COMPUTED_VALUE"""),46056.0)</f>
        <v>46056</v>
      </c>
      <c r="J6447" s="239">
        <v>119.99999999301508</v>
      </c>
    </row>
    <row r="6448">
      <c r="A6448" s="234"/>
      <c r="B6448" s="238" t="str">
        <f>IFERROR(__xludf.DUMMYFUNCTION("""COMPUTED_VALUE"""),"LM Hub_SP_Osasco_02")</f>
        <v>LM Hub_SP_Osasco_02</v>
      </c>
      <c r="C6448" s="238" t="str">
        <f>IFERROR(__xludf.DUMMYFUNCTION("""COMPUTED_VALUE"""),"HUB-LSP-60")</f>
        <v>HUB-LSP-60</v>
      </c>
      <c r="D6448" s="234">
        <f>IFERROR(__xludf.DUMMYFUNCTION("""COMPUTED_VALUE"""),16.0)</f>
        <v>16</v>
      </c>
      <c r="E6448" s="237" t="str">
        <f>IFERROR(__xludf.DUMMYFUNCTION("""COMPUTED_VALUE"""),"LT0Q2201XVYA1")</f>
        <v>LT0Q2201XVYA1</v>
      </c>
      <c r="F6448" s="238" t="str">
        <f>IFERROR(__xludf.DUMMYFUNCTION("""COMPUTED_VALUE"""),"FUZ6B23,FUA8006")</f>
        <v>FUZ6B23,FUA8006</v>
      </c>
      <c r="G6448" s="238">
        <f>IFERROR(__xludf.DUMMYFUNCTION("""COMPUTED_VALUE"""),46055.91666666667)</f>
        <v>46055.91667</v>
      </c>
      <c r="H6448" s="238">
        <f>IFERROR(__xludf.DUMMYFUNCTION("""COMPUTED_VALUE"""),46056.0)</f>
        <v>46056</v>
      </c>
      <c r="J6448" s="239">
        <v>119.99999999301508</v>
      </c>
    </row>
    <row r="6449">
      <c r="A6449" s="234"/>
      <c r="B6449" s="238" t="str">
        <f>IFERROR(__xludf.DUMMYFUNCTION("""COMPUTED_VALUE"""),"LM Hub_SP_Santo André")</f>
        <v>LM Hub_SP_Santo André</v>
      </c>
      <c r="C6449" s="238" t="str">
        <f>IFERROR(__xludf.DUMMYFUNCTION("""COMPUTED_VALUE"""),"HUB-LSP-93")</f>
        <v>HUB-LSP-93</v>
      </c>
      <c r="D6449" s="234">
        <f>IFERROR(__xludf.DUMMYFUNCTION("""COMPUTED_VALUE"""),39.0)</f>
        <v>39</v>
      </c>
      <c r="E6449" s="237" t="str">
        <f>IFERROR(__xludf.DUMMYFUNCTION("""COMPUTED_VALUE"""),"LT0Q2201XYED1")</f>
        <v>LT0Q2201XYED1</v>
      </c>
      <c r="F6449" s="238" t="str">
        <f>IFERROR(__xludf.DUMMYFUNCTION("""COMPUTED_VALUE"""),"FXQ8H67,EZL9D42")</f>
        <v>FXQ8H67,EZL9D42</v>
      </c>
      <c r="G6449" s="238">
        <f>IFERROR(__xludf.DUMMYFUNCTION("""COMPUTED_VALUE"""),46055.91666666667)</f>
        <v>46055.91667</v>
      </c>
      <c r="H6449" s="238">
        <f>IFERROR(__xludf.DUMMYFUNCTION("""COMPUTED_VALUE"""),46056.0)</f>
        <v>46056</v>
      </c>
      <c r="J6449" s="239">
        <v>119.99999999301508</v>
      </c>
    </row>
    <row r="6450">
      <c r="A6450" s="234"/>
      <c r="B6450" s="238" t="str">
        <f>IFERROR(__xludf.DUMMYFUNCTION("""COMPUTED_VALUE"""),"LM Hub_SP_São José do Rio P")</f>
        <v>LM Hub_SP_São José do Rio P</v>
      </c>
      <c r="C6450" s="238" t="str">
        <f>IFERROR(__xludf.DUMMYFUNCTION("""COMPUTED_VALUE"""),"HUB-LSP-27")</f>
        <v>HUB-LSP-27</v>
      </c>
      <c r="D6450" s="234"/>
      <c r="E6450" s="237" t="str">
        <f>IFERROR(__xludf.DUMMYFUNCTION("""COMPUTED_VALUE"""),"LT0Q2201XZR41")</f>
        <v>LT0Q2201XZR41</v>
      </c>
      <c r="F6450" s="238" t="str">
        <f>IFERROR(__xludf.DUMMYFUNCTION("""COMPUTED_VALUE"""),"SFO1F38,GAS2G93")</f>
        <v>SFO1F38,GAS2G93</v>
      </c>
      <c r="G6450" s="238">
        <f>IFERROR(__xludf.DUMMYFUNCTION("""COMPUTED_VALUE"""),46055.91666666667)</f>
        <v>46055.91667</v>
      </c>
      <c r="H6450" s="238">
        <f>IFERROR(__xludf.DUMMYFUNCTION("""COMPUTED_VALUE"""),46056.0)</f>
        <v>46056</v>
      </c>
      <c r="J6450" s="239">
        <v>119.99999999301508</v>
      </c>
    </row>
    <row r="6451">
      <c r="A6451" s="234"/>
      <c r="B6451" s="238" t="str">
        <f>IFERROR(__xludf.DUMMYFUNCTION("""COMPUTED_VALUE"""),"SoC_SP_Louveira")</f>
        <v>SoC_SP_Louveira</v>
      </c>
      <c r="C6451" s="238" t="str">
        <f>IFERROR(__xludf.DUMMYFUNCTION("""COMPUTED_VALUE"""),"SOC-SP7")</f>
        <v>SOC-SP7</v>
      </c>
      <c r="D6451" s="234">
        <f>IFERROR(__xludf.DUMMYFUNCTION("""COMPUTED_VALUE"""),32.0)</f>
        <v>32</v>
      </c>
      <c r="E6451" s="237" t="str">
        <f>IFERROR(__xludf.DUMMYFUNCTION("""COMPUTED_VALUE"""),"LT0Q2201XVWD1")</f>
        <v>LT0Q2201XVWD1</v>
      </c>
      <c r="F6451" s="238" t="str">
        <f>IFERROR(__xludf.DUMMYFUNCTION("""COMPUTED_VALUE"""),"GDL9D12,GJM4992")</f>
        <v>GDL9D12,GJM4992</v>
      </c>
      <c r="G6451" s="238">
        <f>IFERROR(__xludf.DUMMYFUNCTION("""COMPUTED_VALUE"""),46055.91666666667)</f>
        <v>46055.91667</v>
      </c>
      <c r="H6451" s="238">
        <f>IFERROR(__xludf.DUMMYFUNCTION("""COMPUTED_VALUE"""),46056.0)</f>
        <v>46056</v>
      </c>
      <c r="J6451" s="239">
        <v>60.00000000698492</v>
      </c>
    </row>
    <row r="6452">
      <c r="A6452" s="234"/>
      <c r="B6452" s="238" t="str">
        <f>IFERROR(__xludf.DUMMYFUNCTION("""COMPUTED_VALUE"""),"LM Hub_SP_Mogi Mirim")</f>
        <v>LM Hub_SP_Mogi Mirim</v>
      </c>
      <c r="C6452" s="238" t="str">
        <f>IFERROR(__xludf.DUMMYFUNCTION("""COMPUTED_VALUE"""),"HUB-LSP-37")</f>
        <v>HUB-LSP-37</v>
      </c>
      <c r="D6452" s="234">
        <f>IFERROR(__xludf.DUMMYFUNCTION("""COMPUTED_VALUE"""),12.0)</f>
        <v>12</v>
      </c>
      <c r="E6452" s="237" t="str">
        <f>IFERROR(__xludf.DUMMYFUNCTION("""COMPUTED_VALUE"""),"LT1Q2201YAXS1")</f>
        <v>LT1Q2201YAXS1</v>
      </c>
      <c r="F6452" s="238" t="str">
        <f>IFERROR(__xludf.DUMMYFUNCTION("""COMPUTED_VALUE"""),"ETU2I62")</f>
        <v>ETU2I62</v>
      </c>
      <c r="G6452" s="238">
        <f>IFERROR(__xludf.DUMMYFUNCTION("""COMPUTED_VALUE"""),46055.95833333333)</f>
        <v>46055.95833</v>
      </c>
      <c r="H6452" s="238">
        <f>IFERROR(__xludf.DUMMYFUNCTION("""COMPUTED_VALUE"""),46056.0)</f>
        <v>46056</v>
      </c>
      <c r="J6452" s="239">
        <v>119.99999999301508</v>
      </c>
    </row>
    <row r="6453">
      <c r="A6453" s="234"/>
      <c r="B6453" s="238" t="str">
        <f>IFERROR(__xludf.DUMMYFUNCTION("""COMPUTED_VALUE"""),"LM Hub_SP_Jardim Adriana")</f>
        <v>LM Hub_SP_Jardim Adriana</v>
      </c>
      <c r="C6453" s="238" t="str">
        <f>IFERROR(__xludf.DUMMYFUNCTION("""COMPUTED_VALUE"""),"HUB-LSP-12")</f>
        <v>HUB-LSP-12</v>
      </c>
      <c r="D6453" s="234">
        <f>IFERROR(__xludf.DUMMYFUNCTION("""COMPUTED_VALUE"""),23.0)</f>
        <v>23</v>
      </c>
      <c r="E6453" s="237" t="str">
        <f>IFERROR(__xludf.DUMMYFUNCTION("""COMPUTED_VALUE"""),"LT0Q2201XVX01")</f>
        <v>LT0Q2201XVX01</v>
      </c>
      <c r="F6453" s="238" t="str">
        <f>IFERROR(__xludf.DUMMYFUNCTION("""COMPUTED_VALUE"""),"EVU4B22")</f>
        <v>EVU4B22</v>
      </c>
      <c r="G6453" s="238">
        <f>IFERROR(__xludf.DUMMYFUNCTION("""COMPUTED_VALUE"""),46055.9375)</f>
        <v>46055.9375</v>
      </c>
      <c r="H6453" s="238">
        <f>IFERROR(__xludf.DUMMYFUNCTION("""COMPUTED_VALUE"""),46056.02083333333)</f>
        <v>46056.02083</v>
      </c>
      <c r="J6453" s="239">
        <v>119.99999999301508</v>
      </c>
    </row>
    <row r="6454">
      <c r="A6454" s="234"/>
      <c r="B6454" s="238" t="str">
        <f>IFERROR(__xludf.DUMMYFUNCTION("""COMPUTED_VALUE"""),"LM Hub_SP_Parque Novo Mundo")</f>
        <v>LM Hub_SP_Parque Novo Mundo</v>
      </c>
      <c r="C6454" s="238" t="str">
        <f>IFERROR(__xludf.DUMMYFUNCTION("""COMPUTED_VALUE"""),"HUB-LSP-89")</f>
        <v>HUB-LSP-89</v>
      </c>
      <c r="D6454" s="234">
        <f>IFERROR(__xludf.DUMMYFUNCTION("""COMPUTED_VALUE"""),21.0)</f>
        <v>21</v>
      </c>
      <c r="E6454" s="237" t="str">
        <f>IFERROR(__xludf.DUMMYFUNCTION("""COMPUTED_VALUE"""),"LT0Q2201XWX61")</f>
        <v>LT0Q2201XWX61</v>
      </c>
      <c r="F6454" s="238" t="str">
        <f>IFERROR(__xludf.DUMMYFUNCTION("""COMPUTED_VALUE"""),"CVN5G56,OPD3C39")</f>
        <v>CVN5G56,OPD3C39</v>
      </c>
      <c r="G6454" s="238">
        <f>IFERROR(__xludf.DUMMYFUNCTION("""COMPUTED_VALUE"""),46055.9375)</f>
        <v>46055.9375</v>
      </c>
      <c r="H6454" s="238">
        <f>IFERROR(__xludf.DUMMYFUNCTION("""COMPUTED_VALUE"""),46056.02083333333)</f>
        <v>46056.02083</v>
      </c>
      <c r="J6454" s="239">
        <v>119.99999999301508</v>
      </c>
    </row>
    <row r="6455">
      <c r="A6455" s="234"/>
      <c r="B6455" s="238" t="str">
        <f>IFERROR(__xludf.DUMMYFUNCTION("""COMPUTED_VALUE"""),"LM Hub_SP_Piracicaba")</f>
        <v>LM Hub_SP_Piracicaba</v>
      </c>
      <c r="C6455" s="238" t="str">
        <f>IFERROR(__xludf.DUMMYFUNCTION("""COMPUTED_VALUE"""),"HUB-LSP-62")</f>
        <v>HUB-LSP-62</v>
      </c>
      <c r="D6455" s="234">
        <f>IFERROR(__xludf.DUMMYFUNCTION("""COMPUTED_VALUE"""),22.0)</f>
        <v>22</v>
      </c>
      <c r="E6455" s="237" t="str">
        <f>IFERROR(__xludf.DUMMYFUNCTION("""COMPUTED_VALUE"""),"LT0Q2201XWQQ1")</f>
        <v>LT0Q2201XWQQ1</v>
      </c>
      <c r="F6455" s="238" t="str">
        <f>IFERROR(__xludf.DUMMYFUNCTION("""COMPUTED_VALUE"""),"EGB0G74,BKO8351")</f>
        <v>EGB0G74,BKO8351</v>
      </c>
      <c r="G6455" s="238">
        <f>IFERROR(__xludf.DUMMYFUNCTION("""COMPUTED_VALUE"""),46055.9375)</f>
        <v>46055.9375</v>
      </c>
      <c r="H6455" s="238">
        <f>IFERROR(__xludf.DUMMYFUNCTION("""COMPUTED_VALUE"""),46056.02083333333)</f>
        <v>46056.02083</v>
      </c>
      <c r="J6455" s="239">
        <v>119.99999999301508</v>
      </c>
    </row>
    <row r="6456">
      <c r="A6456" s="234"/>
      <c r="B6456" s="238" t="str">
        <f>IFERROR(__xludf.DUMMYFUNCTION("""COMPUTED_VALUE"""),"LM Hub_SP_São Paulo_Carandiru")</f>
        <v>LM Hub_SP_São Paulo_Carandiru</v>
      </c>
      <c r="C6456" s="238" t="str">
        <f>IFERROR(__xludf.DUMMYFUNCTION("""COMPUTED_VALUE"""),"HUB-LSP-18")</f>
        <v>HUB-LSP-18</v>
      </c>
      <c r="D6456" s="234">
        <f>IFERROR(__xludf.DUMMYFUNCTION("""COMPUTED_VALUE"""),53.0)</f>
        <v>53</v>
      </c>
      <c r="E6456" s="237" t="str">
        <f>IFERROR(__xludf.DUMMYFUNCTION("""COMPUTED_VALUE"""),"LT0Q2201Y59I1")</f>
        <v>LT0Q2201Y59I1</v>
      </c>
      <c r="F6456" s="238" t="str">
        <f>IFERROR(__xludf.DUMMYFUNCTION("""COMPUTED_VALUE"""),"FYQ5533")</f>
        <v>FYQ5533</v>
      </c>
      <c r="G6456" s="238">
        <f>IFERROR(__xludf.DUMMYFUNCTION("""COMPUTED_VALUE"""),46055.9375)</f>
        <v>46055.9375</v>
      </c>
      <c r="H6456" s="238">
        <f>IFERROR(__xludf.DUMMYFUNCTION("""COMPUTED_VALUE"""),46056.02083333333)</f>
        <v>46056.02083</v>
      </c>
      <c r="J6456" s="239">
        <v>119.99999999301508</v>
      </c>
    </row>
    <row r="6457">
      <c r="A6457" s="234"/>
      <c r="B6457" s="238" t="str">
        <f>IFERROR(__xludf.DUMMYFUNCTION("""COMPUTED_VALUE"""),"LM Hub_SP_Suzano_Baruel")</f>
        <v>LM Hub_SP_Suzano_Baruel</v>
      </c>
      <c r="C6457" s="238" t="str">
        <f>IFERROR(__xludf.DUMMYFUNCTION("""COMPUTED_VALUE"""),"HUB-LSP-97")</f>
        <v>HUB-LSP-97</v>
      </c>
      <c r="D6457" s="234">
        <f>IFERROR(__xludf.DUMMYFUNCTION("""COMPUTED_VALUE"""),14.0)</f>
        <v>14</v>
      </c>
      <c r="E6457" s="237" t="str">
        <f>IFERROR(__xludf.DUMMYFUNCTION("""COMPUTED_VALUE"""),"LT0Q2201Y2U51")</f>
        <v>LT0Q2201Y2U51</v>
      </c>
      <c r="F6457" s="238" t="str">
        <f>IFERROR(__xludf.DUMMYFUNCTION("""COMPUTED_VALUE"""),"ODE7J96,UGA3J73")</f>
        <v>ODE7J96,UGA3J73</v>
      </c>
      <c r="G6457" s="238">
        <f>IFERROR(__xludf.DUMMYFUNCTION("""COMPUTED_VALUE"""),46055.9375)</f>
        <v>46055.9375</v>
      </c>
      <c r="H6457" s="238">
        <f>IFERROR(__xludf.DUMMYFUNCTION("""COMPUTED_VALUE"""),46056.02083333333)</f>
        <v>46056.02083</v>
      </c>
      <c r="J6457" s="239">
        <v>119.99999999301508</v>
      </c>
    </row>
    <row r="6458">
      <c r="A6458" s="234"/>
      <c r="B6458" s="238" t="str">
        <f>IFERROR(__xludf.DUMMYFUNCTION("""COMPUTED_VALUE"""),"LM Hub_SP_VilaGuilherme")</f>
        <v>LM Hub_SP_VilaGuilherme</v>
      </c>
      <c r="C6458" s="238" t="str">
        <f>IFERROR(__xludf.DUMMYFUNCTION("""COMPUTED_VALUE"""),"HUB-LSP-68")</f>
        <v>HUB-LSP-68</v>
      </c>
      <c r="D6458" s="234">
        <f>IFERROR(__xludf.DUMMYFUNCTION("""COMPUTED_VALUE"""),47.0)</f>
        <v>47</v>
      </c>
      <c r="E6458" s="237" t="str">
        <f>IFERROR(__xludf.DUMMYFUNCTION("""COMPUTED_VALUE"""),"LT0Q2201XVYO1")</f>
        <v>LT0Q2201XVYO1</v>
      </c>
      <c r="F6458" s="238" t="str">
        <f>IFERROR(__xludf.DUMMYFUNCTION("""COMPUTED_VALUE"""),"GBP5G56,JMA4104")</f>
        <v>GBP5G56,JMA4104</v>
      </c>
      <c r="G6458" s="238">
        <f>IFERROR(__xludf.DUMMYFUNCTION("""COMPUTED_VALUE"""),46055.9375)</f>
        <v>46055.9375</v>
      </c>
      <c r="H6458" s="238">
        <f>IFERROR(__xludf.DUMMYFUNCTION("""COMPUTED_VALUE"""),46056.02083333333)</f>
        <v>46056.02083</v>
      </c>
      <c r="J6458" s="239">
        <v>120.00000001396984</v>
      </c>
    </row>
    <row r="6459">
      <c r="A6459" s="234"/>
      <c r="B6459" s="238" t="str">
        <f>IFERROR(__xludf.DUMMYFUNCTION("""COMPUTED_VALUE"""),"LM Hub_RJ_Nova Iguaçu")</f>
        <v>LM Hub_RJ_Nova Iguaçu</v>
      </c>
      <c r="C6459" s="238" t="str">
        <f>IFERROR(__xludf.DUMMYFUNCTION("""COMPUTED_VALUE"""),"HUB-LRJ-27")</f>
        <v>HUB-LRJ-27</v>
      </c>
      <c r="D6459" s="234">
        <f>IFERROR(__xludf.DUMMYFUNCTION("""COMPUTED_VALUE"""),110.0)</f>
        <v>110</v>
      </c>
      <c r="E6459" s="237" t="str">
        <f>IFERROR(__xludf.DUMMYFUNCTION("""COMPUTED_VALUE"""),"LT0Q2201Y1JF1")</f>
        <v>LT0Q2201Y1JF1</v>
      </c>
      <c r="F6459" s="238" t="str">
        <f>IFERROR(__xludf.DUMMYFUNCTION("""COMPUTED_VALUE"""),"SVS9B84,TPP5D05")</f>
        <v>SVS9B84,TPP5D05</v>
      </c>
      <c r="G6459" s="238">
        <f>IFERROR(__xludf.DUMMYFUNCTION("""COMPUTED_VALUE"""),46055.95833333333)</f>
        <v>46055.95833</v>
      </c>
      <c r="H6459" s="238">
        <f>IFERROR(__xludf.DUMMYFUNCTION("""COMPUTED_VALUE"""),46056.04166666667)</f>
        <v>46056.04167</v>
      </c>
      <c r="J6459" s="239">
        <v>120.00000001396984</v>
      </c>
    </row>
    <row r="6460">
      <c r="A6460" s="234"/>
      <c r="B6460" s="238" t="str">
        <f>IFERROR(__xludf.DUMMYFUNCTION("""COMPUTED_VALUE"""),"LM Hub_RJ_Rio de Janeiro_Campo G")</f>
        <v>LM Hub_RJ_Rio de Janeiro_Campo G</v>
      </c>
      <c r="C6460" s="238" t="str">
        <f>IFERROR(__xludf.DUMMYFUNCTION("""COMPUTED_VALUE"""),"HUB-LRJ-04")</f>
        <v>HUB-LRJ-04</v>
      </c>
      <c r="D6460" s="234">
        <f>IFERROR(__xludf.DUMMYFUNCTION("""COMPUTED_VALUE"""),111.0)</f>
        <v>111</v>
      </c>
      <c r="E6460" s="237" t="str">
        <f>IFERROR(__xludf.DUMMYFUNCTION("""COMPUTED_VALUE"""),"LT0Q2201XW461")</f>
        <v>LT0Q2201XW461</v>
      </c>
      <c r="F6460" s="238" t="str">
        <f>IFERROR(__xludf.DUMMYFUNCTION("""COMPUTED_VALUE"""),"SWF2B48,TLW1E30")</f>
        <v>SWF2B48,TLW1E30</v>
      </c>
      <c r="G6460" s="238">
        <f>IFERROR(__xludf.DUMMYFUNCTION("""COMPUTED_VALUE"""),46055.95833333333)</f>
        <v>46055.95833</v>
      </c>
      <c r="H6460" s="238">
        <f>IFERROR(__xludf.DUMMYFUNCTION("""COMPUTED_VALUE"""),46056.04166666667)</f>
        <v>46056.04167</v>
      </c>
      <c r="J6460" s="239">
        <v>120.00000001396984</v>
      </c>
    </row>
    <row r="6461">
      <c r="A6461" s="234"/>
      <c r="B6461" s="238" t="str">
        <f>IFERROR(__xludf.DUMMYFUNCTION("""COMPUTED_VALUE"""),"LM Hub_RJ_São João do Meriti")</f>
        <v>LM Hub_RJ_São João do Meriti</v>
      </c>
      <c r="C6461" s="238" t="str">
        <f>IFERROR(__xludf.DUMMYFUNCTION("""COMPUTED_VALUE"""),"HUB-LRJ-01")</f>
        <v>HUB-LRJ-01</v>
      </c>
      <c r="D6461" s="234">
        <f>IFERROR(__xludf.DUMMYFUNCTION("""COMPUTED_VALUE"""),114.0)</f>
        <v>114</v>
      </c>
      <c r="E6461" s="237" t="str">
        <f>IFERROR(__xludf.DUMMYFUNCTION("""COMPUTED_VALUE"""),"LT0Q2201Y1KC1")</f>
        <v>LT0Q2201Y1KC1</v>
      </c>
      <c r="F6461" s="238" t="str">
        <f>IFERROR(__xludf.DUMMYFUNCTION("""COMPUTED_VALUE"""),"ETU9G39,ETU7708")</f>
        <v>ETU9G39,ETU7708</v>
      </c>
      <c r="G6461" s="238">
        <f>IFERROR(__xludf.DUMMYFUNCTION("""COMPUTED_VALUE"""),46055.95833333333)</f>
        <v>46055.95833</v>
      </c>
      <c r="H6461" s="238">
        <f>IFERROR(__xludf.DUMMYFUNCTION("""COMPUTED_VALUE"""),46056.04166666667)</f>
        <v>46056.04167</v>
      </c>
      <c r="J6461" s="239">
        <v>120.00000001396984</v>
      </c>
    </row>
    <row r="6462">
      <c r="A6462" s="234"/>
      <c r="B6462" s="238" t="str">
        <f>IFERROR(__xludf.DUMMYFUNCTION("""COMPUTED_VALUE"""),"LM Hub_SP_Mogi Mirim")</f>
        <v>LM Hub_SP_Mogi Mirim</v>
      </c>
      <c r="C6462" s="238" t="str">
        <f>IFERROR(__xludf.DUMMYFUNCTION("""COMPUTED_VALUE"""),"HUB-LSP-37")</f>
        <v>HUB-LSP-37</v>
      </c>
      <c r="D6462" s="234">
        <f>IFERROR(__xludf.DUMMYFUNCTION("""COMPUTED_VALUE"""),24.0)</f>
        <v>24</v>
      </c>
      <c r="E6462" s="237" t="str">
        <f>IFERROR(__xludf.DUMMYFUNCTION("""COMPUTED_VALUE"""),"LT0Q2201XW2B1")</f>
        <v>LT0Q2201XW2B1</v>
      </c>
      <c r="F6462" s="238" t="str">
        <f>IFERROR(__xludf.DUMMYFUNCTION("""COMPUTED_VALUE"""),"UDW5E79,TLL6F35")</f>
        <v>UDW5E79,TLL6F35</v>
      </c>
      <c r="G6462" s="238">
        <f>IFERROR(__xludf.DUMMYFUNCTION("""COMPUTED_VALUE"""),46055.95833333333)</f>
        <v>46055.95833</v>
      </c>
      <c r="H6462" s="238">
        <f>IFERROR(__xludf.DUMMYFUNCTION("""COMPUTED_VALUE"""),46056.04166666667)</f>
        <v>46056.04167</v>
      </c>
      <c r="J6462" s="239">
        <v>60.00000000698492</v>
      </c>
    </row>
    <row r="6463">
      <c r="A6463" s="234"/>
      <c r="B6463" s="238" t="str">
        <f>IFERROR(__xludf.DUMMYFUNCTION("""COMPUTED_VALUE"""),"LM Hub_SP_Tatuí")</f>
        <v>LM Hub_SP_Tatuí</v>
      </c>
      <c r="C6463" s="238" t="str">
        <f>IFERROR(__xludf.DUMMYFUNCTION("""COMPUTED_VALUE"""),"HUB-LSP-51")</f>
        <v>HUB-LSP-51</v>
      </c>
      <c r="D6463" s="234">
        <f>IFERROR(__xludf.DUMMYFUNCTION("""COMPUTED_VALUE"""),32.0)</f>
        <v>32</v>
      </c>
      <c r="E6463" s="237" t="str">
        <f>IFERROR(__xludf.DUMMYFUNCTION("""COMPUTED_VALUE"""),"LT1Q2301YAXK1")</f>
        <v>LT1Q2301YAXK1</v>
      </c>
      <c r="F6463" s="238" t="str">
        <f>IFERROR(__xludf.DUMMYFUNCTION("""COMPUTED_VALUE"""),"FLO1G76")</f>
        <v>FLO1G76</v>
      </c>
      <c r="G6463" s="238">
        <f>IFERROR(__xludf.DUMMYFUNCTION("""COMPUTED_VALUE"""),46056.0)</f>
        <v>46056</v>
      </c>
      <c r="H6463" s="238">
        <f>IFERROR(__xludf.DUMMYFUNCTION("""COMPUTED_VALUE"""),46056.04166666667)</f>
        <v>46056.04167</v>
      </c>
      <c r="J6463" s="239">
        <v>119.99999999301508</v>
      </c>
    </row>
    <row r="6464">
      <c r="A6464" s="234"/>
      <c r="B6464" s="238" t="str">
        <f>IFERROR(__xludf.DUMMYFUNCTION("""COMPUTED_VALUE"""),"LM Hub_SP_Araraquara")</f>
        <v>LM Hub_SP_Araraquara</v>
      </c>
      <c r="C6464" s="238" t="str">
        <f>IFERROR(__xludf.DUMMYFUNCTION("""COMPUTED_VALUE"""),"HUB-LSP-29")</f>
        <v>HUB-LSP-29</v>
      </c>
      <c r="D6464" s="234">
        <f>IFERROR(__xludf.DUMMYFUNCTION("""COMPUTED_VALUE"""),26.0)</f>
        <v>26</v>
      </c>
      <c r="E6464" s="237" t="str">
        <f>IFERROR(__xludf.DUMMYFUNCTION("""COMPUTED_VALUE"""),"LT0Q2201XW2G1")</f>
        <v>LT0Q2201XW2G1</v>
      </c>
      <c r="F6464" s="238" t="str">
        <f>IFERROR(__xludf.DUMMYFUNCTION("""COMPUTED_VALUE"""),"ISQ7F01,CZZ8524")</f>
        <v>ISQ7F01,CZZ8524</v>
      </c>
      <c r="G6464" s="238">
        <f>IFERROR(__xludf.DUMMYFUNCTION("""COMPUTED_VALUE"""),46055.97916666667)</f>
        <v>46055.97917</v>
      </c>
      <c r="H6464" s="238">
        <f>IFERROR(__xludf.DUMMYFUNCTION("""COMPUTED_VALUE"""),46056.0625)</f>
        <v>46056.0625</v>
      </c>
      <c r="J6464" s="239">
        <v>119.99999999301508</v>
      </c>
    </row>
    <row r="6465">
      <c r="A6465" s="234"/>
      <c r="B6465" s="238" t="str">
        <f>IFERROR(__xludf.DUMMYFUNCTION("""COMPUTED_VALUE"""),"LM Hub_SP_Atibaia_Ponte_Alta")</f>
        <v>LM Hub_SP_Atibaia_Ponte_Alta</v>
      </c>
      <c r="C6465" s="238" t="str">
        <f>IFERROR(__xludf.DUMMYFUNCTION("""COMPUTED_VALUE"""),"HUB-LSP-87")</f>
        <v>HUB-LSP-87</v>
      </c>
      <c r="D6465" s="234">
        <f>IFERROR(__xludf.DUMMYFUNCTION("""COMPUTED_VALUE"""),19.0)</f>
        <v>19</v>
      </c>
      <c r="E6465" s="237" t="str">
        <f>IFERROR(__xludf.DUMMYFUNCTION("""COMPUTED_VALUE"""),"LT0Q2201XZMC1")</f>
        <v>LT0Q2201XZMC1</v>
      </c>
      <c r="F6465" s="238" t="str">
        <f>IFERROR(__xludf.DUMMYFUNCTION("""COMPUTED_VALUE"""),"FTR4I85,ESM7J80")</f>
        <v>FTR4I85,ESM7J80</v>
      </c>
      <c r="G6465" s="238">
        <f>IFERROR(__xludf.DUMMYFUNCTION("""COMPUTED_VALUE"""),46055.97916666667)</f>
        <v>46055.97917</v>
      </c>
      <c r="H6465" s="238">
        <f>IFERROR(__xludf.DUMMYFUNCTION("""COMPUTED_VALUE"""),46056.0625)</f>
        <v>46056.0625</v>
      </c>
      <c r="J6465" s="239">
        <v>119.99999999301508</v>
      </c>
    </row>
    <row r="6466">
      <c r="A6466" s="234"/>
      <c r="B6466" s="238" t="str">
        <f>IFERROR(__xludf.DUMMYFUNCTION("""COMPUTED_VALUE"""),"LM Hub_SP_Várzea Paulista")</f>
        <v>LM Hub_SP_Várzea Paulista</v>
      </c>
      <c r="C6466" s="238" t="str">
        <f>IFERROR(__xludf.DUMMYFUNCTION("""COMPUTED_VALUE"""),"HUB-LSP-20")</f>
        <v>HUB-LSP-20</v>
      </c>
      <c r="D6466" s="234">
        <f>IFERROR(__xludf.DUMMYFUNCTION("""COMPUTED_VALUE"""),18.0)</f>
        <v>18</v>
      </c>
      <c r="E6466" s="237" t="str">
        <f>IFERROR(__xludf.DUMMYFUNCTION("""COMPUTED_VALUE"""),"LT0Q2201XW3F1")</f>
        <v>LT0Q2201XW3F1</v>
      </c>
      <c r="F6466" s="238" t="str">
        <f>IFERROR(__xludf.DUMMYFUNCTION("""COMPUTED_VALUE"""),"EWJ2F50,EVO3C99")</f>
        <v>EWJ2F50,EVO3C99</v>
      </c>
      <c r="G6466" s="238">
        <f>IFERROR(__xludf.DUMMYFUNCTION("""COMPUTED_VALUE"""),46055.97916666667)</f>
        <v>46055.97917</v>
      </c>
      <c r="H6466" s="238">
        <f>IFERROR(__xludf.DUMMYFUNCTION("""COMPUTED_VALUE"""),46056.0625)</f>
        <v>46056.0625</v>
      </c>
      <c r="J6466" s="239">
        <v>119.99999999301508</v>
      </c>
    </row>
    <row r="6467">
      <c r="A6467" s="234"/>
      <c r="B6467" s="238" t="str">
        <f>IFERROR(__xludf.DUMMYFUNCTION("""COMPUTED_VALUE"""),"LM Hub_RJ_Ilha do Governador")</f>
        <v>LM Hub_RJ_Ilha do Governador</v>
      </c>
      <c r="C6467" s="238" t="str">
        <f>IFERROR(__xludf.DUMMYFUNCTION("""COMPUTED_VALUE"""),"HUB-LRJ-32")</f>
        <v>HUB-LRJ-32</v>
      </c>
      <c r="D6467" s="234">
        <f>IFERROR(__xludf.DUMMYFUNCTION("""COMPUTED_VALUE"""),113.0)</f>
        <v>113</v>
      </c>
      <c r="E6467" s="237" t="str">
        <f>IFERROR(__xludf.DUMMYFUNCTION("""COMPUTED_VALUE"""),"LT0Q2301Y1JT1")</f>
        <v>LT0Q2301Y1JT1</v>
      </c>
      <c r="F6467" s="238" t="str">
        <f>IFERROR(__xludf.DUMMYFUNCTION("""COMPUTED_VALUE"""),"SHY4B72")</f>
        <v>SHY4B72</v>
      </c>
      <c r="G6467" s="238">
        <f>IFERROR(__xludf.DUMMYFUNCTION("""COMPUTED_VALUE"""),46056.0)</f>
        <v>46056</v>
      </c>
      <c r="H6467" s="238">
        <f>IFERROR(__xludf.DUMMYFUNCTION("""COMPUTED_VALUE"""),46056.08333333333)</f>
        <v>46056.08333</v>
      </c>
      <c r="J6467" s="239">
        <v>119.99999999301508</v>
      </c>
    </row>
    <row r="6468">
      <c r="A6468" s="234"/>
      <c r="B6468" s="238" t="str">
        <f>IFERROR(__xludf.DUMMYFUNCTION("""COMPUTED_VALUE"""),"LM Hub_SP_Tatuí")</f>
        <v>LM Hub_SP_Tatuí</v>
      </c>
      <c r="C6468" s="238" t="str">
        <f>IFERROR(__xludf.DUMMYFUNCTION("""COMPUTED_VALUE"""),"HUB-LSP-51")</f>
        <v>HUB-LSP-51</v>
      </c>
      <c r="D6468" s="234">
        <f>IFERROR(__xludf.DUMMYFUNCTION("""COMPUTED_VALUE"""),34.0)</f>
        <v>34</v>
      </c>
      <c r="E6468" s="237" t="str">
        <f>IFERROR(__xludf.DUMMYFUNCTION("""COMPUTED_VALUE"""),"LT0Q2301XVZ11")</f>
        <v>LT0Q2301XVZ11</v>
      </c>
      <c r="F6468" s="238" t="str">
        <f>IFERROR(__xludf.DUMMYFUNCTION("""COMPUTED_VALUE"""),"GFM6E44,AOF2G51")</f>
        <v>GFM6E44,AOF2G51</v>
      </c>
      <c r="G6468" s="238">
        <f>IFERROR(__xludf.DUMMYFUNCTION("""COMPUTED_VALUE"""),46056.0)</f>
        <v>46056</v>
      </c>
      <c r="H6468" s="238">
        <f>IFERROR(__xludf.DUMMYFUNCTION("""COMPUTED_VALUE"""),46056.08333333333)</f>
        <v>46056.08333</v>
      </c>
      <c r="J6468" s="239">
        <v>119.99999999301508</v>
      </c>
    </row>
    <row r="6469">
      <c r="A6469" s="234"/>
      <c r="B6469" s="238" t="str">
        <f>IFERROR(__xludf.DUMMYFUNCTION("""COMPUTED_VALUE"""),"SoC_PR_Curitiba")</f>
        <v>SoC_PR_Curitiba</v>
      </c>
      <c r="C6469" s="238" t="str">
        <f>IFERROR(__xludf.DUMMYFUNCTION("""COMPUTED_VALUE"""),"SOC-PR1")</f>
        <v>SOC-PR1</v>
      </c>
      <c r="D6469" s="234">
        <f>IFERROR(__xludf.DUMMYFUNCTION("""COMPUTED_VALUE"""),41.0)</f>
        <v>41</v>
      </c>
      <c r="E6469" s="237" t="str">
        <f>IFERROR(__xludf.DUMMYFUNCTION("""COMPUTED_VALUE"""),"LT0Q2301XVTS1")</f>
        <v>LT0Q2301XVTS1</v>
      </c>
      <c r="F6469" s="238" t="str">
        <f>IFERROR(__xludf.DUMMYFUNCTION("""COMPUTED_VALUE"""),"TAU0C14,RXU1H23")</f>
        <v>TAU0C14,RXU1H23</v>
      </c>
      <c r="G6469" s="238">
        <f>IFERROR(__xludf.DUMMYFUNCTION("""COMPUTED_VALUE"""),46056.0)</f>
        <v>46056</v>
      </c>
      <c r="H6469" s="238">
        <f>IFERROR(__xludf.DUMMYFUNCTION("""COMPUTED_VALUE"""),46056.08333333333)</f>
        <v>46056.08333</v>
      </c>
      <c r="J6469" s="239">
        <v>119.99999999301508</v>
      </c>
    </row>
    <row r="6470">
      <c r="A6470" s="234"/>
      <c r="B6470" s="238" t="str">
        <f>IFERROR(__xludf.DUMMYFUNCTION("""COMPUTED_VALUE"""),"SoC_SP_Louveira")</f>
        <v>SoC_SP_Louveira</v>
      </c>
      <c r="C6470" s="238" t="str">
        <f>IFERROR(__xludf.DUMMYFUNCTION("""COMPUTED_VALUE"""),"SOC-SP7")</f>
        <v>SOC-SP7</v>
      </c>
      <c r="D6470" s="234">
        <f>IFERROR(__xludf.DUMMYFUNCTION("""COMPUTED_VALUE"""),49.0)</f>
        <v>49</v>
      </c>
      <c r="E6470" s="237" t="str">
        <f>IFERROR(__xludf.DUMMYFUNCTION("""COMPUTED_VALUE"""),"LT0Q2201XVWE1")</f>
        <v>LT0Q2201XVWE1</v>
      </c>
      <c r="F6470" s="238" t="str">
        <f>IFERROR(__xludf.DUMMYFUNCTION("""COMPUTED_VALUE"""),"CJZ1I95,FRT7631")</f>
        <v>CJZ1I95,FRT7631</v>
      </c>
      <c r="G6470" s="238">
        <f>IFERROR(__xludf.DUMMYFUNCTION("""COMPUTED_VALUE"""),46056.0)</f>
        <v>46056</v>
      </c>
      <c r="H6470" s="238">
        <f>IFERROR(__xludf.DUMMYFUNCTION("""COMPUTED_VALUE"""),46056.08333333333)</f>
        <v>46056.08333</v>
      </c>
      <c r="J6470" s="239">
        <v>120.00000001396984</v>
      </c>
    </row>
    <row r="6471">
      <c r="A6471" s="234"/>
      <c r="B6471" s="238" t="str">
        <f>IFERROR(__xludf.DUMMYFUNCTION("""COMPUTED_VALUE"""),"LM Hub_MG_Varginha_Fausto")</f>
        <v>LM Hub_MG_Varginha_Fausto</v>
      </c>
      <c r="C6471" s="238" t="str">
        <f>IFERROR(__xludf.DUMMYFUNCTION("""COMPUTED_VALUE"""),"HUB-LMG-45")</f>
        <v>HUB-LMG-45</v>
      </c>
      <c r="D6471" s="234">
        <f>IFERROR(__xludf.DUMMYFUNCTION("""COMPUTED_VALUE"""),112.0)</f>
        <v>112</v>
      </c>
      <c r="E6471" s="237" t="str">
        <f>IFERROR(__xludf.DUMMYFUNCTION("""COMPUTED_VALUE"""),"LT0Q2301Y0YR1")</f>
        <v>LT0Q2301Y0YR1</v>
      </c>
      <c r="F6471" s="238" t="str">
        <f>IFERROR(__xludf.DUMMYFUNCTION("""COMPUTED_VALUE"""),"EFO7I93,TIZ4J88")</f>
        <v>EFO7I93,TIZ4J88</v>
      </c>
      <c r="G6471" s="238">
        <f>IFERROR(__xludf.DUMMYFUNCTION("""COMPUTED_VALUE"""),46056.02083333333)</f>
        <v>46056.02083</v>
      </c>
      <c r="H6471" s="238">
        <f>IFERROR(__xludf.DUMMYFUNCTION("""COMPUTED_VALUE"""),46056.10416666667)</f>
        <v>46056.10417</v>
      </c>
      <c r="J6471" s="239">
        <v>119.99999999301508</v>
      </c>
    </row>
    <row r="6472">
      <c r="A6472" s="234"/>
      <c r="B6472" s="238" t="str">
        <f>IFERROR(__xludf.DUMMYFUNCTION("""COMPUTED_VALUE"""),"SoC_SP_Louveira")</f>
        <v>SoC_SP_Louveira</v>
      </c>
      <c r="C6472" s="238" t="str">
        <f>IFERROR(__xludf.DUMMYFUNCTION("""COMPUTED_VALUE"""),"SOC-SP7")</f>
        <v>SOC-SP7</v>
      </c>
      <c r="D6472" s="234"/>
      <c r="E6472" s="237" t="str">
        <f>IFERROR(__xludf.DUMMYFUNCTION("""COMPUTED_VALUE"""),"LT0Q2301XVVX1")</f>
        <v>LT0Q2301XVVX1</v>
      </c>
      <c r="F6472" s="238" t="str">
        <f>IFERROR(__xludf.DUMMYFUNCTION("""COMPUTED_VALUE"""),"FNZ5B43,UGP9E90")</f>
        <v>FNZ5B43,UGP9E90</v>
      </c>
      <c r="G6472" s="238">
        <f>IFERROR(__xludf.DUMMYFUNCTION("""COMPUTED_VALUE"""),46056.04166666667)</f>
        <v>46056.04167</v>
      </c>
      <c r="H6472" s="238">
        <f>IFERROR(__xludf.DUMMYFUNCTION("""COMPUTED_VALUE"""),46056.125)</f>
        <v>46056.125</v>
      </c>
      <c r="J6472" s="239">
        <v>540.0</v>
      </c>
    </row>
    <row r="6473">
      <c r="A6473" s="234"/>
      <c r="B6473" s="238" t="str">
        <f>IFERROR(__xludf.DUMMYFUNCTION("""COMPUTED_VALUE"""),"SoC_RS_Gravataí_02")</f>
        <v>SoC_RS_Gravataí_02</v>
      </c>
      <c r="C6473" s="238" t="str">
        <f>IFERROR(__xludf.DUMMYFUNCTION("""COMPUTED_VALUE"""),"SOC-RS2")</f>
        <v>SOC-RS2</v>
      </c>
      <c r="D6473" s="234">
        <f>IFERROR(__xludf.DUMMYFUNCTION("""COMPUTED_VALUE"""),93.0)</f>
        <v>93</v>
      </c>
      <c r="E6473" s="237" t="str">
        <f>IFERROR(__xludf.DUMMYFUNCTION("""COMPUTED_VALUE"""),"LT1Q2201YATS1")</f>
        <v>LT1Q2201YATS1</v>
      </c>
      <c r="F6473" s="238" t="str">
        <f>IFERROR(__xludf.DUMMYFUNCTION("""COMPUTED_VALUE"""),"IZC8E19,IZV8A64")</f>
        <v>IZC8E19,IZV8A64</v>
      </c>
      <c r="G6473" s="238">
        <f>IFERROR(__xludf.DUMMYFUNCTION("""COMPUTED_VALUE"""),46055.79166666667)</f>
        <v>46055.79167</v>
      </c>
      <c r="H6473" s="238">
        <f>IFERROR(__xludf.DUMMYFUNCTION("""COMPUTED_VALUE"""),46056.16666666667)</f>
        <v>46056.16667</v>
      </c>
      <c r="J6473" s="239">
        <v>60.00000000698492</v>
      </c>
    </row>
    <row r="6474">
      <c r="A6474" s="234"/>
      <c r="B6474" s="238" t="str">
        <f>IFERROR(__xludf.DUMMYFUNCTION("""COMPUTED_VALUE"""),"SoC_PR_Curitiba")</f>
        <v>SoC_PR_Curitiba</v>
      </c>
      <c r="C6474" s="238" t="str">
        <f>IFERROR(__xludf.DUMMYFUNCTION("""COMPUTED_VALUE"""),"SOC-PR1")</f>
        <v>SOC-PR1</v>
      </c>
      <c r="D6474" s="234"/>
      <c r="E6474" s="237" t="str">
        <f>IFERROR(__xludf.DUMMYFUNCTION("""COMPUTED_VALUE"""),"LT0Q2301XVTZ1")</f>
        <v>LT0Q2301XVTZ1</v>
      </c>
      <c r="F6474" s="238" t="str">
        <f>IFERROR(__xludf.DUMMYFUNCTION("""COMPUTED_VALUE"""),"FQJ8B01,RYZ0F99")</f>
        <v>FQJ8B01,RYZ0F99</v>
      </c>
      <c r="G6474" s="238">
        <f>IFERROR(__xludf.DUMMYFUNCTION("""COMPUTED_VALUE"""),46056.125)</f>
        <v>46056.125</v>
      </c>
      <c r="H6474" s="238">
        <f>IFERROR(__xludf.DUMMYFUNCTION("""COMPUTED_VALUE"""),46056.16666666667)</f>
        <v>46056.16667</v>
      </c>
      <c r="J6474" s="239">
        <v>119.99999999301508</v>
      </c>
    </row>
    <row r="6475">
      <c r="A6475" s="234"/>
      <c r="B6475" s="238" t="str">
        <f>IFERROR(__xludf.DUMMYFUNCTION("""COMPUTED_VALUE"""),"LM Hub_SP_Itapetininga")</f>
        <v>LM Hub_SP_Itapetininga</v>
      </c>
      <c r="C6475" s="238" t="str">
        <f>IFERROR(__xludf.DUMMYFUNCTION("""COMPUTED_VALUE"""),"HUB-LSP-53")</f>
        <v>HUB-LSP-53</v>
      </c>
      <c r="D6475" s="234">
        <f>IFERROR(__xludf.DUMMYFUNCTION("""COMPUTED_VALUE"""),37.0)</f>
        <v>37</v>
      </c>
      <c r="E6475" s="237" t="str">
        <f>IFERROR(__xludf.DUMMYFUNCTION("""COMPUTED_VALUE"""),"LT0Q2301XVYV1")</f>
        <v>LT0Q2301XVYV1</v>
      </c>
      <c r="F6475" s="238" t="str">
        <f>IFERROR(__xludf.DUMMYFUNCTION("""COMPUTED_VALUE"""),"FZY3F48")</f>
        <v>FZY3F48</v>
      </c>
      <c r="G6475" s="238">
        <f>IFERROR(__xludf.DUMMYFUNCTION("""COMPUTED_VALUE"""),46056.10416666667)</f>
        <v>46056.10417</v>
      </c>
      <c r="H6475" s="238">
        <f>IFERROR(__xludf.DUMMYFUNCTION("""COMPUTED_VALUE"""),46056.1875)</f>
        <v>46056.1875</v>
      </c>
      <c r="J6475" s="239">
        <v>119.99999999301508</v>
      </c>
    </row>
    <row r="6476">
      <c r="A6476" s="234"/>
      <c r="B6476" s="238" t="str">
        <f>IFERROR(__xludf.DUMMYFUNCTION("""COMPUTED_VALUE"""),"LM Hub_SP_São Carlos")</f>
        <v>LM Hub_SP_São Carlos</v>
      </c>
      <c r="C6476" s="238" t="str">
        <f>IFERROR(__xludf.DUMMYFUNCTION("""COMPUTED_VALUE"""),"HUB-LSP-31")</f>
        <v>HUB-LSP-31</v>
      </c>
      <c r="D6476" s="234">
        <f>IFERROR(__xludf.DUMMYFUNCTION("""COMPUTED_VALUE"""),32.0)</f>
        <v>32</v>
      </c>
      <c r="E6476" s="237" t="str">
        <f>IFERROR(__xludf.DUMMYFUNCTION("""COMPUTED_VALUE"""),"LT0Q2301XW1T1")</f>
        <v>LT0Q2301XW1T1</v>
      </c>
      <c r="F6476" s="238" t="str">
        <f>IFERROR(__xludf.DUMMYFUNCTION("""COMPUTED_VALUE"""),"QMX6C14,THG9D90")</f>
        <v>QMX6C14,THG9D90</v>
      </c>
      <c r="G6476" s="238">
        <f>IFERROR(__xludf.DUMMYFUNCTION("""COMPUTED_VALUE"""),46056.10416666667)</f>
        <v>46056.10417</v>
      </c>
      <c r="H6476" s="238">
        <f>IFERROR(__xludf.DUMMYFUNCTION("""COMPUTED_VALUE"""),46056.1875)</f>
        <v>46056.1875</v>
      </c>
      <c r="J6476" s="239">
        <v>119.99999999301508</v>
      </c>
    </row>
    <row r="6477">
      <c r="A6477" s="234"/>
      <c r="B6477" s="238" t="str">
        <f>IFERROR(__xludf.DUMMYFUNCTION("""COMPUTED_VALUE"""),"LM Hub_SP_Itapeva")</f>
        <v>LM Hub_SP_Itapeva</v>
      </c>
      <c r="C6477" s="238" t="str">
        <f>IFERROR(__xludf.DUMMYFUNCTION("""COMPUTED_VALUE"""),"HUB-LSP-39")</f>
        <v>HUB-LSP-39</v>
      </c>
      <c r="D6477" s="234">
        <f>IFERROR(__xludf.DUMMYFUNCTION("""COMPUTED_VALUE"""),52.0)</f>
        <v>52</v>
      </c>
      <c r="E6477" s="237" t="str">
        <f>IFERROR(__xludf.DUMMYFUNCTION("""COMPUTED_VALUE"""),"LT0Q2301XVZ91")</f>
        <v>LT0Q2301XVZ91</v>
      </c>
      <c r="F6477" s="238" t="str">
        <f>IFERROR(__xludf.DUMMYFUNCTION("""COMPUTED_VALUE"""),"LTB2D63,GDN0G94")</f>
        <v>LTB2D63,GDN0G94</v>
      </c>
      <c r="G6477" s="238">
        <f>IFERROR(__xludf.DUMMYFUNCTION("""COMPUTED_VALUE"""),46056.125)</f>
        <v>46056.125</v>
      </c>
      <c r="H6477" s="238">
        <f>IFERROR(__xludf.DUMMYFUNCTION("""COMPUTED_VALUE"""),46056.20833333333)</f>
        <v>46056.20833</v>
      </c>
      <c r="J6477" s="239">
        <v>119.99999999301508</v>
      </c>
    </row>
    <row r="6478">
      <c r="A6478" s="234"/>
      <c r="B6478" s="238" t="str">
        <f>IFERROR(__xludf.DUMMYFUNCTION("""COMPUTED_VALUE"""),"LM Hub_SP_Limeira_Campo Belo")</f>
        <v>LM Hub_SP_Limeira_Campo Belo</v>
      </c>
      <c r="C6478" s="238" t="str">
        <f>IFERROR(__xludf.DUMMYFUNCTION("""COMPUTED_VALUE"""),"HUB-LSP-24")</f>
        <v>HUB-LSP-24</v>
      </c>
      <c r="D6478" s="234">
        <f>IFERROR(__xludf.DUMMYFUNCTION("""COMPUTED_VALUE"""),29.0)</f>
        <v>29</v>
      </c>
      <c r="E6478" s="237" t="str">
        <f>IFERROR(__xludf.DUMMYFUNCTION("""COMPUTED_VALUE"""),"LT0Q2301XW1A1")</f>
        <v>LT0Q2301XW1A1</v>
      </c>
      <c r="F6478" s="238" t="str">
        <f>IFERROR(__xludf.DUMMYFUNCTION("""COMPUTED_VALUE"""),"GFT5J70,GBH5G53")</f>
        <v>GFT5J70,GBH5G53</v>
      </c>
      <c r="G6478" s="238">
        <f>IFERROR(__xludf.DUMMYFUNCTION("""COMPUTED_VALUE"""),46056.125)</f>
        <v>46056.125</v>
      </c>
      <c r="H6478" s="238">
        <f>IFERROR(__xludf.DUMMYFUNCTION("""COMPUTED_VALUE"""),46056.20833333333)</f>
        <v>46056.20833</v>
      </c>
      <c r="J6478" s="239">
        <v>119.99999999301508</v>
      </c>
    </row>
    <row r="6479">
      <c r="A6479" s="234"/>
      <c r="B6479" s="238" t="str">
        <f>IFERROR(__xludf.DUMMYFUNCTION("""COMPUTED_VALUE"""),"LM Hub_SP_Sumaré_Nova Veneza_1")</f>
        <v>LM Hub_SP_Sumaré_Nova Veneza_1</v>
      </c>
      <c r="C6479" s="238" t="str">
        <f>IFERROR(__xludf.DUMMYFUNCTION("""COMPUTED_VALUE"""),"HUB-LSP-88")</f>
        <v>HUB-LSP-88</v>
      </c>
      <c r="D6479" s="234">
        <f>IFERROR(__xludf.DUMMYFUNCTION("""COMPUTED_VALUE"""),25.0)</f>
        <v>25</v>
      </c>
      <c r="E6479" s="237" t="str">
        <f>IFERROR(__xludf.DUMMYFUNCTION("""COMPUTED_VALUE"""),"LT0Q2301Y0TI1")</f>
        <v>LT0Q2301Y0TI1</v>
      </c>
      <c r="F6479" s="238" t="str">
        <f>IFERROR(__xludf.DUMMYFUNCTION("""COMPUTED_VALUE"""),"GJK2F83,GIJ9J09")</f>
        <v>GJK2F83,GIJ9J09</v>
      </c>
      <c r="G6479" s="238">
        <f>IFERROR(__xludf.DUMMYFUNCTION("""COMPUTED_VALUE"""),46056.125)</f>
        <v>46056.125</v>
      </c>
      <c r="H6479" s="238">
        <f>IFERROR(__xludf.DUMMYFUNCTION("""COMPUTED_VALUE"""),46056.20833333333)</f>
        <v>46056.20833</v>
      </c>
      <c r="J6479" s="239">
        <v>59.99999998603016</v>
      </c>
    </row>
    <row r="6480">
      <c r="A6480" s="234"/>
      <c r="B6480" s="238" t="str">
        <f>IFERROR(__xludf.DUMMYFUNCTION("""COMPUTED_VALUE"""),"SoC_PE_Jaboatão dos Guararapes")</f>
        <v>SoC_PE_Jaboatão dos Guararapes</v>
      </c>
      <c r="C6480" s="238" t="str">
        <f>IFERROR(__xludf.DUMMYFUNCTION("""COMPUTED_VALUE"""),"SOC-PE2")</f>
        <v>SOC-PE2</v>
      </c>
      <c r="D6480" s="234">
        <f>IFERROR(__xludf.DUMMYFUNCTION("""COMPUTED_VALUE"""),99.0)</f>
        <v>99</v>
      </c>
      <c r="E6480" s="237" t="str">
        <f>IFERROR(__xludf.DUMMYFUNCTION("""COMPUTED_VALUE"""),"LT1Q2301YATR1")</f>
        <v>LT1Q2301YATR1</v>
      </c>
      <c r="F6480" s="238" t="str">
        <f>IFERROR(__xludf.DUMMYFUNCTION("""COMPUTED_VALUE"""),"FEJ7F95,GGO1E21")</f>
        <v>FEJ7F95,GGO1E21</v>
      </c>
      <c r="G6480" s="238">
        <f>IFERROR(__xludf.DUMMYFUNCTION("""COMPUTED_VALUE"""),46056.16666666667)</f>
        <v>46056.16667</v>
      </c>
      <c r="H6480" s="238">
        <f>IFERROR(__xludf.DUMMYFUNCTION("""COMPUTED_VALUE"""),46056.20833333333)</f>
        <v>46056.20833</v>
      </c>
      <c r="J6480" s="239">
        <v>120.00000001396984</v>
      </c>
    </row>
    <row r="6481">
      <c r="A6481" s="234"/>
      <c r="B6481" s="238" t="str">
        <f>IFERROR(__xludf.DUMMYFUNCTION("""COMPUTED_VALUE"""),"LM Hub_SP_Campinas_São Martinho")</f>
        <v>LM Hub_SP_Campinas_São Martinho</v>
      </c>
      <c r="C6481" s="238" t="str">
        <f>IFERROR(__xludf.DUMMYFUNCTION("""COMPUTED_VALUE"""),"HUB-LSP-19")</f>
        <v>HUB-LSP-19</v>
      </c>
      <c r="D6481" s="234">
        <f>IFERROR(__xludf.DUMMYFUNCTION("""COMPUTED_VALUE"""),115.0)</f>
        <v>115</v>
      </c>
      <c r="E6481" s="237" t="str">
        <f>IFERROR(__xludf.DUMMYFUNCTION("""COMPUTED_VALUE"""),"LT0Q2301Y5AJ1")</f>
        <v>LT0Q2301Y5AJ1</v>
      </c>
      <c r="F6481" s="238" t="str">
        <f>IFERROR(__xludf.DUMMYFUNCTION("""COMPUTED_VALUE"""),"MEZ3B05,MCK9433")</f>
        <v>MEZ3B05,MCK9433</v>
      </c>
      <c r="G6481" s="238">
        <f>IFERROR(__xludf.DUMMYFUNCTION("""COMPUTED_VALUE"""),46056.14583333333)</f>
        <v>46056.14583</v>
      </c>
      <c r="H6481" s="238">
        <f>IFERROR(__xludf.DUMMYFUNCTION("""COMPUTED_VALUE"""),46056.22916666667)</f>
        <v>46056.22917</v>
      </c>
      <c r="J6481" s="239">
        <v>120.00000001396984</v>
      </c>
    </row>
    <row r="6482">
      <c r="A6482" s="234"/>
      <c r="B6482" s="238" t="str">
        <f>IFERROR(__xludf.DUMMYFUNCTION("""COMPUTED_VALUE"""),"LM Hub_SP_Mogi Mirim")</f>
        <v>LM Hub_SP_Mogi Mirim</v>
      </c>
      <c r="C6482" s="238" t="str">
        <f>IFERROR(__xludf.DUMMYFUNCTION("""COMPUTED_VALUE"""),"HUB-LSP-37")</f>
        <v>HUB-LSP-37</v>
      </c>
      <c r="D6482" s="234">
        <f>IFERROR(__xludf.DUMMYFUNCTION("""COMPUTED_VALUE"""),35.0)</f>
        <v>35</v>
      </c>
      <c r="E6482" s="237" t="str">
        <f>IFERROR(__xludf.DUMMYFUNCTION("""COMPUTED_VALUE"""),"LT0Q2301XW251")</f>
        <v>LT0Q2301XW251</v>
      </c>
      <c r="F6482" s="238" t="str">
        <f>IFERROR(__xludf.DUMMYFUNCTION("""COMPUTED_VALUE"""),"SUK7E04,GBX1009")</f>
        <v>SUK7E04,GBX1009</v>
      </c>
      <c r="G6482" s="238">
        <f>IFERROR(__xludf.DUMMYFUNCTION("""COMPUTED_VALUE"""),46056.14583333333)</f>
        <v>46056.14583</v>
      </c>
      <c r="H6482" s="238">
        <f>IFERROR(__xludf.DUMMYFUNCTION("""COMPUTED_VALUE"""),46056.22916666667)</f>
        <v>46056.22917</v>
      </c>
      <c r="J6482" s="239">
        <v>540.0</v>
      </c>
    </row>
    <row r="6483">
      <c r="A6483" s="234"/>
      <c r="B6483" s="238" t="str">
        <f>IFERROR(__xludf.DUMMYFUNCTION("""COMPUTED_VALUE"""),"SoC_BA_Simoes Filho")</f>
        <v>SoC_BA_Simoes Filho</v>
      </c>
      <c r="C6483" s="238" t="str">
        <f>IFERROR(__xludf.DUMMYFUNCTION("""COMPUTED_VALUE"""),"SOC-BA2")</f>
        <v>SOC-BA2</v>
      </c>
      <c r="D6483" s="234">
        <f>IFERROR(__xludf.DUMMYFUNCTION("""COMPUTED_VALUE"""),88.0)</f>
        <v>88</v>
      </c>
      <c r="E6483" s="237" t="str">
        <f>IFERROR(__xludf.DUMMYFUNCTION("""COMPUTED_VALUE"""),"LT0Q2201Y1B61")</f>
        <v>LT0Q2201Y1B61</v>
      </c>
      <c r="F6483" s="238" t="str">
        <f>IFERROR(__xludf.DUMMYFUNCTION("""COMPUTED_VALUE"""),"OKS2642,FJP5F87")</f>
        <v>OKS2642,FJP5F87</v>
      </c>
      <c r="G6483" s="238">
        <f>IFERROR(__xludf.DUMMYFUNCTION("""COMPUTED_VALUE"""),46055.875)</f>
        <v>46055.875</v>
      </c>
      <c r="H6483" s="238">
        <f>IFERROR(__xludf.DUMMYFUNCTION("""COMPUTED_VALUE"""),46056.25)</f>
        <v>46056.25</v>
      </c>
      <c r="J6483" s="239">
        <v>119.99999999301508</v>
      </c>
    </row>
    <row r="6484">
      <c r="A6484" s="234"/>
      <c r="B6484" s="238" t="str">
        <f>IFERROR(__xludf.DUMMYFUNCTION("""COMPUTED_VALUE"""),"LM Hub_SP_Guaratinguetá")</f>
        <v>LM Hub_SP_Guaratinguetá</v>
      </c>
      <c r="C6484" s="238" t="str">
        <f>IFERROR(__xludf.DUMMYFUNCTION("""COMPUTED_VALUE"""),"HUB-LSP-33")</f>
        <v>HUB-LSP-33</v>
      </c>
      <c r="D6484" s="234">
        <f>IFERROR(__xludf.DUMMYFUNCTION("""COMPUTED_VALUE"""),22.0)</f>
        <v>22</v>
      </c>
      <c r="E6484" s="237" t="str">
        <f>IFERROR(__xludf.DUMMYFUNCTION("""COMPUTED_VALUE"""),"LT0Q2301XW061")</f>
        <v>LT0Q2301XW061</v>
      </c>
      <c r="F6484" s="238" t="str">
        <f>IFERROR(__xludf.DUMMYFUNCTION("""COMPUTED_VALUE"""),"STU3E60,SVG9I28")</f>
        <v>STU3E60,SVG9I28</v>
      </c>
      <c r="G6484" s="238">
        <f>IFERROR(__xludf.DUMMYFUNCTION("""COMPUTED_VALUE"""),46056.16666666667)</f>
        <v>46056.16667</v>
      </c>
      <c r="H6484" s="238">
        <f>IFERROR(__xludf.DUMMYFUNCTION("""COMPUTED_VALUE"""),46056.25)</f>
        <v>46056.25</v>
      </c>
      <c r="J6484" s="239">
        <v>119.99999999301508</v>
      </c>
    </row>
    <row r="6485">
      <c r="A6485" s="234"/>
      <c r="B6485" s="238" t="str">
        <f>IFERROR(__xludf.DUMMYFUNCTION("""COMPUTED_VALUE"""),"SoC_SP_Guarulhos")</f>
        <v>SoC_SP_Guarulhos</v>
      </c>
      <c r="C6485" s="238" t="str">
        <f>IFERROR(__xludf.DUMMYFUNCTION("""COMPUTED_VALUE"""),"SOC-SP6")</f>
        <v>SOC-SP6</v>
      </c>
      <c r="D6485" s="234">
        <f>IFERROR(__xludf.DUMMYFUNCTION("""COMPUTED_VALUE"""),43.0)</f>
        <v>43</v>
      </c>
      <c r="E6485" s="237" t="str">
        <f>IFERROR(__xludf.DUMMYFUNCTION("""COMPUTED_VALUE"""),"LT1Q2301YATT1")</f>
        <v>LT1Q2301YATT1</v>
      </c>
      <c r="F6485" s="238" t="str">
        <f>IFERROR(__xludf.DUMMYFUNCTION("""COMPUTED_VALUE"""),"NRF4I63,CYN2E59")</f>
        <v>NRF4I63,CYN2E59</v>
      </c>
      <c r="G6485" s="238">
        <f>IFERROR(__xludf.DUMMYFUNCTION("""COMPUTED_VALUE"""),46056.16666666667)</f>
        <v>46056.16667</v>
      </c>
      <c r="H6485" s="238">
        <f>IFERROR(__xludf.DUMMYFUNCTION("""COMPUTED_VALUE"""),46056.25)</f>
        <v>46056.25</v>
      </c>
      <c r="J6485" s="239">
        <v>119.99999999301508</v>
      </c>
    </row>
    <row r="6486">
      <c r="A6486" s="234"/>
      <c r="B6486" s="238" t="str">
        <f>IFERROR(__xludf.DUMMYFUNCTION("""COMPUTED_VALUE"""),"LM Hub_SP_Registro")</f>
        <v>LM Hub_SP_Registro</v>
      </c>
      <c r="C6486" s="238" t="str">
        <f>IFERROR(__xludf.DUMMYFUNCTION("""COMPUTED_VALUE"""),"HUB-LSP-40")</f>
        <v>HUB-LSP-40</v>
      </c>
      <c r="D6486" s="234">
        <f>IFERROR(__xludf.DUMMYFUNCTION("""COMPUTED_VALUE"""),40.0)</f>
        <v>40</v>
      </c>
      <c r="E6486" s="237" t="str">
        <f>IFERROR(__xludf.DUMMYFUNCTION("""COMPUTED_VALUE"""),"LT0Q2301XVZV1")</f>
        <v>LT0Q2301XVZV1</v>
      </c>
      <c r="F6486" s="238" t="str">
        <f>IFERROR(__xludf.DUMMYFUNCTION("""COMPUTED_VALUE"""),"EOF4D32,EOF4D30")</f>
        <v>EOF4D32,EOF4D30</v>
      </c>
      <c r="G6486" s="238">
        <f>IFERROR(__xludf.DUMMYFUNCTION("""COMPUTED_VALUE"""),46056.16666666667)</f>
        <v>46056.16667</v>
      </c>
      <c r="H6486" s="238">
        <f>IFERROR(__xludf.DUMMYFUNCTION("""COMPUTED_VALUE"""),46056.25)</f>
        <v>46056.25</v>
      </c>
      <c r="J6486" s="239">
        <v>119.99999999301508</v>
      </c>
    </row>
    <row r="6487">
      <c r="A6487" s="234"/>
      <c r="B6487" s="238" t="str">
        <f>IFERROR(__xludf.DUMMYFUNCTION("""COMPUTED_VALUE"""),"SoC_PR_Curitiba")</f>
        <v>SoC_PR_Curitiba</v>
      </c>
      <c r="C6487" s="238" t="str">
        <f>IFERROR(__xludf.DUMMYFUNCTION("""COMPUTED_VALUE"""),"SOC-PR1")</f>
        <v>SOC-PR1</v>
      </c>
      <c r="D6487" s="234">
        <f>IFERROR(__xludf.DUMMYFUNCTION("""COMPUTED_VALUE"""),42.0)</f>
        <v>42</v>
      </c>
      <c r="E6487" s="237" t="str">
        <f>IFERROR(__xludf.DUMMYFUNCTION("""COMPUTED_VALUE"""),"LT0Q2301XVU41")</f>
        <v>LT0Q2301XVU41</v>
      </c>
      <c r="F6487" s="238" t="str">
        <f>IFERROR(__xludf.DUMMYFUNCTION("""COMPUTED_VALUE"""),"FSZ3A57,RHV2I49")</f>
        <v>FSZ3A57,RHV2I49</v>
      </c>
      <c r="G6487" s="238">
        <f>IFERROR(__xludf.DUMMYFUNCTION("""COMPUTED_VALUE"""),46056.16666666667)</f>
        <v>46056.16667</v>
      </c>
      <c r="H6487" s="238">
        <f>IFERROR(__xludf.DUMMYFUNCTION("""COMPUTED_VALUE"""),46056.25)</f>
        <v>46056.25</v>
      </c>
      <c r="J6487" s="239">
        <v>119.99999999301508</v>
      </c>
    </row>
    <row r="6488">
      <c r="A6488" s="234"/>
      <c r="B6488" s="238" t="str">
        <f>IFERROR(__xludf.DUMMYFUNCTION("""COMPUTED_VALUE"""),"SoC_SP_Santana")</f>
        <v>SoC_SP_Santana</v>
      </c>
      <c r="C6488" s="238" t="str">
        <f>IFERROR(__xludf.DUMMYFUNCTION("""COMPUTED_VALUE"""),"SOC-SP2")</f>
        <v>SOC-SP2</v>
      </c>
      <c r="D6488" s="234">
        <f>IFERROR(__xludf.DUMMYFUNCTION("""COMPUTED_VALUE"""),32.0)</f>
        <v>32</v>
      </c>
      <c r="E6488" s="237" t="str">
        <f>IFERROR(__xludf.DUMMYFUNCTION("""COMPUTED_VALUE"""),"LT0Q2301XWI51")</f>
        <v>LT0Q2301XWI51</v>
      </c>
      <c r="F6488" s="238" t="str">
        <f>IFERROR(__xludf.DUMMYFUNCTION("""COMPUTED_VALUE"""),"JPY8F49,CKY6B58")</f>
        <v>JPY8F49,CKY6B58</v>
      </c>
      <c r="G6488" s="238">
        <f>IFERROR(__xludf.DUMMYFUNCTION("""COMPUTED_VALUE"""),46056.1875)</f>
        <v>46056.1875</v>
      </c>
      <c r="H6488" s="238">
        <f>IFERROR(__xludf.DUMMYFUNCTION("""COMPUTED_VALUE"""),46056.27083333333)</f>
        <v>46056.27083</v>
      </c>
      <c r="J6488" s="239">
        <v>119.99999999301508</v>
      </c>
    </row>
    <row r="6489">
      <c r="A6489" s="234"/>
      <c r="B6489" s="238" t="str">
        <f>IFERROR(__xludf.DUMMYFUNCTION("""COMPUTED_VALUE"""),"LM Hub_SP_Atibaia_Ponte_Alta")</f>
        <v>LM Hub_SP_Atibaia_Ponte_Alta</v>
      </c>
      <c r="C6489" s="238" t="str">
        <f>IFERROR(__xludf.DUMMYFUNCTION("""COMPUTED_VALUE"""),"HUB-LSP-87")</f>
        <v>HUB-LSP-87</v>
      </c>
      <c r="D6489" s="234">
        <f>IFERROR(__xludf.DUMMYFUNCTION("""COMPUTED_VALUE"""),17.0)</f>
        <v>17</v>
      </c>
      <c r="E6489" s="237" t="str">
        <f>IFERROR(__xludf.DUMMYFUNCTION("""COMPUTED_VALUE"""),"LT0Q2301XZM61")</f>
        <v>LT0Q2301XZM61</v>
      </c>
      <c r="F6489" s="238" t="str">
        <f>IFERROR(__xludf.DUMMYFUNCTION("""COMPUTED_VALUE"""),"TMH3A56,FUK4B71")</f>
        <v>TMH3A56,FUK4B71</v>
      </c>
      <c r="G6489" s="238">
        <f>IFERROR(__xludf.DUMMYFUNCTION("""COMPUTED_VALUE"""),46056.1875)</f>
        <v>46056.1875</v>
      </c>
      <c r="H6489" s="238">
        <f>IFERROR(__xludf.DUMMYFUNCTION("""COMPUTED_VALUE"""),46056.27083333333)</f>
        <v>46056.27083</v>
      </c>
      <c r="J6489" s="239">
        <v>119.99999999301508</v>
      </c>
    </row>
    <row r="6490">
      <c r="A6490" s="234"/>
      <c r="B6490" s="238" t="str">
        <f>IFERROR(__xludf.DUMMYFUNCTION("""COMPUTED_VALUE"""),"LM Hub_SP_Taubaté")</f>
        <v>LM Hub_SP_Taubaté</v>
      </c>
      <c r="C6490" s="238" t="str">
        <f>IFERROR(__xludf.DUMMYFUNCTION("""COMPUTED_VALUE"""),"HUB-LSP-08")</f>
        <v>HUB-LSP-08</v>
      </c>
      <c r="D6490" s="234">
        <f>IFERROR(__xludf.DUMMYFUNCTION("""COMPUTED_VALUE"""),45.0)</f>
        <v>45</v>
      </c>
      <c r="E6490" s="237" t="str">
        <f>IFERROR(__xludf.DUMMYFUNCTION("""COMPUTED_VALUE"""),"LT0Q2301XW0I1")</f>
        <v>LT0Q2301XW0I1</v>
      </c>
      <c r="F6490" s="238" t="str">
        <f>IFERROR(__xludf.DUMMYFUNCTION("""COMPUTED_VALUE"""),"FXR4B87,FCB2F69")</f>
        <v>FXR4B87,FCB2F69</v>
      </c>
      <c r="G6490" s="238">
        <f>IFERROR(__xludf.DUMMYFUNCTION("""COMPUTED_VALUE"""),46056.1875)</f>
        <v>46056.1875</v>
      </c>
      <c r="H6490" s="238">
        <f>IFERROR(__xludf.DUMMYFUNCTION("""COMPUTED_VALUE"""),46056.27083333333)</f>
        <v>46056.27083</v>
      </c>
      <c r="J6490" s="239">
        <v>117.99999998649582</v>
      </c>
    </row>
    <row r="6491">
      <c r="A6491" s="234"/>
      <c r="B6491" s="238" t="str">
        <f>IFERROR(__xludf.DUMMYFUNCTION("""COMPUTED_VALUE"""),"LM Hub_SP_Sorocaba_Região Norte")</f>
        <v>LM Hub_SP_Sorocaba_Região Norte</v>
      </c>
      <c r="C6491" s="238" t="str">
        <f>IFERROR(__xludf.DUMMYFUNCTION("""COMPUTED_VALUE"""),"HUB-LSP-10")</f>
        <v>HUB-LSP-10</v>
      </c>
      <c r="D6491" s="234">
        <f>IFERROR(__xludf.DUMMYFUNCTION("""COMPUTED_VALUE"""),28.0)</f>
        <v>28</v>
      </c>
      <c r="E6491" s="237" t="str">
        <f>IFERROR(__xludf.DUMMYFUNCTION("""COMPUTED_VALUE"""),"LT0Q2301Y5A81")</f>
        <v>LT0Q2301Y5A81</v>
      </c>
      <c r="F6491" s="238" t="str">
        <f>IFERROR(__xludf.DUMMYFUNCTION("""COMPUTED_VALUE"""),"FDZ3A56,KVS1392")</f>
        <v>FDZ3A56,KVS1392</v>
      </c>
      <c r="G6491" s="238">
        <f>IFERROR(__xludf.DUMMYFUNCTION("""COMPUTED_VALUE"""),46056.18888888889)</f>
        <v>46056.18889</v>
      </c>
      <c r="H6491" s="238">
        <f>IFERROR(__xludf.DUMMYFUNCTION("""COMPUTED_VALUE"""),46056.27083333333)</f>
        <v>46056.27083</v>
      </c>
      <c r="J6491" s="239">
        <v>120.00000001396984</v>
      </c>
    </row>
    <row r="6492">
      <c r="A6492" s="234"/>
      <c r="B6492" s="238" t="str">
        <f>IFERROR(__xludf.DUMMYFUNCTION("""COMPUTED_VALUE"""),"SoC_SP_Louveira")</f>
        <v>SoC_SP_Louveira</v>
      </c>
      <c r="C6492" s="238" t="str">
        <f>IFERROR(__xludf.DUMMYFUNCTION("""COMPUTED_VALUE"""),"SOC-SP7")</f>
        <v>SOC-SP7</v>
      </c>
      <c r="D6492" s="234">
        <f>IFERROR(__xludf.DUMMYFUNCTION("""COMPUTED_VALUE"""),38.0)</f>
        <v>38</v>
      </c>
      <c r="E6492" s="237" t="str">
        <f>IFERROR(__xludf.DUMMYFUNCTION("""COMPUTED_VALUE"""),"LT0Q2301XVW21")</f>
        <v>LT0Q2301XVW21</v>
      </c>
      <c r="F6492" s="238" t="str">
        <f>IFERROR(__xludf.DUMMYFUNCTION("""COMPUTED_VALUE"""),"TMB1H98,RYV2F39")</f>
        <v>TMB1H98,RYV2F39</v>
      </c>
      <c r="G6492" s="238">
        <f>IFERROR(__xludf.DUMMYFUNCTION("""COMPUTED_VALUE"""),46056.20833333333)</f>
        <v>46056.20833</v>
      </c>
      <c r="H6492" s="238">
        <f>IFERROR(__xludf.DUMMYFUNCTION("""COMPUTED_VALUE"""),46056.29166666667)</f>
        <v>46056.29167</v>
      </c>
      <c r="J6492" s="239">
        <v>540.0</v>
      </c>
    </row>
    <row r="6493">
      <c r="A6493" s="234"/>
      <c r="B6493" s="238" t="str">
        <f>IFERROR(__xludf.DUMMYFUNCTION("""COMPUTED_VALUE"""),"SoC_BA_Simoes Filho")</f>
        <v>SoC_BA_Simoes Filho</v>
      </c>
      <c r="C6493" s="238" t="str">
        <f>IFERROR(__xludf.DUMMYFUNCTION("""COMPUTED_VALUE"""),"SOC-BA2")</f>
        <v>SOC-BA2</v>
      </c>
      <c r="D6493" s="234">
        <f>IFERROR(__xludf.DUMMYFUNCTION("""COMPUTED_VALUE"""),89.0)</f>
        <v>89</v>
      </c>
      <c r="E6493" s="237" t="str">
        <f>IFERROR(__xludf.DUMMYFUNCTION("""COMPUTED_VALUE"""),"LT0Q2201Y1BH1")</f>
        <v>LT0Q2201Y1BH1</v>
      </c>
      <c r="F6493" s="238" t="str">
        <f>IFERROR(__xludf.DUMMYFUNCTION("""COMPUTED_VALUE"""),"MIA8E56,RAJ1D66")</f>
        <v>MIA8E56,RAJ1D66</v>
      </c>
      <c r="G6493" s="238">
        <f>IFERROR(__xludf.DUMMYFUNCTION("""COMPUTED_VALUE"""),46055.91666666667)</f>
        <v>46055.91667</v>
      </c>
      <c r="H6493" s="238">
        <f>IFERROR(__xludf.DUMMYFUNCTION("""COMPUTED_VALUE"""),46056.29166666667)</f>
        <v>46056.29167</v>
      </c>
      <c r="J6493" s="239">
        <v>540.0</v>
      </c>
    </row>
    <row r="6494">
      <c r="A6494" s="234"/>
      <c r="B6494" s="238" t="str">
        <f>IFERROR(__xludf.DUMMYFUNCTION("""COMPUTED_VALUE"""),"SoC_RJ_Duque de Caxias")</f>
        <v>SoC_RJ_Duque de Caxias</v>
      </c>
      <c r="C6494" s="238" t="str">
        <f>IFERROR(__xludf.DUMMYFUNCTION("""COMPUTED_VALUE"""),"SOC-RJ2")</f>
        <v>SOC-RJ2</v>
      </c>
      <c r="D6494" s="234">
        <f>IFERROR(__xludf.DUMMYFUNCTION("""COMPUTED_VALUE"""),96.0)</f>
        <v>96</v>
      </c>
      <c r="E6494" s="237" t="str">
        <f>IFERROR(__xludf.DUMMYFUNCTION("""COMPUTED_VALUE"""),"LT0Q2201Y5P31")</f>
        <v>LT0Q2201Y5P31</v>
      </c>
      <c r="F6494" s="238" t="str">
        <f>IFERROR(__xludf.DUMMYFUNCTION("""COMPUTED_VALUE"""),"ASN0C15,MBC2C84")</f>
        <v>ASN0C15,MBC2C84</v>
      </c>
      <c r="G6494" s="238">
        <f>IFERROR(__xludf.DUMMYFUNCTION("""COMPUTED_VALUE"""),46055.91666666667)</f>
        <v>46055.91667</v>
      </c>
      <c r="H6494" s="238">
        <f>IFERROR(__xludf.DUMMYFUNCTION("""COMPUTED_VALUE"""),46056.29166666667)</f>
        <v>46056.29167</v>
      </c>
      <c r="J6494" s="239">
        <v>540.0</v>
      </c>
    </row>
    <row r="6495">
      <c r="A6495" s="234"/>
      <c r="B6495" s="238" t="str">
        <f>IFERROR(__xludf.DUMMYFUNCTION("""COMPUTED_VALUE"""),"SoC_SC_Itajaí")</f>
        <v>SoC_SC_Itajaí</v>
      </c>
      <c r="C6495" s="238" t="str">
        <f>IFERROR(__xludf.DUMMYFUNCTION("""COMPUTED_VALUE"""),"SOC-SC1")</f>
        <v>SOC-SC1</v>
      </c>
      <c r="D6495" s="234">
        <f>IFERROR(__xludf.DUMMYFUNCTION("""COMPUTED_VALUE"""),100.0)</f>
        <v>100</v>
      </c>
      <c r="E6495" s="237" t="str">
        <f>IFERROR(__xludf.DUMMYFUNCTION("""COMPUTED_VALUE"""),"LT0Q2201Y0B41")</f>
        <v>LT0Q2201Y0B41</v>
      </c>
      <c r="F6495" s="238" t="str">
        <f>IFERROR(__xludf.DUMMYFUNCTION("""COMPUTED_VALUE"""),"MJI3I60,ETU6I12")</f>
        <v>MJI3I60,ETU6I12</v>
      </c>
      <c r="G6495" s="238">
        <f>IFERROR(__xludf.DUMMYFUNCTION("""COMPUTED_VALUE"""),46055.91666666667)</f>
        <v>46055.91667</v>
      </c>
      <c r="H6495" s="238">
        <f>IFERROR(__xludf.DUMMYFUNCTION("""COMPUTED_VALUE"""),46056.29166666667)</f>
        <v>46056.29167</v>
      </c>
      <c r="J6495" s="239">
        <v>540.0</v>
      </c>
    </row>
    <row r="6496">
      <c r="A6496" s="234"/>
      <c r="B6496" s="238" t="str">
        <f>IFERROR(__xludf.DUMMYFUNCTION("""COMPUTED_VALUE"""),"SoC_SC_Itajaí")</f>
        <v>SoC_SC_Itajaí</v>
      </c>
      <c r="C6496" s="238" t="str">
        <f>IFERROR(__xludf.DUMMYFUNCTION("""COMPUTED_VALUE"""),"SOC-SC1")</f>
        <v>SOC-SC1</v>
      </c>
      <c r="D6496" s="234">
        <f>IFERROR(__xludf.DUMMYFUNCTION("""COMPUTED_VALUE"""),100.0)</f>
        <v>100</v>
      </c>
      <c r="E6496" s="237" t="str">
        <f>IFERROR(__xludf.DUMMYFUNCTION("""COMPUTED_VALUE"""),"LT0Q2201Y0BE1")</f>
        <v>LT0Q2201Y0BE1</v>
      </c>
      <c r="F6496" s="238" t="str">
        <f>IFERROR(__xludf.DUMMYFUNCTION("""COMPUTED_VALUE"""),"QJB4G27,RYZ4B94")</f>
        <v>QJB4G27,RYZ4B94</v>
      </c>
      <c r="G6496" s="238">
        <f>IFERROR(__xludf.DUMMYFUNCTION("""COMPUTED_VALUE"""),46055.91666666667)</f>
        <v>46055.91667</v>
      </c>
      <c r="H6496" s="238">
        <f>IFERROR(__xludf.DUMMYFUNCTION("""COMPUTED_VALUE"""),46056.29166666667)</f>
        <v>46056.29167</v>
      </c>
      <c r="J6496" s="239">
        <v>540.0</v>
      </c>
    </row>
    <row r="6497">
      <c r="A6497" s="234"/>
      <c r="B6497" s="238" t="str">
        <f>IFERROR(__xludf.DUMMYFUNCTION("""COMPUTED_VALUE"""),"SoC_SP_Cravinhos")</f>
        <v>SoC_SP_Cravinhos</v>
      </c>
      <c r="C6497" s="238" t="str">
        <f>IFERROR(__xludf.DUMMYFUNCTION("""COMPUTED_VALUE"""),"SOC-SP5")</f>
        <v>SOC-SP5</v>
      </c>
      <c r="D6497" s="234">
        <f>IFERROR(__xludf.DUMMYFUNCTION("""COMPUTED_VALUE"""),94.0)</f>
        <v>94</v>
      </c>
      <c r="E6497" s="237" t="str">
        <f>IFERROR(__xludf.DUMMYFUNCTION("""COMPUTED_VALUE"""),"LT0Q2201Y58T1")</f>
        <v>LT0Q2201Y58T1</v>
      </c>
      <c r="F6497" s="238" t="str">
        <f>IFERROR(__xludf.DUMMYFUNCTION("""COMPUTED_VALUE"""),"CSK8C87,IZR1C39")</f>
        <v>CSK8C87,IZR1C39</v>
      </c>
      <c r="G6497" s="238">
        <f>IFERROR(__xludf.DUMMYFUNCTION("""COMPUTED_VALUE"""),46055.91666666667)</f>
        <v>46055.91667</v>
      </c>
      <c r="H6497" s="238">
        <f>IFERROR(__xludf.DUMMYFUNCTION("""COMPUTED_VALUE"""),46056.29166666667)</f>
        <v>46056.29167</v>
      </c>
      <c r="J6497" s="239">
        <v>539.0000000072177</v>
      </c>
    </row>
    <row r="6498">
      <c r="A6498" s="234"/>
      <c r="B6498" s="238" t="str">
        <f>IFERROR(__xludf.DUMMYFUNCTION("""COMPUTED_VALUE"""),"SoC_GO_Goiânia_02")</f>
        <v>SoC_GO_Goiânia_02</v>
      </c>
      <c r="C6498" s="238" t="str">
        <f>IFERROR(__xludf.DUMMYFUNCTION("""COMPUTED_VALUE"""),"SOC-GO2")</f>
        <v>SOC-GO2</v>
      </c>
      <c r="D6498" s="234">
        <f>IFERROR(__xludf.DUMMYFUNCTION("""COMPUTED_VALUE"""),86.0)</f>
        <v>86</v>
      </c>
      <c r="E6498" s="237" t="str">
        <f>IFERROR(__xludf.DUMMYFUNCTION("""COMPUTED_VALUE"""),"LT0Q2201Y1O51")</f>
        <v>LT0Q2201Y1O51</v>
      </c>
      <c r="F6498" s="238" t="str">
        <f>IFERROR(__xludf.DUMMYFUNCTION("""COMPUTED_VALUE"""),"EML5B01,UEZ0B10")</f>
        <v>EML5B01,UEZ0B10</v>
      </c>
      <c r="G6498" s="238">
        <f>IFERROR(__xludf.DUMMYFUNCTION("""COMPUTED_VALUE"""),46055.91736111111)</f>
        <v>46055.91736</v>
      </c>
      <c r="H6498" s="238">
        <f>IFERROR(__xludf.DUMMYFUNCTION("""COMPUTED_VALUE"""),46056.29166666667)</f>
        <v>46056.29167</v>
      </c>
      <c r="J6498" s="239">
        <v>539.0000000072177</v>
      </c>
    </row>
    <row r="6499">
      <c r="A6499" s="234"/>
      <c r="B6499" s="238" t="str">
        <f>IFERROR(__xludf.DUMMYFUNCTION("""COMPUTED_VALUE"""),"SoC_MG_Betim")</f>
        <v>SoC_MG_Betim</v>
      </c>
      <c r="C6499" s="238" t="str">
        <f>IFERROR(__xludf.DUMMYFUNCTION("""COMPUTED_VALUE"""),"SOC-MG2")</f>
        <v>SOC-MG2</v>
      </c>
      <c r="D6499" s="234" t="str">
        <f>IFERROR(__xludf.DUMMYFUNCTION("""COMPUTED_VALUE"""),"90/91")</f>
        <v>90/91</v>
      </c>
      <c r="E6499" s="237" t="str">
        <f>IFERROR(__xludf.DUMMYFUNCTION("""COMPUTED_VALUE"""),"LT0Q2201Y58L1")</f>
        <v>LT0Q2201Y58L1</v>
      </c>
      <c r="F6499" s="238" t="str">
        <f>IFERROR(__xludf.DUMMYFUNCTION("""COMPUTED_VALUE"""),"RNX9J81,TYJ4G07")</f>
        <v>RNX9J81,TYJ4G07</v>
      </c>
      <c r="G6499" s="238">
        <f>IFERROR(__xludf.DUMMYFUNCTION("""COMPUTED_VALUE"""),46055.91736111111)</f>
        <v>46055.91736</v>
      </c>
      <c r="H6499" s="238">
        <f>IFERROR(__xludf.DUMMYFUNCTION("""COMPUTED_VALUE"""),46056.29166666667)</f>
        <v>46056.29167</v>
      </c>
      <c r="J6499" s="239">
        <v>539.0000000072177</v>
      </c>
    </row>
    <row r="6500">
      <c r="A6500" s="234"/>
      <c r="B6500" s="238" t="str">
        <f>IFERROR(__xludf.DUMMYFUNCTION("""COMPUTED_VALUE"""),"SoC_MG_Betim")</f>
        <v>SoC_MG_Betim</v>
      </c>
      <c r="C6500" s="238" t="str">
        <f>IFERROR(__xludf.DUMMYFUNCTION("""COMPUTED_VALUE"""),"SOC-MG2")</f>
        <v>SOC-MG2</v>
      </c>
      <c r="D6500" s="234" t="str">
        <f>IFERROR(__xludf.DUMMYFUNCTION("""COMPUTED_VALUE"""),"91/22")</f>
        <v>91/22</v>
      </c>
      <c r="E6500" s="237" t="str">
        <f>IFERROR(__xludf.DUMMYFUNCTION("""COMPUTED_VALUE"""),"LT0Q2201Y58N2")</f>
        <v>LT0Q2201Y58N2</v>
      </c>
      <c r="F6500" s="238" t="str">
        <f>IFERROR(__xludf.DUMMYFUNCTION("""COMPUTED_VALUE"""),"ESU5I07,EZL9D52")</f>
        <v>ESU5I07,EZL9D52</v>
      </c>
      <c r="G6500" s="238">
        <f>IFERROR(__xludf.DUMMYFUNCTION("""COMPUTED_VALUE"""),46055.91736111111)</f>
        <v>46055.91736</v>
      </c>
      <c r="H6500" s="238">
        <f>IFERROR(__xludf.DUMMYFUNCTION("""COMPUTED_VALUE"""),46056.29166666667)</f>
        <v>46056.29167</v>
      </c>
      <c r="J6500" s="239">
        <v>539.0000000072177</v>
      </c>
    </row>
    <row r="6501">
      <c r="A6501" s="234"/>
      <c r="B6501" s="238" t="str">
        <f>IFERROR(__xludf.DUMMYFUNCTION("""COMPUTED_VALUE"""),"SoC_RJ_Duque de Caxias")</f>
        <v>SoC_RJ_Duque de Caxias</v>
      </c>
      <c r="C6501" s="238" t="str">
        <f>IFERROR(__xludf.DUMMYFUNCTION("""COMPUTED_VALUE"""),"SOC-RJ2")</f>
        <v>SOC-RJ2</v>
      </c>
      <c r="D6501" s="234">
        <f>IFERROR(__xludf.DUMMYFUNCTION("""COMPUTED_VALUE"""),98.0)</f>
        <v>98</v>
      </c>
      <c r="E6501" s="237" t="str">
        <f>IFERROR(__xludf.DUMMYFUNCTION("""COMPUTED_VALUE"""),"LT0Q2201XXXD1")</f>
        <v>LT0Q2201XXXD1</v>
      </c>
      <c r="F6501" s="238" t="str">
        <f>IFERROR(__xludf.DUMMYFUNCTION("""COMPUTED_VALUE"""),"CUD5F29,EHH8A29")</f>
        <v>CUD5F29,EHH8A29</v>
      </c>
      <c r="G6501" s="238">
        <f>IFERROR(__xludf.DUMMYFUNCTION("""COMPUTED_VALUE"""),46055.91736111111)</f>
        <v>46055.91736</v>
      </c>
      <c r="H6501" s="238">
        <f>IFERROR(__xludf.DUMMYFUNCTION("""COMPUTED_VALUE"""),46056.29166666667)</f>
        <v>46056.29167</v>
      </c>
      <c r="J6501" s="239">
        <v>539.0000000072177</v>
      </c>
    </row>
    <row r="6502">
      <c r="A6502" s="234"/>
      <c r="B6502" s="238" t="str">
        <f>IFERROR(__xludf.DUMMYFUNCTION("""COMPUTED_VALUE"""),"SoC_SP_Cravinhos")</f>
        <v>SoC_SP_Cravinhos</v>
      </c>
      <c r="C6502" s="238" t="str">
        <f>IFERROR(__xludf.DUMMYFUNCTION("""COMPUTED_VALUE"""),"SOC-SP5")</f>
        <v>SOC-SP5</v>
      </c>
      <c r="D6502" s="234">
        <f>IFERROR(__xludf.DUMMYFUNCTION("""COMPUTED_VALUE"""),94.0)</f>
        <v>94</v>
      </c>
      <c r="E6502" s="237" t="str">
        <f>IFERROR(__xludf.DUMMYFUNCTION("""COMPUTED_VALUE"""),"LT0Q2201XVVJ1")</f>
        <v>LT0Q2201XVVJ1</v>
      </c>
      <c r="F6502" s="238" t="str">
        <f>IFERROR(__xludf.DUMMYFUNCTION("""COMPUTED_VALUE"""),"LSG3D84,TKU4G31")</f>
        <v>LSG3D84,TKU4G31</v>
      </c>
      <c r="G6502" s="238">
        <f>IFERROR(__xludf.DUMMYFUNCTION("""COMPUTED_VALUE"""),46055.91736111111)</f>
        <v>46055.91736</v>
      </c>
      <c r="H6502" s="238">
        <f>IFERROR(__xludf.DUMMYFUNCTION("""COMPUTED_VALUE"""),46056.29166666667)</f>
        <v>46056.29167</v>
      </c>
      <c r="J6502" s="239">
        <v>120.00000001396984</v>
      </c>
    </row>
    <row r="6503">
      <c r="A6503" s="234"/>
      <c r="B6503" s="238" t="str">
        <f>IFERROR(__xludf.DUMMYFUNCTION("""COMPUTED_VALUE"""),"LM Hub_SP_Barueri_01")</f>
        <v>LM Hub_SP_Barueri_01</v>
      </c>
      <c r="C6503" s="238" t="str">
        <f>IFERROR(__xludf.DUMMYFUNCTION("""COMPUTED_VALUE"""),"HUB-LSP-81")</f>
        <v>HUB-LSP-81</v>
      </c>
      <c r="D6503" s="234">
        <f>IFERROR(__xludf.DUMMYFUNCTION("""COMPUTED_VALUE"""),27.0)</f>
        <v>27</v>
      </c>
      <c r="E6503" s="237" t="str">
        <f>IFERROR(__xludf.DUMMYFUNCTION("""COMPUTED_VALUE"""),"LT0Q2301Y0Z31")</f>
        <v>LT0Q2301Y0Z31</v>
      </c>
      <c r="F6503" s="238" t="str">
        <f>IFERROR(__xludf.DUMMYFUNCTION("""COMPUTED_VALUE"""),"SUQ5C99,TLD5B82")</f>
        <v>SUQ5C99,TLD5B82</v>
      </c>
      <c r="G6503" s="238">
        <f>IFERROR(__xludf.DUMMYFUNCTION("""COMPUTED_VALUE"""),46056.20833333333)</f>
        <v>46056.20833</v>
      </c>
      <c r="H6503" s="238">
        <f>IFERROR(__xludf.DUMMYFUNCTION("""COMPUTED_VALUE"""),46056.29166666667)</f>
        <v>46056.29167</v>
      </c>
      <c r="J6503" s="239">
        <v>120.00000001396984</v>
      </c>
    </row>
    <row r="6504">
      <c r="A6504" s="234"/>
      <c r="B6504" s="238" t="str">
        <f>IFERROR(__xludf.DUMMYFUNCTION("""COMPUTED_VALUE"""),"LM Hub_SP_Jundiaí")</f>
        <v>LM Hub_SP_Jundiaí</v>
      </c>
      <c r="C6504" s="238" t="str">
        <f>IFERROR(__xludf.DUMMYFUNCTION("""COMPUTED_VALUE"""),"HUB-LSP-100")</f>
        <v>HUB-LSP-100</v>
      </c>
      <c r="D6504" s="234">
        <f>IFERROR(__xludf.DUMMYFUNCTION("""COMPUTED_VALUE"""),9.0)</f>
        <v>9</v>
      </c>
      <c r="E6504" s="237" t="str">
        <f>IFERROR(__xludf.DUMMYFUNCTION("""COMPUTED_VALUE"""),"LT0Q2301Y2GY1")</f>
        <v>LT0Q2301Y2GY1</v>
      </c>
      <c r="F6504" s="238" t="str">
        <f>IFERROR(__xludf.DUMMYFUNCTION("""COMPUTED_VALUE"""),"TLY2D75,PLY4I49")</f>
        <v>TLY2D75,PLY4I49</v>
      </c>
      <c r="G6504" s="238">
        <f>IFERROR(__xludf.DUMMYFUNCTION("""COMPUTED_VALUE"""),46056.20833333333)</f>
        <v>46056.20833</v>
      </c>
      <c r="H6504" s="238">
        <f>IFERROR(__xludf.DUMMYFUNCTION("""COMPUTED_VALUE"""),46056.29166666667)</f>
        <v>46056.29167</v>
      </c>
      <c r="J6504" s="239">
        <v>120.00000001396984</v>
      </c>
    </row>
    <row r="6505">
      <c r="A6505" s="234"/>
      <c r="B6505" s="238" t="str">
        <f>IFERROR(__xludf.DUMMYFUNCTION("""COMPUTED_VALUE"""),"LM Hub_SP_Piracicaba")</f>
        <v>LM Hub_SP_Piracicaba</v>
      </c>
      <c r="C6505" s="238" t="str">
        <f>IFERROR(__xludf.DUMMYFUNCTION("""COMPUTED_VALUE"""),"HUB-LSP-62")</f>
        <v>HUB-LSP-62</v>
      </c>
      <c r="D6505" s="234">
        <f>IFERROR(__xludf.DUMMYFUNCTION("""COMPUTED_VALUE"""),24.0)</f>
        <v>24</v>
      </c>
      <c r="E6505" s="237" t="str">
        <f>IFERROR(__xludf.DUMMYFUNCTION("""COMPUTED_VALUE"""),"LT0Q2301XWQI1")</f>
        <v>LT0Q2301XWQI1</v>
      </c>
      <c r="F6505" s="238" t="str">
        <f>IFERROR(__xludf.DUMMYFUNCTION("""COMPUTED_VALUE"""),"OMY3I62")</f>
        <v>OMY3I62</v>
      </c>
      <c r="G6505" s="238">
        <f>IFERROR(__xludf.DUMMYFUNCTION("""COMPUTED_VALUE"""),46056.20833333333)</f>
        <v>46056.20833</v>
      </c>
      <c r="H6505" s="238">
        <f>IFERROR(__xludf.DUMMYFUNCTION("""COMPUTED_VALUE"""),46056.29166666667)</f>
        <v>46056.29167</v>
      </c>
      <c r="J6505" s="239">
        <v>120.00000001396984</v>
      </c>
    </row>
    <row r="6506">
      <c r="A6506" s="234"/>
      <c r="B6506" s="238" t="str">
        <f>IFERROR(__xludf.DUMMYFUNCTION("""COMPUTED_VALUE"""),"LM Hub_SP_Santos_PraiaGrande_02")</f>
        <v>LM Hub_SP_Santos_PraiaGrande_02</v>
      </c>
      <c r="C6506" s="238" t="str">
        <f>IFERROR(__xludf.DUMMYFUNCTION("""COMPUTED_VALUE"""),"HUB-LSP-63")</f>
        <v>HUB-LSP-63</v>
      </c>
      <c r="D6506" s="234">
        <f>IFERROR(__xludf.DUMMYFUNCTION("""COMPUTED_VALUE"""),19.0)</f>
        <v>19</v>
      </c>
      <c r="E6506" s="237" t="str">
        <f>IFERROR(__xludf.DUMMYFUNCTION("""COMPUTED_VALUE"""),"LT0Q2301XX7A1")</f>
        <v>LT0Q2301XX7A1</v>
      </c>
      <c r="F6506" s="238" t="str">
        <f>IFERROR(__xludf.DUMMYFUNCTION("""COMPUTED_VALUE"""),"STX4C00,GFC3C86")</f>
        <v>STX4C00,GFC3C86</v>
      </c>
      <c r="G6506" s="238">
        <f>IFERROR(__xludf.DUMMYFUNCTION("""COMPUTED_VALUE"""),46056.20833333333)</f>
        <v>46056.20833</v>
      </c>
      <c r="H6506" s="238">
        <f>IFERROR(__xludf.DUMMYFUNCTION("""COMPUTED_VALUE"""),46056.29166666667)</f>
        <v>46056.29167</v>
      </c>
      <c r="J6506" s="239">
        <v>119.00000000023283</v>
      </c>
    </row>
    <row r="6507">
      <c r="A6507" s="234"/>
      <c r="B6507" s="238" t="str">
        <f>IFERROR(__xludf.DUMMYFUNCTION("""COMPUTED_VALUE"""),"LM Hub_SP_São José dos Campos")</f>
        <v>LM Hub_SP_São José dos Campos</v>
      </c>
      <c r="C6507" s="238" t="str">
        <f>IFERROR(__xludf.DUMMYFUNCTION("""COMPUTED_VALUE"""),"HUB-LSP-04")</f>
        <v>HUB-LSP-04</v>
      </c>
      <c r="D6507" s="234">
        <f>IFERROR(__xludf.DUMMYFUNCTION("""COMPUTED_VALUE"""),26.0)</f>
        <v>26</v>
      </c>
      <c r="E6507" s="237" t="str">
        <f>IFERROR(__xludf.DUMMYFUNCTION("""COMPUTED_VALUE"""),"LT0Q2301XX701")</f>
        <v>LT0Q2301XX701</v>
      </c>
      <c r="F6507" s="238" t="str">
        <f>IFERROR(__xludf.DUMMYFUNCTION("""COMPUTED_VALUE"""),"UGN4B10")</f>
        <v>UGN4B10</v>
      </c>
      <c r="G6507" s="238">
        <f>IFERROR(__xludf.DUMMYFUNCTION("""COMPUTED_VALUE"""),46056.22986111111)</f>
        <v>46056.22986</v>
      </c>
      <c r="H6507" s="238">
        <f>IFERROR(__xludf.DUMMYFUNCTION("""COMPUTED_VALUE"""),46056.3125)</f>
        <v>46056.3125</v>
      </c>
      <c r="J6507" s="239">
        <v>119.99999999301508</v>
      </c>
    </row>
    <row r="6508">
      <c r="A6508" s="234"/>
      <c r="B6508" s="238" t="str">
        <f>IFERROR(__xludf.DUMMYFUNCTION("""COMPUTED_VALUE"""),"LM Hub_SP_Guarujá")</f>
        <v>LM Hub_SP_Guarujá</v>
      </c>
      <c r="C6508" s="238" t="str">
        <f>IFERROR(__xludf.DUMMYFUNCTION("""COMPUTED_VALUE"""),"HUB-LSP-06")</f>
        <v>HUB-LSP-06</v>
      </c>
      <c r="D6508" s="234">
        <f>IFERROR(__xludf.DUMMYFUNCTION("""COMPUTED_VALUE"""),34.0)</f>
        <v>34</v>
      </c>
      <c r="E6508" s="237" t="str">
        <f>IFERROR(__xludf.DUMMYFUNCTION("""COMPUTED_VALUE"""),"LT0Q2301XX6P1")</f>
        <v>LT0Q2301XX6P1</v>
      </c>
      <c r="F6508" s="238" t="str">
        <f>IFERROR(__xludf.DUMMYFUNCTION("""COMPUTED_VALUE"""),"RRA1C26")</f>
        <v>RRA1C26</v>
      </c>
      <c r="G6508" s="238">
        <f>IFERROR(__xludf.DUMMYFUNCTION("""COMPUTED_VALUE"""),46056.22916666667)</f>
        <v>46056.22917</v>
      </c>
      <c r="H6508" s="238">
        <f>IFERROR(__xludf.DUMMYFUNCTION("""COMPUTED_VALUE"""),46056.3125)</f>
        <v>46056.3125</v>
      </c>
      <c r="J6508" s="239">
        <v>119.99999999301508</v>
      </c>
    </row>
    <row r="6509">
      <c r="A6509" s="234"/>
      <c r="B6509" s="238" t="str">
        <f>IFERROR(__xludf.DUMMYFUNCTION("""COMPUTED_VALUE"""),"LM Hub_SP_Santos_Praia Grande")</f>
        <v>LM Hub_SP_Santos_Praia Grande</v>
      </c>
      <c r="C6509" s="238" t="str">
        <f>IFERROR(__xludf.DUMMYFUNCTION("""COMPUTED_VALUE"""),"HUB-LSP-09")</f>
        <v>HUB-LSP-09</v>
      </c>
      <c r="D6509" s="234">
        <f>IFERROR(__xludf.DUMMYFUNCTION("""COMPUTED_VALUE"""),13.0)</f>
        <v>13</v>
      </c>
      <c r="E6509" s="237" t="str">
        <f>IFERROR(__xludf.DUMMYFUNCTION("""COMPUTED_VALUE"""),"LT0Q2301XX6U1")</f>
        <v>LT0Q2301XX6U1</v>
      </c>
      <c r="F6509" s="238" t="str">
        <f>IFERROR(__xludf.DUMMYFUNCTION("""COMPUTED_VALUE"""),"SWJ8J34,SXN5B19")</f>
        <v>SWJ8J34,SXN5B19</v>
      </c>
      <c r="G6509" s="238">
        <f>IFERROR(__xludf.DUMMYFUNCTION("""COMPUTED_VALUE"""),46056.22916666667)</f>
        <v>46056.22917</v>
      </c>
      <c r="H6509" s="238">
        <f>IFERROR(__xludf.DUMMYFUNCTION("""COMPUTED_VALUE"""),46056.3125)</f>
        <v>46056.3125</v>
      </c>
      <c r="J6509" s="239">
        <v>118.00000000745058</v>
      </c>
    </row>
    <row r="6510">
      <c r="A6510" s="234"/>
      <c r="B6510" s="238" t="str">
        <f>IFERROR(__xludf.DUMMYFUNCTION("""COMPUTED_VALUE"""),"LM Hub_SP_Várzea Paulista")</f>
        <v>LM Hub_SP_Várzea Paulista</v>
      </c>
      <c r="C6510" s="238" t="str">
        <f>IFERROR(__xludf.DUMMYFUNCTION("""COMPUTED_VALUE"""),"HUB-LSP-20")</f>
        <v>HUB-LSP-20</v>
      </c>
      <c r="D6510" s="234">
        <f>IFERROR(__xludf.DUMMYFUNCTION("""COMPUTED_VALUE"""),16.0)</f>
        <v>16</v>
      </c>
      <c r="E6510" s="237" t="str">
        <f>IFERROR(__xludf.DUMMYFUNCTION("""COMPUTED_VALUE"""),"LT0Q2301XW2R2")</f>
        <v>LT0Q2301XW2R2</v>
      </c>
      <c r="F6510" s="238" t="str">
        <f>IFERROR(__xludf.DUMMYFUNCTION("""COMPUTED_VALUE"""),"EMU5F62,FGK3A38")</f>
        <v>EMU5F62,FGK3A38</v>
      </c>
      <c r="G6510" s="238">
        <f>IFERROR(__xludf.DUMMYFUNCTION("""COMPUTED_VALUE"""),46056.23055555555)</f>
        <v>46056.23056</v>
      </c>
      <c r="H6510" s="238">
        <f>IFERROR(__xludf.DUMMYFUNCTION("""COMPUTED_VALUE"""),46056.3125)</f>
        <v>46056.3125</v>
      </c>
      <c r="J6510" s="239">
        <v>119.00000000023283</v>
      </c>
    </row>
    <row r="6511">
      <c r="A6511" s="234"/>
      <c r="B6511" s="238" t="str">
        <f>IFERROR(__xludf.DUMMYFUNCTION("""COMPUTED_VALUE"""),"LM Hub_SP_Itapevi")</f>
        <v>LM Hub_SP_Itapevi</v>
      </c>
      <c r="C6511" s="238" t="str">
        <f>IFERROR(__xludf.DUMMYFUNCTION("""COMPUTED_VALUE"""),"HUB-LSP-41")</f>
        <v>HUB-LSP-41</v>
      </c>
      <c r="D6511" s="234">
        <f>IFERROR(__xludf.DUMMYFUNCTION("""COMPUTED_VALUE"""),21.0)</f>
        <v>21</v>
      </c>
      <c r="E6511" s="237" t="str">
        <f>IFERROR(__xludf.DUMMYFUNCTION("""COMPUTED_VALUE"""),"LT0Q2301Y59L1")</f>
        <v>LT0Q2301Y59L1</v>
      </c>
      <c r="F6511" s="238" t="str">
        <f>IFERROR(__xludf.DUMMYFUNCTION("""COMPUTED_VALUE"""),"HFD4H27,JXG9745")</f>
        <v>HFD4H27,JXG9745</v>
      </c>
      <c r="G6511" s="238">
        <f>IFERROR(__xludf.DUMMYFUNCTION("""COMPUTED_VALUE"""),46056.22986111111)</f>
        <v>46056.22986</v>
      </c>
      <c r="H6511" s="238">
        <f>IFERROR(__xludf.DUMMYFUNCTION("""COMPUTED_VALUE"""),46056.3125)</f>
        <v>46056.3125</v>
      </c>
      <c r="J6511" s="239">
        <v>119.00000000023283</v>
      </c>
    </row>
    <row r="6512">
      <c r="A6512" s="234"/>
      <c r="B6512" s="238" t="str">
        <f>IFERROR(__xludf.DUMMYFUNCTION("""COMPUTED_VALUE"""),"LM Hub_SP_São Paulo_Mooca")</f>
        <v>LM Hub_SP_São Paulo_Mooca</v>
      </c>
      <c r="C6512" s="238" t="str">
        <f>IFERROR(__xludf.DUMMYFUNCTION("""COMPUTED_VALUE"""),"HUB-LSP-13")</f>
        <v>HUB-LSP-13</v>
      </c>
      <c r="D6512" s="234">
        <f>IFERROR(__xludf.DUMMYFUNCTION("""COMPUTED_VALUE"""),48.0)</f>
        <v>48</v>
      </c>
      <c r="E6512" s="237" t="str">
        <f>IFERROR(__xludf.DUMMYFUNCTION("""COMPUTED_VALUE"""),"LT0Q2301Y5JE1")</f>
        <v>LT0Q2301Y5JE1</v>
      </c>
      <c r="F6512" s="238" t="str">
        <f>IFERROR(__xludf.DUMMYFUNCTION("""COMPUTED_VALUE"""),"FGI1F79")</f>
        <v>FGI1F79</v>
      </c>
      <c r="G6512" s="238">
        <f>IFERROR(__xludf.DUMMYFUNCTION("""COMPUTED_VALUE"""),46056.22986111111)</f>
        <v>46056.22986</v>
      </c>
      <c r="H6512" s="238">
        <f>IFERROR(__xludf.DUMMYFUNCTION("""COMPUTED_VALUE"""),46056.3125)</f>
        <v>46056.3125</v>
      </c>
      <c r="J6512" s="239">
        <v>119.99999999301508</v>
      </c>
    </row>
    <row r="6513">
      <c r="A6513" s="234"/>
      <c r="B6513" s="238" t="str">
        <f>IFERROR(__xludf.DUMMYFUNCTION("""COMPUTED_VALUE"""),"LM Hub_SP_Artur Alvim")</f>
        <v>LM Hub_SP_Artur Alvim</v>
      </c>
      <c r="C6513" s="238" t="str">
        <f>IFERROR(__xludf.DUMMYFUNCTION("""COMPUTED_VALUE"""),"HUB-LSP-07")</f>
        <v>HUB-LSP-07</v>
      </c>
      <c r="D6513" s="234">
        <f>IFERROR(__xludf.DUMMYFUNCTION("""COMPUTED_VALUE"""),18.0)</f>
        <v>18</v>
      </c>
      <c r="E6513" s="237" t="str">
        <f>IFERROR(__xludf.DUMMYFUNCTION("""COMPUTED_VALUE"""),"LT0Q2301XX5G1")</f>
        <v>LT0Q2301XX5G1</v>
      </c>
      <c r="F6513" s="238" t="str">
        <f>IFERROR(__xludf.DUMMYFUNCTION("""COMPUTED_VALUE"""),"ASH4C66,BWP2G99")</f>
        <v>ASH4C66,BWP2G99</v>
      </c>
      <c r="G6513" s="238">
        <f>IFERROR(__xludf.DUMMYFUNCTION("""COMPUTED_VALUE"""),46056.25)</f>
        <v>46056.25</v>
      </c>
      <c r="H6513" s="238">
        <f>IFERROR(__xludf.DUMMYFUNCTION("""COMPUTED_VALUE"""),46056.33333333333)</f>
        <v>46056.33333</v>
      </c>
      <c r="J6513" s="239">
        <v>119.99999999301508</v>
      </c>
    </row>
    <row r="6514">
      <c r="A6514" s="234"/>
      <c r="B6514" s="238" t="str">
        <f>IFERROR(__xludf.DUMMYFUNCTION("""COMPUTED_VALUE"""),"LM Hub_SP_Jurubatuba")</f>
        <v>LM Hub_SP_Jurubatuba</v>
      </c>
      <c r="C6514" s="238" t="str">
        <f>IFERROR(__xludf.DUMMYFUNCTION("""COMPUTED_VALUE"""),"HUB-LSP-16")</f>
        <v>HUB-LSP-16</v>
      </c>
      <c r="D6514" s="234">
        <f>IFERROR(__xludf.DUMMYFUNCTION("""COMPUTED_VALUE"""),41.0)</f>
        <v>41</v>
      </c>
      <c r="E6514" s="237" t="str">
        <f>IFERROR(__xludf.DUMMYFUNCTION("""COMPUTED_VALUE"""),"LT0Q2301XX5V1")</f>
        <v>LT0Q2301XX5V1</v>
      </c>
      <c r="F6514" s="238" t="str">
        <f>IFERROR(__xludf.DUMMYFUNCTION("""COMPUTED_VALUE"""),"DPE9F80,CUG2A56")</f>
        <v>DPE9F80,CUG2A56</v>
      </c>
      <c r="G6514" s="238">
        <f>IFERROR(__xludf.DUMMYFUNCTION("""COMPUTED_VALUE"""),46056.25)</f>
        <v>46056.25</v>
      </c>
      <c r="H6514" s="238">
        <f>IFERROR(__xludf.DUMMYFUNCTION("""COMPUTED_VALUE"""),46056.33333333333)</f>
        <v>46056.33333</v>
      </c>
      <c r="J6514" s="239">
        <v>119.99999999301508</v>
      </c>
    </row>
    <row r="6515">
      <c r="A6515" s="234"/>
      <c r="B6515" s="238" t="str">
        <f>IFERROR(__xludf.DUMMYFUNCTION("""COMPUTED_VALUE"""),"LM Hub_SP_Guarulhos")</f>
        <v>LM Hub_SP_Guarulhos</v>
      </c>
      <c r="C6515" s="238" t="str">
        <f>IFERROR(__xludf.DUMMYFUNCTION("""COMPUTED_VALUE"""),"HUB-LSP-77")</f>
        <v>HUB-LSP-77</v>
      </c>
      <c r="D6515" s="234">
        <f>IFERROR(__xludf.DUMMYFUNCTION("""COMPUTED_VALUE"""),23.0)</f>
        <v>23</v>
      </c>
      <c r="E6515" s="237" t="str">
        <f>IFERROR(__xludf.DUMMYFUNCTION("""COMPUTED_VALUE"""),"LT0Q2301XX761")</f>
        <v>LT0Q2301XX761</v>
      </c>
      <c r="F6515" s="238" t="str">
        <f>IFERROR(__xludf.DUMMYFUNCTION("""COMPUTED_VALUE"""),"CUA5J41,BYC4G64")</f>
        <v>CUA5J41,BYC4G64</v>
      </c>
      <c r="G6515" s="238">
        <f>IFERROR(__xludf.DUMMYFUNCTION("""COMPUTED_VALUE"""),46056.25)</f>
        <v>46056.25</v>
      </c>
      <c r="H6515" s="238">
        <f>IFERROR(__xludf.DUMMYFUNCTION("""COMPUTED_VALUE"""),46056.33333333333)</f>
        <v>46056.33333</v>
      </c>
      <c r="J6515" s="239">
        <v>119.99999999301508</v>
      </c>
    </row>
    <row r="6516">
      <c r="A6516" s="234"/>
      <c r="B6516" s="238" t="str">
        <f>IFERROR(__xludf.DUMMYFUNCTION("""COMPUTED_VALUE"""),"LM Hub_SP_VilaGuilherme")</f>
        <v>LM Hub_SP_VilaGuilherme</v>
      </c>
      <c r="C6516" s="238" t="str">
        <f>IFERROR(__xludf.DUMMYFUNCTION("""COMPUTED_VALUE"""),"HUB-LSP-68")</f>
        <v>HUB-LSP-68</v>
      </c>
      <c r="D6516" s="234">
        <f>IFERROR(__xludf.DUMMYFUNCTION("""COMPUTED_VALUE"""),37.0)</f>
        <v>37</v>
      </c>
      <c r="E6516" s="237" t="str">
        <f>IFERROR(__xludf.DUMMYFUNCTION("""COMPUTED_VALUE"""),"LT0Q2301XX6F1")</f>
        <v>LT0Q2301XX6F1</v>
      </c>
      <c r="F6516" s="238" t="str">
        <f>IFERROR(__xludf.DUMMYFUNCTION("""COMPUTED_VALUE"""),"GIQ1C13,AKZ0B43")</f>
        <v>GIQ1C13,AKZ0B43</v>
      </c>
      <c r="G6516" s="238">
        <f>IFERROR(__xludf.DUMMYFUNCTION("""COMPUTED_VALUE"""),46056.25)</f>
        <v>46056.25</v>
      </c>
      <c r="H6516" s="238">
        <f>IFERROR(__xludf.DUMMYFUNCTION("""COMPUTED_VALUE"""),46056.33333333333)</f>
        <v>46056.33333</v>
      </c>
      <c r="J6516" s="239">
        <v>119.99999999301508</v>
      </c>
    </row>
    <row r="6517">
      <c r="A6517" s="234"/>
      <c r="B6517" s="238" t="str">
        <f>IFERROR(__xludf.DUMMYFUNCTION("""COMPUTED_VALUE"""),"LM Hub_SP_Itaqua_Zimba")</f>
        <v>LM Hub_SP_Itaqua_Zimba</v>
      </c>
      <c r="C6517" s="238" t="str">
        <f>IFERROR(__xludf.DUMMYFUNCTION("""COMPUTED_VALUE"""),"HUB-LSP-74")</f>
        <v>HUB-LSP-74</v>
      </c>
      <c r="D6517" s="234">
        <f>IFERROR(__xludf.DUMMYFUNCTION("""COMPUTED_VALUE"""),12.0)</f>
        <v>12</v>
      </c>
      <c r="E6517" s="237" t="str">
        <f>IFERROR(__xludf.DUMMYFUNCTION("""COMPUTED_VALUE"""),"LT0Q2301XX6K1")</f>
        <v>LT0Q2301XX6K1</v>
      </c>
      <c r="F6517" s="238" t="str">
        <f>IFERROR(__xludf.DUMMYFUNCTION("""COMPUTED_VALUE"""),"FYS4C87,EJV3B62")</f>
        <v>FYS4C87,EJV3B62</v>
      </c>
      <c r="G6517" s="238">
        <f>IFERROR(__xludf.DUMMYFUNCTION("""COMPUTED_VALUE"""),46056.25)</f>
        <v>46056.25</v>
      </c>
      <c r="H6517" s="238">
        <f>IFERROR(__xludf.DUMMYFUNCTION("""COMPUTED_VALUE"""),46056.33333333333)</f>
        <v>46056.33333</v>
      </c>
      <c r="J6517" s="239">
        <v>119.00000001071021</v>
      </c>
    </row>
    <row r="6518">
      <c r="A6518" s="234"/>
      <c r="B6518" s="238" t="str">
        <f>IFERROR(__xludf.DUMMYFUNCTION("""COMPUTED_VALUE"""),"LM Hub_SP_São Bernardo do Campo")</f>
        <v>LM Hub_SP_São Bernardo do Campo</v>
      </c>
      <c r="C6518" s="238" t="str">
        <f>IFERROR(__xludf.DUMMYFUNCTION("""COMPUTED_VALUE"""),"HUB-LSP-79")</f>
        <v>HUB-LSP-79</v>
      </c>
      <c r="D6518" s="234">
        <f>IFERROR(__xludf.DUMMYFUNCTION("""COMPUTED_VALUE"""),15.0)</f>
        <v>15</v>
      </c>
      <c r="E6518" s="237" t="str">
        <f>IFERROR(__xludf.DUMMYFUNCTION("""COMPUTED_VALUE"""),"LT0Q2301Y5F01")</f>
        <v>LT0Q2301Y5F01</v>
      </c>
      <c r="F6518" s="238" t="str">
        <f>IFERROR(__xludf.DUMMYFUNCTION("""COMPUTED_VALUE"""),"EGK6F57,BEM5F57")</f>
        <v>EGK6F57,BEM5F57</v>
      </c>
      <c r="G6518" s="238">
        <f>IFERROR(__xludf.DUMMYFUNCTION("""COMPUTED_VALUE"""),46056.271527777775)</f>
        <v>46056.27153</v>
      </c>
      <c r="H6518" s="238">
        <f>IFERROR(__xludf.DUMMYFUNCTION("""COMPUTED_VALUE"""),46056.35416666667)</f>
        <v>46056.35417</v>
      </c>
      <c r="J6518" s="239">
        <v>119.99999999301508</v>
      </c>
    </row>
    <row r="6519">
      <c r="A6519" s="234"/>
      <c r="B6519" s="238" t="str">
        <f>IFERROR(__xludf.DUMMYFUNCTION("""COMPUTED_VALUE"""),"LM Hub_SP_Embu das Artes_02")</f>
        <v>LM Hub_SP_Embu das Artes_02</v>
      </c>
      <c r="C6519" s="238" t="str">
        <f>IFERROR(__xludf.DUMMYFUNCTION("""COMPUTED_VALUE"""),"HUB-LSP-96")</f>
        <v>HUB-LSP-96</v>
      </c>
      <c r="D6519" s="234">
        <f>IFERROR(__xludf.DUMMYFUNCTION("""COMPUTED_VALUE"""),5.0)</f>
        <v>5</v>
      </c>
      <c r="E6519" s="237" t="str">
        <f>IFERROR(__xludf.DUMMYFUNCTION("""COMPUTED_VALUE"""),"LT0Q2301XZF31")</f>
        <v>LT0Q2301XZF31</v>
      </c>
      <c r="F6519" s="238" t="str">
        <f>IFERROR(__xludf.DUMMYFUNCTION("""COMPUTED_VALUE"""),"FUF6H46,NVV7D82")</f>
        <v>FUF6H46,NVV7D82</v>
      </c>
      <c r="G6519" s="238">
        <f>IFERROR(__xludf.DUMMYFUNCTION("""COMPUTED_VALUE"""),46056.29166666667)</f>
        <v>46056.29167</v>
      </c>
      <c r="H6519" s="238">
        <f>IFERROR(__xludf.DUMMYFUNCTION("""COMPUTED_VALUE"""),46056.375)</f>
        <v>46056.375</v>
      </c>
      <c r="J6519" s="239">
        <v>119.99999999301508</v>
      </c>
    </row>
    <row r="6520">
      <c r="A6520" s="234"/>
      <c r="B6520" s="238" t="str">
        <f>IFERROR(__xludf.DUMMYFUNCTION("""COMPUTED_VALUE"""),"LM Hub_SP_Suzano_Baruel")</f>
        <v>LM Hub_SP_Suzano_Baruel</v>
      </c>
      <c r="C6520" s="238" t="str">
        <f>IFERROR(__xludf.DUMMYFUNCTION("""COMPUTED_VALUE"""),"HUB-LSP-97")</f>
        <v>HUB-LSP-97</v>
      </c>
      <c r="D6520" s="234">
        <f>IFERROR(__xludf.DUMMYFUNCTION("""COMPUTED_VALUE"""),14.0)</f>
        <v>14</v>
      </c>
      <c r="E6520" s="237" t="str">
        <f>IFERROR(__xludf.DUMMYFUNCTION("""COMPUTED_VALUE"""),"LT0Q2301Y2TZ1")</f>
        <v>LT0Q2301Y2TZ1</v>
      </c>
      <c r="F6520" s="238" t="str">
        <f>IFERROR(__xludf.DUMMYFUNCTION("""COMPUTED_VALUE"""),"ODE7J96,UGA3J73")</f>
        <v>ODE7J96,UGA3J73</v>
      </c>
      <c r="G6520" s="238">
        <f>IFERROR(__xludf.DUMMYFUNCTION("""COMPUTED_VALUE"""),46056.29166666667)</f>
        <v>46056.29167</v>
      </c>
      <c r="H6520" s="238">
        <f>IFERROR(__xludf.DUMMYFUNCTION("""COMPUTED_VALUE"""),46056.375)</f>
        <v>46056.375</v>
      </c>
      <c r="J6520" s="239">
        <v>119.99999999301508</v>
      </c>
    </row>
    <row r="6521">
      <c r="A6521" s="234"/>
      <c r="B6521" s="238" t="str">
        <f>IFERROR(__xludf.DUMMYFUNCTION("""COMPUTED_VALUE"""),"LM Hub_SP_Santo André")</f>
        <v>LM Hub_SP_Santo André</v>
      </c>
      <c r="C6521" s="238" t="str">
        <f>IFERROR(__xludf.DUMMYFUNCTION("""COMPUTED_VALUE"""),"HUB-LSP-93")</f>
        <v>HUB-LSP-93</v>
      </c>
      <c r="D6521" s="234">
        <f>IFERROR(__xludf.DUMMYFUNCTION("""COMPUTED_VALUE"""),33.0)</f>
        <v>33</v>
      </c>
      <c r="E6521" s="237" t="str">
        <f>IFERROR(__xludf.DUMMYFUNCTION("""COMPUTED_VALUE"""),"LT0Q2301XYE71")</f>
        <v>LT0Q2301XYE71</v>
      </c>
      <c r="F6521" s="238" t="str">
        <f>IFERROR(__xludf.DUMMYFUNCTION("""COMPUTED_VALUE"""),"FXQ8H67,EZL9D42")</f>
        <v>FXQ8H67,EZL9D42</v>
      </c>
      <c r="G6521" s="238">
        <f>IFERROR(__xludf.DUMMYFUNCTION("""COMPUTED_VALUE"""),46056.3125)</f>
        <v>46056.3125</v>
      </c>
      <c r="H6521" s="238">
        <f>IFERROR(__xludf.DUMMYFUNCTION("""COMPUTED_VALUE"""),46056.39583333333)</f>
        <v>46056.39583</v>
      </c>
      <c r="J6521" s="239">
        <v>540.0</v>
      </c>
    </row>
    <row r="6522">
      <c r="A6522" s="234"/>
      <c r="B6522" s="238" t="str">
        <f>IFERROR(__xludf.DUMMYFUNCTION("""COMPUTED_VALUE"""),"SoC_GO_Goiânia_02")</f>
        <v>SoC_GO_Goiânia_02</v>
      </c>
      <c r="C6522" s="238" t="str">
        <f>IFERROR(__xludf.DUMMYFUNCTION("""COMPUTED_VALUE"""),"SOC-GO2")</f>
        <v>SOC-GO2</v>
      </c>
      <c r="D6522" s="234">
        <f>IFERROR(__xludf.DUMMYFUNCTION("""COMPUTED_VALUE"""),86.0)</f>
        <v>86</v>
      </c>
      <c r="E6522" s="237" t="str">
        <f>IFERROR(__xludf.DUMMYFUNCTION("""COMPUTED_VALUE"""),"LT1Q2301YB6T1")</f>
        <v>LT1Q2301YB6T1</v>
      </c>
      <c r="F6522" s="238" t="str">
        <f>IFERROR(__xludf.DUMMYFUNCTION("""COMPUTED_VALUE"""),"GBR5I66,GEY7D91")</f>
        <v>GBR5I66,GEY7D91</v>
      </c>
      <c r="G6522" s="238">
        <f>IFERROR(__xludf.DUMMYFUNCTION("""COMPUTED_VALUE"""),46056.08333333333)</f>
        <v>46056.08333</v>
      </c>
      <c r="H6522" s="238">
        <f>IFERROR(__xludf.DUMMYFUNCTION("""COMPUTED_VALUE"""),46056.45833333333)</f>
        <v>46056.45833</v>
      </c>
      <c r="J6522" s="239">
        <v>540.0</v>
      </c>
    </row>
    <row r="6523">
      <c r="A6523" s="234"/>
      <c r="B6523" s="238" t="str">
        <f>IFERROR(__xludf.DUMMYFUNCTION("""COMPUTED_VALUE"""),"SoC_MG_Betim")</f>
        <v>SoC_MG_Betim</v>
      </c>
      <c r="C6523" s="238" t="str">
        <f>IFERROR(__xludf.DUMMYFUNCTION("""COMPUTED_VALUE"""),"SOC-MG2")</f>
        <v>SOC-MG2</v>
      </c>
      <c r="D6523" s="234">
        <f>IFERROR(__xludf.DUMMYFUNCTION("""COMPUTED_VALUE"""),90.0)</f>
        <v>90</v>
      </c>
      <c r="E6523" s="237" t="str">
        <f>IFERROR(__xludf.DUMMYFUNCTION("""COMPUTED_VALUE"""),"LT0Q2201XVT61")</f>
        <v>LT0Q2201XVT61</v>
      </c>
      <c r="F6523" s="238" t="str">
        <f>IFERROR(__xludf.DUMMYFUNCTION("""COMPUTED_VALUE"""),"STS7H95,TAX1I64")</f>
        <v>STS7H95,TAX1I64</v>
      </c>
      <c r="G6523" s="238">
        <f>IFERROR(__xludf.DUMMYFUNCTION("""COMPUTED_VALUE"""),46056.08333333333)</f>
        <v>46056.08333</v>
      </c>
      <c r="H6523" s="238">
        <f>IFERROR(__xludf.DUMMYFUNCTION("""COMPUTED_VALUE"""),46056.45833333333)</f>
        <v>46056.45833</v>
      </c>
      <c r="J6523" s="239">
        <v>540.0</v>
      </c>
    </row>
    <row r="6524">
      <c r="A6524" s="234"/>
      <c r="B6524" s="238" t="str">
        <f>IFERROR(__xludf.DUMMYFUNCTION("""COMPUTED_VALUE"""),"SoC_MG_Betim")</f>
        <v>SoC_MG_Betim</v>
      </c>
      <c r="C6524" s="238" t="str">
        <f>IFERROR(__xludf.DUMMYFUNCTION("""COMPUTED_VALUE"""),"SOC-MG2")</f>
        <v>SOC-MG2</v>
      </c>
      <c r="D6524" s="234">
        <f>IFERROR(__xludf.DUMMYFUNCTION("""COMPUTED_VALUE"""),91.0)</f>
        <v>91</v>
      </c>
      <c r="E6524" s="237" t="str">
        <f>IFERROR(__xludf.DUMMYFUNCTION("""COMPUTED_VALUE"""),"LT0Q2201XVT82")</f>
        <v>LT0Q2201XVT82</v>
      </c>
      <c r="F6524" s="238" t="str">
        <f>IFERROR(__xludf.DUMMYFUNCTION("""COMPUTED_VALUE"""),"FCV3J24,TLS7G35")</f>
        <v>FCV3J24,TLS7G35</v>
      </c>
      <c r="G6524" s="238">
        <f>IFERROR(__xludf.DUMMYFUNCTION("""COMPUTED_VALUE"""),46056.08333333333)</f>
        <v>46056.08333</v>
      </c>
      <c r="H6524" s="238">
        <f>IFERROR(__xludf.DUMMYFUNCTION("""COMPUTED_VALUE"""),46056.45833333333)</f>
        <v>46056.45833</v>
      </c>
      <c r="J6524" s="239">
        <v>540.0</v>
      </c>
    </row>
    <row r="6525">
      <c r="A6525" s="234"/>
      <c r="B6525" s="238" t="str">
        <f>IFERROR(__xludf.DUMMYFUNCTION("""COMPUTED_VALUE"""),"SoC_PE_Jaboatão dos Guararapes")</f>
        <v>SoC_PE_Jaboatão dos Guararapes</v>
      </c>
      <c r="C6525" s="238" t="str">
        <f>IFERROR(__xludf.DUMMYFUNCTION("""COMPUTED_VALUE"""),"SOC-PE2")</f>
        <v>SOC-PE2</v>
      </c>
      <c r="D6525" s="234">
        <f>IFERROR(__xludf.DUMMYFUNCTION("""COMPUTED_VALUE"""),98.0)</f>
        <v>98</v>
      </c>
      <c r="E6525" s="237" t="str">
        <f>IFERROR(__xludf.DUMMYFUNCTION("""COMPUTED_VALUE"""),"LT0Q2201Y1821")</f>
        <v>LT0Q2201Y1821</v>
      </c>
      <c r="F6525" s="238" t="str">
        <f>IFERROR(__xludf.DUMMYFUNCTION("""COMPUTED_VALUE"""),"GCV3C96,NST0268")</f>
        <v>GCV3C96,NST0268</v>
      </c>
      <c r="G6525" s="238">
        <f>IFERROR(__xludf.DUMMYFUNCTION("""COMPUTED_VALUE"""),46056.08333333333)</f>
        <v>46056.08333</v>
      </c>
      <c r="H6525" s="238">
        <f>IFERROR(__xludf.DUMMYFUNCTION("""COMPUTED_VALUE"""),46056.45833333333)</f>
        <v>46056.45833</v>
      </c>
      <c r="J6525" s="239">
        <v>540.0</v>
      </c>
    </row>
    <row r="6526">
      <c r="A6526" s="234"/>
      <c r="B6526" s="238" t="str">
        <f>IFERROR(__xludf.DUMMYFUNCTION("""COMPUTED_VALUE"""),"SoC_PE_Jaboatão dos Guararapes")</f>
        <v>SoC_PE_Jaboatão dos Guararapes</v>
      </c>
      <c r="C6526" s="238" t="str">
        <f>IFERROR(__xludf.DUMMYFUNCTION("""COMPUTED_VALUE"""),"SOC-PE2")</f>
        <v>SOC-PE2</v>
      </c>
      <c r="D6526" s="234">
        <f>IFERROR(__xludf.DUMMYFUNCTION("""COMPUTED_VALUE"""),98.0)</f>
        <v>98</v>
      </c>
      <c r="E6526" s="237" t="str">
        <f>IFERROR(__xludf.DUMMYFUNCTION("""COMPUTED_VALUE"""),"LT0Q2201Y1842")</f>
        <v>LT0Q2201Y1842</v>
      </c>
      <c r="F6526" s="238" t="str">
        <f>IFERROR(__xludf.DUMMYFUNCTION("""COMPUTED_VALUE"""),"MQV4691,TYA2E26")</f>
        <v>MQV4691,TYA2E26</v>
      </c>
      <c r="G6526" s="238">
        <f>IFERROR(__xludf.DUMMYFUNCTION("""COMPUTED_VALUE"""),46056.08333333333)</f>
        <v>46056.08333</v>
      </c>
      <c r="H6526" s="238">
        <f>IFERROR(__xludf.DUMMYFUNCTION("""COMPUTED_VALUE"""),46056.45833333333)</f>
        <v>46056.45833</v>
      </c>
      <c r="J6526" s="239">
        <v>540.0</v>
      </c>
    </row>
    <row r="6527">
      <c r="A6527" s="234"/>
      <c r="B6527" s="238" t="str">
        <f>IFERROR(__xludf.DUMMYFUNCTION("""COMPUTED_VALUE"""),"SoC_SC_Itajaí")</f>
        <v>SoC_SC_Itajaí</v>
      </c>
      <c r="C6527" s="238" t="str">
        <f>IFERROR(__xludf.DUMMYFUNCTION("""COMPUTED_VALUE"""),"SOC-SC1")</f>
        <v>SOC-SC1</v>
      </c>
      <c r="D6527" s="234"/>
      <c r="E6527" s="237" t="str">
        <f>IFERROR(__xludf.DUMMYFUNCTION("""COMPUTED_VALUE"""),"LT0Q2201Y0BH2")</f>
        <v>LT0Q2201Y0BH2</v>
      </c>
      <c r="F6527" s="238" t="str">
        <f>IFERROR(__xludf.DUMMYFUNCTION("""COMPUTED_VALUE"""),"RLL1C47,RKW5J48")</f>
        <v>RLL1C47,RKW5J48</v>
      </c>
      <c r="G6527" s="238">
        <f>IFERROR(__xludf.DUMMYFUNCTION("""COMPUTED_VALUE"""),46056.08333333333)</f>
        <v>46056.08333</v>
      </c>
      <c r="H6527" s="238">
        <f>IFERROR(__xludf.DUMMYFUNCTION("""COMPUTED_VALUE"""),46056.45833333333)</f>
        <v>46056.45833</v>
      </c>
      <c r="J6527" s="239">
        <v>538.9999999967404</v>
      </c>
    </row>
    <row r="6528">
      <c r="A6528" s="234"/>
      <c r="B6528" s="238" t="str">
        <f>IFERROR(__xludf.DUMMYFUNCTION("""COMPUTED_VALUE"""),"SoC_RJ_Duque de Caxias")</f>
        <v>SoC_RJ_Duque de Caxias</v>
      </c>
      <c r="C6528" s="238" t="str">
        <f>IFERROR(__xludf.DUMMYFUNCTION("""COMPUTED_VALUE"""),"SOC-RJ2")</f>
        <v>SOC-RJ2</v>
      </c>
      <c r="D6528" s="234">
        <f>IFERROR(__xludf.DUMMYFUNCTION("""COMPUTED_VALUE"""),97.0)</f>
        <v>97</v>
      </c>
      <c r="E6528" s="237" t="str">
        <f>IFERROR(__xludf.DUMMYFUNCTION("""COMPUTED_VALUE"""),"LT0Q2201XXXH3")</f>
        <v>LT0Q2201XXXH3</v>
      </c>
      <c r="F6528" s="238" t="str">
        <f>IFERROR(__xludf.DUMMYFUNCTION("""COMPUTED_VALUE"""),"RHW6B03,UAW9I16")</f>
        <v>RHW6B03,UAW9I16</v>
      </c>
      <c r="G6528" s="238">
        <f>IFERROR(__xludf.DUMMYFUNCTION("""COMPUTED_VALUE"""),46056.084027777775)</f>
        <v>46056.08403</v>
      </c>
      <c r="H6528" s="238">
        <f>IFERROR(__xludf.DUMMYFUNCTION("""COMPUTED_VALUE"""),46056.45833333333)</f>
        <v>46056.45833</v>
      </c>
      <c r="J6528" s="239">
        <v>419.99999998603016</v>
      </c>
    </row>
    <row r="6529">
      <c r="A6529" s="234"/>
      <c r="B6529" s="238" t="str">
        <f>IFERROR(__xludf.DUMMYFUNCTION("""COMPUTED_VALUE"""),"SoC_BA_Simoes Filho")</f>
        <v>SoC_BA_Simoes Filho</v>
      </c>
      <c r="C6529" s="238" t="str">
        <f>IFERROR(__xludf.DUMMYFUNCTION("""COMPUTED_VALUE"""),"SOC-BA2")</f>
        <v>SOC-BA2</v>
      </c>
      <c r="D6529" s="234">
        <f>IFERROR(__xludf.DUMMYFUNCTION("""COMPUTED_VALUE"""),88.0)</f>
        <v>88</v>
      </c>
      <c r="E6529" s="237" t="str">
        <f>IFERROR(__xludf.DUMMYFUNCTION("""COMPUTED_VALUE"""),"LT0Q2201Y1BJ2")</f>
        <v>LT0Q2201Y1BJ2</v>
      </c>
      <c r="F6529" s="238" t="str">
        <f>IFERROR(__xludf.DUMMYFUNCTION("""COMPUTED_VALUE"""),"ATP6G11,TMI1F84")</f>
        <v>ATP6G11,TMI1F84</v>
      </c>
      <c r="G6529" s="238">
        <f>IFERROR(__xludf.DUMMYFUNCTION("""COMPUTED_VALUE"""),46056.16666666667)</f>
        <v>46056.16667</v>
      </c>
      <c r="H6529" s="238">
        <f>IFERROR(__xludf.DUMMYFUNCTION("""COMPUTED_VALUE"""),46056.45833333333)</f>
        <v>46056.45833</v>
      </c>
      <c r="J6529" s="239">
        <v>418.9999999932479</v>
      </c>
    </row>
    <row r="6530">
      <c r="A6530" s="234"/>
      <c r="B6530" s="238" t="str">
        <f>IFERROR(__xludf.DUMMYFUNCTION("""COMPUTED_VALUE"""),"SoC_RJ_Duque de Caxias")</f>
        <v>SoC_RJ_Duque de Caxias</v>
      </c>
      <c r="C6530" s="238" t="str">
        <f>IFERROR(__xludf.DUMMYFUNCTION("""COMPUTED_VALUE"""),"SOC-RJ2")</f>
        <v>SOC-RJ2</v>
      </c>
      <c r="D6530" s="234">
        <f>IFERROR(__xludf.DUMMYFUNCTION("""COMPUTED_VALUE"""),96.0)</f>
        <v>96</v>
      </c>
      <c r="E6530" s="237" t="str">
        <f>IFERROR(__xludf.DUMMYFUNCTION("""COMPUTED_VALUE"""),"LT0Q2201XXXF2")</f>
        <v>LT0Q2201XXXF2</v>
      </c>
      <c r="F6530" s="238" t="str">
        <f>IFERROR(__xludf.DUMMYFUNCTION("""COMPUTED_VALUE"""),"FST5E90,ITS0A71")</f>
        <v>FST5E90,ITS0A71</v>
      </c>
      <c r="G6530" s="238">
        <f>IFERROR(__xludf.DUMMYFUNCTION("""COMPUTED_VALUE"""),46056.16736111111)</f>
        <v>46056.16736</v>
      </c>
      <c r="H6530" s="238">
        <f>IFERROR(__xludf.DUMMYFUNCTION("""COMPUTED_VALUE"""),46056.45833333333)</f>
        <v>46056.45833</v>
      </c>
      <c r="J6530" s="239">
        <v>600.0000000069849</v>
      </c>
    </row>
    <row r="6531">
      <c r="A6531" s="234"/>
      <c r="B6531" s="238" t="str">
        <f>IFERROR(__xludf.DUMMYFUNCTION("""COMPUTED_VALUE"""),"SoC_GO_Goiânia_02")</f>
        <v>SoC_GO_Goiânia_02</v>
      </c>
      <c r="C6531" s="238" t="str">
        <f>IFERROR(__xludf.DUMMYFUNCTION("""COMPUTED_VALUE"""),"SOC-GO2")</f>
        <v>SOC-GO2</v>
      </c>
      <c r="D6531" s="234">
        <f>IFERROR(__xludf.DUMMYFUNCTION("""COMPUTED_VALUE"""),87.0)</f>
        <v>87</v>
      </c>
      <c r="E6531" s="237" t="str">
        <f>IFERROR(__xludf.DUMMYFUNCTION("""COMPUTED_VALUE"""),"LT1Q2301YB6S1")</f>
        <v>LT1Q2301YB6S1</v>
      </c>
      <c r="F6531" s="238" t="str">
        <f>IFERROR(__xludf.DUMMYFUNCTION("""COMPUTED_VALUE"""),"MHP9934,LRO2C53")</f>
        <v>MHP9934,LRO2C53</v>
      </c>
      <c r="G6531" s="238">
        <f>IFERROR(__xludf.DUMMYFUNCTION("""COMPUTED_VALUE"""),46056.08333333333)</f>
        <v>46056.08333</v>
      </c>
      <c r="H6531" s="238">
        <f>IFERROR(__xludf.DUMMYFUNCTION("""COMPUTED_VALUE"""),46056.5)</f>
        <v>46056.5</v>
      </c>
      <c r="J6531" s="239">
        <v>479.9999999930151</v>
      </c>
    </row>
    <row r="6532">
      <c r="A6532" s="234"/>
      <c r="B6532" s="238" t="str">
        <f>IFERROR(__xludf.DUMMYFUNCTION("""COMPUTED_VALUE"""),"SoC_RS_Gravataí_02")</f>
        <v>SoC_RS_Gravataí_02</v>
      </c>
      <c r="C6532" s="238" t="str">
        <f>IFERROR(__xludf.DUMMYFUNCTION("""COMPUTED_VALUE"""),"SOC-RS2")</f>
        <v>SOC-RS2</v>
      </c>
      <c r="D6532" s="234">
        <f>IFERROR(__xludf.DUMMYFUNCTION("""COMPUTED_VALUE"""),93.0)</f>
        <v>93</v>
      </c>
      <c r="E6532" s="237" t="str">
        <f>IFERROR(__xludf.DUMMYFUNCTION("""COMPUTED_VALUE"""),"LT0Q2201Y1QB1")</f>
        <v>LT0Q2201Y1QB1</v>
      </c>
      <c r="F6532" s="238" t="str">
        <f>IFERROR(__xludf.DUMMYFUNCTION("""COMPUTED_VALUE"""),"IYX7F64,IUA4B76")</f>
        <v>IYX7F64,IUA4B76</v>
      </c>
      <c r="G6532" s="238">
        <f>IFERROR(__xludf.DUMMYFUNCTION("""COMPUTED_VALUE"""),46056.16666666667)</f>
        <v>46056.16667</v>
      </c>
      <c r="H6532" s="238">
        <f>IFERROR(__xludf.DUMMYFUNCTION("""COMPUTED_VALUE"""),46056.5)</f>
        <v>46056.5</v>
      </c>
      <c r="J6532" s="239">
        <v>599.0000000037253</v>
      </c>
    </row>
    <row r="6533">
      <c r="A6533" s="234"/>
      <c r="B6533" s="238" t="str">
        <f>IFERROR(__xludf.DUMMYFUNCTION("""COMPUTED_VALUE"""),"SoC_GO_Goiânia_02")</f>
        <v>SoC_GO_Goiânia_02</v>
      </c>
      <c r="C6533" s="238" t="str">
        <f>IFERROR(__xludf.DUMMYFUNCTION("""COMPUTED_VALUE"""),"SOC-GO2")</f>
        <v>SOC-GO2</v>
      </c>
      <c r="D6533" s="234">
        <f>IFERROR(__xludf.DUMMYFUNCTION("""COMPUTED_VALUE"""),87.0)</f>
        <v>87</v>
      </c>
      <c r="E6533" s="237" t="str">
        <f>IFERROR(__xludf.DUMMYFUNCTION("""COMPUTED_VALUE"""),"LT0Q2301Y1ND1")</f>
        <v>LT0Q2301Y1ND1</v>
      </c>
      <c r="F6533" s="238" t="str">
        <f>IFERROR(__xludf.DUMMYFUNCTION("""COMPUTED_VALUE"""),"EML3A91,UEB6H73")</f>
        <v>EML3A91,UEB6H73</v>
      </c>
      <c r="G6533" s="238">
        <f>IFERROR(__xludf.DUMMYFUNCTION("""COMPUTED_VALUE"""),46056.25069444445)</f>
        <v>46056.25069</v>
      </c>
      <c r="H6533" s="238">
        <f>IFERROR(__xludf.DUMMYFUNCTION("""COMPUTED_VALUE"""),46056.66666666667)</f>
        <v>46056.66667</v>
      </c>
      <c r="J6533" s="239">
        <v>599.0000000037253</v>
      </c>
    </row>
    <row r="6534">
      <c r="A6534" s="234"/>
      <c r="B6534" s="238" t="str">
        <f>IFERROR(__xludf.DUMMYFUNCTION("""COMPUTED_VALUE"""),"SoC_RS_Gravataí_02")</f>
        <v>SoC_RS_Gravataí_02</v>
      </c>
      <c r="C6534" s="238" t="str">
        <f>IFERROR(__xludf.DUMMYFUNCTION("""COMPUTED_VALUE"""),"SOC-RS2")</f>
        <v>SOC-RS2</v>
      </c>
      <c r="D6534" s="234">
        <f>IFERROR(__xludf.DUMMYFUNCTION("""COMPUTED_VALUE"""),93.0)</f>
        <v>93</v>
      </c>
      <c r="E6534" s="237" t="str">
        <f>IFERROR(__xludf.DUMMYFUNCTION("""COMPUTED_VALUE"""),"LT0Q2301Y1PR1")</f>
        <v>LT0Q2301Y1PR1</v>
      </c>
      <c r="F6534" s="238" t="str">
        <f>IFERROR(__xludf.DUMMYFUNCTION("""COMPUTED_VALUE"""),"EJF8F29,JCV5A53")</f>
        <v>EJF8F29,JCV5A53</v>
      </c>
      <c r="G6534" s="238">
        <f>IFERROR(__xludf.DUMMYFUNCTION("""COMPUTED_VALUE"""),46056.25069444445)</f>
        <v>46056.25069</v>
      </c>
      <c r="H6534" s="238">
        <f>IFERROR(__xludf.DUMMYFUNCTION("""COMPUTED_VALUE"""),46056.66666666667)</f>
        <v>46056.66667</v>
      </c>
      <c r="J6534" s="239">
        <v>598.0000000004657</v>
      </c>
    </row>
    <row r="6535">
      <c r="A6535" s="234"/>
      <c r="B6535" s="238" t="str">
        <f>IFERROR(__xludf.DUMMYFUNCTION("""COMPUTED_VALUE"""),"SoC_RJ_Duque de Caxias")</f>
        <v>SoC_RJ_Duque de Caxias</v>
      </c>
      <c r="C6535" s="238" t="str">
        <f>IFERROR(__xludf.DUMMYFUNCTION("""COMPUTED_VALUE"""),"SOC-RJ2")</f>
        <v>SOC-RJ2</v>
      </c>
      <c r="D6535" s="234"/>
      <c r="E6535" s="237" t="str">
        <f>IFERROR(__xludf.DUMMYFUNCTION("""COMPUTED_VALUE"""),"LT0Q2301Y5OQ2")</f>
        <v>LT0Q2301Y5OQ2</v>
      </c>
      <c r="F6535" s="238" t="str">
        <f>IFERROR(__xludf.DUMMYFUNCTION("""COMPUTED_VALUE"""),"NTL5I02,CGS1G07")</f>
        <v>NTL5I02,CGS1G07</v>
      </c>
      <c r="G6535" s="238">
        <f>IFERROR(__xludf.DUMMYFUNCTION("""COMPUTED_VALUE"""),46056.25138888889)</f>
        <v>46056.25139</v>
      </c>
      <c r="H6535" s="238">
        <f>IFERROR(__xludf.DUMMYFUNCTION("""COMPUTED_VALUE"""),46056.66666666667)</f>
        <v>46056.66667</v>
      </c>
      <c r="J6535" s="239">
        <v>599.0000000037253</v>
      </c>
    </row>
    <row r="6536">
      <c r="A6536" s="234"/>
      <c r="B6536" s="238" t="str">
        <f>IFERROR(__xludf.DUMMYFUNCTION("""COMPUTED_VALUE"""),"SoC_GO_Goiânia_02")</f>
        <v>SoC_GO_Goiânia_02</v>
      </c>
      <c r="C6536" s="238" t="str">
        <f>IFERROR(__xludf.DUMMYFUNCTION("""COMPUTED_VALUE"""),"SOC-GO2")</f>
        <v>SOC-GO2</v>
      </c>
      <c r="D6536" s="234">
        <f>IFERROR(__xludf.DUMMYFUNCTION("""COMPUTED_VALUE"""),86.0)</f>
        <v>86</v>
      </c>
      <c r="E6536" s="237" t="str">
        <f>IFERROR(__xludf.DUMMYFUNCTION("""COMPUTED_VALUE"""),"LT0Q2301Y1NF2")</f>
        <v>LT0Q2301Y1NF2</v>
      </c>
      <c r="F6536" s="238" t="str">
        <f>IFERROR(__xludf.DUMMYFUNCTION("""COMPUTED_VALUE"""),"TKQ3H94,TJH2B75")</f>
        <v>TKQ3H94,TJH2B75</v>
      </c>
      <c r="G6536" s="238">
        <f>IFERROR(__xludf.DUMMYFUNCTION("""COMPUTED_VALUE"""),46056.334027777775)</f>
        <v>46056.33403</v>
      </c>
      <c r="H6536" s="238">
        <f>IFERROR(__xludf.DUMMYFUNCTION("""COMPUTED_VALUE"""),46056.75)</f>
        <v>46056.75</v>
      </c>
      <c r="J6536" s="239">
        <v>598.0000000004657</v>
      </c>
    </row>
    <row r="6537">
      <c r="A6537" s="234"/>
      <c r="B6537" s="238" t="str">
        <f>IFERROR(__xludf.DUMMYFUNCTION("""COMPUTED_VALUE"""),"SoC_RJ_Duque de Caxias")</f>
        <v>SoC_RJ_Duque de Caxias</v>
      </c>
      <c r="C6537" s="238" t="str">
        <f>IFERROR(__xludf.DUMMYFUNCTION("""COMPUTED_VALUE"""),"SOC-RJ2")</f>
        <v>SOC-RJ2</v>
      </c>
      <c r="D6537" s="234">
        <f>IFERROR(__xludf.DUMMYFUNCTION("""COMPUTED_VALUE"""),97.0)</f>
        <v>97</v>
      </c>
      <c r="E6537" s="237" t="str">
        <f>IFERROR(__xludf.DUMMYFUNCTION("""COMPUTED_VALUE"""),"LT0Q2301Y5OO1")</f>
        <v>LT0Q2301Y5OO1</v>
      </c>
      <c r="F6537" s="238" t="str">
        <f>IFERROR(__xludf.DUMMYFUNCTION("""COMPUTED_VALUE"""),"PPL1H94,MQX2C15")</f>
        <v>PPL1H94,MQX2C15</v>
      </c>
      <c r="G6537" s="238">
        <f>IFERROR(__xludf.DUMMYFUNCTION("""COMPUTED_VALUE"""),46056.33472222222)</f>
        <v>46056.33472</v>
      </c>
      <c r="H6537" s="238">
        <f>IFERROR(__xludf.DUMMYFUNCTION("""COMPUTED_VALUE"""),46056.75)</f>
        <v>46056.75</v>
      </c>
      <c r="J6537" s="239">
        <v>119.99999999301508</v>
      </c>
    </row>
    <row r="6538">
      <c r="A6538" s="234"/>
      <c r="B6538" s="238" t="str">
        <f>IFERROR(__xludf.DUMMYFUNCTION("""COMPUTED_VALUE"""),"SoC_SP_Cravinhos")</f>
        <v>SoC_SP_Cravinhos</v>
      </c>
      <c r="C6538" s="238" t="str">
        <f>IFERROR(__xludf.DUMMYFUNCTION("""COMPUTED_VALUE"""),"SOC-SP5")</f>
        <v>SOC-SP5</v>
      </c>
      <c r="D6538" s="234">
        <f>IFERROR(__xludf.DUMMYFUNCTION("""COMPUTED_VALUE"""),39.0)</f>
        <v>39</v>
      </c>
      <c r="E6538" s="237" t="str">
        <f>IFERROR(__xludf.DUMMYFUNCTION("""COMPUTED_VALUE"""),"LT1Q2301YBBR1")</f>
        <v>LT1Q2301YBBR1</v>
      </c>
      <c r="F6538" s="238" t="str">
        <f>IFERROR(__xludf.DUMMYFUNCTION("""COMPUTED_VALUE"""),"LUR6D59,SUL8E73")</f>
        <v>LUR6D59,SUL8E73</v>
      </c>
      <c r="G6538" s="238">
        <f>IFERROR(__xludf.DUMMYFUNCTION("""COMPUTED_VALUE"""),46056.875)</f>
        <v>46056.875</v>
      </c>
      <c r="H6538" s="238">
        <f>IFERROR(__xludf.DUMMYFUNCTION("""COMPUTED_VALUE"""),46056.95833333333)</f>
        <v>46056.95833</v>
      </c>
      <c r="J6538" s="239">
        <v>120.00000001396984</v>
      </c>
    </row>
    <row r="6539">
      <c r="A6539" s="234"/>
      <c r="B6539" s="238" t="str">
        <f>IFERROR(__xludf.DUMMYFUNCTION("""COMPUTED_VALUE"""),"LM Hub_RJ_Jacarepaguá")</f>
        <v>LM Hub_RJ_Jacarepaguá</v>
      </c>
      <c r="C6539" s="238" t="str">
        <f>IFERROR(__xludf.DUMMYFUNCTION("""COMPUTED_VALUE"""),"HUB-LRJ-29")</f>
        <v>HUB-LRJ-29</v>
      </c>
      <c r="D6539" s="234">
        <f>IFERROR(__xludf.DUMMYFUNCTION("""COMPUTED_VALUE"""),110.0)</f>
        <v>110</v>
      </c>
      <c r="E6539" s="237" t="str">
        <f>IFERROR(__xludf.DUMMYFUNCTION("""COMPUTED_VALUE"""),"LT0Q2301Y1J41")</f>
        <v>LT0Q2301Y1J41</v>
      </c>
      <c r="F6539" s="238" t="str">
        <f>IFERROR(__xludf.DUMMYFUNCTION("""COMPUTED_VALUE"""),"GCV2E51,TLS4I68")</f>
        <v>GCV2E51,TLS4I68</v>
      </c>
      <c r="G6539" s="238">
        <f>IFERROR(__xludf.DUMMYFUNCTION("""COMPUTED_VALUE"""),46056.89583333333)</f>
        <v>46056.89583</v>
      </c>
      <c r="H6539" s="238">
        <f>IFERROR(__xludf.DUMMYFUNCTION("""COMPUTED_VALUE"""),46056.97916666667)</f>
        <v>46056.97917</v>
      </c>
      <c r="J6539" s="239">
        <v>120.00000001396984</v>
      </c>
    </row>
    <row r="6540">
      <c r="A6540" s="234"/>
      <c r="B6540" s="238" t="str">
        <f>IFERROR(__xludf.DUMMYFUNCTION("""COMPUTED_VALUE"""),"LM Hub_SP_São José dos Campos")</f>
        <v>LM Hub_SP_São José dos Campos</v>
      </c>
      <c r="C6540" s="238" t="str">
        <f>IFERROR(__xludf.DUMMYFUNCTION("""COMPUTED_VALUE"""),"HUB-LSP-04")</f>
        <v>HUB-LSP-04</v>
      </c>
      <c r="D6540" s="234">
        <f>IFERROR(__xludf.DUMMYFUNCTION("""COMPUTED_VALUE"""),21.0)</f>
        <v>21</v>
      </c>
      <c r="E6540" s="237" t="str">
        <f>IFERROR(__xludf.DUMMYFUNCTION("""COMPUTED_VALUE"""),"LT0Q2301Y5AF1")</f>
        <v>LT0Q2301Y5AF1</v>
      </c>
      <c r="F6540" s="238" t="str">
        <f>IFERROR(__xludf.DUMMYFUNCTION("""COMPUTED_VALUE"""),"UDY3C40")</f>
        <v>UDY3C40</v>
      </c>
      <c r="G6540" s="238">
        <f>IFERROR(__xludf.DUMMYFUNCTION("""COMPUTED_VALUE"""),46056.89583333333)</f>
        <v>46056.89583</v>
      </c>
      <c r="H6540" s="238">
        <f>IFERROR(__xludf.DUMMYFUNCTION("""COMPUTED_VALUE"""),46056.97916666667)</f>
        <v>46056.97917</v>
      </c>
      <c r="J6540" s="239">
        <v>120.00000001396984</v>
      </c>
    </row>
    <row r="6541">
      <c r="A6541" s="234"/>
      <c r="B6541" s="238" t="str">
        <f>IFERROR(__xludf.DUMMYFUNCTION("""COMPUTED_VALUE"""),"LM Hub_SP_São Paulo_Lapa")</f>
        <v>LM Hub_SP_São Paulo_Lapa</v>
      </c>
      <c r="C6541" s="238" t="str">
        <f>IFERROR(__xludf.DUMMYFUNCTION("""COMPUTED_VALUE"""),"HUB-LSP-15")</f>
        <v>HUB-LSP-15</v>
      </c>
      <c r="D6541" s="234">
        <f>IFERROR(__xludf.DUMMYFUNCTION("""COMPUTED_VALUE"""),18.0)</f>
        <v>18</v>
      </c>
      <c r="E6541" s="237" t="str">
        <f>IFERROR(__xludf.DUMMYFUNCTION("""COMPUTED_VALUE"""),"LT0Q2301XVXA1")</f>
        <v>LT0Q2301XVXA1</v>
      </c>
      <c r="F6541" s="238" t="str">
        <f>IFERROR(__xludf.DUMMYFUNCTION("""COMPUTED_VALUE"""),"QPV1A02,ELQ6F04")</f>
        <v>QPV1A02,ELQ6F04</v>
      </c>
      <c r="G6541" s="238">
        <f>IFERROR(__xludf.DUMMYFUNCTION("""COMPUTED_VALUE"""),46056.89583333333)</f>
        <v>46056.89583</v>
      </c>
      <c r="H6541" s="238">
        <f>IFERROR(__xludf.DUMMYFUNCTION("""COMPUTED_VALUE"""),46056.97916666667)</f>
        <v>46056.97917</v>
      </c>
      <c r="J6541" s="239">
        <v>120.00000001396984</v>
      </c>
    </row>
    <row r="6542">
      <c r="A6542" s="234"/>
      <c r="B6542" s="238" t="str">
        <f>IFERROR(__xludf.DUMMYFUNCTION("""COMPUTED_VALUE"""),"LM Hub_SP_Várzea Paulista")</f>
        <v>LM Hub_SP_Várzea Paulista</v>
      </c>
      <c r="C6542" s="238" t="str">
        <f>IFERROR(__xludf.DUMMYFUNCTION("""COMPUTED_VALUE"""),"HUB-LSP-20")</f>
        <v>HUB-LSP-20</v>
      </c>
      <c r="D6542" s="234"/>
      <c r="E6542" s="237" t="str">
        <f>IFERROR(__xludf.DUMMYFUNCTION("""COMPUTED_VALUE"""),"LT0Q2301XW3B1")</f>
        <v>LT0Q2301XW3B1</v>
      </c>
      <c r="F6542" s="238" t="str">
        <f>IFERROR(__xludf.DUMMYFUNCTION("""COMPUTED_VALUE"""),"IZQ5I98,AVB1G49")</f>
        <v>IZQ5I98,AVB1G49</v>
      </c>
      <c r="G6542" s="238">
        <f>IFERROR(__xludf.DUMMYFUNCTION("""COMPUTED_VALUE"""),46056.89583333333)</f>
        <v>46056.89583</v>
      </c>
      <c r="H6542" s="238">
        <f>IFERROR(__xludf.DUMMYFUNCTION("""COMPUTED_VALUE"""),46056.97916666667)</f>
        <v>46056.97917</v>
      </c>
      <c r="J6542" s="239">
        <v>119.00000001071021</v>
      </c>
    </row>
    <row r="6543">
      <c r="A6543" s="234"/>
      <c r="B6543" s="238" t="str">
        <f>IFERROR(__xludf.DUMMYFUNCTION("""COMPUTED_VALUE"""),"LM Hub_SP_Itaqua_Zimba")</f>
        <v>LM Hub_SP_Itaqua_Zimba</v>
      </c>
      <c r="C6543" s="238" t="str">
        <f>IFERROR(__xludf.DUMMYFUNCTION("""COMPUTED_VALUE"""),"HUB-LSP-74")</f>
        <v>HUB-LSP-74</v>
      </c>
      <c r="D6543" s="234">
        <f>IFERROR(__xludf.DUMMYFUNCTION("""COMPUTED_VALUE"""),15.0)</f>
        <v>15</v>
      </c>
      <c r="E6543" s="237" t="str">
        <f>IFERROR(__xludf.DUMMYFUNCTION("""COMPUTED_VALUE"""),"LT0Q2301Y59U1")</f>
        <v>LT0Q2301Y59U1</v>
      </c>
      <c r="F6543" s="238" t="str">
        <f>IFERROR(__xludf.DUMMYFUNCTION("""COMPUTED_VALUE"""),"MEZ3B05,MCK9433")</f>
        <v>MEZ3B05,MCK9433</v>
      </c>
      <c r="G6543" s="238">
        <f>IFERROR(__xludf.DUMMYFUNCTION("""COMPUTED_VALUE"""),46056.896527777775)</f>
        <v>46056.89653</v>
      </c>
      <c r="H6543" s="238">
        <f>IFERROR(__xludf.DUMMYFUNCTION("""COMPUTED_VALUE"""),46056.97916666667)</f>
        <v>46056.97917</v>
      </c>
      <c r="J6543" s="239">
        <v>119.00000001071021</v>
      </c>
    </row>
    <row r="6544">
      <c r="A6544" s="234"/>
      <c r="B6544" s="238" t="str">
        <f>IFERROR(__xludf.DUMMYFUNCTION("""COMPUTED_VALUE"""),"LM Hub_SP_Jurubatuba")</f>
        <v>LM Hub_SP_Jurubatuba</v>
      </c>
      <c r="C6544" s="238" t="str">
        <f>IFERROR(__xludf.DUMMYFUNCTION("""COMPUTED_VALUE"""),"HUB-LSP-16")</f>
        <v>HUB-LSP-16</v>
      </c>
      <c r="D6544" s="234">
        <f>IFERROR(__xludf.DUMMYFUNCTION("""COMPUTED_VALUE"""),27.0)</f>
        <v>27</v>
      </c>
      <c r="E6544" s="237" t="str">
        <f>IFERROR(__xludf.DUMMYFUNCTION("""COMPUTED_VALUE"""),"LT0Q2301Y59E1")</f>
        <v>LT0Q2301Y59E1</v>
      </c>
      <c r="F6544" s="238" t="str">
        <f>IFERROR(__xludf.DUMMYFUNCTION("""COMPUTED_VALUE"""),"DTD4722,NCK7E66")</f>
        <v>DTD4722,NCK7E66</v>
      </c>
      <c r="G6544" s="238">
        <f>IFERROR(__xludf.DUMMYFUNCTION("""COMPUTED_VALUE"""),46056.896527777775)</f>
        <v>46056.89653</v>
      </c>
      <c r="H6544" s="238">
        <f>IFERROR(__xludf.DUMMYFUNCTION("""COMPUTED_VALUE"""),46056.97916666667)</f>
        <v>46056.97917</v>
      </c>
      <c r="J6544" s="239">
        <v>118.99999998975545</v>
      </c>
    </row>
    <row r="6545">
      <c r="A6545" s="234"/>
      <c r="B6545" s="238" t="str">
        <f>IFERROR(__xludf.DUMMYFUNCTION("""COMPUTED_VALUE"""),"LM Hub_SP_Guarujá")</f>
        <v>LM Hub_SP_Guarujá</v>
      </c>
      <c r="C6545" s="238" t="str">
        <f>IFERROR(__xludf.DUMMYFUNCTION("""COMPUTED_VALUE"""),"HUB-LSP-06")</f>
        <v>HUB-LSP-06</v>
      </c>
      <c r="D6545" s="234">
        <f>IFERROR(__xludf.DUMMYFUNCTION("""COMPUTED_VALUE"""),33.0)</f>
        <v>33</v>
      </c>
      <c r="E6545" s="237" t="str">
        <f>IFERROR(__xludf.DUMMYFUNCTION("""COMPUTED_VALUE"""),"LT0Q2301Y5A21")</f>
        <v>LT0Q2301Y5A21</v>
      </c>
      <c r="F6545" s="238" t="str">
        <f>IFERROR(__xludf.DUMMYFUNCTION("""COMPUTED_VALUE"""),"EJZ8E20")</f>
        <v>EJZ8E20</v>
      </c>
      <c r="G6545" s="238">
        <f>IFERROR(__xludf.DUMMYFUNCTION("""COMPUTED_VALUE"""),46056.91666666667)</f>
        <v>46056.91667</v>
      </c>
      <c r="H6545" s="238">
        <f>IFERROR(__xludf.DUMMYFUNCTION("""COMPUTED_VALUE"""),46056.99930555555)</f>
        <v>46056.99931</v>
      </c>
      <c r="J6545" s="239">
        <v>119.99999999301508</v>
      </c>
    </row>
    <row r="6546">
      <c r="A6546" s="234"/>
      <c r="B6546" s="238" t="str">
        <f>IFERROR(__xludf.DUMMYFUNCTION("""COMPUTED_VALUE"""),"LM Hub_RS_Porto Alegre_Floresta")</f>
        <v>LM Hub_RS_Porto Alegre_Floresta</v>
      </c>
      <c r="C6546" s="238" t="str">
        <f>IFERROR(__xludf.DUMMYFUNCTION("""COMPUTED_VALUE"""),"HUB-LRS-03")</f>
        <v>HUB-LRS-03</v>
      </c>
      <c r="D6546" s="234"/>
      <c r="E6546" s="237" t="str">
        <f>IFERROR(__xludf.DUMMYFUNCTION("""COMPUTED_VALUE"""),"LT0Q2301Y26I1")</f>
        <v>LT0Q2301Y26I1</v>
      </c>
      <c r="F6546" s="238" t="str">
        <f>IFERROR(__xludf.DUMMYFUNCTION("""COMPUTED_VALUE"""),"CUZ0I03,SSY7F66")</f>
        <v>CUZ0I03,SSY7F66</v>
      </c>
      <c r="G6546" s="238">
        <f>IFERROR(__xludf.DUMMYFUNCTION("""COMPUTED_VALUE"""),46056.91666666667)</f>
        <v>46056.91667</v>
      </c>
      <c r="H6546" s="238">
        <f>IFERROR(__xludf.DUMMYFUNCTION("""COMPUTED_VALUE"""),46057.0)</f>
        <v>46057</v>
      </c>
      <c r="J6546" s="239">
        <v>119.99999999301508</v>
      </c>
    </row>
    <row r="6547">
      <c r="A6547" s="234"/>
      <c r="B6547" s="238" t="str">
        <f>IFERROR(__xludf.DUMMYFUNCTION("""COMPUTED_VALUE"""),"LM Hub_SP_Artur Alvim")</f>
        <v>LM Hub_SP_Artur Alvim</v>
      </c>
      <c r="C6547" s="238" t="str">
        <f>IFERROR(__xludf.DUMMYFUNCTION("""COMPUTED_VALUE"""),"HUB-LSP-07")</f>
        <v>HUB-LSP-07</v>
      </c>
      <c r="D6547" s="234">
        <f>IFERROR(__xludf.DUMMYFUNCTION("""COMPUTED_VALUE"""),14.0)</f>
        <v>14</v>
      </c>
      <c r="E6547" s="237" t="str">
        <f>IFERROR(__xludf.DUMMYFUNCTION("""COMPUTED_VALUE"""),"LT0Q2301XVWV1")</f>
        <v>LT0Q2301XVWV1</v>
      </c>
      <c r="F6547" s="238" t="str">
        <f>IFERROR(__xludf.DUMMYFUNCTION("""COMPUTED_VALUE"""),"EGK6F67,NGX1F13")</f>
        <v>EGK6F67,NGX1F13</v>
      </c>
      <c r="G6547" s="238">
        <f>IFERROR(__xludf.DUMMYFUNCTION("""COMPUTED_VALUE"""),46056.91666666667)</f>
        <v>46056.91667</v>
      </c>
      <c r="H6547" s="238">
        <f>IFERROR(__xludf.DUMMYFUNCTION("""COMPUTED_VALUE"""),46057.0)</f>
        <v>46057</v>
      </c>
      <c r="J6547" s="239">
        <v>119.99999999301508</v>
      </c>
    </row>
    <row r="6548">
      <c r="A6548" s="234"/>
      <c r="B6548" s="238" t="str">
        <f>IFERROR(__xludf.DUMMYFUNCTION("""COMPUTED_VALUE"""),"LM Hub_SP_Barueri_01")</f>
        <v>LM Hub_SP_Barueri_01</v>
      </c>
      <c r="C6548" s="238" t="str">
        <f>IFERROR(__xludf.DUMMYFUNCTION("""COMPUTED_VALUE"""),"HUB-LSP-81")</f>
        <v>HUB-LSP-81</v>
      </c>
      <c r="D6548" s="234">
        <f>IFERROR(__xludf.DUMMYFUNCTION("""COMPUTED_VALUE"""),29.0)</f>
        <v>29</v>
      </c>
      <c r="E6548" s="237" t="str">
        <f>IFERROR(__xludf.DUMMYFUNCTION("""COMPUTED_VALUE"""),"LT0Q2301Y0ZD1")</f>
        <v>LT0Q2301Y0ZD1</v>
      </c>
      <c r="F6548" s="238" t="str">
        <f>IFERROR(__xludf.DUMMYFUNCTION("""COMPUTED_VALUE"""),"SUQ5C99,TLD5B82")</f>
        <v>SUQ5C99,TLD5B82</v>
      </c>
      <c r="G6548" s="238">
        <f>IFERROR(__xludf.DUMMYFUNCTION("""COMPUTED_VALUE"""),46056.91666666667)</f>
        <v>46056.91667</v>
      </c>
      <c r="H6548" s="238">
        <f>IFERROR(__xludf.DUMMYFUNCTION("""COMPUTED_VALUE"""),46057.0)</f>
        <v>46057</v>
      </c>
      <c r="J6548" s="239">
        <v>119.99999999301508</v>
      </c>
    </row>
    <row r="6549">
      <c r="A6549" s="234"/>
      <c r="B6549" s="238" t="str">
        <f>IFERROR(__xludf.DUMMYFUNCTION("""COMPUTED_VALUE"""),"LM Hub_SP_Guarulhos")</f>
        <v>LM Hub_SP_Guarulhos</v>
      </c>
      <c r="C6549" s="238" t="str">
        <f>IFERROR(__xludf.DUMMYFUNCTION("""COMPUTED_VALUE"""),"HUB-LSP-77")</f>
        <v>HUB-LSP-77</v>
      </c>
      <c r="D6549" s="234">
        <f>IFERROR(__xludf.DUMMYFUNCTION("""COMPUTED_VALUE"""),23.0)</f>
        <v>23</v>
      </c>
      <c r="E6549" s="237" t="str">
        <f>IFERROR(__xludf.DUMMYFUNCTION("""COMPUTED_VALUE"""),"LT0Q2301XWQD1")</f>
        <v>LT0Q2301XWQD1</v>
      </c>
      <c r="F6549" s="238" t="str">
        <f>IFERROR(__xludf.DUMMYFUNCTION("""COMPUTED_VALUE"""),"MFO5E94,JXB0B94")</f>
        <v>MFO5E94,JXB0B94</v>
      </c>
      <c r="G6549" s="238">
        <f>IFERROR(__xludf.DUMMYFUNCTION("""COMPUTED_VALUE"""),46056.91666666667)</f>
        <v>46056.91667</v>
      </c>
      <c r="H6549" s="238">
        <f>IFERROR(__xludf.DUMMYFUNCTION("""COMPUTED_VALUE"""),46057.0)</f>
        <v>46057</v>
      </c>
      <c r="J6549" s="239">
        <v>119.99999999301508</v>
      </c>
    </row>
    <row r="6550">
      <c r="A6550" s="234"/>
      <c r="B6550" s="238" t="str">
        <f>IFERROR(__xludf.DUMMYFUNCTION("""COMPUTED_VALUE"""),"LM Hub_SP_Itapevi")</f>
        <v>LM Hub_SP_Itapevi</v>
      </c>
      <c r="C6550" s="238" t="str">
        <f>IFERROR(__xludf.DUMMYFUNCTION("""COMPUTED_VALUE"""),"HUB-LSP-41")</f>
        <v>HUB-LSP-41</v>
      </c>
      <c r="D6550" s="234">
        <f>IFERROR(__xludf.DUMMYFUNCTION("""COMPUTED_VALUE"""),25.0)</f>
        <v>25</v>
      </c>
      <c r="E6550" s="237" t="str">
        <f>IFERROR(__xludf.DUMMYFUNCTION("""COMPUTED_VALUE"""),"LT0Q2301XVY41")</f>
        <v>LT0Q2301XVY41</v>
      </c>
      <c r="F6550" s="238" t="str">
        <f>IFERROR(__xludf.DUMMYFUNCTION("""COMPUTED_VALUE"""),"BCS4J31,DJB0J76")</f>
        <v>BCS4J31,DJB0J76</v>
      </c>
      <c r="G6550" s="238">
        <f>IFERROR(__xludf.DUMMYFUNCTION("""COMPUTED_VALUE"""),46056.91666666667)</f>
        <v>46056.91667</v>
      </c>
      <c r="H6550" s="238">
        <f>IFERROR(__xludf.DUMMYFUNCTION("""COMPUTED_VALUE"""),46057.0)</f>
        <v>46057</v>
      </c>
      <c r="J6550" s="239">
        <v>119.99999999301508</v>
      </c>
    </row>
    <row r="6551">
      <c r="A6551" s="234"/>
      <c r="B6551" s="238" t="str">
        <f>IFERROR(__xludf.DUMMYFUNCTION("""COMPUTED_VALUE"""),"LM Hub_SP_Mauá")</f>
        <v>LM Hub_SP_Mauá</v>
      </c>
      <c r="C6551" s="238" t="str">
        <f>IFERROR(__xludf.DUMMYFUNCTION("""COMPUTED_VALUE"""),"HUB-LSP-64")</f>
        <v>HUB-LSP-64</v>
      </c>
      <c r="D6551" s="234">
        <f>IFERROR(__xludf.DUMMYFUNCTION("""COMPUTED_VALUE"""),37.0)</f>
        <v>37</v>
      </c>
      <c r="E6551" s="237" t="str">
        <f>IFERROR(__xludf.DUMMYFUNCTION("""COMPUTED_VALUE"""),"LT0Q2301XVYI1")</f>
        <v>LT0Q2301XVYI1</v>
      </c>
      <c r="F6551" s="238" t="str">
        <f>IFERROR(__xludf.DUMMYFUNCTION("""COMPUTED_VALUE"""),"FQF6B98,DTA7802")</f>
        <v>FQF6B98,DTA7802</v>
      </c>
      <c r="G6551" s="238">
        <f>IFERROR(__xludf.DUMMYFUNCTION("""COMPUTED_VALUE"""),46056.91666666667)</f>
        <v>46056.91667</v>
      </c>
      <c r="H6551" s="238">
        <f>IFERROR(__xludf.DUMMYFUNCTION("""COMPUTED_VALUE"""),46057.0)</f>
        <v>46057</v>
      </c>
      <c r="J6551" s="239">
        <v>119.99999999301508</v>
      </c>
    </row>
    <row r="6552">
      <c r="A6552" s="234"/>
      <c r="B6552" s="238" t="str">
        <f>IFERROR(__xludf.DUMMYFUNCTION("""COMPUTED_VALUE"""),"LM Hub_SP_Osasco_02")</f>
        <v>LM Hub_SP_Osasco_02</v>
      </c>
      <c r="C6552" s="238" t="str">
        <f>IFERROR(__xludf.DUMMYFUNCTION("""COMPUTED_VALUE"""),"HUB-LSP-60")</f>
        <v>HUB-LSP-60</v>
      </c>
      <c r="D6552" s="234">
        <f>IFERROR(__xludf.DUMMYFUNCTION("""COMPUTED_VALUE"""),28.0)</f>
        <v>28</v>
      </c>
      <c r="E6552" s="237" t="str">
        <f>IFERROR(__xludf.DUMMYFUNCTION("""COMPUTED_VALUE"""),"LT0Q2301XVYB1")</f>
        <v>LT0Q2301XVYB1</v>
      </c>
      <c r="F6552" s="234" t="str">
        <f>IFERROR(__xludf.DUMMYFUNCTION("""COMPUTED_VALUE"""),"  ")</f>
        <v>  </v>
      </c>
      <c r="G6552" s="238">
        <f>IFERROR(__xludf.DUMMYFUNCTION("""COMPUTED_VALUE"""),46056.91666666667)</f>
        <v>46056.91667</v>
      </c>
      <c r="H6552" s="238">
        <f>IFERROR(__xludf.DUMMYFUNCTION("""COMPUTED_VALUE"""),46057.0)</f>
        <v>46057</v>
      </c>
      <c r="J6552" s="239">
        <v>119.99999999301508</v>
      </c>
    </row>
    <row r="6553">
      <c r="A6553" s="234"/>
      <c r="B6553" s="238" t="str">
        <f>IFERROR(__xludf.DUMMYFUNCTION("""COMPUTED_VALUE"""),"LM Hub_SP_Santo André")</f>
        <v>LM Hub_SP_Santo André</v>
      </c>
      <c r="C6553" s="238" t="str">
        <f>IFERROR(__xludf.DUMMYFUNCTION("""COMPUTED_VALUE"""),"HUB-LSP-93")</f>
        <v>HUB-LSP-93</v>
      </c>
      <c r="D6553" s="234">
        <f>IFERROR(__xludf.DUMMYFUNCTION("""COMPUTED_VALUE"""),32.0)</f>
        <v>32</v>
      </c>
      <c r="E6553" s="237" t="str">
        <f>IFERROR(__xludf.DUMMYFUNCTION("""COMPUTED_VALUE"""),"LT0Q2301XYEE1")</f>
        <v>LT0Q2301XYEE1</v>
      </c>
      <c r="F6553" s="238" t="str">
        <f>IFERROR(__xludf.DUMMYFUNCTION("""COMPUTED_VALUE"""),"FXN6D51,BRY5367")</f>
        <v>FXN6D51,BRY5367</v>
      </c>
      <c r="G6553" s="238">
        <f>IFERROR(__xludf.DUMMYFUNCTION("""COMPUTED_VALUE"""),46056.91666666667)</f>
        <v>46056.91667</v>
      </c>
      <c r="H6553" s="238">
        <f>IFERROR(__xludf.DUMMYFUNCTION("""COMPUTED_VALUE"""),46057.0)</f>
        <v>46057</v>
      </c>
      <c r="J6553" s="239">
        <v>119.99999999301508</v>
      </c>
    </row>
    <row r="6554">
      <c r="A6554" s="234"/>
      <c r="B6554" s="238" t="str">
        <f>IFERROR(__xludf.DUMMYFUNCTION("""COMPUTED_VALUE"""),"LM Hub_SP_São José do Rio P")</f>
        <v>LM Hub_SP_São José do Rio P</v>
      </c>
      <c r="C6554" s="238" t="str">
        <f>IFERROR(__xludf.DUMMYFUNCTION("""COMPUTED_VALUE"""),"HUB-LSP-27")</f>
        <v>HUB-LSP-27</v>
      </c>
      <c r="D6554" s="234"/>
      <c r="E6554" s="237" t="str">
        <f>IFERROR(__xludf.DUMMYFUNCTION("""COMPUTED_VALUE"""),"LT0Q2301XZR51")</f>
        <v>LT0Q2301XZR51</v>
      </c>
      <c r="F6554" s="238" t="str">
        <f>IFERROR(__xludf.DUMMYFUNCTION("""COMPUTED_VALUE"""),"FXN6D51,BRY5367")</f>
        <v>FXN6D51,BRY5367</v>
      </c>
      <c r="G6554" s="238">
        <f>IFERROR(__xludf.DUMMYFUNCTION("""COMPUTED_VALUE"""),46056.91666666667)</f>
        <v>46056.91667</v>
      </c>
      <c r="H6554" s="238">
        <f>IFERROR(__xludf.DUMMYFUNCTION("""COMPUTED_VALUE"""),46057.0)</f>
        <v>46057</v>
      </c>
      <c r="J6554" s="239">
        <v>119.99999999301508</v>
      </c>
    </row>
    <row r="6555">
      <c r="A6555" s="234"/>
      <c r="B6555" s="238" t="str">
        <f>IFERROR(__xludf.DUMMYFUNCTION("""COMPUTED_VALUE"""),"LM Hub_SP_São Paulo_Carandiru")</f>
        <v>LM Hub_SP_São Paulo_Carandiru</v>
      </c>
      <c r="C6555" s="238" t="str">
        <f>IFERROR(__xludf.DUMMYFUNCTION("""COMPUTED_VALUE"""),"HUB-LSP-18")</f>
        <v>HUB-LSP-18</v>
      </c>
      <c r="D6555" s="234">
        <f>IFERROR(__xludf.DUMMYFUNCTION("""COMPUTED_VALUE"""),40.0)</f>
        <v>40</v>
      </c>
      <c r="E6555" s="237" t="str">
        <f>IFERROR(__xludf.DUMMYFUNCTION("""COMPUTED_VALUE"""),"LT1Q2301YB031")</f>
        <v>LT1Q2301YB031</v>
      </c>
      <c r="F6555" s="238" t="str">
        <f>IFERROR(__xludf.DUMMYFUNCTION("""COMPUTED_VALUE"""),"FMD3I95")</f>
        <v>FMD3I95</v>
      </c>
      <c r="G6555" s="238">
        <f>IFERROR(__xludf.DUMMYFUNCTION("""COMPUTED_VALUE"""),46056.91666666667)</f>
        <v>46056.91667</v>
      </c>
      <c r="H6555" s="238">
        <f>IFERROR(__xludf.DUMMYFUNCTION("""COMPUTED_VALUE"""),46057.0)</f>
        <v>46057</v>
      </c>
      <c r="J6555" s="239">
        <v>119.99999999301508</v>
      </c>
    </row>
    <row r="6556">
      <c r="A6556" s="234"/>
      <c r="B6556" s="238" t="str">
        <f>IFERROR(__xludf.DUMMYFUNCTION("""COMPUTED_VALUE"""),"SoC_SP_Louveira")</f>
        <v>SoC_SP_Louveira</v>
      </c>
      <c r="C6556" s="238" t="str">
        <f>IFERROR(__xludf.DUMMYFUNCTION("""COMPUTED_VALUE"""),"SOC-SP7")</f>
        <v>SOC-SP7</v>
      </c>
      <c r="D6556" s="234"/>
      <c r="E6556" s="237" t="str">
        <f>IFERROR(__xludf.DUMMYFUNCTION("""COMPUTED_VALUE"""),"LT1Q2301YAZ31")</f>
        <v>LT1Q2301YAZ31</v>
      </c>
      <c r="F6556" s="234"/>
      <c r="G6556" s="238">
        <f>IFERROR(__xludf.DUMMYFUNCTION("""COMPUTED_VALUE"""),46056.91666666667)</f>
        <v>46056.91667</v>
      </c>
      <c r="H6556" s="238">
        <f>IFERROR(__xludf.DUMMYFUNCTION("""COMPUTED_VALUE"""),46057.0)</f>
        <v>46057</v>
      </c>
      <c r="J6556" s="239">
        <v>119.00000000023283</v>
      </c>
    </row>
    <row r="6557">
      <c r="A6557" s="234"/>
      <c r="B6557" s="238" t="str">
        <f>IFERROR(__xludf.DUMMYFUNCTION("""COMPUTED_VALUE"""),"LM Hub_SP_Mooca_02")</f>
        <v>LM Hub_SP_Mooca_02</v>
      </c>
      <c r="C6557" s="238" t="str">
        <f>IFERROR(__xludf.DUMMYFUNCTION("""COMPUTED_VALUE"""),"HUB-LSP-94")</f>
        <v>HUB-LSP-94</v>
      </c>
      <c r="D6557" s="234"/>
      <c r="E6557" s="237" t="str">
        <f>IFERROR(__xludf.DUMMYFUNCTION("""COMPUTED_VALUE"""),"LT0Q2301Y73H1")</f>
        <v>LT0Q2301Y73H1</v>
      </c>
      <c r="F6557" s="238" t="str">
        <f>IFERROR(__xludf.DUMMYFUNCTION("""COMPUTED_VALUE"""),"FPX2D52")</f>
        <v>FPX2D52</v>
      </c>
      <c r="G6557" s="238">
        <f>IFERROR(__xludf.DUMMYFUNCTION("""COMPUTED_VALUE"""),46056.91736111111)</f>
        <v>46056.91736</v>
      </c>
      <c r="H6557" s="238">
        <f>IFERROR(__xludf.DUMMYFUNCTION("""COMPUTED_VALUE"""),46057.0)</f>
        <v>46057</v>
      </c>
      <c r="J6557" s="239">
        <v>119.99999999301508</v>
      </c>
    </row>
    <row r="6558">
      <c r="A6558" s="234"/>
      <c r="B6558" s="238" t="str">
        <f>IFERROR(__xludf.DUMMYFUNCTION("""COMPUTED_VALUE"""),"LM Hub_SP_Jardim Adriana")</f>
        <v>LM Hub_SP_Jardim Adriana</v>
      </c>
      <c r="C6558" s="238" t="str">
        <f>IFERROR(__xludf.DUMMYFUNCTION("""COMPUTED_VALUE"""),"HUB-LSP-12")</f>
        <v>HUB-LSP-12</v>
      </c>
      <c r="D6558" s="234">
        <f>IFERROR(__xludf.DUMMYFUNCTION("""COMPUTED_VALUE"""),13.0)</f>
        <v>13</v>
      </c>
      <c r="E6558" s="237" t="str">
        <f>IFERROR(__xludf.DUMMYFUNCTION("""COMPUTED_VALUE"""),"LT0Q2301XVX21")</f>
        <v>LT0Q2301XVX21</v>
      </c>
      <c r="F6558" s="238" t="str">
        <f>IFERROR(__xludf.DUMMYFUNCTION("""COMPUTED_VALUE"""),"DBB6C34")</f>
        <v>DBB6C34</v>
      </c>
      <c r="G6558" s="238">
        <f>IFERROR(__xludf.DUMMYFUNCTION("""COMPUTED_VALUE"""),46056.9375)</f>
        <v>46056.9375</v>
      </c>
      <c r="H6558" s="238">
        <f>IFERROR(__xludf.DUMMYFUNCTION("""COMPUTED_VALUE"""),46057.02083333333)</f>
        <v>46057.02083</v>
      </c>
      <c r="J6558" s="239">
        <v>119.99999999301508</v>
      </c>
    </row>
    <row r="6559">
      <c r="A6559" s="234"/>
      <c r="B6559" s="238" t="str">
        <f>IFERROR(__xludf.DUMMYFUNCTION("""COMPUTED_VALUE"""),"LM Hub_SP_Parque Novo Mundo")</f>
        <v>LM Hub_SP_Parque Novo Mundo</v>
      </c>
      <c r="C6559" s="238" t="str">
        <f>IFERROR(__xludf.DUMMYFUNCTION("""COMPUTED_VALUE"""),"HUB-LSP-89")</f>
        <v>HUB-LSP-89</v>
      </c>
      <c r="D6559" s="234">
        <f>IFERROR(__xludf.DUMMYFUNCTION("""COMPUTED_VALUE"""),24.0)</f>
        <v>24</v>
      </c>
      <c r="E6559" s="237" t="str">
        <f>IFERROR(__xludf.DUMMYFUNCTION("""COMPUTED_VALUE"""),"LT0Q2301XWX71")</f>
        <v>LT0Q2301XWX71</v>
      </c>
      <c r="F6559" s="238" t="str">
        <f>IFERROR(__xludf.DUMMYFUNCTION("""COMPUTED_VALUE"""),"CVN5G56,OPD3C39")</f>
        <v>CVN5G56,OPD3C39</v>
      </c>
      <c r="G6559" s="238">
        <f>IFERROR(__xludf.DUMMYFUNCTION("""COMPUTED_VALUE"""),46056.9375)</f>
        <v>46056.9375</v>
      </c>
      <c r="H6559" s="238">
        <f>IFERROR(__xludf.DUMMYFUNCTION("""COMPUTED_VALUE"""),46057.02083333333)</f>
        <v>46057.02083</v>
      </c>
      <c r="J6559" s="239">
        <v>119.99999999301508</v>
      </c>
    </row>
    <row r="6560">
      <c r="A6560" s="234"/>
      <c r="B6560" s="238" t="str">
        <f>IFERROR(__xludf.DUMMYFUNCTION("""COMPUTED_VALUE"""),"LM Hub_SP_Piracicaba")</f>
        <v>LM Hub_SP_Piracicaba</v>
      </c>
      <c r="C6560" s="238" t="str">
        <f>IFERROR(__xludf.DUMMYFUNCTION("""COMPUTED_VALUE"""),"HUB-LSP-62")</f>
        <v>HUB-LSP-62</v>
      </c>
      <c r="D6560" s="234">
        <f>IFERROR(__xludf.DUMMYFUNCTION("""COMPUTED_VALUE"""),21.0)</f>
        <v>21</v>
      </c>
      <c r="E6560" s="237" t="str">
        <f>IFERROR(__xludf.DUMMYFUNCTION("""COMPUTED_VALUE"""),"LT0Q2301XWQR1")</f>
        <v>LT0Q2301XWQR1</v>
      </c>
      <c r="F6560" s="238" t="str">
        <f>IFERROR(__xludf.DUMMYFUNCTION("""COMPUTED_VALUE"""),"EOF4D32")</f>
        <v>EOF4D32</v>
      </c>
      <c r="G6560" s="238">
        <f>IFERROR(__xludf.DUMMYFUNCTION("""COMPUTED_VALUE"""),46056.9375)</f>
        <v>46056.9375</v>
      </c>
      <c r="H6560" s="238">
        <f>IFERROR(__xludf.DUMMYFUNCTION("""COMPUTED_VALUE"""),46057.02083333333)</f>
        <v>46057.02083</v>
      </c>
      <c r="J6560" s="239">
        <v>119.99999999301508</v>
      </c>
    </row>
    <row r="6561">
      <c r="A6561" s="234"/>
      <c r="B6561" s="238" t="str">
        <f>IFERROR(__xludf.DUMMYFUNCTION("""COMPUTED_VALUE"""),"LM Hub_SP_Sorocaba_Região Norte")</f>
        <v>LM Hub_SP_Sorocaba_Região Norte</v>
      </c>
      <c r="C6561" s="238" t="str">
        <f>IFERROR(__xludf.DUMMYFUNCTION("""COMPUTED_VALUE"""),"HUB-LSP-10")</f>
        <v>HUB-LSP-10</v>
      </c>
      <c r="D6561" s="234">
        <f>IFERROR(__xludf.DUMMYFUNCTION("""COMPUTED_VALUE"""),26.0)</f>
        <v>26</v>
      </c>
      <c r="E6561" s="237" t="str">
        <f>IFERROR(__xludf.DUMMYFUNCTION("""COMPUTED_VALUE"""),"LT0Q2301XW151")</f>
        <v>LT0Q2301XW151</v>
      </c>
      <c r="F6561" s="238" t="str">
        <f>IFERROR(__xludf.DUMMYFUNCTION("""COMPUTED_VALUE"""),"UAV9I85,UGU0I83")</f>
        <v>UAV9I85,UGU0I83</v>
      </c>
      <c r="G6561" s="238">
        <f>IFERROR(__xludf.DUMMYFUNCTION("""COMPUTED_VALUE"""),46056.9375)</f>
        <v>46056.9375</v>
      </c>
      <c r="H6561" s="238">
        <f>IFERROR(__xludf.DUMMYFUNCTION("""COMPUTED_VALUE"""),46057.02083333333)</f>
        <v>46057.02083</v>
      </c>
      <c r="J6561" s="239">
        <v>118.99999998975545</v>
      </c>
    </row>
    <row r="6562">
      <c r="A6562" s="234"/>
      <c r="B6562" s="238" t="str">
        <f>IFERROR(__xludf.DUMMYFUNCTION("""COMPUTED_VALUE"""),"LM Hub_SP_São Paulo_Carandiru")</f>
        <v>LM Hub_SP_São Paulo_Carandiru</v>
      </c>
      <c r="C6562" s="238" t="str">
        <f>IFERROR(__xludf.DUMMYFUNCTION("""COMPUTED_VALUE"""),"HUB-LSP-18")</f>
        <v>HUB-LSP-18</v>
      </c>
      <c r="D6562" s="234">
        <f>IFERROR(__xludf.DUMMYFUNCTION("""COMPUTED_VALUE"""),49.0)</f>
        <v>49</v>
      </c>
      <c r="E6562" s="237" t="str">
        <f>IFERROR(__xludf.DUMMYFUNCTION("""COMPUTED_VALUE"""),"LT0Q2301XVXP1")</f>
        <v>LT0Q2301XVXP1</v>
      </c>
      <c r="F6562" s="238" t="str">
        <f>IFERROR(__xludf.DUMMYFUNCTION("""COMPUTED_VALUE"""),"FGP3D56")</f>
        <v>FGP3D56</v>
      </c>
      <c r="G6562" s="238">
        <f>IFERROR(__xludf.DUMMYFUNCTION("""COMPUTED_VALUE"""),46056.93819444445)</f>
        <v>46056.93819</v>
      </c>
      <c r="H6562" s="238">
        <f>IFERROR(__xludf.DUMMYFUNCTION("""COMPUTED_VALUE"""),46057.02083333333)</f>
        <v>46057.02083</v>
      </c>
      <c r="J6562" s="239">
        <v>118.99999998975545</v>
      </c>
    </row>
    <row r="6563">
      <c r="A6563" s="234"/>
      <c r="B6563" s="238" t="str">
        <f>IFERROR(__xludf.DUMMYFUNCTION("""COMPUTED_VALUE"""),"LM Hub_SP_VilaGuilherme")</f>
        <v>LM Hub_SP_VilaGuilherme</v>
      </c>
      <c r="C6563" s="238" t="str">
        <f>IFERROR(__xludf.DUMMYFUNCTION("""COMPUTED_VALUE"""),"HUB-LSP-68")</f>
        <v>HUB-LSP-68</v>
      </c>
      <c r="D6563" s="234">
        <f>IFERROR(__xludf.DUMMYFUNCTION("""COMPUTED_VALUE"""),35.0)</f>
        <v>35</v>
      </c>
      <c r="E6563" s="237" t="str">
        <f>IFERROR(__xludf.DUMMYFUNCTION("""COMPUTED_VALUE"""),"LT0Q2301Y59P1")</f>
        <v>LT0Q2301Y59P1</v>
      </c>
      <c r="F6563" s="238" t="str">
        <f>IFERROR(__xludf.DUMMYFUNCTION("""COMPUTED_VALUE"""),"HFD4H27,JXG9745")</f>
        <v>HFD4H27,JXG9745</v>
      </c>
      <c r="G6563" s="238">
        <f>IFERROR(__xludf.DUMMYFUNCTION("""COMPUTED_VALUE"""),46056.93819444445)</f>
        <v>46056.93819</v>
      </c>
      <c r="H6563" s="238">
        <f>IFERROR(__xludf.DUMMYFUNCTION("""COMPUTED_VALUE"""),46057.02083333333)</f>
        <v>46057.02083</v>
      </c>
      <c r="J6563" s="239">
        <v>120.00000001396984</v>
      </c>
    </row>
    <row r="6564">
      <c r="A6564" s="234"/>
      <c r="B6564" s="238" t="str">
        <f>IFERROR(__xludf.DUMMYFUNCTION("""COMPUTED_VALUE"""),"LM Hub_RJ_Nova Iguaçu")</f>
        <v>LM Hub_RJ_Nova Iguaçu</v>
      </c>
      <c r="C6564" s="238" t="str">
        <f>IFERROR(__xludf.DUMMYFUNCTION("""COMPUTED_VALUE"""),"HUB-LRJ-27")</f>
        <v>HUB-LRJ-27</v>
      </c>
      <c r="D6564" s="234">
        <f>IFERROR(__xludf.DUMMYFUNCTION("""COMPUTED_VALUE"""),114.0)</f>
        <v>114</v>
      </c>
      <c r="E6564" s="237" t="str">
        <f>IFERROR(__xludf.DUMMYFUNCTION("""COMPUTED_VALUE"""),"LT0Q2301Y1JG1")</f>
        <v>LT0Q2301Y1JG1</v>
      </c>
      <c r="F6564" s="238" t="str">
        <f>IFERROR(__xludf.DUMMYFUNCTION("""COMPUTED_VALUE"""),"UAV9J05,TMG0D75")</f>
        <v>UAV9J05,TMG0D75</v>
      </c>
      <c r="G6564" s="238">
        <f>IFERROR(__xludf.DUMMYFUNCTION("""COMPUTED_VALUE"""),46056.95833333333)</f>
        <v>46056.95833</v>
      </c>
      <c r="H6564" s="238">
        <f>IFERROR(__xludf.DUMMYFUNCTION("""COMPUTED_VALUE"""),46057.04166666667)</f>
        <v>46057.04167</v>
      </c>
      <c r="J6564" s="239">
        <v>120.00000001396984</v>
      </c>
    </row>
    <row r="6565">
      <c r="A6565" s="234"/>
      <c r="B6565" s="238" t="str">
        <f>IFERROR(__xludf.DUMMYFUNCTION("""COMPUTED_VALUE"""),"LM Hub_RJ_Rio de Janeiro_Campo G")</f>
        <v>LM Hub_RJ_Rio de Janeiro_Campo G</v>
      </c>
      <c r="C6565" s="238" t="str">
        <f>IFERROR(__xludf.DUMMYFUNCTION("""COMPUTED_VALUE"""),"HUB-LRJ-04")</f>
        <v>HUB-LRJ-04</v>
      </c>
      <c r="D6565" s="234">
        <f>IFERROR(__xludf.DUMMYFUNCTION("""COMPUTED_VALUE"""),112.0)</f>
        <v>112</v>
      </c>
      <c r="E6565" s="237" t="str">
        <f>IFERROR(__xludf.DUMMYFUNCTION("""COMPUTED_VALUE"""),"LT0Q2301XW471")</f>
        <v>LT0Q2301XW471</v>
      </c>
      <c r="F6565" s="238" t="str">
        <f>IFERROR(__xludf.DUMMYFUNCTION("""COMPUTED_VALUE"""),"SVS9B84,TPP5D05")</f>
        <v>SVS9B84,TPP5D05</v>
      </c>
      <c r="G6565" s="238">
        <f>IFERROR(__xludf.DUMMYFUNCTION("""COMPUTED_VALUE"""),46056.95833333333)</f>
        <v>46056.95833</v>
      </c>
      <c r="H6565" s="238">
        <f>IFERROR(__xludf.DUMMYFUNCTION("""COMPUTED_VALUE"""),46057.04166666667)</f>
        <v>46057.04167</v>
      </c>
      <c r="J6565" s="239">
        <v>120.00000001396984</v>
      </c>
    </row>
    <row r="6566">
      <c r="A6566" s="234"/>
      <c r="B6566" s="238" t="str">
        <f>IFERROR(__xludf.DUMMYFUNCTION("""COMPUTED_VALUE"""),"LM Hub_RJ_São João do Meriti")</f>
        <v>LM Hub_RJ_São João do Meriti</v>
      </c>
      <c r="C6566" s="238" t="str">
        <f>IFERROR(__xludf.DUMMYFUNCTION("""COMPUTED_VALUE"""),"HUB-LRJ-01")</f>
        <v>HUB-LRJ-01</v>
      </c>
      <c r="D6566" s="234"/>
      <c r="E6566" s="237" t="str">
        <f>IFERROR(__xludf.DUMMYFUNCTION("""COMPUTED_VALUE"""),"LT0Q2301Y1KD1")</f>
        <v>LT0Q2301Y1KD1</v>
      </c>
      <c r="F6566" s="238" t="str">
        <f>IFERROR(__xludf.DUMMYFUNCTION("""COMPUTED_VALUE"""),"ETU9G39,ETU7708")</f>
        <v>ETU9G39,ETU7708</v>
      </c>
      <c r="G6566" s="238">
        <f>IFERROR(__xludf.DUMMYFUNCTION("""COMPUTED_VALUE"""),46056.95833333333)</f>
        <v>46056.95833</v>
      </c>
      <c r="H6566" s="238">
        <f>IFERROR(__xludf.DUMMYFUNCTION("""COMPUTED_VALUE"""),46057.04166666667)</f>
        <v>46057.04167</v>
      </c>
      <c r="J6566" s="239">
        <v>120.00000001396984</v>
      </c>
    </row>
    <row r="6567">
      <c r="A6567" s="234"/>
      <c r="B6567" s="238" t="str">
        <f>IFERROR(__xludf.DUMMYFUNCTION("""COMPUTED_VALUE"""),"LM Hub_SP_Mogi Mirim")</f>
        <v>LM Hub_SP_Mogi Mirim</v>
      </c>
      <c r="C6567" s="238" t="str">
        <f>IFERROR(__xludf.DUMMYFUNCTION("""COMPUTED_VALUE"""),"HUB-LSP-37")</f>
        <v>HUB-LSP-37</v>
      </c>
      <c r="D6567" s="234">
        <f>IFERROR(__xludf.DUMMYFUNCTION("""COMPUTED_VALUE"""),12.0)</f>
        <v>12</v>
      </c>
      <c r="E6567" s="237" t="str">
        <f>IFERROR(__xludf.DUMMYFUNCTION("""COMPUTED_VALUE"""),"LT0Q2301XW2C1")</f>
        <v>LT0Q2301XW2C1</v>
      </c>
      <c r="F6567" s="238" t="str">
        <f>IFERROR(__xludf.DUMMYFUNCTION("""COMPUTED_VALUE"""),"UDW5E79,TLL6F35")</f>
        <v>UDW5E79,TLL6F35</v>
      </c>
      <c r="G6567" s="238">
        <f>IFERROR(__xludf.DUMMYFUNCTION("""COMPUTED_VALUE"""),46056.95833333333)</f>
        <v>46056.95833</v>
      </c>
      <c r="H6567" s="238">
        <f>IFERROR(__xludf.DUMMYFUNCTION("""COMPUTED_VALUE"""),46057.04166666667)</f>
        <v>46057.04167</v>
      </c>
      <c r="J6567" s="239">
        <v>119.99999999301508</v>
      </c>
    </row>
    <row r="6568">
      <c r="A6568" s="234"/>
      <c r="B6568" s="238" t="str">
        <f>IFERROR(__xludf.DUMMYFUNCTION("""COMPUTED_VALUE"""),"LM Hub_SP_Araraquara")</f>
        <v>LM Hub_SP_Araraquara</v>
      </c>
      <c r="C6568" s="238" t="str">
        <f>IFERROR(__xludf.DUMMYFUNCTION("""COMPUTED_VALUE"""),"HUB-LSP-29")</f>
        <v>HUB-LSP-29</v>
      </c>
      <c r="D6568" s="234">
        <f>IFERROR(__xludf.DUMMYFUNCTION("""COMPUTED_VALUE"""),9.0)</f>
        <v>9</v>
      </c>
      <c r="E6568" s="237" t="str">
        <f>IFERROR(__xludf.DUMMYFUNCTION("""COMPUTED_VALUE"""),"LT0Q2301XW2H1")</f>
        <v>LT0Q2301XW2H1</v>
      </c>
      <c r="F6568" s="238" t="str">
        <f>IFERROR(__xludf.DUMMYFUNCTION("""COMPUTED_VALUE"""),"ISQ7F01,ANM9G89")</f>
        <v>ISQ7F01,ANM9G89</v>
      </c>
      <c r="G6568" s="238">
        <f>IFERROR(__xludf.DUMMYFUNCTION("""COMPUTED_VALUE"""),46056.97916666667)</f>
        <v>46056.97917</v>
      </c>
      <c r="H6568" s="238">
        <f>IFERROR(__xludf.DUMMYFUNCTION("""COMPUTED_VALUE"""),46057.0625)</f>
        <v>46057.0625</v>
      </c>
      <c r="J6568" s="239">
        <v>119.99999999301508</v>
      </c>
    </row>
    <row r="6569">
      <c r="A6569" s="234"/>
      <c r="B6569" s="238" t="str">
        <f>IFERROR(__xludf.DUMMYFUNCTION("""COMPUTED_VALUE"""),"LM Hub_SP_Atibaia_Ponte_Alta")</f>
        <v>LM Hub_SP_Atibaia_Ponte_Alta</v>
      </c>
      <c r="C6569" s="238" t="str">
        <f>IFERROR(__xludf.DUMMYFUNCTION("""COMPUTED_VALUE"""),"HUB-LSP-87")</f>
        <v>HUB-LSP-87</v>
      </c>
      <c r="D6569" s="234">
        <f>IFERROR(__xludf.DUMMYFUNCTION("""COMPUTED_VALUE"""),15.0)</f>
        <v>15</v>
      </c>
      <c r="E6569" s="237" t="str">
        <f>IFERROR(__xludf.DUMMYFUNCTION("""COMPUTED_VALUE"""),"LT0Q2301XZMD1")</f>
        <v>LT0Q2301XZMD1</v>
      </c>
      <c r="F6569" s="238" t="str">
        <f>IFERROR(__xludf.DUMMYFUNCTION("""COMPUTED_VALUE"""),"SWH4G69,STD0A94")</f>
        <v>SWH4G69,STD0A94</v>
      </c>
      <c r="G6569" s="238">
        <f>IFERROR(__xludf.DUMMYFUNCTION("""COMPUTED_VALUE"""),46056.97916666667)</f>
        <v>46056.97917</v>
      </c>
      <c r="H6569" s="238">
        <f>IFERROR(__xludf.DUMMYFUNCTION("""COMPUTED_VALUE"""),46057.0625)</f>
        <v>46057.0625</v>
      </c>
      <c r="J6569" s="239">
        <v>119.99999999301508</v>
      </c>
    </row>
    <row r="6570">
      <c r="A6570" s="234"/>
      <c r="B6570" s="238" t="str">
        <f>IFERROR(__xludf.DUMMYFUNCTION("""COMPUTED_VALUE"""),"LM Hub_SP_Várzea Paulista")</f>
        <v>LM Hub_SP_Várzea Paulista</v>
      </c>
      <c r="C6570" s="238" t="str">
        <f>IFERROR(__xludf.DUMMYFUNCTION("""COMPUTED_VALUE"""),"HUB-LSP-20")</f>
        <v>HUB-LSP-20</v>
      </c>
      <c r="D6570" s="234">
        <f>IFERROR(__xludf.DUMMYFUNCTION("""COMPUTED_VALUE"""),17.0)</f>
        <v>17</v>
      </c>
      <c r="E6570" s="237" t="str">
        <f>IFERROR(__xludf.DUMMYFUNCTION("""COMPUTED_VALUE"""),"LT0Q2301XW3G1")</f>
        <v>LT0Q2301XW3G1</v>
      </c>
      <c r="F6570" s="238" t="str">
        <f>IFERROR(__xludf.DUMMYFUNCTION("""COMPUTED_VALUE"""),"FJJ1188,EGJ8F24")</f>
        <v>FJJ1188,EGJ8F24</v>
      </c>
      <c r="G6570" s="238">
        <f>IFERROR(__xludf.DUMMYFUNCTION("""COMPUTED_VALUE"""),46056.97916666667)</f>
        <v>46056.97917</v>
      </c>
      <c r="H6570" s="238">
        <f>IFERROR(__xludf.DUMMYFUNCTION("""COMPUTED_VALUE"""),46057.0625)</f>
        <v>46057.0625</v>
      </c>
      <c r="J6570" s="239">
        <v>119.99999999301508</v>
      </c>
    </row>
    <row r="6571">
      <c r="A6571" s="234"/>
      <c r="B6571" s="238" t="str">
        <f>IFERROR(__xludf.DUMMYFUNCTION("""COMPUTED_VALUE"""),"LM Hub_RJ_Ilha do Governador")</f>
        <v>LM Hub_RJ_Ilha do Governador</v>
      </c>
      <c r="C6571" s="238" t="str">
        <f>IFERROR(__xludf.DUMMYFUNCTION("""COMPUTED_VALUE"""),"HUB-LRJ-32")</f>
        <v>HUB-LRJ-32</v>
      </c>
      <c r="D6571" s="234">
        <f>IFERROR(__xludf.DUMMYFUNCTION("""COMPUTED_VALUE"""),113.0)</f>
        <v>113</v>
      </c>
      <c r="E6571" s="237" t="str">
        <f>IFERROR(__xludf.DUMMYFUNCTION("""COMPUTED_VALUE"""),"LT0Q2401Y1JU1")</f>
        <v>LT0Q2401Y1JU1</v>
      </c>
      <c r="F6571" s="238" t="str">
        <f>IFERROR(__xludf.DUMMYFUNCTION("""COMPUTED_VALUE"""),"CSK6J01")</f>
        <v>CSK6J01</v>
      </c>
      <c r="G6571" s="238">
        <f>IFERROR(__xludf.DUMMYFUNCTION("""COMPUTED_VALUE"""),46057.0)</f>
        <v>46057</v>
      </c>
      <c r="H6571" s="238">
        <f>IFERROR(__xludf.DUMMYFUNCTION("""COMPUTED_VALUE"""),46057.08333333333)</f>
        <v>46057.08333</v>
      </c>
      <c r="J6571" s="239">
        <v>119.99999999301508</v>
      </c>
    </row>
    <row r="6572">
      <c r="A6572" s="234"/>
      <c r="B6572" s="238" t="str">
        <f>IFERROR(__xludf.DUMMYFUNCTION("""COMPUTED_VALUE"""),"LM Hub_SP_Tatuí")</f>
        <v>LM Hub_SP_Tatuí</v>
      </c>
      <c r="C6572" s="238" t="str">
        <f>IFERROR(__xludf.DUMMYFUNCTION("""COMPUTED_VALUE"""),"HUB-LSP-51")</f>
        <v>HUB-LSP-51</v>
      </c>
      <c r="D6572" s="234">
        <f>IFERROR(__xludf.DUMMYFUNCTION("""COMPUTED_VALUE"""),34.0)</f>
        <v>34</v>
      </c>
      <c r="E6572" s="237" t="str">
        <f>IFERROR(__xludf.DUMMYFUNCTION("""COMPUTED_VALUE"""),"LT0Q2401XVZ21")</f>
        <v>LT0Q2401XVZ21</v>
      </c>
      <c r="F6572" s="238" t="str">
        <f>IFERROR(__xludf.DUMMYFUNCTION("""COMPUTED_VALUE"""),"GFM6E44,AOF2G51")</f>
        <v>GFM6E44,AOF2G51</v>
      </c>
      <c r="G6572" s="238">
        <f>IFERROR(__xludf.DUMMYFUNCTION("""COMPUTED_VALUE"""),46057.0)</f>
        <v>46057</v>
      </c>
      <c r="H6572" s="238">
        <f>IFERROR(__xludf.DUMMYFUNCTION("""COMPUTED_VALUE"""),46057.08333333333)</f>
        <v>46057.08333</v>
      </c>
      <c r="J6572" s="239">
        <v>120.00000001396984</v>
      </c>
    </row>
    <row r="6573">
      <c r="A6573" s="234"/>
      <c r="B6573" s="238" t="str">
        <f>IFERROR(__xludf.DUMMYFUNCTION("""COMPUTED_VALUE"""),"LM Hub_MG_Varginha_Fausto")</f>
        <v>LM Hub_MG_Varginha_Fausto</v>
      </c>
      <c r="C6573" s="238" t="str">
        <f>IFERROR(__xludf.DUMMYFUNCTION("""COMPUTED_VALUE"""),"HUB-LMG-45")</f>
        <v>HUB-LMG-45</v>
      </c>
      <c r="D6573" s="234">
        <f>IFERROR(__xludf.DUMMYFUNCTION("""COMPUTED_VALUE"""),110.0)</f>
        <v>110</v>
      </c>
      <c r="E6573" s="237" t="str">
        <f>IFERROR(__xludf.DUMMYFUNCTION("""COMPUTED_VALUE"""),"LT0Q2401Y0YS1")</f>
        <v>LT0Q2401Y0YS1</v>
      </c>
      <c r="F6573" s="238" t="str">
        <f>IFERROR(__xludf.DUMMYFUNCTION("""COMPUTED_VALUE"""),"UGE4F30,EML4G52")</f>
        <v>UGE4F30,EML4G52</v>
      </c>
      <c r="G6573" s="238">
        <f>IFERROR(__xludf.DUMMYFUNCTION("""COMPUTED_VALUE"""),46057.02083333333)</f>
        <v>46057.02083</v>
      </c>
      <c r="H6573" s="238">
        <f>IFERROR(__xludf.DUMMYFUNCTION("""COMPUTED_VALUE"""),46057.10416666667)</f>
        <v>46057.10417</v>
      </c>
      <c r="J6573" s="239">
        <v>119.99999999301508</v>
      </c>
    </row>
    <row r="6574">
      <c r="A6574" s="234"/>
      <c r="B6574" s="238" t="str">
        <f>IFERROR(__xludf.DUMMYFUNCTION("""COMPUTED_VALUE"""),"SoC_PR_Curitiba")</f>
        <v>SoC_PR_Curitiba</v>
      </c>
      <c r="C6574" s="238" t="str">
        <f>IFERROR(__xludf.DUMMYFUNCTION("""COMPUTED_VALUE"""),"SOC-PR1")</f>
        <v>SOC-PR1</v>
      </c>
      <c r="D6574" s="234">
        <f>IFERROR(__xludf.DUMMYFUNCTION("""COMPUTED_VALUE"""),41.0)</f>
        <v>41</v>
      </c>
      <c r="E6574" s="237" t="str">
        <f>IFERROR(__xludf.DUMMYFUNCTION("""COMPUTED_VALUE"""),"LT0Q2401XVU01")</f>
        <v>LT0Q2401XVU01</v>
      </c>
      <c r="F6574" s="238" t="str">
        <f>IFERROR(__xludf.DUMMYFUNCTION("""COMPUTED_VALUE"""),"IRE9C39,SXE3H15")</f>
        <v>IRE9C39,SXE3H15</v>
      </c>
      <c r="G6574" s="238">
        <f>IFERROR(__xludf.DUMMYFUNCTION("""COMPUTED_VALUE"""),46057.04166666667)</f>
        <v>46057.04167</v>
      </c>
      <c r="H6574" s="238">
        <f>IFERROR(__xludf.DUMMYFUNCTION("""COMPUTED_VALUE"""),46057.125)</f>
        <v>46057.125</v>
      </c>
      <c r="J6574" s="239">
        <v>119.99999999301508</v>
      </c>
    </row>
    <row r="6575">
      <c r="A6575" s="234"/>
      <c r="B6575" s="238" t="str">
        <f>IFERROR(__xludf.DUMMYFUNCTION("""COMPUTED_VALUE"""),"SoC_SP_Louveira")</f>
        <v>SoC_SP_Louveira</v>
      </c>
      <c r="C6575" s="238" t="str">
        <f>IFERROR(__xludf.DUMMYFUNCTION("""COMPUTED_VALUE"""),"SOC-SP7")</f>
        <v>SOC-SP7</v>
      </c>
      <c r="D6575" s="234">
        <f>IFERROR(__xludf.DUMMYFUNCTION("""COMPUTED_VALUE"""),38.0)</f>
        <v>38</v>
      </c>
      <c r="E6575" s="237" t="str">
        <f>IFERROR(__xludf.DUMMYFUNCTION("""COMPUTED_VALUE"""),"LT0Q2401XVVY1")</f>
        <v>LT0Q2401XVVY1</v>
      </c>
      <c r="F6575" s="238" t="str">
        <f>IFERROR(__xludf.DUMMYFUNCTION("""COMPUTED_VALUE"""),"FCV1I36,TJH5E85")</f>
        <v>FCV1I36,TJH5E85</v>
      </c>
      <c r="G6575" s="238">
        <f>IFERROR(__xludf.DUMMYFUNCTION("""COMPUTED_VALUE"""),46057.04166666667)</f>
        <v>46057.04167</v>
      </c>
      <c r="H6575" s="238">
        <f>IFERROR(__xludf.DUMMYFUNCTION("""COMPUTED_VALUE"""),46057.125)</f>
        <v>46057.125</v>
      </c>
      <c r="J6575" s="239">
        <v>540.0</v>
      </c>
    </row>
    <row r="6576">
      <c r="A6576" s="234"/>
      <c r="B6576" s="238" t="str">
        <f>IFERROR(__xludf.DUMMYFUNCTION("""COMPUTED_VALUE"""),"SoC_GO_Goiânia_02")</f>
        <v>SoC_GO_Goiânia_02</v>
      </c>
      <c r="C6576" s="238" t="str">
        <f>IFERROR(__xludf.DUMMYFUNCTION("""COMPUTED_VALUE"""),"SOC-GO2")</f>
        <v>SOC-GO2</v>
      </c>
      <c r="D6576" s="234">
        <f>IFERROR(__xludf.DUMMYFUNCTION("""COMPUTED_VALUE"""),87.0)</f>
        <v>87</v>
      </c>
      <c r="E6576" s="237" t="str">
        <f>IFERROR(__xludf.DUMMYFUNCTION("""COMPUTED_VALUE"""),"LT0Q2301Y1NU2")</f>
        <v>LT0Q2301Y1NU2</v>
      </c>
      <c r="F6576" s="238" t="str">
        <f>IFERROR(__xludf.DUMMYFUNCTION("""COMPUTED_VALUE"""),"EXH9D22,EMT3E12")</f>
        <v>EXH9D22,EMT3E12</v>
      </c>
      <c r="G6576" s="238">
        <f>IFERROR(__xludf.DUMMYFUNCTION("""COMPUTED_VALUE"""),46056.79166666667)</f>
        <v>46056.79167</v>
      </c>
      <c r="H6576" s="238">
        <f>IFERROR(__xludf.DUMMYFUNCTION("""COMPUTED_VALUE"""),46057.16666666667)</f>
        <v>46057.16667</v>
      </c>
      <c r="J6576" s="239">
        <v>540.0</v>
      </c>
    </row>
    <row r="6577">
      <c r="A6577" s="234"/>
      <c r="B6577" s="238" t="str">
        <f>IFERROR(__xludf.DUMMYFUNCTION("""COMPUTED_VALUE"""),"SoC_MG_Betim")</f>
        <v>SoC_MG_Betim</v>
      </c>
      <c r="C6577" s="238" t="str">
        <f>IFERROR(__xludf.DUMMYFUNCTION("""COMPUTED_VALUE"""),"SOC-MG2")</f>
        <v>SOC-MG2</v>
      </c>
      <c r="D6577" s="234">
        <f>IFERROR(__xludf.DUMMYFUNCTION("""COMPUTED_VALUE"""),16.0)</f>
        <v>16</v>
      </c>
      <c r="E6577" s="237" t="str">
        <f>IFERROR(__xludf.DUMMYFUNCTION("""COMPUTED_VALUE"""),"LT1Q2301YBHQ1")</f>
        <v>LT1Q2301YBHQ1</v>
      </c>
      <c r="F6577" s="238" t="str">
        <f>IFERROR(__xludf.DUMMYFUNCTION("""COMPUTED_VALUE"""),"EFC9G10,TRB3I85")</f>
        <v>EFC9G10,TRB3I85</v>
      </c>
      <c r="G6577" s="238">
        <f>IFERROR(__xludf.DUMMYFUNCTION("""COMPUTED_VALUE"""),46056.79166666667)</f>
        <v>46056.79167</v>
      </c>
      <c r="H6577" s="238">
        <f>IFERROR(__xludf.DUMMYFUNCTION("""COMPUTED_VALUE"""),46057.16666666667)</f>
        <v>46057.16667</v>
      </c>
      <c r="J6577" s="239">
        <v>540.0</v>
      </c>
    </row>
    <row r="6578">
      <c r="A6578" s="234"/>
      <c r="B6578" s="238" t="str">
        <f>IFERROR(__xludf.DUMMYFUNCTION("""COMPUTED_VALUE"""),"SoC_SP_Cravinhos")</f>
        <v>SoC_SP_Cravinhos</v>
      </c>
      <c r="C6578" s="238" t="str">
        <f>IFERROR(__xludf.DUMMYFUNCTION("""COMPUTED_VALUE"""),"SOC-SP5")</f>
        <v>SOC-SP5</v>
      </c>
      <c r="D6578" s="234">
        <f>IFERROR(__xludf.DUMMYFUNCTION("""COMPUTED_VALUE"""),95.0)</f>
        <v>95</v>
      </c>
      <c r="E6578" s="237" t="str">
        <f>IFERROR(__xludf.DUMMYFUNCTION("""COMPUTED_VALUE"""),"LT0Q2301Y58S1")</f>
        <v>LT0Q2301Y58S1</v>
      </c>
      <c r="F6578" s="238" t="str">
        <f>IFERROR(__xludf.DUMMYFUNCTION("""COMPUTED_VALUE"""),"AQT0E76,EJY3D08")</f>
        <v>AQT0E76,EJY3D08</v>
      </c>
      <c r="G6578" s="238">
        <f>IFERROR(__xludf.DUMMYFUNCTION("""COMPUTED_VALUE"""),46056.79166666667)</f>
        <v>46056.79167</v>
      </c>
      <c r="H6578" s="238">
        <f>IFERROR(__xludf.DUMMYFUNCTION("""COMPUTED_VALUE"""),46057.16666666667)</f>
        <v>46057.16667</v>
      </c>
      <c r="J6578" s="239">
        <v>120.00000001396984</v>
      </c>
    </row>
    <row r="6579">
      <c r="A6579" s="234"/>
      <c r="B6579" s="238" t="str">
        <f>IFERROR(__xludf.DUMMYFUNCTION("""COMPUTED_VALUE"""),"SoC_SP_Louveira")</f>
        <v>SoC_SP_Louveira</v>
      </c>
      <c r="C6579" s="238" t="str">
        <f>IFERROR(__xludf.DUMMYFUNCTION("""COMPUTED_VALUE"""),"SOC-SP7")</f>
        <v>SOC-SP7</v>
      </c>
      <c r="D6579" s="234"/>
      <c r="E6579" s="237" t="str">
        <f>IFERROR(__xludf.DUMMYFUNCTION("""COMPUTED_VALUE"""),"LT0Q2301XVWF1")</f>
        <v>LT0Q2301XVWF1</v>
      </c>
      <c r="F6579" s="238" t="str">
        <f>IFERROR(__xludf.DUMMYFUNCTION("""COMPUTED_VALUE"""),"FGE4C82,TMC1B79")</f>
        <v>FGE4C82,TMC1B79</v>
      </c>
      <c r="G6579" s="238">
        <f>IFERROR(__xludf.DUMMYFUNCTION("""COMPUTED_VALUE"""),46057.08333333333)</f>
        <v>46057.08333</v>
      </c>
      <c r="H6579" s="238">
        <f>IFERROR(__xludf.DUMMYFUNCTION("""COMPUTED_VALUE"""),46057.16666666667)</f>
        <v>46057.16667</v>
      </c>
      <c r="J6579" s="239">
        <v>119.99999999301508</v>
      </c>
    </row>
    <row r="6580">
      <c r="A6580" s="234"/>
      <c r="B6580" s="238" t="str">
        <f>IFERROR(__xludf.DUMMYFUNCTION("""COMPUTED_VALUE"""),"LM Hub_SP_Mauá")</f>
        <v>LM Hub_SP_Mauá</v>
      </c>
      <c r="C6580" s="238" t="str">
        <f>IFERROR(__xludf.DUMMYFUNCTION("""COMPUTED_VALUE"""),"HUB-LSP-64")</f>
        <v>HUB-LSP-64</v>
      </c>
      <c r="D6580" s="234">
        <f>IFERROR(__xludf.DUMMYFUNCTION("""COMPUTED_VALUE"""),33.0)</f>
        <v>33</v>
      </c>
      <c r="E6580" s="237" t="str">
        <f>IFERROR(__xludf.DUMMYFUNCTION("""COMPUTED_VALUE"""),"LT1Q2401YBWE1")</f>
        <v>LT1Q2401YBWE1</v>
      </c>
      <c r="F6580" s="238" t="str">
        <f>IFERROR(__xludf.DUMMYFUNCTION("""COMPUTED_VALUE"""),"DPF6092,MBN9G05")</f>
        <v>DPF6092,MBN9G05</v>
      </c>
      <c r="G6580" s="238">
        <f>IFERROR(__xludf.DUMMYFUNCTION("""COMPUTED_VALUE"""),46057.086111111115)</f>
        <v>46057.08611</v>
      </c>
      <c r="H6580" s="238">
        <f>IFERROR(__xludf.DUMMYFUNCTION("""COMPUTED_VALUE"""),46057.169444444444)</f>
        <v>46057.16944</v>
      </c>
      <c r="J6580" s="239">
        <v>119.99999999301508</v>
      </c>
    </row>
    <row r="6581">
      <c r="A6581" s="234"/>
      <c r="B6581" s="238" t="str">
        <f>IFERROR(__xludf.DUMMYFUNCTION("""COMPUTED_VALUE"""),"LM Hub_SP_Itapetininga")</f>
        <v>LM Hub_SP_Itapetininga</v>
      </c>
      <c r="C6581" s="238" t="str">
        <f>IFERROR(__xludf.DUMMYFUNCTION("""COMPUTED_VALUE"""),"HUB-LSP-53")</f>
        <v>HUB-LSP-53</v>
      </c>
      <c r="D6581" s="234">
        <f>IFERROR(__xludf.DUMMYFUNCTION("""COMPUTED_VALUE"""),39.0)</f>
        <v>39</v>
      </c>
      <c r="E6581" s="237" t="str">
        <f>IFERROR(__xludf.DUMMYFUNCTION("""COMPUTED_VALUE"""),"LT0Q2401XVYW1")</f>
        <v>LT0Q2401XVYW1</v>
      </c>
      <c r="F6581" s="238" t="str">
        <f>IFERROR(__xludf.DUMMYFUNCTION("""COMPUTED_VALUE"""),"FZY3F48")</f>
        <v>FZY3F48</v>
      </c>
      <c r="G6581" s="238">
        <f>IFERROR(__xludf.DUMMYFUNCTION("""COMPUTED_VALUE"""),46057.10416666667)</f>
        <v>46057.10417</v>
      </c>
      <c r="H6581" s="238">
        <f>IFERROR(__xludf.DUMMYFUNCTION("""COMPUTED_VALUE"""),46057.1875)</f>
        <v>46057.1875</v>
      </c>
      <c r="J6581" s="239">
        <v>119.99999999301508</v>
      </c>
    </row>
    <row r="6582">
      <c r="A6582" s="234"/>
      <c r="B6582" s="238" t="str">
        <f>IFERROR(__xludf.DUMMYFUNCTION("""COMPUTED_VALUE"""),"LM Hub_SP_São Carlos")</f>
        <v>LM Hub_SP_São Carlos</v>
      </c>
      <c r="C6582" s="238" t="str">
        <f>IFERROR(__xludf.DUMMYFUNCTION("""COMPUTED_VALUE"""),"HUB-LSP-31")</f>
        <v>HUB-LSP-31</v>
      </c>
      <c r="D6582" s="234">
        <f>IFERROR(__xludf.DUMMYFUNCTION("""COMPUTED_VALUE"""),32.0)</f>
        <v>32</v>
      </c>
      <c r="E6582" s="237" t="str">
        <f>IFERROR(__xludf.DUMMYFUNCTION("""COMPUTED_VALUE"""),"LT0Q2401XW1U1")</f>
        <v>LT0Q2401XW1U1</v>
      </c>
      <c r="F6582" s="238" t="str">
        <f>IFERROR(__xludf.DUMMYFUNCTION("""COMPUTED_VALUE"""),"JCG4I58,AXE7I13")</f>
        <v>JCG4I58,AXE7I13</v>
      </c>
      <c r="G6582" s="238">
        <f>IFERROR(__xludf.DUMMYFUNCTION("""COMPUTED_VALUE"""),46057.10416666667)</f>
        <v>46057.10417</v>
      </c>
      <c r="H6582" s="238">
        <f>IFERROR(__xludf.DUMMYFUNCTION("""COMPUTED_VALUE"""),46057.1875)</f>
        <v>46057.1875</v>
      </c>
      <c r="J6582" s="239">
        <v>540.0</v>
      </c>
    </row>
    <row r="6583">
      <c r="A6583" s="234"/>
      <c r="B6583" s="238" t="str">
        <f>IFERROR(__xludf.DUMMYFUNCTION("""COMPUTED_VALUE"""),"SoC_SC_Itajaí")</f>
        <v>SoC_SC_Itajaí</v>
      </c>
      <c r="C6583" s="238" t="str">
        <f>IFERROR(__xludf.DUMMYFUNCTION("""COMPUTED_VALUE"""),"SOC-SC1")</f>
        <v>SOC-SC1</v>
      </c>
      <c r="D6583" s="234">
        <f>IFERROR(__xludf.DUMMYFUNCTION("""COMPUTED_VALUE"""),100.0)</f>
        <v>100</v>
      </c>
      <c r="E6583" s="237" t="str">
        <f>IFERROR(__xludf.DUMMYFUNCTION("""COMPUTED_VALUE"""),"LT0Q2301Y0BG2")</f>
        <v>LT0Q2301Y0BG2</v>
      </c>
      <c r="F6583" s="238" t="str">
        <f>IFERROR(__xludf.DUMMYFUNCTION("""COMPUTED_VALUE"""),"TBV9I29,UBI4A73")</f>
        <v>TBV9I29,UBI4A73</v>
      </c>
      <c r="G6583" s="238">
        <f>IFERROR(__xludf.DUMMYFUNCTION("""COMPUTED_VALUE"""),46056.83333333333)</f>
        <v>46056.83333</v>
      </c>
      <c r="H6583" s="238">
        <f>IFERROR(__xludf.DUMMYFUNCTION("""COMPUTED_VALUE"""),46057.20833333333)</f>
        <v>46057.20833</v>
      </c>
      <c r="J6583" s="239">
        <v>538.9999999967404</v>
      </c>
    </row>
    <row r="6584">
      <c r="A6584" s="234"/>
      <c r="B6584" s="238" t="str">
        <f>IFERROR(__xludf.DUMMYFUNCTION("""COMPUTED_VALUE"""),"SoC_PE_Jaboatão dos Guararapes")</f>
        <v>SoC_PE_Jaboatão dos Guararapes</v>
      </c>
      <c r="C6584" s="238" t="str">
        <f>IFERROR(__xludf.DUMMYFUNCTION("""COMPUTED_VALUE"""),"SOC-PE2")</f>
        <v>SOC-PE2</v>
      </c>
      <c r="D6584" s="234">
        <f>IFERROR(__xludf.DUMMYFUNCTION("""COMPUTED_VALUE"""),98.0)</f>
        <v>98</v>
      </c>
      <c r="E6584" s="237" t="str">
        <f>IFERROR(__xludf.DUMMYFUNCTION("""COMPUTED_VALUE"""),"LT0Q2301Y1861")</f>
        <v>LT0Q2301Y1861</v>
      </c>
      <c r="F6584" s="238" t="str">
        <f>IFERROR(__xludf.DUMMYFUNCTION("""COMPUTED_VALUE"""),"FJX1F18,EEA3H81")</f>
        <v>FJX1F18,EEA3H81</v>
      </c>
      <c r="G6584" s="238">
        <f>IFERROR(__xludf.DUMMYFUNCTION("""COMPUTED_VALUE"""),46056.834027777775)</f>
        <v>46056.83403</v>
      </c>
      <c r="H6584" s="238">
        <f>IFERROR(__xludf.DUMMYFUNCTION("""COMPUTED_VALUE"""),46057.20833333333)</f>
        <v>46057.20833</v>
      </c>
      <c r="J6584" s="239">
        <v>537.9999999934807</v>
      </c>
    </row>
    <row r="6585">
      <c r="A6585" s="234"/>
      <c r="B6585" s="238" t="str">
        <f>IFERROR(__xludf.DUMMYFUNCTION("""COMPUTED_VALUE"""),"SoC_GO_Goiânia_02")</f>
        <v>SoC_GO_Goiânia_02</v>
      </c>
      <c r="C6585" s="238" t="str">
        <f>IFERROR(__xludf.DUMMYFUNCTION("""COMPUTED_VALUE"""),"SOC-GO2")</f>
        <v>SOC-GO2</v>
      </c>
      <c r="D6585" s="234">
        <f>IFERROR(__xludf.DUMMYFUNCTION("""COMPUTED_VALUE"""),86.0)</f>
        <v>86</v>
      </c>
      <c r="E6585" s="237" t="str">
        <f>IFERROR(__xludf.DUMMYFUNCTION("""COMPUTED_VALUE"""),"LT0Q2301Y1OB3")</f>
        <v>LT0Q2301Y1OB3</v>
      </c>
      <c r="F6585" s="238" t="str">
        <f>IFERROR(__xludf.DUMMYFUNCTION("""COMPUTED_VALUE"""),"IZD3J40,TQT0H73")</f>
        <v>IZD3J40,TQT0H73</v>
      </c>
      <c r="G6585" s="238">
        <f>IFERROR(__xludf.DUMMYFUNCTION("""COMPUTED_VALUE"""),46056.83472222222)</f>
        <v>46056.83472</v>
      </c>
      <c r="H6585" s="238">
        <f>IFERROR(__xludf.DUMMYFUNCTION("""COMPUTED_VALUE"""),46057.20833333333)</f>
        <v>46057.20833</v>
      </c>
      <c r="J6585" s="239">
        <v>537.9999999934807</v>
      </c>
    </row>
    <row r="6586">
      <c r="A6586" s="234"/>
      <c r="B6586" s="238" t="str">
        <f>IFERROR(__xludf.DUMMYFUNCTION("""COMPUTED_VALUE"""),"SoC_GO_Goiânia_02")</f>
        <v>SoC_GO_Goiânia_02</v>
      </c>
      <c r="C6586" s="238" t="str">
        <f>IFERROR(__xludf.DUMMYFUNCTION("""COMPUTED_VALUE"""),"SOC-GO2")</f>
        <v>SOC-GO2</v>
      </c>
      <c r="D6586" s="234">
        <f>IFERROR(__xludf.DUMMYFUNCTION("""COMPUTED_VALUE"""),87.0)</f>
        <v>87</v>
      </c>
      <c r="E6586" s="237" t="str">
        <f>IFERROR(__xludf.DUMMYFUNCTION("""COMPUTED_VALUE"""),"LT0Q2301Y1O71")</f>
        <v>LT0Q2301Y1O71</v>
      </c>
      <c r="F6586" s="238" t="str">
        <f>IFERROR(__xludf.DUMMYFUNCTION("""COMPUTED_VALUE"""),"UFZ1I77,QSZ6B96")</f>
        <v>UFZ1I77,QSZ6B96</v>
      </c>
      <c r="G6586" s="238">
        <f>IFERROR(__xludf.DUMMYFUNCTION("""COMPUTED_VALUE"""),46056.83472222222)</f>
        <v>46056.83472</v>
      </c>
      <c r="H6586" s="238">
        <f>IFERROR(__xludf.DUMMYFUNCTION("""COMPUTED_VALUE"""),46057.20833333333)</f>
        <v>46057.20833</v>
      </c>
      <c r="J6586" s="239">
        <v>536.9999999902211</v>
      </c>
    </row>
    <row r="6587">
      <c r="A6587" s="234"/>
      <c r="B6587" s="238" t="str">
        <f>IFERROR(__xludf.DUMMYFUNCTION("""COMPUTED_VALUE"""),"SoC_RJ_Duque de Caxias")</f>
        <v>SoC_RJ_Duque de Caxias</v>
      </c>
      <c r="C6587" s="238" t="str">
        <f>IFERROR(__xludf.DUMMYFUNCTION("""COMPUTED_VALUE"""),"SOC-RJ2")</f>
        <v>SOC-RJ2</v>
      </c>
      <c r="D6587" s="234">
        <f>IFERROR(__xludf.DUMMYFUNCTION("""COMPUTED_VALUE"""),97.0)</f>
        <v>97</v>
      </c>
      <c r="E6587" s="237" t="str">
        <f>IFERROR(__xludf.DUMMYFUNCTION("""COMPUTED_VALUE"""),"LT0Q2301XXXT2")</f>
        <v>LT0Q2301XXXT2</v>
      </c>
      <c r="F6587" s="238" t="str">
        <f>IFERROR(__xludf.DUMMYFUNCTION("""COMPUTED_VALUE"""),"FOT0I16,UFH9F90")</f>
        <v>FOT0I16,UFH9F90</v>
      </c>
      <c r="G6587" s="238">
        <f>IFERROR(__xludf.DUMMYFUNCTION("""COMPUTED_VALUE"""),46056.83541666667)</f>
        <v>46056.83542</v>
      </c>
      <c r="H6587" s="238">
        <f>IFERROR(__xludf.DUMMYFUNCTION("""COMPUTED_VALUE"""),46057.20833333333)</f>
        <v>46057.20833</v>
      </c>
      <c r="J6587" s="239">
        <v>536.9999999902211</v>
      </c>
    </row>
    <row r="6588">
      <c r="A6588" s="234"/>
      <c r="B6588" s="238" t="str">
        <f>IFERROR(__xludf.DUMMYFUNCTION("""COMPUTED_VALUE"""),"SoC_RJ_Duque de Caxias")</f>
        <v>SoC_RJ_Duque de Caxias</v>
      </c>
      <c r="C6588" s="238" t="str">
        <f>IFERROR(__xludf.DUMMYFUNCTION("""COMPUTED_VALUE"""),"SOC-RJ2")</f>
        <v>SOC-RJ2</v>
      </c>
      <c r="D6588" s="234">
        <f>IFERROR(__xludf.DUMMYFUNCTION("""COMPUTED_VALUE"""),96.0)</f>
        <v>96</v>
      </c>
      <c r="E6588" s="237" t="str">
        <f>IFERROR(__xludf.DUMMYFUNCTION("""COMPUTED_VALUE"""),"LT0Q2301XXXW4")</f>
        <v>LT0Q2301XXXW4</v>
      </c>
      <c r="F6588" s="238" t="str">
        <f>IFERROR(__xludf.DUMMYFUNCTION("""COMPUTED_VALUE"""),"MLO0H90,GIJ0E53")</f>
        <v>MLO0H90,GIJ0E53</v>
      </c>
      <c r="G6588" s="238">
        <f>IFERROR(__xludf.DUMMYFUNCTION("""COMPUTED_VALUE"""),46056.83541666667)</f>
        <v>46056.83542</v>
      </c>
      <c r="H6588" s="238">
        <f>IFERROR(__xludf.DUMMYFUNCTION("""COMPUTED_VALUE"""),46057.20833333333)</f>
        <v>46057.20833</v>
      </c>
      <c r="J6588" s="239">
        <v>419.99999998603016</v>
      </c>
    </row>
    <row r="6589">
      <c r="A6589" s="234"/>
      <c r="B6589" s="238" t="str">
        <f>IFERROR(__xludf.DUMMYFUNCTION("""COMPUTED_VALUE"""),"SoC_MG_Betim")</f>
        <v>SoC_MG_Betim</v>
      </c>
      <c r="C6589" s="238" t="str">
        <f>IFERROR(__xludf.DUMMYFUNCTION("""COMPUTED_VALUE"""),"SOC-MG2")</f>
        <v>SOC-MG2</v>
      </c>
      <c r="D6589" s="234">
        <f>IFERROR(__xludf.DUMMYFUNCTION("""COMPUTED_VALUE"""),91.0)</f>
        <v>91</v>
      </c>
      <c r="E6589" s="237" t="str">
        <f>IFERROR(__xludf.DUMMYFUNCTION("""COMPUTED_VALUE"""),"LT1Q2301YAZA1")</f>
        <v>LT1Q2301YAZA1</v>
      </c>
      <c r="F6589" s="238" t="str">
        <f>IFERROR(__xludf.DUMMYFUNCTION("""COMPUTED_VALUE"""),"ETM1G31,SXR9F60")</f>
        <v>ETM1G31,SXR9F60</v>
      </c>
      <c r="G6589" s="238">
        <f>IFERROR(__xludf.DUMMYFUNCTION("""COMPUTED_VALUE"""),46056.91666666667)</f>
        <v>46056.91667</v>
      </c>
      <c r="H6589" s="238">
        <f>IFERROR(__xludf.DUMMYFUNCTION("""COMPUTED_VALUE"""),46057.20833333333)</f>
        <v>46057.20833</v>
      </c>
      <c r="J6589" s="239">
        <v>419.99999998603016</v>
      </c>
    </row>
    <row r="6590">
      <c r="A6590" s="234"/>
      <c r="B6590" s="238" t="str">
        <f>IFERROR(__xludf.DUMMYFUNCTION("""COMPUTED_VALUE"""),"SoC_PR_Curitiba")</f>
        <v>SoC_PR_Curitiba</v>
      </c>
      <c r="C6590" s="238" t="str">
        <f>IFERROR(__xludf.DUMMYFUNCTION("""COMPUTED_VALUE"""),"SOC-PR1")</f>
        <v>SOC-PR1</v>
      </c>
      <c r="D6590" s="234">
        <f>IFERROR(__xludf.DUMMYFUNCTION("""COMPUTED_VALUE"""),42.0)</f>
        <v>42</v>
      </c>
      <c r="E6590" s="237" t="str">
        <f>IFERROR(__xludf.DUMMYFUNCTION("""COMPUTED_VALUE"""),"LT1Q2301YAZC1")</f>
        <v>LT1Q2301YAZC1</v>
      </c>
      <c r="F6590" s="238" t="str">
        <f>IFERROR(__xludf.DUMMYFUNCTION("""COMPUTED_VALUE"""),"GDQ7J58,RAE3490")</f>
        <v>GDQ7J58,RAE3490</v>
      </c>
      <c r="G6590" s="238">
        <f>IFERROR(__xludf.DUMMYFUNCTION("""COMPUTED_VALUE"""),46056.91666666667)</f>
        <v>46056.91667</v>
      </c>
      <c r="H6590" s="238">
        <f>IFERROR(__xludf.DUMMYFUNCTION("""COMPUTED_VALUE"""),46057.20833333333)</f>
        <v>46057.20833</v>
      </c>
      <c r="J6590" s="239">
        <v>419.99999998603016</v>
      </c>
    </row>
    <row r="6591">
      <c r="A6591" s="234"/>
      <c r="B6591" s="238" t="str">
        <f>IFERROR(__xludf.DUMMYFUNCTION("""COMPUTED_VALUE"""),"SoC_RS_Gravataí_02")</f>
        <v>SoC_RS_Gravataí_02</v>
      </c>
      <c r="C6591" s="238" t="str">
        <f>IFERROR(__xludf.DUMMYFUNCTION("""COMPUTED_VALUE"""),"SOC-RS2")</f>
        <v>SOC-RS2</v>
      </c>
      <c r="D6591" s="234">
        <f>IFERROR(__xludf.DUMMYFUNCTION("""COMPUTED_VALUE"""),93.0)</f>
        <v>93</v>
      </c>
      <c r="E6591" s="237" t="str">
        <f>IFERROR(__xludf.DUMMYFUNCTION("""COMPUTED_VALUE"""),"LT1Q2301YAZE1")</f>
        <v>LT1Q2301YAZE1</v>
      </c>
      <c r="F6591" s="238" t="str">
        <f>IFERROR(__xludf.DUMMYFUNCTION("""COMPUTED_VALUE"""),"QJT2H39,TQR4F01")</f>
        <v>QJT2H39,TQR4F01</v>
      </c>
      <c r="G6591" s="238">
        <f>IFERROR(__xludf.DUMMYFUNCTION("""COMPUTED_VALUE"""),46056.91666666667)</f>
        <v>46056.91667</v>
      </c>
      <c r="H6591" s="238">
        <f>IFERROR(__xludf.DUMMYFUNCTION("""COMPUTED_VALUE"""),46057.20833333333)</f>
        <v>46057.20833</v>
      </c>
      <c r="J6591" s="239">
        <v>419.99999998603016</v>
      </c>
    </row>
    <row r="6592">
      <c r="A6592" s="234"/>
      <c r="B6592" s="238" t="str">
        <f>IFERROR(__xludf.DUMMYFUNCTION("""COMPUTED_VALUE"""),"SoC_SC_Itajaí")</f>
        <v>SoC_SC_Itajaí</v>
      </c>
      <c r="C6592" s="238" t="str">
        <f>IFERROR(__xludf.DUMMYFUNCTION("""COMPUTED_VALUE"""),"SOC-SC1")</f>
        <v>SOC-SC1</v>
      </c>
      <c r="D6592" s="234">
        <f>IFERROR(__xludf.DUMMYFUNCTION("""COMPUTED_VALUE"""),101.0)</f>
        <v>101</v>
      </c>
      <c r="E6592" s="237" t="str">
        <f>IFERROR(__xludf.DUMMYFUNCTION("""COMPUTED_VALUE"""),"LT1Q2301YAZF1")</f>
        <v>LT1Q2301YAZF1</v>
      </c>
      <c r="F6592" s="238" t="str">
        <f>IFERROR(__xludf.DUMMYFUNCTION("""COMPUTED_VALUE"""),"BXD0C47,EMT7G51")</f>
        <v>BXD0C47,EMT7G51</v>
      </c>
      <c r="G6592" s="238">
        <f>IFERROR(__xludf.DUMMYFUNCTION("""COMPUTED_VALUE"""),46056.91666666667)</f>
        <v>46056.91667</v>
      </c>
      <c r="H6592" s="238">
        <f>IFERROR(__xludf.DUMMYFUNCTION("""COMPUTED_VALUE"""),46057.20833333333)</f>
        <v>46057.20833</v>
      </c>
      <c r="J6592" s="239">
        <v>419.99999998603016</v>
      </c>
    </row>
    <row r="6593">
      <c r="A6593" s="234"/>
      <c r="B6593" s="238" t="str">
        <f>IFERROR(__xludf.DUMMYFUNCTION("""COMPUTED_VALUE"""),"SoC_SP_Cravinhos")</f>
        <v>SoC_SP_Cravinhos</v>
      </c>
      <c r="C6593" s="238" t="str">
        <f>IFERROR(__xludf.DUMMYFUNCTION("""COMPUTED_VALUE"""),"SOC-SP5")</f>
        <v>SOC-SP5</v>
      </c>
      <c r="D6593" s="234"/>
      <c r="E6593" s="237" t="str">
        <f>IFERROR(__xludf.DUMMYFUNCTION("""COMPUTED_VALUE"""),"LT1Q2301YB2N1")</f>
        <v>LT1Q2301YB2N1</v>
      </c>
      <c r="F6593" s="234"/>
      <c r="G6593" s="238">
        <f>IFERROR(__xludf.DUMMYFUNCTION("""COMPUTED_VALUE"""),46056.91666666667)</f>
        <v>46056.91667</v>
      </c>
      <c r="H6593" s="238">
        <f>IFERROR(__xludf.DUMMYFUNCTION("""COMPUTED_VALUE"""),46057.20833333333)</f>
        <v>46057.20833</v>
      </c>
      <c r="J6593" s="239">
        <v>360.0</v>
      </c>
    </row>
    <row r="6594">
      <c r="A6594" s="234"/>
      <c r="B6594" s="238" t="str">
        <f>IFERROR(__xludf.DUMMYFUNCTION("""COMPUTED_VALUE"""),"SoC_RJ_Duque de Caxias")</f>
        <v>SoC_RJ_Duque de Caxias</v>
      </c>
      <c r="C6594" s="238" t="str">
        <f>IFERROR(__xludf.DUMMYFUNCTION("""COMPUTED_VALUE"""),"SOC-RJ2")</f>
        <v>SOC-RJ2</v>
      </c>
      <c r="D6594" s="234">
        <f>IFERROR(__xludf.DUMMYFUNCTION("""COMPUTED_VALUE"""),19.0)</f>
        <v>19</v>
      </c>
      <c r="E6594" s="237" t="str">
        <f>IFERROR(__xludf.DUMMYFUNCTION("""COMPUTED_VALUE"""),"LT1Q2301YAZ81")</f>
        <v>LT1Q2301YAZ81</v>
      </c>
      <c r="F6594" s="238" t="str">
        <f>IFERROR(__xludf.DUMMYFUNCTION("""COMPUTED_VALUE"""),"ENE0B35,KRQ9G49")</f>
        <v>ENE0B35,KRQ9G49</v>
      </c>
      <c r="G6594" s="238">
        <f>IFERROR(__xludf.DUMMYFUNCTION("""COMPUTED_VALUE"""),46056.95833333333)</f>
        <v>46056.95833</v>
      </c>
      <c r="H6594" s="238">
        <f>IFERROR(__xludf.DUMMYFUNCTION("""COMPUTED_VALUE"""),46057.20833333333)</f>
        <v>46057.20833</v>
      </c>
      <c r="J6594" s="239">
        <v>119.99999999301508</v>
      </c>
    </row>
    <row r="6595">
      <c r="A6595" s="234"/>
      <c r="B6595" s="238" t="str">
        <f>IFERROR(__xludf.DUMMYFUNCTION("""COMPUTED_VALUE"""),"LM Hub_SP_Itapeva")</f>
        <v>LM Hub_SP_Itapeva</v>
      </c>
      <c r="C6595" s="238" t="str">
        <f>IFERROR(__xludf.DUMMYFUNCTION("""COMPUTED_VALUE"""),"HUB-LSP-39")</f>
        <v>HUB-LSP-39</v>
      </c>
      <c r="D6595" s="234">
        <f>IFERROR(__xludf.DUMMYFUNCTION("""COMPUTED_VALUE"""),36.0)</f>
        <v>36</v>
      </c>
      <c r="E6595" s="237" t="str">
        <f>IFERROR(__xludf.DUMMYFUNCTION("""COMPUTED_VALUE"""),"LT0Q2401XVZA1")</f>
        <v>LT0Q2401XVZA1</v>
      </c>
      <c r="F6595" s="238" t="str">
        <f>IFERROR(__xludf.DUMMYFUNCTION("""COMPUTED_VALUE"""),"FCT0G14,FCT0E51")</f>
        <v>FCT0G14,FCT0E51</v>
      </c>
      <c r="G6595" s="238">
        <f>IFERROR(__xludf.DUMMYFUNCTION("""COMPUTED_VALUE"""),46057.125)</f>
        <v>46057.125</v>
      </c>
      <c r="H6595" s="238">
        <f>IFERROR(__xludf.DUMMYFUNCTION("""COMPUTED_VALUE"""),46057.20833333333)</f>
        <v>46057.20833</v>
      </c>
      <c r="J6595" s="239">
        <v>119.99999999301508</v>
      </c>
    </row>
    <row r="6596">
      <c r="A6596" s="234"/>
      <c r="B6596" s="238" t="str">
        <f>IFERROR(__xludf.DUMMYFUNCTION("""COMPUTED_VALUE"""),"LM Hub_SP_Limeira_Campo Belo")</f>
        <v>LM Hub_SP_Limeira_Campo Belo</v>
      </c>
      <c r="C6596" s="238" t="str">
        <f>IFERROR(__xludf.DUMMYFUNCTION("""COMPUTED_VALUE"""),"HUB-LSP-24")</f>
        <v>HUB-LSP-24</v>
      </c>
      <c r="D6596" s="234">
        <f>IFERROR(__xludf.DUMMYFUNCTION("""COMPUTED_VALUE"""),7.0)</f>
        <v>7</v>
      </c>
      <c r="E6596" s="237" t="str">
        <f>IFERROR(__xludf.DUMMYFUNCTION("""COMPUTED_VALUE"""),"LT0Q2401XW191")</f>
        <v>LT0Q2401XW191</v>
      </c>
      <c r="F6596" s="238" t="str">
        <f>IFERROR(__xludf.DUMMYFUNCTION("""COMPUTED_VALUE"""),"GFT5J70,GBH5G53")</f>
        <v>GFT5J70,GBH5G53</v>
      </c>
      <c r="G6596" s="238">
        <f>IFERROR(__xludf.DUMMYFUNCTION("""COMPUTED_VALUE"""),46057.125)</f>
        <v>46057.125</v>
      </c>
      <c r="H6596" s="238">
        <f>IFERROR(__xludf.DUMMYFUNCTION("""COMPUTED_VALUE"""),46057.20833333333)</f>
        <v>46057.20833</v>
      </c>
      <c r="J6596" s="239">
        <v>119.99999999301508</v>
      </c>
    </row>
    <row r="6597">
      <c r="A6597" s="234"/>
      <c r="B6597" s="238" t="str">
        <f>IFERROR(__xludf.DUMMYFUNCTION("""COMPUTED_VALUE"""),"LM Hub_SP_Sumaré_Nova Veneza_1")</f>
        <v>LM Hub_SP_Sumaré_Nova Veneza_1</v>
      </c>
      <c r="C6597" s="238" t="str">
        <f>IFERROR(__xludf.DUMMYFUNCTION("""COMPUTED_VALUE"""),"HUB-LSP-88")</f>
        <v>HUB-LSP-88</v>
      </c>
      <c r="D6597" s="234">
        <f>IFERROR(__xludf.DUMMYFUNCTION("""COMPUTED_VALUE"""),18.0)</f>
        <v>18</v>
      </c>
      <c r="E6597" s="237" t="str">
        <f>IFERROR(__xludf.DUMMYFUNCTION("""COMPUTED_VALUE"""),"LT0Q2401Y0TJ1")</f>
        <v>LT0Q2401Y0TJ1</v>
      </c>
      <c r="F6597" s="238" t="str">
        <f>IFERROR(__xludf.DUMMYFUNCTION("""COMPUTED_VALUE"""),"BHP5D68,GCQ5332")</f>
        <v>BHP5D68,GCQ5332</v>
      </c>
      <c r="G6597" s="238">
        <f>IFERROR(__xludf.DUMMYFUNCTION("""COMPUTED_VALUE"""),46057.125)</f>
        <v>46057.125</v>
      </c>
      <c r="H6597" s="238">
        <f>IFERROR(__xludf.DUMMYFUNCTION("""COMPUTED_VALUE"""),46057.20833333333)</f>
        <v>46057.20833</v>
      </c>
      <c r="J6597" s="239">
        <v>119.99999999301508</v>
      </c>
    </row>
    <row r="6598">
      <c r="A6598" s="234"/>
      <c r="B6598" s="238" t="str">
        <f>IFERROR(__xludf.DUMMYFUNCTION("""COMPUTED_VALUE"""),"SoC_BA_Simoes Filho")</f>
        <v>SoC_BA_Simoes Filho</v>
      </c>
      <c r="C6598" s="238" t="str">
        <f>IFERROR(__xludf.DUMMYFUNCTION("""COMPUTED_VALUE"""),"SOC-BA2")</f>
        <v>SOC-BA2</v>
      </c>
      <c r="D6598" s="234">
        <f>IFERROR(__xludf.DUMMYFUNCTION("""COMPUTED_VALUE"""),89.0)</f>
        <v>89</v>
      </c>
      <c r="E6598" s="237" t="str">
        <f>IFERROR(__xludf.DUMMYFUNCTION("""COMPUTED_VALUE"""),"LT1Q2401YBL51")</f>
        <v>LT1Q2401YBL51</v>
      </c>
      <c r="F6598" s="238" t="str">
        <f>IFERROR(__xludf.DUMMYFUNCTION("""COMPUTED_VALUE"""),"FPJ4E97,RCV4F44")</f>
        <v>FPJ4E97,RCV4F44</v>
      </c>
      <c r="G6598" s="238">
        <f>IFERROR(__xludf.DUMMYFUNCTION("""COMPUTED_VALUE"""),46057.125)</f>
        <v>46057.125</v>
      </c>
      <c r="H6598" s="238">
        <f>IFERROR(__xludf.DUMMYFUNCTION("""COMPUTED_VALUE"""),46057.20833333333)</f>
        <v>46057.20833</v>
      </c>
      <c r="J6598" s="239">
        <v>119.99999999301508</v>
      </c>
    </row>
    <row r="6599">
      <c r="A6599" s="234"/>
      <c r="B6599" s="238" t="str">
        <f>IFERROR(__xludf.DUMMYFUNCTION("""COMPUTED_VALUE"""),"SoC_PE_Jaboatão dos Guararapes")</f>
        <v>SoC_PE_Jaboatão dos Guararapes</v>
      </c>
      <c r="C6599" s="238" t="str">
        <f>IFERROR(__xludf.DUMMYFUNCTION("""COMPUTED_VALUE"""),"SOC-PE2")</f>
        <v>SOC-PE2</v>
      </c>
      <c r="D6599" s="234">
        <f>IFERROR(__xludf.DUMMYFUNCTION("""COMPUTED_VALUE"""),116.0)</f>
        <v>116</v>
      </c>
      <c r="E6599" s="237" t="str">
        <f>IFERROR(__xludf.DUMMYFUNCTION("""COMPUTED_VALUE"""),"LT1Q2401YBL61")</f>
        <v>LT1Q2401YBL61</v>
      </c>
      <c r="F6599" s="238" t="str">
        <f>IFERROR(__xludf.DUMMYFUNCTION("""COMPUTED_VALUE"""),"GIJ0F16,TCA2H62")</f>
        <v>GIJ0F16,TCA2H62</v>
      </c>
      <c r="G6599" s="238">
        <f>IFERROR(__xludf.DUMMYFUNCTION("""COMPUTED_VALUE"""),46057.125)</f>
        <v>46057.125</v>
      </c>
      <c r="H6599" s="238">
        <f>IFERROR(__xludf.DUMMYFUNCTION("""COMPUTED_VALUE"""),46057.20833333333)</f>
        <v>46057.20833</v>
      </c>
      <c r="J6599" s="239">
        <v>119.99999999301508</v>
      </c>
    </row>
    <row r="6600">
      <c r="A6600" s="234"/>
      <c r="B6600" s="238" t="str">
        <f>IFERROR(__xludf.DUMMYFUNCTION("""COMPUTED_VALUE"""),"SoC_PR_Curitiba")</f>
        <v>SoC_PR_Curitiba</v>
      </c>
      <c r="C6600" s="238" t="str">
        <f>IFERROR(__xludf.DUMMYFUNCTION("""COMPUTED_VALUE"""),"SOC-PR1")</f>
        <v>SOC-PR1</v>
      </c>
      <c r="D6600" s="234"/>
      <c r="E6600" s="237" t="str">
        <f>IFERROR(__xludf.DUMMYFUNCTION("""COMPUTED_VALUE"""),"LT0Q2401XVTV1")</f>
        <v>LT0Q2401XVTV1</v>
      </c>
      <c r="F6600" s="238" t="str">
        <f>IFERROR(__xludf.DUMMYFUNCTION("""COMPUTED_VALUE"""),"UAW6H39,TJR6H37")</f>
        <v>UAW6H39,TJR6H37</v>
      </c>
      <c r="G6600" s="238">
        <f>IFERROR(__xludf.DUMMYFUNCTION("""COMPUTED_VALUE"""),46057.125)</f>
        <v>46057.125</v>
      </c>
      <c r="H6600" s="238">
        <f>IFERROR(__xludf.DUMMYFUNCTION("""COMPUTED_VALUE"""),46057.20833333333)</f>
        <v>46057.20833</v>
      </c>
      <c r="J6600" s="239">
        <v>119.99999999301508</v>
      </c>
    </row>
    <row r="6601">
      <c r="A6601" s="234"/>
      <c r="B6601" s="238" t="str">
        <f>IFERROR(__xludf.DUMMYFUNCTION("""COMPUTED_VALUE"""),"SoC_SP_Guarulhos")</f>
        <v>SoC_SP_Guarulhos</v>
      </c>
      <c r="C6601" s="238" t="str">
        <f>IFERROR(__xludf.DUMMYFUNCTION("""COMPUTED_VALUE"""),"SOC-SP6")</f>
        <v>SOC-SP6</v>
      </c>
      <c r="D6601" s="234">
        <f>IFERROR(__xludf.DUMMYFUNCTION("""COMPUTED_VALUE"""),43.0)</f>
        <v>43</v>
      </c>
      <c r="E6601" s="237" t="str">
        <f>IFERROR(__xludf.DUMMYFUNCTION("""COMPUTED_VALUE"""),"LT0Q2401XWZE1")</f>
        <v>LT0Q2401XWZE1</v>
      </c>
      <c r="F6601" s="238" t="str">
        <f>IFERROR(__xludf.DUMMYFUNCTION("""COMPUTED_VALUE"""),"EWJ2F50,EVO3C99")</f>
        <v>EWJ2F50,EVO3C99</v>
      </c>
      <c r="G6601" s="238">
        <f>IFERROR(__xludf.DUMMYFUNCTION("""COMPUTED_VALUE"""),46057.125)</f>
        <v>46057.125</v>
      </c>
      <c r="H6601" s="238">
        <f>IFERROR(__xludf.DUMMYFUNCTION("""COMPUTED_VALUE"""),46057.20833333333)</f>
        <v>46057.20833</v>
      </c>
      <c r="J6601" s="239">
        <v>119.99999999301508</v>
      </c>
    </row>
    <row r="6602">
      <c r="A6602" s="234"/>
      <c r="B6602" s="238" t="str">
        <f>IFERROR(__xludf.DUMMYFUNCTION("""COMPUTED_VALUE"""),"SoC_SP_Louveira")</f>
        <v>SoC_SP_Louveira</v>
      </c>
      <c r="C6602" s="238" t="str">
        <f>IFERROR(__xludf.DUMMYFUNCTION("""COMPUTED_VALUE"""),"SOC-SP7")</f>
        <v>SOC-SP7</v>
      </c>
      <c r="D6602" s="234">
        <f>IFERROR(__xludf.DUMMYFUNCTION("""COMPUTED_VALUE"""),38.0)</f>
        <v>38</v>
      </c>
      <c r="E6602" s="237" t="str">
        <f>IFERROR(__xludf.DUMMYFUNCTION("""COMPUTED_VALUE"""),"LT1Q2401YBHV1")</f>
        <v>LT1Q2401YBHV1</v>
      </c>
      <c r="F6602" s="238" t="str">
        <f>IFERROR(__xludf.DUMMYFUNCTION("""COMPUTED_VALUE"""),"CUA5J41,BYC4G64")</f>
        <v>CUA5J41,BYC4G64</v>
      </c>
      <c r="G6602" s="238">
        <f>IFERROR(__xludf.DUMMYFUNCTION("""COMPUTED_VALUE"""),46057.125)</f>
        <v>46057.125</v>
      </c>
      <c r="H6602" s="238">
        <f>IFERROR(__xludf.DUMMYFUNCTION("""COMPUTED_VALUE"""),46057.20833333333)</f>
        <v>46057.20833</v>
      </c>
      <c r="J6602" s="239">
        <v>119.99999999301508</v>
      </c>
    </row>
    <row r="6603">
      <c r="A6603" s="234"/>
      <c r="B6603" s="238" t="str">
        <f>IFERROR(__xludf.DUMMYFUNCTION("""COMPUTED_VALUE"""),"SoC_SP_Santana")</f>
        <v>SoC_SP_Santana</v>
      </c>
      <c r="C6603" s="238" t="str">
        <f>IFERROR(__xludf.DUMMYFUNCTION("""COMPUTED_VALUE"""),"SOC-SP2")</f>
        <v>SOC-SP2</v>
      </c>
      <c r="D6603" s="234">
        <f>IFERROR(__xludf.DUMMYFUNCTION("""COMPUTED_VALUE"""),28.0)</f>
        <v>28</v>
      </c>
      <c r="E6603" s="237" t="str">
        <f>IFERROR(__xludf.DUMMYFUNCTION("""COMPUTED_VALUE"""),"LT0Q2401Y5EQ1")</f>
        <v>LT0Q2401Y5EQ1</v>
      </c>
      <c r="F6603" s="238" t="str">
        <f>IFERROR(__xludf.DUMMYFUNCTION("""COMPUTED_VALUE"""),"EFU9C99,IND2879")</f>
        <v>EFU9C99,IND2879</v>
      </c>
      <c r="G6603" s="238">
        <f>IFERROR(__xludf.DUMMYFUNCTION("""COMPUTED_VALUE"""),46057.125)</f>
        <v>46057.125</v>
      </c>
      <c r="H6603" s="238">
        <f>IFERROR(__xludf.DUMMYFUNCTION("""COMPUTED_VALUE"""),46057.20833333333)</f>
        <v>46057.20833</v>
      </c>
      <c r="J6603" s="239">
        <v>59.99999998603016</v>
      </c>
    </row>
    <row r="6604">
      <c r="A6604" s="234"/>
      <c r="B6604" s="238" t="str">
        <f>IFERROR(__xludf.DUMMYFUNCTION("""COMPUTED_VALUE"""),"LM Hub_RJ_São João do Meriti")</f>
        <v>LM Hub_RJ_São João do Meriti</v>
      </c>
      <c r="C6604" s="238" t="str">
        <f>IFERROR(__xludf.DUMMYFUNCTION("""COMPUTED_VALUE"""),"HUB-LRJ-01")</f>
        <v>HUB-LRJ-01</v>
      </c>
      <c r="D6604" s="234">
        <f>IFERROR(__xludf.DUMMYFUNCTION("""COMPUTED_VALUE"""),110.0)</f>
        <v>110</v>
      </c>
      <c r="E6604" s="237" t="str">
        <f>IFERROR(__xludf.DUMMYFUNCTION("""COMPUTED_VALUE"""),"LT1Q2401YBWL1")</f>
        <v>LT1Q2401YBWL1</v>
      </c>
      <c r="F6604" s="238" t="str">
        <f>IFERROR(__xludf.DUMMYFUNCTION("""COMPUTED_VALUE"""),"SWK9I32,SUK7D45")</f>
        <v>SWK9I32,SUK7D45</v>
      </c>
      <c r="G6604" s="238">
        <f>IFERROR(__xludf.DUMMYFUNCTION("""COMPUTED_VALUE"""),46057.17569444445)</f>
        <v>46057.17569</v>
      </c>
      <c r="H6604" s="238">
        <f>IFERROR(__xludf.DUMMYFUNCTION("""COMPUTED_VALUE"""),46057.21736111111)</f>
        <v>46057.21736</v>
      </c>
      <c r="J6604" s="239">
        <v>120.00000001396984</v>
      </c>
    </row>
    <row r="6605">
      <c r="A6605" s="234"/>
      <c r="B6605" s="238" t="str">
        <f>IFERROR(__xludf.DUMMYFUNCTION("""COMPUTED_VALUE"""),"LM Hub_SP_Mogi Mirim")</f>
        <v>LM Hub_SP_Mogi Mirim</v>
      </c>
      <c r="C6605" s="238" t="str">
        <f>IFERROR(__xludf.DUMMYFUNCTION("""COMPUTED_VALUE"""),"HUB-LSP-37")</f>
        <v>HUB-LSP-37</v>
      </c>
      <c r="D6605" s="234">
        <f>IFERROR(__xludf.DUMMYFUNCTION("""COMPUTED_VALUE"""),13.0)</f>
        <v>13</v>
      </c>
      <c r="E6605" s="237" t="str">
        <f>IFERROR(__xludf.DUMMYFUNCTION("""COMPUTED_VALUE"""),"LT0Q2401XW261")</f>
        <v>LT0Q2401XW261</v>
      </c>
      <c r="F6605" s="238" t="str">
        <f>IFERROR(__xludf.DUMMYFUNCTION("""COMPUTED_VALUE"""),"UGL9D30,SJN7D07")</f>
        <v>UGL9D30,SJN7D07</v>
      </c>
      <c r="G6605" s="238">
        <f>IFERROR(__xludf.DUMMYFUNCTION("""COMPUTED_VALUE"""),46057.14583333333)</f>
        <v>46057.14583</v>
      </c>
      <c r="H6605" s="238">
        <f>IFERROR(__xludf.DUMMYFUNCTION("""COMPUTED_VALUE"""),46057.22916666667)</f>
        <v>46057.22917</v>
      </c>
      <c r="J6605" s="239">
        <v>119.00000001071021</v>
      </c>
    </row>
    <row r="6606">
      <c r="A6606" s="234"/>
      <c r="B6606" s="238" t="str">
        <f>IFERROR(__xludf.DUMMYFUNCTION("""COMPUTED_VALUE"""),"LM Hub_SP_Campinas_São Martinho")</f>
        <v>LM Hub_SP_Campinas_São Martinho</v>
      </c>
      <c r="C6606" s="238" t="str">
        <f>IFERROR(__xludf.DUMMYFUNCTION("""COMPUTED_VALUE"""),"HUB-LSP-19")</f>
        <v>HUB-LSP-19</v>
      </c>
      <c r="D6606" s="234"/>
      <c r="E6606" s="237" t="str">
        <f>IFERROR(__xludf.DUMMYFUNCTION("""COMPUTED_VALUE"""),"LT0Q2401XW4C1")</f>
        <v>LT0Q2401XW4C1</v>
      </c>
      <c r="F6606" s="238" t="str">
        <f>IFERROR(__xludf.DUMMYFUNCTION("""COMPUTED_VALUE"""),"GCJ6G71,EFW1695")</f>
        <v>GCJ6G71,EFW1695</v>
      </c>
      <c r="G6606" s="238">
        <f>IFERROR(__xludf.DUMMYFUNCTION("""COMPUTED_VALUE"""),46057.146527777775)</f>
        <v>46057.14653</v>
      </c>
      <c r="H6606" s="238">
        <f>IFERROR(__xludf.DUMMYFUNCTION("""COMPUTED_VALUE"""),46057.22916666667)</f>
        <v>46057.22917</v>
      </c>
      <c r="J6606" s="239">
        <v>119.99999999301508</v>
      </c>
    </row>
    <row r="6607">
      <c r="A6607" s="234"/>
      <c r="B6607" s="238" t="str">
        <f>IFERROR(__xludf.DUMMYFUNCTION("""COMPUTED_VALUE"""),"LM Hub_SP_Guaratinguetá")</f>
        <v>LM Hub_SP_Guaratinguetá</v>
      </c>
      <c r="C6607" s="238" t="str">
        <f>IFERROR(__xludf.DUMMYFUNCTION("""COMPUTED_VALUE"""),"HUB-LSP-33")</f>
        <v>HUB-LSP-33</v>
      </c>
      <c r="D6607" s="234">
        <f>IFERROR(__xludf.DUMMYFUNCTION("""COMPUTED_VALUE"""),22.0)</f>
        <v>22</v>
      </c>
      <c r="E6607" s="237" t="str">
        <f>IFERROR(__xludf.DUMMYFUNCTION("""COMPUTED_VALUE"""),"LT0Q2401XW071")</f>
        <v>LT0Q2401XW071</v>
      </c>
      <c r="F6607" s="238" t="str">
        <f>IFERROR(__xludf.DUMMYFUNCTION("""COMPUTED_VALUE"""),"SUK7E04,GBX1009")</f>
        <v>SUK7E04,GBX1009</v>
      </c>
      <c r="G6607" s="238">
        <f>IFERROR(__xludf.DUMMYFUNCTION("""COMPUTED_VALUE"""),46057.16666666667)</f>
        <v>46057.16667</v>
      </c>
      <c r="H6607" s="238">
        <f>IFERROR(__xludf.DUMMYFUNCTION("""COMPUTED_VALUE"""),46057.25)</f>
        <v>46057.25</v>
      </c>
      <c r="J6607" s="239">
        <v>119.99999999301508</v>
      </c>
    </row>
    <row r="6608">
      <c r="A6608" s="234"/>
      <c r="B6608" s="238" t="str">
        <f>IFERROR(__xludf.DUMMYFUNCTION("""COMPUTED_VALUE"""),"LM Hub_SP_Registro")</f>
        <v>LM Hub_SP_Registro</v>
      </c>
      <c r="C6608" s="238" t="str">
        <f>IFERROR(__xludf.DUMMYFUNCTION("""COMPUTED_VALUE"""),"HUB-LSP-40")</f>
        <v>HUB-LSP-40</v>
      </c>
      <c r="D6608" s="234">
        <f>IFERROR(__xludf.DUMMYFUNCTION("""COMPUTED_VALUE"""),45.0)</f>
        <v>45</v>
      </c>
      <c r="E6608" s="237" t="str">
        <f>IFERROR(__xludf.DUMMYFUNCTION("""COMPUTED_VALUE"""),"LT0Q2401XVZU1")</f>
        <v>LT0Q2401XVZU1</v>
      </c>
      <c r="F6608" s="238" t="str">
        <f>IFERROR(__xludf.DUMMYFUNCTION("""COMPUTED_VALUE"""),"FLG8F16,EOF4D30")</f>
        <v>FLG8F16,EOF4D30</v>
      </c>
      <c r="G6608" s="238">
        <f>IFERROR(__xludf.DUMMYFUNCTION("""COMPUTED_VALUE"""),46057.16666666667)</f>
        <v>46057.16667</v>
      </c>
      <c r="H6608" s="238">
        <f>IFERROR(__xludf.DUMMYFUNCTION("""COMPUTED_VALUE"""),46057.25)</f>
        <v>46057.25</v>
      </c>
      <c r="J6608" s="239">
        <v>119.99999999301508</v>
      </c>
    </row>
    <row r="6609">
      <c r="A6609" s="234"/>
      <c r="B6609" s="238" t="str">
        <f>IFERROR(__xludf.DUMMYFUNCTION("""COMPUTED_VALUE"""),"SoC_PR_Curitiba")</f>
        <v>SoC_PR_Curitiba</v>
      </c>
      <c r="C6609" s="238" t="str">
        <f>IFERROR(__xludf.DUMMYFUNCTION("""COMPUTED_VALUE"""),"SOC-PR1")</f>
        <v>SOC-PR1</v>
      </c>
      <c r="D6609" s="234">
        <f>IFERROR(__xludf.DUMMYFUNCTION("""COMPUTED_VALUE"""),42.0)</f>
        <v>42</v>
      </c>
      <c r="E6609" s="237" t="str">
        <f>IFERROR(__xludf.DUMMYFUNCTION("""COMPUTED_VALUE"""),"LT0Q2401XVU51")</f>
        <v>LT0Q2401XVU51</v>
      </c>
      <c r="F6609" s="238" t="str">
        <f>IFERROR(__xludf.DUMMYFUNCTION("""COMPUTED_VALUE"""),"QJU5I97,SXK8A59")</f>
        <v>QJU5I97,SXK8A59</v>
      </c>
      <c r="G6609" s="238">
        <f>IFERROR(__xludf.DUMMYFUNCTION("""COMPUTED_VALUE"""),46057.16666666667)</f>
        <v>46057.16667</v>
      </c>
      <c r="H6609" s="238">
        <f>IFERROR(__xludf.DUMMYFUNCTION("""COMPUTED_VALUE"""),46057.25)</f>
        <v>46057.25</v>
      </c>
      <c r="J6609" s="239">
        <v>119.99999999301508</v>
      </c>
    </row>
    <row r="6610">
      <c r="A6610" s="234"/>
      <c r="B6610" s="238" t="str">
        <f>IFERROR(__xludf.DUMMYFUNCTION("""COMPUTED_VALUE"""),"SoC_SP_Louveira")</f>
        <v>SoC_SP_Louveira</v>
      </c>
      <c r="C6610" s="238" t="str">
        <f>IFERROR(__xludf.DUMMYFUNCTION("""COMPUTED_VALUE"""),"SOC-SP7")</f>
        <v>SOC-SP7</v>
      </c>
      <c r="D6610" s="234"/>
      <c r="E6610" s="237" t="str">
        <f>IFERROR(__xludf.DUMMYFUNCTION("""COMPUTED_VALUE"""),"LT1Q2401YBHU1")</f>
        <v>LT1Q2401YBHU1</v>
      </c>
      <c r="F6610" s="238" t="str">
        <f>IFERROR(__xludf.DUMMYFUNCTION("""COMPUTED_VALUE"""),"DPF6092,MBN9G05")</f>
        <v>DPF6092,MBN9G05</v>
      </c>
      <c r="G6610" s="238">
        <f>IFERROR(__xludf.DUMMYFUNCTION("""COMPUTED_VALUE"""),46057.16666666667)</f>
        <v>46057.16667</v>
      </c>
      <c r="H6610" s="238">
        <f>IFERROR(__xludf.DUMMYFUNCTION("""COMPUTED_VALUE"""),46057.25)</f>
        <v>46057.25</v>
      </c>
      <c r="J6610" s="239">
        <v>119.99999999301508</v>
      </c>
    </row>
    <row r="6611">
      <c r="A6611" s="234"/>
      <c r="B6611" s="238" t="str">
        <f>IFERROR(__xludf.DUMMYFUNCTION("""COMPUTED_VALUE"""),"SoC_SP_Louveira")</f>
        <v>SoC_SP_Louveira</v>
      </c>
      <c r="C6611" s="238" t="str">
        <f>IFERROR(__xludf.DUMMYFUNCTION("""COMPUTED_VALUE"""),"SOC-SP7")</f>
        <v>SOC-SP7</v>
      </c>
      <c r="D6611" s="234">
        <f>IFERROR(__xludf.DUMMYFUNCTION("""COMPUTED_VALUE"""),38.0)</f>
        <v>38</v>
      </c>
      <c r="E6611" s="237" t="str">
        <f>IFERROR(__xludf.DUMMYFUNCTION("""COMPUTED_VALUE"""),"LT0Q2401XVW31")</f>
        <v>LT0Q2401XVW31</v>
      </c>
      <c r="F6611" s="238" t="str">
        <f>IFERROR(__xludf.DUMMYFUNCTION("""COMPUTED_VALUE"""),"FTQ6C55,SWA4E48")</f>
        <v>FTQ6C55,SWA4E48</v>
      </c>
      <c r="G6611" s="238">
        <f>IFERROR(__xludf.DUMMYFUNCTION("""COMPUTED_VALUE"""),46057.16666666667)</f>
        <v>46057.16667</v>
      </c>
      <c r="H6611" s="238">
        <f>IFERROR(__xludf.DUMMYFUNCTION("""COMPUTED_VALUE"""),46057.25)</f>
        <v>46057.25</v>
      </c>
      <c r="J6611" s="239">
        <v>119.99999999301508</v>
      </c>
    </row>
    <row r="6612">
      <c r="A6612" s="234"/>
      <c r="B6612" s="238" t="str">
        <f>IFERROR(__xludf.DUMMYFUNCTION("""COMPUTED_VALUE"""),"LM Hub_SP_Atibaia_Ponte_Alta")</f>
        <v>LM Hub_SP_Atibaia_Ponte_Alta</v>
      </c>
      <c r="C6612" s="238" t="str">
        <f>IFERROR(__xludf.DUMMYFUNCTION("""COMPUTED_VALUE"""),"HUB-LSP-87")</f>
        <v>HUB-LSP-87</v>
      </c>
      <c r="D6612" s="234">
        <f>IFERROR(__xludf.DUMMYFUNCTION("""COMPUTED_VALUE"""),17.0)</f>
        <v>17</v>
      </c>
      <c r="E6612" s="237" t="str">
        <f>IFERROR(__xludf.DUMMYFUNCTION("""COMPUTED_VALUE"""),"LT0Q2401XZM71")</f>
        <v>LT0Q2401XZM71</v>
      </c>
      <c r="F6612" s="238" t="str">
        <f>IFERROR(__xludf.DUMMYFUNCTION("""COMPUTED_VALUE"""),"FGE4C82,TMC1B79")</f>
        <v>FGE4C82,TMC1B79</v>
      </c>
      <c r="G6612" s="238">
        <f>IFERROR(__xludf.DUMMYFUNCTION("""COMPUTED_VALUE"""),46057.1875)</f>
        <v>46057.1875</v>
      </c>
      <c r="H6612" s="238">
        <f>IFERROR(__xludf.DUMMYFUNCTION("""COMPUTED_VALUE"""),46057.27083333333)</f>
        <v>46057.27083</v>
      </c>
      <c r="J6612" s="239">
        <v>118.99999998975545</v>
      </c>
    </row>
    <row r="6613">
      <c r="A6613" s="234"/>
      <c r="B6613" s="238" t="str">
        <f>IFERROR(__xludf.DUMMYFUNCTION("""COMPUTED_VALUE"""),"LM Hub_SP_Taubaté")</f>
        <v>LM Hub_SP_Taubaté</v>
      </c>
      <c r="C6613" s="238" t="str">
        <f>IFERROR(__xludf.DUMMYFUNCTION("""COMPUTED_VALUE"""),"HUB-LSP-08")</f>
        <v>HUB-LSP-08</v>
      </c>
      <c r="D6613" s="234">
        <f>IFERROR(__xludf.DUMMYFUNCTION("""COMPUTED_VALUE"""),35.0)</f>
        <v>35</v>
      </c>
      <c r="E6613" s="237" t="str">
        <f>IFERROR(__xludf.DUMMYFUNCTION("""COMPUTED_VALUE"""),"LT0Q2401Y5A31")</f>
        <v>LT0Q2401Y5A31</v>
      </c>
      <c r="F6613" s="238" t="str">
        <f>IFERROR(__xludf.DUMMYFUNCTION("""COMPUTED_VALUE"""),"ASN0C15,MBC2C84")</f>
        <v>ASN0C15,MBC2C84</v>
      </c>
      <c r="G6613" s="238">
        <f>IFERROR(__xludf.DUMMYFUNCTION("""COMPUTED_VALUE"""),46057.18819444445)</f>
        <v>46057.18819</v>
      </c>
      <c r="H6613" s="238">
        <f>IFERROR(__xludf.DUMMYFUNCTION("""COMPUTED_VALUE"""),46057.27083333333)</f>
        <v>46057.27083</v>
      </c>
      <c r="J6613" s="239">
        <v>117.99999998649582</v>
      </c>
    </row>
    <row r="6614">
      <c r="A6614" s="234"/>
      <c r="B6614" s="238" t="str">
        <f>IFERROR(__xludf.DUMMYFUNCTION("""COMPUTED_VALUE"""),"LM Hub_SP_Sorocaba_Região Norte")</f>
        <v>LM Hub_SP_Sorocaba_Região Norte</v>
      </c>
      <c r="C6614" s="238" t="str">
        <f>IFERROR(__xludf.DUMMYFUNCTION("""COMPUTED_VALUE"""),"HUB-LSP-10")</f>
        <v>HUB-LSP-10</v>
      </c>
      <c r="D6614" s="234">
        <f>IFERROR(__xludf.DUMMYFUNCTION("""COMPUTED_VALUE"""),27.0)</f>
        <v>27</v>
      </c>
      <c r="E6614" s="237" t="str">
        <f>IFERROR(__xludf.DUMMYFUNCTION("""COMPUTED_VALUE"""),"LT0Q2401Y5A71")</f>
        <v>LT0Q2401Y5A71</v>
      </c>
      <c r="F6614" s="238" t="str">
        <f>IFERROR(__xludf.DUMMYFUNCTION("""COMPUTED_VALUE"""),"FDZ3A56,KVS1392")</f>
        <v>FDZ3A56,KVS1392</v>
      </c>
      <c r="G6614" s="238">
        <f>IFERROR(__xludf.DUMMYFUNCTION("""COMPUTED_VALUE"""),46057.18888888889)</f>
        <v>46057.18889</v>
      </c>
      <c r="H6614" s="238">
        <f>IFERROR(__xludf.DUMMYFUNCTION("""COMPUTED_VALUE"""),46057.27083333333)</f>
        <v>46057.27083</v>
      </c>
      <c r="J6614" s="239">
        <v>540.0</v>
      </c>
    </row>
    <row r="6615">
      <c r="A6615" s="234"/>
      <c r="B6615" s="238" t="str">
        <f>IFERROR(__xludf.DUMMYFUNCTION("""COMPUTED_VALUE"""),"SoC_PE_Jaboatão dos Guararapes")</f>
        <v>SoC_PE_Jaboatão dos Guararapes</v>
      </c>
      <c r="C6615" s="238" t="str">
        <f>IFERROR(__xludf.DUMMYFUNCTION("""COMPUTED_VALUE"""),"SOC-PE2")</f>
        <v>SOC-PE2</v>
      </c>
      <c r="D6615" s="234">
        <f>IFERROR(__xludf.DUMMYFUNCTION("""COMPUTED_VALUE"""),98.0)</f>
        <v>98</v>
      </c>
      <c r="E6615" s="237" t="str">
        <f>IFERROR(__xludf.DUMMYFUNCTION("""COMPUTED_VALUE"""),"LT0Q2301Y17T1")</f>
        <v>LT0Q2301Y17T1</v>
      </c>
      <c r="F6615" s="238" t="str">
        <f>IFERROR(__xludf.DUMMYFUNCTION("""COMPUTED_VALUE"""),"NGH7D14,ITM2I73")</f>
        <v>NGH7D14,ITM2I73</v>
      </c>
      <c r="G6615" s="238">
        <f>IFERROR(__xludf.DUMMYFUNCTION("""COMPUTED_VALUE"""),46056.91666666667)</f>
        <v>46056.91667</v>
      </c>
      <c r="H6615" s="238">
        <f>IFERROR(__xludf.DUMMYFUNCTION("""COMPUTED_VALUE"""),46057.29166666667)</f>
        <v>46057.29167</v>
      </c>
      <c r="J6615" s="239">
        <v>540.0</v>
      </c>
    </row>
    <row r="6616">
      <c r="A6616" s="234"/>
      <c r="B6616" s="238" t="str">
        <f>IFERROR(__xludf.DUMMYFUNCTION("""COMPUTED_VALUE"""),"SoC_RJ_Duque de Caxias")</f>
        <v>SoC_RJ_Duque de Caxias</v>
      </c>
      <c r="C6616" s="238" t="str">
        <f>IFERROR(__xludf.DUMMYFUNCTION("""COMPUTED_VALUE"""),"SOC-RJ2")</f>
        <v>SOC-RJ2</v>
      </c>
      <c r="D6616" s="234"/>
      <c r="E6616" s="237" t="str">
        <f>IFERROR(__xludf.DUMMYFUNCTION("""COMPUTED_VALUE"""),"LT0Q2301Y5P22")</f>
        <v>LT0Q2301Y5P22</v>
      </c>
      <c r="F6616" s="238" t="str">
        <f>IFERROR(__xludf.DUMMYFUNCTION("""COMPUTED_VALUE"""),"EFO9A89,FQE7D14")</f>
        <v>EFO9A89,FQE7D14</v>
      </c>
      <c r="G6616" s="238">
        <f>IFERROR(__xludf.DUMMYFUNCTION("""COMPUTED_VALUE"""),46056.91666666667)</f>
        <v>46056.91667</v>
      </c>
      <c r="H6616" s="238">
        <f>IFERROR(__xludf.DUMMYFUNCTION("""COMPUTED_VALUE"""),46057.29166666667)</f>
        <v>46057.29167</v>
      </c>
      <c r="J6616" s="239">
        <v>539.0000000072177</v>
      </c>
    </row>
    <row r="6617">
      <c r="A6617" s="234"/>
      <c r="B6617" s="238" t="str">
        <f>IFERROR(__xludf.DUMMYFUNCTION("""COMPUTED_VALUE"""),"SoC_RS_Gravataí_02")</f>
        <v>SoC_RS_Gravataí_02</v>
      </c>
      <c r="C6617" s="238" t="str">
        <f>IFERROR(__xludf.DUMMYFUNCTION("""COMPUTED_VALUE"""),"SOC-RS2")</f>
        <v>SOC-RS2</v>
      </c>
      <c r="D6617" s="234">
        <f>IFERROR(__xludf.DUMMYFUNCTION("""COMPUTED_VALUE"""),92.0)</f>
        <v>92</v>
      </c>
      <c r="E6617" s="237" t="str">
        <f>IFERROR(__xludf.DUMMYFUNCTION("""COMPUTED_VALUE"""),"LT0Q2301Y1QC1")</f>
        <v>LT0Q2301Y1QC1</v>
      </c>
      <c r="F6617" s="238" t="str">
        <f>IFERROR(__xludf.DUMMYFUNCTION("""COMPUTED_VALUE"""),"MEZ4C58,ITQ0A32")</f>
        <v>MEZ4C58,ITQ0A32</v>
      </c>
      <c r="G6617" s="238">
        <f>IFERROR(__xludf.DUMMYFUNCTION("""COMPUTED_VALUE"""),46056.91736111111)</f>
        <v>46056.91736</v>
      </c>
      <c r="H6617" s="238">
        <f>IFERROR(__xludf.DUMMYFUNCTION("""COMPUTED_VALUE"""),46057.29166666667)</f>
        <v>46057.29167</v>
      </c>
      <c r="J6617" s="239">
        <v>537.0000000111759</v>
      </c>
    </row>
    <row r="6618">
      <c r="A6618" s="234"/>
      <c r="B6618" s="238" t="str">
        <f>IFERROR(__xludf.DUMMYFUNCTION("""COMPUTED_VALUE"""),"SoC_SP_Cravinhos")</f>
        <v>SoC_SP_Cravinhos</v>
      </c>
      <c r="C6618" s="238" t="str">
        <f>IFERROR(__xludf.DUMMYFUNCTION("""COMPUTED_VALUE"""),"SOC-SP5")</f>
        <v>SOC-SP5</v>
      </c>
      <c r="D6618" s="234">
        <f>IFERROR(__xludf.DUMMYFUNCTION("""COMPUTED_VALUE"""),102.0)</f>
        <v>102</v>
      </c>
      <c r="E6618" s="237" t="str">
        <f>IFERROR(__xludf.DUMMYFUNCTION("""COMPUTED_VALUE"""),"LT0Q2301XVVU1")</f>
        <v>LT0Q2301XVVU1</v>
      </c>
      <c r="F6618" s="238" t="str">
        <f>IFERROR(__xludf.DUMMYFUNCTION("""COMPUTED_VALUE"""),"ESU8650,FXT6D27")</f>
        <v>ESU8650,FXT6D27</v>
      </c>
      <c r="G6618" s="238">
        <f>IFERROR(__xludf.DUMMYFUNCTION("""COMPUTED_VALUE"""),46056.91875)</f>
        <v>46056.91875</v>
      </c>
      <c r="H6618" s="238">
        <f>IFERROR(__xludf.DUMMYFUNCTION("""COMPUTED_VALUE"""),46057.29166666667)</f>
        <v>46057.29167</v>
      </c>
      <c r="J6618" s="239">
        <v>536.0000000079162</v>
      </c>
    </row>
    <row r="6619">
      <c r="A6619" s="234"/>
      <c r="B6619" s="238" t="str">
        <f>IFERROR(__xludf.DUMMYFUNCTION("""COMPUTED_VALUE"""),"SoC_MG_Betim")</f>
        <v>SoC_MG_Betim</v>
      </c>
      <c r="C6619" s="238" t="str">
        <f>IFERROR(__xludf.DUMMYFUNCTION("""COMPUTED_VALUE"""),"SOC-MG2")</f>
        <v>SOC-MG2</v>
      </c>
      <c r="D6619" s="234" t="str">
        <f>IFERROR(__xludf.DUMMYFUNCTION("""COMPUTED_VALUE"""),"90/103")</f>
        <v>90/103</v>
      </c>
      <c r="E6619" s="237" t="str">
        <f>IFERROR(__xludf.DUMMYFUNCTION("""COMPUTED_VALUE"""),"LT0Q2301XVTJ2")</f>
        <v>LT0Q2301XVTJ2</v>
      </c>
      <c r="F6619" s="238" t="str">
        <f>IFERROR(__xludf.DUMMYFUNCTION("""COMPUTED_VALUE"""),"EXU6A75,DVS4275")</f>
        <v>EXU6A75,DVS4275</v>
      </c>
      <c r="G6619" s="238">
        <f>IFERROR(__xludf.DUMMYFUNCTION("""COMPUTED_VALUE"""),46056.919444444444)</f>
        <v>46056.91944</v>
      </c>
      <c r="H6619" s="238">
        <f>IFERROR(__xludf.DUMMYFUNCTION("""COMPUTED_VALUE"""),46057.29166666667)</f>
        <v>46057.29167</v>
      </c>
      <c r="J6619" s="239">
        <v>536.0000000079162</v>
      </c>
    </row>
    <row r="6620">
      <c r="A6620" s="234"/>
      <c r="B6620" s="238" t="str">
        <f>IFERROR(__xludf.DUMMYFUNCTION("""COMPUTED_VALUE"""),"SoC_MG_Betim")</f>
        <v>SoC_MG_Betim</v>
      </c>
      <c r="C6620" s="238" t="str">
        <f>IFERROR(__xludf.DUMMYFUNCTION("""COMPUTED_VALUE"""),"SOC-MG2")</f>
        <v>SOC-MG2</v>
      </c>
      <c r="D6620" s="234">
        <f>IFERROR(__xludf.DUMMYFUNCTION("""COMPUTED_VALUE"""),91.0)</f>
        <v>91</v>
      </c>
      <c r="E6620" s="237" t="str">
        <f>IFERROR(__xludf.DUMMYFUNCTION("""COMPUTED_VALUE"""),"LT0Q2301XVTL3")</f>
        <v>LT0Q2301XVTL3</v>
      </c>
      <c r="F6620" s="238" t="str">
        <f>IFERROR(__xludf.DUMMYFUNCTION("""COMPUTED_VALUE"""),"SWX1C68,TBC8A43")</f>
        <v>SWX1C68,TBC8A43</v>
      </c>
      <c r="G6620" s="238">
        <f>IFERROR(__xludf.DUMMYFUNCTION("""COMPUTED_VALUE"""),46056.919444444444)</f>
        <v>46056.91944</v>
      </c>
      <c r="H6620" s="238">
        <f>IFERROR(__xludf.DUMMYFUNCTION("""COMPUTED_VALUE"""),46057.29166666667)</f>
        <v>46057.29167</v>
      </c>
      <c r="J6620" s="239">
        <v>536.0000000079162</v>
      </c>
    </row>
    <row r="6621">
      <c r="A6621" s="234"/>
      <c r="B6621" s="238" t="str">
        <f>IFERROR(__xludf.DUMMYFUNCTION("""COMPUTED_VALUE"""),"SoC_SP_Cravinhos")</f>
        <v>SoC_SP_Cravinhos</v>
      </c>
      <c r="C6621" s="238" t="str">
        <f>IFERROR(__xludf.DUMMYFUNCTION("""COMPUTED_VALUE"""),"SOC-SP5")</f>
        <v>SOC-SP5</v>
      </c>
      <c r="D6621" s="234"/>
      <c r="E6621" s="237" t="str">
        <f>IFERROR(__xludf.DUMMYFUNCTION("""COMPUTED_VALUE"""),"LT0Q2301XVVO2")</f>
        <v>LT0Q2301XVVO2</v>
      </c>
      <c r="F6621" s="238" t="str">
        <f>IFERROR(__xludf.DUMMYFUNCTION("""COMPUTED_VALUE"""),"OWU2H12,TKF7A41")</f>
        <v>OWU2H12,TKF7A41</v>
      </c>
      <c r="G6621" s="238">
        <f>IFERROR(__xludf.DUMMYFUNCTION("""COMPUTED_VALUE"""),46056.919444444444)</f>
        <v>46056.91944</v>
      </c>
      <c r="H6621" s="238">
        <f>IFERROR(__xludf.DUMMYFUNCTION("""COMPUTED_VALUE"""),46057.29166666667)</f>
        <v>46057.29167</v>
      </c>
      <c r="J6621" s="239">
        <v>533.0000000086147</v>
      </c>
    </row>
    <row r="6622">
      <c r="A6622" s="234"/>
      <c r="B6622" s="238" t="str">
        <f>IFERROR(__xludf.DUMMYFUNCTION("""COMPUTED_VALUE"""),"SoC_RJ_Duque de Caxias")</f>
        <v>SoC_RJ_Duque de Caxias</v>
      </c>
      <c r="C6622" s="238" t="str">
        <f>IFERROR(__xludf.DUMMYFUNCTION("""COMPUTED_VALUE"""),"SOC-RJ2")</f>
        <v>SOC-RJ2</v>
      </c>
      <c r="D6622" s="234"/>
      <c r="E6622" s="237" t="str">
        <f>IFERROR(__xludf.DUMMYFUNCTION("""COMPUTED_VALUE"""),"LT0Q2301Y5P01")</f>
        <v>LT0Q2301Y5P01</v>
      </c>
      <c r="F6622" s="238" t="str">
        <f>IFERROR(__xludf.DUMMYFUNCTION("""COMPUTED_VALUE"""),"GAV9D67,PRO5229")</f>
        <v>GAV9D67,PRO5229</v>
      </c>
      <c r="G6622" s="238">
        <f>IFERROR(__xludf.DUMMYFUNCTION("""COMPUTED_VALUE"""),46056.92152777778)</f>
        <v>46056.92153</v>
      </c>
      <c r="H6622" s="238">
        <f>IFERROR(__xludf.DUMMYFUNCTION("""COMPUTED_VALUE"""),46057.29166666667)</f>
        <v>46057.29167</v>
      </c>
      <c r="J6622" s="239">
        <v>300.00000001396984</v>
      </c>
    </row>
    <row r="6623">
      <c r="A6623" s="234"/>
      <c r="B6623" s="238" t="str">
        <f>IFERROR(__xludf.DUMMYFUNCTION("""COMPUTED_VALUE"""),"SoC_SC_Itajaí")</f>
        <v>SoC_SC_Itajaí</v>
      </c>
      <c r="C6623" s="238" t="str">
        <f>IFERROR(__xludf.DUMMYFUNCTION("""COMPUTED_VALUE"""),"SOC-SC1")</f>
        <v>SOC-SC1</v>
      </c>
      <c r="D6623" s="234">
        <f>IFERROR(__xludf.DUMMYFUNCTION("""COMPUTED_VALUE"""),100.0)</f>
        <v>100</v>
      </c>
      <c r="E6623" s="237" t="str">
        <f>IFERROR(__xludf.DUMMYFUNCTION("""COMPUTED_VALUE"""),"LT0Q2301Y0BF1")</f>
        <v>LT0Q2301Y0BF1</v>
      </c>
      <c r="F6623" s="238" t="str">
        <f>IFERROR(__xludf.DUMMYFUNCTION("""COMPUTED_VALUE"""),"RYK6E18,SXV2G47")</f>
        <v>RYK6E18,SXV2G47</v>
      </c>
      <c r="G6623" s="238">
        <f>IFERROR(__xludf.DUMMYFUNCTION("""COMPUTED_VALUE"""),46057.08333333333)</f>
        <v>46057.08333</v>
      </c>
      <c r="H6623" s="238">
        <f>IFERROR(__xludf.DUMMYFUNCTION("""COMPUTED_VALUE"""),46057.29166666667)</f>
        <v>46057.29167</v>
      </c>
      <c r="J6623" s="239">
        <v>180.0</v>
      </c>
    </row>
    <row r="6624">
      <c r="A6624" s="234"/>
      <c r="B6624" s="238" t="str">
        <f>IFERROR(__xludf.DUMMYFUNCTION("""COMPUTED_VALUE"""),"SoC_PR_Curitiba")</f>
        <v>SoC_PR_Curitiba</v>
      </c>
      <c r="C6624" s="238" t="str">
        <f>IFERROR(__xludf.DUMMYFUNCTION("""COMPUTED_VALUE"""),"SOC-PR1")</f>
        <v>SOC-PR1</v>
      </c>
      <c r="D6624" s="234">
        <f>IFERROR(__xludf.DUMMYFUNCTION("""COMPUTED_VALUE"""),41.0)</f>
        <v>41</v>
      </c>
      <c r="E6624" s="237" t="str">
        <f>IFERROR(__xludf.DUMMYFUNCTION("""COMPUTED_VALUE"""),"LT1Q2401YBHS1")</f>
        <v>LT1Q2401YBHS1</v>
      </c>
      <c r="F6624" s="238" t="str">
        <f>IFERROR(__xludf.DUMMYFUNCTION("""COMPUTED_VALUE"""),"SDS9C87,BEX8B07")</f>
        <v>SDS9C87,BEX8B07</v>
      </c>
      <c r="G6624" s="238">
        <f>IFERROR(__xludf.DUMMYFUNCTION("""COMPUTED_VALUE"""),46057.16666666667)</f>
        <v>46057.16667</v>
      </c>
      <c r="H6624" s="238">
        <f>IFERROR(__xludf.DUMMYFUNCTION("""COMPUTED_VALUE"""),46057.29166666667)</f>
        <v>46057.29167</v>
      </c>
      <c r="J6624" s="239">
        <v>120.00000001396984</v>
      </c>
    </row>
    <row r="6625">
      <c r="A6625" s="234"/>
      <c r="B6625" s="238" t="str">
        <f>IFERROR(__xludf.DUMMYFUNCTION("""COMPUTED_VALUE"""),"LM Hub_SP_Barueri_01")</f>
        <v>LM Hub_SP_Barueri_01</v>
      </c>
      <c r="C6625" s="238" t="str">
        <f>IFERROR(__xludf.DUMMYFUNCTION("""COMPUTED_VALUE"""),"HUB-LSP-81")</f>
        <v>HUB-LSP-81</v>
      </c>
      <c r="D6625" s="234">
        <f>IFERROR(__xludf.DUMMYFUNCTION("""COMPUTED_VALUE"""),24.0)</f>
        <v>24</v>
      </c>
      <c r="E6625" s="237" t="str">
        <f>IFERROR(__xludf.DUMMYFUNCTION("""COMPUTED_VALUE"""),"LT0Q2401Y0Z41")</f>
        <v>LT0Q2401Y0Z41</v>
      </c>
      <c r="F6625" s="238" t="str">
        <f>IFERROR(__xludf.DUMMYFUNCTION("""COMPUTED_VALUE"""),"SUQ5C99,TLD5B82")</f>
        <v>SUQ5C99,TLD5B82</v>
      </c>
      <c r="G6625" s="238">
        <f>IFERROR(__xludf.DUMMYFUNCTION("""COMPUTED_VALUE"""),46057.20833333333)</f>
        <v>46057.20833</v>
      </c>
      <c r="H6625" s="238">
        <f>IFERROR(__xludf.DUMMYFUNCTION("""COMPUTED_VALUE"""),46057.29166666667)</f>
        <v>46057.29167</v>
      </c>
      <c r="J6625" s="239">
        <v>120.00000001396984</v>
      </c>
    </row>
    <row r="6626">
      <c r="A6626" s="234"/>
      <c r="B6626" s="238" t="str">
        <f>IFERROR(__xludf.DUMMYFUNCTION("""COMPUTED_VALUE"""),"LM Hub_SP_Piracicaba")</f>
        <v>LM Hub_SP_Piracicaba</v>
      </c>
      <c r="C6626" s="238" t="str">
        <f>IFERROR(__xludf.DUMMYFUNCTION("""COMPUTED_VALUE"""),"HUB-LSP-62")</f>
        <v>HUB-LSP-62</v>
      </c>
      <c r="D6626" s="234">
        <f>IFERROR(__xludf.DUMMYFUNCTION("""COMPUTED_VALUE"""),23.0)</f>
        <v>23</v>
      </c>
      <c r="E6626" s="237" t="str">
        <f>IFERROR(__xludf.DUMMYFUNCTION("""COMPUTED_VALUE"""),"LT0Q2401XWQK1")</f>
        <v>LT0Q2401XWQK1</v>
      </c>
      <c r="F6626" s="238" t="str">
        <f>IFERROR(__xludf.DUMMYFUNCTION("""COMPUTED_VALUE"""),"OMY3I62,OMY3I60")</f>
        <v>OMY3I62,OMY3I60</v>
      </c>
      <c r="G6626" s="238">
        <f>IFERROR(__xludf.DUMMYFUNCTION("""COMPUTED_VALUE"""),46057.20833333333)</f>
        <v>46057.20833</v>
      </c>
      <c r="H6626" s="238">
        <f>IFERROR(__xludf.DUMMYFUNCTION("""COMPUTED_VALUE"""),46057.29166666667)</f>
        <v>46057.29167</v>
      </c>
      <c r="J6626" s="239">
        <v>120.00000001396984</v>
      </c>
    </row>
    <row r="6627">
      <c r="A6627" s="234"/>
      <c r="B6627" s="238" t="str">
        <f>IFERROR(__xludf.DUMMYFUNCTION("""COMPUTED_VALUE"""),"LM Hub_SP_Santos_PraiaGrande_02")</f>
        <v>LM Hub_SP_Santos_PraiaGrande_02</v>
      </c>
      <c r="C6627" s="238" t="str">
        <f>IFERROR(__xludf.DUMMYFUNCTION("""COMPUTED_VALUE"""),"HUB-LSP-63")</f>
        <v>HUB-LSP-63</v>
      </c>
      <c r="D6627" s="234">
        <f>IFERROR(__xludf.DUMMYFUNCTION("""COMPUTED_VALUE"""),14.0)</f>
        <v>14</v>
      </c>
      <c r="E6627" s="237" t="str">
        <f>IFERROR(__xludf.DUMMYFUNCTION("""COMPUTED_VALUE"""),"LT0Q2401XX7B1")</f>
        <v>LT0Q2401XX7B1</v>
      </c>
      <c r="F6627" s="238" t="str">
        <f>IFERROR(__xludf.DUMMYFUNCTION("""COMPUTED_VALUE"""),"TPV1I59,TPU0B29")</f>
        <v>TPV1I59,TPU0B29</v>
      </c>
      <c r="G6627" s="238">
        <f>IFERROR(__xludf.DUMMYFUNCTION("""COMPUTED_VALUE"""),46057.20833333333)</f>
        <v>46057.20833</v>
      </c>
      <c r="H6627" s="238">
        <f>IFERROR(__xludf.DUMMYFUNCTION("""COMPUTED_VALUE"""),46057.29166666667)</f>
        <v>46057.29167</v>
      </c>
      <c r="J6627" s="239">
        <v>119.99999999301508</v>
      </c>
    </row>
    <row r="6628">
      <c r="A6628" s="234"/>
      <c r="B6628" s="238" t="str">
        <f>IFERROR(__xludf.DUMMYFUNCTION("""COMPUTED_VALUE"""),"LM Hub_SP_Guarujá")</f>
        <v>LM Hub_SP_Guarujá</v>
      </c>
      <c r="C6628" s="238" t="str">
        <f>IFERROR(__xludf.DUMMYFUNCTION("""COMPUTED_VALUE"""),"HUB-LSP-06")</f>
        <v>HUB-LSP-06</v>
      </c>
      <c r="D6628" s="234">
        <f>IFERROR(__xludf.DUMMYFUNCTION("""COMPUTED_VALUE"""),34.0)</f>
        <v>34</v>
      </c>
      <c r="E6628" s="237" t="str">
        <f>IFERROR(__xludf.DUMMYFUNCTION("""COMPUTED_VALUE"""),"LT0Q2401XX6Q1")</f>
        <v>LT0Q2401XX6Q1</v>
      </c>
      <c r="F6628" s="238" t="str">
        <f>IFERROR(__xludf.DUMMYFUNCTION("""COMPUTED_VALUE"""),"RRA1C26")</f>
        <v>RRA1C26</v>
      </c>
      <c r="G6628" s="238">
        <f>IFERROR(__xludf.DUMMYFUNCTION("""COMPUTED_VALUE"""),46057.22916666667)</f>
        <v>46057.22917</v>
      </c>
      <c r="H6628" s="238">
        <f>IFERROR(__xludf.DUMMYFUNCTION("""COMPUTED_VALUE"""),46057.3125)</f>
        <v>46057.3125</v>
      </c>
      <c r="J6628" s="239">
        <v>119.00000000023283</v>
      </c>
    </row>
    <row r="6629">
      <c r="A6629" s="234"/>
      <c r="B6629" s="238" t="str">
        <f>IFERROR(__xludf.DUMMYFUNCTION("""COMPUTED_VALUE"""),"LM Hub_SP_São Paulo_Mooca")</f>
        <v>LM Hub_SP_São Paulo_Mooca</v>
      </c>
      <c r="C6629" s="238" t="str">
        <f>IFERROR(__xludf.DUMMYFUNCTION("""COMPUTED_VALUE"""),"HUB-LSP-13")</f>
        <v>HUB-LSP-13</v>
      </c>
      <c r="D6629" s="234">
        <f>IFERROR(__xludf.DUMMYFUNCTION("""COMPUTED_VALUE"""),7.0)</f>
        <v>7</v>
      </c>
      <c r="E6629" s="237" t="str">
        <f>IFERROR(__xludf.DUMMYFUNCTION("""COMPUTED_VALUE"""),"LT0Q2401Y5JG1")</f>
        <v>LT0Q2401Y5JG1</v>
      </c>
      <c r="F6629" s="238" t="str">
        <f>IFERROR(__xludf.DUMMYFUNCTION("""COMPUTED_VALUE"""),"FGI1F79")</f>
        <v>FGI1F79</v>
      </c>
      <c r="G6629" s="238">
        <f>IFERROR(__xludf.DUMMYFUNCTION("""COMPUTED_VALUE"""),46057.22986111111)</f>
        <v>46057.22986</v>
      </c>
      <c r="H6629" s="238">
        <f>IFERROR(__xludf.DUMMYFUNCTION("""COMPUTED_VALUE"""),46057.3125)</f>
        <v>46057.3125</v>
      </c>
      <c r="J6629" s="239">
        <v>119.99999999301508</v>
      </c>
    </row>
    <row r="6630">
      <c r="A6630" s="234"/>
      <c r="B6630" s="238" t="str">
        <f>IFERROR(__xludf.DUMMYFUNCTION("""COMPUTED_VALUE"""),"LM Hub_SP_Santos_Praia Grande")</f>
        <v>LM Hub_SP_Santos_Praia Grande</v>
      </c>
      <c r="C6630" s="238" t="str">
        <f>IFERROR(__xludf.DUMMYFUNCTION("""COMPUTED_VALUE"""),"HUB-LSP-09")</f>
        <v>HUB-LSP-09</v>
      </c>
      <c r="D6630" s="234">
        <f>IFERROR(__xludf.DUMMYFUNCTION("""COMPUTED_VALUE"""),18.0)</f>
        <v>18</v>
      </c>
      <c r="E6630" s="237" t="str">
        <f>IFERROR(__xludf.DUMMYFUNCTION("""COMPUTED_VALUE"""),"LT0Q2401XX6V1")</f>
        <v>LT0Q2401XX6V1</v>
      </c>
      <c r="F6630" s="238" t="str">
        <f>IFERROR(__xludf.DUMMYFUNCTION("""COMPUTED_VALUE"""),"SWJ8J34,SXN5B19")</f>
        <v>SWJ8J34,SXN5B19</v>
      </c>
      <c r="G6630" s="238">
        <f>IFERROR(__xludf.DUMMYFUNCTION("""COMPUTED_VALUE"""),46057.22916666667)</f>
        <v>46057.22917</v>
      </c>
      <c r="H6630" s="238">
        <f>IFERROR(__xludf.DUMMYFUNCTION("""COMPUTED_VALUE"""),46057.3125)</f>
        <v>46057.3125</v>
      </c>
      <c r="J6630" s="239">
        <v>119.00000000023283</v>
      </c>
    </row>
    <row r="6631">
      <c r="A6631" s="234"/>
      <c r="B6631" s="238" t="str">
        <f>IFERROR(__xludf.DUMMYFUNCTION("""COMPUTED_VALUE"""),"LM Hub_SP_São José dos Campos")</f>
        <v>LM Hub_SP_São José dos Campos</v>
      </c>
      <c r="C6631" s="238" t="str">
        <f>IFERROR(__xludf.DUMMYFUNCTION("""COMPUTED_VALUE"""),"HUB-LSP-04")</f>
        <v>HUB-LSP-04</v>
      </c>
      <c r="D6631" s="234">
        <f>IFERROR(__xludf.DUMMYFUNCTION("""COMPUTED_VALUE"""),21.0)</f>
        <v>21</v>
      </c>
      <c r="E6631" s="237" t="str">
        <f>IFERROR(__xludf.DUMMYFUNCTION("""COMPUTED_VALUE"""),"LT0Q2401XX721")</f>
        <v>LT0Q2401XX721</v>
      </c>
      <c r="F6631" s="238" t="str">
        <f>IFERROR(__xludf.DUMMYFUNCTION("""COMPUTED_VALUE"""),"UGN4B10")</f>
        <v>UGN4B10</v>
      </c>
      <c r="G6631" s="238">
        <f>IFERROR(__xludf.DUMMYFUNCTION("""COMPUTED_VALUE"""),46057.22986111111)</f>
        <v>46057.22986</v>
      </c>
      <c r="H6631" s="238">
        <f>IFERROR(__xludf.DUMMYFUNCTION("""COMPUTED_VALUE"""),46057.3125)</f>
        <v>46057.3125</v>
      </c>
      <c r="J6631" s="239">
        <v>118.00000000745058</v>
      </c>
    </row>
    <row r="6632">
      <c r="A6632" s="234"/>
      <c r="B6632" s="238" t="str">
        <f>IFERROR(__xludf.DUMMYFUNCTION("""COMPUTED_VALUE"""),"LM Hub_SP_Várzea Paulista")</f>
        <v>LM Hub_SP_Várzea Paulista</v>
      </c>
      <c r="C6632" s="238" t="str">
        <f>IFERROR(__xludf.DUMMYFUNCTION("""COMPUTED_VALUE"""),"HUB-LSP-20")</f>
        <v>HUB-LSP-20</v>
      </c>
      <c r="D6632" s="234">
        <f>IFERROR(__xludf.DUMMYFUNCTION("""COMPUTED_VALUE"""),19.0)</f>
        <v>19</v>
      </c>
      <c r="E6632" s="237" t="str">
        <f>IFERROR(__xludf.DUMMYFUNCTION("""COMPUTED_VALUE"""),"LT0Q2401XW2Q1")</f>
        <v>LT0Q2401XW2Q1</v>
      </c>
      <c r="F6632" s="238" t="str">
        <f>IFERROR(__xludf.DUMMYFUNCTION("""COMPUTED_VALUE"""),"DBM1F51,MDA3C82")</f>
        <v>DBM1F51,MDA3C82</v>
      </c>
      <c r="G6632" s="238">
        <f>IFERROR(__xludf.DUMMYFUNCTION("""COMPUTED_VALUE"""),46057.23055555555)</f>
        <v>46057.23056</v>
      </c>
      <c r="H6632" s="238">
        <f>IFERROR(__xludf.DUMMYFUNCTION("""COMPUTED_VALUE"""),46057.3125)</f>
        <v>46057.3125</v>
      </c>
      <c r="J6632" s="239">
        <v>119.99999999301508</v>
      </c>
    </row>
    <row r="6633">
      <c r="A6633" s="234"/>
      <c r="B6633" s="238" t="str">
        <f>IFERROR(__xludf.DUMMYFUNCTION("""COMPUTED_VALUE"""),"LM Hub_SP_Artur Alvim")</f>
        <v>LM Hub_SP_Artur Alvim</v>
      </c>
      <c r="C6633" s="238" t="str">
        <f>IFERROR(__xludf.DUMMYFUNCTION("""COMPUTED_VALUE"""),"HUB-LSP-07")</f>
        <v>HUB-LSP-07</v>
      </c>
      <c r="D6633" s="234">
        <f>IFERROR(__xludf.DUMMYFUNCTION("""COMPUTED_VALUE"""),29.0)</f>
        <v>29</v>
      </c>
      <c r="E6633" s="237" t="str">
        <f>IFERROR(__xludf.DUMMYFUNCTION("""COMPUTED_VALUE"""),"LT0Q2401XX5H1")</f>
        <v>LT0Q2401XX5H1</v>
      </c>
      <c r="F6633" s="238" t="str">
        <f>IFERROR(__xludf.DUMMYFUNCTION("""COMPUTED_VALUE"""),"ASH4C66,BWP2G99")</f>
        <v>ASH4C66,BWP2G99</v>
      </c>
      <c r="G6633" s="238">
        <f>IFERROR(__xludf.DUMMYFUNCTION("""COMPUTED_VALUE"""),46057.25)</f>
        <v>46057.25</v>
      </c>
      <c r="H6633" s="238">
        <f>IFERROR(__xludf.DUMMYFUNCTION("""COMPUTED_VALUE"""),46057.33333333333)</f>
        <v>46057.33333</v>
      </c>
      <c r="J6633" s="239">
        <v>119.99999999301508</v>
      </c>
    </row>
    <row r="6634">
      <c r="A6634" s="234"/>
      <c r="B6634" s="238" t="str">
        <f>IFERROR(__xludf.DUMMYFUNCTION("""COMPUTED_VALUE"""),"LM Hub_SP_São Paulo_Lapa")</f>
        <v>LM Hub_SP_São Paulo_Lapa</v>
      </c>
      <c r="C6634" s="238" t="str">
        <f>IFERROR(__xludf.DUMMYFUNCTION("""COMPUTED_VALUE"""),"HUB-LSP-15")</f>
        <v>HUB-LSP-15</v>
      </c>
      <c r="D6634" s="234">
        <f>IFERROR(__xludf.DUMMYFUNCTION("""COMPUTED_VALUE"""),25.0)</f>
        <v>25</v>
      </c>
      <c r="E6634" s="237" t="str">
        <f>IFERROR(__xludf.DUMMYFUNCTION("""COMPUTED_VALUE"""),"LT0Q2401XX5R1")</f>
        <v>LT0Q2401XX5R1</v>
      </c>
      <c r="F6634" s="238" t="str">
        <f>IFERROR(__xludf.DUMMYFUNCTION("""COMPUTED_VALUE"""),"EGK6F67,NGX1F13")</f>
        <v>EGK6F67,NGX1F13</v>
      </c>
      <c r="G6634" s="238">
        <f>IFERROR(__xludf.DUMMYFUNCTION("""COMPUTED_VALUE"""),46057.25)</f>
        <v>46057.25</v>
      </c>
      <c r="H6634" s="238">
        <f>IFERROR(__xludf.DUMMYFUNCTION("""COMPUTED_VALUE"""),46057.33333333333)</f>
        <v>46057.33333</v>
      </c>
      <c r="J6634" s="239">
        <v>119.99999999301508</v>
      </c>
    </row>
    <row r="6635">
      <c r="A6635" s="234"/>
      <c r="B6635" s="238" t="str">
        <f>IFERROR(__xludf.DUMMYFUNCTION("""COMPUTED_VALUE"""),"LM Hub_SP_Jurubatuba")</f>
        <v>LM Hub_SP_Jurubatuba</v>
      </c>
      <c r="C6635" s="238" t="str">
        <f>IFERROR(__xludf.DUMMYFUNCTION("""COMPUTED_VALUE"""),"HUB-LSP-16")</f>
        <v>HUB-LSP-16</v>
      </c>
      <c r="D6635" s="234">
        <f>IFERROR(__xludf.DUMMYFUNCTION("""COMPUTED_VALUE"""),26.0)</f>
        <v>26</v>
      </c>
      <c r="E6635" s="237" t="str">
        <f>IFERROR(__xludf.DUMMYFUNCTION("""COMPUTED_VALUE"""),"LT0Q2401XX5W1")</f>
        <v>LT0Q2401XX5W1</v>
      </c>
      <c r="F6635" s="238" t="str">
        <f>IFERROR(__xludf.DUMMYFUNCTION("""COMPUTED_VALUE"""),"MQM6I27,FXB7G01")</f>
        <v>MQM6I27,FXB7G01</v>
      </c>
      <c r="G6635" s="238">
        <f>IFERROR(__xludf.DUMMYFUNCTION("""COMPUTED_VALUE"""),46057.25)</f>
        <v>46057.25</v>
      </c>
      <c r="H6635" s="238">
        <f>IFERROR(__xludf.DUMMYFUNCTION("""COMPUTED_VALUE"""),46057.33333333333)</f>
        <v>46057.33333</v>
      </c>
      <c r="J6635" s="239">
        <v>120.00000001396984</v>
      </c>
    </row>
    <row r="6636">
      <c r="A6636" s="234"/>
      <c r="B6636" s="238" t="str">
        <f>IFERROR(__xludf.DUMMYFUNCTION("""COMPUTED_VALUE"""),"LM Hub_SP_São Bernardo do Campo")</f>
        <v>LM Hub_SP_São Bernardo do Campo</v>
      </c>
      <c r="C6636" s="238" t="str">
        <f>IFERROR(__xludf.DUMMYFUNCTION("""COMPUTED_VALUE"""),"HUB-LSP-79")</f>
        <v>HUB-LSP-79</v>
      </c>
      <c r="D6636" s="234">
        <f>IFERROR(__xludf.DUMMYFUNCTION("""COMPUTED_VALUE"""),16.0)</f>
        <v>16</v>
      </c>
      <c r="E6636" s="237" t="str">
        <f>IFERROR(__xludf.DUMMYFUNCTION("""COMPUTED_VALUE"""),"LT0Q2401XWN51")</f>
        <v>LT0Q2401XWN51</v>
      </c>
      <c r="F6636" s="238" t="str">
        <f>IFERROR(__xludf.DUMMYFUNCTION("""COMPUTED_VALUE"""),"DVT5D28,DTC7I46")</f>
        <v>DVT5D28,DTC7I46</v>
      </c>
      <c r="G6636" s="238">
        <f>IFERROR(__xludf.DUMMYFUNCTION("""COMPUTED_VALUE"""),46057.27083333333)</f>
        <v>46057.27083</v>
      </c>
      <c r="H6636" s="238">
        <f>IFERROR(__xludf.DUMMYFUNCTION("""COMPUTED_VALUE"""),46057.35416666667)</f>
        <v>46057.35417</v>
      </c>
      <c r="J6636" s="239">
        <v>119.99999999301508</v>
      </c>
    </row>
    <row r="6637">
      <c r="A6637" s="234"/>
      <c r="B6637" s="238" t="str">
        <f>IFERROR(__xludf.DUMMYFUNCTION("""COMPUTED_VALUE"""),"LM Hub_SP_Suzano_Baruel")</f>
        <v>LM Hub_SP_Suzano_Baruel</v>
      </c>
      <c r="C6637" s="238" t="str">
        <f>IFERROR(__xludf.DUMMYFUNCTION("""COMPUTED_VALUE"""),"HUB-LSP-97")</f>
        <v>HUB-LSP-97</v>
      </c>
      <c r="D6637" s="234">
        <f>IFERROR(__xludf.DUMMYFUNCTION("""COMPUTED_VALUE"""),9.0)</f>
        <v>9</v>
      </c>
      <c r="E6637" s="237" t="str">
        <f>IFERROR(__xludf.DUMMYFUNCTION("""COMPUTED_VALUE"""),"LT0Q2401Y2U01")</f>
        <v>LT0Q2401Y2U01</v>
      </c>
      <c r="F6637" s="238" t="str">
        <f>IFERROR(__xludf.DUMMYFUNCTION("""COMPUTED_VALUE"""),"ODE7J96,UGA3J73")</f>
        <v>ODE7J96,UGA3J73</v>
      </c>
      <c r="G6637" s="238">
        <f>IFERROR(__xludf.DUMMYFUNCTION("""COMPUTED_VALUE"""),46057.29166666667)</f>
        <v>46057.29167</v>
      </c>
      <c r="H6637" s="238">
        <f>IFERROR(__xludf.DUMMYFUNCTION("""COMPUTED_VALUE"""),46057.375)</f>
        <v>46057.375</v>
      </c>
      <c r="J6637" s="239">
        <v>119.99999999301508</v>
      </c>
    </row>
    <row r="6638">
      <c r="A6638" s="234"/>
      <c r="B6638" s="238" t="str">
        <f>IFERROR(__xludf.DUMMYFUNCTION("""COMPUTED_VALUE"""),"LM Hub_SP_Embu das Artes_02")</f>
        <v>LM Hub_SP_Embu das Artes_02</v>
      </c>
      <c r="C6638" s="238" t="str">
        <f>IFERROR(__xludf.DUMMYFUNCTION("""COMPUTED_VALUE"""),"HUB-LSP-96")</f>
        <v>HUB-LSP-96</v>
      </c>
      <c r="D6638" s="234">
        <f>IFERROR(__xludf.DUMMYFUNCTION("""COMPUTED_VALUE"""),12.0)</f>
        <v>12</v>
      </c>
      <c r="E6638" s="237" t="str">
        <f>IFERROR(__xludf.DUMMYFUNCTION("""COMPUTED_VALUE"""),"LT0Q2401XZF41")</f>
        <v>LT0Q2401XZF41</v>
      </c>
      <c r="F6638" s="238" t="str">
        <f>IFERROR(__xludf.DUMMYFUNCTION("""COMPUTED_VALUE"""),"FUF6H46,NVV7D82")</f>
        <v>FUF6H46,NVV7D82</v>
      </c>
      <c r="G6638" s="238">
        <f>IFERROR(__xludf.DUMMYFUNCTION("""COMPUTED_VALUE"""),46057.29166666667)</f>
        <v>46057.29167</v>
      </c>
      <c r="H6638" s="238">
        <f>IFERROR(__xludf.DUMMYFUNCTION("""COMPUTED_VALUE"""),46057.375)</f>
        <v>46057.375</v>
      </c>
      <c r="J6638" s="239">
        <v>538.9999999967404</v>
      </c>
    </row>
    <row r="6639">
      <c r="A6639" s="234"/>
      <c r="B6639" s="238" t="str">
        <f>IFERROR(__xludf.DUMMYFUNCTION("""COMPUTED_VALUE"""),"SoC_BA_Simoes Filho")</f>
        <v>SoC_BA_Simoes Filho</v>
      </c>
      <c r="C6639" s="238" t="str">
        <f>IFERROR(__xludf.DUMMYFUNCTION("""COMPUTED_VALUE"""),"SOC-BA2")</f>
        <v>SOC-BA2</v>
      </c>
      <c r="D6639" s="234">
        <f>IFERROR(__xludf.DUMMYFUNCTION("""COMPUTED_VALUE"""),89.0)</f>
        <v>89</v>
      </c>
      <c r="E6639" s="237" t="str">
        <f>IFERROR(__xludf.DUMMYFUNCTION("""COMPUTED_VALUE"""),"LT0Q2301Y1BS3")</f>
        <v>LT0Q2301Y1BS3</v>
      </c>
      <c r="F6639" s="238" t="str">
        <f>IFERROR(__xludf.DUMMYFUNCTION("""COMPUTED_VALUE"""),"CUC6I08,EFW5B36")</f>
        <v>CUC6I08,EFW5B36</v>
      </c>
      <c r="G6639" s="238">
        <f>IFERROR(__xludf.DUMMYFUNCTION("""COMPUTED_VALUE"""),46057.00069444445)</f>
        <v>46057.00069</v>
      </c>
      <c r="H6639" s="238">
        <f>IFERROR(__xludf.DUMMYFUNCTION("""COMPUTED_VALUE"""),46057.375)</f>
        <v>46057.375</v>
      </c>
      <c r="J6639" s="239">
        <v>537.0000000006985</v>
      </c>
    </row>
    <row r="6640">
      <c r="A6640" s="234"/>
      <c r="B6640" s="238" t="str">
        <f>IFERROR(__xludf.DUMMYFUNCTION("""COMPUTED_VALUE"""),"SoC_RJ_Duque de Caxias")</f>
        <v>SoC_RJ_Duque de Caxias</v>
      </c>
      <c r="C6640" s="238" t="str">
        <f>IFERROR(__xludf.DUMMYFUNCTION("""COMPUTED_VALUE"""),"SOC-RJ2")</f>
        <v>SOC-RJ2</v>
      </c>
      <c r="D6640" s="234">
        <f>IFERROR(__xludf.DUMMYFUNCTION("""COMPUTED_VALUE"""),97.0)</f>
        <v>97</v>
      </c>
      <c r="E6640" s="237" t="str">
        <f>IFERROR(__xludf.DUMMYFUNCTION("""COMPUTED_VALUE"""),"LT0Q2301XXXU3")</f>
        <v>LT0Q2301XXXU3</v>
      </c>
      <c r="F6640" s="238" t="str">
        <f>IFERROR(__xludf.DUMMYFUNCTION("""COMPUTED_VALUE"""),"MKG9D89,EQM4D52")</f>
        <v>MKG9D89,EQM4D52</v>
      </c>
      <c r="G6640" s="238">
        <f>IFERROR(__xludf.DUMMYFUNCTION("""COMPUTED_VALUE"""),46057.00208333333)</f>
        <v>46057.00208</v>
      </c>
      <c r="H6640" s="238">
        <f>IFERROR(__xludf.DUMMYFUNCTION("""COMPUTED_VALUE"""),46057.375)</f>
        <v>46057.375</v>
      </c>
      <c r="J6640" s="239">
        <v>119.99999999301508</v>
      </c>
    </row>
    <row r="6641">
      <c r="A6641" s="234"/>
      <c r="B6641" s="238" t="str">
        <f>IFERROR(__xludf.DUMMYFUNCTION("""COMPUTED_VALUE"""),"LM Hub_SP_Santo André")</f>
        <v>LM Hub_SP_Santo André</v>
      </c>
      <c r="C6641" s="238" t="str">
        <f>IFERROR(__xludf.DUMMYFUNCTION("""COMPUTED_VALUE"""),"HUB-LSP-93")</f>
        <v>HUB-LSP-93</v>
      </c>
      <c r="D6641" s="234"/>
      <c r="E6641" s="237" t="str">
        <f>IFERROR(__xludf.DUMMYFUNCTION("""COMPUTED_VALUE"""),"LT0Q2401XYE81")</f>
        <v>LT0Q2401XYE81</v>
      </c>
      <c r="F6641" s="238" t="str">
        <f>IFERROR(__xludf.DUMMYFUNCTION("""COMPUTED_VALUE"""),"FXQ8H67,EZL9D42")</f>
        <v>FXQ8H67,EZL9D42</v>
      </c>
      <c r="G6641" s="238">
        <f>IFERROR(__xludf.DUMMYFUNCTION("""COMPUTED_VALUE"""),46057.3125)</f>
        <v>46057.3125</v>
      </c>
      <c r="H6641" s="238">
        <f>IFERROR(__xludf.DUMMYFUNCTION("""COMPUTED_VALUE"""),46057.39583333333)</f>
        <v>46057.39583</v>
      </c>
      <c r="J6641" s="239">
        <v>540.0</v>
      </c>
    </row>
    <row r="6642">
      <c r="A6642" s="234"/>
      <c r="B6642" s="238" t="str">
        <f>IFERROR(__xludf.DUMMYFUNCTION("""COMPUTED_VALUE"""),"SoC_MG_Betim")</f>
        <v>SoC_MG_Betim</v>
      </c>
      <c r="C6642" s="238" t="str">
        <f>IFERROR(__xludf.DUMMYFUNCTION("""COMPUTED_VALUE"""),"SOC-MG2")</f>
        <v>SOC-MG2</v>
      </c>
      <c r="D6642" s="234">
        <f>IFERROR(__xludf.DUMMYFUNCTION("""COMPUTED_VALUE"""),15.0)</f>
        <v>15</v>
      </c>
      <c r="E6642" s="237" t="str">
        <f>IFERROR(__xludf.DUMMYFUNCTION("""COMPUTED_VALUE"""),"LT1Q2301YAZB1")</f>
        <v>LT1Q2301YAZB1</v>
      </c>
      <c r="F6642" s="238" t="str">
        <f>IFERROR(__xludf.DUMMYFUNCTION("""COMPUTED_VALUE"""),"KWZ8F01,TXP7A05")</f>
        <v>KWZ8F01,TXP7A05</v>
      </c>
      <c r="G6642" s="238">
        <f>IFERROR(__xludf.DUMMYFUNCTION("""COMPUTED_VALUE"""),46057.08333333333)</f>
        <v>46057.08333</v>
      </c>
      <c r="H6642" s="238">
        <f>IFERROR(__xludf.DUMMYFUNCTION("""COMPUTED_VALUE"""),46057.45833333333)</f>
        <v>46057.45833</v>
      </c>
      <c r="J6642" s="239">
        <v>540.0</v>
      </c>
    </row>
    <row r="6643">
      <c r="A6643" s="234"/>
      <c r="B6643" s="238" t="str">
        <f>IFERROR(__xludf.DUMMYFUNCTION("""COMPUTED_VALUE"""),"SoC_PE_Jaboatão dos Guararapes")</f>
        <v>SoC_PE_Jaboatão dos Guararapes</v>
      </c>
      <c r="C6643" s="238" t="str">
        <f>IFERROR(__xludf.DUMMYFUNCTION("""COMPUTED_VALUE"""),"SOC-PE2")</f>
        <v>SOC-PE2</v>
      </c>
      <c r="D6643" s="234">
        <f>IFERROR(__xludf.DUMMYFUNCTION("""COMPUTED_VALUE"""),98.0)</f>
        <v>98</v>
      </c>
      <c r="E6643" s="237" t="str">
        <f>IFERROR(__xludf.DUMMYFUNCTION("""COMPUTED_VALUE"""),"LT0Q2301Y17X3")</f>
        <v>LT0Q2301Y17X3</v>
      </c>
      <c r="F6643" s="238" t="str">
        <f>IFERROR(__xludf.DUMMYFUNCTION("""COMPUTED_VALUE"""),"MRX5E93,MQM3634")</f>
        <v>MRX5E93,MQM3634</v>
      </c>
      <c r="G6643" s="238">
        <f>IFERROR(__xludf.DUMMYFUNCTION("""COMPUTED_VALUE"""),46057.08333333333)</f>
        <v>46057.08333</v>
      </c>
      <c r="H6643" s="238">
        <f>IFERROR(__xludf.DUMMYFUNCTION("""COMPUTED_VALUE"""),46057.45833333333)</f>
        <v>46057.45833</v>
      </c>
      <c r="J6643" s="239">
        <v>540.0</v>
      </c>
    </row>
    <row r="6644">
      <c r="A6644" s="234"/>
      <c r="B6644" s="238" t="str">
        <f>IFERROR(__xludf.DUMMYFUNCTION("""COMPUTED_VALUE"""),"SoC_RJ_Duque de Caxias")</f>
        <v>SoC_RJ_Duque de Caxias</v>
      </c>
      <c r="C6644" s="238" t="str">
        <f>IFERROR(__xludf.DUMMYFUNCTION("""COMPUTED_VALUE"""),"SOC-RJ2")</f>
        <v>SOC-RJ2</v>
      </c>
      <c r="D6644" s="234">
        <f>IFERROR(__xludf.DUMMYFUNCTION("""COMPUTED_VALUE"""),19.0)</f>
        <v>19</v>
      </c>
      <c r="E6644" s="237" t="str">
        <f>IFERROR(__xludf.DUMMYFUNCTION("""COMPUTED_VALUE"""),"LT1Q2301YAZ71")</f>
        <v>LT1Q2301YAZ71</v>
      </c>
      <c r="F6644" s="238" t="str">
        <f>IFERROR(__xludf.DUMMYFUNCTION("""COMPUTED_VALUE"""),"ESU8027,EMU9718")</f>
        <v>ESU8027,EMU9718</v>
      </c>
      <c r="G6644" s="238">
        <f>IFERROR(__xludf.DUMMYFUNCTION("""COMPUTED_VALUE"""),46057.08333333333)</f>
        <v>46057.08333</v>
      </c>
      <c r="H6644" s="238">
        <f>IFERROR(__xludf.DUMMYFUNCTION("""COMPUTED_VALUE"""),46057.45833333333)</f>
        <v>46057.45833</v>
      </c>
      <c r="J6644" s="239">
        <v>540.0</v>
      </c>
    </row>
    <row r="6645">
      <c r="A6645" s="234"/>
      <c r="B6645" s="238" t="str">
        <f>IFERROR(__xludf.DUMMYFUNCTION("""COMPUTED_VALUE"""),"SoC_SP_Cravinhos")</f>
        <v>SoC_SP_Cravinhos</v>
      </c>
      <c r="C6645" s="238" t="str">
        <f>IFERROR(__xludf.DUMMYFUNCTION("""COMPUTED_VALUE"""),"SOC-SP5")</f>
        <v>SOC-SP5</v>
      </c>
      <c r="D6645" s="234">
        <f>IFERROR(__xludf.DUMMYFUNCTION("""COMPUTED_VALUE"""),94.0)</f>
        <v>94</v>
      </c>
      <c r="E6645" s="237" t="str">
        <f>IFERROR(__xludf.DUMMYFUNCTION("""COMPUTED_VALUE"""),"LT1Q2301YAZ41")</f>
        <v>LT1Q2301YAZ41</v>
      </c>
      <c r="F6645" s="238" t="str">
        <f>IFERROR(__xludf.DUMMYFUNCTION("""COMPUTED_VALUE"""),"FEK3A22,EWJ2318")</f>
        <v>FEK3A22,EWJ2318</v>
      </c>
      <c r="G6645" s="238">
        <f>IFERROR(__xludf.DUMMYFUNCTION("""COMPUTED_VALUE"""),46057.08333333333)</f>
        <v>46057.08333</v>
      </c>
      <c r="H6645" s="238">
        <f>IFERROR(__xludf.DUMMYFUNCTION("""COMPUTED_VALUE"""),46057.45833333333)</f>
        <v>46057.45833</v>
      </c>
      <c r="J6645" s="239">
        <v>538.9999999967404</v>
      </c>
    </row>
    <row r="6646">
      <c r="A6646" s="234"/>
      <c r="B6646" s="238" t="str">
        <f>IFERROR(__xludf.DUMMYFUNCTION("""COMPUTED_VALUE"""),"SoC_BA_Simoes Filho")</f>
        <v>SoC_BA_Simoes Filho</v>
      </c>
      <c r="C6646" s="238" t="str">
        <f>IFERROR(__xludf.DUMMYFUNCTION("""COMPUTED_VALUE"""),"SOC-BA2")</f>
        <v>SOC-BA2</v>
      </c>
      <c r="D6646" s="234">
        <f>IFERROR(__xludf.DUMMYFUNCTION("""COMPUTED_VALUE"""),89.0)</f>
        <v>89</v>
      </c>
      <c r="E6646" s="237" t="str">
        <f>IFERROR(__xludf.DUMMYFUNCTION("""COMPUTED_VALUE"""),"LT0Q2301Y1BR2")</f>
        <v>LT0Q2301Y1BR2</v>
      </c>
      <c r="F6646" s="238" t="str">
        <f>IFERROR(__xludf.DUMMYFUNCTION("""COMPUTED_VALUE"""),"DPE4A94,ELQ5F25")</f>
        <v>DPE4A94,ELQ5F25</v>
      </c>
      <c r="G6646" s="238">
        <f>IFERROR(__xludf.DUMMYFUNCTION("""COMPUTED_VALUE"""),46057.084027777775)</f>
        <v>46057.08403</v>
      </c>
      <c r="H6646" s="238">
        <f>IFERROR(__xludf.DUMMYFUNCTION("""COMPUTED_VALUE"""),46057.45833333333)</f>
        <v>46057.45833</v>
      </c>
      <c r="J6646" s="239">
        <v>538.9999999967404</v>
      </c>
    </row>
    <row r="6647">
      <c r="A6647" s="234"/>
      <c r="B6647" s="238" t="str">
        <f>IFERROR(__xludf.DUMMYFUNCTION("""COMPUTED_VALUE"""),"SoC_PE_Jaboatão dos Guararapes")</f>
        <v>SoC_PE_Jaboatão dos Guararapes</v>
      </c>
      <c r="C6647" s="238" t="str">
        <f>IFERROR(__xludf.DUMMYFUNCTION("""COMPUTED_VALUE"""),"SOC-PE2")</f>
        <v>SOC-PE2</v>
      </c>
      <c r="D6647" s="234">
        <f>IFERROR(__xludf.DUMMYFUNCTION("""COMPUTED_VALUE"""),98.0)</f>
        <v>98</v>
      </c>
      <c r="E6647" s="237" t="str">
        <f>IFERROR(__xludf.DUMMYFUNCTION("""COMPUTED_VALUE"""),"LT0Q2301Y1882")</f>
        <v>LT0Q2301Y1882</v>
      </c>
      <c r="F6647" s="238" t="str">
        <f>IFERROR(__xludf.DUMMYFUNCTION("""COMPUTED_VALUE"""),"OQC2A95,TEY9B19")</f>
        <v>OQC2A95,TEY9B19</v>
      </c>
      <c r="G6647" s="238">
        <f>IFERROR(__xludf.DUMMYFUNCTION("""COMPUTED_VALUE"""),46057.084027777775)</f>
        <v>46057.08403</v>
      </c>
      <c r="H6647" s="238">
        <f>IFERROR(__xludf.DUMMYFUNCTION("""COMPUTED_VALUE"""),46057.45833333333)</f>
        <v>46057.45833</v>
      </c>
      <c r="J6647" s="239">
        <v>538.9999999967404</v>
      </c>
    </row>
    <row r="6648">
      <c r="A6648" s="234"/>
      <c r="B6648" s="238" t="str">
        <f>IFERROR(__xludf.DUMMYFUNCTION("""COMPUTED_VALUE"""),"SoC_PE_Jaboatão dos Guararapes")</f>
        <v>SoC_PE_Jaboatão dos Guararapes</v>
      </c>
      <c r="C6648" s="238" t="str">
        <f>IFERROR(__xludf.DUMMYFUNCTION("""COMPUTED_VALUE"""),"SOC-PE2")</f>
        <v>SOC-PE2</v>
      </c>
      <c r="D6648" s="234">
        <f>IFERROR(__xludf.DUMMYFUNCTION("""COMPUTED_VALUE"""),99.0)</f>
        <v>99</v>
      </c>
      <c r="E6648" s="237" t="str">
        <f>IFERROR(__xludf.DUMMYFUNCTION("""COMPUTED_VALUE"""),"LT0Q2301Y18A3")</f>
        <v>LT0Q2301Y18A3</v>
      </c>
      <c r="F6648" s="238" t="str">
        <f>IFERROR(__xludf.DUMMYFUNCTION("""COMPUTED_VALUE"""),"FDB0D59,FFN6J39")</f>
        <v>FDB0D59,FFN6J39</v>
      </c>
      <c r="G6648" s="238">
        <f>IFERROR(__xludf.DUMMYFUNCTION("""COMPUTED_VALUE"""),46057.084027777775)</f>
        <v>46057.08403</v>
      </c>
      <c r="H6648" s="238">
        <f>IFERROR(__xludf.DUMMYFUNCTION("""COMPUTED_VALUE"""),46057.45833333333)</f>
        <v>46057.45833</v>
      </c>
      <c r="J6648" s="239">
        <v>537.9999999934807</v>
      </c>
    </row>
    <row r="6649">
      <c r="A6649" s="234"/>
      <c r="B6649" s="238" t="str">
        <f>IFERROR(__xludf.DUMMYFUNCTION("""COMPUTED_VALUE"""),"SoC_GO_Goiânia_02")</f>
        <v>SoC_GO_Goiânia_02</v>
      </c>
      <c r="C6649" s="238" t="str">
        <f>IFERROR(__xludf.DUMMYFUNCTION("""COMPUTED_VALUE"""),"SOC-GO2")</f>
        <v>SOC-GO2</v>
      </c>
      <c r="D6649" s="234">
        <f>IFERROR(__xludf.DUMMYFUNCTION("""COMPUTED_VALUE"""),87.0)</f>
        <v>87</v>
      </c>
      <c r="E6649" s="237" t="str">
        <f>IFERROR(__xludf.DUMMYFUNCTION("""COMPUTED_VALUE"""),"LT0Q2301Y1OD4")</f>
        <v>LT0Q2301Y1OD4</v>
      </c>
      <c r="F6649" s="238" t="str">
        <f>IFERROR(__xludf.DUMMYFUNCTION("""COMPUTED_VALUE"""),"GHJ7G23,ETM2I53")</f>
        <v>GHJ7G23,ETM2I53</v>
      </c>
      <c r="G6649" s="238">
        <f>IFERROR(__xludf.DUMMYFUNCTION("""COMPUTED_VALUE"""),46057.08472222222)</f>
        <v>46057.08472</v>
      </c>
      <c r="H6649" s="238">
        <f>IFERROR(__xludf.DUMMYFUNCTION("""COMPUTED_VALUE"""),46057.45833333333)</f>
        <v>46057.45833</v>
      </c>
      <c r="J6649" s="239">
        <v>537.9999999934807</v>
      </c>
    </row>
    <row r="6650">
      <c r="A6650" s="234"/>
      <c r="B6650" s="238" t="str">
        <f>IFERROR(__xludf.DUMMYFUNCTION("""COMPUTED_VALUE"""),"SoC_RJ_Duque de Caxias")</f>
        <v>SoC_RJ_Duque de Caxias</v>
      </c>
      <c r="C6650" s="238" t="str">
        <f>IFERROR(__xludf.DUMMYFUNCTION("""COMPUTED_VALUE"""),"SOC-RJ2")</f>
        <v>SOC-RJ2</v>
      </c>
      <c r="D6650" s="234">
        <f>IFERROR(__xludf.DUMMYFUNCTION("""COMPUTED_VALUE"""),97.0)</f>
        <v>97</v>
      </c>
      <c r="E6650" s="237" t="str">
        <f>IFERROR(__xludf.DUMMYFUNCTION("""COMPUTED_VALUE"""),"LT0Q2301Y5P61")</f>
        <v>LT0Q2301Y5P61</v>
      </c>
      <c r="F6650" s="238" t="str">
        <f>IFERROR(__xludf.DUMMYFUNCTION("""COMPUTED_VALUE"""),"GFZ3B99,DVS2826")</f>
        <v>GFZ3B99,DVS2826</v>
      </c>
      <c r="G6650" s="238">
        <f>IFERROR(__xludf.DUMMYFUNCTION("""COMPUTED_VALUE"""),46057.08472222222)</f>
        <v>46057.08472</v>
      </c>
      <c r="H6650" s="238">
        <f>IFERROR(__xludf.DUMMYFUNCTION("""COMPUTED_VALUE"""),46057.45833333333)</f>
        <v>46057.45833</v>
      </c>
      <c r="J6650" s="239">
        <v>537.9999999934807</v>
      </c>
    </row>
    <row r="6651">
      <c r="A6651" s="234"/>
      <c r="B6651" s="238" t="str">
        <f>IFERROR(__xludf.DUMMYFUNCTION("""COMPUTED_VALUE"""),"SoC_RJ_Duque de Caxias")</f>
        <v>SoC_RJ_Duque de Caxias</v>
      </c>
      <c r="C6651" s="238" t="str">
        <f>IFERROR(__xludf.DUMMYFUNCTION("""COMPUTED_VALUE"""),"SOC-RJ2")</f>
        <v>SOC-RJ2</v>
      </c>
      <c r="D6651" s="234">
        <f>IFERROR(__xludf.DUMMYFUNCTION("""COMPUTED_VALUE"""),96.0)</f>
        <v>96</v>
      </c>
      <c r="E6651" s="237" t="str">
        <f>IFERROR(__xludf.DUMMYFUNCTION("""COMPUTED_VALUE"""),"LT0Q2301Y5P72")</f>
        <v>LT0Q2301Y5P72</v>
      </c>
      <c r="F6651" s="238" t="str">
        <f>IFERROR(__xludf.DUMMYFUNCTION("""COMPUTED_VALUE"""),"HBZ5F88,KPW6C08")</f>
        <v>HBZ5F88,KPW6C08</v>
      </c>
      <c r="G6651" s="238">
        <f>IFERROR(__xludf.DUMMYFUNCTION("""COMPUTED_VALUE"""),46057.08472222222)</f>
        <v>46057.08472</v>
      </c>
      <c r="H6651" s="238">
        <f>IFERROR(__xludf.DUMMYFUNCTION("""COMPUTED_VALUE"""),46057.45833333333)</f>
        <v>46057.45833</v>
      </c>
      <c r="J6651" s="239">
        <v>536.9999999902211</v>
      </c>
    </row>
    <row r="6652">
      <c r="A6652" s="234"/>
      <c r="B6652" s="238" t="str">
        <f>IFERROR(__xludf.DUMMYFUNCTION("""COMPUTED_VALUE"""),"SoC_RJ_Duque de Caxias")</f>
        <v>SoC_RJ_Duque de Caxias</v>
      </c>
      <c r="C6652" s="238" t="str">
        <f>IFERROR(__xludf.DUMMYFUNCTION("""COMPUTED_VALUE"""),"SOC-RJ2")</f>
        <v>SOC-RJ2</v>
      </c>
      <c r="D6652" s="234">
        <f>IFERROR(__xludf.DUMMYFUNCTION("""COMPUTED_VALUE"""),96.0)</f>
        <v>96</v>
      </c>
      <c r="E6652" s="237" t="str">
        <f>IFERROR(__xludf.DUMMYFUNCTION("""COMPUTED_VALUE"""),"LT0Q2301XXXQ1")</f>
        <v>LT0Q2301XXXQ1</v>
      </c>
      <c r="F6652" s="238" t="str">
        <f>IFERROR(__xludf.DUMMYFUNCTION("""COMPUTED_VALUE"""),"FVW5D85,GIB3E74")</f>
        <v>FVW5D85,GIB3E74</v>
      </c>
      <c r="G6652" s="238">
        <f>IFERROR(__xludf.DUMMYFUNCTION("""COMPUTED_VALUE"""),46057.08541666667)</f>
        <v>46057.08542</v>
      </c>
      <c r="H6652" s="238">
        <f>IFERROR(__xludf.DUMMYFUNCTION("""COMPUTED_VALUE"""),46057.45833333333)</f>
        <v>46057.45833</v>
      </c>
      <c r="J6652" s="239">
        <v>479.9999999930151</v>
      </c>
    </row>
    <row r="6653">
      <c r="A6653" s="234"/>
      <c r="B6653" s="238" t="str">
        <f>IFERROR(__xludf.DUMMYFUNCTION("""COMPUTED_VALUE"""),"SoC_SP_Cravinhos")</f>
        <v>SoC_SP_Cravinhos</v>
      </c>
      <c r="C6653" s="238" t="str">
        <f>IFERROR(__xludf.DUMMYFUNCTION("""COMPUTED_VALUE"""),"SOC-SP5")</f>
        <v>SOC-SP5</v>
      </c>
      <c r="D6653" s="234">
        <f>IFERROR(__xludf.DUMMYFUNCTION("""COMPUTED_VALUE"""),94.0)</f>
        <v>94</v>
      </c>
      <c r="E6653" s="237" t="str">
        <f>IFERROR(__xludf.DUMMYFUNCTION("""COMPUTED_VALUE"""),"LT1Q2301YB2W1")</f>
        <v>LT1Q2301YB2W1</v>
      </c>
      <c r="F6653" s="238" t="str">
        <f>IFERROR(__xludf.DUMMYFUNCTION("""COMPUTED_VALUE"""),"FFE0G82,TKZ4B73,TKZ8B37")</f>
        <v>FFE0G82,TKZ4B73,TKZ8B37</v>
      </c>
      <c r="G6653" s="238">
        <f>IFERROR(__xludf.DUMMYFUNCTION("""COMPUTED_VALUE"""),46057.125)</f>
        <v>46057.125</v>
      </c>
      <c r="H6653" s="238">
        <f>IFERROR(__xludf.DUMMYFUNCTION("""COMPUTED_VALUE"""),46057.45833333333)</f>
        <v>46057.45833</v>
      </c>
      <c r="J6653" s="239">
        <v>419.99999998603016</v>
      </c>
    </row>
    <row r="6654">
      <c r="A6654" s="234"/>
      <c r="B6654" s="238" t="str">
        <f>IFERROR(__xludf.DUMMYFUNCTION("""COMPUTED_VALUE"""),"SoC_SP_Cravinhos")</f>
        <v>SoC_SP_Cravinhos</v>
      </c>
      <c r="C6654" s="238" t="str">
        <f>IFERROR(__xludf.DUMMYFUNCTION("""COMPUTED_VALUE"""),"SOC-SP5")</f>
        <v>SOC-SP5</v>
      </c>
      <c r="D6654" s="234"/>
      <c r="E6654" s="237" t="str">
        <f>IFERROR(__xludf.DUMMYFUNCTION("""COMPUTED_VALUE"""),"LT1Q2301YAZ51")</f>
        <v>LT1Q2301YAZ51</v>
      </c>
      <c r="F6654" s="238" t="str">
        <f>IFERROR(__xludf.DUMMYFUNCTION("""COMPUTED_VALUE"""),"PLA4B06,TKU4B08")</f>
        <v>PLA4B06,TKU4B08</v>
      </c>
      <c r="G6654" s="238">
        <f>IFERROR(__xludf.DUMMYFUNCTION("""COMPUTED_VALUE"""),46057.16666666667)</f>
        <v>46057.16667</v>
      </c>
      <c r="H6654" s="238">
        <f>IFERROR(__xludf.DUMMYFUNCTION("""COMPUTED_VALUE"""),46057.45833333333)</f>
        <v>46057.45833</v>
      </c>
      <c r="J6654" s="239">
        <v>416.99999999720603</v>
      </c>
    </row>
    <row r="6655">
      <c r="A6655" s="234"/>
      <c r="B6655" s="238" t="str">
        <f>IFERROR(__xludf.DUMMYFUNCTION("""COMPUTED_VALUE"""),"SoC_MG_Betim")</f>
        <v>SoC_MG_Betim</v>
      </c>
      <c r="C6655" s="238" t="str">
        <f>IFERROR(__xludf.DUMMYFUNCTION("""COMPUTED_VALUE"""),"SOC-MG2")</f>
        <v>SOC-MG2</v>
      </c>
      <c r="D6655" s="234"/>
      <c r="E6655" s="237" t="str">
        <f>IFERROR(__xludf.DUMMYFUNCTION("""COMPUTED_VALUE"""),"LT0Q2301Y58P1")</f>
        <v>LT0Q2301Y58P1</v>
      </c>
      <c r="F6655" s="238" t="str">
        <f>IFERROR(__xludf.DUMMYFUNCTION("""COMPUTED_VALUE"""),"PUB3J68,SIW1D13")</f>
        <v>PUB3J68,SIW1D13</v>
      </c>
      <c r="G6655" s="238">
        <f>IFERROR(__xludf.DUMMYFUNCTION("""COMPUTED_VALUE"""),46057.16875)</f>
        <v>46057.16875</v>
      </c>
      <c r="H6655" s="238">
        <f>IFERROR(__xludf.DUMMYFUNCTION("""COMPUTED_VALUE"""),46057.45833333333)</f>
        <v>46057.45833</v>
      </c>
      <c r="J6655" s="239">
        <v>599.0000000037253</v>
      </c>
    </row>
    <row r="6656">
      <c r="A6656" s="234"/>
      <c r="B6656" s="238" t="str">
        <f>IFERROR(__xludf.DUMMYFUNCTION("""COMPUTED_VALUE"""),"SoC_GO_Goiânia_02")</f>
        <v>SoC_GO_Goiânia_02</v>
      </c>
      <c r="C6656" s="238" t="str">
        <f>IFERROR(__xludf.DUMMYFUNCTION("""COMPUTED_VALUE"""),"SOC-GO2")</f>
        <v>SOC-GO2</v>
      </c>
      <c r="D6656" s="234"/>
      <c r="E6656" s="237" t="str">
        <f>IFERROR(__xludf.DUMMYFUNCTION("""COMPUTED_VALUE"""),"LT0Q2401Y1NE1")</f>
        <v>LT0Q2401Y1NE1</v>
      </c>
      <c r="F6656" s="238" t="str">
        <f>IFERROR(__xludf.DUMMYFUNCTION("""COMPUTED_VALUE"""),"EMT5H71,UDK6D67")</f>
        <v>EMT5H71,UDK6D67</v>
      </c>
      <c r="G6656" s="238">
        <f>IFERROR(__xludf.DUMMYFUNCTION("""COMPUTED_VALUE"""),46057.25069444445)</f>
        <v>46057.25069</v>
      </c>
      <c r="H6656" s="238">
        <f>IFERROR(__xludf.DUMMYFUNCTION("""COMPUTED_VALUE"""),46057.66666666667)</f>
        <v>46057.66667</v>
      </c>
      <c r="J6656" s="239">
        <v>598.0000000004657</v>
      </c>
    </row>
    <row r="6657">
      <c r="A6657" s="234"/>
      <c r="B6657" s="238" t="str">
        <f>IFERROR(__xludf.DUMMYFUNCTION("""COMPUTED_VALUE"""),"SoC_BA_Simoes Filho")</f>
        <v>SoC_BA_Simoes Filho</v>
      </c>
      <c r="C6657" s="238" t="str">
        <f>IFERROR(__xludf.DUMMYFUNCTION("""COMPUTED_VALUE"""),"SOC-BA2")</f>
        <v>SOC-BA2</v>
      </c>
      <c r="D6657" s="234">
        <f>IFERROR(__xludf.DUMMYFUNCTION("""COMPUTED_VALUE"""),88.0)</f>
        <v>88</v>
      </c>
      <c r="E6657" s="237" t="str">
        <f>IFERROR(__xludf.DUMMYFUNCTION("""COMPUTED_VALUE"""),"LT0Q2401Y1B11")</f>
        <v>LT0Q2401Y1B11</v>
      </c>
      <c r="F6657" s="238" t="str">
        <f>IFERROR(__xludf.DUMMYFUNCTION("""COMPUTED_VALUE"""),"GZV0H00,HVA3A65")</f>
        <v>GZV0H00,HVA3A65</v>
      </c>
      <c r="G6657" s="238">
        <f>IFERROR(__xludf.DUMMYFUNCTION("""COMPUTED_VALUE"""),46057.25138888889)</f>
        <v>46057.25139</v>
      </c>
      <c r="H6657" s="238">
        <f>IFERROR(__xludf.DUMMYFUNCTION("""COMPUTED_VALUE"""),46057.66666666667)</f>
        <v>46057.66667</v>
      </c>
      <c r="J6657" s="239">
        <v>599.0000000037253</v>
      </c>
    </row>
    <row r="6658">
      <c r="A6658" s="234"/>
      <c r="B6658" s="238" t="str">
        <f>IFERROR(__xludf.DUMMYFUNCTION("""COMPUTED_VALUE"""),"SoC_RS_Gravataí_02")</f>
        <v>SoC_RS_Gravataí_02</v>
      </c>
      <c r="C6658" s="238" t="str">
        <f>IFERROR(__xludf.DUMMYFUNCTION("""COMPUTED_VALUE"""),"SOC-RS2")</f>
        <v>SOC-RS2</v>
      </c>
      <c r="D6658" s="234"/>
      <c r="E6658" s="237" t="str">
        <f>IFERROR(__xludf.DUMMYFUNCTION("""COMPUTED_VALUE"""),"LT0Q2401Y1PU2")</f>
        <v>LT0Q2401Y1PU2</v>
      </c>
      <c r="F6658" s="238" t="str">
        <f>IFERROR(__xludf.DUMMYFUNCTION("""COMPUTED_VALUE"""),"JAG4E10,JAJ3A33")</f>
        <v>JAG4E10,JAJ3A33</v>
      </c>
      <c r="G6658" s="238">
        <f>IFERROR(__xludf.DUMMYFUNCTION("""COMPUTED_VALUE"""),46057.25069444445)</f>
        <v>46057.25069</v>
      </c>
      <c r="H6658" s="238">
        <f>IFERROR(__xludf.DUMMYFUNCTION("""COMPUTED_VALUE"""),46057.66666666667)</f>
        <v>46057.66667</v>
      </c>
      <c r="J6658" s="239">
        <v>599.0000000037253</v>
      </c>
    </row>
    <row r="6659">
      <c r="A6659" s="234"/>
      <c r="B6659" s="238" t="str">
        <f>IFERROR(__xludf.DUMMYFUNCTION("""COMPUTED_VALUE"""),"SoC_RS_Gravataí_02")</f>
        <v>SoC_RS_Gravataí_02</v>
      </c>
      <c r="C6659" s="238" t="str">
        <f>IFERROR(__xludf.DUMMYFUNCTION("""COMPUTED_VALUE"""),"SOC-RS2")</f>
        <v>SOC-RS2</v>
      </c>
      <c r="D6659" s="234"/>
      <c r="E6659" s="237" t="str">
        <f>IFERROR(__xludf.DUMMYFUNCTION("""COMPUTED_VALUE"""),"LT0Q2401Y1PS1")</f>
        <v>LT0Q2401Y1PS1</v>
      </c>
      <c r="F6659" s="238" t="str">
        <f>IFERROR(__xludf.DUMMYFUNCTION("""COMPUTED_VALUE"""),"JAB9D32,EKH7J93")</f>
        <v>JAB9D32,EKH7J93</v>
      </c>
      <c r="G6659" s="238">
        <f>IFERROR(__xludf.DUMMYFUNCTION("""COMPUTED_VALUE"""),46057.25069444445)</f>
        <v>46057.25069</v>
      </c>
      <c r="H6659" s="238">
        <f>IFERROR(__xludf.DUMMYFUNCTION("""COMPUTED_VALUE"""),46057.66666666667)</f>
        <v>46057.66667</v>
      </c>
      <c r="J6659" s="239">
        <v>598.0000000004657</v>
      </c>
    </row>
    <row r="6660">
      <c r="A6660" s="234"/>
      <c r="B6660" s="238" t="str">
        <f>IFERROR(__xludf.DUMMYFUNCTION("""COMPUTED_VALUE"""),"SoC_SP_Cravinhos")</f>
        <v>SoC_SP_Cravinhos</v>
      </c>
      <c r="C6660" s="238" t="str">
        <f>IFERROR(__xludf.DUMMYFUNCTION("""COMPUTED_VALUE"""),"SOC-SP5")</f>
        <v>SOC-SP5</v>
      </c>
      <c r="D6660" s="234"/>
      <c r="E6660" s="237" t="str">
        <f>IFERROR(__xludf.DUMMYFUNCTION("""COMPUTED_VALUE"""),"LT0Q2401XVV11")</f>
        <v>LT0Q2401XVV11</v>
      </c>
      <c r="F6660" s="238" t="str">
        <f>IFERROR(__xludf.DUMMYFUNCTION("""COMPUTED_VALUE"""),"EJX4H77,DTA3D64")</f>
        <v>EJX4H77,DTA3D64</v>
      </c>
      <c r="G6660" s="238">
        <f>IFERROR(__xludf.DUMMYFUNCTION("""COMPUTED_VALUE"""),46057.25138888889)</f>
        <v>46057.25139</v>
      </c>
      <c r="H6660" s="238">
        <f>IFERROR(__xludf.DUMMYFUNCTION("""COMPUTED_VALUE"""),46057.66666666667)</f>
        <v>46057.66667</v>
      </c>
      <c r="J6660" s="239">
        <v>599.0000000037253</v>
      </c>
    </row>
    <row r="6661">
      <c r="A6661" s="234"/>
      <c r="B6661" s="238" t="str">
        <f>IFERROR(__xludf.DUMMYFUNCTION("""COMPUTED_VALUE"""),"SoC_SP_Cravinhos")</f>
        <v>SoC_SP_Cravinhos</v>
      </c>
      <c r="C6661" s="238" t="str">
        <f>IFERROR(__xludf.DUMMYFUNCTION("""COMPUTED_VALUE"""),"SOC-SP5")</f>
        <v>SOC-SP5</v>
      </c>
      <c r="D6661" s="234"/>
      <c r="E6661" s="237" t="str">
        <f>IFERROR(__xludf.DUMMYFUNCTION("""COMPUTED_VALUE"""),"LT0Q2401XVUU2")</f>
        <v>LT0Q2401XVUU2</v>
      </c>
      <c r="F6661" s="238" t="str">
        <f>IFERROR(__xludf.DUMMYFUNCTION("""COMPUTED_VALUE"""),"FOO7J04,TJI8B90")</f>
        <v>FOO7J04,TJI8B90</v>
      </c>
      <c r="G6661" s="238">
        <f>IFERROR(__xludf.DUMMYFUNCTION("""COMPUTED_VALUE"""),46057.25069444445)</f>
        <v>46057.25069</v>
      </c>
      <c r="H6661" s="238">
        <f>IFERROR(__xludf.DUMMYFUNCTION("""COMPUTED_VALUE"""),46057.66666666667)</f>
        <v>46057.66667</v>
      </c>
      <c r="J6661" s="239">
        <v>534.9999999941792</v>
      </c>
    </row>
    <row r="6662">
      <c r="A6662" s="234"/>
      <c r="B6662" s="238" t="str">
        <f>IFERROR(__xludf.DUMMYFUNCTION("""COMPUTED_VALUE"""),"SoC_MG_Betim")</f>
        <v>SoC_MG_Betim</v>
      </c>
      <c r="C6662" s="238" t="str">
        <f>IFERROR(__xludf.DUMMYFUNCTION("""COMPUTED_VALUE"""),"SOC-MG2")</f>
        <v>SOC-MG2</v>
      </c>
      <c r="D6662" s="234">
        <f>IFERROR(__xludf.DUMMYFUNCTION("""COMPUTED_VALUE"""),91.0)</f>
        <v>91</v>
      </c>
      <c r="E6662" s="237" t="str">
        <f>IFERROR(__xludf.DUMMYFUNCTION("""COMPUTED_VALUE"""),"LT0Q2401XVT51")</f>
        <v>LT0Q2401XVT51</v>
      </c>
      <c r="F6662" s="238" t="str">
        <f>IFERROR(__xludf.DUMMYFUNCTION("""COMPUTED_VALUE"""),"EOO3J63,UEP4I46")</f>
        <v>EOO3J63,UEP4I46</v>
      </c>
      <c r="G6662" s="238">
        <f>IFERROR(__xludf.DUMMYFUNCTION("""COMPUTED_VALUE"""),46057.586805555555)</f>
        <v>46057.58681</v>
      </c>
      <c r="H6662" s="238">
        <f>IFERROR(__xludf.DUMMYFUNCTION("""COMPUTED_VALUE"""),46057.95833333333)</f>
        <v>46057.95833</v>
      </c>
      <c r="J6662" s="239">
        <v>534.9999999941792</v>
      </c>
    </row>
    <row r="6663">
      <c r="A6663" s="234"/>
      <c r="B6663" s="238" t="str">
        <f>IFERROR(__xludf.DUMMYFUNCTION("""COMPUTED_VALUE"""),"SoC_MG_Betim")</f>
        <v>SoC_MG_Betim</v>
      </c>
      <c r="C6663" s="238" t="str">
        <f>IFERROR(__xludf.DUMMYFUNCTION("""COMPUTED_VALUE"""),"SOC-MG2")</f>
        <v>SOC-MG2</v>
      </c>
      <c r="D6663" s="234">
        <f>IFERROR(__xludf.DUMMYFUNCTION("""COMPUTED_VALUE"""),9.0)</f>
        <v>9</v>
      </c>
      <c r="E6663" s="237" t="str">
        <f>IFERROR(__xludf.DUMMYFUNCTION("""COMPUTED_VALUE"""),"LT0Q2401XVTB4")</f>
        <v>LT0Q2401XVTB4</v>
      </c>
      <c r="F6663" s="238" t="str">
        <f>IFERROR(__xludf.DUMMYFUNCTION("""COMPUTED_VALUE"""),"FZF0J72,MYL3C03")</f>
        <v>FZF0J72,MYL3C03</v>
      </c>
      <c r="G6663" s="238">
        <f>IFERROR(__xludf.DUMMYFUNCTION("""COMPUTED_VALUE"""),46057.586805555555)</f>
        <v>46057.58681</v>
      </c>
      <c r="H6663" s="238">
        <f>IFERROR(__xludf.DUMMYFUNCTION("""COMPUTED_VALUE"""),46057.95833333333)</f>
        <v>46057.95833</v>
      </c>
      <c r="J6663" s="239">
        <v>533.9999999909196</v>
      </c>
    </row>
    <row r="6664">
      <c r="A6664" s="234"/>
      <c r="B6664" s="238" t="str">
        <f>IFERROR(__xludf.DUMMYFUNCTION("""COMPUTED_VALUE"""),"SoC_RJ_Duque de Caxias")</f>
        <v>SoC_RJ_Duque de Caxias</v>
      </c>
      <c r="C6664" s="238" t="str">
        <f>IFERROR(__xludf.DUMMYFUNCTION("""COMPUTED_VALUE"""),"SOC-RJ2")</f>
        <v>SOC-RJ2</v>
      </c>
      <c r="D6664" s="234">
        <f>IFERROR(__xludf.DUMMYFUNCTION("""COMPUTED_VALUE"""),97.0)</f>
        <v>97</v>
      </c>
      <c r="E6664" s="237" t="str">
        <f>IFERROR(__xludf.DUMMYFUNCTION("""COMPUTED_VALUE"""),"LT0Q2401XXXI6")</f>
        <v>LT0Q2401XXXI6</v>
      </c>
      <c r="F6664" s="238" t="str">
        <f>IFERROR(__xludf.DUMMYFUNCTION("""COMPUTED_VALUE"""),"CVN5H75,APK3F13")</f>
        <v>CVN5H75,APK3F13</v>
      </c>
      <c r="G6664" s="238">
        <f>IFERROR(__xludf.DUMMYFUNCTION("""COMPUTED_VALUE"""),46057.5875)</f>
        <v>46057.5875</v>
      </c>
      <c r="H6664" s="238">
        <f>IFERROR(__xludf.DUMMYFUNCTION("""COMPUTED_VALUE"""),46057.95833333333)</f>
        <v>46057.95833</v>
      </c>
      <c r="J6664" s="239">
        <v>119.99999999301508</v>
      </c>
    </row>
    <row r="6665">
      <c r="A6665" s="234"/>
      <c r="B6665" s="238" t="str">
        <f>IFERROR(__xludf.DUMMYFUNCTION("""COMPUTED_VALUE"""),"LM Hub_SP_Taubaté")</f>
        <v>LM Hub_SP_Taubaté</v>
      </c>
      <c r="C6665" s="238" t="str">
        <f>IFERROR(__xludf.DUMMYFUNCTION("""COMPUTED_VALUE"""),"HUB-LSP-08")</f>
        <v>HUB-LSP-08</v>
      </c>
      <c r="D6665" s="234">
        <f>IFERROR(__xludf.DUMMYFUNCTION("""COMPUTED_VALUE"""),48.0)</f>
        <v>48</v>
      </c>
      <c r="E6665" s="237" t="str">
        <f>IFERROR(__xludf.DUMMYFUNCTION("""COMPUTED_VALUE"""),"LT0Q2401XW0N1")</f>
        <v>LT0Q2401XW0N1</v>
      </c>
      <c r="F6665" s="238" t="str">
        <f>IFERROR(__xludf.DUMMYFUNCTION("""COMPUTED_VALUE"""),"CZC0C18,ENZ0G20")</f>
        <v>CZC0C18,ENZ0G20</v>
      </c>
      <c r="G6665" s="238">
        <f>IFERROR(__xludf.DUMMYFUNCTION("""COMPUTED_VALUE"""),46057.875)</f>
        <v>46057.875</v>
      </c>
      <c r="H6665" s="238">
        <f>IFERROR(__xludf.DUMMYFUNCTION("""COMPUTED_VALUE"""),46057.95833333333)</f>
        <v>46057.95833</v>
      </c>
      <c r="J6665" s="239">
        <v>120.00000001396984</v>
      </c>
    </row>
    <row r="6666">
      <c r="A6666" s="234"/>
      <c r="B6666" s="238" t="str">
        <f>IFERROR(__xludf.DUMMYFUNCTION("""COMPUTED_VALUE"""),"LM Hub_SP_Santos_Praia Grande")</f>
        <v>LM Hub_SP_Santos_Praia Grande</v>
      </c>
      <c r="C6666" s="238" t="str">
        <f>IFERROR(__xludf.DUMMYFUNCTION("""COMPUTED_VALUE"""),"HUB-LSP-09")</f>
        <v>HUB-LSP-09</v>
      </c>
      <c r="D6666" s="234">
        <f>IFERROR(__xludf.DUMMYFUNCTION("""COMPUTED_VALUE"""),23.0)</f>
        <v>23</v>
      </c>
      <c r="E6666" s="237" t="str">
        <f>IFERROR(__xludf.DUMMYFUNCTION("""COMPUTED_VALUE"""),"LT0Q2401XW0U1")</f>
        <v>LT0Q2401XW0U1</v>
      </c>
      <c r="F6666" s="238" t="str">
        <f>IFERROR(__xludf.DUMMYFUNCTION("""COMPUTED_VALUE"""),"FDF6G51,FFL1D45")</f>
        <v>FDF6G51,FFL1D45</v>
      </c>
      <c r="G6666" s="238">
        <f>IFERROR(__xludf.DUMMYFUNCTION("""COMPUTED_VALUE"""),46057.89583333333)</f>
        <v>46057.89583</v>
      </c>
      <c r="H6666" s="238">
        <f>IFERROR(__xludf.DUMMYFUNCTION("""COMPUTED_VALUE"""),46057.97916666667)</f>
        <v>46057.97917</v>
      </c>
      <c r="J6666" s="239">
        <v>119.99999999301508</v>
      </c>
    </row>
    <row r="6667">
      <c r="A6667" s="234"/>
      <c r="B6667" s="238" t="str">
        <f>IFERROR(__xludf.DUMMYFUNCTION("""COMPUTED_VALUE"""),"LM Hub_SP_Artur Alvim")</f>
        <v>LM Hub_SP_Artur Alvim</v>
      </c>
      <c r="C6667" s="238" t="str">
        <f>IFERROR(__xludf.DUMMYFUNCTION("""COMPUTED_VALUE"""),"HUB-LSP-07")</f>
        <v>HUB-LSP-07</v>
      </c>
      <c r="D6667" s="234">
        <f>IFERROR(__xludf.DUMMYFUNCTION("""COMPUTED_VALUE"""),17.0)</f>
        <v>17</v>
      </c>
      <c r="E6667" s="237" t="str">
        <f>IFERROR(__xludf.DUMMYFUNCTION("""COMPUTED_VALUE"""),"LT0Q2401XVWW1")</f>
        <v>LT0Q2401XVWW1</v>
      </c>
      <c r="F6667" s="238" t="str">
        <f>IFERROR(__xludf.DUMMYFUNCTION("""COMPUTED_VALUE"""),"EGK6F67,NGX1F13")</f>
        <v>EGK6F67,NGX1F13</v>
      </c>
      <c r="G6667" s="238">
        <f>IFERROR(__xludf.DUMMYFUNCTION("""COMPUTED_VALUE"""),46057.91666666667)</f>
        <v>46057.91667</v>
      </c>
      <c r="H6667" s="238">
        <f>IFERROR(__xludf.DUMMYFUNCTION("""COMPUTED_VALUE"""),46058.0)</f>
        <v>46058</v>
      </c>
      <c r="J6667" s="239">
        <v>119.99999999301508</v>
      </c>
    </row>
    <row r="6668">
      <c r="A6668" s="234"/>
      <c r="B6668" s="238" t="str">
        <f>IFERROR(__xludf.DUMMYFUNCTION("""COMPUTED_VALUE"""),"LM Hub_SP_Guarulhos")</f>
        <v>LM Hub_SP_Guarulhos</v>
      </c>
      <c r="C6668" s="238" t="str">
        <f>IFERROR(__xludf.DUMMYFUNCTION("""COMPUTED_VALUE"""),"HUB-LSP-77")</f>
        <v>HUB-LSP-77</v>
      </c>
      <c r="D6668" s="234">
        <f>IFERROR(__xludf.DUMMYFUNCTION("""COMPUTED_VALUE"""),36.0)</f>
        <v>36</v>
      </c>
      <c r="E6668" s="237" t="str">
        <f>IFERROR(__xludf.DUMMYFUNCTION("""COMPUTED_VALUE"""),"LT0Q2401XWQE1")</f>
        <v>LT0Q2401XWQE1</v>
      </c>
      <c r="F6668" s="238" t="str">
        <f>IFERROR(__xludf.DUMMYFUNCTION("""COMPUTED_VALUE"""),"PRB0D29,NKH4A83")</f>
        <v>PRB0D29,NKH4A83</v>
      </c>
      <c r="G6668" s="238">
        <f>IFERROR(__xludf.DUMMYFUNCTION("""COMPUTED_VALUE"""),46057.91666666667)</f>
        <v>46057.91667</v>
      </c>
      <c r="H6668" s="238">
        <f>IFERROR(__xludf.DUMMYFUNCTION("""COMPUTED_VALUE"""),46058.0)</f>
        <v>46058</v>
      </c>
      <c r="J6668" s="239">
        <v>119.99999999301508</v>
      </c>
    </row>
    <row r="6669">
      <c r="A6669" s="234"/>
      <c r="B6669" s="238" t="str">
        <f>IFERROR(__xludf.DUMMYFUNCTION("""COMPUTED_VALUE"""),"LM Hub_SP_Itapevi")</f>
        <v>LM Hub_SP_Itapevi</v>
      </c>
      <c r="C6669" s="238" t="str">
        <f>IFERROR(__xludf.DUMMYFUNCTION("""COMPUTED_VALUE"""),"HUB-LSP-41")</f>
        <v>HUB-LSP-41</v>
      </c>
      <c r="D6669" s="234">
        <f>IFERROR(__xludf.DUMMYFUNCTION("""COMPUTED_VALUE"""),18.0)</f>
        <v>18</v>
      </c>
      <c r="E6669" s="237" t="str">
        <f>IFERROR(__xludf.DUMMYFUNCTION("""COMPUTED_VALUE"""),"LT0Q2401XVY51")</f>
        <v>LT0Q2401XVY51</v>
      </c>
      <c r="F6669" s="238" t="str">
        <f>IFERROR(__xludf.DUMMYFUNCTION("""COMPUTED_VALUE"""),"BCS4J31,DJB0J76")</f>
        <v>BCS4J31,DJB0J76</v>
      </c>
      <c r="G6669" s="238">
        <f>IFERROR(__xludf.DUMMYFUNCTION("""COMPUTED_VALUE"""),46057.91666666667)</f>
        <v>46057.91667</v>
      </c>
      <c r="H6669" s="238">
        <f>IFERROR(__xludf.DUMMYFUNCTION("""COMPUTED_VALUE"""),46058.0)</f>
        <v>46058</v>
      </c>
      <c r="J6669" s="239">
        <v>119.99999999301508</v>
      </c>
    </row>
    <row r="6670">
      <c r="A6670" s="234"/>
      <c r="B6670" s="238" t="str">
        <f>IFERROR(__xludf.DUMMYFUNCTION("""COMPUTED_VALUE"""),"LM Hub_SP_Jundiaí")</f>
        <v>LM Hub_SP_Jundiaí</v>
      </c>
      <c r="C6670" s="238" t="str">
        <f>IFERROR(__xludf.DUMMYFUNCTION("""COMPUTED_VALUE"""),"HUB-LSP-100")</f>
        <v>HUB-LSP-100</v>
      </c>
      <c r="D6670" s="234">
        <f>IFERROR(__xludf.DUMMYFUNCTION("""COMPUTED_VALUE"""),18.0)</f>
        <v>18</v>
      </c>
      <c r="E6670" s="237" t="str">
        <f>IFERROR(__xludf.DUMMYFUNCTION("""COMPUTED_VALUE"""),"LT0Q2401Y2H61")</f>
        <v>LT0Q2401Y2H61</v>
      </c>
      <c r="F6670" s="238" t="str">
        <f>IFERROR(__xludf.DUMMYFUNCTION("""COMPUTED_VALUE"""),"TJQ7B36,TKX9A69")</f>
        <v>TJQ7B36,TKX9A69</v>
      </c>
      <c r="G6670" s="238">
        <f>IFERROR(__xludf.DUMMYFUNCTION("""COMPUTED_VALUE"""),46057.91666666667)</f>
        <v>46057.91667</v>
      </c>
      <c r="H6670" s="238">
        <f>IFERROR(__xludf.DUMMYFUNCTION("""COMPUTED_VALUE"""),46058.0)</f>
        <v>46058</v>
      </c>
      <c r="J6670" s="239">
        <v>119.99999999301508</v>
      </c>
    </row>
    <row r="6671">
      <c r="A6671" s="234"/>
      <c r="B6671" s="238" t="str">
        <f>IFERROR(__xludf.DUMMYFUNCTION("""COMPUTED_VALUE"""),"LM Hub_SP_Mauá")</f>
        <v>LM Hub_SP_Mauá</v>
      </c>
      <c r="C6671" s="238" t="str">
        <f>IFERROR(__xludf.DUMMYFUNCTION("""COMPUTED_VALUE"""),"HUB-LSP-64")</f>
        <v>HUB-LSP-64</v>
      </c>
      <c r="D6671" s="234">
        <f>IFERROR(__xludf.DUMMYFUNCTION("""COMPUTED_VALUE"""),33.0)</f>
        <v>33</v>
      </c>
      <c r="E6671" s="237" t="str">
        <f>IFERROR(__xludf.DUMMYFUNCTION("""COMPUTED_VALUE"""),"LT0Q2401XVYJ1")</f>
        <v>LT0Q2401XVYJ1</v>
      </c>
      <c r="F6671" s="238" t="str">
        <f>IFERROR(__xludf.DUMMYFUNCTION("""COMPUTED_VALUE"""),"FXR4B87,FCB2F69")</f>
        <v>FXR4B87,FCB2F69</v>
      </c>
      <c r="G6671" s="238">
        <f>IFERROR(__xludf.DUMMYFUNCTION("""COMPUTED_VALUE"""),46057.91666666667)</f>
        <v>46057.91667</v>
      </c>
      <c r="H6671" s="238">
        <f>IFERROR(__xludf.DUMMYFUNCTION("""COMPUTED_VALUE"""),46058.0)</f>
        <v>46058</v>
      </c>
      <c r="J6671" s="239">
        <v>119.99999999301508</v>
      </c>
    </row>
    <row r="6672">
      <c r="A6672" s="234"/>
      <c r="B6672" s="238" t="str">
        <f>IFERROR(__xludf.DUMMYFUNCTION("""COMPUTED_VALUE"""),"LM Hub_SP_Osasco_02")</f>
        <v>LM Hub_SP_Osasco_02</v>
      </c>
      <c r="C6672" s="238" t="str">
        <f>IFERROR(__xludf.DUMMYFUNCTION("""COMPUTED_VALUE"""),"HUB-LSP-60")</f>
        <v>HUB-LSP-60</v>
      </c>
      <c r="D6672" s="234">
        <f>IFERROR(__xludf.DUMMYFUNCTION("""COMPUTED_VALUE"""),22.0)</f>
        <v>22</v>
      </c>
      <c r="E6672" s="237" t="str">
        <f>IFERROR(__xludf.DUMMYFUNCTION("""COMPUTED_VALUE"""),"LT0Q2401XVYC1")</f>
        <v>LT0Q2401XVYC1</v>
      </c>
      <c r="F6672" s="238" t="str">
        <f>IFERROR(__xludf.DUMMYFUNCTION("""COMPUTED_VALUE"""),"FUZ6B23,FUA8006")</f>
        <v>FUZ6B23,FUA8006</v>
      </c>
      <c r="G6672" s="238">
        <f>IFERROR(__xludf.DUMMYFUNCTION("""COMPUTED_VALUE"""),46057.91666666667)</f>
        <v>46057.91667</v>
      </c>
      <c r="H6672" s="238">
        <f>IFERROR(__xludf.DUMMYFUNCTION("""COMPUTED_VALUE"""),46058.0)</f>
        <v>46058</v>
      </c>
      <c r="J6672" s="239">
        <v>119.99999999301508</v>
      </c>
    </row>
    <row r="6673">
      <c r="A6673" s="234"/>
      <c r="B6673" s="238" t="str">
        <f>IFERROR(__xludf.DUMMYFUNCTION("""COMPUTED_VALUE"""),"LM Hub_SP_Santo André")</f>
        <v>LM Hub_SP_Santo André</v>
      </c>
      <c r="C6673" s="238" t="str">
        <f>IFERROR(__xludf.DUMMYFUNCTION("""COMPUTED_VALUE"""),"HUB-LSP-93")</f>
        <v>HUB-LSP-93</v>
      </c>
      <c r="D6673" s="234">
        <f>IFERROR(__xludf.DUMMYFUNCTION("""COMPUTED_VALUE"""),116.0)</f>
        <v>116</v>
      </c>
      <c r="E6673" s="237" t="str">
        <f>IFERROR(__xludf.DUMMYFUNCTION("""COMPUTED_VALUE"""),"LT0Q2401XYEF1")</f>
        <v>LT0Q2401XYEF1</v>
      </c>
      <c r="F6673" s="238" t="str">
        <f>IFERROR(__xludf.DUMMYFUNCTION("""COMPUTED_VALUE"""),"FXQ8H67,EZL9D42")</f>
        <v>FXQ8H67,EZL9D42</v>
      </c>
      <c r="G6673" s="238">
        <f>IFERROR(__xludf.DUMMYFUNCTION("""COMPUTED_VALUE"""),46057.91666666667)</f>
        <v>46057.91667</v>
      </c>
      <c r="H6673" s="238">
        <f>IFERROR(__xludf.DUMMYFUNCTION("""COMPUTED_VALUE"""),46058.0)</f>
        <v>46058</v>
      </c>
      <c r="J6673" s="239">
        <v>119.99999999301508</v>
      </c>
    </row>
    <row r="6674">
      <c r="A6674" s="234"/>
      <c r="B6674" s="238" t="str">
        <f>IFERROR(__xludf.DUMMYFUNCTION("""COMPUTED_VALUE"""),"LM Hub_SP_Santo André")</f>
        <v>LM Hub_SP_Santo André</v>
      </c>
      <c r="C6674" s="238" t="str">
        <f>IFERROR(__xludf.DUMMYFUNCTION("""COMPUTED_VALUE"""),"HUB-LSP-27")</f>
        <v>HUB-LSP-27</v>
      </c>
      <c r="D6674" s="234">
        <f>IFERROR(__xludf.DUMMYFUNCTION("""COMPUTED_VALUE"""),117.0)</f>
        <v>117</v>
      </c>
      <c r="E6674" s="237" t="str">
        <f>IFERROR(__xludf.DUMMYFUNCTION("""COMPUTED_VALUE"""),"LT0Q2401XZR61")</f>
        <v>LT0Q2401XZR61</v>
      </c>
      <c r="F6674" s="238" t="str">
        <f>IFERROR(__xludf.DUMMYFUNCTION("""COMPUTED_VALUE"""),"FZR0D24,TLX8E21")</f>
        <v>FZR0D24,TLX8E21</v>
      </c>
      <c r="G6674" s="238">
        <f>IFERROR(__xludf.DUMMYFUNCTION("""COMPUTED_VALUE"""),46057.91666666667)</f>
        <v>46057.91667</v>
      </c>
      <c r="H6674" s="238">
        <f>IFERROR(__xludf.DUMMYFUNCTION("""COMPUTED_VALUE"""),46058.0)</f>
        <v>46058</v>
      </c>
      <c r="J6674" s="239">
        <v>119.99999999301508</v>
      </c>
    </row>
    <row r="6675">
      <c r="A6675" s="234"/>
      <c r="B6675" s="238" t="str">
        <f>IFERROR(__xludf.DUMMYFUNCTION("""COMPUTED_VALUE"""),"LM Hub_SP_São José do Rio P")</f>
        <v>LM Hub_SP_São José do Rio P</v>
      </c>
      <c r="C6675" s="238" t="str">
        <f>IFERROR(__xludf.DUMMYFUNCTION("""COMPUTED_VALUE"""),"HUB-LSP-27")</f>
        <v>HUB-LSP-27</v>
      </c>
      <c r="D6675" s="234">
        <f>IFERROR(__xludf.DUMMYFUNCTION("""COMPUTED_VALUE"""),26.0)</f>
        <v>26</v>
      </c>
      <c r="E6675" s="237" t="str">
        <f>IFERROR(__xludf.DUMMYFUNCTION("""COMPUTED_VALUE"""),"LT0Q2401Y0ZE1")</f>
        <v>LT0Q2401Y0ZE1</v>
      </c>
      <c r="F6675" s="238" t="str">
        <f>IFERROR(__xludf.DUMMYFUNCTION("""COMPUTED_VALUE"""),"FRO3D47,EWU4B46")</f>
        <v>FRO3D47,EWU4B46</v>
      </c>
      <c r="G6675" s="238">
        <f>IFERROR(__xludf.DUMMYFUNCTION("""COMPUTED_VALUE"""),46057.91666666667)</f>
        <v>46057.91667</v>
      </c>
      <c r="H6675" s="238">
        <f>IFERROR(__xludf.DUMMYFUNCTION("""COMPUTED_VALUE"""),46058.0)</f>
        <v>46058</v>
      </c>
      <c r="J6675" s="239">
        <v>119.99999999301508</v>
      </c>
    </row>
    <row r="6676">
      <c r="A6676" s="234"/>
      <c r="B6676" s="238" t="str">
        <f>IFERROR(__xludf.DUMMYFUNCTION("""COMPUTED_VALUE"""),"LM Hub_SP_São Paulo_Carandiru")</f>
        <v>LM Hub_SP_São Paulo_Carandiru</v>
      </c>
      <c r="C6676" s="238" t="str">
        <f>IFERROR(__xludf.DUMMYFUNCTION("""COMPUTED_VALUE"""),"HUB-LSP-18")</f>
        <v>HUB-LSP-18</v>
      </c>
      <c r="D6676" s="234">
        <f>IFERROR(__xludf.DUMMYFUNCTION("""COMPUTED_VALUE"""),22.0)</f>
        <v>22</v>
      </c>
      <c r="E6676" s="237" t="str">
        <f>IFERROR(__xludf.DUMMYFUNCTION("""COMPUTED_VALUE"""),"LT1Q2401YBPB1")</f>
        <v>LT1Q2401YBPB1</v>
      </c>
      <c r="F6676" s="238" t="str">
        <f>IFERROR(__xludf.DUMMYFUNCTION("""COMPUTED_VALUE"""),"GCS0J70")</f>
        <v>GCS0J70</v>
      </c>
      <c r="G6676" s="238">
        <f>IFERROR(__xludf.DUMMYFUNCTION("""COMPUTED_VALUE"""),46057.91666666667)</f>
        <v>46057.91667</v>
      </c>
      <c r="H6676" s="238">
        <f>IFERROR(__xludf.DUMMYFUNCTION("""COMPUTED_VALUE"""),46058.0)</f>
        <v>46058</v>
      </c>
      <c r="J6676" s="239">
        <v>119.00000000023283</v>
      </c>
    </row>
    <row r="6677">
      <c r="A6677" s="234"/>
      <c r="B6677" s="238" t="str">
        <f>IFERROR(__xludf.DUMMYFUNCTION("""COMPUTED_VALUE"""),"LM Hub_SP_Mooca_02")</f>
        <v>LM Hub_SP_Mooca_02</v>
      </c>
      <c r="C6677" s="238" t="str">
        <f>IFERROR(__xludf.DUMMYFUNCTION("""COMPUTED_VALUE"""),"HUB-LSP-94")</f>
        <v>HUB-LSP-94</v>
      </c>
      <c r="D6677" s="234"/>
      <c r="E6677" s="237" t="str">
        <f>IFERROR(__xludf.DUMMYFUNCTION("""COMPUTED_VALUE"""),"LT0Q2401Y73J1")</f>
        <v>LT0Q2401Y73J1</v>
      </c>
      <c r="F6677" s="238" t="str">
        <f>IFERROR(__xludf.DUMMYFUNCTION("""COMPUTED_VALUE"""),"EJZ8E20")</f>
        <v>EJZ8E20</v>
      </c>
      <c r="G6677" s="238">
        <f>IFERROR(__xludf.DUMMYFUNCTION("""COMPUTED_VALUE"""),46057.91736111111)</f>
        <v>46057.91736</v>
      </c>
      <c r="H6677" s="238">
        <f>IFERROR(__xludf.DUMMYFUNCTION("""COMPUTED_VALUE"""),46058.0)</f>
        <v>46058</v>
      </c>
      <c r="J6677" s="239">
        <v>119.99999999301508</v>
      </c>
    </row>
    <row r="6678">
      <c r="A6678" s="234"/>
      <c r="B6678" s="238" t="str">
        <f>IFERROR(__xludf.DUMMYFUNCTION("""COMPUTED_VALUE"""),"LM Hub_SP_Jardim Adriana")</f>
        <v>LM Hub_SP_Jardim Adriana</v>
      </c>
      <c r="C6678" s="238" t="str">
        <f>IFERROR(__xludf.DUMMYFUNCTION("""COMPUTED_VALUE"""),"HUB-LSP-12")</f>
        <v>HUB-LSP-12</v>
      </c>
      <c r="D6678" s="234">
        <f>IFERROR(__xludf.DUMMYFUNCTION("""COMPUTED_VALUE"""),14.0)</f>
        <v>14</v>
      </c>
      <c r="E6678" s="237" t="str">
        <f>IFERROR(__xludf.DUMMYFUNCTION("""COMPUTED_VALUE"""),"LT0Q2401XVX31")</f>
        <v>LT0Q2401XVX31</v>
      </c>
      <c r="F6678" s="238" t="str">
        <f>IFERROR(__xludf.DUMMYFUNCTION("""COMPUTED_VALUE"""),"IYS3C29")</f>
        <v>IYS3C29</v>
      </c>
      <c r="G6678" s="238">
        <f>IFERROR(__xludf.DUMMYFUNCTION("""COMPUTED_VALUE"""),46057.9375)</f>
        <v>46057.9375</v>
      </c>
      <c r="H6678" s="238">
        <f>IFERROR(__xludf.DUMMYFUNCTION("""COMPUTED_VALUE"""),46058.02083333333)</f>
        <v>46058.02083</v>
      </c>
      <c r="J6678" s="239">
        <v>119.99999999301508</v>
      </c>
    </row>
    <row r="6679">
      <c r="A6679" s="234"/>
      <c r="B6679" s="238" t="str">
        <f>IFERROR(__xludf.DUMMYFUNCTION("""COMPUTED_VALUE"""),"LM Hub_SP_Parque Novo Mundo")</f>
        <v>LM Hub_SP_Parque Novo Mundo</v>
      </c>
      <c r="C6679" s="238" t="str">
        <f>IFERROR(__xludf.DUMMYFUNCTION("""COMPUTED_VALUE"""),"HUB-LSP-89")</f>
        <v>HUB-LSP-89</v>
      </c>
      <c r="D6679" s="234">
        <f>IFERROR(__xludf.DUMMYFUNCTION("""COMPUTED_VALUE"""),16.0)</f>
        <v>16</v>
      </c>
      <c r="E6679" s="237" t="str">
        <f>IFERROR(__xludf.DUMMYFUNCTION("""COMPUTED_VALUE"""),"LT0Q2401XWX81")</f>
        <v>LT0Q2401XWX81</v>
      </c>
      <c r="F6679" s="238" t="str">
        <f>IFERROR(__xludf.DUMMYFUNCTION("""COMPUTED_VALUE"""),"CVN5G56,OPD3C39")</f>
        <v>CVN5G56,OPD3C39</v>
      </c>
      <c r="G6679" s="238">
        <f>IFERROR(__xludf.DUMMYFUNCTION("""COMPUTED_VALUE"""),46057.9375)</f>
        <v>46057.9375</v>
      </c>
      <c r="H6679" s="238">
        <f>IFERROR(__xludf.DUMMYFUNCTION("""COMPUTED_VALUE"""),46058.02083333333)</f>
        <v>46058.02083</v>
      </c>
      <c r="J6679" s="239">
        <v>119.99999999301508</v>
      </c>
    </row>
    <row r="6680">
      <c r="A6680" s="234"/>
      <c r="B6680" s="238" t="str">
        <f>IFERROR(__xludf.DUMMYFUNCTION("""COMPUTED_VALUE"""),"LM Hub_SP_Piracicaba")</f>
        <v>LM Hub_SP_Piracicaba</v>
      </c>
      <c r="C6680" s="238" t="str">
        <f>IFERROR(__xludf.DUMMYFUNCTION("""COMPUTED_VALUE"""),"HUB-LSP-62")</f>
        <v>HUB-LSP-62</v>
      </c>
      <c r="D6680" s="234">
        <f>IFERROR(__xludf.DUMMYFUNCTION("""COMPUTED_VALUE"""),20.0)</f>
        <v>20</v>
      </c>
      <c r="E6680" s="237" t="str">
        <f>IFERROR(__xludf.DUMMYFUNCTION("""COMPUTED_VALUE"""),"LT0Q2401XWQS1")</f>
        <v>LT0Q2401XWQS1</v>
      </c>
      <c r="F6680" s="238" t="str">
        <f>IFERROR(__xludf.DUMMYFUNCTION("""COMPUTED_VALUE"""),"EOF4D32,EOF4D33")</f>
        <v>EOF4D32,EOF4D33</v>
      </c>
      <c r="G6680" s="238">
        <f>IFERROR(__xludf.DUMMYFUNCTION("""COMPUTED_VALUE"""),46057.9375)</f>
        <v>46057.9375</v>
      </c>
      <c r="H6680" s="238">
        <f>IFERROR(__xludf.DUMMYFUNCTION("""COMPUTED_VALUE"""),46058.02083333333)</f>
        <v>46058.02083</v>
      </c>
      <c r="J6680" s="239">
        <v>119.99999999301508</v>
      </c>
    </row>
    <row r="6681">
      <c r="A6681" s="234"/>
      <c r="B6681" s="238" t="str">
        <f>IFERROR(__xludf.DUMMYFUNCTION("""COMPUTED_VALUE"""),"LM Hub_SP_Sorocaba_Região Norte")</f>
        <v>LM Hub_SP_Sorocaba_Região Norte</v>
      </c>
      <c r="C6681" s="238" t="str">
        <f>IFERROR(__xludf.DUMMYFUNCTION("""COMPUTED_VALUE"""),"HUB-LSP-10")</f>
        <v>HUB-LSP-10</v>
      </c>
      <c r="D6681" s="234">
        <f>IFERROR(__xludf.DUMMYFUNCTION("""COMPUTED_VALUE"""),19.0)</f>
        <v>19</v>
      </c>
      <c r="E6681" s="237" t="str">
        <f>IFERROR(__xludf.DUMMYFUNCTION("""COMPUTED_VALUE"""),"LT0Q2401XW161")</f>
        <v>LT0Q2401XW161</v>
      </c>
      <c r="F6681" s="238" t="str">
        <f>IFERROR(__xludf.DUMMYFUNCTION("""COMPUTED_VALUE"""),"UAV9I99,TPO9A25")</f>
        <v>UAV9I99,TPO9A25</v>
      </c>
      <c r="G6681" s="238">
        <f>IFERROR(__xludf.DUMMYFUNCTION("""COMPUTED_VALUE"""),46057.9375)</f>
        <v>46057.9375</v>
      </c>
      <c r="H6681" s="238">
        <f>IFERROR(__xludf.DUMMYFUNCTION("""COMPUTED_VALUE"""),46058.02083333333)</f>
        <v>46058.02083</v>
      </c>
      <c r="J6681" s="239">
        <v>119.99999999301508</v>
      </c>
    </row>
    <row r="6682">
      <c r="A6682" s="234"/>
      <c r="B6682" s="238" t="str">
        <f>IFERROR(__xludf.DUMMYFUNCTION("""COMPUTED_VALUE"""),"LM Hub_SP_Suzano_Baruel")</f>
        <v>LM Hub_SP_Suzano_Baruel</v>
      </c>
      <c r="C6682" s="238" t="str">
        <f>IFERROR(__xludf.DUMMYFUNCTION("""COMPUTED_VALUE"""),"HUB-LSP-97")</f>
        <v>HUB-LSP-97</v>
      </c>
      <c r="D6682" s="234">
        <f>IFERROR(__xludf.DUMMYFUNCTION("""COMPUTED_VALUE"""),25.0)</f>
        <v>25</v>
      </c>
      <c r="E6682" s="237" t="str">
        <f>IFERROR(__xludf.DUMMYFUNCTION("""COMPUTED_VALUE"""),"LT0Q2401Y2U71")</f>
        <v>LT0Q2401Y2U71</v>
      </c>
      <c r="F6682" s="238" t="str">
        <f>IFERROR(__xludf.DUMMYFUNCTION("""COMPUTED_VALUE"""),"ODE7J96,UGA3J73")</f>
        <v>ODE7J96,UGA3J73</v>
      </c>
      <c r="G6682" s="238">
        <f>IFERROR(__xludf.DUMMYFUNCTION("""COMPUTED_VALUE"""),46057.9375)</f>
        <v>46057.9375</v>
      </c>
      <c r="H6682" s="238">
        <f>IFERROR(__xludf.DUMMYFUNCTION("""COMPUTED_VALUE"""),46058.02083333333)</f>
        <v>46058.02083</v>
      </c>
      <c r="J6682" s="239">
        <v>118.99999998975545</v>
      </c>
    </row>
    <row r="6683">
      <c r="A6683" s="234"/>
      <c r="B6683" s="238" t="str">
        <f>IFERROR(__xludf.DUMMYFUNCTION("""COMPUTED_VALUE"""),"LM Hub_SP_São Paulo_Carandiru")</f>
        <v>LM Hub_SP_São Paulo_Carandiru</v>
      </c>
      <c r="C6683" s="238" t="str">
        <f>IFERROR(__xludf.DUMMYFUNCTION("""COMPUTED_VALUE"""),"HUB-LSP-18")</f>
        <v>HUB-LSP-18</v>
      </c>
      <c r="D6683" s="234">
        <f>IFERROR(__xludf.DUMMYFUNCTION("""COMPUTED_VALUE"""),21.0)</f>
        <v>21</v>
      </c>
      <c r="E6683" s="237" t="str">
        <f>IFERROR(__xludf.DUMMYFUNCTION("""COMPUTED_VALUE"""),"LT0Q2401XVXQ1")</f>
        <v>LT0Q2401XVXQ1</v>
      </c>
      <c r="F6683" s="238" t="str">
        <f>IFERROR(__xludf.DUMMYFUNCTION("""COMPUTED_VALUE"""),"NVO0561")</f>
        <v>NVO0561</v>
      </c>
      <c r="G6683" s="238">
        <f>IFERROR(__xludf.DUMMYFUNCTION("""COMPUTED_VALUE"""),46057.93819444445)</f>
        <v>46057.93819</v>
      </c>
      <c r="H6683" s="238">
        <f>IFERROR(__xludf.DUMMYFUNCTION("""COMPUTED_VALUE"""),46058.02083333333)</f>
        <v>46058.02083</v>
      </c>
      <c r="J6683" s="239">
        <v>118.99999998975545</v>
      </c>
    </row>
    <row r="6684">
      <c r="A6684" s="234"/>
      <c r="B6684" s="238" t="str">
        <f>IFERROR(__xludf.DUMMYFUNCTION("""COMPUTED_VALUE"""),"LM Hub_SP_VilaGuilherme")</f>
        <v>LM Hub_SP_VilaGuilherme</v>
      </c>
      <c r="C6684" s="238" t="str">
        <f>IFERROR(__xludf.DUMMYFUNCTION("""COMPUTED_VALUE"""),"HUB-LSP-68")</f>
        <v>HUB-LSP-68</v>
      </c>
      <c r="D6684" s="234">
        <f>IFERROR(__xludf.DUMMYFUNCTION("""COMPUTED_VALUE"""),32.0)</f>
        <v>32</v>
      </c>
      <c r="E6684" s="237" t="str">
        <f>IFERROR(__xludf.DUMMYFUNCTION("""COMPUTED_VALUE"""),"LT0Q2401Y59Q1")</f>
        <v>LT0Q2401Y59Q1</v>
      </c>
      <c r="F6684" s="238" t="str">
        <f>IFERROR(__xludf.DUMMYFUNCTION("""COMPUTED_VALUE"""),"HFD4H27,JXG9745")</f>
        <v>HFD4H27,JXG9745</v>
      </c>
      <c r="G6684" s="238">
        <f>IFERROR(__xludf.DUMMYFUNCTION("""COMPUTED_VALUE"""),46057.93819444445)</f>
        <v>46057.93819</v>
      </c>
      <c r="H6684" s="238">
        <f>IFERROR(__xludf.DUMMYFUNCTION("""COMPUTED_VALUE"""),46058.02083333333)</f>
        <v>46058.02083</v>
      </c>
      <c r="J6684" s="239">
        <v>120.00000001396984</v>
      </c>
    </row>
    <row r="6685">
      <c r="A6685" s="234"/>
      <c r="B6685" s="238" t="str">
        <f>IFERROR(__xludf.DUMMYFUNCTION("""COMPUTED_VALUE"""),"LM Hub_RJ_Nova Iguaçu")</f>
        <v>LM Hub_RJ_Nova Iguaçu</v>
      </c>
      <c r="C6685" s="238" t="str">
        <f>IFERROR(__xludf.DUMMYFUNCTION("""COMPUTED_VALUE"""),"HUB-LRJ-27")</f>
        <v>HUB-LRJ-27</v>
      </c>
      <c r="D6685" s="234">
        <f>IFERROR(__xludf.DUMMYFUNCTION("""COMPUTED_VALUE"""),110.0)</f>
        <v>110</v>
      </c>
      <c r="E6685" s="237" t="str">
        <f>IFERROR(__xludf.DUMMYFUNCTION("""COMPUTED_VALUE"""),"LT0Q2401Y1JH1")</f>
        <v>LT0Q2401Y1JH1</v>
      </c>
      <c r="F6685" s="238" t="str">
        <f>IFERROR(__xludf.DUMMYFUNCTION("""COMPUTED_VALUE"""),"UAV9I91,TKR7G43")</f>
        <v>UAV9I91,TKR7G43</v>
      </c>
      <c r="G6685" s="238">
        <f>IFERROR(__xludf.DUMMYFUNCTION("""COMPUTED_VALUE"""),46057.95833333333)</f>
        <v>46057.95833</v>
      </c>
      <c r="H6685" s="238">
        <f>IFERROR(__xludf.DUMMYFUNCTION("""COMPUTED_VALUE"""),46058.04166666667)</f>
        <v>46058.04167</v>
      </c>
      <c r="J6685" s="239">
        <v>120.00000001396984</v>
      </c>
    </row>
    <row r="6686">
      <c r="A6686" s="234"/>
      <c r="B6686" s="238" t="str">
        <f>IFERROR(__xludf.DUMMYFUNCTION("""COMPUTED_VALUE"""),"LM Hub_RJ_Rio de Janeiro_Campo G")</f>
        <v>LM Hub_RJ_Rio de Janeiro_Campo G</v>
      </c>
      <c r="C6686" s="238" t="str">
        <f>IFERROR(__xludf.DUMMYFUNCTION("""COMPUTED_VALUE"""),"HUB-LRJ-04")</f>
        <v>HUB-LRJ-04</v>
      </c>
      <c r="D6686" s="234">
        <f>IFERROR(__xludf.DUMMYFUNCTION("""COMPUTED_VALUE"""),111.0)</f>
        <v>111</v>
      </c>
      <c r="E6686" s="237" t="str">
        <f>IFERROR(__xludf.DUMMYFUNCTION("""COMPUTED_VALUE"""),"LT0Q2401XW481")</f>
        <v>LT0Q2401XW481</v>
      </c>
      <c r="F6686" s="238" t="str">
        <f>IFERROR(__xludf.DUMMYFUNCTION("""COMPUTED_VALUE"""),"UAV2C08,UGN4B75")</f>
        <v>UAV2C08,UGN4B75</v>
      </c>
      <c r="G6686" s="238">
        <f>IFERROR(__xludf.DUMMYFUNCTION("""COMPUTED_VALUE"""),46057.95833333333)</f>
        <v>46057.95833</v>
      </c>
      <c r="H6686" s="238">
        <f>IFERROR(__xludf.DUMMYFUNCTION("""COMPUTED_VALUE"""),46058.04166666667)</f>
        <v>46058.04167</v>
      </c>
      <c r="J6686" s="239">
        <v>120.00000001396984</v>
      </c>
    </row>
    <row r="6687">
      <c r="A6687" s="234"/>
      <c r="B6687" s="238" t="str">
        <f>IFERROR(__xludf.DUMMYFUNCTION("""COMPUTED_VALUE"""),"LM Hub_RJ_São João do Meriti")</f>
        <v>LM Hub_RJ_São João do Meriti</v>
      </c>
      <c r="C6687" s="238" t="str">
        <f>IFERROR(__xludf.DUMMYFUNCTION("""COMPUTED_VALUE"""),"HUB-LRJ-01")</f>
        <v>HUB-LRJ-01</v>
      </c>
      <c r="D6687" s="234">
        <f>IFERROR(__xludf.DUMMYFUNCTION("""COMPUTED_VALUE"""),113.0)</f>
        <v>113</v>
      </c>
      <c r="E6687" s="237" t="str">
        <f>IFERROR(__xludf.DUMMYFUNCTION("""COMPUTED_VALUE"""),"LT0Q2401Y1KE1")</f>
        <v>LT0Q2401Y1KE1</v>
      </c>
      <c r="F6687" s="238" t="str">
        <f>IFERROR(__xludf.DUMMYFUNCTION("""COMPUTED_VALUE"""),"FKB6C94,DTC7026")</f>
        <v>FKB6C94,DTC7026</v>
      </c>
      <c r="G6687" s="238">
        <f>IFERROR(__xludf.DUMMYFUNCTION("""COMPUTED_VALUE"""),46057.95833333333)</f>
        <v>46057.95833</v>
      </c>
      <c r="H6687" s="238">
        <f>IFERROR(__xludf.DUMMYFUNCTION("""COMPUTED_VALUE"""),46058.04166666667)</f>
        <v>46058.04167</v>
      </c>
      <c r="J6687" s="239">
        <v>120.00000001396984</v>
      </c>
    </row>
    <row r="6688">
      <c r="A6688" s="234"/>
      <c r="B6688" s="238" t="str">
        <f>IFERROR(__xludf.DUMMYFUNCTION("""COMPUTED_VALUE"""),"LM Hub_SP_Mogi Mirim")</f>
        <v>LM Hub_SP_Mogi Mirim</v>
      </c>
      <c r="C6688" s="238" t="str">
        <f>IFERROR(__xludf.DUMMYFUNCTION("""COMPUTED_VALUE"""),"HUB-LSP-37")</f>
        <v>HUB-LSP-37</v>
      </c>
      <c r="D6688" s="234">
        <f>IFERROR(__xludf.DUMMYFUNCTION("""COMPUTED_VALUE"""),24.0)</f>
        <v>24</v>
      </c>
      <c r="E6688" s="237" t="str">
        <f>IFERROR(__xludf.DUMMYFUNCTION("""COMPUTED_VALUE"""),"LT0Q2401XW2D1")</f>
        <v>LT0Q2401XW2D1</v>
      </c>
      <c r="F6688" s="238" t="str">
        <f>IFERROR(__xludf.DUMMYFUNCTION("""COMPUTED_VALUE"""),"FUR8D94,UDF4J25")</f>
        <v>FUR8D94,UDF4J25</v>
      </c>
      <c r="G6688" s="238">
        <f>IFERROR(__xludf.DUMMYFUNCTION("""COMPUTED_VALUE"""),46057.95833333333)</f>
        <v>46057.95833</v>
      </c>
      <c r="H6688" s="238">
        <f>IFERROR(__xludf.DUMMYFUNCTION("""COMPUTED_VALUE"""),46058.04166666667)</f>
        <v>46058.04167</v>
      </c>
      <c r="J6688" s="239">
        <v>120.00000001396984</v>
      </c>
    </row>
    <row r="6689">
      <c r="A6689" s="234"/>
      <c r="B6689" s="238" t="str">
        <f>IFERROR(__xludf.DUMMYFUNCTION("""COMPUTED_VALUE"""),"SoC_SP_Louveira")</f>
        <v>SoC_SP_Louveira</v>
      </c>
      <c r="C6689" s="238" t="str">
        <f>IFERROR(__xludf.DUMMYFUNCTION("""COMPUTED_VALUE"""),"SOC-SP7")</f>
        <v>SOC-SP7</v>
      </c>
      <c r="D6689" s="234">
        <f>IFERROR(__xludf.DUMMYFUNCTION("""COMPUTED_VALUE"""),37.0)</f>
        <v>37</v>
      </c>
      <c r="E6689" s="237" t="str">
        <f>IFERROR(__xludf.DUMMYFUNCTION("""COMPUTED_VALUE"""),"LT0Q2401XVWO1")</f>
        <v>LT0Q2401XVWO1</v>
      </c>
      <c r="F6689" s="238" t="str">
        <f>IFERROR(__xludf.DUMMYFUNCTION("""COMPUTED_VALUE"""),"TLP1I83,RLH8I14")</f>
        <v>TLP1I83,RLH8I14</v>
      </c>
      <c r="G6689" s="238">
        <f>IFERROR(__xludf.DUMMYFUNCTION("""COMPUTED_VALUE"""),46057.95833333333)</f>
        <v>46057.95833</v>
      </c>
      <c r="H6689" s="238">
        <f>IFERROR(__xludf.DUMMYFUNCTION("""COMPUTED_VALUE"""),46058.04166666667)</f>
        <v>46058.04167</v>
      </c>
      <c r="J6689" s="239">
        <v>119.99999999301508</v>
      </c>
    </row>
    <row r="6690">
      <c r="A6690" s="234"/>
      <c r="B6690" s="238" t="str">
        <f>IFERROR(__xludf.DUMMYFUNCTION("""COMPUTED_VALUE"""),"LM Hub_SP_Araraquara")</f>
        <v>LM Hub_SP_Araraquara</v>
      </c>
      <c r="C6690" s="238" t="str">
        <f>IFERROR(__xludf.DUMMYFUNCTION("""COMPUTED_VALUE"""),"HUB-LSP-29")</f>
        <v>HUB-LSP-29</v>
      </c>
      <c r="D6690" s="234">
        <f>IFERROR(__xludf.DUMMYFUNCTION("""COMPUTED_VALUE"""),38.0)</f>
        <v>38</v>
      </c>
      <c r="E6690" s="237" t="str">
        <f>IFERROR(__xludf.DUMMYFUNCTION("""COMPUTED_VALUE"""),"LT0Q2401XW2I1")</f>
        <v>LT0Q2401XW2I1</v>
      </c>
      <c r="F6690" s="238" t="str">
        <f>IFERROR(__xludf.DUMMYFUNCTION("""COMPUTED_VALUE"""),"ISQ7F01,ANM9G89")</f>
        <v>ISQ7F01,ANM9G89</v>
      </c>
      <c r="G6690" s="238">
        <f>IFERROR(__xludf.DUMMYFUNCTION("""COMPUTED_VALUE"""),46057.97916666667)</f>
        <v>46057.97917</v>
      </c>
      <c r="H6690" s="238">
        <f>IFERROR(__xludf.DUMMYFUNCTION("""COMPUTED_VALUE"""),46058.0625)</f>
        <v>46058.0625</v>
      </c>
      <c r="J6690" s="239">
        <v>119.99999999301508</v>
      </c>
    </row>
    <row r="6691">
      <c r="A6691" s="234"/>
      <c r="B6691" s="238" t="str">
        <f>IFERROR(__xludf.DUMMYFUNCTION("""COMPUTED_VALUE"""),"LM Hub_SP_Atibaia_Ponte_Alta")</f>
        <v>LM Hub_SP_Atibaia_Ponte_Alta</v>
      </c>
      <c r="C6691" s="238" t="str">
        <f>IFERROR(__xludf.DUMMYFUNCTION("""COMPUTED_VALUE"""),"HUB-LSP-87")</f>
        <v>HUB-LSP-87</v>
      </c>
      <c r="D6691" s="234">
        <f>IFERROR(__xludf.DUMMYFUNCTION("""COMPUTED_VALUE"""),18.0)</f>
        <v>18</v>
      </c>
      <c r="E6691" s="237" t="str">
        <f>IFERROR(__xludf.DUMMYFUNCTION("""COMPUTED_VALUE"""),"LT0Q2401XZME1")</f>
        <v>LT0Q2401XZME1</v>
      </c>
      <c r="F6691" s="238" t="str">
        <f>IFERROR(__xludf.DUMMYFUNCTION("""COMPUTED_VALUE"""),"ESM7J80,FTR4I85")</f>
        <v>ESM7J80,FTR4I85</v>
      </c>
      <c r="G6691" s="238">
        <f>IFERROR(__xludf.DUMMYFUNCTION("""COMPUTED_VALUE"""),46057.97916666667)</f>
        <v>46057.97917</v>
      </c>
      <c r="H6691" s="238">
        <f>IFERROR(__xludf.DUMMYFUNCTION("""COMPUTED_VALUE"""),46058.0625)</f>
        <v>46058.0625</v>
      </c>
      <c r="J6691" s="239">
        <v>119.99999999301508</v>
      </c>
    </row>
    <row r="6692">
      <c r="A6692" s="234"/>
      <c r="B6692" s="238" t="str">
        <f>IFERROR(__xludf.DUMMYFUNCTION("""COMPUTED_VALUE"""),"LM Hub_SP_Várzea Paulista")</f>
        <v>LM Hub_SP_Várzea Paulista</v>
      </c>
      <c r="C6692" s="238" t="str">
        <f>IFERROR(__xludf.DUMMYFUNCTION("""COMPUTED_VALUE"""),"HUB-LSP-20")</f>
        <v>HUB-LSP-20</v>
      </c>
      <c r="D6692" s="234">
        <f>IFERROR(__xludf.DUMMYFUNCTION("""COMPUTED_VALUE"""),13.0)</f>
        <v>13</v>
      </c>
      <c r="E6692" s="237" t="str">
        <f>IFERROR(__xludf.DUMMYFUNCTION("""COMPUTED_VALUE"""),"LT0Q2401XW3H1")</f>
        <v>LT0Q2401XW3H1</v>
      </c>
      <c r="F6692" s="238" t="str">
        <f>IFERROR(__xludf.DUMMYFUNCTION("""COMPUTED_VALUE"""),"FJJ1188,EGJ8F24")</f>
        <v>FJJ1188,EGJ8F24</v>
      </c>
      <c r="G6692" s="238">
        <f>IFERROR(__xludf.DUMMYFUNCTION("""COMPUTED_VALUE"""),46057.97916666667)</f>
        <v>46057.97917</v>
      </c>
      <c r="H6692" s="238">
        <f>IFERROR(__xludf.DUMMYFUNCTION("""COMPUTED_VALUE"""),46058.0625)</f>
        <v>46058.0625</v>
      </c>
      <c r="J6692" s="239">
        <v>119.99999999301508</v>
      </c>
    </row>
    <row r="6693">
      <c r="A6693" s="234"/>
      <c r="B6693" s="238" t="str">
        <f>IFERROR(__xludf.DUMMYFUNCTION("""COMPUTED_VALUE"""),"LM Hub_RJ_Ilha do Governador")</f>
        <v>LM Hub_RJ_Ilha do Governador</v>
      </c>
      <c r="C6693" s="238" t="str">
        <f>IFERROR(__xludf.DUMMYFUNCTION("""COMPUTED_VALUE"""),"HUB-LRJ-32")</f>
        <v>HUB-LRJ-32</v>
      </c>
      <c r="D6693" s="234">
        <f>IFERROR(__xludf.DUMMYFUNCTION("""COMPUTED_VALUE"""),114.0)</f>
        <v>114</v>
      </c>
      <c r="E6693" s="237" t="str">
        <f>IFERROR(__xludf.DUMMYFUNCTION("""COMPUTED_VALUE"""),"LT0Q2501Y1JV1")</f>
        <v>LT0Q2501Y1JV1</v>
      </c>
      <c r="F6693" s="238" t="str">
        <f>IFERROR(__xludf.DUMMYFUNCTION("""COMPUTED_VALUE"""),"FLG8F16")</f>
        <v>FLG8F16</v>
      </c>
      <c r="G6693" s="238">
        <f>IFERROR(__xludf.DUMMYFUNCTION("""COMPUTED_VALUE"""),46058.0)</f>
        <v>46058</v>
      </c>
      <c r="H6693" s="238">
        <f>IFERROR(__xludf.DUMMYFUNCTION("""COMPUTED_VALUE"""),46058.08333333333)</f>
        <v>46058.08333</v>
      </c>
      <c r="J6693" s="239">
        <v>119.99999999301508</v>
      </c>
    </row>
    <row r="6694">
      <c r="A6694" s="234"/>
      <c r="B6694" s="238" t="str">
        <f>IFERROR(__xludf.DUMMYFUNCTION("""COMPUTED_VALUE"""),"LM Hub_SP_Tatuí")</f>
        <v>LM Hub_SP_Tatuí</v>
      </c>
      <c r="C6694" s="238" t="str">
        <f>IFERROR(__xludf.DUMMYFUNCTION("""COMPUTED_VALUE"""),"HUB-LSP-51")</f>
        <v>HUB-LSP-51</v>
      </c>
      <c r="D6694" s="234">
        <f>IFERROR(__xludf.DUMMYFUNCTION("""COMPUTED_VALUE"""),47.0)</f>
        <v>47</v>
      </c>
      <c r="E6694" s="237" t="str">
        <f>IFERROR(__xludf.DUMMYFUNCTION("""COMPUTED_VALUE"""),"LT0Q2501XVZ31")</f>
        <v>LT0Q2501XVZ31</v>
      </c>
      <c r="F6694" s="238" t="str">
        <f>IFERROR(__xludf.DUMMYFUNCTION("""COMPUTED_VALUE"""),"GFM6E44,AOF2G51")</f>
        <v>GFM6E44,AOF2G51</v>
      </c>
      <c r="G6694" s="238">
        <f>IFERROR(__xludf.DUMMYFUNCTION("""COMPUTED_VALUE"""),46058.0)</f>
        <v>46058</v>
      </c>
      <c r="H6694" s="238">
        <f>IFERROR(__xludf.DUMMYFUNCTION("""COMPUTED_VALUE"""),46058.08333333333)</f>
        <v>46058.08333</v>
      </c>
      <c r="J6694" s="239">
        <v>120.00000001396984</v>
      </c>
    </row>
    <row r="6695">
      <c r="A6695" s="234"/>
      <c r="B6695" s="238" t="str">
        <f>IFERROR(__xludf.DUMMYFUNCTION("""COMPUTED_VALUE"""),"LM Hub_MG_Varginha_Fausto")</f>
        <v>LM Hub_MG_Varginha_Fausto</v>
      </c>
      <c r="C6695" s="238" t="str">
        <f>IFERROR(__xludf.DUMMYFUNCTION("""COMPUTED_VALUE"""),"HUB-LMG-45")</f>
        <v>HUB-LMG-45</v>
      </c>
      <c r="D6695" s="234">
        <f>IFERROR(__xludf.DUMMYFUNCTION("""COMPUTED_VALUE"""),112.0)</f>
        <v>112</v>
      </c>
      <c r="E6695" s="237" t="str">
        <f>IFERROR(__xludf.DUMMYFUNCTION("""COMPUTED_VALUE"""),"LT0Q2501Y0YT1")</f>
        <v>LT0Q2501Y0YT1</v>
      </c>
      <c r="F6695" s="238" t="str">
        <f>IFERROR(__xludf.DUMMYFUNCTION("""COMPUTED_VALUE"""),"FOE1B13,EML4E02")</f>
        <v>FOE1B13,EML4E02</v>
      </c>
      <c r="G6695" s="238">
        <f>IFERROR(__xludf.DUMMYFUNCTION("""COMPUTED_VALUE"""),46058.02083333333)</f>
        <v>46058.02083</v>
      </c>
      <c r="H6695" s="238">
        <f>IFERROR(__xludf.DUMMYFUNCTION("""COMPUTED_VALUE"""),46058.10416666667)</f>
        <v>46058.10417</v>
      </c>
      <c r="J6695" s="239">
        <v>119.99999999301508</v>
      </c>
    </row>
    <row r="6696">
      <c r="A6696" s="234"/>
      <c r="B6696" s="238" t="str">
        <f>IFERROR(__xludf.DUMMYFUNCTION("""COMPUTED_VALUE"""),"SoC_PR_Curitiba")</f>
        <v>SoC_PR_Curitiba</v>
      </c>
      <c r="C6696" s="238" t="str">
        <f>IFERROR(__xludf.DUMMYFUNCTION("""COMPUTED_VALUE"""),"SOC-PR1")</f>
        <v>SOC-PR1</v>
      </c>
      <c r="D6696" s="234">
        <f>IFERROR(__xludf.DUMMYFUNCTION("""COMPUTED_VALUE"""),42.0)</f>
        <v>42</v>
      </c>
      <c r="E6696" s="237" t="str">
        <f>IFERROR(__xludf.DUMMYFUNCTION("""COMPUTED_VALUE"""),"LT0Q2501XVU11")</f>
        <v>LT0Q2501XVU11</v>
      </c>
      <c r="F6696" s="238" t="str">
        <f>IFERROR(__xludf.DUMMYFUNCTION("""COMPUTED_VALUE"""),"MLH4G14,LYT5E35")</f>
        <v>MLH4G14,LYT5E35</v>
      </c>
      <c r="G6696" s="238">
        <f>IFERROR(__xludf.DUMMYFUNCTION("""COMPUTED_VALUE"""),46058.04166666667)</f>
        <v>46058.04167</v>
      </c>
      <c r="H6696" s="238">
        <f>IFERROR(__xludf.DUMMYFUNCTION("""COMPUTED_VALUE"""),46058.125)</f>
        <v>46058.125</v>
      </c>
      <c r="J6696" s="239">
        <v>540.0</v>
      </c>
    </row>
    <row r="6697">
      <c r="A6697" s="234"/>
      <c r="B6697" s="238" t="str">
        <f>IFERROR(__xludf.DUMMYFUNCTION("""COMPUTED_VALUE"""),"SoC_MG_Betim")</f>
        <v>SoC_MG_Betim</v>
      </c>
      <c r="C6697" s="238" t="str">
        <f>IFERROR(__xludf.DUMMYFUNCTION("""COMPUTED_VALUE"""),"SOC-MG2")</f>
        <v>SOC-MG2</v>
      </c>
      <c r="D6697" s="234">
        <f>IFERROR(__xludf.DUMMYFUNCTION("""COMPUTED_VALUE"""),91.0)</f>
        <v>91</v>
      </c>
      <c r="E6697" s="237" t="str">
        <f>IFERROR(__xludf.DUMMYFUNCTION("""COMPUTED_VALUE"""),"LT1Q2401YC5N1")</f>
        <v>LT1Q2401YC5N1</v>
      </c>
      <c r="F6697" s="238" t="str">
        <f>IFERROR(__xludf.DUMMYFUNCTION("""COMPUTED_VALUE"""),"ETE3D35,GYS9D57")</f>
        <v>ETE3D35,GYS9D57</v>
      </c>
      <c r="G6697" s="238">
        <f>IFERROR(__xludf.DUMMYFUNCTION("""COMPUTED_VALUE"""),46057.79166666667)</f>
        <v>46057.79167</v>
      </c>
      <c r="H6697" s="238">
        <f>IFERROR(__xludf.DUMMYFUNCTION("""COMPUTED_VALUE"""),46058.16666666667)</f>
        <v>46058.16667</v>
      </c>
      <c r="J6697" s="239">
        <v>540.0</v>
      </c>
    </row>
    <row r="6698">
      <c r="A6698" s="234"/>
      <c r="B6698" s="238" t="str">
        <f>IFERROR(__xludf.DUMMYFUNCTION("""COMPUTED_VALUE"""),"SoC_PE_Jaboatão dos Guararapes")</f>
        <v>SoC_PE_Jaboatão dos Guararapes</v>
      </c>
      <c r="C6698" s="238" t="str">
        <f>IFERROR(__xludf.DUMMYFUNCTION("""COMPUTED_VALUE"""),"SOC-PE2")</f>
        <v>SOC-PE2</v>
      </c>
      <c r="D6698" s="234">
        <f>IFERROR(__xludf.DUMMYFUNCTION("""COMPUTED_VALUE"""),99.0)</f>
        <v>99</v>
      </c>
      <c r="E6698" s="237" t="str">
        <f>IFERROR(__xludf.DUMMYFUNCTION("""COMPUTED_VALUE"""),"LT0Q2401Y1803")</f>
        <v>LT0Q2401Y1803</v>
      </c>
      <c r="F6698" s="238" t="str">
        <f>IFERROR(__xludf.DUMMYFUNCTION("""COMPUTED_VALUE"""),"OKO8A30,CTA6B72")</f>
        <v>OKO8A30,CTA6B72</v>
      </c>
      <c r="G6698" s="238">
        <f>IFERROR(__xludf.DUMMYFUNCTION("""COMPUTED_VALUE"""),46057.79166666667)</f>
        <v>46057.79167</v>
      </c>
      <c r="H6698" s="238">
        <f>IFERROR(__xludf.DUMMYFUNCTION("""COMPUTED_VALUE"""),46058.16666666667)</f>
        <v>46058.16667</v>
      </c>
      <c r="J6698" s="239">
        <v>540.0</v>
      </c>
    </row>
    <row r="6699">
      <c r="A6699" s="234"/>
      <c r="B6699" s="238" t="str">
        <f>IFERROR(__xludf.DUMMYFUNCTION("""COMPUTED_VALUE"""),"SoC_RJ_Duque de Caxias")</f>
        <v>SoC_RJ_Duque de Caxias</v>
      </c>
      <c r="C6699" s="238" t="str">
        <f>IFERROR(__xludf.DUMMYFUNCTION("""COMPUTED_VALUE"""),"SOC-RJ2")</f>
        <v>SOC-RJ2</v>
      </c>
      <c r="D6699" s="234">
        <f>IFERROR(__xludf.DUMMYFUNCTION("""COMPUTED_VALUE"""),27.0)</f>
        <v>27</v>
      </c>
      <c r="E6699" s="237" t="str">
        <f>IFERROR(__xludf.DUMMYFUNCTION("""COMPUTED_VALUE"""),"LT0Q2401XXXE4")</f>
        <v>LT0Q2401XXXE4</v>
      </c>
      <c r="F6699" s="238" t="str">
        <f>IFERROR(__xludf.DUMMYFUNCTION("""COMPUTED_VALUE"""),"TIV8C68,UDA5E04")</f>
        <v>TIV8C68,UDA5E04</v>
      </c>
      <c r="G6699" s="238">
        <f>IFERROR(__xludf.DUMMYFUNCTION("""COMPUTED_VALUE"""),46057.79166666667)</f>
        <v>46057.79167</v>
      </c>
      <c r="H6699" s="238">
        <f>IFERROR(__xludf.DUMMYFUNCTION("""COMPUTED_VALUE"""),46058.16666666667)</f>
        <v>46058.16667</v>
      </c>
      <c r="J6699" s="239">
        <v>540.0</v>
      </c>
    </row>
    <row r="6700">
      <c r="A6700" s="234"/>
      <c r="B6700" s="238" t="str">
        <f>IFERROR(__xludf.DUMMYFUNCTION("""COMPUTED_VALUE"""),"SoC_RJ_Duque de Caxias")</f>
        <v>SoC_RJ_Duque de Caxias</v>
      </c>
      <c r="C6700" s="238" t="str">
        <f>IFERROR(__xludf.DUMMYFUNCTION("""COMPUTED_VALUE"""),"SOC-RJ2")</f>
        <v>SOC-RJ2</v>
      </c>
      <c r="D6700" s="234">
        <f>IFERROR(__xludf.DUMMYFUNCTION("""COMPUTED_VALUE"""),96.0)</f>
        <v>96</v>
      </c>
      <c r="E6700" s="237" t="str">
        <f>IFERROR(__xludf.DUMMYFUNCTION("""COMPUTED_VALUE"""),"LT0Q2401XXXG5")</f>
        <v>LT0Q2401XXXG5</v>
      </c>
      <c r="F6700" s="238" t="str">
        <f>IFERROR(__xludf.DUMMYFUNCTION("""COMPUTED_VALUE"""),"UFF1E13,QSV1C27")</f>
        <v>UFF1E13,QSV1C27</v>
      </c>
      <c r="G6700" s="238">
        <f>IFERROR(__xludf.DUMMYFUNCTION("""COMPUTED_VALUE"""),46057.79166666667)</f>
        <v>46057.79167</v>
      </c>
      <c r="H6700" s="238">
        <f>IFERROR(__xludf.DUMMYFUNCTION("""COMPUTED_VALUE"""),46058.16666666667)</f>
        <v>46058.16667</v>
      </c>
      <c r="J6700" s="239">
        <v>540.0</v>
      </c>
    </row>
    <row r="6701">
      <c r="A6701" s="234"/>
      <c r="B6701" s="238" t="str">
        <f>IFERROR(__xludf.DUMMYFUNCTION("""COMPUTED_VALUE"""),"SoC_RS_Gravataí_02")</f>
        <v>SoC_RS_Gravataí_02</v>
      </c>
      <c r="C6701" s="238" t="str">
        <f>IFERROR(__xludf.DUMMYFUNCTION("""COMPUTED_VALUE"""),"SOC-RS2")</f>
        <v>SOC-RS2</v>
      </c>
      <c r="D6701" s="234">
        <f>IFERROR(__xludf.DUMMYFUNCTION("""COMPUTED_VALUE"""),93.0)</f>
        <v>93</v>
      </c>
      <c r="E6701" s="237" t="str">
        <f>IFERROR(__xludf.DUMMYFUNCTION("""COMPUTED_VALUE"""),"LT0Q2401Y1QJ2")</f>
        <v>LT0Q2401Y1QJ2</v>
      </c>
      <c r="F6701" s="238" t="str">
        <f>IFERROR(__xludf.DUMMYFUNCTION("""COMPUTED_VALUE"""),"QJR4J09,JCW2A95")</f>
        <v>QJR4J09,JCW2A95</v>
      </c>
      <c r="G6701" s="238">
        <f>IFERROR(__xludf.DUMMYFUNCTION("""COMPUTED_VALUE"""),46057.79166666667)</f>
        <v>46057.79167</v>
      </c>
      <c r="H6701" s="238">
        <f>IFERROR(__xludf.DUMMYFUNCTION("""COMPUTED_VALUE"""),46058.16666666667)</f>
        <v>46058.16667</v>
      </c>
      <c r="J6701" s="239">
        <v>540.0</v>
      </c>
    </row>
    <row r="6702">
      <c r="A6702" s="234"/>
      <c r="B6702" s="238" t="str">
        <f>IFERROR(__xludf.DUMMYFUNCTION("""COMPUTED_VALUE"""),"SoC_SC_Itajaí")</f>
        <v>SoC_SC_Itajaí</v>
      </c>
      <c r="C6702" s="238" t="str">
        <f>IFERROR(__xludf.DUMMYFUNCTION("""COMPUTED_VALUE"""),"SOC-SC1")</f>
        <v>SOC-SC1</v>
      </c>
      <c r="D6702" s="234">
        <f>IFERROR(__xludf.DUMMYFUNCTION("""COMPUTED_VALUE"""),101.0)</f>
        <v>101</v>
      </c>
      <c r="E6702" s="237" t="str">
        <f>IFERROR(__xludf.DUMMYFUNCTION("""COMPUTED_VALUE"""),"LT0Q2401Y0B71")</f>
        <v>LT0Q2401Y0B71</v>
      </c>
      <c r="F6702" s="238" t="str">
        <f>IFERROR(__xludf.DUMMYFUNCTION("""COMPUTED_VALUE"""),"AXN2G91,PQT1A41")</f>
        <v>AXN2G91,PQT1A41</v>
      </c>
      <c r="G6702" s="238">
        <f>IFERROR(__xludf.DUMMYFUNCTION("""COMPUTED_VALUE"""),46057.79166666667)</f>
        <v>46057.79167</v>
      </c>
      <c r="H6702" s="238">
        <f>IFERROR(__xludf.DUMMYFUNCTION("""COMPUTED_VALUE"""),46058.16666666667)</f>
        <v>46058.16667</v>
      </c>
      <c r="J6702" s="239">
        <v>120.00000001396984</v>
      </c>
    </row>
    <row r="6703">
      <c r="A6703" s="234"/>
      <c r="B6703" s="238" t="str">
        <f>IFERROR(__xludf.DUMMYFUNCTION("""COMPUTED_VALUE"""),"SoC_PR_Curitiba")</f>
        <v>SoC_PR_Curitiba</v>
      </c>
      <c r="C6703" s="238" t="str">
        <f>IFERROR(__xludf.DUMMYFUNCTION("""COMPUTED_VALUE"""),"SOC-PR1")</f>
        <v>SOC-PR1</v>
      </c>
      <c r="D6703" s="234">
        <f>IFERROR(__xludf.DUMMYFUNCTION("""COMPUTED_VALUE"""),43.0)</f>
        <v>43</v>
      </c>
      <c r="E6703" s="237" t="str">
        <f>IFERROR(__xludf.DUMMYFUNCTION("""COMPUTED_VALUE"""),"LT0Q2501XVTW1")</f>
        <v>LT0Q2501XVTW1</v>
      </c>
      <c r="F6703" s="238" t="str">
        <f>IFERROR(__xludf.DUMMYFUNCTION("""COMPUTED_VALUE"""),"MIP8B54,MKP1E06")</f>
        <v>MIP8B54,MKP1E06</v>
      </c>
      <c r="G6703" s="238">
        <f>IFERROR(__xludf.DUMMYFUNCTION("""COMPUTED_VALUE"""),46058.08333333333)</f>
        <v>46058.08333</v>
      </c>
      <c r="H6703" s="238">
        <f>IFERROR(__xludf.DUMMYFUNCTION("""COMPUTED_VALUE"""),46058.16666666667)</f>
        <v>46058.16667</v>
      </c>
      <c r="J6703" s="239">
        <v>120.00000001396984</v>
      </c>
    </row>
    <row r="6704">
      <c r="A6704" s="234"/>
      <c r="B6704" s="238" t="str">
        <f>IFERROR(__xludf.DUMMYFUNCTION("""COMPUTED_VALUE"""),"SoC_SP_Guarulhos")</f>
        <v>SoC_SP_Guarulhos</v>
      </c>
      <c r="C6704" s="238" t="str">
        <f>IFERROR(__xludf.DUMMYFUNCTION("""COMPUTED_VALUE"""),"SOC-SP6")</f>
        <v>SOC-SP6</v>
      </c>
      <c r="D6704" s="234"/>
      <c r="E6704" s="237" t="str">
        <f>IFERROR(__xludf.DUMMYFUNCTION("""COMPUTED_VALUE"""),"LT0Q2501XWZD1")</f>
        <v>LT0Q2501XWZD1</v>
      </c>
      <c r="F6704" s="238" t="str">
        <f>IFERROR(__xludf.DUMMYFUNCTION("""COMPUTED_VALUE"""),"EWJ2F50,EVO3C99")</f>
        <v>EWJ2F50,EVO3C99</v>
      </c>
      <c r="G6704" s="238">
        <f>IFERROR(__xludf.DUMMYFUNCTION("""COMPUTED_VALUE"""),46058.08333333333)</f>
        <v>46058.08333</v>
      </c>
      <c r="H6704" s="238">
        <f>IFERROR(__xludf.DUMMYFUNCTION("""COMPUTED_VALUE"""),46058.16666666667)</f>
        <v>46058.16667</v>
      </c>
      <c r="J6704" s="239">
        <v>119.99999999301508</v>
      </c>
    </row>
    <row r="6705">
      <c r="A6705" s="234"/>
      <c r="B6705" s="238" t="str">
        <f>IFERROR(__xludf.DUMMYFUNCTION("""COMPUTED_VALUE"""),"LM Hub_SP_Itapetininga")</f>
        <v>LM Hub_SP_Itapetininga</v>
      </c>
      <c r="C6705" s="238" t="str">
        <f>IFERROR(__xludf.DUMMYFUNCTION("""COMPUTED_VALUE"""),"HUB-LSP-53")</f>
        <v>HUB-LSP-53</v>
      </c>
      <c r="D6705" s="234">
        <f>IFERROR(__xludf.DUMMYFUNCTION("""COMPUTED_VALUE"""),35.0)</f>
        <v>35</v>
      </c>
      <c r="E6705" s="237" t="str">
        <f>IFERROR(__xludf.DUMMYFUNCTION("""COMPUTED_VALUE"""),"LT0Q2501XVYX1")</f>
        <v>LT0Q2501XVYX1</v>
      </c>
      <c r="F6705" s="238" t="str">
        <f>IFERROR(__xludf.DUMMYFUNCTION("""COMPUTED_VALUE"""),"FZY3F48")</f>
        <v>FZY3F48</v>
      </c>
      <c r="G6705" s="238">
        <f>IFERROR(__xludf.DUMMYFUNCTION("""COMPUTED_VALUE"""),46058.10416666667)</f>
        <v>46058.10417</v>
      </c>
      <c r="H6705" s="238">
        <f>IFERROR(__xludf.DUMMYFUNCTION("""COMPUTED_VALUE"""),46058.1875)</f>
        <v>46058.1875</v>
      </c>
      <c r="J6705" s="239">
        <v>119.99999999301508</v>
      </c>
    </row>
    <row r="6706">
      <c r="A6706" s="234"/>
      <c r="B6706" s="238" t="str">
        <f>IFERROR(__xludf.DUMMYFUNCTION("""COMPUTED_VALUE"""),"LM Hub_SP_São Carlos")</f>
        <v>LM Hub_SP_São Carlos</v>
      </c>
      <c r="C6706" s="238" t="str">
        <f>IFERROR(__xludf.DUMMYFUNCTION("""COMPUTED_VALUE"""),"HUB-LSP-31")</f>
        <v>HUB-LSP-31</v>
      </c>
      <c r="D6706" s="234">
        <f>IFERROR(__xludf.DUMMYFUNCTION("""COMPUTED_VALUE"""),32.0)</f>
        <v>32</v>
      </c>
      <c r="E6706" s="237" t="str">
        <f>IFERROR(__xludf.DUMMYFUNCTION("""COMPUTED_VALUE"""),"LT0Q2501XW1V1")</f>
        <v>LT0Q2501XW1V1</v>
      </c>
      <c r="F6706" s="238" t="str">
        <f>IFERROR(__xludf.DUMMYFUNCTION("""COMPUTED_VALUE"""),"JCG4I58,AXE7I13")</f>
        <v>JCG4I58,AXE7I13</v>
      </c>
      <c r="G6706" s="238">
        <f>IFERROR(__xludf.DUMMYFUNCTION("""COMPUTED_VALUE"""),46058.10416666667)</f>
        <v>46058.10417</v>
      </c>
      <c r="H6706" s="238">
        <f>IFERROR(__xludf.DUMMYFUNCTION("""COMPUTED_VALUE"""),46058.1875)</f>
        <v>46058.1875</v>
      </c>
      <c r="J6706" s="239">
        <v>540.0</v>
      </c>
    </row>
    <row r="6707">
      <c r="A6707" s="234"/>
      <c r="B6707" s="238" t="str">
        <f>IFERROR(__xludf.DUMMYFUNCTION("""COMPUTED_VALUE"""),"SoC_BA_Simoes Filho")</f>
        <v>SoC_BA_Simoes Filho</v>
      </c>
      <c r="C6707" s="238" t="str">
        <f>IFERROR(__xludf.DUMMYFUNCTION("""COMPUTED_VALUE"""),"SOC-BA2")</f>
        <v>SOC-BA2</v>
      </c>
      <c r="D6707" s="234">
        <f>IFERROR(__xludf.DUMMYFUNCTION("""COMPUTED_VALUE"""),88.0)</f>
        <v>88</v>
      </c>
      <c r="E6707" s="237" t="str">
        <f>IFERROR(__xludf.DUMMYFUNCTION("""COMPUTED_VALUE"""),"LT0Q2401Y1BT1")</f>
        <v>LT0Q2401Y1BT1</v>
      </c>
      <c r="F6707" s="238" t="str">
        <f>IFERROR(__xludf.DUMMYFUNCTION("""COMPUTED_VALUE"""),"CVN8F85,DTC7I41")</f>
        <v>CVN8F85,DTC7I41</v>
      </c>
      <c r="G6707" s="238">
        <f>IFERROR(__xludf.DUMMYFUNCTION("""COMPUTED_VALUE"""),46057.83333333333)</f>
        <v>46057.83333</v>
      </c>
      <c r="H6707" s="238">
        <f>IFERROR(__xludf.DUMMYFUNCTION("""COMPUTED_VALUE"""),46058.20833333333)</f>
        <v>46058.20833</v>
      </c>
      <c r="J6707" s="239">
        <v>540.0</v>
      </c>
    </row>
    <row r="6708">
      <c r="A6708" s="234"/>
      <c r="B6708" s="238" t="str">
        <f>IFERROR(__xludf.DUMMYFUNCTION("""COMPUTED_VALUE"""),"SoC_GO_Goiânia_02")</f>
        <v>SoC_GO_Goiânia_02</v>
      </c>
      <c r="C6708" s="238" t="str">
        <f>IFERROR(__xludf.DUMMYFUNCTION("""COMPUTED_VALUE"""),"SOC-GO2")</f>
        <v>SOC-GO2</v>
      </c>
      <c r="D6708" s="234">
        <f>IFERROR(__xludf.DUMMYFUNCTION("""COMPUTED_VALUE"""),86.0)</f>
        <v>86</v>
      </c>
      <c r="E6708" s="237" t="str">
        <f>IFERROR(__xludf.DUMMYFUNCTION("""COMPUTED_VALUE"""),"LT0Q2401Y1OC2")</f>
        <v>LT0Q2401Y1OC2</v>
      </c>
      <c r="F6708" s="238" t="str">
        <f>IFERROR(__xludf.DUMMYFUNCTION("""COMPUTED_VALUE"""),"EML3D24,TKI4B25")</f>
        <v>EML3D24,TKI4B25</v>
      </c>
      <c r="G6708" s="238">
        <f>IFERROR(__xludf.DUMMYFUNCTION("""COMPUTED_VALUE"""),46057.83333333333)</f>
        <v>46057.83333</v>
      </c>
      <c r="H6708" s="238">
        <f>IFERROR(__xludf.DUMMYFUNCTION("""COMPUTED_VALUE"""),46058.20833333333)</f>
        <v>46058.20833</v>
      </c>
      <c r="J6708" s="239">
        <v>540.0</v>
      </c>
    </row>
    <row r="6709">
      <c r="A6709" s="234"/>
      <c r="B6709" s="238" t="str">
        <f>IFERROR(__xludf.DUMMYFUNCTION("""COMPUTED_VALUE"""),"SoC_SP_Cravinhos")</f>
        <v>SoC_SP_Cravinhos</v>
      </c>
      <c r="C6709" s="238" t="str">
        <f>IFERROR(__xludf.DUMMYFUNCTION("""COMPUTED_VALUE"""),"SOC-SP5")</f>
        <v>SOC-SP5</v>
      </c>
      <c r="D6709" s="234">
        <f>IFERROR(__xludf.DUMMYFUNCTION("""COMPUTED_VALUE"""),95.0)</f>
        <v>95</v>
      </c>
      <c r="E6709" s="237" t="str">
        <f>IFERROR(__xludf.DUMMYFUNCTION("""COMPUTED_VALUE"""),"LT0Q2401XVUT1")</f>
        <v>LT0Q2401XVUT1</v>
      </c>
      <c r="F6709" s="238" t="str">
        <f>IFERROR(__xludf.DUMMYFUNCTION("""COMPUTED_VALUE"""),"DQG8I95,TKJ4H92")</f>
        <v>DQG8I95,TKJ4H92</v>
      </c>
      <c r="G6709" s="238">
        <f>IFERROR(__xludf.DUMMYFUNCTION("""COMPUTED_VALUE"""),46057.83333333333)</f>
        <v>46057.83333</v>
      </c>
      <c r="H6709" s="238">
        <f>IFERROR(__xludf.DUMMYFUNCTION("""COMPUTED_VALUE"""),46058.20833333333)</f>
        <v>46058.20833</v>
      </c>
      <c r="J6709" s="239">
        <v>537.9999999934807</v>
      </c>
    </row>
    <row r="6710">
      <c r="A6710" s="234"/>
      <c r="B6710" s="238" t="str">
        <f>IFERROR(__xludf.DUMMYFUNCTION("""COMPUTED_VALUE"""),"SoC_GO_Goiânia_02")</f>
        <v>SoC_GO_Goiânia_02</v>
      </c>
      <c r="C6710" s="238" t="str">
        <f>IFERROR(__xludf.DUMMYFUNCTION("""COMPUTED_VALUE"""),"SOC-GO2")</f>
        <v>SOC-GO2</v>
      </c>
      <c r="D6710" s="234">
        <f>IFERROR(__xludf.DUMMYFUNCTION("""COMPUTED_VALUE"""),87.0)</f>
        <v>87</v>
      </c>
      <c r="E6710" s="237" t="str">
        <f>IFERROR(__xludf.DUMMYFUNCTION("""COMPUTED_VALUE"""),"LT0Q2401Y1OA1")</f>
        <v>LT0Q2401Y1OA1</v>
      </c>
      <c r="F6710" s="238" t="str">
        <f>IFERROR(__xludf.DUMMYFUNCTION("""COMPUTED_VALUE"""),"FZL6F93,TJM0A28")</f>
        <v>FZL6F93,TJM0A28</v>
      </c>
      <c r="G6710" s="238">
        <f>IFERROR(__xludf.DUMMYFUNCTION("""COMPUTED_VALUE"""),46057.83472222222)</f>
        <v>46057.83472</v>
      </c>
      <c r="H6710" s="238">
        <f>IFERROR(__xludf.DUMMYFUNCTION("""COMPUTED_VALUE"""),46058.20833333333)</f>
        <v>46058.20833</v>
      </c>
      <c r="J6710" s="239">
        <v>119.99999999301508</v>
      </c>
    </row>
    <row r="6711">
      <c r="A6711" s="234"/>
      <c r="B6711" s="238" t="str">
        <f>IFERROR(__xludf.DUMMYFUNCTION("""COMPUTED_VALUE"""),"LM Hub_SP_Itapeva")</f>
        <v>LM Hub_SP_Itapeva</v>
      </c>
      <c r="C6711" s="238" t="str">
        <f>IFERROR(__xludf.DUMMYFUNCTION("""COMPUTED_VALUE"""),"HUB-LSP-39")</f>
        <v>HUB-LSP-39</v>
      </c>
      <c r="D6711" s="234">
        <f>IFERROR(__xludf.DUMMYFUNCTION("""COMPUTED_VALUE"""),33.0)</f>
        <v>33</v>
      </c>
      <c r="E6711" s="237" t="str">
        <f>IFERROR(__xludf.DUMMYFUNCTION("""COMPUTED_VALUE"""),"LT0Q2501XVZB1")</f>
        <v>LT0Q2501XVZB1</v>
      </c>
      <c r="F6711" s="238" t="str">
        <f>IFERROR(__xludf.DUMMYFUNCTION("""COMPUTED_VALUE"""),"LTB2D63,FCT0A62")</f>
        <v>LTB2D63,FCT0A62</v>
      </c>
      <c r="G6711" s="238">
        <f>IFERROR(__xludf.DUMMYFUNCTION("""COMPUTED_VALUE"""),46058.125)</f>
        <v>46058.125</v>
      </c>
      <c r="H6711" s="238">
        <f>IFERROR(__xludf.DUMMYFUNCTION("""COMPUTED_VALUE"""),46058.20833333333)</f>
        <v>46058.20833</v>
      </c>
      <c r="J6711" s="239">
        <v>119.99999999301508</v>
      </c>
    </row>
    <row r="6712">
      <c r="A6712" s="234"/>
      <c r="B6712" s="238" t="str">
        <f>IFERROR(__xludf.DUMMYFUNCTION("""COMPUTED_VALUE"""),"LM Hub_SP_Limeira_Campo Belo")</f>
        <v>LM Hub_SP_Limeira_Campo Belo</v>
      </c>
      <c r="C6712" s="238" t="str">
        <f>IFERROR(__xludf.DUMMYFUNCTION("""COMPUTED_VALUE"""),"HUB-LSP-24")</f>
        <v>HUB-LSP-24</v>
      </c>
      <c r="D6712" s="234">
        <f>IFERROR(__xludf.DUMMYFUNCTION("""COMPUTED_VALUE"""),18.0)</f>
        <v>18</v>
      </c>
      <c r="E6712" s="237" t="str">
        <f>IFERROR(__xludf.DUMMYFUNCTION("""COMPUTED_VALUE"""),"LT0Q2501XW1B1")</f>
        <v>LT0Q2501XW1B1</v>
      </c>
      <c r="F6712" s="238" t="str">
        <f>IFERROR(__xludf.DUMMYFUNCTION("""COMPUTED_VALUE"""),"GFT5J70,GBH5G53")</f>
        <v>GFT5J70,GBH5G53</v>
      </c>
      <c r="G6712" s="238">
        <f>IFERROR(__xludf.DUMMYFUNCTION("""COMPUTED_VALUE"""),46058.125)</f>
        <v>46058.125</v>
      </c>
      <c r="H6712" s="238">
        <f>IFERROR(__xludf.DUMMYFUNCTION("""COMPUTED_VALUE"""),46058.20833333333)</f>
        <v>46058.20833</v>
      </c>
      <c r="J6712" s="239">
        <v>119.99999999301508</v>
      </c>
    </row>
    <row r="6713">
      <c r="A6713" s="234"/>
      <c r="B6713" s="238" t="str">
        <f>IFERROR(__xludf.DUMMYFUNCTION("""COMPUTED_VALUE"""),"LM Hub_SP_Sumaré_Nova Veneza_1")</f>
        <v>LM Hub_SP_Sumaré_Nova Veneza_1</v>
      </c>
      <c r="C6713" s="238" t="str">
        <f>IFERROR(__xludf.DUMMYFUNCTION("""COMPUTED_VALUE"""),"HUB-LSP-88")</f>
        <v>HUB-LSP-88</v>
      </c>
      <c r="D6713" s="234">
        <f>IFERROR(__xludf.DUMMYFUNCTION("""COMPUTED_VALUE"""),26.0)</f>
        <v>26</v>
      </c>
      <c r="E6713" s="237" t="str">
        <f>IFERROR(__xludf.DUMMYFUNCTION("""COMPUTED_VALUE"""),"LT0Q2501Y0TK1")</f>
        <v>LT0Q2501Y0TK1</v>
      </c>
      <c r="F6713" s="238" t="str">
        <f>IFERROR(__xludf.DUMMYFUNCTION("""COMPUTED_VALUE"""),"ENZ4737,EEZ3E62")</f>
        <v>ENZ4737,EEZ3E62</v>
      </c>
      <c r="G6713" s="238">
        <f>IFERROR(__xludf.DUMMYFUNCTION("""COMPUTED_VALUE"""),46058.125)</f>
        <v>46058.125</v>
      </c>
      <c r="H6713" s="238">
        <f>IFERROR(__xludf.DUMMYFUNCTION("""COMPUTED_VALUE"""),46058.20833333333)</f>
        <v>46058.20833</v>
      </c>
      <c r="J6713" s="239">
        <v>119.99999999301508</v>
      </c>
    </row>
    <row r="6714">
      <c r="A6714" s="234"/>
      <c r="B6714" s="238" t="str">
        <f>IFERROR(__xludf.DUMMYFUNCTION("""COMPUTED_VALUE"""),"SoC_SP_Guarulhos")</f>
        <v>SoC_SP_Guarulhos</v>
      </c>
      <c r="C6714" s="238" t="str">
        <f>IFERROR(__xludf.DUMMYFUNCTION("""COMPUTED_VALUE"""),"SOC-SP6")</f>
        <v>SOC-SP6</v>
      </c>
      <c r="D6714" s="234">
        <f>IFERROR(__xludf.DUMMYFUNCTION("""COMPUTED_VALUE"""),41.0)</f>
        <v>41</v>
      </c>
      <c r="E6714" s="237" t="str">
        <f>IFERROR(__xludf.DUMMYFUNCTION("""COMPUTED_VALUE"""),"LT1Q2501YC5K1")</f>
        <v>LT1Q2501YC5K1</v>
      </c>
      <c r="F6714" s="238" t="str">
        <f>IFERROR(__xludf.DUMMYFUNCTION("""COMPUTED_VALUE"""),"GHJ3E37,OUU8J45")</f>
        <v>GHJ3E37,OUU8J45</v>
      </c>
      <c r="G6714" s="238">
        <f>IFERROR(__xludf.DUMMYFUNCTION("""COMPUTED_VALUE"""),46058.125)</f>
        <v>46058.125</v>
      </c>
      <c r="H6714" s="238">
        <f>IFERROR(__xludf.DUMMYFUNCTION("""COMPUTED_VALUE"""),46058.20833333333)</f>
        <v>46058.20833</v>
      </c>
      <c r="J6714" s="239">
        <v>118.99999998975545</v>
      </c>
    </row>
    <row r="6715">
      <c r="A6715" s="234"/>
      <c r="B6715" s="238" t="str">
        <f>IFERROR(__xludf.DUMMYFUNCTION("""COMPUTED_VALUE"""),"SoC_SP_Santana")</f>
        <v>SoC_SP_Santana</v>
      </c>
      <c r="C6715" s="238" t="str">
        <f>IFERROR(__xludf.DUMMYFUNCTION("""COMPUTED_VALUE"""),"SOC-SP2")</f>
        <v>SOC-SP2</v>
      </c>
      <c r="D6715" s="234">
        <f>IFERROR(__xludf.DUMMYFUNCTION("""COMPUTED_VALUE"""),29.0)</f>
        <v>29</v>
      </c>
      <c r="E6715" s="237" t="str">
        <f>IFERROR(__xludf.DUMMYFUNCTION("""COMPUTED_VALUE"""),"LT0Q2501XWI61")</f>
        <v>LT0Q2501XWI61</v>
      </c>
      <c r="F6715" s="238" t="str">
        <f>IFERROR(__xludf.DUMMYFUNCTION("""COMPUTED_VALUE"""),"END0A49,UER1H75")</f>
        <v>END0A49,UER1H75</v>
      </c>
      <c r="G6715" s="238">
        <f>IFERROR(__xludf.DUMMYFUNCTION("""COMPUTED_VALUE"""),46058.12569444445)</f>
        <v>46058.12569</v>
      </c>
      <c r="H6715" s="238">
        <f>IFERROR(__xludf.DUMMYFUNCTION("""COMPUTED_VALUE"""),46058.20833333333)</f>
        <v>46058.20833</v>
      </c>
      <c r="J6715" s="239">
        <v>120.00000001396984</v>
      </c>
    </row>
    <row r="6716">
      <c r="A6716" s="234"/>
      <c r="B6716" s="238" t="str">
        <f>IFERROR(__xludf.DUMMYFUNCTION("""COMPUTED_VALUE"""),"LM Hub_SP_Mogi Mirim")</f>
        <v>LM Hub_SP_Mogi Mirim</v>
      </c>
      <c r="C6716" s="238" t="str">
        <f>IFERROR(__xludf.DUMMYFUNCTION("""COMPUTED_VALUE"""),"HUB-LSP-37")</f>
        <v>HUB-LSP-37</v>
      </c>
      <c r="D6716" s="234">
        <f>IFERROR(__xludf.DUMMYFUNCTION("""COMPUTED_VALUE"""),24.0)</f>
        <v>24</v>
      </c>
      <c r="E6716" s="237" t="str">
        <f>IFERROR(__xludf.DUMMYFUNCTION("""COMPUTED_VALUE"""),"LT0Q2501XW271")</f>
        <v>LT0Q2501XW271</v>
      </c>
      <c r="F6716" s="238" t="str">
        <f>IFERROR(__xludf.DUMMYFUNCTION("""COMPUTED_VALUE"""),"UGL9D30,SJN7D07")</f>
        <v>UGL9D30,SJN7D07</v>
      </c>
      <c r="G6716" s="238">
        <f>IFERROR(__xludf.DUMMYFUNCTION("""COMPUTED_VALUE"""),46058.14583333333)</f>
        <v>46058.14583</v>
      </c>
      <c r="H6716" s="238">
        <f>IFERROR(__xludf.DUMMYFUNCTION("""COMPUTED_VALUE"""),46058.22916666667)</f>
        <v>46058.22917</v>
      </c>
      <c r="J6716" s="239">
        <v>119.00000001071021</v>
      </c>
    </row>
    <row r="6717">
      <c r="A6717" s="234"/>
      <c r="B6717" s="238" t="str">
        <f>IFERROR(__xludf.DUMMYFUNCTION("""COMPUTED_VALUE"""),"LM Hub_SP_Campinas_São Martinho")</f>
        <v>LM Hub_SP_Campinas_São Martinho</v>
      </c>
      <c r="C6717" s="238" t="str">
        <f>IFERROR(__xludf.DUMMYFUNCTION("""COMPUTED_VALUE"""),"HUB-LSP-19")</f>
        <v>HUB-LSP-19</v>
      </c>
      <c r="D6717" s="234"/>
      <c r="E6717" s="237" t="str">
        <f>IFERROR(__xludf.DUMMYFUNCTION("""COMPUTED_VALUE"""),"LT0Q2501XW4B1")</f>
        <v>LT0Q2501XW4B1</v>
      </c>
      <c r="F6717" s="238" t="str">
        <f>IFERROR(__xludf.DUMMYFUNCTION("""COMPUTED_VALUE"""),"NDW2C40,PBW7C19")</f>
        <v>NDW2C40,PBW7C19</v>
      </c>
      <c r="G6717" s="238">
        <f>IFERROR(__xludf.DUMMYFUNCTION("""COMPUTED_VALUE"""),46058.146527777775)</f>
        <v>46058.14653</v>
      </c>
      <c r="H6717" s="238">
        <f>IFERROR(__xludf.DUMMYFUNCTION("""COMPUTED_VALUE"""),46058.22916666667)</f>
        <v>46058.22917</v>
      </c>
      <c r="J6717" s="239">
        <v>119.99999999301508</v>
      </c>
    </row>
    <row r="6718">
      <c r="A6718" s="234"/>
      <c r="B6718" s="238" t="str">
        <f>IFERROR(__xludf.DUMMYFUNCTION("""COMPUTED_VALUE"""),"LM Hub_SP_Guaratinguetá")</f>
        <v>LM Hub_SP_Guaratinguetá</v>
      </c>
      <c r="C6718" s="238" t="str">
        <f>IFERROR(__xludf.DUMMYFUNCTION("""COMPUTED_VALUE"""),"HUB-LSP-33")</f>
        <v>HUB-LSP-33</v>
      </c>
      <c r="D6718" s="234">
        <f>IFERROR(__xludf.DUMMYFUNCTION("""COMPUTED_VALUE"""),15.0)</f>
        <v>15</v>
      </c>
      <c r="E6718" s="237" t="str">
        <f>IFERROR(__xludf.DUMMYFUNCTION("""COMPUTED_VALUE"""),"LT0Q2501XW081")</f>
        <v>LT0Q2501XW081</v>
      </c>
      <c r="F6718" s="238" t="str">
        <f>IFERROR(__xludf.DUMMYFUNCTION("""COMPUTED_VALUE"""),"STS7H95,TAX1I64")</f>
        <v>STS7H95,TAX1I64</v>
      </c>
      <c r="G6718" s="238">
        <f>IFERROR(__xludf.DUMMYFUNCTION("""COMPUTED_VALUE"""),46058.16666666667)</f>
        <v>46058.16667</v>
      </c>
      <c r="H6718" s="238">
        <f>IFERROR(__xludf.DUMMYFUNCTION("""COMPUTED_VALUE"""),46058.25)</f>
        <v>46058.25</v>
      </c>
      <c r="J6718" s="239">
        <v>119.99999999301508</v>
      </c>
    </row>
    <row r="6719">
      <c r="A6719" s="234"/>
      <c r="B6719" s="238" t="str">
        <f>IFERROR(__xludf.DUMMYFUNCTION("""COMPUTED_VALUE"""),"LM Hub_SP_Registro")</f>
        <v>LM Hub_SP_Registro</v>
      </c>
      <c r="C6719" s="238" t="str">
        <f>IFERROR(__xludf.DUMMYFUNCTION("""COMPUTED_VALUE"""),"HUB-LSP-40")</f>
        <v>HUB-LSP-40</v>
      </c>
      <c r="D6719" s="234">
        <f>IFERROR(__xludf.DUMMYFUNCTION("""COMPUTED_VALUE"""),32.0)</f>
        <v>32</v>
      </c>
      <c r="E6719" s="237" t="str">
        <f>IFERROR(__xludf.DUMMYFUNCTION("""COMPUTED_VALUE"""),"LT0Q2501XVZW1")</f>
        <v>LT0Q2501XVZW1</v>
      </c>
      <c r="F6719" s="238" t="str">
        <f>IFERROR(__xludf.DUMMYFUNCTION("""COMPUTED_VALUE"""),"OGD9J54")</f>
        <v>OGD9J54</v>
      </c>
      <c r="G6719" s="238">
        <f>IFERROR(__xludf.DUMMYFUNCTION("""COMPUTED_VALUE"""),46058.16666666667)</f>
        <v>46058.16667</v>
      </c>
      <c r="H6719" s="238">
        <f>IFERROR(__xludf.DUMMYFUNCTION("""COMPUTED_VALUE"""),46058.25)</f>
        <v>46058.25</v>
      </c>
      <c r="J6719" s="239">
        <v>119.99999999301508</v>
      </c>
    </row>
    <row r="6720">
      <c r="A6720" s="234"/>
      <c r="B6720" s="238" t="str">
        <f>IFERROR(__xludf.DUMMYFUNCTION("""COMPUTED_VALUE"""),"SoC_SP_Louveira")</f>
        <v>SoC_SP_Louveira</v>
      </c>
      <c r="C6720" s="238" t="str">
        <f>IFERROR(__xludf.DUMMYFUNCTION("""COMPUTED_VALUE"""),"SOC-SP7")</f>
        <v>SOC-SP7</v>
      </c>
      <c r="D6720" s="234"/>
      <c r="E6720" s="237" t="str">
        <f>IFERROR(__xludf.DUMMYFUNCTION("""COMPUTED_VALUE"""),"LT0Q2501XVW41")</f>
        <v>LT0Q2501XVW41</v>
      </c>
      <c r="F6720" s="238" t="str">
        <f>IFERROR(__xludf.DUMMYFUNCTION("""COMPUTED_VALUE"""),"FNZ5B43,RYV2F39")</f>
        <v>FNZ5B43,RYV2F39</v>
      </c>
      <c r="G6720" s="238">
        <f>IFERROR(__xludf.DUMMYFUNCTION("""COMPUTED_VALUE"""),46058.16666666667)</f>
        <v>46058.16667</v>
      </c>
      <c r="H6720" s="238">
        <f>IFERROR(__xludf.DUMMYFUNCTION("""COMPUTED_VALUE"""),46058.25)</f>
        <v>46058.25</v>
      </c>
      <c r="J6720" s="239">
        <v>119.99999999301508</v>
      </c>
    </row>
    <row r="6721">
      <c r="A6721" s="234"/>
      <c r="B6721" s="238" t="str">
        <f>IFERROR(__xludf.DUMMYFUNCTION("""COMPUTED_VALUE"""),"LM Hub_SP_Taubaté")</f>
        <v>LM Hub_SP_Taubaté</v>
      </c>
      <c r="C6721" s="238" t="str">
        <f>IFERROR(__xludf.DUMMYFUNCTION("""COMPUTED_VALUE"""),"HUB-LSP-08")</f>
        <v>HUB-LSP-08</v>
      </c>
      <c r="D6721" s="234">
        <f>IFERROR(__xludf.DUMMYFUNCTION("""COMPUTED_VALUE"""),46.0)</f>
        <v>46</v>
      </c>
      <c r="E6721" s="237" t="str">
        <f>IFERROR(__xludf.DUMMYFUNCTION("""COMPUTED_VALUE"""),"LT0Q2501XW0J1")</f>
        <v>LT0Q2501XW0J1</v>
      </c>
      <c r="F6721" s="238" t="str">
        <f>IFERROR(__xludf.DUMMYFUNCTION("""COMPUTED_VALUE"""),"DBC5368,FNC5A62")</f>
        <v>DBC5368,FNC5A62</v>
      </c>
      <c r="G6721" s="238">
        <f>IFERROR(__xludf.DUMMYFUNCTION("""COMPUTED_VALUE"""),46058.1875)</f>
        <v>46058.1875</v>
      </c>
      <c r="H6721" s="238">
        <f>IFERROR(__xludf.DUMMYFUNCTION("""COMPUTED_VALUE"""),46058.27083333333)</f>
        <v>46058.27083</v>
      </c>
      <c r="J6721" s="239">
        <v>119.99999999301508</v>
      </c>
    </row>
    <row r="6722">
      <c r="A6722" s="234"/>
      <c r="B6722" s="238" t="str">
        <f>IFERROR(__xludf.DUMMYFUNCTION("""COMPUTED_VALUE"""),"SoC_SP_Louveira")</f>
        <v>SoC_SP_Louveira</v>
      </c>
      <c r="C6722" s="238" t="str">
        <f>IFERROR(__xludf.DUMMYFUNCTION("""COMPUTED_VALUE"""),"SOC-SP7")</f>
        <v>SOC-SP7</v>
      </c>
      <c r="D6722" s="234"/>
      <c r="E6722" s="237" t="str">
        <f>IFERROR(__xludf.DUMMYFUNCTION("""COMPUTED_VALUE"""),"LT0Q2501XVVZ1")</f>
        <v>LT0Q2501XVVZ1</v>
      </c>
      <c r="F6722" s="238" t="str">
        <f>IFERROR(__xludf.DUMMYFUNCTION("""COMPUTED_VALUE"""),"FCR6B84,BWH0I98")</f>
        <v>FCR6B84,BWH0I98</v>
      </c>
      <c r="G6722" s="238">
        <f>IFERROR(__xludf.DUMMYFUNCTION("""COMPUTED_VALUE"""),46058.1875)</f>
        <v>46058.1875</v>
      </c>
      <c r="H6722" s="238">
        <f>IFERROR(__xludf.DUMMYFUNCTION("""COMPUTED_VALUE"""),46058.27083333333)</f>
        <v>46058.27083</v>
      </c>
      <c r="J6722" s="239">
        <v>117.99999998649582</v>
      </c>
    </row>
    <row r="6723">
      <c r="A6723" s="234"/>
      <c r="B6723" s="238" t="str">
        <f>IFERROR(__xludf.DUMMYFUNCTION("""COMPUTED_VALUE"""),"LM Hub_SP_Sorocaba_Região Norte")</f>
        <v>LM Hub_SP_Sorocaba_Região Norte</v>
      </c>
      <c r="C6723" s="238" t="str">
        <f>IFERROR(__xludf.DUMMYFUNCTION("""COMPUTED_VALUE"""),"HUB-LSP-10")</f>
        <v>HUB-LSP-10</v>
      </c>
      <c r="D6723" s="234">
        <f>IFERROR(__xludf.DUMMYFUNCTION("""COMPUTED_VALUE"""),27.0)</f>
        <v>27</v>
      </c>
      <c r="E6723" s="237" t="str">
        <f>IFERROR(__xludf.DUMMYFUNCTION("""COMPUTED_VALUE"""),"LT0Q2501Y5A91")</f>
        <v>LT0Q2501Y5A91</v>
      </c>
      <c r="F6723" s="238" t="str">
        <f>IFERROR(__xludf.DUMMYFUNCTION("""COMPUTED_VALUE"""),"FDZ3A56,KVS1392")</f>
        <v>FDZ3A56,KVS1392</v>
      </c>
      <c r="G6723" s="238">
        <f>IFERROR(__xludf.DUMMYFUNCTION("""COMPUTED_VALUE"""),46058.18888888889)</f>
        <v>46058.18889</v>
      </c>
      <c r="H6723" s="238">
        <f>IFERROR(__xludf.DUMMYFUNCTION("""COMPUTED_VALUE"""),46058.27083333333)</f>
        <v>46058.27083</v>
      </c>
      <c r="J6723" s="239">
        <v>540.0</v>
      </c>
    </row>
    <row r="6724">
      <c r="A6724" s="234"/>
      <c r="B6724" s="238" t="str">
        <f>IFERROR(__xludf.DUMMYFUNCTION("""COMPUTED_VALUE"""),"SoC_SC_Itajaí")</f>
        <v>SoC_SC_Itajaí</v>
      </c>
      <c r="C6724" s="238" t="str">
        <f>IFERROR(__xludf.DUMMYFUNCTION("""COMPUTED_VALUE"""),"SOC-SC1")</f>
        <v>SOC-SC1</v>
      </c>
      <c r="D6724" s="234">
        <f>IFERROR(__xludf.DUMMYFUNCTION("""COMPUTED_VALUE"""),100.0)</f>
        <v>100</v>
      </c>
      <c r="E6724" s="237" t="str">
        <f>IFERROR(__xludf.DUMMYFUNCTION("""COMPUTED_VALUE"""),"LT0Q2401Y0BL2")</f>
        <v>LT0Q2401Y0BL2</v>
      </c>
      <c r="F6724" s="238" t="str">
        <f>IFERROR(__xludf.DUMMYFUNCTION("""COMPUTED_VALUE"""),"MJI3I60,ETU6I12")</f>
        <v>MJI3I60,ETU6I12</v>
      </c>
      <c r="G6724" s="238">
        <f>IFERROR(__xludf.DUMMYFUNCTION("""COMPUTED_VALUE"""),46057.91666666667)</f>
        <v>46057.91667</v>
      </c>
      <c r="H6724" s="238">
        <f>IFERROR(__xludf.DUMMYFUNCTION("""COMPUTED_VALUE"""),46058.29166666667)</f>
        <v>46058.29167</v>
      </c>
      <c r="J6724" s="239">
        <v>539.0000000072177</v>
      </c>
    </row>
    <row r="6725">
      <c r="A6725" s="234"/>
      <c r="B6725" s="238" t="str">
        <f>IFERROR(__xludf.DUMMYFUNCTION("""COMPUTED_VALUE"""),"SoC_BA_Simoes Filho")</f>
        <v>SoC_BA_Simoes Filho</v>
      </c>
      <c r="C6725" s="238" t="str">
        <f>IFERROR(__xludf.DUMMYFUNCTION("""COMPUTED_VALUE"""),"SOC-BA2")</f>
        <v>SOC-BA2</v>
      </c>
      <c r="D6725" s="234">
        <f>IFERROR(__xludf.DUMMYFUNCTION("""COMPUTED_VALUE"""),88.0)</f>
        <v>88</v>
      </c>
      <c r="E6725" s="237" t="str">
        <f>IFERROR(__xludf.DUMMYFUNCTION("""COMPUTED_VALUE"""),"LT0Q2401Y1BV2")</f>
        <v>LT0Q2401Y1BV2</v>
      </c>
      <c r="F6725" s="238" t="str">
        <f>IFERROR(__xludf.DUMMYFUNCTION("""COMPUTED_VALUE"""),"SJU9A48,SJW2G83")</f>
        <v>SJU9A48,SJW2G83</v>
      </c>
      <c r="G6725" s="238">
        <f>IFERROR(__xludf.DUMMYFUNCTION("""COMPUTED_VALUE"""),46057.91736111111)</f>
        <v>46057.91736</v>
      </c>
      <c r="H6725" s="238">
        <f>IFERROR(__xludf.DUMMYFUNCTION("""COMPUTED_VALUE"""),46058.29166666667)</f>
        <v>46058.29167</v>
      </c>
      <c r="J6725" s="239">
        <v>539.0000000072177</v>
      </c>
    </row>
    <row r="6726">
      <c r="A6726" s="234"/>
      <c r="B6726" s="238" t="str">
        <f>IFERROR(__xludf.DUMMYFUNCTION("""COMPUTED_VALUE"""),"SoC_PE_Jaboatão dos Guararapes")</f>
        <v>SoC_PE_Jaboatão dos Guararapes</v>
      </c>
      <c r="C6726" s="238" t="str">
        <f>IFERROR(__xludf.DUMMYFUNCTION("""COMPUTED_VALUE"""),"SOC-PE2")</f>
        <v>SOC-PE2</v>
      </c>
      <c r="D6726" s="234">
        <f>IFERROR(__xludf.DUMMYFUNCTION("""COMPUTED_VALUE"""),98.0)</f>
        <v>98</v>
      </c>
      <c r="E6726" s="237" t="str">
        <f>IFERROR(__xludf.DUMMYFUNCTION("""COMPUTED_VALUE"""),"LT0Q2401Y1892")</f>
        <v>LT0Q2401Y1892</v>
      </c>
      <c r="F6726" s="238" t="str">
        <f>IFERROR(__xludf.DUMMYFUNCTION("""COMPUTED_VALUE"""),"EOF9A08,DVS3H21")</f>
        <v>EOF9A08,DVS3H21</v>
      </c>
      <c r="G6726" s="238">
        <f>IFERROR(__xludf.DUMMYFUNCTION("""COMPUTED_VALUE"""),46057.91736111111)</f>
        <v>46057.91736</v>
      </c>
      <c r="H6726" s="238">
        <f>IFERROR(__xludf.DUMMYFUNCTION("""COMPUTED_VALUE"""),46058.29166666667)</f>
        <v>46058.29167</v>
      </c>
      <c r="J6726" s="239">
        <v>538.0000000144355</v>
      </c>
    </row>
    <row r="6727">
      <c r="A6727" s="234"/>
      <c r="B6727" s="238" t="str">
        <f>IFERROR(__xludf.DUMMYFUNCTION("""COMPUTED_VALUE"""),"SoC_GO_Goiânia_02")</f>
        <v>SoC_GO_Goiânia_02</v>
      </c>
      <c r="C6727" s="238" t="str">
        <f>IFERROR(__xludf.DUMMYFUNCTION("""COMPUTED_VALUE"""),"SOC-GO2")</f>
        <v>SOC-GO2</v>
      </c>
      <c r="D6727" s="234">
        <f>IFERROR(__xludf.DUMMYFUNCTION("""COMPUTED_VALUE"""),86.0)</f>
        <v>86</v>
      </c>
      <c r="E6727" s="237" t="str">
        <f>IFERROR(__xludf.DUMMYFUNCTION("""COMPUTED_VALUE"""),"LT0Q2401Y1OE3")</f>
        <v>LT0Q2401Y1OE3</v>
      </c>
      <c r="F6727" s="238" t="str">
        <f>IFERROR(__xludf.DUMMYFUNCTION("""COMPUTED_VALUE"""),"GDN2E64,EML4I42")</f>
        <v>GDN2E64,EML4I42</v>
      </c>
      <c r="G6727" s="238">
        <f>IFERROR(__xludf.DUMMYFUNCTION("""COMPUTED_VALUE"""),46057.91805555555)</f>
        <v>46057.91806</v>
      </c>
      <c r="H6727" s="238">
        <f>IFERROR(__xludf.DUMMYFUNCTION("""COMPUTED_VALUE"""),46058.29166666667)</f>
        <v>46058.29167</v>
      </c>
      <c r="J6727" s="239">
        <v>538.0000000144355</v>
      </c>
    </row>
    <row r="6728">
      <c r="A6728" s="234"/>
      <c r="B6728" s="238" t="str">
        <f>IFERROR(__xludf.DUMMYFUNCTION("""COMPUTED_VALUE"""),"SoC_GO_Goiânia_02")</f>
        <v>SoC_GO_Goiânia_02</v>
      </c>
      <c r="C6728" s="238" t="str">
        <f>IFERROR(__xludf.DUMMYFUNCTION("""COMPUTED_VALUE"""),"SOC-GO2")</f>
        <v>SOC-GO2</v>
      </c>
      <c r="D6728" s="234">
        <f>IFERROR(__xludf.DUMMYFUNCTION("""COMPUTED_VALUE"""),87.0)</f>
        <v>87</v>
      </c>
      <c r="E6728" s="237" t="str">
        <f>IFERROR(__xludf.DUMMYFUNCTION("""COMPUTED_VALUE"""),"LT0Q2401Y1OG4")</f>
        <v>LT0Q2401Y1OG4</v>
      </c>
      <c r="F6728" s="238" t="str">
        <f>IFERROR(__xludf.DUMMYFUNCTION("""COMPUTED_VALUE"""),"RLC5D24,EMT7G92")</f>
        <v>RLC5D24,EMT7G92</v>
      </c>
      <c r="G6728" s="238">
        <f>IFERROR(__xludf.DUMMYFUNCTION("""COMPUTED_VALUE"""),46057.91805555555)</f>
        <v>46057.91806</v>
      </c>
      <c r="H6728" s="238">
        <f>IFERROR(__xludf.DUMMYFUNCTION("""COMPUTED_VALUE"""),46058.29166666667)</f>
        <v>46058.29167</v>
      </c>
      <c r="J6728" s="239">
        <v>538.0000000144355</v>
      </c>
    </row>
    <row r="6729">
      <c r="A6729" s="234"/>
      <c r="B6729" s="238" t="str">
        <f>IFERROR(__xludf.DUMMYFUNCTION("""COMPUTED_VALUE"""),"SoC_RS_Gravataí_02")</f>
        <v>SoC_RS_Gravataí_02</v>
      </c>
      <c r="C6729" s="238" t="str">
        <f>IFERROR(__xludf.DUMMYFUNCTION("""COMPUTED_VALUE"""),"SOC-RS2")</f>
        <v>SOC-RS2</v>
      </c>
      <c r="D6729" s="234">
        <f>IFERROR(__xludf.DUMMYFUNCTION("""COMPUTED_VALUE"""),93.0)</f>
        <v>93</v>
      </c>
      <c r="E6729" s="237" t="str">
        <f>IFERROR(__xludf.DUMMYFUNCTION("""COMPUTED_VALUE"""),"LT0Q2401Y1QH1")</f>
        <v>LT0Q2401Y1QH1</v>
      </c>
      <c r="F6729" s="238" t="str">
        <f>IFERROR(__xludf.DUMMYFUNCTION("""COMPUTED_VALUE"""),"IZJ1J70,IZR2D87")</f>
        <v>IZJ1J70,IZR2D87</v>
      </c>
      <c r="G6729" s="238">
        <f>IFERROR(__xludf.DUMMYFUNCTION("""COMPUTED_VALUE"""),46057.91805555555)</f>
        <v>46057.91806</v>
      </c>
      <c r="H6729" s="238">
        <f>IFERROR(__xludf.DUMMYFUNCTION("""COMPUTED_VALUE"""),46058.29166666667)</f>
        <v>46058.29167</v>
      </c>
      <c r="J6729" s="239">
        <v>538.0000000144355</v>
      </c>
    </row>
    <row r="6730">
      <c r="A6730" s="234"/>
      <c r="B6730" s="238" t="str">
        <f>IFERROR(__xludf.DUMMYFUNCTION("""COMPUTED_VALUE"""),"SoC_RS_Gravataí_02")</f>
        <v>SoC_RS_Gravataí_02</v>
      </c>
      <c r="C6730" s="238" t="str">
        <f>IFERROR(__xludf.DUMMYFUNCTION("""COMPUTED_VALUE"""),"SOC-RS2")</f>
        <v>SOC-RS2</v>
      </c>
      <c r="D6730" s="234">
        <f>IFERROR(__xludf.DUMMYFUNCTION("""COMPUTED_VALUE"""),93.0)</f>
        <v>93</v>
      </c>
      <c r="E6730" s="237" t="str">
        <f>IFERROR(__xludf.DUMMYFUNCTION("""COMPUTED_VALUE"""),"LT0Q2401Y1QL3")</f>
        <v>LT0Q2401Y1QL3</v>
      </c>
      <c r="F6730" s="238" t="str">
        <f>IFERROR(__xludf.DUMMYFUNCTION("""COMPUTED_VALUE"""),"JDM0D70,UEO5D77")</f>
        <v>JDM0D70,UEO5D77</v>
      </c>
      <c r="G6730" s="238">
        <f>IFERROR(__xludf.DUMMYFUNCTION("""COMPUTED_VALUE"""),46057.91805555555)</f>
        <v>46057.91806</v>
      </c>
      <c r="H6730" s="238">
        <f>IFERROR(__xludf.DUMMYFUNCTION("""COMPUTED_VALUE"""),46058.29166666667)</f>
        <v>46058.29167</v>
      </c>
      <c r="J6730" s="239">
        <v>537.0000000111759</v>
      </c>
    </row>
    <row r="6731">
      <c r="A6731" s="234"/>
      <c r="B6731" s="238" t="str">
        <f>IFERROR(__xludf.DUMMYFUNCTION("""COMPUTED_VALUE"""),"SoC_MG_Betim")</f>
        <v>SoC_MG_Betim</v>
      </c>
      <c r="C6731" s="238" t="str">
        <f>IFERROR(__xludf.DUMMYFUNCTION("""COMPUTED_VALUE"""),"SOC-MG2")</f>
        <v>SOC-MG2</v>
      </c>
      <c r="D6731" s="234">
        <f>IFERROR(__xludf.DUMMYFUNCTION("""COMPUTED_VALUE"""),90.0)</f>
        <v>90</v>
      </c>
      <c r="E6731" s="237" t="str">
        <f>IFERROR(__xludf.DUMMYFUNCTION("""COMPUTED_VALUE"""),"LT0Q2401Y58Q1")</f>
        <v>LT0Q2401Y58Q1</v>
      </c>
      <c r="F6731" s="238" t="str">
        <f>IFERROR(__xludf.DUMMYFUNCTION("""COMPUTED_VALUE"""),"GCK3H09,CVP9164")</f>
        <v>GCK3H09,CVP9164</v>
      </c>
      <c r="G6731" s="238">
        <f>IFERROR(__xludf.DUMMYFUNCTION("""COMPUTED_VALUE"""),46057.91875)</f>
        <v>46057.91875</v>
      </c>
      <c r="H6731" s="238">
        <f>IFERROR(__xludf.DUMMYFUNCTION("""COMPUTED_VALUE"""),46058.29166666667)</f>
        <v>46058.29167</v>
      </c>
      <c r="J6731" s="239">
        <v>537.0000000111759</v>
      </c>
    </row>
    <row r="6732">
      <c r="A6732" s="234"/>
      <c r="B6732" s="238" t="str">
        <f>IFERROR(__xludf.DUMMYFUNCTION("""COMPUTED_VALUE"""),"SoC_SP_Cravinhos")</f>
        <v>SoC_SP_Cravinhos</v>
      </c>
      <c r="C6732" s="238" t="str">
        <f>IFERROR(__xludf.DUMMYFUNCTION("""COMPUTED_VALUE"""),"SOC-SP5")</f>
        <v>SOC-SP5</v>
      </c>
      <c r="D6732" s="234">
        <f>IFERROR(__xludf.DUMMYFUNCTION("""COMPUTED_VALUE"""),94.0)</f>
        <v>94</v>
      </c>
      <c r="E6732" s="237" t="str">
        <f>IFERROR(__xludf.DUMMYFUNCTION("""COMPUTED_VALUE"""),"LT0Q2401XVVV1")</f>
        <v>LT0Q2401XVVV1</v>
      </c>
      <c r="F6732" s="238" t="str">
        <f>IFERROR(__xludf.DUMMYFUNCTION("""COMPUTED_VALUE"""),"UGJ0F16,UDJ0C51")</f>
        <v>UGJ0F16,UDJ0C51</v>
      </c>
      <c r="G6732" s="238">
        <f>IFERROR(__xludf.DUMMYFUNCTION("""COMPUTED_VALUE"""),46057.91875)</f>
        <v>46057.91875</v>
      </c>
      <c r="H6732" s="238">
        <f>IFERROR(__xludf.DUMMYFUNCTION("""COMPUTED_VALUE"""),46058.29166666667)</f>
        <v>46058.29167</v>
      </c>
      <c r="J6732" s="239">
        <v>536.0000000079162</v>
      </c>
    </row>
    <row r="6733">
      <c r="A6733" s="234"/>
      <c r="B6733" s="238" t="str">
        <f>IFERROR(__xludf.DUMMYFUNCTION("""COMPUTED_VALUE"""),"SoC_RJ_Duque de Caxias")</f>
        <v>SoC_RJ_Duque de Caxias</v>
      </c>
      <c r="C6733" s="238" t="str">
        <f>IFERROR(__xludf.DUMMYFUNCTION("""COMPUTED_VALUE"""),"SOC-RJ2")</f>
        <v>SOC-RJ2</v>
      </c>
      <c r="D6733" s="234">
        <f>IFERROR(__xludf.DUMMYFUNCTION("""COMPUTED_VALUE"""),96.0)</f>
        <v>96</v>
      </c>
      <c r="E6733" s="237" t="str">
        <f>IFERROR(__xludf.DUMMYFUNCTION("""COMPUTED_VALUE"""),"LT0Q2401Y5P81")</f>
        <v>LT0Q2401Y5P81</v>
      </c>
      <c r="F6733" s="238" t="str">
        <f>IFERROR(__xludf.DUMMYFUNCTION("""COMPUTED_VALUE"""),"GCV3B56,BUP5186")</f>
        <v>GCV3B56,BUP5186</v>
      </c>
      <c r="G6733" s="238">
        <f>IFERROR(__xludf.DUMMYFUNCTION("""COMPUTED_VALUE"""),46057.919444444444)</f>
        <v>46057.91944</v>
      </c>
      <c r="H6733" s="238">
        <f>IFERROR(__xludf.DUMMYFUNCTION("""COMPUTED_VALUE"""),46058.29166666667)</f>
        <v>46058.29167</v>
      </c>
      <c r="J6733" s="239">
        <v>536.0000000079162</v>
      </c>
    </row>
    <row r="6734">
      <c r="A6734" s="234"/>
      <c r="B6734" s="238" t="str">
        <f>IFERROR(__xludf.DUMMYFUNCTION("""COMPUTED_VALUE"""),"SoC_RJ_Duque de Caxias")</f>
        <v>SoC_RJ_Duque de Caxias</v>
      </c>
      <c r="C6734" s="238" t="str">
        <f>IFERROR(__xludf.DUMMYFUNCTION("""COMPUTED_VALUE"""),"SOC-RJ2")</f>
        <v>SOC-RJ2</v>
      </c>
      <c r="D6734" s="234">
        <f>IFERROR(__xludf.DUMMYFUNCTION("""COMPUTED_VALUE"""),96.0)</f>
        <v>96</v>
      </c>
      <c r="E6734" s="237" t="str">
        <f>IFERROR(__xludf.DUMMYFUNCTION("""COMPUTED_VALUE"""),"LT0Q2401Y5PC3")</f>
        <v>LT0Q2401Y5PC3</v>
      </c>
      <c r="F6734" s="238" t="str">
        <f>IFERROR(__xludf.DUMMYFUNCTION("""COMPUTED_VALUE"""),"EVO9D64,DJE4A81")</f>
        <v>EVO9D64,DJE4A81</v>
      </c>
      <c r="G6734" s="238">
        <f>IFERROR(__xludf.DUMMYFUNCTION("""COMPUTED_VALUE"""),46057.919444444444)</f>
        <v>46057.91944</v>
      </c>
      <c r="H6734" s="238">
        <f>IFERROR(__xludf.DUMMYFUNCTION("""COMPUTED_VALUE"""),46058.29166666667)</f>
        <v>46058.29167</v>
      </c>
      <c r="J6734" s="239">
        <v>536.0000000079162</v>
      </c>
    </row>
    <row r="6735">
      <c r="A6735" s="234"/>
      <c r="B6735" s="238" t="str">
        <f>IFERROR(__xludf.DUMMYFUNCTION("""COMPUTED_VALUE"""),"SoC_SP_Cravinhos")</f>
        <v>SoC_SP_Cravinhos</v>
      </c>
      <c r="C6735" s="238" t="str">
        <f>IFERROR(__xludf.DUMMYFUNCTION("""COMPUTED_VALUE"""),"SOC-SP5")</f>
        <v>SOC-SP5</v>
      </c>
      <c r="D6735" s="234">
        <f>IFERROR(__xludf.DUMMYFUNCTION("""COMPUTED_VALUE"""),95.0)</f>
        <v>95</v>
      </c>
      <c r="E6735" s="237" t="str">
        <f>IFERROR(__xludf.DUMMYFUNCTION("""COMPUTED_VALUE"""),"LT0Q2401XVVP2")</f>
        <v>LT0Q2401XVVP2</v>
      </c>
      <c r="F6735" s="238" t="str">
        <f>IFERROR(__xludf.DUMMYFUNCTION("""COMPUTED_VALUE"""),"EWJ9H05,BFZ9072")</f>
        <v>EWJ9H05,BFZ9072</v>
      </c>
      <c r="G6735" s="238">
        <f>IFERROR(__xludf.DUMMYFUNCTION("""COMPUTED_VALUE"""),46057.919444444444)</f>
        <v>46057.91944</v>
      </c>
      <c r="H6735" s="238">
        <f>IFERROR(__xludf.DUMMYFUNCTION("""COMPUTED_VALUE"""),46058.29166666667)</f>
        <v>46058.29167</v>
      </c>
      <c r="J6735" s="239">
        <v>120.00000001396984</v>
      </c>
    </row>
    <row r="6736">
      <c r="A6736" s="234"/>
      <c r="B6736" s="238" t="str">
        <f>IFERROR(__xludf.DUMMYFUNCTION("""COMPUTED_VALUE"""),"LM Hub_SP_Barueri_01")</f>
        <v>LM Hub_SP_Barueri_01</v>
      </c>
      <c r="C6736" s="238" t="str">
        <f>IFERROR(__xludf.DUMMYFUNCTION("""COMPUTED_VALUE"""),"HUB-LSP-81")</f>
        <v>HUB-LSP-81</v>
      </c>
      <c r="D6736" s="234">
        <f>IFERROR(__xludf.DUMMYFUNCTION("""COMPUTED_VALUE"""),23.0)</f>
        <v>23</v>
      </c>
      <c r="E6736" s="237" t="str">
        <f>IFERROR(__xludf.DUMMYFUNCTION("""COMPUTED_VALUE"""),"LT0Q2501Y0Z51")</f>
        <v>LT0Q2501Y0Z51</v>
      </c>
      <c r="F6736" s="238" t="str">
        <f>IFERROR(__xludf.DUMMYFUNCTION("""COMPUTED_VALUE"""),"SUQ5C99,TLD5B82")</f>
        <v>SUQ5C99,TLD5B82</v>
      </c>
      <c r="G6736" s="238">
        <f>IFERROR(__xludf.DUMMYFUNCTION("""COMPUTED_VALUE"""),46058.20833333333)</f>
        <v>46058.20833</v>
      </c>
      <c r="H6736" s="238">
        <f>IFERROR(__xludf.DUMMYFUNCTION("""COMPUTED_VALUE"""),46058.29166666667)</f>
        <v>46058.29167</v>
      </c>
      <c r="J6736" s="239">
        <v>120.00000001396984</v>
      </c>
    </row>
    <row r="6737">
      <c r="A6737" s="234"/>
      <c r="B6737" s="238" t="str">
        <f>IFERROR(__xludf.DUMMYFUNCTION("""COMPUTED_VALUE"""),"LM Hub_SP_Jundiaí")</f>
        <v>LM Hub_SP_Jundiaí</v>
      </c>
      <c r="C6737" s="238" t="str">
        <f>IFERROR(__xludf.DUMMYFUNCTION("""COMPUTED_VALUE"""),"HUB-LSP-100")</f>
        <v>HUB-LSP-100</v>
      </c>
      <c r="D6737" s="234">
        <f>IFERROR(__xludf.DUMMYFUNCTION("""COMPUTED_VALUE"""),20.0)</f>
        <v>20</v>
      </c>
      <c r="E6737" s="237" t="str">
        <f>IFERROR(__xludf.DUMMYFUNCTION("""COMPUTED_VALUE"""),"LT0Q2501Y2H01")</f>
        <v>LT0Q2501Y2H01</v>
      </c>
      <c r="F6737" s="238" t="str">
        <f>IFERROR(__xludf.DUMMYFUNCTION("""COMPUTED_VALUE"""),"UGN4B10")</f>
        <v>UGN4B10</v>
      </c>
      <c r="G6737" s="238">
        <f>IFERROR(__xludf.DUMMYFUNCTION("""COMPUTED_VALUE"""),46058.20833333333)</f>
        <v>46058.20833</v>
      </c>
      <c r="H6737" s="238">
        <f>IFERROR(__xludf.DUMMYFUNCTION("""COMPUTED_VALUE"""),46058.29166666667)</f>
        <v>46058.29167</v>
      </c>
      <c r="J6737" s="239">
        <v>120.00000001396984</v>
      </c>
    </row>
    <row r="6738">
      <c r="A6738" s="234"/>
      <c r="B6738" s="238" t="str">
        <f>IFERROR(__xludf.DUMMYFUNCTION("""COMPUTED_VALUE"""),"LM Hub_SP_Piracicaba")</f>
        <v>LM Hub_SP_Piracicaba</v>
      </c>
      <c r="C6738" s="238" t="str">
        <f>IFERROR(__xludf.DUMMYFUNCTION("""COMPUTED_VALUE"""),"HUB-LSP-62")</f>
        <v>HUB-LSP-62</v>
      </c>
      <c r="D6738" s="234">
        <f>IFERROR(__xludf.DUMMYFUNCTION("""COMPUTED_VALUE"""),22.0)</f>
        <v>22</v>
      </c>
      <c r="E6738" s="237" t="str">
        <f>IFERROR(__xludf.DUMMYFUNCTION("""COMPUTED_VALUE"""),"LT0Q2501XWQL1")</f>
        <v>LT0Q2501XWQL1</v>
      </c>
      <c r="F6738" s="238" t="str">
        <f>IFERROR(__xludf.DUMMYFUNCTION("""COMPUTED_VALUE"""),"OMY3I62,OMY3I60")</f>
        <v>OMY3I62,OMY3I60</v>
      </c>
      <c r="G6738" s="238">
        <f>IFERROR(__xludf.DUMMYFUNCTION("""COMPUTED_VALUE"""),46058.20833333333)</f>
        <v>46058.20833</v>
      </c>
      <c r="H6738" s="238">
        <f>IFERROR(__xludf.DUMMYFUNCTION("""COMPUTED_VALUE"""),46058.29166666667)</f>
        <v>46058.29167</v>
      </c>
      <c r="J6738" s="239">
        <v>120.00000001396984</v>
      </c>
    </row>
    <row r="6739">
      <c r="A6739" s="234"/>
      <c r="B6739" s="238" t="str">
        <f>IFERROR(__xludf.DUMMYFUNCTION("""COMPUTED_VALUE"""),"LM Hub_SP_Santos_PraiaGrande_02")</f>
        <v>LM Hub_SP_Santos_PraiaGrande_02</v>
      </c>
      <c r="C6739" s="238" t="str">
        <f>IFERROR(__xludf.DUMMYFUNCTION("""COMPUTED_VALUE"""),"HUB-LSP-63")</f>
        <v>HUB-LSP-63</v>
      </c>
      <c r="D6739" s="234">
        <f>IFERROR(__xludf.DUMMYFUNCTION("""COMPUTED_VALUE"""),16.0)</f>
        <v>16</v>
      </c>
      <c r="E6739" s="237" t="str">
        <f>IFERROR(__xludf.DUMMYFUNCTION("""COMPUTED_VALUE"""),"LT0Q2501XX7C1")</f>
        <v>LT0Q2501XX7C1</v>
      </c>
      <c r="F6739" s="238" t="str">
        <f>IFERROR(__xludf.DUMMYFUNCTION("""COMPUTED_VALUE"""),"SWJ8J34,SXN5B19")</f>
        <v>SWJ8J34,SXN5B19</v>
      </c>
      <c r="G6739" s="238">
        <f>IFERROR(__xludf.DUMMYFUNCTION("""COMPUTED_VALUE"""),46058.20833333333)</f>
        <v>46058.20833</v>
      </c>
      <c r="H6739" s="238">
        <f>IFERROR(__xludf.DUMMYFUNCTION("""COMPUTED_VALUE"""),46058.29166666667)</f>
        <v>46058.29167</v>
      </c>
      <c r="J6739" s="239">
        <v>119.99999999301508</v>
      </c>
    </row>
    <row r="6740">
      <c r="A6740" s="234"/>
      <c r="B6740" s="238" t="str">
        <f>IFERROR(__xludf.DUMMYFUNCTION("""COMPUTED_VALUE"""),"LM Hub_SP_Guarujá")</f>
        <v>LM Hub_SP_Guarujá</v>
      </c>
      <c r="C6740" s="238" t="str">
        <f>IFERROR(__xludf.DUMMYFUNCTION("""COMPUTED_VALUE"""),"HUB-LSP-06")</f>
        <v>HUB-LSP-06</v>
      </c>
      <c r="D6740" s="234">
        <f>IFERROR(__xludf.DUMMYFUNCTION("""COMPUTED_VALUE"""),35.0)</f>
        <v>35</v>
      </c>
      <c r="E6740" s="237" t="str">
        <f>IFERROR(__xludf.DUMMYFUNCTION("""COMPUTED_VALUE"""),"LT0Q2501XX6R1")</f>
        <v>LT0Q2501XX6R1</v>
      </c>
      <c r="F6740" s="238" t="str">
        <f>IFERROR(__xludf.DUMMYFUNCTION("""COMPUTED_VALUE"""),"RRA1C26")</f>
        <v>RRA1C26</v>
      </c>
      <c r="G6740" s="238">
        <f>IFERROR(__xludf.DUMMYFUNCTION("""COMPUTED_VALUE"""),46058.22916666667)</f>
        <v>46058.22917</v>
      </c>
      <c r="H6740" s="238">
        <f>IFERROR(__xludf.DUMMYFUNCTION("""COMPUTED_VALUE"""),46058.3125)</f>
        <v>46058.3125</v>
      </c>
      <c r="J6740" s="239">
        <v>119.99999999301508</v>
      </c>
    </row>
    <row r="6741">
      <c r="A6741" s="234"/>
      <c r="B6741" s="238" t="str">
        <f>IFERROR(__xludf.DUMMYFUNCTION("""COMPUTED_VALUE"""),"LM Hub_SP_Santos_Praia Grande")</f>
        <v>LM Hub_SP_Santos_Praia Grande</v>
      </c>
      <c r="C6741" s="238" t="str">
        <f>IFERROR(__xludf.DUMMYFUNCTION("""COMPUTED_VALUE"""),"HUB-LSP-09")</f>
        <v>HUB-LSP-09</v>
      </c>
      <c r="D6741" s="234">
        <f>IFERROR(__xludf.DUMMYFUNCTION("""COMPUTED_VALUE"""),14.0)</f>
        <v>14</v>
      </c>
      <c r="E6741" s="237" t="str">
        <f>IFERROR(__xludf.DUMMYFUNCTION("""COMPUTED_VALUE"""),"LT0Q2501XX6W1")</f>
        <v>LT0Q2501XX6W1</v>
      </c>
      <c r="F6741" s="238" t="str">
        <f>IFERROR(__xludf.DUMMYFUNCTION("""COMPUTED_VALUE"""),"DJJ8025,DUJ9D51")</f>
        <v>DJJ8025,DUJ9D51</v>
      </c>
      <c r="G6741" s="238">
        <f>IFERROR(__xludf.DUMMYFUNCTION("""COMPUTED_VALUE"""),46058.22916666667)</f>
        <v>46058.22917</v>
      </c>
      <c r="H6741" s="238">
        <f>IFERROR(__xludf.DUMMYFUNCTION("""COMPUTED_VALUE"""),46058.3125)</f>
        <v>46058.3125</v>
      </c>
      <c r="J6741" s="239">
        <v>119.99999999301508</v>
      </c>
    </row>
    <row r="6742">
      <c r="A6742" s="234"/>
      <c r="B6742" s="238" t="str">
        <f>IFERROR(__xludf.DUMMYFUNCTION("""COMPUTED_VALUE"""),"LM Hub_SP_São José dos Campos")</f>
        <v>LM Hub_SP_São José dos Campos</v>
      </c>
      <c r="C6742" s="238" t="str">
        <f>IFERROR(__xludf.DUMMYFUNCTION("""COMPUTED_VALUE"""),"HUB-LSP-04")</f>
        <v>HUB-LSP-04</v>
      </c>
      <c r="D6742" s="234">
        <f>IFERROR(__xludf.DUMMYFUNCTION("""COMPUTED_VALUE"""),18.0)</f>
        <v>18</v>
      </c>
      <c r="E6742" s="237" t="str">
        <f>IFERROR(__xludf.DUMMYFUNCTION("""COMPUTED_VALUE"""),"LT0Q2501XX712")</f>
        <v>LT0Q2501XX712</v>
      </c>
      <c r="F6742" s="238" t="str">
        <f>IFERROR(__xludf.DUMMYFUNCTION("""COMPUTED_VALUE"""),"FYD1D34")</f>
        <v>FYD1D34</v>
      </c>
      <c r="G6742" s="238">
        <f>IFERROR(__xludf.DUMMYFUNCTION("""COMPUTED_VALUE"""),46058.22916666667)</f>
        <v>46058.22917</v>
      </c>
      <c r="H6742" s="238">
        <f>IFERROR(__xludf.DUMMYFUNCTION("""COMPUTED_VALUE"""),46058.3125)</f>
        <v>46058.3125</v>
      </c>
      <c r="J6742" s="239">
        <v>119.99999999301508</v>
      </c>
    </row>
    <row r="6743">
      <c r="A6743" s="234"/>
      <c r="B6743" s="238" t="str">
        <f>IFERROR(__xludf.DUMMYFUNCTION("""COMPUTED_VALUE"""),"LM Hub_SP_São Paulo_Mooca")</f>
        <v>LM Hub_SP_São Paulo_Mooca</v>
      </c>
      <c r="C6743" s="238" t="str">
        <f>IFERROR(__xludf.DUMMYFUNCTION("""COMPUTED_VALUE"""),"HUB-LSP-13")</f>
        <v>HUB-LSP-13</v>
      </c>
      <c r="D6743" s="234"/>
      <c r="E6743" s="237" t="str">
        <f>IFERROR(__xludf.DUMMYFUNCTION("""COMPUTED_VALUE"""),"LT0Q2501Y5JD1")</f>
        <v>LT0Q2501Y5JD1</v>
      </c>
      <c r="F6743" s="238" t="str">
        <f>IFERROR(__xludf.DUMMYFUNCTION("""COMPUTED_VALUE"""),"FGI1F79")</f>
        <v>FGI1F79</v>
      </c>
      <c r="G6743" s="238">
        <f>IFERROR(__xludf.DUMMYFUNCTION("""COMPUTED_VALUE"""),46058.22916666667)</f>
        <v>46058.22917</v>
      </c>
      <c r="H6743" s="238">
        <f>IFERROR(__xludf.DUMMYFUNCTION("""COMPUTED_VALUE"""),46058.3125)</f>
        <v>46058.3125</v>
      </c>
      <c r="J6743" s="239">
        <v>119.99999999301508</v>
      </c>
    </row>
    <row r="6744">
      <c r="A6744" s="234"/>
      <c r="B6744" s="238" t="str">
        <f>IFERROR(__xludf.DUMMYFUNCTION("""COMPUTED_VALUE"""),"LM Hub_SP_São Paulo_Mooca")</f>
        <v>LM Hub_SP_São Paulo_Mooca</v>
      </c>
      <c r="C6744" s="238" t="str">
        <f>IFERROR(__xludf.DUMMYFUNCTION("""COMPUTED_VALUE"""),"HUB-LSP-13")</f>
        <v>HUB-LSP-13</v>
      </c>
      <c r="D6744" s="234">
        <f>IFERROR(__xludf.DUMMYFUNCTION("""COMPUTED_VALUE"""),34.0)</f>
        <v>34</v>
      </c>
      <c r="E6744" s="237" t="str">
        <f>IFERROR(__xludf.DUMMYFUNCTION("""COMPUTED_VALUE"""),"LT0Q2501Y5JF2")</f>
        <v>LT0Q2501Y5JF2</v>
      </c>
      <c r="F6744" s="238" t="str">
        <f>IFERROR(__xludf.DUMMYFUNCTION("""COMPUTED_VALUE"""),"PEP9J38")</f>
        <v>PEP9J38</v>
      </c>
      <c r="G6744" s="238">
        <f>IFERROR(__xludf.DUMMYFUNCTION("""COMPUTED_VALUE"""),46058.22916666667)</f>
        <v>46058.22917</v>
      </c>
      <c r="H6744" s="238">
        <f>IFERROR(__xludf.DUMMYFUNCTION("""COMPUTED_VALUE"""),46058.3125)</f>
        <v>46058.3125</v>
      </c>
      <c r="J6744" s="239">
        <v>119.00000000023283</v>
      </c>
    </row>
    <row r="6745">
      <c r="A6745" s="234"/>
      <c r="B6745" s="238" t="str">
        <f>IFERROR(__xludf.DUMMYFUNCTION("""COMPUTED_VALUE"""),"LM Hub_SP_Itapevi")</f>
        <v>LM Hub_SP_Itapevi</v>
      </c>
      <c r="C6745" s="238" t="str">
        <f>IFERROR(__xludf.DUMMYFUNCTION("""COMPUTED_VALUE"""),"HUB-LSP-41")</f>
        <v>HUB-LSP-41</v>
      </c>
      <c r="D6745" s="234">
        <f>IFERROR(__xludf.DUMMYFUNCTION("""COMPUTED_VALUE"""),28.0)</f>
        <v>28</v>
      </c>
      <c r="E6745" s="237" t="str">
        <f>IFERROR(__xludf.DUMMYFUNCTION("""COMPUTED_VALUE"""),"LT0Q2501Y59N1")</f>
        <v>LT0Q2501Y59N1</v>
      </c>
      <c r="F6745" s="238" t="str">
        <f>IFERROR(__xludf.DUMMYFUNCTION("""COMPUTED_VALUE"""),"MEZ3B05,MCK9433")</f>
        <v>MEZ3B05,MCK9433</v>
      </c>
      <c r="G6745" s="238">
        <f>IFERROR(__xludf.DUMMYFUNCTION("""COMPUTED_VALUE"""),46058.22986111111)</f>
        <v>46058.22986</v>
      </c>
      <c r="H6745" s="238">
        <f>IFERROR(__xludf.DUMMYFUNCTION("""COMPUTED_VALUE"""),46058.3125)</f>
        <v>46058.3125</v>
      </c>
      <c r="J6745" s="239">
        <v>118.00000000745058</v>
      </c>
    </row>
    <row r="6746">
      <c r="A6746" s="234"/>
      <c r="B6746" s="238" t="str">
        <f>IFERROR(__xludf.DUMMYFUNCTION("""COMPUTED_VALUE"""),"LM Hub_SP_Várzea Paulista")</f>
        <v>LM Hub_SP_Várzea Paulista</v>
      </c>
      <c r="C6746" s="238" t="str">
        <f>IFERROR(__xludf.DUMMYFUNCTION("""COMPUTED_VALUE"""),"HUB-LSP-20")</f>
        <v>HUB-LSP-20</v>
      </c>
      <c r="D6746" s="234">
        <f>IFERROR(__xludf.DUMMYFUNCTION("""COMPUTED_VALUE"""),21.0)</f>
        <v>21</v>
      </c>
      <c r="E6746" s="237" t="str">
        <f>IFERROR(__xludf.DUMMYFUNCTION("""COMPUTED_VALUE"""),"LT0Q2501XW2T1")</f>
        <v>LT0Q2501XW2T1</v>
      </c>
      <c r="F6746" s="238" t="str">
        <f>IFERROR(__xludf.DUMMYFUNCTION("""COMPUTED_VALUE"""),"IZQ5I98,AVB1G49")</f>
        <v>IZQ5I98,AVB1G49</v>
      </c>
      <c r="G6746" s="238">
        <f>IFERROR(__xludf.DUMMYFUNCTION("""COMPUTED_VALUE"""),46058.23055555555)</f>
        <v>46058.23056</v>
      </c>
      <c r="H6746" s="238">
        <f>IFERROR(__xludf.DUMMYFUNCTION("""COMPUTED_VALUE"""),46058.3125)</f>
        <v>46058.3125</v>
      </c>
      <c r="J6746" s="239">
        <v>119.99999999301508</v>
      </c>
    </row>
    <row r="6747">
      <c r="A6747" s="234"/>
      <c r="B6747" s="238" t="str">
        <f>IFERROR(__xludf.DUMMYFUNCTION("""COMPUTED_VALUE"""),"LM Hub_SP_Artur Alvim")</f>
        <v>LM Hub_SP_Artur Alvim</v>
      </c>
      <c r="C6747" s="238" t="str">
        <f>IFERROR(__xludf.DUMMYFUNCTION("""COMPUTED_VALUE"""),"HUB-LSP-07")</f>
        <v>HUB-LSP-07</v>
      </c>
      <c r="D6747" s="234">
        <f>IFERROR(__xludf.DUMMYFUNCTION("""COMPUTED_VALUE"""),19.0)</f>
        <v>19</v>
      </c>
      <c r="E6747" s="237" t="str">
        <f>IFERROR(__xludf.DUMMYFUNCTION("""COMPUTED_VALUE"""),"LT0Q2501XX5I1")</f>
        <v>LT0Q2501XX5I1</v>
      </c>
      <c r="F6747" s="238" t="str">
        <f>IFERROR(__xludf.DUMMYFUNCTION("""COMPUTED_VALUE"""),"ASH4C66,BWP2G99")</f>
        <v>ASH4C66,BWP2G99</v>
      </c>
      <c r="G6747" s="238">
        <f>IFERROR(__xludf.DUMMYFUNCTION("""COMPUTED_VALUE"""),46058.25)</f>
        <v>46058.25</v>
      </c>
      <c r="H6747" s="238">
        <f>IFERROR(__xludf.DUMMYFUNCTION("""COMPUTED_VALUE"""),46058.33333333333)</f>
        <v>46058.33333</v>
      </c>
      <c r="J6747" s="239">
        <v>119.99999999301508</v>
      </c>
    </row>
    <row r="6748">
      <c r="A6748" s="234"/>
      <c r="B6748" s="238" t="str">
        <f>IFERROR(__xludf.DUMMYFUNCTION("""COMPUTED_VALUE"""),"LM Hub_SP_Embu das Artes")</f>
        <v>LM Hub_SP_Embu das Artes</v>
      </c>
      <c r="C6748" s="238" t="str">
        <f>IFERROR(__xludf.DUMMYFUNCTION("""COMPUTED_VALUE"""),"HUB-LSP-36")</f>
        <v>HUB-LSP-36</v>
      </c>
      <c r="D6748" s="234">
        <f>IFERROR(__xludf.DUMMYFUNCTION("""COMPUTED_VALUE"""),29.0)</f>
        <v>29</v>
      </c>
      <c r="E6748" s="237" t="str">
        <f>IFERROR(__xludf.DUMMYFUNCTION("""COMPUTED_VALUE"""),"LT0Q2501XX7H1")</f>
        <v>LT0Q2501XX7H1</v>
      </c>
      <c r="F6748" s="238" t="str">
        <f>IFERROR(__xludf.DUMMYFUNCTION("""COMPUTED_VALUE"""),"FGL3B43,FQB3D75")</f>
        <v>FGL3B43,FQB3D75</v>
      </c>
      <c r="G6748" s="238">
        <f>IFERROR(__xludf.DUMMYFUNCTION("""COMPUTED_VALUE"""),46058.25)</f>
        <v>46058.25</v>
      </c>
      <c r="H6748" s="238">
        <f>IFERROR(__xludf.DUMMYFUNCTION("""COMPUTED_VALUE"""),46058.33333333333)</f>
        <v>46058.33333</v>
      </c>
      <c r="J6748" s="239">
        <v>119.99999999301508</v>
      </c>
    </row>
    <row r="6749">
      <c r="A6749" s="234"/>
      <c r="B6749" s="238" t="str">
        <f>IFERROR(__xludf.DUMMYFUNCTION("""COMPUTED_VALUE"""),"LM Hub_SP_Guarulhos")</f>
        <v>LM Hub_SP_Guarulhos</v>
      </c>
      <c r="C6749" s="238" t="str">
        <f>IFERROR(__xludf.DUMMYFUNCTION("""COMPUTED_VALUE"""),"HUB-LSP-77")</f>
        <v>HUB-LSP-77</v>
      </c>
      <c r="D6749" s="234">
        <f>IFERROR(__xludf.DUMMYFUNCTION("""COMPUTED_VALUE"""),41.0)</f>
        <v>41</v>
      </c>
      <c r="E6749" s="237" t="str">
        <f>IFERROR(__xludf.DUMMYFUNCTION("""COMPUTED_VALUE"""),"LT0Q2501XX771")</f>
        <v>LT0Q2501XX771</v>
      </c>
      <c r="F6749" s="238" t="str">
        <f>IFERROR(__xludf.DUMMYFUNCTION("""COMPUTED_VALUE"""),"ESU9B10,JOK0B33")</f>
        <v>ESU9B10,JOK0B33</v>
      </c>
      <c r="G6749" s="238">
        <f>IFERROR(__xludf.DUMMYFUNCTION("""COMPUTED_VALUE"""),46058.25)</f>
        <v>46058.25</v>
      </c>
      <c r="H6749" s="238">
        <f>IFERROR(__xludf.DUMMYFUNCTION("""COMPUTED_VALUE"""),46058.33333333333)</f>
        <v>46058.33333</v>
      </c>
      <c r="J6749" s="239">
        <v>119.99999999301508</v>
      </c>
    </row>
    <row r="6750">
      <c r="A6750" s="234"/>
      <c r="B6750" s="238" t="str">
        <f>IFERROR(__xludf.DUMMYFUNCTION("""COMPUTED_VALUE"""),"LM Hub_SP_Itaqua_Zimba")</f>
        <v>LM Hub_SP_Itaqua_Zimba</v>
      </c>
      <c r="C6750" s="238" t="str">
        <f>IFERROR(__xludf.DUMMYFUNCTION("""COMPUTED_VALUE"""),"HUB-LSP-74")</f>
        <v>HUB-LSP-74</v>
      </c>
      <c r="D6750" s="234">
        <f>IFERROR(__xludf.DUMMYFUNCTION("""COMPUTED_VALUE"""),9.0)</f>
        <v>9</v>
      </c>
      <c r="E6750" s="237" t="str">
        <f>IFERROR(__xludf.DUMMYFUNCTION("""COMPUTED_VALUE"""),"LT0Q2501XX6M1")</f>
        <v>LT0Q2501XX6M1</v>
      </c>
      <c r="F6750" s="238" t="str">
        <f>IFERROR(__xludf.DUMMYFUNCTION("""COMPUTED_VALUE"""),"GDQ4B07,SUW1F63")</f>
        <v>GDQ4B07,SUW1F63</v>
      </c>
      <c r="G6750" s="238">
        <f>IFERROR(__xludf.DUMMYFUNCTION("""COMPUTED_VALUE"""),46058.25)</f>
        <v>46058.25</v>
      </c>
      <c r="H6750" s="238">
        <f>IFERROR(__xludf.DUMMYFUNCTION("""COMPUTED_VALUE"""),46058.33333333333)</f>
        <v>46058.33333</v>
      </c>
      <c r="J6750" s="239">
        <v>119.99999999301508</v>
      </c>
    </row>
    <row r="6751">
      <c r="A6751" s="234"/>
      <c r="B6751" s="238" t="str">
        <f>IFERROR(__xludf.DUMMYFUNCTION("""COMPUTED_VALUE"""),"LM Hub_SP_São Paulo_Lapa")</f>
        <v>LM Hub_SP_São Paulo_Lapa</v>
      </c>
      <c r="C6751" s="238" t="str">
        <f>IFERROR(__xludf.DUMMYFUNCTION("""COMPUTED_VALUE"""),"HUB-LSP-15")</f>
        <v>HUB-LSP-15</v>
      </c>
      <c r="D6751" s="234">
        <f>IFERROR(__xludf.DUMMYFUNCTION("""COMPUTED_VALUE"""),48.0)</f>
        <v>48</v>
      </c>
      <c r="E6751" s="237" t="str">
        <f>IFERROR(__xludf.DUMMYFUNCTION("""COMPUTED_VALUE"""),"LT0Q2501XX5S1")</f>
        <v>LT0Q2501XX5S1</v>
      </c>
      <c r="F6751" s="238" t="str">
        <f>IFERROR(__xludf.DUMMYFUNCTION("""COMPUTED_VALUE"""),"EGK6F67,NGX1F13")</f>
        <v>EGK6F67,NGX1F13</v>
      </c>
      <c r="G6751" s="238">
        <f>IFERROR(__xludf.DUMMYFUNCTION("""COMPUTED_VALUE"""),46058.25)</f>
        <v>46058.25</v>
      </c>
      <c r="H6751" s="238">
        <f>IFERROR(__xludf.DUMMYFUNCTION("""COMPUTED_VALUE"""),46058.33333333333)</f>
        <v>46058.33333</v>
      </c>
      <c r="J6751" s="239">
        <v>119.99999999301508</v>
      </c>
    </row>
    <row r="6752">
      <c r="A6752" s="234"/>
      <c r="B6752" s="238" t="str">
        <f>IFERROR(__xludf.DUMMYFUNCTION("""COMPUTED_VALUE"""),"LM Hub_SP_VilaGuilherme")</f>
        <v>LM Hub_SP_VilaGuilherme</v>
      </c>
      <c r="C6752" s="238" t="str">
        <f>IFERROR(__xludf.DUMMYFUNCTION("""COMPUTED_VALUE"""),"HUB-LSP-68")</f>
        <v>HUB-LSP-68</v>
      </c>
      <c r="D6752" s="234">
        <f>IFERROR(__xludf.DUMMYFUNCTION("""COMPUTED_VALUE"""),33.0)</f>
        <v>33</v>
      </c>
      <c r="E6752" s="237" t="str">
        <f>IFERROR(__xludf.DUMMYFUNCTION("""COMPUTED_VALUE"""),"LT0Q2501XX6H1")</f>
        <v>LT0Q2501XX6H1</v>
      </c>
      <c r="F6752" s="238" t="str">
        <f>IFERROR(__xludf.DUMMYFUNCTION("""COMPUTED_VALUE"""),"GBP5G56,JMA4104")</f>
        <v>GBP5G56,JMA4104</v>
      </c>
      <c r="G6752" s="238">
        <f>IFERROR(__xludf.DUMMYFUNCTION("""COMPUTED_VALUE"""),46058.25)</f>
        <v>46058.25</v>
      </c>
      <c r="H6752" s="238">
        <f>IFERROR(__xludf.DUMMYFUNCTION("""COMPUTED_VALUE"""),46058.33333333333)</f>
        <v>46058.33333</v>
      </c>
      <c r="J6752" s="239">
        <v>119.99999999301508</v>
      </c>
    </row>
    <row r="6753">
      <c r="A6753" s="234"/>
      <c r="B6753" s="238" t="str">
        <f>IFERROR(__xludf.DUMMYFUNCTION("""COMPUTED_VALUE"""),"SoC_PR_Curitiba")</f>
        <v>SoC_PR_Curitiba</v>
      </c>
      <c r="C6753" s="238" t="str">
        <f>IFERROR(__xludf.DUMMYFUNCTION("""COMPUTED_VALUE"""),"SOC-PR1")</f>
        <v>SOC-PR1</v>
      </c>
      <c r="D6753" s="234"/>
      <c r="E6753" s="237" t="str">
        <f>IFERROR(__xludf.DUMMYFUNCTION("""COMPUTED_VALUE"""),"LT0Q2501XVU61")</f>
        <v>LT0Q2501XVU61</v>
      </c>
      <c r="F6753" s="238" t="str">
        <f>IFERROR(__xludf.DUMMYFUNCTION("""COMPUTED_VALUE"""),"UAW6H34,QSW2G81")</f>
        <v>UAW6H34,QSW2G81</v>
      </c>
      <c r="G6753" s="238">
        <f>IFERROR(__xludf.DUMMYFUNCTION("""COMPUTED_VALUE"""),46058.25)</f>
        <v>46058.25</v>
      </c>
      <c r="H6753" s="238">
        <f>IFERROR(__xludf.DUMMYFUNCTION("""COMPUTED_VALUE"""),46058.33333333333)</f>
        <v>46058.33333</v>
      </c>
      <c r="J6753" s="239">
        <v>120.00000001396984</v>
      </c>
    </row>
    <row r="6754">
      <c r="A6754" s="234"/>
      <c r="B6754" s="238" t="str">
        <f>IFERROR(__xludf.DUMMYFUNCTION("""COMPUTED_VALUE"""),"LM Hub_SP_Parque Novo Mundo")</f>
        <v>LM Hub_SP_Parque Novo Mundo</v>
      </c>
      <c r="C6754" s="238" t="str">
        <f>IFERROR(__xludf.DUMMYFUNCTION("""COMPUTED_VALUE"""),"HUB-LSP-89")</f>
        <v>HUB-LSP-89</v>
      </c>
      <c r="D6754" s="234">
        <f>IFERROR(__xludf.DUMMYFUNCTION("""COMPUTED_VALUE"""),26.0)</f>
        <v>26</v>
      </c>
      <c r="E6754" s="237" t="str">
        <f>IFERROR(__xludf.DUMMYFUNCTION("""COMPUTED_VALUE"""),"LT0Q2501XWX21")</f>
        <v>LT0Q2501XWX21</v>
      </c>
      <c r="F6754" s="238" t="str">
        <f>IFERROR(__xludf.DUMMYFUNCTION("""COMPUTED_VALUE"""),"CUB4969,BZI2G33")</f>
        <v>CUB4969,BZI2G33</v>
      </c>
      <c r="G6754" s="238">
        <f>IFERROR(__xludf.DUMMYFUNCTION("""COMPUTED_VALUE"""),46058.27083333333)</f>
        <v>46058.27083</v>
      </c>
      <c r="H6754" s="238">
        <f>IFERROR(__xludf.DUMMYFUNCTION("""COMPUTED_VALUE"""),46058.35416666667)</f>
        <v>46058.35417</v>
      </c>
      <c r="J6754" s="239">
        <v>119.00000001071021</v>
      </c>
    </row>
    <row r="6755">
      <c r="A6755" s="234"/>
      <c r="B6755" s="238" t="str">
        <f>IFERROR(__xludf.DUMMYFUNCTION("""COMPUTED_VALUE"""),"LM Hub_SP_São Bernardo do Campo")</f>
        <v>LM Hub_SP_São Bernardo do Campo</v>
      </c>
      <c r="C6755" s="238" t="str">
        <f>IFERROR(__xludf.DUMMYFUNCTION("""COMPUTED_VALUE"""),"HUB-LSP-79")</f>
        <v>HUB-LSP-79</v>
      </c>
      <c r="D6755" s="234">
        <f>IFERROR(__xludf.DUMMYFUNCTION("""COMPUTED_VALUE"""),25.0)</f>
        <v>25</v>
      </c>
      <c r="E6755" s="237" t="str">
        <f>IFERROR(__xludf.DUMMYFUNCTION("""COMPUTED_VALUE"""),"LT0Q2501Y5F11")</f>
        <v>LT0Q2501Y5F11</v>
      </c>
      <c r="F6755" s="238" t="str">
        <f>IFERROR(__xludf.DUMMYFUNCTION("""COMPUTED_VALUE"""),"EGK6F57,BEM5F57")</f>
        <v>EGK6F57,BEM5F57</v>
      </c>
      <c r="G6755" s="238">
        <f>IFERROR(__xludf.DUMMYFUNCTION("""COMPUTED_VALUE"""),46058.271527777775)</f>
        <v>46058.27153</v>
      </c>
      <c r="H6755" s="238">
        <f>IFERROR(__xludf.DUMMYFUNCTION("""COMPUTED_VALUE"""),46058.35416666667)</f>
        <v>46058.35417</v>
      </c>
      <c r="J6755" s="239">
        <v>119.99999999301508</v>
      </c>
    </row>
    <row r="6756">
      <c r="A6756" s="234"/>
      <c r="B6756" s="238" t="str">
        <f>IFERROR(__xludf.DUMMYFUNCTION("""COMPUTED_VALUE"""),"LM Hub_SP_Embu das Artes_02")</f>
        <v>LM Hub_SP_Embu das Artes_02</v>
      </c>
      <c r="C6756" s="238" t="str">
        <f>IFERROR(__xludf.DUMMYFUNCTION("""COMPUTED_VALUE"""),"HUB-LSP-96")</f>
        <v>HUB-LSP-96</v>
      </c>
      <c r="D6756" s="234">
        <f>IFERROR(__xludf.DUMMYFUNCTION("""COMPUTED_VALUE"""),17.0)</f>
        <v>17</v>
      </c>
      <c r="E6756" s="237" t="str">
        <f>IFERROR(__xludf.DUMMYFUNCTION("""COMPUTED_VALUE"""),"LT0Q2501XZF51")</f>
        <v>LT0Q2501XZF51</v>
      </c>
      <c r="F6756" s="238" t="str">
        <f>IFERROR(__xludf.DUMMYFUNCTION("""COMPUTED_VALUE"""),"FUF6H46,NVV7D82")</f>
        <v>FUF6H46,NVV7D82</v>
      </c>
      <c r="G6756" s="238">
        <f>IFERROR(__xludf.DUMMYFUNCTION("""COMPUTED_VALUE"""),46058.29166666667)</f>
        <v>46058.29167</v>
      </c>
      <c r="H6756" s="238">
        <f>IFERROR(__xludf.DUMMYFUNCTION("""COMPUTED_VALUE"""),46058.375)</f>
        <v>46058.375</v>
      </c>
      <c r="J6756" s="239">
        <v>119.99999999301508</v>
      </c>
    </row>
    <row r="6757">
      <c r="A6757" s="234"/>
      <c r="B6757" s="238" t="str">
        <f>IFERROR(__xludf.DUMMYFUNCTION("""COMPUTED_VALUE"""),"LM Hub_SP_São Paulo_Carandiru")</f>
        <v>LM Hub_SP_São Paulo_Carandiru</v>
      </c>
      <c r="C6757" s="238" t="str">
        <f>IFERROR(__xludf.DUMMYFUNCTION("""COMPUTED_VALUE"""),"HUB-LSP-18")</f>
        <v>HUB-LSP-18</v>
      </c>
      <c r="D6757" s="234">
        <f>IFERROR(__xludf.DUMMYFUNCTION("""COMPUTED_VALUE"""),12.0)</f>
        <v>12</v>
      </c>
      <c r="E6757" s="237" t="str">
        <f>IFERROR(__xludf.DUMMYFUNCTION("""COMPUTED_VALUE"""),"LT0Q2501XX621")</f>
        <v>LT0Q2501XX621</v>
      </c>
      <c r="F6757" s="238" t="str">
        <f>IFERROR(__xludf.DUMMYFUNCTION("""COMPUTED_VALUE"""),"NVO0561")</f>
        <v>NVO0561</v>
      </c>
      <c r="G6757" s="238">
        <f>IFERROR(__xludf.DUMMYFUNCTION("""COMPUTED_VALUE"""),46058.29166666667)</f>
        <v>46058.29167</v>
      </c>
      <c r="H6757" s="238">
        <f>IFERROR(__xludf.DUMMYFUNCTION("""COMPUTED_VALUE"""),46058.375)</f>
        <v>46058.375</v>
      </c>
      <c r="J6757" s="239">
        <v>119.99999999301508</v>
      </c>
    </row>
    <row r="6758">
      <c r="A6758" s="234"/>
      <c r="B6758" s="238" t="str">
        <f>IFERROR(__xludf.DUMMYFUNCTION("""COMPUTED_VALUE"""),"LM Hub_SP_Suzano_Baruel")</f>
        <v>LM Hub_SP_Suzano_Baruel</v>
      </c>
      <c r="C6758" s="238" t="str">
        <f>IFERROR(__xludf.DUMMYFUNCTION("""COMPUTED_VALUE"""),"HUB-LSP-97")</f>
        <v>HUB-LSP-97</v>
      </c>
      <c r="D6758" s="234">
        <f>IFERROR(__xludf.DUMMYFUNCTION("""COMPUTED_VALUE"""),13.0)</f>
        <v>13</v>
      </c>
      <c r="E6758" s="237" t="str">
        <f>IFERROR(__xludf.DUMMYFUNCTION("""COMPUTED_VALUE"""),"LT0Q2501Y2U11")</f>
        <v>LT0Q2501Y2U11</v>
      </c>
      <c r="F6758" s="238" t="str">
        <f>IFERROR(__xludf.DUMMYFUNCTION("""COMPUTED_VALUE"""),"ODE7J96,UGA3J73")</f>
        <v>ODE7J96,UGA3J73</v>
      </c>
      <c r="G6758" s="238">
        <f>IFERROR(__xludf.DUMMYFUNCTION("""COMPUTED_VALUE"""),46058.29166666667)</f>
        <v>46058.29167</v>
      </c>
      <c r="H6758" s="238">
        <f>IFERROR(__xludf.DUMMYFUNCTION("""COMPUTED_VALUE"""),46058.375)</f>
        <v>46058.375</v>
      </c>
      <c r="J6758" s="239">
        <v>119.99999999301508</v>
      </c>
    </row>
    <row r="6759">
      <c r="A6759" s="234"/>
      <c r="B6759" s="238" t="str">
        <f>IFERROR(__xludf.DUMMYFUNCTION("""COMPUTED_VALUE"""),"LM Hub_SP_Mauá")</f>
        <v>LM Hub_SP_Mauá</v>
      </c>
      <c r="C6759" s="238" t="str">
        <f>IFERROR(__xludf.DUMMYFUNCTION("""COMPUTED_VALUE"""),"HUB-LSP-64")</f>
        <v>HUB-LSP-64</v>
      </c>
      <c r="D6759" s="234">
        <f>IFERROR(__xludf.DUMMYFUNCTION("""COMPUTED_VALUE"""),37.0)</f>
        <v>37</v>
      </c>
      <c r="E6759" s="237" t="str">
        <f>IFERROR(__xludf.DUMMYFUNCTION("""COMPUTED_VALUE"""),"LT0Q2501XX6C1")</f>
        <v>LT0Q2501XX6C1</v>
      </c>
      <c r="F6759" s="238" t="str">
        <f>IFERROR(__xludf.DUMMYFUNCTION("""COMPUTED_VALUE"""),"QQO8H42,FSO9H65")</f>
        <v>QQO8H42,FSO9H65</v>
      </c>
      <c r="G6759" s="238">
        <f>IFERROR(__xludf.DUMMYFUNCTION("""COMPUTED_VALUE"""),46058.3125)</f>
        <v>46058.3125</v>
      </c>
      <c r="H6759" s="238">
        <f>IFERROR(__xludf.DUMMYFUNCTION("""COMPUTED_VALUE"""),46058.39583333333)</f>
        <v>46058.39583</v>
      </c>
      <c r="J6759" s="239">
        <v>540.0</v>
      </c>
    </row>
    <row r="6760">
      <c r="A6760" s="234"/>
      <c r="B6760" s="238" t="str">
        <f>IFERROR(__xludf.DUMMYFUNCTION("""COMPUTED_VALUE"""),"SoC_RJ_Duque de Caxias")</f>
        <v>SoC_RJ_Duque de Caxias</v>
      </c>
      <c r="C6760" s="238" t="str">
        <f>IFERROR(__xludf.DUMMYFUNCTION("""COMPUTED_VALUE"""),"SOC-RJ2")</f>
        <v>SOC-RJ2</v>
      </c>
      <c r="D6760" s="234"/>
      <c r="E6760" s="237" t="str">
        <f>IFERROR(__xludf.DUMMYFUNCTION("""COMPUTED_VALUE"""),"LT1Q2401YBPL1")</f>
        <v>LT1Q2401YBPL1</v>
      </c>
      <c r="F6760" s="238" t="str">
        <f>IFERROR(__xludf.DUMMYFUNCTION("""COMPUTED_VALUE"""),"ETM1G42,FUC8H71")</f>
        <v>ETM1G42,FUC8H71</v>
      </c>
      <c r="G6760" s="238">
        <f>IFERROR(__xludf.DUMMYFUNCTION("""COMPUTED_VALUE"""),46058.08333333333)</f>
        <v>46058.08333</v>
      </c>
      <c r="H6760" s="238">
        <f>IFERROR(__xludf.DUMMYFUNCTION("""COMPUTED_VALUE"""),46058.45833333333)</f>
        <v>46058.45833</v>
      </c>
      <c r="J6760" s="239">
        <v>540.0</v>
      </c>
    </row>
    <row r="6761">
      <c r="A6761" s="234"/>
      <c r="B6761" s="238" t="str">
        <f>IFERROR(__xludf.DUMMYFUNCTION("""COMPUTED_VALUE"""),"SoC_SC_Itajaí")</f>
        <v>SoC_SC_Itajaí</v>
      </c>
      <c r="C6761" s="238" t="str">
        <f>IFERROR(__xludf.DUMMYFUNCTION("""COMPUTED_VALUE"""),"SOC-SC1")</f>
        <v>SOC-SC1</v>
      </c>
      <c r="D6761" s="234">
        <f>IFERROR(__xludf.DUMMYFUNCTION("""COMPUTED_VALUE"""),100.0)</f>
        <v>100</v>
      </c>
      <c r="E6761" s="237" t="str">
        <f>IFERROR(__xludf.DUMMYFUNCTION("""COMPUTED_VALUE"""),"LT0Q2401Y0BI1")</f>
        <v>LT0Q2401Y0BI1</v>
      </c>
      <c r="F6761" s="238" t="str">
        <f>IFERROR(__xludf.DUMMYFUNCTION("""COMPUTED_VALUE"""),"RYS4J85,SXJ6A32")</f>
        <v>RYS4J85,SXJ6A32</v>
      </c>
      <c r="G6761" s="238">
        <f>IFERROR(__xludf.DUMMYFUNCTION("""COMPUTED_VALUE"""),46058.08333333333)</f>
        <v>46058.08333</v>
      </c>
      <c r="H6761" s="238">
        <f>IFERROR(__xludf.DUMMYFUNCTION("""COMPUTED_VALUE"""),46058.45833333333)</f>
        <v>46058.45833</v>
      </c>
      <c r="J6761" s="239">
        <v>540.0</v>
      </c>
    </row>
    <row r="6762">
      <c r="A6762" s="234"/>
      <c r="B6762" s="238" t="str">
        <f>IFERROR(__xludf.DUMMYFUNCTION("""COMPUTED_VALUE"""),"SoC_SP_Cravinhos")</f>
        <v>SoC_SP_Cravinhos</v>
      </c>
      <c r="C6762" s="238" t="str">
        <f>IFERROR(__xludf.DUMMYFUNCTION("""COMPUTED_VALUE"""),"SOC-SP5")</f>
        <v>SOC-SP5</v>
      </c>
      <c r="D6762" s="234">
        <f>IFERROR(__xludf.DUMMYFUNCTION("""COMPUTED_VALUE"""),95.0)</f>
        <v>95</v>
      </c>
      <c r="E6762" s="237" t="str">
        <f>IFERROR(__xludf.DUMMYFUNCTION("""COMPUTED_VALUE"""),"LT0Q2401XVV81")</f>
        <v>LT0Q2401XVV81</v>
      </c>
      <c r="F6762" s="238" t="str">
        <f>IFERROR(__xludf.DUMMYFUNCTION("""COMPUTED_VALUE"""),"EJW2D05,JVS9939")</f>
        <v>EJW2D05,JVS9939</v>
      </c>
      <c r="G6762" s="238">
        <f>IFERROR(__xludf.DUMMYFUNCTION("""COMPUTED_VALUE"""),46058.08333333333)</f>
        <v>46058.08333</v>
      </c>
      <c r="H6762" s="238">
        <f>IFERROR(__xludf.DUMMYFUNCTION("""COMPUTED_VALUE"""),46058.45833333333)</f>
        <v>46058.45833</v>
      </c>
      <c r="J6762" s="239">
        <v>538.9999999967404</v>
      </c>
    </row>
    <row r="6763">
      <c r="A6763" s="234"/>
      <c r="B6763" s="238" t="str">
        <f>IFERROR(__xludf.DUMMYFUNCTION("""COMPUTED_VALUE"""),"SoC_BA_Simoes Filho")</f>
        <v>SoC_BA_Simoes Filho</v>
      </c>
      <c r="C6763" s="238" t="str">
        <f>IFERROR(__xludf.DUMMYFUNCTION("""COMPUTED_VALUE"""),"SOC-BA2")</f>
        <v>SOC-BA2</v>
      </c>
      <c r="D6763" s="234">
        <f>IFERROR(__xludf.DUMMYFUNCTION("""COMPUTED_VALUE"""),88.0)</f>
        <v>88</v>
      </c>
      <c r="E6763" s="237" t="str">
        <f>IFERROR(__xludf.DUMMYFUNCTION("""COMPUTED_VALUE"""),"LT0Q2401Y1BW3")</f>
        <v>LT0Q2401Y1BW3</v>
      </c>
      <c r="F6763" s="238" t="str">
        <f>IFERROR(__xludf.DUMMYFUNCTION("""COMPUTED_VALUE"""),"HEH4A36,NYR5A41")</f>
        <v>HEH4A36,NYR5A41</v>
      </c>
      <c r="G6763" s="238">
        <f>IFERROR(__xludf.DUMMYFUNCTION("""COMPUTED_VALUE"""),46058.084027777775)</f>
        <v>46058.08403</v>
      </c>
      <c r="H6763" s="238">
        <f>IFERROR(__xludf.DUMMYFUNCTION("""COMPUTED_VALUE"""),46058.45833333333)</f>
        <v>46058.45833</v>
      </c>
      <c r="J6763" s="239">
        <v>538.9999999967404</v>
      </c>
    </row>
    <row r="6764">
      <c r="A6764" s="234"/>
      <c r="B6764" s="238" t="str">
        <f>IFERROR(__xludf.DUMMYFUNCTION("""COMPUTED_VALUE"""),"SoC_PE_Jaboatão dos Guararapes")</f>
        <v>SoC_PE_Jaboatão dos Guararapes</v>
      </c>
      <c r="C6764" s="238" t="str">
        <f>IFERROR(__xludf.DUMMYFUNCTION("""COMPUTED_VALUE"""),"SOC-PE2")</f>
        <v>SOC-PE2</v>
      </c>
      <c r="D6764" s="234">
        <f>IFERROR(__xludf.DUMMYFUNCTION("""COMPUTED_VALUE"""),98.0)</f>
        <v>98</v>
      </c>
      <c r="E6764" s="237" t="str">
        <f>IFERROR(__xludf.DUMMYFUNCTION("""COMPUTED_VALUE"""),"LT0Q2401Y1871")</f>
        <v>LT0Q2401Y1871</v>
      </c>
      <c r="F6764" s="238" t="str">
        <f>IFERROR(__xludf.DUMMYFUNCTION("""COMPUTED_VALUE"""),"IYC6J91,BES1E93")</f>
        <v>IYC6J91,BES1E93</v>
      </c>
      <c r="G6764" s="238">
        <f>IFERROR(__xludf.DUMMYFUNCTION("""COMPUTED_VALUE"""),46058.084027777775)</f>
        <v>46058.08403</v>
      </c>
      <c r="H6764" s="238">
        <f>IFERROR(__xludf.DUMMYFUNCTION("""COMPUTED_VALUE"""),46058.45833333333)</f>
        <v>46058.45833</v>
      </c>
      <c r="J6764" s="239">
        <v>538.9999999967404</v>
      </c>
    </row>
    <row r="6765">
      <c r="A6765" s="234"/>
      <c r="B6765" s="238" t="str">
        <f>IFERROR(__xludf.DUMMYFUNCTION("""COMPUTED_VALUE"""),"SoC_PE_Jaboatão dos Guararapes")</f>
        <v>SoC_PE_Jaboatão dos Guararapes</v>
      </c>
      <c r="C6765" s="238" t="str">
        <f>IFERROR(__xludf.DUMMYFUNCTION("""COMPUTED_VALUE"""),"SOC-PE2")</f>
        <v>SOC-PE2</v>
      </c>
      <c r="D6765" s="234">
        <f>IFERROR(__xludf.DUMMYFUNCTION("""COMPUTED_VALUE"""),117.0)</f>
        <v>117</v>
      </c>
      <c r="E6765" s="237" t="str">
        <f>IFERROR(__xludf.DUMMYFUNCTION("""COMPUTED_VALUE"""),"LT0Q2401Y18B3")</f>
        <v>LT0Q2401Y18B3</v>
      </c>
      <c r="F6765" s="238" t="str">
        <f>IFERROR(__xludf.DUMMYFUNCTION("""COMPUTED_VALUE"""),"HBN8G06,GXM8D20")</f>
        <v>HBN8G06,GXM8D20</v>
      </c>
      <c r="G6765" s="238">
        <f>IFERROR(__xludf.DUMMYFUNCTION("""COMPUTED_VALUE"""),46058.084027777775)</f>
        <v>46058.08403</v>
      </c>
      <c r="H6765" s="238">
        <f>IFERROR(__xludf.DUMMYFUNCTION("""COMPUTED_VALUE"""),46058.45833333333)</f>
        <v>46058.45833</v>
      </c>
      <c r="J6765" s="239">
        <v>538.9999999967404</v>
      </c>
    </row>
    <row r="6766">
      <c r="A6766" s="234"/>
      <c r="B6766" s="238" t="str">
        <f>IFERROR(__xludf.DUMMYFUNCTION("""COMPUTED_VALUE"""),"SoC_RJ_Duque de Caxias")</f>
        <v>SoC_RJ_Duque de Caxias</v>
      </c>
      <c r="C6766" s="238" t="str">
        <f>IFERROR(__xludf.DUMMYFUNCTION("""COMPUTED_VALUE"""),"SOC-RJ2")</f>
        <v>SOC-RJ2</v>
      </c>
      <c r="D6766" s="234">
        <f>IFERROR(__xludf.DUMMYFUNCTION("""COMPUTED_VALUE"""),8.0)</f>
        <v>8</v>
      </c>
      <c r="E6766" s="237" t="str">
        <f>IFERROR(__xludf.DUMMYFUNCTION("""COMPUTED_VALUE"""),"LT0Q2401XXXM3")</f>
        <v>LT0Q2401XXXM3</v>
      </c>
      <c r="F6766" s="238" t="str">
        <f>IFERROR(__xludf.DUMMYFUNCTION("""COMPUTED_VALUE"""),"LMZ8E48,FZI5J64")</f>
        <v>LMZ8E48,FZI5J64</v>
      </c>
      <c r="G6766" s="238">
        <f>IFERROR(__xludf.DUMMYFUNCTION("""COMPUTED_VALUE"""),46058.084027777775)</f>
        <v>46058.08403</v>
      </c>
      <c r="H6766" s="238">
        <f>IFERROR(__xludf.DUMMYFUNCTION("""COMPUTED_VALUE"""),46058.45833333333)</f>
        <v>46058.45833</v>
      </c>
      <c r="J6766" s="239">
        <v>535.9999999869615</v>
      </c>
    </row>
    <row r="6767">
      <c r="A6767" s="234"/>
      <c r="B6767" s="238" t="str">
        <f>IFERROR(__xludf.DUMMYFUNCTION("""COMPUTED_VALUE"""),"SoC_MG_Betim")</f>
        <v>SoC_MG_Betim</v>
      </c>
      <c r="C6767" s="238" t="str">
        <f>IFERROR(__xludf.DUMMYFUNCTION("""COMPUTED_VALUE"""),"SOC-MG2")</f>
        <v>SOC-MG2</v>
      </c>
      <c r="D6767" s="234">
        <f>IFERROR(__xludf.DUMMYFUNCTION("""COMPUTED_VALUE"""),91.0)</f>
        <v>91</v>
      </c>
      <c r="E6767" s="237" t="str">
        <f>IFERROR(__xludf.DUMMYFUNCTION("""COMPUTED_VALUE"""),"LT0Q2401XVTK1")</f>
        <v>LT0Q2401XVTK1</v>
      </c>
      <c r="F6767" s="238" t="str">
        <f>IFERROR(__xludf.DUMMYFUNCTION("""COMPUTED_VALUE"""),"UDW5E79,TLL6F35")</f>
        <v>UDW5E79,TLL6F35</v>
      </c>
      <c r="G6767" s="238">
        <f>IFERROR(__xludf.DUMMYFUNCTION("""COMPUTED_VALUE"""),46058.086111111115)</f>
        <v>46058.08611</v>
      </c>
      <c r="H6767" s="238">
        <f>IFERROR(__xludf.DUMMYFUNCTION("""COMPUTED_VALUE"""),46058.45833333333)</f>
        <v>46058.45833</v>
      </c>
      <c r="J6767" s="239">
        <v>535.9999999869615</v>
      </c>
    </row>
    <row r="6768">
      <c r="A6768" s="234"/>
      <c r="B6768" s="238" t="str">
        <f>IFERROR(__xludf.DUMMYFUNCTION("""COMPUTED_VALUE"""),"SoC_MG_Betim")</f>
        <v>SoC_MG_Betim</v>
      </c>
      <c r="C6768" s="238" t="str">
        <f>IFERROR(__xludf.DUMMYFUNCTION("""COMPUTED_VALUE"""),"SOC-MG2")</f>
        <v>SOC-MG2</v>
      </c>
      <c r="D6768" s="234">
        <f>IFERROR(__xludf.DUMMYFUNCTION("""COMPUTED_VALUE"""),90.0)</f>
        <v>90</v>
      </c>
      <c r="E6768" s="237" t="str">
        <f>IFERROR(__xludf.DUMMYFUNCTION("""COMPUTED_VALUE"""),"LT0Q2401XVTM2")</f>
        <v>LT0Q2401XVTM2</v>
      </c>
      <c r="F6768" s="238" t="str">
        <f>IFERROR(__xludf.DUMMYFUNCTION("""COMPUTED_VALUE"""),"FCZ2F06,CUB0E32")</f>
        <v>FCZ2F06,CUB0E32</v>
      </c>
      <c r="G6768" s="238">
        <f>IFERROR(__xludf.DUMMYFUNCTION("""COMPUTED_VALUE"""),46058.086111111115)</f>
        <v>46058.08611</v>
      </c>
      <c r="H6768" s="238">
        <f>IFERROR(__xludf.DUMMYFUNCTION("""COMPUTED_VALUE"""),46058.45833333333)</f>
        <v>46058.45833</v>
      </c>
      <c r="J6768" s="239">
        <v>535.9999999869615</v>
      </c>
    </row>
    <row r="6769">
      <c r="A6769" s="234"/>
      <c r="B6769" s="238" t="str">
        <f>IFERROR(__xludf.DUMMYFUNCTION("""COMPUTED_VALUE"""),"SoC_MG_Betim")</f>
        <v>SoC_MG_Betim</v>
      </c>
      <c r="C6769" s="238" t="str">
        <f>IFERROR(__xludf.DUMMYFUNCTION("""COMPUTED_VALUE"""),"SOC-MG2")</f>
        <v>SOC-MG2</v>
      </c>
      <c r="D6769" s="234">
        <f>IFERROR(__xludf.DUMMYFUNCTION("""COMPUTED_VALUE"""),90.0)</f>
        <v>90</v>
      </c>
      <c r="E6769" s="237" t="str">
        <f>IFERROR(__xludf.DUMMYFUNCTION("""COMPUTED_VALUE"""),"LT0Q2401XVTO3")</f>
        <v>LT0Q2401XVTO3</v>
      </c>
      <c r="F6769" s="238" t="str">
        <f>IFERROR(__xludf.DUMMYFUNCTION("""COMPUTED_VALUE"""),"FCA3E37,FGJ9H71")</f>
        <v>FCA3E37,FGJ9H71</v>
      </c>
      <c r="G6769" s="238">
        <f>IFERROR(__xludf.DUMMYFUNCTION("""COMPUTED_VALUE"""),46058.086111111115)</f>
        <v>46058.08611</v>
      </c>
      <c r="H6769" s="238">
        <f>IFERROR(__xludf.DUMMYFUNCTION("""COMPUTED_VALUE"""),46058.45833333333)</f>
        <v>46058.45833</v>
      </c>
      <c r="J6769" s="239">
        <v>535.9999999869615</v>
      </c>
    </row>
    <row r="6770">
      <c r="A6770" s="234"/>
      <c r="B6770" s="238" t="str">
        <f>IFERROR(__xludf.DUMMYFUNCTION("""COMPUTED_VALUE"""),"SoC_MG_Betim")</f>
        <v>SoC_MG_Betim</v>
      </c>
      <c r="C6770" s="238" t="str">
        <f>IFERROR(__xludf.DUMMYFUNCTION("""COMPUTED_VALUE"""),"SOC-MG2")</f>
        <v>SOC-MG2</v>
      </c>
      <c r="D6770" s="234"/>
      <c r="E6770" s="237" t="str">
        <f>IFERROR(__xludf.DUMMYFUNCTION("""COMPUTED_VALUE"""),"LT0Q2401XVTQ4")</f>
        <v>LT0Q2401XVTQ4</v>
      </c>
      <c r="F6770" s="238" t="str">
        <f>IFERROR(__xludf.DUMMYFUNCTION("""COMPUTED_VALUE"""),"FVV1B52,STW1J68")</f>
        <v>FVV1B52,STW1J68</v>
      </c>
      <c r="G6770" s="238">
        <f>IFERROR(__xludf.DUMMYFUNCTION("""COMPUTED_VALUE"""),46058.086111111115)</f>
        <v>46058.08611</v>
      </c>
      <c r="H6770" s="238">
        <f>IFERROR(__xludf.DUMMYFUNCTION("""COMPUTED_VALUE"""),46058.45833333333)</f>
        <v>46058.45833</v>
      </c>
      <c r="J6770" s="239">
        <v>535.9999999869615</v>
      </c>
    </row>
    <row r="6771">
      <c r="A6771" s="234"/>
      <c r="B6771" s="238" t="str">
        <f>IFERROR(__xludf.DUMMYFUNCTION("""COMPUTED_VALUE"""),"SoC_RJ_Duque de Caxias")</f>
        <v>SoC_RJ_Duque de Caxias</v>
      </c>
      <c r="C6771" s="238" t="str">
        <f>IFERROR(__xludf.DUMMYFUNCTION("""COMPUTED_VALUE"""),"SOC-RJ2")</f>
        <v>SOC-RJ2</v>
      </c>
      <c r="D6771" s="234">
        <f>IFERROR(__xludf.DUMMYFUNCTION("""COMPUTED_VALUE"""),97.0)</f>
        <v>97</v>
      </c>
      <c r="E6771" s="237" t="str">
        <f>IFERROR(__xludf.DUMMYFUNCTION("""COMPUTED_VALUE"""),"LT0Q2401Y5PA2")</f>
        <v>LT0Q2401Y5PA2</v>
      </c>
      <c r="F6771" s="238" t="str">
        <f>IFERROR(__xludf.DUMMYFUNCTION("""COMPUTED_VALUE"""),"LRZ3G97,NKJ7E42")</f>
        <v>LRZ3G97,NKJ7E42</v>
      </c>
      <c r="G6771" s="238">
        <f>IFERROR(__xludf.DUMMYFUNCTION("""COMPUTED_VALUE"""),46058.086111111115)</f>
        <v>46058.08611</v>
      </c>
      <c r="H6771" s="238">
        <f>IFERROR(__xludf.DUMMYFUNCTION("""COMPUTED_VALUE"""),46058.45833333333)</f>
        <v>46058.45833</v>
      </c>
      <c r="J6771" s="239">
        <v>418.9999999932479</v>
      </c>
    </row>
    <row r="6772">
      <c r="A6772" s="234"/>
      <c r="B6772" s="238" t="str">
        <f>IFERROR(__xludf.DUMMYFUNCTION("""COMPUTED_VALUE"""),"SoC_RJ_Duque de Caxias")</f>
        <v>SoC_RJ_Duque de Caxias</v>
      </c>
      <c r="C6772" s="238" t="str">
        <f>IFERROR(__xludf.DUMMYFUNCTION("""COMPUTED_VALUE"""),"SOC-RJ2")</f>
        <v>SOC-RJ2</v>
      </c>
      <c r="D6772" s="234"/>
      <c r="E6772" s="237" t="str">
        <f>IFERROR(__xludf.DUMMYFUNCTION("""COMPUTED_VALUE"""),"LT0Q2401XXXJ1")</f>
        <v>LT0Q2401XXXJ1</v>
      </c>
      <c r="F6772" s="238" t="str">
        <f>IFERROR(__xludf.DUMMYFUNCTION("""COMPUTED_VALUE"""),"DVS7H95,HOA1D64")</f>
        <v>DVS7H95,HOA1D64</v>
      </c>
      <c r="G6772" s="238">
        <f>IFERROR(__xludf.DUMMYFUNCTION("""COMPUTED_VALUE"""),46058.16736111111)</f>
        <v>46058.16736</v>
      </c>
      <c r="H6772" s="238">
        <f>IFERROR(__xludf.DUMMYFUNCTION("""COMPUTED_VALUE"""),46058.45833333333)</f>
        <v>46058.45833</v>
      </c>
      <c r="J6772" s="239">
        <v>418.9999999932479</v>
      </c>
    </row>
    <row r="6773">
      <c r="A6773" s="234"/>
      <c r="B6773" s="238" t="str">
        <f>IFERROR(__xludf.DUMMYFUNCTION("""COMPUTED_VALUE"""),"SoC_RJ_Duque de Caxias")</f>
        <v>SoC_RJ_Duque de Caxias</v>
      </c>
      <c r="C6773" s="238" t="str">
        <f>IFERROR(__xludf.DUMMYFUNCTION("""COMPUTED_VALUE"""),"SOC-RJ2")</f>
        <v>SOC-RJ2</v>
      </c>
      <c r="D6773" s="234"/>
      <c r="E6773" s="237" t="str">
        <f>IFERROR(__xludf.DUMMYFUNCTION("""COMPUTED_VALUE"""),"LT0Q2401XXXL2")</f>
        <v>LT0Q2401XXXL2</v>
      </c>
      <c r="F6773" s="238" t="str">
        <f>IFERROR(__xludf.DUMMYFUNCTION("""COMPUTED_VALUE"""),"TME8D82,UDI1F23")</f>
        <v>TME8D82,UDI1F23</v>
      </c>
      <c r="G6773" s="238">
        <f>IFERROR(__xludf.DUMMYFUNCTION("""COMPUTED_VALUE"""),46058.16736111111)</f>
        <v>46058.16736</v>
      </c>
      <c r="H6773" s="238">
        <f>IFERROR(__xludf.DUMMYFUNCTION("""COMPUTED_VALUE"""),46058.45833333333)</f>
        <v>46058.45833</v>
      </c>
      <c r="J6773" s="239">
        <v>599.0000000037253</v>
      </c>
    </row>
    <row r="6774">
      <c r="A6774" s="234"/>
      <c r="B6774" s="238" t="str">
        <f>IFERROR(__xludf.DUMMYFUNCTION("""COMPUTED_VALUE"""),"SoC_GO_Goiânia_02")</f>
        <v>SoC_GO_Goiânia_02</v>
      </c>
      <c r="C6774" s="238" t="str">
        <f>IFERROR(__xludf.DUMMYFUNCTION("""COMPUTED_VALUE"""),"SOC-GO2")</f>
        <v>SOC-GO2</v>
      </c>
      <c r="D6774" s="234">
        <f>IFERROR(__xludf.DUMMYFUNCTION("""COMPUTED_VALUE"""),87.0)</f>
        <v>87</v>
      </c>
      <c r="E6774" s="237" t="str">
        <f>IFERROR(__xludf.DUMMYFUNCTION("""COMPUTED_VALUE"""),"LT0Q2501Y1NH1")</f>
        <v>LT0Q2501Y1NH1</v>
      </c>
      <c r="F6774" s="238" t="str">
        <f>IFERROR(__xludf.DUMMYFUNCTION("""COMPUTED_VALUE"""),"SXL0I57,SVJ0I59")</f>
        <v>SXL0I57,SVJ0I59</v>
      </c>
      <c r="G6774" s="238">
        <f>IFERROR(__xludf.DUMMYFUNCTION("""COMPUTED_VALUE"""),46058.25069444445)</f>
        <v>46058.25069</v>
      </c>
      <c r="H6774" s="238">
        <f>IFERROR(__xludf.DUMMYFUNCTION("""COMPUTED_VALUE"""),46058.66666666667)</f>
        <v>46058.66667</v>
      </c>
      <c r="J6774" s="239">
        <v>537.9999999934807</v>
      </c>
    </row>
    <row r="6775">
      <c r="A6775" s="234"/>
      <c r="B6775" s="238" t="str">
        <f>IFERROR(__xludf.DUMMYFUNCTION("""COMPUTED_VALUE"""),"SoC_PE_Jaboatão dos Guararapes")</f>
        <v>SoC_PE_Jaboatão dos Guararapes</v>
      </c>
      <c r="C6775" s="238" t="str">
        <f>IFERROR(__xludf.DUMMYFUNCTION("""COMPUTED_VALUE"""),"SOC-PE2")</f>
        <v>SOC-PE2</v>
      </c>
      <c r="D6775" s="234" t="str">
        <f>IFERROR(__xludf.DUMMYFUNCTION("""COMPUTED_VALUE"""),"99/114")</f>
        <v>99/114</v>
      </c>
      <c r="E6775" s="237" t="str">
        <f>IFERROR(__xludf.DUMMYFUNCTION("""COMPUTED_VALUE"""),"LT0Q2501Y1832")</f>
        <v>LT0Q2501Y1832</v>
      </c>
      <c r="F6775" s="238" t="str">
        <f>IFERROR(__xludf.DUMMYFUNCTION("""COMPUTED_VALUE"""),"MWL7I96,KRX6D00")</f>
        <v>MWL7I96,KRX6D00</v>
      </c>
      <c r="G6775" s="238">
        <f>IFERROR(__xludf.DUMMYFUNCTION("""COMPUTED_VALUE"""),46058.58472222222)</f>
        <v>46058.58472</v>
      </c>
      <c r="H6775" s="238">
        <f>IFERROR(__xludf.DUMMYFUNCTION("""COMPUTED_VALUE"""),46058.95833333333)</f>
        <v>46058.95833</v>
      </c>
      <c r="J6775" s="239">
        <v>537.9999999934807</v>
      </c>
    </row>
    <row r="6776">
      <c r="A6776" s="234"/>
      <c r="B6776" s="238" t="str">
        <f>IFERROR(__xludf.DUMMYFUNCTION("""COMPUTED_VALUE"""),"SoC_PE_Jaboatão dos Guararapes")</f>
        <v>SoC_PE_Jaboatão dos Guararapes</v>
      </c>
      <c r="C6776" s="238" t="str">
        <f>IFERROR(__xludf.DUMMYFUNCTION("""COMPUTED_VALUE"""),"SOC-PE2")</f>
        <v>SOC-PE2</v>
      </c>
      <c r="D6776" s="234">
        <f>IFERROR(__xludf.DUMMYFUNCTION("""COMPUTED_VALUE"""),98.0)</f>
        <v>98</v>
      </c>
      <c r="E6776" s="237" t="str">
        <f>IFERROR(__xludf.DUMMYFUNCTION("""COMPUTED_VALUE"""),"LT0Q2501Y1853")</f>
        <v>LT0Q2501Y1853</v>
      </c>
      <c r="F6776" s="238" t="str">
        <f>IFERROR(__xludf.DUMMYFUNCTION("""COMPUTED_VALUE"""),"GAP7G12,TJY0H37")</f>
        <v>GAP7G12,TJY0H37</v>
      </c>
      <c r="G6776" s="238">
        <f>IFERROR(__xludf.DUMMYFUNCTION("""COMPUTED_VALUE"""),46058.58472222222)</f>
        <v>46058.58472</v>
      </c>
      <c r="H6776" s="238">
        <f>IFERROR(__xludf.DUMMYFUNCTION("""COMPUTED_VALUE"""),46058.95833333333)</f>
        <v>46058.95833</v>
      </c>
      <c r="J6776" s="239">
        <v>536.9999999902211</v>
      </c>
    </row>
    <row r="6777">
      <c r="A6777" s="234"/>
      <c r="B6777" s="238" t="str">
        <f>IFERROR(__xludf.DUMMYFUNCTION("""COMPUTED_VALUE"""),"SoC_RJ_Duque de Caxias")</f>
        <v>SoC_RJ_Duque de Caxias</v>
      </c>
      <c r="C6777" s="238" t="str">
        <f>IFERROR(__xludf.DUMMYFUNCTION("""COMPUTED_VALUE"""),"SOC-RJ2")</f>
        <v>SOC-RJ2</v>
      </c>
      <c r="D6777" s="234">
        <f>IFERROR(__xludf.DUMMYFUNCTION("""COMPUTED_VALUE"""),96.0)</f>
        <v>96</v>
      </c>
      <c r="E6777" s="237" t="str">
        <f>IFERROR(__xludf.DUMMYFUNCTION("""COMPUTED_VALUE"""),"LT0Q2501XXX13")</f>
        <v>LT0Q2501XXX13</v>
      </c>
      <c r="F6777" s="238" t="str">
        <f>IFERROR(__xludf.DUMMYFUNCTION("""COMPUTED_VALUE"""),"GCQ5G56,AAW5596")</f>
        <v>GCQ5G56,AAW5596</v>
      </c>
      <c r="G6777" s="238">
        <f>IFERROR(__xludf.DUMMYFUNCTION("""COMPUTED_VALUE"""),46058.58541666667)</f>
        <v>46058.58542</v>
      </c>
      <c r="H6777" s="238">
        <f>IFERROR(__xludf.DUMMYFUNCTION("""COMPUTED_VALUE"""),46058.95833333333)</f>
        <v>46058.95833</v>
      </c>
      <c r="J6777" s="239">
        <v>536.9999999902211</v>
      </c>
    </row>
    <row r="6778">
      <c r="A6778" s="234"/>
      <c r="B6778" s="238" t="str">
        <f>IFERROR(__xludf.DUMMYFUNCTION("""COMPUTED_VALUE"""),"SoC_RJ_Duque de Caxias")</f>
        <v>SoC_RJ_Duque de Caxias</v>
      </c>
      <c r="C6778" s="238" t="str">
        <f>IFERROR(__xludf.DUMMYFUNCTION("""COMPUTED_VALUE"""),"SOC-RJ2")</f>
        <v>SOC-RJ2</v>
      </c>
      <c r="D6778" s="234">
        <f>IFERROR(__xludf.DUMMYFUNCTION("""COMPUTED_VALUE"""),97.0)</f>
        <v>97</v>
      </c>
      <c r="E6778" s="237" t="str">
        <f>IFERROR(__xludf.DUMMYFUNCTION("""COMPUTED_VALUE"""),"LT0Q2501XXX55")</f>
        <v>LT0Q2501XXX55</v>
      </c>
      <c r="F6778" s="238" t="str">
        <f>IFERROR(__xludf.DUMMYFUNCTION("""COMPUTED_VALUE"""),"FWC2F11,FWB4F06")</f>
        <v>FWC2F11,FWB4F06</v>
      </c>
      <c r="G6778" s="238">
        <f>IFERROR(__xludf.DUMMYFUNCTION("""COMPUTED_VALUE"""),46058.58541666667)</f>
        <v>46058.58542</v>
      </c>
      <c r="H6778" s="238">
        <f>IFERROR(__xludf.DUMMYFUNCTION("""COMPUTED_VALUE"""),46058.95833333333)</f>
        <v>46058.95833</v>
      </c>
      <c r="J6778" s="239">
        <v>118.99999998975545</v>
      </c>
    </row>
    <row r="6779">
      <c r="A6779" s="234"/>
      <c r="B6779" s="238" t="str">
        <f>IFERROR(__xludf.DUMMYFUNCTION("""COMPUTED_VALUE"""),"LM Hub_SP_Taubaté")</f>
        <v>LM Hub_SP_Taubaté</v>
      </c>
      <c r="C6779" s="238" t="str">
        <f>IFERROR(__xludf.DUMMYFUNCTION("""COMPUTED_VALUE"""),"HUB-LSP-08")</f>
        <v>HUB-LSP-08</v>
      </c>
      <c r="D6779" s="234">
        <f>IFERROR(__xludf.DUMMYFUNCTION("""COMPUTED_VALUE"""),48.0)</f>
        <v>48</v>
      </c>
      <c r="E6779" s="237" t="str">
        <f>IFERROR(__xludf.DUMMYFUNCTION("""COMPUTED_VALUE"""),"LT0Q2501Y5A51")</f>
        <v>LT0Q2501Y5A51</v>
      </c>
      <c r="F6779" s="238" t="str">
        <f>IFERROR(__xludf.DUMMYFUNCTION("""COMPUTED_VALUE"""),"DVA4185,FWZ1H59")</f>
        <v>DVA4185,FWZ1H59</v>
      </c>
      <c r="G6779" s="238">
        <f>IFERROR(__xludf.DUMMYFUNCTION("""COMPUTED_VALUE"""),46058.87569444445)</f>
        <v>46058.87569</v>
      </c>
      <c r="H6779" s="238">
        <f>IFERROR(__xludf.DUMMYFUNCTION("""COMPUTED_VALUE"""),46058.95833333333)</f>
        <v>46058.95833</v>
      </c>
      <c r="J6779" s="239">
        <v>120.00000001396984</v>
      </c>
    </row>
    <row r="6780">
      <c r="A6780" s="234"/>
      <c r="B6780" s="238" t="str">
        <f>IFERROR(__xludf.DUMMYFUNCTION("""COMPUTED_VALUE"""),"LM Hub_RJ_Jacarepaguá")</f>
        <v>LM Hub_RJ_Jacarepaguá</v>
      </c>
      <c r="C6780" s="238" t="str">
        <f>IFERROR(__xludf.DUMMYFUNCTION("""COMPUTED_VALUE"""),"HUB-LRJ-29")</f>
        <v>HUB-LRJ-29</v>
      </c>
      <c r="D6780" s="234">
        <f>IFERROR(__xludf.DUMMYFUNCTION("""COMPUTED_VALUE"""),112.0)</f>
        <v>112</v>
      </c>
      <c r="E6780" s="237" t="str">
        <f>IFERROR(__xludf.DUMMYFUNCTION("""COMPUTED_VALUE"""),"LT0Q2501Y1J61")</f>
        <v>LT0Q2501Y1J61</v>
      </c>
      <c r="F6780" s="238" t="str">
        <f>IFERROR(__xludf.DUMMYFUNCTION("""COMPUTED_VALUE"""),"HLD0E70,TLS4I68")</f>
        <v>HLD0E70,TLS4I68</v>
      </c>
      <c r="G6780" s="238">
        <f>IFERROR(__xludf.DUMMYFUNCTION("""COMPUTED_VALUE"""),46058.89583333333)</f>
        <v>46058.89583</v>
      </c>
      <c r="H6780" s="238">
        <f>IFERROR(__xludf.DUMMYFUNCTION("""COMPUTED_VALUE"""),46058.97916666667)</f>
        <v>46058.97917</v>
      </c>
      <c r="J6780" s="239">
        <v>120.00000001396984</v>
      </c>
    </row>
    <row r="6781">
      <c r="A6781" s="234"/>
      <c r="B6781" s="238" t="str">
        <f>IFERROR(__xludf.DUMMYFUNCTION("""COMPUTED_VALUE"""),"LM Hub_SP_Santos_Praia Grande")</f>
        <v>LM Hub_SP_Santos_Praia Grande</v>
      </c>
      <c r="C6781" s="238" t="str">
        <f>IFERROR(__xludf.DUMMYFUNCTION("""COMPUTED_VALUE"""),"HUB-LSP-09")</f>
        <v>HUB-LSP-09</v>
      </c>
      <c r="D6781" s="234">
        <f>IFERROR(__xludf.DUMMYFUNCTION("""COMPUTED_VALUE"""),18.0)</f>
        <v>18</v>
      </c>
      <c r="E6781" s="237" t="str">
        <f>IFERROR(__xludf.DUMMYFUNCTION("""COMPUTED_VALUE"""),"LT0Q2501XW0V1")</f>
        <v>LT0Q2501XW0V1</v>
      </c>
      <c r="F6781" s="238" t="str">
        <f>IFERROR(__xludf.DUMMYFUNCTION("""COMPUTED_VALUE"""),"CDX7C63,DKH9I98")</f>
        <v>CDX7C63,DKH9I98</v>
      </c>
      <c r="G6781" s="238">
        <f>IFERROR(__xludf.DUMMYFUNCTION("""COMPUTED_VALUE"""),46058.89583333333)</f>
        <v>46058.89583</v>
      </c>
      <c r="H6781" s="238">
        <f>IFERROR(__xludf.DUMMYFUNCTION("""COMPUTED_VALUE"""),46058.97916666667)</f>
        <v>46058.97917</v>
      </c>
      <c r="J6781" s="239">
        <v>120.00000001396984</v>
      </c>
    </row>
    <row r="6782">
      <c r="A6782" s="234"/>
      <c r="B6782" s="238" t="str">
        <f>IFERROR(__xludf.DUMMYFUNCTION("""COMPUTED_VALUE"""),"LM Hub_SP_São José dos Campos")</f>
        <v>LM Hub_SP_São José dos Campos</v>
      </c>
      <c r="C6782" s="238" t="str">
        <f>IFERROR(__xludf.DUMMYFUNCTION("""COMPUTED_VALUE"""),"HUB-LSP-04")</f>
        <v>HUB-LSP-04</v>
      </c>
      <c r="D6782" s="234">
        <f>IFERROR(__xludf.DUMMYFUNCTION("""COMPUTED_VALUE"""),19.0)</f>
        <v>19</v>
      </c>
      <c r="E6782" s="237" t="str">
        <f>IFERROR(__xludf.DUMMYFUNCTION("""COMPUTED_VALUE"""),"LT0Q2501Y5AH1")</f>
        <v>LT0Q2501Y5AH1</v>
      </c>
      <c r="F6782" s="238" t="str">
        <f>IFERROR(__xludf.DUMMYFUNCTION("""COMPUTED_VALUE"""),"UDY3C40")</f>
        <v>UDY3C40</v>
      </c>
      <c r="G6782" s="238">
        <f>IFERROR(__xludf.DUMMYFUNCTION("""COMPUTED_VALUE"""),46058.89583333333)</f>
        <v>46058.89583</v>
      </c>
      <c r="H6782" s="238">
        <f>IFERROR(__xludf.DUMMYFUNCTION("""COMPUTED_VALUE"""),46058.97916666667)</f>
        <v>46058.97917</v>
      </c>
      <c r="J6782" s="239">
        <v>119.00000001071021</v>
      </c>
    </row>
    <row r="6783">
      <c r="A6783" s="234"/>
      <c r="B6783" s="238" t="str">
        <f>IFERROR(__xludf.DUMMYFUNCTION("""COMPUTED_VALUE"""),"LM Hub_SP_Jurubatuba")</f>
        <v>LM Hub_SP_Jurubatuba</v>
      </c>
      <c r="C6783" s="238" t="str">
        <f>IFERROR(__xludf.DUMMYFUNCTION("""COMPUTED_VALUE"""),"HUB-LSP-16")</f>
        <v>HUB-LSP-16</v>
      </c>
      <c r="D6783" s="234">
        <f>IFERROR(__xludf.DUMMYFUNCTION("""COMPUTED_VALUE"""),25.0)</f>
        <v>25</v>
      </c>
      <c r="E6783" s="237" t="str">
        <f>IFERROR(__xludf.DUMMYFUNCTION("""COMPUTED_VALUE"""),"LT0Q2501Y59G1")</f>
        <v>LT0Q2501Y59G1</v>
      </c>
      <c r="F6783" s="238" t="str">
        <f>IFERROR(__xludf.DUMMYFUNCTION("""COMPUTED_VALUE"""),"DTD4722,NCK7E66")</f>
        <v>DTD4722,NCK7E66</v>
      </c>
      <c r="G6783" s="238">
        <f>IFERROR(__xludf.DUMMYFUNCTION("""COMPUTED_VALUE"""),46058.896527777775)</f>
        <v>46058.89653</v>
      </c>
      <c r="H6783" s="238">
        <f>IFERROR(__xludf.DUMMYFUNCTION("""COMPUTED_VALUE"""),46058.97916666667)</f>
        <v>46058.97917</v>
      </c>
      <c r="J6783" s="239">
        <v>129.00000000139698</v>
      </c>
    </row>
    <row r="6784">
      <c r="A6784" s="234"/>
      <c r="B6784" s="238" t="str">
        <f>IFERROR(__xludf.DUMMYFUNCTION("""COMPUTED_VALUE"""),"LM Hub_SP_Guarujá")</f>
        <v>LM Hub_SP_Guarujá</v>
      </c>
      <c r="C6784" s="238" t="str">
        <f>IFERROR(__xludf.DUMMYFUNCTION("""COMPUTED_VALUE"""),"HUB-LSP-06")</f>
        <v>HUB-LSP-06</v>
      </c>
      <c r="D6784" s="234">
        <f>IFERROR(__xludf.DUMMYFUNCTION("""COMPUTED_VALUE"""),36.0)</f>
        <v>36</v>
      </c>
      <c r="E6784" s="237" t="str">
        <f>IFERROR(__xludf.DUMMYFUNCTION("""COMPUTED_VALUE"""),"LT0Q2501XVZR1")</f>
        <v>LT0Q2501XVZR1</v>
      </c>
      <c r="F6784" s="238" t="str">
        <f>IFERROR(__xludf.DUMMYFUNCTION("""COMPUTED_VALUE"""),"UFB1B50")</f>
        <v>UFB1B50</v>
      </c>
      <c r="G6784" s="238">
        <f>IFERROR(__xludf.DUMMYFUNCTION("""COMPUTED_VALUE"""),46058.90972222222)</f>
        <v>46058.90972</v>
      </c>
      <c r="H6784" s="238">
        <f>IFERROR(__xludf.DUMMYFUNCTION("""COMPUTED_VALUE"""),46058.99930555555)</f>
        <v>46058.99931</v>
      </c>
      <c r="J6784" s="239">
        <v>119.99999999301508</v>
      </c>
    </row>
    <row r="6785">
      <c r="A6785" s="234"/>
      <c r="B6785" s="238" t="str">
        <f>IFERROR(__xludf.DUMMYFUNCTION("""COMPUTED_VALUE"""),"LM Hub_RS_Porto Alegre_Floresta")</f>
        <v>LM Hub_RS_Porto Alegre_Floresta</v>
      </c>
      <c r="C6785" s="238" t="str">
        <f>IFERROR(__xludf.DUMMYFUNCTION("""COMPUTED_VALUE"""),"HUB-LRS-03")</f>
        <v>HUB-LRS-03</v>
      </c>
      <c r="D6785" s="234">
        <f>IFERROR(__xludf.DUMMYFUNCTION("""COMPUTED_VALUE"""),115.0)</f>
        <v>115</v>
      </c>
      <c r="E6785" s="237" t="str">
        <f>IFERROR(__xludf.DUMMYFUNCTION("""COMPUTED_VALUE"""),"LT0Q2501Y26K1")</f>
        <v>LT0Q2501Y26K1</v>
      </c>
      <c r="F6785" s="238" t="str">
        <f>IFERROR(__xludf.DUMMYFUNCTION("""COMPUTED_VALUE"""),"JDE3J54,JBD8B47")</f>
        <v>JDE3J54,JBD8B47</v>
      </c>
      <c r="G6785" s="238">
        <f>IFERROR(__xludf.DUMMYFUNCTION("""COMPUTED_VALUE"""),46058.91666666667)</f>
        <v>46058.91667</v>
      </c>
      <c r="H6785" s="238">
        <f>IFERROR(__xludf.DUMMYFUNCTION("""COMPUTED_VALUE"""),46059.0)</f>
        <v>46059</v>
      </c>
      <c r="J6785" s="239">
        <v>119.99999999301508</v>
      </c>
    </row>
    <row r="6786">
      <c r="A6786" s="234"/>
      <c r="B6786" s="238" t="str">
        <f>IFERROR(__xludf.DUMMYFUNCTION("""COMPUTED_VALUE"""),"LM Hub_SP_Artur Alvim")</f>
        <v>LM Hub_SP_Artur Alvim</v>
      </c>
      <c r="C6786" s="238" t="str">
        <f>IFERROR(__xludf.DUMMYFUNCTION("""COMPUTED_VALUE"""),"HUB-LSP-07")</f>
        <v>HUB-LSP-07</v>
      </c>
      <c r="D6786" s="234">
        <f>IFERROR(__xludf.DUMMYFUNCTION("""COMPUTED_VALUE"""),14.0)</f>
        <v>14</v>
      </c>
      <c r="E6786" s="237" t="str">
        <f>IFERROR(__xludf.DUMMYFUNCTION("""COMPUTED_VALUE"""),"LT0Q2501XVWX1")</f>
        <v>LT0Q2501XVWX1</v>
      </c>
      <c r="F6786" s="238" t="str">
        <f>IFERROR(__xludf.DUMMYFUNCTION("""COMPUTED_VALUE"""),"EGK6F67,NGX1F13")</f>
        <v>EGK6F67,NGX1F13</v>
      </c>
      <c r="G6786" s="238">
        <f>IFERROR(__xludf.DUMMYFUNCTION("""COMPUTED_VALUE"""),46058.91666666667)</f>
        <v>46058.91667</v>
      </c>
      <c r="H6786" s="238">
        <f>IFERROR(__xludf.DUMMYFUNCTION("""COMPUTED_VALUE"""),46059.0)</f>
        <v>46059</v>
      </c>
      <c r="J6786" s="239">
        <v>119.99999999301508</v>
      </c>
    </row>
    <row r="6787">
      <c r="A6787" s="234"/>
      <c r="B6787" s="238" t="str">
        <f>IFERROR(__xludf.DUMMYFUNCTION("""COMPUTED_VALUE"""),"LM Hub_SP_Barueri_01")</f>
        <v>LM Hub_SP_Barueri_01</v>
      </c>
      <c r="C6787" s="238" t="str">
        <f>IFERROR(__xludf.DUMMYFUNCTION("""COMPUTED_VALUE"""),"HUB-LSP-81")</f>
        <v>HUB-LSP-81</v>
      </c>
      <c r="D6787" s="234">
        <f>IFERROR(__xludf.DUMMYFUNCTION("""COMPUTED_VALUE"""),17.0)</f>
        <v>17</v>
      </c>
      <c r="E6787" s="237" t="str">
        <f>IFERROR(__xludf.DUMMYFUNCTION("""COMPUTED_VALUE"""),"LT0Q2501Y0ZF1")</f>
        <v>LT0Q2501Y0ZF1</v>
      </c>
      <c r="F6787" s="238" t="str">
        <f>IFERROR(__xludf.DUMMYFUNCTION("""COMPUTED_VALUE"""),"FRO3D47,EWU4B46")</f>
        <v>FRO3D47,EWU4B46</v>
      </c>
      <c r="G6787" s="238">
        <f>IFERROR(__xludf.DUMMYFUNCTION("""COMPUTED_VALUE"""),46058.91666666667)</f>
        <v>46058.91667</v>
      </c>
      <c r="H6787" s="238">
        <f>IFERROR(__xludf.DUMMYFUNCTION("""COMPUTED_VALUE"""),46059.0)</f>
        <v>46059</v>
      </c>
      <c r="J6787" s="239">
        <v>119.99999999301508</v>
      </c>
    </row>
    <row r="6788">
      <c r="A6788" s="234"/>
      <c r="B6788" s="238" t="str">
        <f>IFERROR(__xludf.DUMMYFUNCTION("""COMPUTED_VALUE"""),"LM Hub_SP_Jundiaí")</f>
        <v>LM Hub_SP_Jundiaí</v>
      </c>
      <c r="C6788" s="238" t="str">
        <f>IFERROR(__xludf.DUMMYFUNCTION("""COMPUTED_VALUE"""),"HUB-LSP-100")</f>
        <v>HUB-LSP-100</v>
      </c>
      <c r="D6788" s="234">
        <f>IFERROR(__xludf.DUMMYFUNCTION("""COMPUTED_VALUE"""),16.0)</f>
        <v>16</v>
      </c>
      <c r="E6788" s="237" t="str">
        <f>IFERROR(__xludf.DUMMYFUNCTION("""COMPUTED_VALUE"""),"LT0Q2501Y2H71")</f>
        <v>LT0Q2501Y2H71</v>
      </c>
      <c r="F6788" s="238" t="str">
        <f>IFERROR(__xludf.DUMMYFUNCTION("""COMPUTED_VALUE"""),"GEP5G42,TLK7J13")</f>
        <v>GEP5G42,TLK7J13</v>
      </c>
      <c r="G6788" s="238">
        <f>IFERROR(__xludf.DUMMYFUNCTION("""COMPUTED_VALUE"""),46058.91666666667)</f>
        <v>46058.91667</v>
      </c>
      <c r="H6788" s="238">
        <f>IFERROR(__xludf.DUMMYFUNCTION("""COMPUTED_VALUE"""),46059.0)</f>
        <v>46059</v>
      </c>
      <c r="J6788" s="239">
        <v>119.99999999301508</v>
      </c>
    </row>
    <row r="6789">
      <c r="A6789" s="234"/>
      <c r="B6789" s="238" t="str">
        <f>IFERROR(__xludf.DUMMYFUNCTION("""COMPUTED_VALUE"""),"LM Hub_SP_Mauá")</f>
        <v>LM Hub_SP_Mauá</v>
      </c>
      <c r="C6789" s="238" t="str">
        <f>IFERROR(__xludf.DUMMYFUNCTION("""COMPUTED_VALUE"""),"HUB-LSP-64")</f>
        <v>HUB-LSP-64</v>
      </c>
      <c r="D6789" s="234">
        <f>IFERROR(__xludf.DUMMYFUNCTION("""COMPUTED_VALUE"""),37.0)</f>
        <v>37</v>
      </c>
      <c r="E6789" s="237" t="str">
        <f>IFERROR(__xludf.DUMMYFUNCTION("""COMPUTED_VALUE"""),"LT0Q2501XVYK1")</f>
        <v>LT0Q2501XVYK1</v>
      </c>
      <c r="F6789" s="238" t="str">
        <f>IFERROR(__xludf.DUMMYFUNCTION("""COMPUTED_VALUE"""),"LLM1I97,AOF6828")</f>
        <v>LLM1I97,AOF6828</v>
      </c>
      <c r="G6789" s="238">
        <f>IFERROR(__xludf.DUMMYFUNCTION("""COMPUTED_VALUE"""),46058.91666666667)</f>
        <v>46058.91667</v>
      </c>
      <c r="H6789" s="238">
        <f>IFERROR(__xludf.DUMMYFUNCTION("""COMPUTED_VALUE"""),46059.0)</f>
        <v>46059</v>
      </c>
      <c r="J6789" s="239">
        <v>119.99999999301508</v>
      </c>
    </row>
    <row r="6790">
      <c r="A6790" s="234"/>
      <c r="B6790" s="238" t="str">
        <f>IFERROR(__xludf.DUMMYFUNCTION("""COMPUTED_VALUE"""),"LM Hub_SP_Santo André")</f>
        <v>LM Hub_SP_Santo André</v>
      </c>
      <c r="C6790" s="238" t="str">
        <f>IFERROR(__xludf.DUMMYFUNCTION("""COMPUTED_VALUE"""),"HUB-LSP-93")</f>
        <v>HUB-LSP-93</v>
      </c>
      <c r="D6790" s="234">
        <f>IFERROR(__xludf.DUMMYFUNCTION("""COMPUTED_VALUE"""),21.0)</f>
        <v>21</v>
      </c>
      <c r="E6790" s="237" t="str">
        <f>IFERROR(__xludf.DUMMYFUNCTION("""COMPUTED_VALUE"""),"LT0Q2501XYEG1")</f>
        <v>LT0Q2501XYEG1</v>
      </c>
      <c r="F6790" s="238" t="str">
        <f>IFERROR(__xludf.DUMMYFUNCTION("""COMPUTED_VALUE"""),"FXQ8H67,EZL9D42")</f>
        <v>FXQ8H67,EZL9D42</v>
      </c>
      <c r="G6790" s="238">
        <f>IFERROR(__xludf.DUMMYFUNCTION("""COMPUTED_VALUE"""),46058.91666666667)</f>
        <v>46058.91667</v>
      </c>
      <c r="H6790" s="238">
        <f>IFERROR(__xludf.DUMMYFUNCTION("""COMPUTED_VALUE"""),46059.0)</f>
        <v>46059</v>
      </c>
      <c r="J6790" s="239">
        <v>119.99999999301508</v>
      </c>
    </row>
    <row r="6791">
      <c r="A6791" s="234"/>
      <c r="B6791" s="238" t="str">
        <f>IFERROR(__xludf.DUMMYFUNCTION("""COMPUTED_VALUE"""),"SoC_SP_Guarulhos")</f>
        <v>SoC_SP_Guarulhos</v>
      </c>
      <c r="C6791" s="238" t="str">
        <f>IFERROR(__xludf.DUMMYFUNCTION("""COMPUTED_VALUE"""),"SOC-SP6")</f>
        <v>SOC-SP6</v>
      </c>
      <c r="D6791" s="234">
        <f>IFERROR(__xludf.DUMMYFUNCTION("""COMPUTED_VALUE"""),35.0)</f>
        <v>35</v>
      </c>
      <c r="E6791" s="237" t="str">
        <f>IFERROR(__xludf.DUMMYFUNCTION("""COMPUTED_VALUE"""),"LT1Q2501YCZK1")</f>
        <v>LT1Q2501YCZK1</v>
      </c>
      <c r="F6791" s="238" t="str">
        <f>IFERROR(__xludf.DUMMYFUNCTION("""COMPUTED_VALUE"""),"ISW3H16,FVD1B93")</f>
        <v>ISW3H16,FVD1B93</v>
      </c>
      <c r="G6791" s="238">
        <f>IFERROR(__xludf.DUMMYFUNCTION("""COMPUTED_VALUE"""),46058.91666666667)</f>
        <v>46058.91667</v>
      </c>
      <c r="H6791" s="238">
        <f>IFERROR(__xludf.DUMMYFUNCTION("""COMPUTED_VALUE"""),46059.0)</f>
        <v>46059</v>
      </c>
      <c r="J6791" s="239">
        <v>119.99999999301508</v>
      </c>
    </row>
    <row r="6792">
      <c r="A6792" s="234"/>
      <c r="B6792" s="238" t="str">
        <f>IFERROR(__xludf.DUMMYFUNCTION("""COMPUTED_VALUE"""),"SoC_SP_Louveira")</f>
        <v>SoC_SP_Louveira</v>
      </c>
      <c r="C6792" s="238" t="str">
        <f>IFERROR(__xludf.DUMMYFUNCTION("""COMPUTED_VALUE"""),"SOC-SP7")</f>
        <v>SOC-SP7</v>
      </c>
      <c r="D6792" s="234">
        <f>IFERROR(__xludf.DUMMYFUNCTION("""COMPUTED_VALUE"""),38.0)</f>
        <v>38</v>
      </c>
      <c r="E6792" s="237" t="str">
        <f>IFERROR(__xludf.DUMMYFUNCTION("""COMPUTED_VALUE"""),"LT1Q2501YCEG1")</f>
        <v>LT1Q2501YCEG1</v>
      </c>
      <c r="F6792" s="238" t="str">
        <f>IFERROR(__xludf.DUMMYFUNCTION("""COMPUTED_VALUE"""),"DPF0B69,CSP4A88")</f>
        <v>DPF0B69,CSP4A88</v>
      </c>
      <c r="G6792" s="238">
        <f>IFERROR(__xludf.DUMMYFUNCTION("""COMPUTED_VALUE"""),46058.91666666667)</f>
        <v>46058.91667</v>
      </c>
      <c r="H6792" s="238">
        <f>IFERROR(__xludf.DUMMYFUNCTION("""COMPUTED_VALUE"""),46059.0)</f>
        <v>46059</v>
      </c>
      <c r="J6792" s="239">
        <v>119.00000000023283</v>
      </c>
    </row>
    <row r="6793">
      <c r="A6793" s="234"/>
      <c r="B6793" s="238" t="str">
        <f>IFERROR(__xludf.DUMMYFUNCTION("""COMPUTED_VALUE"""),"LM Hub_SP_Guarulhos")</f>
        <v>LM Hub_SP_Guarulhos</v>
      </c>
      <c r="C6793" s="238" t="str">
        <f>IFERROR(__xludf.DUMMYFUNCTION("""COMPUTED_VALUE"""),"HUB-LSP-77")</f>
        <v>HUB-LSP-77</v>
      </c>
      <c r="D6793" s="234">
        <f>IFERROR(__xludf.DUMMYFUNCTION("""COMPUTED_VALUE"""),26.0)</f>
        <v>26</v>
      </c>
      <c r="E6793" s="237" t="str">
        <f>IFERROR(__xludf.DUMMYFUNCTION("""COMPUTED_VALUE"""),"LT0Q2501XWQJ2")</f>
        <v>LT0Q2501XWQJ2</v>
      </c>
      <c r="F6793" s="238" t="str">
        <f>IFERROR(__xludf.DUMMYFUNCTION("""COMPUTED_VALUE"""),"CUE1J71,GLB6C22")</f>
        <v>CUE1J71,GLB6C22</v>
      </c>
      <c r="G6793" s="238">
        <f>IFERROR(__xludf.DUMMYFUNCTION("""COMPUTED_VALUE"""),46058.91736111111)</f>
        <v>46058.91736</v>
      </c>
      <c r="H6793" s="238">
        <f>IFERROR(__xludf.DUMMYFUNCTION("""COMPUTED_VALUE"""),46059.0)</f>
        <v>46059</v>
      </c>
      <c r="J6793" s="239">
        <v>119.00000000023283</v>
      </c>
    </row>
    <row r="6794">
      <c r="A6794" s="234"/>
      <c r="B6794" s="238" t="str">
        <f>IFERROR(__xludf.DUMMYFUNCTION("""COMPUTED_VALUE"""),"LM Hub_SP_Mooca_02")</f>
        <v>LM Hub_SP_Mooca_02</v>
      </c>
      <c r="C6794" s="238" t="str">
        <f>IFERROR(__xludf.DUMMYFUNCTION("""COMPUTED_VALUE"""),"HUB-LSP-94")</f>
        <v>HUB-LSP-94</v>
      </c>
      <c r="D6794" s="234">
        <f>IFERROR(__xludf.DUMMYFUNCTION("""COMPUTED_VALUE"""),49.0)</f>
        <v>49</v>
      </c>
      <c r="E6794" s="237" t="str">
        <f>IFERROR(__xludf.DUMMYFUNCTION("""COMPUTED_VALUE"""),"LT0Q2501Y73K1")</f>
        <v>LT0Q2501Y73K1</v>
      </c>
      <c r="F6794" s="238" t="str">
        <f>IFERROR(__xludf.DUMMYFUNCTION("""COMPUTED_VALUE"""),"FPX2D52")</f>
        <v>FPX2D52</v>
      </c>
      <c r="G6794" s="238">
        <f>IFERROR(__xludf.DUMMYFUNCTION("""COMPUTED_VALUE"""),46058.91736111111)</f>
        <v>46058.91736</v>
      </c>
      <c r="H6794" s="238">
        <f>IFERROR(__xludf.DUMMYFUNCTION("""COMPUTED_VALUE"""),46059.0)</f>
        <v>46059</v>
      </c>
      <c r="J6794" s="239">
        <v>119.99999999301508</v>
      </c>
    </row>
    <row r="6795">
      <c r="A6795" s="234"/>
      <c r="B6795" s="238" t="str">
        <f>IFERROR(__xludf.DUMMYFUNCTION("""COMPUTED_VALUE"""),"LM Hub_SP_Jardim Adriana")</f>
        <v>LM Hub_SP_Jardim Adriana</v>
      </c>
      <c r="C6795" s="238" t="str">
        <f>IFERROR(__xludf.DUMMYFUNCTION("""COMPUTED_VALUE"""),"HUB-LSP-12")</f>
        <v>HUB-LSP-12</v>
      </c>
      <c r="D6795" s="234">
        <f>IFERROR(__xludf.DUMMYFUNCTION("""COMPUTED_VALUE"""),13.0)</f>
        <v>13</v>
      </c>
      <c r="E6795" s="237" t="str">
        <f>IFERROR(__xludf.DUMMYFUNCTION("""COMPUTED_VALUE"""),"LT0Q2501XVX41")</f>
        <v>LT0Q2501XVX41</v>
      </c>
      <c r="F6795" s="238" t="str">
        <f>IFERROR(__xludf.DUMMYFUNCTION("""COMPUTED_VALUE"""),"IYS3C29")</f>
        <v>IYS3C29</v>
      </c>
      <c r="G6795" s="238">
        <f>IFERROR(__xludf.DUMMYFUNCTION("""COMPUTED_VALUE"""),46058.9375)</f>
        <v>46058.9375</v>
      </c>
      <c r="H6795" s="238">
        <f>IFERROR(__xludf.DUMMYFUNCTION("""COMPUTED_VALUE"""),46059.02083333333)</f>
        <v>46059.02083</v>
      </c>
      <c r="J6795" s="239">
        <v>119.99999999301508</v>
      </c>
    </row>
    <row r="6796">
      <c r="A6796" s="234"/>
      <c r="B6796" s="238" t="str">
        <f>IFERROR(__xludf.DUMMYFUNCTION("""COMPUTED_VALUE"""),"LM Hub_SP_Parque Novo Mundo")</f>
        <v>LM Hub_SP_Parque Novo Mundo</v>
      </c>
      <c r="C6796" s="238" t="str">
        <f>IFERROR(__xludf.DUMMYFUNCTION("""COMPUTED_VALUE"""),"HUB-LSP-89")</f>
        <v>HUB-LSP-89</v>
      </c>
      <c r="D6796" s="234">
        <f>IFERROR(__xludf.DUMMYFUNCTION("""COMPUTED_VALUE"""),22.0)</f>
        <v>22</v>
      </c>
      <c r="E6796" s="237" t="str">
        <f>IFERROR(__xludf.DUMMYFUNCTION("""COMPUTED_VALUE"""),"LT0Q2501XWX91")</f>
        <v>LT0Q2501XWX91</v>
      </c>
      <c r="F6796" s="238" t="str">
        <f>IFERROR(__xludf.DUMMYFUNCTION("""COMPUTED_VALUE"""),"CVN5G56,OPD3C39")</f>
        <v>CVN5G56,OPD3C39</v>
      </c>
      <c r="G6796" s="238">
        <f>IFERROR(__xludf.DUMMYFUNCTION("""COMPUTED_VALUE"""),46058.9375)</f>
        <v>46058.9375</v>
      </c>
      <c r="H6796" s="238">
        <f>IFERROR(__xludf.DUMMYFUNCTION("""COMPUTED_VALUE"""),46059.02083333333)</f>
        <v>46059.02083</v>
      </c>
      <c r="J6796" s="239">
        <v>119.99999999301508</v>
      </c>
    </row>
    <row r="6797">
      <c r="A6797" s="234"/>
      <c r="B6797" s="238" t="str">
        <f>IFERROR(__xludf.DUMMYFUNCTION("""COMPUTED_VALUE"""),"LM Hub_SP_Piracicaba")</f>
        <v>LM Hub_SP_Piracicaba</v>
      </c>
      <c r="C6797" s="238" t="str">
        <f>IFERROR(__xludf.DUMMYFUNCTION("""COMPUTED_VALUE"""),"HUB-LSP-62")</f>
        <v>HUB-LSP-62</v>
      </c>
      <c r="D6797" s="234"/>
      <c r="E6797" s="237" t="str">
        <f>IFERROR(__xludf.DUMMYFUNCTION("""COMPUTED_VALUE"""),"LT0Q2501XWQT1")</f>
        <v>LT0Q2501XWQT1</v>
      </c>
      <c r="F6797" s="238" t="str">
        <f>IFERROR(__xludf.DUMMYFUNCTION("""COMPUTED_VALUE"""),"OMY3I62,OMY3I63")</f>
        <v>OMY3I62,OMY3I63</v>
      </c>
      <c r="G6797" s="238">
        <f>IFERROR(__xludf.DUMMYFUNCTION("""COMPUTED_VALUE"""),46058.9375)</f>
        <v>46058.9375</v>
      </c>
      <c r="H6797" s="238">
        <f>IFERROR(__xludf.DUMMYFUNCTION("""COMPUTED_VALUE"""),46059.02083333333)</f>
        <v>46059.02083</v>
      </c>
      <c r="J6797" s="239">
        <v>119.99999999301508</v>
      </c>
    </row>
    <row r="6798">
      <c r="A6798" s="234"/>
      <c r="B6798" s="238" t="str">
        <f>IFERROR(__xludf.DUMMYFUNCTION("""COMPUTED_VALUE"""),"LM Hub_SP_Sorocaba_Região Norte")</f>
        <v>LM Hub_SP_Sorocaba_Região Norte</v>
      </c>
      <c r="C6798" s="238" t="str">
        <f>IFERROR(__xludf.DUMMYFUNCTION("""COMPUTED_VALUE"""),"HUB-LSP-10")</f>
        <v>HUB-LSP-10</v>
      </c>
      <c r="D6798" s="234">
        <f>IFERROR(__xludf.DUMMYFUNCTION("""COMPUTED_VALUE"""),9.0)</f>
        <v>9</v>
      </c>
      <c r="E6798" s="237" t="str">
        <f>IFERROR(__xludf.DUMMYFUNCTION("""COMPUTED_VALUE"""),"LT0Q2501XW171")</f>
        <v>LT0Q2501XW171</v>
      </c>
      <c r="F6798" s="238" t="str">
        <f>IFERROR(__xludf.DUMMYFUNCTION("""COMPUTED_VALUE"""),"UAV9I99,TPO9A25")</f>
        <v>UAV9I99,TPO9A25</v>
      </c>
      <c r="G6798" s="238">
        <f>IFERROR(__xludf.DUMMYFUNCTION("""COMPUTED_VALUE"""),46058.9375)</f>
        <v>46058.9375</v>
      </c>
      <c r="H6798" s="238">
        <f>IFERROR(__xludf.DUMMYFUNCTION("""COMPUTED_VALUE"""),46059.02083333333)</f>
        <v>46059.02083</v>
      </c>
      <c r="J6798" s="239">
        <v>119.99999999301508</v>
      </c>
    </row>
    <row r="6799">
      <c r="A6799" s="234"/>
      <c r="B6799" s="238" t="str">
        <f>IFERROR(__xludf.DUMMYFUNCTION("""COMPUTED_VALUE"""),"LM Hub_SP_Suzano_Baruel")</f>
        <v>LM Hub_SP_Suzano_Baruel</v>
      </c>
      <c r="C6799" s="238" t="str">
        <f>IFERROR(__xludf.DUMMYFUNCTION("""COMPUTED_VALUE"""),"HUB-LSP-97")</f>
        <v>HUB-LSP-97</v>
      </c>
      <c r="D6799" s="234">
        <f>IFERROR(__xludf.DUMMYFUNCTION("""COMPUTED_VALUE"""),15.0)</f>
        <v>15</v>
      </c>
      <c r="E6799" s="237" t="str">
        <f>IFERROR(__xludf.DUMMYFUNCTION("""COMPUTED_VALUE"""),"LT0Q2501Y2U81")</f>
        <v>LT0Q2501Y2U81</v>
      </c>
      <c r="F6799" s="238" t="str">
        <f>IFERROR(__xludf.DUMMYFUNCTION("""COMPUTED_VALUE"""),"ODE7J96,UGA3J73")</f>
        <v>ODE7J96,UGA3J73</v>
      </c>
      <c r="G6799" s="238">
        <f>IFERROR(__xludf.DUMMYFUNCTION("""COMPUTED_VALUE"""),46058.9375)</f>
        <v>46058.9375</v>
      </c>
      <c r="H6799" s="238">
        <f>IFERROR(__xludf.DUMMYFUNCTION("""COMPUTED_VALUE"""),46059.02083333333)</f>
        <v>46059.02083</v>
      </c>
      <c r="J6799" s="239">
        <v>118.99999998975545</v>
      </c>
    </row>
    <row r="6800">
      <c r="A6800" s="234"/>
      <c r="B6800" s="238" t="str">
        <f>IFERROR(__xludf.DUMMYFUNCTION("""COMPUTED_VALUE"""),"LM Hub_SP_VilaGuilherme")</f>
        <v>LM Hub_SP_VilaGuilherme</v>
      </c>
      <c r="C6800" s="238" t="str">
        <f>IFERROR(__xludf.DUMMYFUNCTION("""COMPUTED_VALUE"""),"HUB-LSP-68")</f>
        <v>HUB-LSP-68</v>
      </c>
      <c r="D6800" s="234">
        <f>IFERROR(__xludf.DUMMYFUNCTION("""COMPUTED_VALUE"""),34.0)</f>
        <v>34</v>
      </c>
      <c r="E6800" s="237" t="str">
        <f>IFERROR(__xludf.DUMMYFUNCTION("""COMPUTED_VALUE"""),"LT0Q2501Y59R1")</f>
        <v>LT0Q2501Y59R1</v>
      </c>
      <c r="F6800" s="238" t="str">
        <f>IFERROR(__xludf.DUMMYFUNCTION("""COMPUTED_VALUE"""),"HFD4H27,JXG9745")</f>
        <v>HFD4H27,JXG9745</v>
      </c>
      <c r="G6800" s="238">
        <f>IFERROR(__xludf.DUMMYFUNCTION("""COMPUTED_VALUE"""),46058.93819444445)</f>
        <v>46058.93819</v>
      </c>
      <c r="H6800" s="238">
        <f>IFERROR(__xludf.DUMMYFUNCTION("""COMPUTED_VALUE"""),46059.02083333333)</f>
        <v>46059.02083</v>
      </c>
      <c r="J6800" s="239">
        <v>118.99999998975545</v>
      </c>
    </row>
    <row r="6801">
      <c r="A6801" s="234"/>
      <c r="B6801" s="238" t="str">
        <f>IFERROR(__xludf.DUMMYFUNCTION("""COMPUTED_VALUE"""),"LM Hub_SP_São Paulo_Carandiru")</f>
        <v>LM Hub_SP_São Paulo_Carandiru</v>
      </c>
      <c r="C6801" s="238" t="str">
        <f>IFERROR(__xludf.DUMMYFUNCTION("""COMPUTED_VALUE"""),"HUB-LSP-18")</f>
        <v>HUB-LSP-18</v>
      </c>
      <c r="D6801" s="234">
        <f>IFERROR(__xludf.DUMMYFUNCTION("""COMPUTED_VALUE"""),24.0)</f>
        <v>24</v>
      </c>
      <c r="E6801" s="237" t="str">
        <f>IFERROR(__xludf.DUMMYFUNCTION("""COMPUTED_VALUE"""),"LT0Q2501XVXR1")</f>
        <v>LT0Q2501XVXR1</v>
      </c>
      <c r="F6801" s="238" t="str">
        <f>IFERROR(__xludf.DUMMYFUNCTION("""COMPUTED_VALUE"""),"EKH3880")</f>
        <v>EKH3880</v>
      </c>
      <c r="G6801" s="238">
        <f>IFERROR(__xludf.DUMMYFUNCTION("""COMPUTED_VALUE"""),46058.93819444445)</f>
        <v>46058.93819</v>
      </c>
      <c r="H6801" s="238">
        <f>IFERROR(__xludf.DUMMYFUNCTION("""COMPUTED_VALUE"""),46059.02083333333)</f>
        <v>46059.02083</v>
      </c>
      <c r="J6801" s="239">
        <v>540.0</v>
      </c>
    </row>
    <row r="6802">
      <c r="A6802" s="234"/>
      <c r="B6802" s="238" t="str">
        <f>IFERROR(__xludf.DUMMYFUNCTION("""COMPUTED_VALUE"""),"SoC_PR_Curitiba")</f>
        <v>SoC_PR_Curitiba</v>
      </c>
      <c r="C6802" s="238" t="str">
        <f>IFERROR(__xludf.DUMMYFUNCTION("""COMPUTED_VALUE"""),"SOC-PR1")</f>
        <v>SOC-PR1</v>
      </c>
      <c r="D6802" s="234">
        <f>IFERROR(__xludf.DUMMYFUNCTION("""COMPUTED_VALUE"""),38.0)</f>
        <v>38</v>
      </c>
      <c r="E6802" s="237" t="str">
        <f>IFERROR(__xludf.DUMMYFUNCTION("""COMPUTED_VALUE"""),"LT0Q2501XVUC1")</f>
        <v>LT0Q2501XVUC1</v>
      </c>
      <c r="F6802" s="238" t="str">
        <f>IFERROR(__xludf.DUMMYFUNCTION("""COMPUTED_VALUE"""),"SXP3I83,SXP3F63")</f>
        <v>SXP3I83,SXP3F63</v>
      </c>
      <c r="G6802" s="238">
        <f>IFERROR(__xludf.DUMMYFUNCTION("""COMPUTED_VALUE"""),46058.66666666667)</f>
        <v>46058.66667</v>
      </c>
      <c r="H6802" s="238">
        <f>IFERROR(__xludf.DUMMYFUNCTION("""COMPUTED_VALUE"""),46059.04166666667)</f>
        <v>46059.04167</v>
      </c>
      <c r="J6802" s="239">
        <v>540.0</v>
      </c>
    </row>
    <row r="6803">
      <c r="A6803" s="234"/>
      <c r="B6803" s="238" t="str">
        <f>IFERROR(__xludf.DUMMYFUNCTION("""COMPUTED_VALUE"""),"SoC_SP_Cravinhos")</f>
        <v>SoC_SP_Cravinhos</v>
      </c>
      <c r="C6803" s="238" t="str">
        <f>IFERROR(__xludf.DUMMYFUNCTION("""COMPUTED_VALUE"""),"SOC-SP5")</f>
        <v>SOC-SP5</v>
      </c>
      <c r="D6803" s="234" t="str">
        <f>IFERROR(__xludf.DUMMYFUNCTION("""COMPUTED_VALUE"""),"94/42")</f>
        <v>94/42</v>
      </c>
      <c r="E6803" s="237" t="str">
        <f>IFERROR(__xludf.DUMMYFUNCTION("""COMPUTED_VALUE"""),"LT0Q2501XVVB3")</f>
        <v>LT0Q2501XVVB3</v>
      </c>
      <c r="F6803" s="238" t="str">
        <f>IFERROR(__xludf.DUMMYFUNCTION("""COMPUTED_VALUE"""),"DQG8I95,TKJ4H92")</f>
        <v>DQG8I95,TKJ4H92</v>
      </c>
      <c r="G6803" s="238">
        <f>IFERROR(__xludf.DUMMYFUNCTION("""COMPUTED_VALUE"""),46058.66666666667)</f>
        <v>46058.66667</v>
      </c>
      <c r="H6803" s="238">
        <f>IFERROR(__xludf.DUMMYFUNCTION("""COMPUTED_VALUE"""),46059.04166666667)</f>
        <v>46059.04167</v>
      </c>
      <c r="J6803" s="239">
        <v>120.00000001396984</v>
      </c>
    </row>
    <row r="6804">
      <c r="A6804" s="234"/>
      <c r="B6804" s="238" t="str">
        <f>IFERROR(__xludf.DUMMYFUNCTION("""COMPUTED_VALUE"""),"LM Hub_RJ_Nova Iguaçu")</f>
        <v>LM Hub_RJ_Nova Iguaçu</v>
      </c>
      <c r="C6804" s="238" t="str">
        <f>IFERROR(__xludf.DUMMYFUNCTION("""COMPUTED_VALUE"""),"HUB-LRJ-27")</f>
        <v>HUB-LRJ-27</v>
      </c>
      <c r="D6804" s="234">
        <f>IFERROR(__xludf.DUMMYFUNCTION("""COMPUTED_VALUE"""),113.0)</f>
        <v>113</v>
      </c>
      <c r="E6804" s="237" t="str">
        <f>IFERROR(__xludf.DUMMYFUNCTION("""COMPUTED_VALUE"""),"LT0Q2501Y1JI1")</f>
        <v>LT0Q2501Y1JI1</v>
      </c>
      <c r="F6804" s="238" t="str">
        <f>IFERROR(__xludf.DUMMYFUNCTION("""COMPUTED_VALUE"""),"UAV2C09,TKD4F85")</f>
        <v>UAV2C09,TKD4F85</v>
      </c>
      <c r="G6804" s="238">
        <f>IFERROR(__xludf.DUMMYFUNCTION("""COMPUTED_VALUE"""),46058.95833333333)</f>
        <v>46058.95833</v>
      </c>
      <c r="H6804" s="238">
        <f>IFERROR(__xludf.DUMMYFUNCTION("""COMPUTED_VALUE"""),46059.04166666667)</f>
        <v>46059.04167</v>
      </c>
      <c r="J6804" s="239">
        <v>120.00000001396984</v>
      </c>
    </row>
    <row r="6805">
      <c r="A6805" s="234"/>
      <c r="B6805" s="238" t="str">
        <f>IFERROR(__xludf.DUMMYFUNCTION("""COMPUTED_VALUE"""),"LM Hub_RJ_Rio de Janeiro_Campo G")</f>
        <v>LM Hub_RJ_Rio de Janeiro_Campo G</v>
      </c>
      <c r="C6805" s="238" t="str">
        <f>IFERROR(__xludf.DUMMYFUNCTION("""COMPUTED_VALUE"""),"HUB-LRJ-04")</f>
        <v>HUB-LRJ-04</v>
      </c>
      <c r="D6805" s="234">
        <f>IFERROR(__xludf.DUMMYFUNCTION("""COMPUTED_VALUE"""),112.0)</f>
        <v>112</v>
      </c>
      <c r="E6805" s="237" t="str">
        <f>IFERROR(__xludf.DUMMYFUNCTION("""COMPUTED_VALUE"""),"LT0Q2501XW491")</f>
        <v>LT0Q2501XW491</v>
      </c>
      <c r="F6805" s="238" t="str">
        <f>IFERROR(__xludf.DUMMYFUNCTION("""COMPUTED_VALUE"""),"STT6F82,TMA0E59")</f>
        <v>STT6F82,TMA0E59</v>
      </c>
      <c r="G6805" s="238">
        <f>IFERROR(__xludf.DUMMYFUNCTION("""COMPUTED_VALUE"""),46058.95833333333)</f>
        <v>46058.95833</v>
      </c>
      <c r="H6805" s="238">
        <f>IFERROR(__xludf.DUMMYFUNCTION("""COMPUTED_VALUE"""),46059.04166666667)</f>
        <v>46059.04167</v>
      </c>
      <c r="J6805" s="239">
        <v>120.00000001396984</v>
      </c>
    </row>
    <row r="6806">
      <c r="A6806" s="234"/>
      <c r="B6806" s="238" t="str">
        <f>IFERROR(__xludf.DUMMYFUNCTION("""COMPUTED_VALUE"""),"LM Hub_RJ_São João do Meriti")</f>
        <v>LM Hub_RJ_São João do Meriti</v>
      </c>
      <c r="C6806" s="238" t="str">
        <f>IFERROR(__xludf.DUMMYFUNCTION("""COMPUTED_VALUE"""),"HUB-LRJ-01")</f>
        <v>HUB-LRJ-01</v>
      </c>
      <c r="D6806" s="234">
        <f>IFERROR(__xludf.DUMMYFUNCTION("""COMPUTED_VALUE"""),111.0)</f>
        <v>111</v>
      </c>
      <c r="E6806" s="237" t="str">
        <f>IFERROR(__xludf.DUMMYFUNCTION("""COMPUTED_VALUE"""),"LT0Q2501Y1KF1")</f>
        <v>LT0Q2501Y1KF1</v>
      </c>
      <c r="F6806" s="238" t="str">
        <f>IFERROR(__xludf.DUMMYFUNCTION("""COMPUTED_VALUE"""),"OCM6152,EGJ5I04")</f>
        <v>OCM6152,EGJ5I04</v>
      </c>
      <c r="G6806" s="238">
        <f>IFERROR(__xludf.DUMMYFUNCTION("""COMPUTED_VALUE"""),46058.95833333333)</f>
        <v>46058.95833</v>
      </c>
      <c r="H6806" s="238">
        <f>IFERROR(__xludf.DUMMYFUNCTION("""COMPUTED_VALUE"""),46059.04166666667)</f>
        <v>46059.04167</v>
      </c>
      <c r="J6806" s="239">
        <v>120.00000001396984</v>
      </c>
    </row>
    <row r="6807">
      <c r="A6807" s="234"/>
      <c r="B6807" s="238" t="str">
        <f>IFERROR(__xludf.DUMMYFUNCTION("""COMPUTED_VALUE"""),"LM Hub_SP_Mogi Mirim")</f>
        <v>LM Hub_SP_Mogi Mirim</v>
      </c>
      <c r="C6807" s="238" t="str">
        <f>IFERROR(__xludf.DUMMYFUNCTION("""COMPUTED_VALUE"""),"HUB-LSP-37")</f>
        <v>HUB-LSP-37</v>
      </c>
      <c r="D6807" s="234">
        <f>IFERROR(__xludf.DUMMYFUNCTION("""COMPUTED_VALUE"""),19.0)</f>
        <v>19</v>
      </c>
      <c r="E6807" s="237" t="str">
        <f>IFERROR(__xludf.DUMMYFUNCTION("""COMPUTED_VALUE"""),"LT0Q2501XW2E1")</f>
        <v>LT0Q2501XW2E1</v>
      </c>
      <c r="F6807" s="238" t="str">
        <f>IFERROR(__xludf.DUMMYFUNCTION("""COMPUTED_VALUE"""),"FUR8D94,UDF4J25")</f>
        <v>FUR8D94,UDF4J25</v>
      </c>
      <c r="G6807" s="238">
        <f>IFERROR(__xludf.DUMMYFUNCTION("""COMPUTED_VALUE"""),46058.95833333333)</f>
        <v>46058.95833</v>
      </c>
      <c r="H6807" s="238">
        <f>IFERROR(__xludf.DUMMYFUNCTION("""COMPUTED_VALUE"""),46059.04166666667)</f>
        <v>46059.04167</v>
      </c>
      <c r="J6807" s="239">
        <v>119.99999999301508</v>
      </c>
    </row>
    <row r="6808">
      <c r="A6808" s="234"/>
      <c r="B6808" s="238" t="str">
        <f>IFERROR(__xludf.DUMMYFUNCTION("""COMPUTED_VALUE"""),"LM Hub_SP_Araraquara")</f>
        <v>LM Hub_SP_Araraquara</v>
      </c>
      <c r="C6808" s="238" t="str">
        <f>IFERROR(__xludf.DUMMYFUNCTION("""COMPUTED_VALUE"""),"HUB-LSP-29")</f>
        <v>HUB-LSP-29</v>
      </c>
      <c r="D6808" s="234">
        <f>IFERROR(__xludf.DUMMYFUNCTION("""COMPUTED_VALUE"""),29.0)</f>
        <v>29</v>
      </c>
      <c r="E6808" s="237" t="str">
        <f>IFERROR(__xludf.DUMMYFUNCTION("""COMPUTED_VALUE"""),"LT0Q2501XW2J1")</f>
        <v>LT0Q2501XW2J1</v>
      </c>
      <c r="F6808" s="238" t="str">
        <f>IFERROR(__xludf.DUMMYFUNCTION("""COMPUTED_VALUE"""),"ISQ7F01,ANM9G89")</f>
        <v>ISQ7F01,ANM9G89</v>
      </c>
      <c r="G6808" s="238">
        <f>IFERROR(__xludf.DUMMYFUNCTION("""COMPUTED_VALUE"""),46058.97916666667)</f>
        <v>46058.97917</v>
      </c>
      <c r="H6808" s="238">
        <f>IFERROR(__xludf.DUMMYFUNCTION("""COMPUTED_VALUE"""),46059.0625)</f>
        <v>46059.0625</v>
      </c>
      <c r="J6808" s="239">
        <v>119.99999999301508</v>
      </c>
    </row>
    <row r="6809">
      <c r="A6809" s="234"/>
      <c r="B6809" s="238" t="str">
        <f>IFERROR(__xludf.DUMMYFUNCTION("""COMPUTED_VALUE"""),"LM Hub_SP_Atibaia_Ponte_Alta")</f>
        <v>LM Hub_SP_Atibaia_Ponte_Alta</v>
      </c>
      <c r="C6809" s="238" t="str">
        <f>IFERROR(__xludf.DUMMYFUNCTION("""COMPUTED_VALUE"""),"HUB-LSP-87")</f>
        <v>HUB-LSP-87</v>
      </c>
      <c r="D6809" s="234">
        <f>IFERROR(__xludf.DUMMYFUNCTION("""COMPUTED_VALUE"""),27.0)</f>
        <v>27</v>
      </c>
      <c r="E6809" s="237" t="str">
        <f>IFERROR(__xludf.DUMMYFUNCTION("""COMPUTED_VALUE"""),"LT0Q2501XZMF1")</f>
        <v>LT0Q2501XZMF1</v>
      </c>
      <c r="F6809" s="238" t="str">
        <f>IFERROR(__xludf.DUMMYFUNCTION("""COMPUTED_VALUE"""),"FTJ1G96,SVF2I21")</f>
        <v>FTJ1G96,SVF2I21</v>
      </c>
      <c r="G6809" s="238">
        <f>IFERROR(__xludf.DUMMYFUNCTION("""COMPUTED_VALUE"""),46058.97916666667)</f>
        <v>46058.97917</v>
      </c>
      <c r="H6809" s="238">
        <f>IFERROR(__xludf.DUMMYFUNCTION("""COMPUTED_VALUE"""),46059.0625)</f>
        <v>46059.0625</v>
      </c>
      <c r="J6809" s="239">
        <v>119.99999999301508</v>
      </c>
    </row>
    <row r="6810">
      <c r="A6810" s="234"/>
      <c r="B6810" s="238" t="str">
        <f>IFERROR(__xludf.DUMMYFUNCTION("""COMPUTED_VALUE"""),"LM Hub_SP_Várzea Paulista")</f>
        <v>LM Hub_SP_Várzea Paulista</v>
      </c>
      <c r="C6810" s="238" t="str">
        <f>IFERROR(__xludf.DUMMYFUNCTION("""COMPUTED_VALUE"""),"HUB-LSP-20")</f>
        <v>HUB-LSP-20</v>
      </c>
      <c r="D6810" s="234">
        <f>IFERROR(__xludf.DUMMYFUNCTION("""COMPUTED_VALUE"""),21.0)</f>
        <v>21</v>
      </c>
      <c r="E6810" s="237" t="str">
        <f>IFERROR(__xludf.DUMMYFUNCTION("""COMPUTED_VALUE"""),"LT0Q2501XW3I1")</f>
        <v>LT0Q2501XW3I1</v>
      </c>
      <c r="F6810" s="238" t="str">
        <f>IFERROR(__xludf.DUMMYFUNCTION("""COMPUTED_VALUE"""),"FJJ1188,EGJ8F24")</f>
        <v>FJJ1188,EGJ8F24</v>
      </c>
      <c r="G6810" s="238">
        <f>IFERROR(__xludf.DUMMYFUNCTION("""COMPUTED_VALUE"""),46058.97916666667)</f>
        <v>46058.97917</v>
      </c>
      <c r="H6810" s="238">
        <f>IFERROR(__xludf.DUMMYFUNCTION("""COMPUTED_VALUE"""),46059.0625)</f>
        <v>46059.0625</v>
      </c>
      <c r="J6810" s="239">
        <v>60.00000000698492</v>
      </c>
    </row>
    <row r="6811">
      <c r="A6811" s="234"/>
      <c r="B6811" s="238" t="str">
        <f>IFERROR(__xludf.DUMMYFUNCTION("""COMPUTED_VALUE"""),"LM Hub_SP_Piracicaba")</f>
        <v>LM Hub_SP_Piracicaba</v>
      </c>
      <c r="C6811" s="238" t="str">
        <f>IFERROR(__xludf.DUMMYFUNCTION("""COMPUTED_VALUE"""),"HUB-LSP-62")</f>
        <v>HUB-LSP-62</v>
      </c>
      <c r="D6811" s="234">
        <f>IFERROR(__xludf.DUMMYFUNCTION("""COMPUTED_VALUE"""),48.0)</f>
        <v>48</v>
      </c>
      <c r="E6811" s="237" t="str">
        <f>IFERROR(__xludf.DUMMYFUNCTION("""COMPUTED_VALUE"""),"LT1Q2601YDDE1")</f>
        <v>LT1Q2601YDDE1</v>
      </c>
      <c r="F6811" s="238" t="str">
        <f>IFERROR(__xludf.DUMMYFUNCTION("""COMPUTED_VALUE"""),"OMY3I62")</f>
        <v>OMY3I62</v>
      </c>
      <c r="G6811" s="238">
        <f>IFERROR(__xludf.DUMMYFUNCTION("""COMPUTED_VALUE"""),46059.03055555555)</f>
        <v>46059.03056</v>
      </c>
      <c r="H6811" s="238">
        <f>IFERROR(__xludf.DUMMYFUNCTION("""COMPUTED_VALUE"""),46059.072222222225)</f>
        <v>46059.07222</v>
      </c>
      <c r="J6811" s="239">
        <v>119.99999999301508</v>
      </c>
    </row>
    <row r="6812">
      <c r="A6812" s="234"/>
      <c r="B6812" s="238" t="str">
        <f>IFERROR(__xludf.DUMMYFUNCTION("""COMPUTED_VALUE"""),"LM Hub_RJ_Ilha do Governador")</f>
        <v>LM Hub_RJ_Ilha do Governador</v>
      </c>
      <c r="C6812" s="238" t="str">
        <f>IFERROR(__xludf.DUMMYFUNCTION("""COMPUTED_VALUE"""),"HUB-LRJ-32")</f>
        <v>HUB-LRJ-32</v>
      </c>
      <c r="D6812" s="234">
        <f>IFERROR(__xludf.DUMMYFUNCTION("""COMPUTED_VALUE"""),115.0)</f>
        <v>115</v>
      </c>
      <c r="E6812" s="237" t="str">
        <f>IFERROR(__xludf.DUMMYFUNCTION("""COMPUTED_VALUE"""),"LT0Q2601Y1JW1")</f>
        <v>LT0Q2601Y1JW1</v>
      </c>
      <c r="F6812" s="238" t="str">
        <f>IFERROR(__xludf.DUMMYFUNCTION("""COMPUTED_VALUE"""),"FZF3E46,FCM8B62")</f>
        <v>FZF3E46,FCM8B62</v>
      </c>
      <c r="G6812" s="238">
        <f>IFERROR(__xludf.DUMMYFUNCTION("""COMPUTED_VALUE"""),46059.0)</f>
        <v>46059</v>
      </c>
      <c r="H6812" s="238">
        <f>IFERROR(__xludf.DUMMYFUNCTION("""COMPUTED_VALUE"""),46059.08333333333)</f>
        <v>46059.08333</v>
      </c>
      <c r="J6812" s="239">
        <v>119.99999999301508</v>
      </c>
    </row>
    <row r="6813">
      <c r="A6813" s="234"/>
      <c r="B6813" s="238" t="str">
        <f>IFERROR(__xludf.DUMMYFUNCTION("""COMPUTED_VALUE"""),"LM Hub_SP_Tatuí")</f>
        <v>LM Hub_SP_Tatuí</v>
      </c>
      <c r="C6813" s="238" t="str">
        <f>IFERROR(__xludf.DUMMYFUNCTION("""COMPUTED_VALUE"""),"HUB-LSP-51")</f>
        <v>HUB-LSP-51</v>
      </c>
      <c r="D6813" s="234">
        <f>IFERROR(__xludf.DUMMYFUNCTION("""COMPUTED_VALUE"""),32.0)</f>
        <v>32</v>
      </c>
      <c r="E6813" s="237" t="str">
        <f>IFERROR(__xludf.DUMMYFUNCTION("""COMPUTED_VALUE"""),"LT0Q2601XVZ41")</f>
        <v>LT0Q2601XVZ41</v>
      </c>
      <c r="F6813" s="238" t="str">
        <f>IFERROR(__xludf.DUMMYFUNCTION("""COMPUTED_VALUE"""),"GFM6E44,AOF2G51")</f>
        <v>GFM6E44,AOF2G51</v>
      </c>
      <c r="G6813" s="238">
        <f>IFERROR(__xludf.DUMMYFUNCTION("""COMPUTED_VALUE"""),46059.0)</f>
        <v>46059</v>
      </c>
      <c r="H6813" s="238">
        <f>IFERROR(__xludf.DUMMYFUNCTION("""COMPUTED_VALUE"""),46059.08333333333)</f>
        <v>46059.08333</v>
      </c>
      <c r="J6813" s="239">
        <v>119.99999999301508</v>
      </c>
    </row>
    <row r="6814">
      <c r="A6814" s="234"/>
      <c r="B6814" s="238" t="str">
        <f>IFERROR(__xludf.DUMMYFUNCTION("""COMPUTED_VALUE"""),"SoC_PR_Curitiba")</f>
        <v>SoC_PR_Curitiba</v>
      </c>
      <c r="C6814" s="238" t="str">
        <f>IFERROR(__xludf.DUMMYFUNCTION("""COMPUTED_VALUE"""),"SOC-PR1")</f>
        <v>SOC-PR1</v>
      </c>
      <c r="D6814" s="234">
        <f>IFERROR(__xludf.DUMMYFUNCTION("""COMPUTED_VALUE"""),45.0)</f>
        <v>45</v>
      </c>
      <c r="E6814" s="237" t="str">
        <f>IFERROR(__xludf.DUMMYFUNCTION("""COMPUTED_VALUE"""),"LT0Q2601XVTX1")</f>
        <v>LT0Q2601XVTX1</v>
      </c>
      <c r="F6814" s="238" t="str">
        <f>IFERROR(__xludf.DUMMYFUNCTION("""COMPUTED_VALUE"""),"FQJ8B01,UGV7H67")</f>
        <v>FQJ8B01,UGV7H67</v>
      </c>
      <c r="G6814" s="238">
        <f>IFERROR(__xludf.DUMMYFUNCTION("""COMPUTED_VALUE"""),46059.0)</f>
        <v>46059</v>
      </c>
      <c r="H6814" s="238">
        <f>IFERROR(__xludf.DUMMYFUNCTION("""COMPUTED_VALUE"""),46059.08333333333)</f>
        <v>46059.08333</v>
      </c>
      <c r="J6814" s="239">
        <v>120.00000001396984</v>
      </c>
    </row>
    <row r="6815">
      <c r="A6815" s="234"/>
      <c r="B6815" s="238" t="str">
        <f>IFERROR(__xludf.DUMMYFUNCTION("""COMPUTED_VALUE"""),"LM Hub_MG_Varginha_Fausto")</f>
        <v>LM Hub_MG_Varginha_Fausto</v>
      </c>
      <c r="C6815" s="238" t="str">
        <f>IFERROR(__xludf.DUMMYFUNCTION("""COMPUTED_VALUE"""),"HUB-LMG-45")</f>
        <v>HUB-LMG-45</v>
      </c>
      <c r="D6815" s="234">
        <f>IFERROR(__xludf.DUMMYFUNCTION("""COMPUTED_VALUE"""),117.0)</f>
        <v>117</v>
      </c>
      <c r="E6815" s="237" t="str">
        <f>IFERROR(__xludf.DUMMYFUNCTION("""COMPUTED_VALUE"""),"LT0Q2601Y0YU1")</f>
        <v>LT0Q2601Y0YU1</v>
      </c>
      <c r="F6815" s="238" t="str">
        <f>IFERROR(__xludf.DUMMYFUNCTION("""COMPUTED_VALUE"""),"RUY5C56,SDU8E16")</f>
        <v>RUY5C56,SDU8E16</v>
      </c>
      <c r="G6815" s="238">
        <f>IFERROR(__xludf.DUMMYFUNCTION("""COMPUTED_VALUE"""),46059.02083333333)</f>
        <v>46059.02083</v>
      </c>
      <c r="H6815" s="238">
        <f>IFERROR(__xludf.DUMMYFUNCTION("""COMPUTED_VALUE"""),46059.10416666667)</f>
        <v>46059.10417</v>
      </c>
      <c r="J6815" s="239">
        <v>540.0</v>
      </c>
    </row>
    <row r="6816">
      <c r="A6816" s="234"/>
      <c r="B6816" s="238" t="str">
        <f>IFERROR(__xludf.DUMMYFUNCTION("""COMPUTED_VALUE"""),"SoC_BA_Simoes Filho")</f>
        <v>SoC_BA_Simoes Filho</v>
      </c>
      <c r="C6816" s="238" t="str">
        <f>IFERROR(__xludf.DUMMYFUNCTION("""COMPUTED_VALUE"""),"SOC-BA2")</f>
        <v>SOC-BA2</v>
      </c>
      <c r="D6816" s="234">
        <f>IFERROR(__xludf.DUMMYFUNCTION("""COMPUTED_VALUE"""),88.0)</f>
        <v>88</v>
      </c>
      <c r="E6816" s="237" t="str">
        <f>IFERROR(__xludf.DUMMYFUNCTION("""COMPUTED_VALUE"""),"LT0Q2501Y1BE2")</f>
        <v>LT0Q2501Y1BE2</v>
      </c>
      <c r="F6816" s="238" t="str">
        <f>IFERROR(__xludf.DUMMYFUNCTION("""COMPUTED_VALUE"""),"GXM4J31,GVE6E91")</f>
        <v>GXM4J31,GVE6E91</v>
      </c>
      <c r="G6816" s="238">
        <f>IFERROR(__xludf.DUMMYFUNCTION("""COMPUTED_VALUE"""),46058.75)</f>
        <v>46058.75</v>
      </c>
      <c r="H6816" s="238">
        <f>IFERROR(__xludf.DUMMYFUNCTION("""COMPUTED_VALUE"""),46059.125)</f>
        <v>46059.125</v>
      </c>
      <c r="J6816" s="239">
        <v>119.99999999301508</v>
      </c>
    </row>
    <row r="6817">
      <c r="A6817" s="234"/>
      <c r="B6817" s="238" t="str">
        <f>IFERROR(__xludf.DUMMYFUNCTION("""COMPUTED_VALUE"""),"SoC_SP_Louveira")</f>
        <v>SoC_SP_Louveira</v>
      </c>
      <c r="C6817" s="238" t="str">
        <f>IFERROR(__xludf.DUMMYFUNCTION("""COMPUTED_VALUE"""),"SOC-SP7")</f>
        <v>SOC-SP7</v>
      </c>
      <c r="D6817" s="234">
        <f>IFERROR(__xludf.DUMMYFUNCTION("""COMPUTED_VALUE"""),41.0)</f>
        <v>41</v>
      </c>
      <c r="E6817" s="237" t="str">
        <f>IFERROR(__xludf.DUMMYFUNCTION("""COMPUTED_VALUE"""),"LT0Q2601XVW01")</f>
        <v>LT0Q2601XVW01</v>
      </c>
      <c r="F6817" s="238" t="str">
        <f>IFERROR(__xludf.DUMMYFUNCTION("""COMPUTED_VALUE"""),"FFW3J51,GFQ7222")</f>
        <v>FFW3J51,GFQ7222</v>
      </c>
      <c r="G6817" s="238">
        <f>IFERROR(__xludf.DUMMYFUNCTION("""COMPUTED_VALUE"""),46059.04166666667)</f>
        <v>46059.04167</v>
      </c>
      <c r="H6817" s="238">
        <f>IFERROR(__xludf.DUMMYFUNCTION("""COMPUTED_VALUE"""),46059.125)</f>
        <v>46059.125</v>
      </c>
      <c r="J6817" s="239">
        <v>540.0</v>
      </c>
    </row>
    <row r="6818">
      <c r="A6818" s="234"/>
      <c r="B6818" s="238" t="str">
        <f>IFERROR(__xludf.DUMMYFUNCTION("""COMPUTED_VALUE"""),"SoC_RJ_Duque de Caxias")</f>
        <v>SoC_RJ_Duque de Caxias</v>
      </c>
      <c r="C6818" s="238" t="str">
        <f>IFERROR(__xludf.DUMMYFUNCTION("""COMPUTED_VALUE"""),"SOC-RJ2")</f>
        <v>SOC-RJ2</v>
      </c>
      <c r="D6818" s="234">
        <f>IFERROR(__xludf.DUMMYFUNCTION("""COMPUTED_VALUE"""),96.0)</f>
        <v>96</v>
      </c>
      <c r="E6818" s="237" t="str">
        <f>IFERROR(__xludf.DUMMYFUNCTION("""COMPUTED_VALUE"""),"LT0Q2501Y5OY1")</f>
        <v>LT0Q2501Y5OY1</v>
      </c>
      <c r="F6818" s="238" t="str">
        <f>IFERROR(__xludf.DUMMYFUNCTION("""COMPUTED_VALUE"""),"LTQ5H90,MIK1801")</f>
        <v>LTQ5H90,MIK1801</v>
      </c>
      <c r="G6818" s="238">
        <f>IFERROR(__xludf.DUMMYFUNCTION("""COMPUTED_VALUE"""),46058.79166666667)</f>
        <v>46058.79167</v>
      </c>
      <c r="H6818" s="238">
        <f>IFERROR(__xludf.DUMMYFUNCTION("""COMPUTED_VALUE"""),46059.16666666667)</f>
        <v>46059.16667</v>
      </c>
      <c r="J6818" s="239">
        <v>540.0</v>
      </c>
    </row>
    <row r="6819">
      <c r="A6819" s="234"/>
      <c r="B6819" s="238" t="str">
        <f>IFERROR(__xludf.DUMMYFUNCTION("""COMPUTED_VALUE"""),"SoC_MG_Betim")</f>
        <v>SoC_MG_Betim</v>
      </c>
      <c r="C6819" s="238" t="str">
        <f>IFERROR(__xludf.DUMMYFUNCTION("""COMPUTED_VALUE"""),"SOC-MG2")</f>
        <v>SOC-MG2</v>
      </c>
      <c r="D6819" s="234">
        <f>IFERROR(__xludf.DUMMYFUNCTION("""COMPUTED_VALUE"""),91.0)</f>
        <v>91</v>
      </c>
      <c r="E6819" s="237" t="str">
        <f>IFERROR(__xludf.DUMMYFUNCTION("""COMPUTED_VALUE"""),"LT0Q2501XVST1")</f>
        <v>LT0Q2501XVST1</v>
      </c>
      <c r="F6819" s="238" t="str">
        <f>IFERROR(__xludf.DUMMYFUNCTION("""COMPUTED_VALUE"""),"GYI7346,FST4A14")</f>
        <v>GYI7346,FST4A14</v>
      </c>
      <c r="G6819" s="238">
        <f>IFERROR(__xludf.DUMMYFUNCTION("""COMPUTED_VALUE"""),46058.79166666667)</f>
        <v>46058.79167</v>
      </c>
      <c r="H6819" s="238">
        <f>IFERROR(__xludf.DUMMYFUNCTION("""COMPUTED_VALUE"""),46059.16666666667)</f>
        <v>46059.16667</v>
      </c>
      <c r="J6819" s="239">
        <v>540.0</v>
      </c>
    </row>
    <row r="6820">
      <c r="A6820" s="234"/>
      <c r="B6820" s="238" t="str">
        <f>IFERROR(__xludf.DUMMYFUNCTION("""COMPUTED_VALUE"""),"SoC_MG_Betim")</f>
        <v>SoC_MG_Betim</v>
      </c>
      <c r="C6820" s="238" t="str">
        <f>IFERROR(__xludf.DUMMYFUNCTION("""COMPUTED_VALUE"""),"SOC-MG2")</f>
        <v>SOC-MG2</v>
      </c>
      <c r="D6820" s="234" t="str">
        <f>IFERROR(__xludf.DUMMYFUNCTION("""COMPUTED_VALUE"""),"91/23")</f>
        <v>91/23</v>
      </c>
      <c r="E6820" s="237" t="str">
        <f>IFERROR(__xludf.DUMMYFUNCTION("""COMPUTED_VALUE"""),"LT0Q2501XVSV2")</f>
        <v>LT0Q2501XVSV2</v>
      </c>
      <c r="F6820" s="238" t="str">
        <f>IFERROR(__xludf.DUMMYFUNCTION("""COMPUTED_VALUE"""),"SWD2I13,STN3J57")</f>
        <v>SWD2I13,STN3J57</v>
      </c>
      <c r="G6820" s="238">
        <f>IFERROR(__xludf.DUMMYFUNCTION("""COMPUTED_VALUE"""),46058.79166666667)</f>
        <v>46058.79167</v>
      </c>
      <c r="H6820" s="238">
        <f>IFERROR(__xludf.DUMMYFUNCTION("""COMPUTED_VALUE"""),46059.16666666667)</f>
        <v>46059.16667</v>
      </c>
      <c r="J6820" s="239">
        <v>540.0</v>
      </c>
    </row>
    <row r="6821">
      <c r="A6821" s="234"/>
      <c r="B6821" s="238" t="str">
        <f>IFERROR(__xludf.DUMMYFUNCTION("""COMPUTED_VALUE"""),"SoC_PE_Jaboatão dos Guararapes")</f>
        <v>SoC_PE_Jaboatão dos Guararapes</v>
      </c>
      <c r="C6821" s="238" t="str">
        <f>IFERROR(__xludf.DUMMYFUNCTION("""COMPUTED_VALUE"""),"SOC-PE2")</f>
        <v>SOC-PE2</v>
      </c>
      <c r="D6821" s="234">
        <f>IFERROR(__xludf.DUMMYFUNCTION("""COMPUTED_VALUE"""),98.0)</f>
        <v>98</v>
      </c>
      <c r="E6821" s="237" t="str">
        <f>IFERROR(__xludf.DUMMYFUNCTION("""COMPUTED_VALUE"""),"LT0Q2501Y1811")</f>
        <v>LT0Q2501Y1811</v>
      </c>
      <c r="F6821" s="238" t="str">
        <f>IFERROR(__xludf.DUMMYFUNCTION("""COMPUTED_VALUE"""),"MJD9D37,SXK5A73")</f>
        <v>MJD9D37,SXK5A73</v>
      </c>
      <c r="G6821" s="238">
        <f>IFERROR(__xludf.DUMMYFUNCTION("""COMPUTED_VALUE"""),46058.79166666667)</f>
        <v>46058.79167</v>
      </c>
      <c r="H6821" s="238">
        <f>IFERROR(__xludf.DUMMYFUNCTION("""COMPUTED_VALUE"""),46059.16666666667)</f>
        <v>46059.16667</v>
      </c>
      <c r="J6821" s="239">
        <v>540.0</v>
      </c>
    </row>
    <row r="6822">
      <c r="A6822" s="234"/>
      <c r="B6822" s="238" t="str">
        <f>IFERROR(__xludf.DUMMYFUNCTION("""COMPUTED_VALUE"""),"SoC_PR_Curitiba")</f>
        <v>SoC_PR_Curitiba</v>
      </c>
      <c r="C6822" s="238" t="str">
        <f>IFERROR(__xludf.DUMMYFUNCTION("""COMPUTED_VALUE"""),"SOC-PR1")</f>
        <v>SOC-PR1</v>
      </c>
      <c r="D6822" s="234">
        <f>IFERROR(__xludf.DUMMYFUNCTION("""COMPUTED_VALUE"""),38.0)</f>
        <v>38</v>
      </c>
      <c r="E6822" s="237" t="str">
        <f>IFERROR(__xludf.DUMMYFUNCTION("""COMPUTED_VALUE"""),"LT1Q2501YCEI1")</f>
        <v>LT1Q2501YCEI1</v>
      </c>
      <c r="F6822" s="238" t="str">
        <f>IFERROR(__xludf.DUMMYFUNCTION("""COMPUTED_VALUE"""),"CUC1I14,BEY5C17")</f>
        <v>CUC1I14,BEY5C17</v>
      </c>
      <c r="G6822" s="238">
        <f>IFERROR(__xludf.DUMMYFUNCTION("""COMPUTED_VALUE"""),46058.79166666667)</f>
        <v>46058.79167</v>
      </c>
      <c r="H6822" s="238">
        <f>IFERROR(__xludf.DUMMYFUNCTION("""COMPUTED_VALUE"""),46059.16666666667)</f>
        <v>46059.16667</v>
      </c>
      <c r="J6822" s="239">
        <v>540.0</v>
      </c>
    </row>
    <row r="6823">
      <c r="A6823" s="234"/>
      <c r="B6823" s="238" t="str">
        <f>IFERROR(__xludf.DUMMYFUNCTION("""COMPUTED_VALUE"""),"SoC_RJ_Duque de Caxias")</f>
        <v>SoC_RJ_Duque de Caxias</v>
      </c>
      <c r="C6823" s="238" t="str">
        <f>IFERROR(__xludf.DUMMYFUNCTION("""COMPUTED_VALUE"""),"SOC-RJ2")</f>
        <v>SOC-RJ2</v>
      </c>
      <c r="D6823" s="234" t="str">
        <f>IFERROR(__xludf.DUMMYFUNCTION("""COMPUTED_VALUE"""),"102/28")</f>
        <v>102/28</v>
      </c>
      <c r="E6823" s="237" t="str">
        <f>IFERROR(__xludf.DUMMYFUNCTION("""COMPUTED_VALUE"""),"LT0Q2501XXWZ2")</f>
        <v>LT0Q2501XXWZ2</v>
      </c>
      <c r="F6823" s="238" t="str">
        <f>IFERROR(__xludf.DUMMYFUNCTION("""COMPUTED_VALUE"""),"GIT4F78,FPN2E98")</f>
        <v>GIT4F78,FPN2E98</v>
      </c>
      <c r="G6823" s="238">
        <f>IFERROR(__xludf.DUMMYFUNCTION("""COMPUTED_VALUE"""),46058.79166666667)</f>
        <v>46058.79167</v>
      </c>
      <c r="H6823" s="238">
        <f>IFERROR(__xludf.DUMMYFUNCTION("""COMPUTED_VALUE"""),46059.16666666667)</f>
        <v>46059.16667</v>
      </c>
      <c r="J6823" s="239">
        <v>540.0</v>
      </c>
    </row>
    <row r="6824">
      <c r="A6824" s="234"/>
      <c r="B6824" s="238" t="str">
        <f>IFERROR(__xludf.DUMMYFUNCTION("""COMPUTED_VALUE"""),"SoC_RJ_Duque de Caxias")</f>
        <v>SoC_RJ_Duque de Caxias</v>
      </c>
      <c r="C6824" s="238" t="str">
        <f>IFERROR(__xludf.DUMMYFUNCTION("""COMPUTED_VALUE"""),"SOC-RJ2")</f>
        <v>SOC-RJ2</v>
      </c>
      <c r="D6824" s="234">
        <f>IFERROR(__xludf.DUMMYFUNCTION("""COMPUTED_VALUE"""),96.0)</f>
        <v>96</v>
      </c>
      <c r="E6824" s="237" t="str">
        <f>IFERROR(__xludf.DUMMYFUNCTION("""COMPUTED_VALUE"""),"LT0Q2501XXX34")</f>
        <v>LT0Q2501XXX34</v>
      </c>
      <c r="F6824" s="238" t="str">
        <f>IFERROR(__xludf.DUMMYFUNCTION("""COMPUTED_VALUE"""),"OVB9B40,EFW2H14")</f>
        <v>OVB9B40,EFW2H14</v>
      </c>
      <c r="G6824" s="238">
        <f>IFERROR(__xludf.DUMMYFUNCTION("""COMPUTED_VALUE"""),46058.79166666667)</f>
        <v>46058.79167</v>
      </c>
      <c r="H6824" s="238">
        <f>IFERROR(__xludf.DUMMYFUNCTION("""COMPUTED_VALUE"""),46059.16666666667)</f>
        <v>46059.16667</v>
      </c>
      <c r="J6824" s="239">
        <v>540.0</v>
      </c>
    </row>
    <row r="6825">
      <c r="A6825" s="234"/>
      <c r="B6825" s="238" t="str">
        <f>IFERROR(__xludf.DUMMYFUNCTION("""COMPUTED_VALUE"""),"SoC_RJ_Duque de Caxias")</f>
        <v>SoC_RJ_Duque de Caxias</v>
      </c>
      <c r="C6825" s="238" t="str">
        <f>IFERROR(__xludf.DUMMYFUNCTION("""COMPUTED_VALUE"""),"SOC-RJ2")</f>
        <v>SOC-RJ2</v>
      </c>
      <c r="D6825" s="234">
        <f>IFERROR(__xludf.DUMMYFUNCTION("""COMPUTED_VALUE"""),96.0)</f>
        <v>96</v>
      </c>
      <c r="E6825" s="237" t="str">
        <f>IFERROR(__xludf.DUMMYFUNCTION("""COMPUTED_VALUE"""),"LT0Q2501Y5OY1")</f>
        <v>LT0Q2501Y5OY1</v>
      </c>
      <c r="F6825" s="238" t="str">
        <f>IFERROR(__xludf.DUMMYFUNCTION("""COMPUTED_VALUE"""),"LTQ5H90,MIK1801")</f>
        <v>LTQ5H90,MIK1801</v>
      </c>
      <c r="G6825" s="238">
        <f>IFERROR(__xludf.DUMMYFUNCTION("""COMPUTED_VALUE"""),46058.79166666667)</f>
        <v>46058.79167</v>
      </c>
      <c r="H6825" s="238">
        <f>IFERROR(__xludf.DUMMYFUNCTION("""COMPUTED_VALUE"""),46059.16666666667)</f>
        <v>46059.16667</v>
      </c>
      <c r="J6825" s="239">
        <v>540.0</v>
      </c>
    </row>
    <row r="6826">
      <c r="A6826" s="234"/>
      <c r="B6826" s="238" t="str">
        <f>IFERROR(__xludf.DUMMYFUNCTION("""COMPUTED_VALUE"""),"SoC_SC_Itajaí")</f>
        <v>SoC_SC_Itajaí</v>
      </c>
      <c r="C6826" s="238" t="str">
        <f>IFERROR(__xludf.DUMMYFUNCTION("""COMPUTED_VALUE"""),"SOC-SC1")</f>
        <v>SOC-SC1</v>
      </c>
      <c r="D6826" s="234">
        <f>IFERROR(__xludf.DUMMYFUNCTION("""COMPUTED_VALUE"""),101.0)</f>
        <v>101</v>
      </c>
      <c r="E6826" s="237" t="str">
        <f>IFERROR(__xludf.DUMMYFUNCTION("""COMPUTED_VALUE"""),"LT0Q2501Y0BD2")</f>
        <v>LT0Q2501Y0BD2</v>
      </c>
      <c r="F6826" s="238" t="str">
        <f>IFERROR(__xludf.DUMMYFUNCTION("""COMPUTED_VALUE"""),"RLL1C47,RYE8I27")</f>
        <v>RLL1C47,RYE8I27</v>
      </c>
      <c r="G6826" s="238">
        <f>IFERROR(__xludf.DUMMYFUNCTION("""COMPUTED_VALUE"""),46058.79166666667)</f>
        <v>46058.79167</v>
      </c>
      <c r="H6826" s="238">
        <f>IFERROR(__xludf.DUMMYFUNCTION("""COMPUTED_VALUE"""),46059.16666666667)</f>
        <v>46059.16667</v>
      </c>
      <c r="J6826" s="239">
        <v>540.0</v>
      </c>
    </row>
    <row r="6827">
      <c r="A6827" s="234"/>
      <c r="B6827" s="238" t="str">
        <f>IFERROR(__xludf.DUMMYFUNCTION("""COMPUTED_VALUE"""),"SoC_SP_Cravinhos")</f>
        <v>SoC_SP_Cravinhos</v>
      </c>
      <c r="C6827" s="238" t="str">
        <f>IFERROR(__xludf.DUMMYFUNCTION("""COMPUTED_VALUE"""),"SOC-SP5")</f>
        <v>SOC-SP5</v>
      </c>
      <c r="D6827" s="234" t="str">
        <f>IFERROR(__xludf.DUMMYFUNCTION("""COMPUTED_VALUE"""),"95/41")</f>
        <v>95/41</v>
      </c>
      <c r="E6827" s="237" t="str">
        <f>IFERROR(__xludf.DUMMYFUNCTION("""COMPUTED_VALUE"""),"LT0Q2501XVV92")</f>
        <v>LT0Q2501XVV92</v>
      </c>
      <c r="F6827" s="238" t="str">
        <f>IFERROR(__xludf.DUMMYFUNCTION("""COMPUTED_VALUE"""),"ARA0I24,TWK4D57")</f>
        <v>ARA0I24,TWK4D57</v>
      </c>
      <c r="G6827" s="238">
        <f>IFERROR(__xludf.DUMMYFUNCTION("""COMPUTED_VALUE"""),46058.79166666667)</f>
        <v>46058.79167</v>
      </c>
      <c r="H6827" s="238">
        <f>IFERROR(__xludf.DUMMYFUNCTION("""COMPUTED_VALUE"""),46059.16666666667)</f>
        <v>46059.16667</v>
      </c>
      <c r="J6827" s="239">
        <v>540.0</v>
      </c>
    </row>
    <row r="6828">
      <c r="A6828" s="234"/>
      <c r="B6828" s="238" t="str">
        <f>IFERROR(__xludf.DUMMYFUNCTION("""COMPUTED_VALUE"""),"SoC_SP_Cravinhos")</f>
        <v>SoC_SP_Cravinhos</v>
      </c>
      <c r="C6828" s="238" t="str">
        <f>IFERROR(__xludf.DUMMYFUNCTION("""COMPUTED_VALUE"""),"SOC-SP5")</f>
        <v>SOC-SP5</v>
      </c>
      <c r="D6828" s="234">
        <f>IFERROR(__xludf.DUMMYFUNCTION("""COMPUTED_VALUE"""),94.0)</f>
        <v>94</v>
      </c>
      <c r="E6828" s="237" t="str">
        <f>IFERROR(__xludf.DUMMYFUNCTION("""COMPUTED_VALUE"""),"LT0Q2501XVVI1")</f>
        <v>LT0Q2501XVVI1</v>
      </c>
      <c r="F6828" s="238" t="str">
        <f>IFERROR(__xludf.DUMMYFUNCTION("""COMPUTED_VALUE"""),"CUB2G22,JCF2G60")</f>
        <v>CUB2G22,JCF2G60</v>
      </c>
      <c r="G6828" s="238">
        <f>IFERROR(__xludf.DUMMYFUNCTION("""COMPUTED_VALUE"""),46058.79166666667)</f>
        <v>46058.79167</v>
      </c>
      <c r="H6828" s="238">
        <f>IFERROR(__xludf.DUMMYFUNCTION("""COMPUTED_VALUE"""),46059.16666666667)</f>
        <v>46059.16667</v>
      </c>
      <c r="J6828" s="239">
        <v>119.99999999301508</v>
      </c>
    </row>
    <row r="6829">
      <c r="A6829" s="234"/>
      <c r="B6829" s="238" t="str">
        <f>IFERROR(__xludf.DUMMYFUNCTION("""COMPUTED_VALUE"""),"LM Hub_SP_Itapetininga")</f>
        <v>LM Hub_SP_Itapetininga</v>
      </c>
      <c r="C6829" s="238" t="str">
        <f>IFERROR(__xludf.DUMMYFUNCTION("""COMPUTED_VALUE"""),"HUB-LSP-53")</f>
        <v>HUB-LSP-53</v>
      </c>
      <c r="D6829" s="234">
        <f>IFERROR(__xludf.DUMMYFUNCTION("""COMPUTED_VALUE"""),40.0)</f>
        <v>40</v>
      </c>
      <c r="E6829" s="237" t="str">
        <f>IFERROR(__xludf.DUMMYFUNCTION("""COMPUTED_VALUE"""),"LT0Q2601XVYY1")</f>
        <v>LT0Q2601XVYY1</v>
      </c>
      <c r="F6829" s="238" t="str">
        <f>IFERROR(__xludf.DUMMYFUNCTION("""COMPUTED_VALUE"""),"FZY3F48")</f>
        <v>FZY3F48</v>
      </c>
      <c r="G6829" s="238">
        <f>IFERROR(__xludf.DUMMYFUNCTION("""COMPUTED_VALUE"""),46059.10416666667)</f>
        <v>46059.10417</v>
      </c>
      <c r="H6829" s="238">
        <f>IFERROR(__xludf.DUMMYFUNCTION("""COMPUTED_VALUE"""),46059.1875)</f>
        <v>46059.1875</v>
      </c>
      <c r="J6829" s="239">
        <v>119.99999999301508</v>
      </c>
    </row>
    <row r="6830">
      <c r="A6830" s="234"/>
      <c r="B6830" s="238" t="str">
        <f>IFERROR(__xludf.DUMMYFUNCTION("""COMPUTED_VALUE"""),"LM Hub_SP_São Carlos")</f>
        <v>LM Hub_SP_São Carlos</v>
      </c>
      <c r="C6830" s="238" t="str">
        <f>IFERROR(__xludf.DUMMYFUNCTION("""COMPUTED_VALUE"""),"HUB-LSP-31")</f>
        <v>HUB-LSP-31</v>
      </c>
      <c r="D6830" s="234">
        <f>IFERROR(__xludf.DUMMYFUNCTION("""COMPUTED_VALUE"""),32.0)</f>
        <v>32</v>
      </c>
      <c r="E6830" s="237" t="str">
        <f>IFERROR(__xludf.DUMMYFUNCTION("""COMPUTED_VALUE"""),"LT0Q2601XW1W1")</f>
        <v>LT0Q2601XW1W1</v>
      </c>
      <c r="F6830" s="238" t="str">
        <f>IFERROR(__xludf.DUMMYFUNCTION("""COMPUTED_VALUE"""),"JCG4I58,AXE7I13")</f>
        <v>JCG4I58,AXE7I13</v>
      </c>
      <c r="G6830" s="238">
        <f>IFERROR(__xludf.DUMMYFUNCTION("""COMPUTED_VALUE"""),46059.10416666667)</f>
        <v>46059.10417</v>
      </c>
      <c r="H6830" s="238">
        <f>IFERROR(__xludf.DUMMYFUNCTION("""COMPUTED_VALUE"""),46059.1875)</f>
        <v>46059.1875</v>
      </c>
      <c r="J6830" s="239">
        <v>119.99999999301508</v>
      </c>
    </row>
    <row r="6831">
      <c r="A6831" s="234"/>
      <c r="B6831" s="238" t="str">
        <f>IFERROR(__xludf.DUMMYFUNCTION("""COMPUTED_VALUE"""),"LM Hub_SP_Itapeva")</f>
        <v>LM Hub_SP_Itapeva</v>
      </c>
      <c r="C6831" s="238" t="str">
        <f>IFERROR(__xludf.DUMMYFUNCTION("""COMPUTED_VALUE"""),"HUB-LSP-39")</f>
        <v>HUB-LSP-39</v>
      </c>
      <c r="D6831" s="234">
        <f>IFERROR(__xludf.DUMMYFUNCTION("""COMPUTED_VALUE"""),8.0)</f>
        <v>8</v>
      </c>
      <c r="E6831" s="237" t="str">
        <f>IFERROR(__xludf.DUMMYFUNCTION("""COMPUTED_VALUE"""),"LT0Q2601XVZC1")</f>
        <v>LT0Q2601XVZC1</v>
      </c>
      <c r="F6831" s="238" t="str">
        <f>IFERROR(__xludf.DUMMYFUNCTION("""COMPUTED_VALUE"""),"CZC8J54,FCT0G13")</f>
        <v>CZC8J54,FCT0G13</v>
      </c>
      <c r="G6831" s="238">
        <f>IFERROR(__xludf.DUMMYFUNCTION("""COMPUTED_VALUE"""),46059.125)</f>
        <v>46059.125</v>
      </c>
      <c r="H6831" s="238">
        <f>IFERROR(__xludf.DUMMYFUNCTION("""COMPUTED_VALUE"""),46059.20833333333)</f>
        <v>46059.20833</v>
      </c>
      <c r="J6831" s="239">
        <v>119.99999999301508</v>
      </c>
    </row>
    <row r="6832">
      <c r="A6832" s="234"/>
      <c r="B6832" s="238" t="str">
        <f>IFERROR(__xludf.DUMMYFUNCTION("""COMPUTED_VALUE"""),"LM Hub_SP_Limeira_Campo Belo")</f>
        <v>LM Hub_SP_Limeira_Campo Belo</v>
      </c>
      <c r="C6832" s="238" t="str">
        <f>IFERROR(__xludf.DUMMYFUNCTION("""COMPUTED_VALUE"""),"HUB-LSP-24")</f>
        <v>HUB-LSP-24</v>
      </c>
      <c r="D6832" s="234">
        <f>IFERROR(__xludf.DUMMYFUNCTION("""COMPUTED_VALUE"""),36.0)</f>
        <v>36</v>
      </c>
      <c r="E6832" s="237" t="str">
        <f>IFERROR(__xludf.DUMMYFUNCTION("""COMPUTED_VALUE"""),"LT0Q2601XW1C1")</f>
        <v>LT0Q2601XW1C1</v>
      </c>
      <c r="F6832" s="238" t="str">
        <f>IFERROR(__xludf.DUMMYFUNCTION("""COMPUTED_VALUE"""),"GFT5J70,GBH5G53")</f>
        <v>GFT5J70,GBH5G53</v>
      </c>
      <c r="G6832" s="238">
        <f>IFERROR(__xludf.DUMMYFUNCTION("""COMPUTED_VALUE"""),46059.125)</f>
        <v>46059.125</v>
      </c>
      <c r="H6832" s="238">
        <f>IFERROR(__xludf.DUMMYFUNCTION("""COMPUTED_VALUE"""),46059.20833333333)</f>
        <v>46059.20833</v>
      </c>
      <c r="J6832" s="239">
        <v>119.99999999301508</v>
      </c>
    </row>
    <row r="6833">
      <c r="A6833" s="234"/>
      <c r="B6833" s="238" t="str">
        <f>IFERROR(__xludf.DUMMYFUNCTION("""COMPUTED_VALUE"""),"LM Hub_SP_Sumaré_Nova Veneza_1")</f>
        <v>LM Hub_SP_Sumaré_Nova Veneza_1</v>
      </c>
      <c r="C6833" s="238" t="str">
        <f>IFERROR(__xludf.DUMMYFUNCTION("""COMPUTED_VALUE"""),"HUB-LSP-88")</f>
        <v>HUB-LSP-88</v>
      </c>
      <c r="D6833" s="234">
        <f>IFERROR(__xludf.DUMMYFUNCTION("""COMPUTED_VALUE"""),26.0)</f>
        <v>26</v>
      </c>
      <c r="E6833" s="237" t="str">
        <f>IFERROR(__xludf.DUMMYFUNCTION("""COMPUTED_VALUE"""),"LT0Q2601Y0TL1")</f>
        <v>LT0Q2601Y0TL1</v>
      </c>
      <c r="F6833" s="238" t="str">
        <f>IFERROR(__xludf.DUMMYFUNCTION("""COMPUTED_VALUE"""),"DCU8E76,FMR2224")</f>
        <v>DCU8E76,FMR2224</v>
      </c>
      <c r="G6833" s="238">
        <f>IFERROR(__xludf.DUMMYFUNCTION("""COMPUTED_VALUE"""),46059.125)</f>
        <v>46059.125</v>
      </c>
      <c r="H6833" s="238">
        <f>IFERROR(__xludf.DUMMYFUNCTION("""COMPUTED_VALUE"""),46059.20833333333)</f>
        <v>46059.20833</v>
      </c>
      <c r="J6833" s="239">
        <v>119.99999999301508</v>
      </c>
    </row>
    <row r="6834">
      <c r="A6834" s="234"/>
      <c r="B6834" s="238" t="str">
        <f>IFERROR(__xludf.DUMMYFUNCTION("""COMPUTED_VALUE"""),"SoC_SP_Santana")</f>
        <v>SoC_SP_Santana</v>
      </c>
      <c r="C6834" s="238" t="str">
        <f>IFERROR(__xludf.DUMMYFUNCTION("""COMPUTED_VALUE"""),"SOC-SP2")</f>
        <v>SOC-SP2</v>
      </c>
      <c r="D6834" s="234">
        <f>IFERROR(__xludf.DUMMYFUNCTION("""COMPUTED_VALUE"""),33.0)</f>
        <v>33</v>
      </c>
      <c r="E6834" s="237" t="str">
        <f>IFERROR(__xludf.DUMMYFUNCTION("""COMPUTED_VALUE"""),"LT0Q2601Y5ES1")</f>
        <v>LT0Q2601Y5ES1</v>
      </c>
      <c r="F6834" s="238" t="str">
        <f>IFERROR(__xludf.DUMMYFUNCTION("""COMPUTED_VALUE"""),"IOW2D24,CZX5114")</f>
        <v>IOW2D24,CZX5114</v>
      </c>
      <c r="G6834" s="238">
        <f>IFERROR(__xludf.DUMMYFUNCTION("""COMPUTED_VALUE"""),46059.125)</f>
        <v>46059.125</v>
      </c>
      <c r="H6834" s="238">
        <f>IFERROR(__xludf.DUMMYFUNCTION("""COMPUTED_VALUE"""),46059.20833333333)</f>
        <v>46059.20833</v>
      </c>
      <c r="J6834" s="239">
        <v>120.00000001396984</v>
      </c>
    </row>
    <row r="6835">
      <c r="A6835" s="234"/>
      <c r="B6835" s="238" t="str">
        <f>IFERROR(__xludf.DUMMYFUNCTION("""COMPUTED_VALUE"""),"LM Hub_SP_Mogi Mirim")</f>
        <v>LM Hub_SP_Mogi Mirim</v>
      </c>
      <c r="C6835" s="238" t="str">
        <f>IFERROR(__xludf.DUMMYFUNCTION("""COMPUTED_VALUE"""),"HUB-LSP-37")</f>
        <v>HUB-LSP-37</v>
      </c>
      <c r="D6835" s="234">
        <f>IFERROR(__xludf.DUMMYFUNCTION("""COMPUTED_VALUE"""),24.0)</f>
        <v>24</v>
      </c>
      <c r="E6835" s="237" t="str">
        <f>IFERROR(__xludf.DUMMYFUNCTION("""COMPUTED_VALUE"""),"LT0Q2601XW281")</f>
        <v>LT0Q2601XW281</v>
      </c>
      <c r="F6835" s="238" t="str">
        <f>IFERROR(__xludf.DUMMYFUNCTION("""COMPUTED_VALUE"""),"SWH0E90,TAX1L63")</f>
        <v>SWH0E90,TAX1L63</v>
      </c>
      <c r="G6835" s="238">
        <f>IFERROR(__xludf.DUMMYFUNCTION("""COMPUTED_VALUE"""),46059.14583333333)</f>
        <v>46059.14583</v>
      </c>
      <c r="H6835" s="238">
        <f>IFERROR(__xludf.DUMMYFUNCTION("""COMPUTED_VALUE"""),46059.22916666667)</f>
        <v>46059.22917</v>
      </c>
      <c r="J6835" s="239">
        <v>119.00000001071021</v>
      </c>
    </row>
    <row r="6836">
      <c r="A6836" s="234"/>
      <c r="B6836" s="238" t="str">
        <f>IFERROR(__xludf.DUMMYFUNCTION("""COMPUTED_VALUE"""),"LM Hub_SP_Campinas_São Martinho")</f>
        <v>LM Hub_SP_Campinas_São Martinho</v>
      </c>
      <c r="C6836" s="238" t="str">
        <f>IFERROR(__xludf.DUMMYFUNCTION("""COMPUTED_VALUE"""),"HUB-LSP-19")</f>
        <v>HUB-LSP-19</v>
      </c>
      <c r="D6836" s="234">
        <f>IFERROR(__xludf.DUMMYFUNCTION("""COMPUTED_VALUE"""),112.0)</f>
        <v>112</v>
      </c>
      <c r="E6836" s="237" t="str">
        <f>IFERROR(__xludf.DUMMYFUNCTION("""COMPUTED_VALUE"""),"LT0Q2601XW4D1")</f>
        <v>LT0Q2601XW4D1</v>
      </c>
      <c r="F6836" s="238" t="str">
        <f>IFERROR(__xludf.DUMMYFUNCTION("""COMPUTED_VALUE"""),"FFW2343,EOE8697")</f>
        <v>FFW2343,EOE8697</v>
      </c>
      <c r="G6836" s="238">
        <f>IFERROR(__xludf.DUMMYFUNCTION("""COMPUTED_VALUE"""),46059.146527777775)</f>
        <v>46059.14653</v>
      </c>
      <c r="H6836" s="238">
        <f>IFERROR(__xludf.DUMMYFUNCTION("""COMPUTED_VALUE"""),46059.22916666667)</f>
        <v>46059.22917</v>
      </c>
      <c r="J6836" s="239">
        <v>119.99999999301508</v>
      </c>
    </row>
    <row r="6837">
      <c r="A6837" s="234"/>
      <c r="B6837" s="238" t="str">
        <f>IFERROR(__xludf.DUMMYFUNCTION("""COMPUTED_VALUE"""),"LM Hub_SP_Guaratinguetá")</f>
        <v>LM Hub_SP_Guaratinguetá</v>
      </c>
      <c r="C6837" s="238" t="str">
        <f>IFERROR(__xludf.DUMMYFUNCTION("""COMPUTED_VALUE"""),"HUB-LSP-33")</f>
        <v>HUB-LSP-33</v>
      </c>
      <c r="D6837" s="234">
        <f>IFERROR(__xludf.DUMMYFUNCTION("""COMPUTED_VALUE"""),18.0)</f>
        <v>18</v>
      </c>
      <c r="E6837" s="237" t="str">
        <f>IFERROR(__xludf.DUMMYFUNCTION("""COMPUTED_VALUE"""),"LT0Q2601XW091")</f>
        <v>LT0Q2601XW091</v>
      </c>
      <c r="F6837" s="238" t="str">
        <f>IFERROR(__xludf.DUMMYFUNCTION("""COMPUTED_VALUE"""),"FEJ1E97,UEF4J87")</f>
        <v>FEJ1E97,UEF4J87</v>
      </c>
      <c r="G6837" s="238">
        <f>IFERROR(__xludf.DUMMYFUNCTION("""COMPUTED_VALUE"""),46059.16666666667)</f>
        <v>46059.16667</v>
      </c>
      <c r="H6837" s="238">
        <f>IFERROR(__xludf.DUMMYFUNCTION("""COMPUTED_VALUE"""),46059.25)</f>
        <v>46059.25</v>
      </c>
      <c r="J6837" s="239">
        <v>119.99999999301508</v>
      </c>
    </row>
    <row r="6838">
      <c r="A6838" s="234"/>
      <c r="B6838" s="238" t="str">
        <f>IFERROR(__xludf.DUMMYFUNCTION("""COMPUTED_VALUE"""),"SoC_SP_Guarulhos")</f>
        <v>SoC_SP_Guarulhos</v>
      </c>
      <c r="C6838" s="238" t="str">
        <f>IFERROR(__xludf.DUMMYFUNCTION("""COMPUTED_VALUE"""),"SOC-SP6")</f>
        <v>SOC-SP6</v>
      </c>
      <c r="D6838" s="234">
        <f>IFERROR(__xludf.DUMMYFUNCTION("""COMPUTED_VALUE"""),39.0)</f>
        <v>39</v>
      </c>
      <c r="E6838" s="237" t="str">
        <f>IFERROR(__xludf.DUMMYFUNCTION("""COMPUTED_VALUE"""),"LT1Q2601YCZQ1")</f>
        <v>LT1Q2601YCZQ1</v>
      </c>
      <c r="F6838" s="238" t="str">
        <f>IFERROR(__xludf.DUMMYFUNCTION("""COMPUTED_VALUE"""),"ESU5E39,BWS6G35")</f>
        <v>ESU5E39,BWS6G35</v>
      </c>
      <c r="G6838" s="238">
        <f>IFERROR(__xludf.DUMMYFUNCTION("""COMPUTED_VALUE"""),46059.16666666667)</f>
        <v>46059.16667</v>
      </c>
      <c r="H6838" s="238">
        <f>IFERROR(__xludf.DUMMYFUNCTION("""COMPUTED_VALUE"""),46059.25)</f>
        <v>46059.25</v>
      </c>
      <c r="J6838" s="239">
        <v>119.99999999301508</v>
      </c>
    </row>
    <row r="6839">
      <c r="A6839" s="234"/>
      <c r="B6839" s="238" t="str">
        <f>IFERROR(__xludf.DUMMYFUNCTION("""COMPUTED_VALUE"""),"LM Hub_SP_Registro")</f>
        <v>LM Hub_SP_Registro</v>
      </c>
      <c r="C6839" s="238" t="str">
        <f>IFERROR(__xludf.DUMMYFUNCTION("""COMPUTED_VALUE"""),"HUB-LSP-40")</f>
        <v>HUB-LSP-40</v>
      </c>
      <c r="D6839" s="234">
        <f>IFERROR(__xludf.DUMMYFUNCTION("""COMPUTED_VALUE"""),28.0)</f>
        <v>28</v>
      </c>
      <c r="E6839" s="237" t="str">
        <f>IFERROR(__xludf.DUMMYFUNCTION("""COMPUTED_VALUE"""),"LT0Q2601XVZX1")</f>
        <v>LT0Q2601XVZX1</v>
      </c>
      <c r="F6839" s="238" t="str">
        <f>IFERROR(__xludf.DUMMYFUNCTION("""COMPUTED_VALUE"""),"GYS8H24,GYS8H25")</f>
        <v>GYS8H24,GYS8H25</v>
      </c>
      <c r="G6839" s="238">
        <f>IFERROR(__xludf.DUMMYFUNCTION("""COMPUTED_VALUE"""),46059.16666666667)</f>
        <v>46059.16667</v>
      </c>
      <c r="H6839" s="238">
        <f>IFERROR(__xludf.DUMMYFUNCTION("""COMPUTED_VALUE"""),46059.25)</f>
        <v>46059.25</v>
      </c>
      <c r="J6839" s="239">
        <v>119.99999999301508</v>
      </c>
    </row>
    <row r="6840">
      <c r="A6840" s="234"/>
      <c r="B6840" s="238" t="str">
        <f>IFERROR(__xludf.DUMMYFUNCTION("""COMPUTED_VALUE"""),"SoC_PR_Curitiba")</f>
        <v>SoC_PR_Curitiba</v>
      </c>
      <c r="C6840" s="238" t="str">
        <f>IFERROR(__xludf.DUMMYFUNCTION("""COMPUTED_VALUE"""),"SOC-PR1")</f>
        <v>SOC-PR1</v>
      </c>
      <c r="D6840" s="234"/>
      <c r="E6840" s="237" t="str">
        <f>IFERROR(__xludf.DUMMYFUNCTION("""COMPUTED_VALUE"""),"LT0Q2601XVU71")</f>
        <v>LT0Q2601XVU71</v>
      </c>
      <c r="F6840" s="238" t="str">
        <f>IFERROR(__xludf.DUMMYFUNCTION("""COMPUTED_VALUE"""),"GHB1I14,EWJ0841")</f>
        <v>GHB1I14,EWJ0841</v>
      </c>
      <c r="G6840" s="238">
        <f>IFERROR(__xludf.DUMMYFUNCTION("""COMPUTED_VALUE"""),46059.16666666667)</f>
        <v>46059.16667</v>
      </c>
      <c r="H6840" s="238">
        <f>IFERROR(__xludf.DUMMYFUNCTION("""COMPUTED_VALUE"""),46059.25)</f>
        <v>46059.25</v>
      </c>
      <c r="J6840" s="239">
        <v>119.99999999301508</v>
      </c>
    </row>
    <row r="6841">
      <c r="A6841" s="234"/>
      <c r="B6841" s="238" t="str">
        <f>IFERROR(__xludf.DUMMYFUNCTION("""COMPUTED_VALUE"""),"SoC_PR_Curitiba")</f>
        <v>SoC_PR_Curitiba</v>
      </c>
      <c r="C6841" s="238" t="str">
        <f>IFERROR(__xludf.DUMMYFUNCTION("""COMPUTED_VALUE"""),"SOC-PR1")</f>
        <v>SOC-PR1</v>
      </c>
      <c r="D6841" s="234">
        <f>IFERROR(__xludf.DUMMYFUNCTION("""COMPUTED_VALUE"""),42.0)</f>
        <v>42</v>
      </c>
      <c r="E6841" s="237" t="str">
        <f>IFERROR(__xludf.DUMMYFUNCTION("""COMPUTED_VALUE"""),"LT0Q2601XVU21")</f>
        <v>LT0Q2601XVU21</v>
      </c>
      <c r="F6841" s="238" t="str">
        <f>IFERROR(__xludf.DUMMYFUNCTION("""COMPUTED_VALUE"""),"MLL0J68,MEA5I23")</f>
        <v>MLL0J68,MEA5I23</v>
      </c>
      <c r="G6841" s="238">
        <f>IFERROR(__xludf.DUMMYFUNCTION("""COMPUTED_VALUE"""),46059.16666666667)</f>
        <v>46059.16667</v>
      </c>
      <c r="H6841" s="238">
        <f>IFERROR(__xludf.DUMMYFUNCTION("""COMPUTED_VALUE"""),46059.25)</f>
        <v>46059.25</v>
      </c>
      <c r="J6841" s="239">
        <v>119.99999999301508</v>
      </c>
    </row>
    <row r="6842">
      <c r="A6842" s="234"/>
      <c r="B6842" s="238" t="str">
        <f>IFERROR(__xludf.DUMMYFUNCTION("""COMPUTED_VALUE"""),"SoC_SP_Louveira")</f>
        <v>SoC_SP_Louveira</v>
      </c>
      <c r="C6842" s="238" t="str">
        <f>IFERROR(__xludf.DUMMYFUNCTION("""COMPUTED_VALUE"""),"SOC-SP7")</f>
        <v>SOC-SP7</v>
      </c>
      <c r="D6842" s="234">
        <f>IFERROR(__xludf.DUMMYFUNCTION("""COMPUTED_VALUE"""),37.0)</f>
        <v>37</v>
      </c>
      <c r="E6842" s="237" t="str">
        <f>IFERROR(__xludf.DUMMYFUNCTION("""COMPUTED_VALUE"""),"LT0Q2601XVW51")</f>
        <v>LT0Q2601XVW51</v>
      </c>
      <c r="F6842" s="238" t="str">
        <f>IFERROR(__xludf.DUMMYFUNCTION("""COMPUTED_VALUE"""),"FNZ5B43,RYV2F39")</f>
        <v>FNZ5B43,RYV2F39</v>
      </c>
      <c r="G6842" s="238">
        <f>IFERROR(__xludf.DUMMYFUNCTION("""COMPUTED_VALUE"""),46059.16666666667)</f>
        <v>46059.16667</v>
      </c>
      <c r="H6842" s="238">
        <f>IFERROR(__xludf.DUMMYFUNCTION("""COMPUTED_VALUE"""),46059.25)</f>
        <v>46059.25</v>
      </c>
      <c r="J6842" s="239">
        <v>119.99999999301508</v>
      </c>
    </row>
    <row r="6843">
      <c r="A6843" s="234"/>
      <c r="B6843" s="238" t="str">
        <f>IFERROR(__xludf.DUMMYFUNCTION("""COMPUTED_VALUE"""),"LM Hub_SP_Sorocaba_Região Norte")</f>
        <v>LM Hub_SP_Sorocaba_Região Norte</v>
      </c>
      <c r="C6843" s="238" t="str">
        <f>IFERROR(__xludf.DUMMYFUNCTION("""COMPUTED_VALUE"""),"HUB-LSP-10")</f>
        <v>HUB-LSP-10</v>
      </c>
      <c r="D6843" s="234"/>
      <c r="E6843" s="237" t="str">
        <f>IFERROR(__xludf.DUMMYFUNCTION("""COMPUTED_VALUE"""),"LT0Q2601XW0Y1")</f>
        <v>LT0Q2601XW0Y1</v>
      </c>
      <c r="F6843" s="238" t="str">
        <f>IFERROR(__xludf.DUMMYFUNCTION("""COMPUTED_VALUE"""),"UAV9I82,UGQ8H87")</f>
        <v>UAV9I82,UGQ8H87</v>
      </c>
      <c r="G6843" s="238">
        <f>IFERROR(__xludf.DUMMYFUNCTION("""COMPUTED_VALUE"""),46059.1875)</f>
        <v>46059.1875</v>
      </c>
      <c r="H6843" s="238">
        <f>IFERROR(__xludf.DUMMYFUNCTION("""COMPUTED_VALUE"""),46059.27083333333)</f>
        <v>46059.27083</v>
      </c>
      <c r="J6843" s="239">
        <v>59.99999998603016</v>
      </c>
    </row>
    <row r="6844">
      <c r="A6844" s="234"/>
      <c r="B6844" s="238" t="str">
        <f>IFERROR(__xludf.DUMMYFUNCTION("""COMPUTED_VALUE"""),"LM Hub_SP_Registro")</f>
        <v>LM Hub_SP_Registro</v>
      </c>
      <c r="C6844" s="238" t="str">
        <f>IFERROR(__xludf.DUMMYFUNCTION("""COMPUTED_VALUE"""),"HUB-LSP-40")</f>
        <v>HUB-LSP-40</v>
      </c>
      <c r="D6844" s="234">
        <f>IFERROR(__xludf.DUMMYFUNCTION("""COMPUTED_VALUE"""),28.0)</f>
        <v>28</v>
      </c>
      <c r="E6844" s="237" t="str">
        <f>IFERROR(__xludf.DUMMYFUNCTION("""COMPUTED_VALUE"""),"LT1Q2601YDHD1")</f>
        <v>LT1Q2601YDHD1</v>
      </c>
      <c r="F6844" s="238" t="str">
        <f>IFERROR(__xludf.DUMMYFUNCTION("""COMPUTED_VALUE"""),"GYS8H24")</f>
        <v>GYS8H24</v>
      </c>
      <c r="G6844" s="238">
        <f>IFERROR(__xludf.DUMMYFUNCTION("""COMPUTED_VALUE"""),46059.22916666667)</f>
        <v>46059.22917</v>
      </c>
      <c r="H6844" s="238">
        <f>IFERROR(__xludf.DUMMYFUNCTION("""COMPUTED_VALUE"""),46059.27083333333)</f>
        <v>46059.27083</v>
      </c>
      <c r="J6844" s="239">
        <v>119.99999999301508</v>
      </c>
    </row>
    <row r="6845">
      <c r="A6845" s="234"/>
      <c r="B6845" s="238" t="str">
        <f>IFERROR(__xludf.DUMMYFUNCTION("""COMPUTED_VALUE"""),"LM Hub_SP_Sorocaba_Região Norte")</f>
        <v>LM Hub_SP_Sorocaba_Região Norte</v>
      </c>
      <c r="C6845" s="238" t="str">
        <f>IFERROR(__xludf.DUMMYFUNCTION("""COMPUTED_VALUE"""),"HUB-LSP-10")</f>
        <v>HUB-LSP-10</v>
      </c>
      <c r="D6845" s="234">
        <f>IFERROR(__xludf.DUMMYFUNCTION("""COMPUTED_VALUE"""),34.0)</f>
        <v>34</v>
      </c>
      <c r="E6845" s="237" t="str">
        <f>IFERROR(__xludf.DUMMYFUNCTION("""COMPUTED_VALUE"""),"LT0Q2601XW102")</f>
        <v>LT0Q2601XW102</v>
      </c>
      <c r="F6845" s="238" t="str">
        <f>IFERROR(__xludf.DUMMYFUNCTION("""COMPUTED_VALUE"""),"UAZ8E38,SXX2I85")</f>
        <v>UAZ8E38,SXX2I85</v>
      </c>
      <c r="G6845" s="238">
        <f>IFERROR(__xludf.DUMMYFUNCTION("""COMPUTED_VALUE"""),46059.1875)</f>
        <v>46059.1875</v>
      </c>
      <c r="H6845" s="238">
        <f>IFERROR(__xludf.DUMMYFUNCTION("""COMPUTED_VALUE"""),46059.27083333333)</f>
        <v>46059.27083</v>
      </c>
      <c r="J6845" s="239">
        <v>119.99999999301508</v>
      </c>
    </row>
    <row r="6846">
      <c r="A6846" s="234"/>
      <c r="B6846" s="238" t="str">
        <f>IFERROR(__xludf.DUMMYFUNCTION("""COMPUTED_VALUE"""),"LM Hub_SP_Taubaté")</f>
        <v>LM Hub_SP_Taubaté</v>
      </c>
      <c r="C6846" s="238" t="str">
        <f>IFERROR(__xludf.DUMMYFUNCTION("""COMPUTED_VALUE"""),"HUB-LSP-08")</f>
        <v>HUB-LSP-08</v>
      </c>
      <c r="D6846" s="234">
        <f>IFERROR(__xludf.DUMMYFUNCTION("""COMPUTED_VALUE"""),29.0)</f>
        <v>29</v>
      </c>
      <c r="E6846" s="237" t="str">
        <f>IFERROR(__xludf.DUMMYFUNCTION("""COMPUTED_VALUE"""),"LT0Q2601XW0K1")</f>
        <v>LT0Q2601XW0K1</v>
      </c>
      <c r="F6846" s="238" t="str">
        <f>IFERROR(__xludf.DUMMYFUNCTION("""COMPUTED_VALUE"""),"FXR4B87,FCB2F69")</f>
        <v>FXR4B87,FCB2F69</v>
      </c>
      <c r="G6846" s="238">
        <f>IFERROR(__xludf.DUMMYFUNCTION("""COMPUTED_VALUE"""),46059.1875)</f>
        <v>46059.1875</v>
      </c>
      <c r="H6846" s="238">
        <f>IFERROR(__xludf.DUMMYFUNCTION("""COMPUTED_VALUE"""),46059.27083333333)</f>
        <v>46059.27083</v>
      </c>
      <c r="J6846" s="239">
        <v>119.99999999301508</v>
      </c>
    </row>
    <row r="6847">
      <c r="A6847" s="234"/>
      <c r="B6847" s="238" t="str">
        <f>IFERROR(__xludf.DUMMYFUNCTION("""COMPUTED_VALUE"""),"LM Hub_SP_Atibaia_Ponte_Alta")</f>
        <v>LM Hub_SP_Atibaia_Ponte_Alta</v>
      </c>
      <c r="C6847" s="238" t="str">
        <f>IFERROR(__xludf.DUMMYFUNCTION("""COMPUTED_VALUE"""),"HUB-LSP-87")</f>
        <v>HUB-LSP-87</v>
      </c>
      <c r="D6847" s="234">
        <f>IFERROR(__xludf.DUMMYFUNCTION("""COMPUTED_VALUE"""),26.0)</f>
        <v>26</v>
      </c>
      <c r="E6847" s="237" t="str">
        <f>IFERROR(__xludf.DUMMYFUNCTION("""COMPUTED_VALUE"""),"LT0Q2601XZMA1")</f>
        <v>LT0Q2601XZMA1</v>
      </c>
      <c r="F6847" s="238" t="str">
        <f>IFERROR(__xludf.DUMMYFUNCTION("""COMPUTED_VALUE"""),"UGN4B10")</f>
        <v>UGN4B10</v>
      </c>
      <c r="G6847" s="238">
        <f>IFERROR(__xludf.DUMMYFUNCTION("""COMPUTED_VALUE"""),46059.1875)</f>
        <v>46059.1875</v>
      </c>
      <c r="H6847" s="238">
        <f>IFERROR(__xludf.DUMMYFUNCTION("""COMPUTED_VALUE"""),46059.27083333333)</f>
        <v>46059.27083</v>
      </c>
      <c r="J6847" s="239">
        <v>540.0</v>
      </c>
    </row>
    <row r="6848">
      <c r="A6848" s="234"/>
      <c r="B6848" s="238" t="str">
        <f>IFERROR(__xludf.DUMMYFUNCTION("""COMPUTED_VALUE"""),"SoC_SC_Itajaí")</f>
        <v>SoC_SC_Itajaí</v>
      </c>
      <c r="C6848" s="238" t="str">
        <f>IFERROR(__xludf.DUMMYFUNCTION("""COMPUTED_VALUE"""),"SOC-SC1")</f>
        <v>SOC-SC1</v>
      </c>
      <c r="D6848" s="234">
        <f>IFERROR(__xludf.DUMMYFUNCTION("""COMPUTED_VALUE"""),101.0)</f>
        <v>101</v>
      </c>
      <c r="E6848" s="237" t="str">
        <f>IFERROR(__xludf.DUMMYFUNCTION("""COMPUTED_VALUE"""),"LT0Q2501Y0BK2")</f>
        <v>LT0Q2501Y0BK2</v>
      </c>
      <c r="F6848" s="238" t="str">
        <f>IFERROR(__xludf.DUMMYFUNCTION("""COMPUTED_VALUE"""),"RYK6E18,SXV2G47")</f>
        <v>RYK6E18,SXV2G47</v>
      </c>
      <c r="G6848" s="238">
        <f>IFERROR(__xludf.DUMMYFUNCTION("""COMPUTED_VALUE"""),46058.91666666667)</f>
        <v>46058.91667</v>
      </c>
      <c r="H6848" s="238">
        <f>IFERROR(__xludf.DUMMYFUNCTION("""COMPUTED_VALUE"""),46059.29166666667)</f>
        <v>46059.29167</v>
      </c>
      <c r="J6848" s="239">
        <v>539.0000000072177</v>
      </c>
    </row>
    <row r="6849">
      <c r="A6849" s="234"/>
      <c r="B6849" s="238" t="str">
        <f>IFERROR(__xludf.DUMMYFUNCTION("""COMPUTED_VALUE"""),"SoC_MG_Betim")</f>
        <v>SoC_MG_Betim</v>
      </c>
      <c r="C6849" s="238" t="str">
        <f>IFERROR(__xludf.DUMMYFUNCTION("""COMPUTED_VALUE"""),"SOC-MG2")</f>
        <v>SOC-MG2</v>
      </c>
      <c r="D6849" s="234">
        <f>IFERROR(__xludf.DUMMYFUNCTION("""COMPUTED_VALUE"""),90.0)</f>
        <v>90</v>
      </c>
      <c r="E6849" s="237" t="str">
        <f>IFERROR(__xludf.DUMMYFUNCTION("""COMPUTED_VALUE"""),"LT0Q2501Y58O2")</f>
        <v>LT0Q2501Y58O2</v>
      </c>
      <c r="F6849" s="238" t="str">
        <f>IFERROR(__xludf.DUMMYFUNCTION("""COMPUTED_VALUE"""),"FZK3C12,TXB3C12")</f>
        <v>FZK3C12,TXB3C12</v>
      </c>
      <c r="G6849" s="238">
        <f>IFERROR(__xludf.DUMMYFUNCTION("""COMPUTED_VALUE"""),46058.91736111111)</f>
        <v>46058.91736</v>
      </c>
      <c r="H6849" s="238">
        <f>IFERROR(__xludf.DUMMYFUNCTION("""COMPUTED_VALUE"""),46059.29166666667)</f>
        <v>46059.29167</v>
      </c>
      <c r="J6849" s="239">
        <v>538.0000000144355</v>
      </c>
    </row>
    <row r="6850">
      <c r="A6850" s="234"/>
      <c r="B6850" s="238" t="str">
        <f>IFERROR(__xludf.DUMMYFUNCTION("""COMPUTED_VALUE"""),"SoC_GO_Goiânia_02")</f>
        <v>SoC_GO_Goiânia_02</v>
      </c>
      <c r="C6850" s="238" t="str">
        <f>IFERROR(__xludf.DUMMYFUNCTION("""COMPUTED_VALUE"""),"SOC-GO2")</f>
        <v>SOC-GO2</v>
      </c>
      <c r="D6850" s="234">
        <f>IFERROR(__xludf.DUMMYFUNCTION("""COMPUTED_VALUE"""),86.0)</f>
        <v>86</v>
      </c>
      <c r="E6850" s="237" t="str">
        <f>IFERROR(__xludf.DUMMYFUNCTION("""COMPUTED_VALUE"""),"LT0Q2501Y1OJ3")</f>
        <v>LT0Q2501Y1OJ3</v>
      </c>
      <c r="F6850" s="238" t="str">
        <f>IFERROR(__xludf.DUMMYFUNCTION("""COMPUTED_VALUE"""),"FSH8F95,EMT7G72")</f>
        <v>FSH8F95,EMT7G72</v>
      </c>
      <c r="G6850" s="238">
        <f>IFERROR(__xludf.DUMMYFUNCTION("""COMPUTED_VALUE"""),46058.91805555555)</f>
        <v>46058.91806</v>
      </c>
      <c r="H6850" s="238">
        <f>IFERROR(__xludf.DUMMYFUNCTION("""COMPUTED_VALUE"""),46059.29166666667)</f>
        <v>46059.29167</v>
      </c>
      <c r="J6850" s="239">
        <v>538.0000000144355</v>
      </c>
    </row>
    <row r="6851">
      <c r="A6851" s="234"/>
      <c r="B6851" s="238" t="str">
        <f>IFERROR(__xludf.DUMMYFUNCTION("""COMPUTED_VALUE"""),"SoC_GO_Goiânia_02")</f>
        <v>SoC_GO_Goiânia_02</v>
      </c>
      <c r="C6851" s="238" t="str">
        <f>IFERROR(__xludf.DUMMYFUNCTION("""COMPUTED_VALUE"""),"SOC-GO2")</f>
        <v>SOC-GO2</v>
      </c>
      <c r="D6851" s="234">
        <f>IFERROR(__xludf.DUMMYFUNCTION("""COMPUTED_VALUE"""),87.0)</f>
        <v>87</v>
      </c>
      <c r="E6851" s="237" t="str">
        <f>IFERROR(__xludf.DUMMYFUNCTION("""COMPUTED_VALUE"""),"LT0Q2501Y1OF1")</f>
        <v>LT0Q2501Y1OF1</v>
      </c>
      <c r="F6851" s="238" t="str">
        <f>IFERROR(__xludf.DUMMYFUNCTION("""COMPUTED_VALUE"""),"GEN8F51,RHC3B70")</f>
        <v>GEN8F51,RHC3B70</v>
      </c>
      <c r="G6851" s="238">
        <f>IFERROR(__xludf.DUMMYFUNCTION("""COMPUTED_VALUE"""),46058.91805555555)</f>
        <v>46058.91806</v>
      </c>
      <c r="H6851" s="238">
        <f>IFERROR(__xludf.DUMMYFUNCTION("""COMPUTED_VALUE"""),46059.29166666667)</f>
        <v>46059.29167</v>
      </c>
      <c r="J6851" s="239">
        <v>538.0000000144355</v>
      </c>
    </row>
    <row r="6852">
      <c r="A6852" s="234"/>
      <c r="B6852" s="238" t="str">
        <f>IFERROR(__xludf.DUMMYFUNCTION("""COMPUTED_VALUE"""),"SoC_GO_Goiânia_02")</f>
        <v>SoC_GO_Goiânia_02</v>
      </c>
      <c r="C6852" s="238" t="str">
        <f>IFERROR(__xludf.DUMMYFUNCTION("""COMPUTED_VALUE"""),"SOC-GO2")</f>
        <v>SOC-GO2</v>
      </c>
      <c r="D6852" s="234">
        <f>IFERROR(__xludf.DUMMYFUNCTION("""COMPUTED_VALUE"""),86.0)</f>
        <v>86</v>
      </c>
      <c r="E6852" s="237" t="str">
        <f>IFERROR(__xludf.DUMMYFUNCTION("""COMPUTED_VALUE"""),"LT0Q2501Y1OJ3")</f>
        <v>LT0Q2501Y1OJ3</v>
      </c>
      <c r="F6852" s="238" t="str">
        <f>IFERROR(__xludf.DUMMYFUNCTION("""COMPUTED_VALUE"""),"FSH8F95,EMT7G72")</f>
        <v>FSH8F95,EMT7G72</v>
      </c>
      <c r="G6852" s="238">
        <f>IFERROR(__xludf.DUMMYFUNCTION("""COMPUTED_VALUE"""),46058.91805555555)</f>
        <v>46058.91806</v>
      </c>
      <c r="H6852" s="238">
        <f>IFERROR(__xludf.DUMMYFUNCTION("""COMPUTED_VALUE"""),46059.29166666667)</f>
        <v>46059.29167</v>
      </c>
      <c r="J6852" s="239">
        <v>540.0</v>
      </c>
    </row>
    <row r="6853">
      <c r="A6853" s="234"/>
      <c r="B6853" s="238" t="str">
        <f>IFERROR(__xludf.DUMMYFUNCTION("""COMPUTED_VALUE"""),"SoC_BA_Simoes Filho")</f>
        <v>SoC_BA_Simoes Filho</v>
      </c>
      <c r="C6853" s="238" t="str">
        <f>IFERROR(__xludf.DUMMYFUNCTION("""COMPUTED_VALUE"""),"SOC-BA2")</f>
        <v>SOC-BA2</v>
      </c>
      <c r="D6853" s="234">
        <f>IFERROR(__xludf.DUMMYFUNCTION("""COMPUTED_VALUE"""),89.0)</f>
        <v>89</v>
      </c>
      <c r="E6853" s="237" t="str">
        <f>IFERROR(__xludf.DUMMYFUNCTION("""COMPUTED_VALUE"""),"LT0Q2501Y1BK1")</f>
        <v>LT0Q2501Y1BK1</v>
      </c>
      <c r="F6853" s="238" t="str">
        <f>IFERROR(__xludf.DUMMYFUNCTION("""COMPUTED_VALUE"""),"CLU2I71,BCO6A41")</f>
        <v>CLU2I71,BCO6A41</v>
      </c>
      <c r="G6853" s="238">
        <f>IFERROR(__xludf.DUMMYFUNCTION("""COMPUTED_VALUE"""),46058.91666666667)</f>
        <v>46058.91667</v>
      </c>
      <c r="H6853" s="238">
        <f>IFERROR(__xludf.DUMMYFUNCTION("""COMPUTED_VALUE"""),46059.29166666667)</f>
        <v>46059.29167</v>
      </c>
      <c r="J6853" s="239">
        <v>538.0000000144355</v>
      </c>
    </row>
    <row r="6854">
      <c r="A6854" s="234"/>
      <c r="B6854" s="238" t="str">
        <f>IFERROR(__xludf.DUMMYFUNCTION("""COMPUTED_VALUE"""),"SoC_MG_Betim")</f>
        <v>SoC_MG_Betim</v>
      </c>
      <c r="C6854" s="238" t="str">
        <f>IFERROR(__xludf.DUMMYFUNCTION("""COMPUTED_VALUE"""),"SOC-MG2")</f>
        <v>SOC-MG2</v>
      </c>
      <c r="D6854" s="234">
        <f>IFERROR(__xludf.DUMMYFUNCTION("""COMPUTED_VALUE"""),91.0)</f>
        <v>91</v>
      </c>
      <c r="E6854" s="237" t="str">
        <f>IFERROR(__xludf.DUMMYFUNCTION("""COMPUTED_VALUE"""),"LT0Q2501XVTE3")</f>
        <v>LT0Q2501XVTE3</v>
      </c>
      <c r="F6854" s="238" t="str">
        <f>IFERROR(__xludf.DUMMYFUNCTION("""COMPUTED_VALUE"""),"SWJ6C56,RXK6D30")</f>
        <v>SWJ6C56,RXK6D30</v>
      </c>
      <c r="G6854" s="238">
        <f>IFERROR(__xludf.DUMMYFUNCTION("""COMPUTED_VALUE"""),46058.91805555555)</f>
        <v>46058.91806</v>
      </c>
      <c r="H6854" s="238">
        <f>IFERROR(__xludf.DUMMYFUNCTION("""COMPUTED_VALUE"""),46059.29166666667)</f>
        <v>46059.29167</v>
      </c>
      <c r="J6854" s="239">
        <v>538.0000000144355</v>
      </c>
    </row>
    <row r="6855">
      <c r="A6855" s="234"/>
      <c r="B6855" s="238" t="str">
        <f>IFERROR(__xludf.DUMMYFUNCTION("""COMPUTED_VALUE"""),"SoC_RS_Gravataí_02")</f>
        <v>SoC_RS_Gravataí_02</v>
      </c>
      <c r="C6855" s="238" t="str">
        <f>IFERROR(__xludf.DUMMYFUNCTION("""COMPUTED_VALUE"""),"SOC-RS2")</f>
        <v>SOC-RS2</v>
      </c>
      <c r="D6855" s="234">
        <f>IFERROR(__xludf.DUMMYFUNCTION("""COMPUTED_VALUE"""),93.0)</f>
        <v>93</v>
      </c>
      <c r="E6855" s="237" t="str">
        <f>IFERROR(__xludf.DUMMYFUNCTION("""COMPUTED_VALUE"""),"LT0Q2501Y1QK1")</f>
        <v>LT0Q2501Y1QK1</v>
      </c>
      <c r="F6855" s="238" t="str">
        <f>IFERROR(__xludf.DUMMYFUNCTION("""COMPUTED_VALUE"""),"JDF7E92,JCI4J88")</f>
        <v>JDF7E92,JCI4J88</v>
      </c>
      <c r="G6855" s="238">
        <f>IFERROR(__xludf.DUMMYFUNCTION("""COMPUTED_VALUE"""),46058.91805555555)</f>
        <v>46058.91806</v>
      </c>
      <c r="H6855" s="238">
        <f>IFERROR(__xludf.DUMMYFUNCTION("""COMPUTED_VALUE"""),46059.29166666667)</f>
        <v>46059.29167</v>
      </c>
      <c r="J6855" s="239">
        <v>120.00000001396984</v>
      </c>
    </row>
    <row r="6856">
      <c r="A6856" s="234"/>
      <c r="B6856" s="238" t="str">
        <f>IFERROR(__xludf.DUMMYFUNCTION("""COMPUTED_VALUE"""),"LM Hub_SP_Jundiaí")</f>
        <v>LM Hub_SP_Jundiaí</v>
      </c>
      <c r="C6856" s="238" t="str">
        <f>IFERROR(__xludf.DUMMYFUNCTION("""COMPUTED_VALUE"""),"HUB-LSP-100")</f>
        <v>HUB-LSP-100</v>
      </c>
      <c r="D6856" s="234">
        <f>IFERROR(__xludf.DUMMYFUNCTION("""COMPUTED_VALUE"""),16.0)</f>
        <v>16</v>
      </c>
      <c r="E6856" s="237" t="str">
        <f>IFERROR(__xludf.DUMMYFUNCTION("""COMPUTED_VALUE"""),"LT0Q2601Y2H11")</f>
        <v>LT0Q2601Y2H11</v>
      </c>
      <c r="F6856" s="238" t="str">
        <f>IFERROR(__xludf.DUMMYFUNCTION("""COMPUTED_VALUE"""),"TJM6F18,DPR1F59")</f>
        <v>TJM6F18,DPR1F59</v>
      </c>
      <c r="G6856" s="238">
        <f>IFERROR(__xludf.DUMMYFUNCTION("""COMPUTED_VALUE"""),46059.20833333333)</f>
        <v>46059.20833</v>
      </c>
      <c r="H6856" s="238">
        <f>IFERROR(__xludf.DUMMYFUNCTION("""COMPUTED_VALUE"""),46059.29166666667)</f>
        <v>46059.29167</v>
      </c>
      <c r="J6856" s="239">
        <v>538.0000000144355</v>
      </c>
    </row>
    <row r="6857">
      <c r="A6857" s="234"/>
      <c r="B6857" s="238" t="str">
        <f>IFERROR(__xludf.DUMMYFUNCTION("""COMPUTED_VALUE"""),"SoC_RS_Gravataí_02")</f>
        <v>SoC_RS_Gravataí_02</v>
      </c>
      <c r="C6857" s="238" t="str">
        <f>IFERROR(__xludf.DUMMYFUNCTION("""COMPUTED_VALUE"""),"SOC-RS2")</f>
        <v>SOC-RS2</v>
      </c>
      <c r="D6857" s="234">
        <f>IFERROR(__xludf.DUMMYFUNCTION("""COMPUTED_VALUE"""),92.0)</f>
        <v>92</v>
      </c>
      <c r="E6857" s="237" t="str">
        <f>IFERROR(__xludf.DUMMYFUNCTION("""COMPUTED_VALUE"""),"LT0Q2501Y1QM2")</f>
        <v>LT0Q2501Y1QM2</v>
      </c>
      <c r="F6857" s="238" t="str">
        <f>IFERROR(__xludf.DUMMYFUNCTION("""COMPUTED_VALUE"""),"IOJ1F31,IMM3A92")</f>
        <v>IOJ1F31,IMM3A92</v>
      </c>
      <c r="G6857" s="238">
        <f>IFERROR(__xludf.DUMMYFUNCTION("""COMPUTED_VALUE"""),46058.91805555555)</f>
        <v>46058.91806</v>
      </c>
      <c r="H6857" s="238">
        <f>IFERROR(__xludf.DUMMYFUNCTION("""COMPUTED_VALUE"""),46059.29166666667)</f>
        <v>46059.29167</v>
      </c>
      <c r="J6857" s="239">
        <v>538.0000000144355</v>
      </c>
    </row>
    <row r="6858">
      <c r="A6858" s="234"/>
      <c r="B6858" s="238" t="str">
        <f>IFERROR(__xludf.DUMMYFUNCTION("""COMPUTED_VALUE"""),"SoC_SP_Cravinhos")</f>
        <v>SoC_SP_Cravinhos</v>
      </c>
      <c r="C6858" s="238" t="str">
        <f>IFERROR(__xludf.DUMMYFUNCTION("""COMPUTED_VALUE"""),"SOC-SP5")</f>
        <v>SOC-SP5</v>
      </c>
      <c r="D6858" s="234">
        <f>IFERROR(__xludf.DUMMYFUNCTION("""COMPUTED_VALUE"""),94.0)</f>
        <v>94</v>
      </c>
      <c r="E6858" s="237" t="str">
        <f>IFERROR(__xludf.DUMMYFUNCTION("""COMPUTED_VALUE"""),"LT0Q2501XVVR1")</f>
        <v>LT0Q2501XVVR1</v>
      </c>
      <c r="F6858" s="238" t="str">
        <f>IFERROR(__xludf.DUMMYFUNCTION("""COMPUTED_VALUE"""),"IRJ4D34,DBB4D70")</f>
        <v>IRJ4D34,DBB4D70</v>
      </c>
      <c r="G6858" s="238">
        <f>IFERROR(__xludf.DUMMYFUNCTION("""COMPUTED_VALUE"""),46058.91805555555)</f>
        <v>46058.91806</v>
      </c>
      <c r="H6858" s="238">
        <f>IFERROR(__xludf.DUMMYFUNCTION("""COMPUTED_VALUE"""),46059.29166666667)</f>
        <v>46059.29167</v>
      </c>
      <c r="J6858" s="239">
        <v>536.0000000079162</v>
      </c>
    </row>
    <row r="6859">
      <c r="A6859" s="234"/>
      <c r="B6859" s="238" t="str">
        <f>IFERROR(__xludf.DUMMYFUNCTION("""COMPUTED_VALUE"""),"SoC_RJ_Duque de Caxias")</f>
        <v>SoC_RJ_Duque de Caxias</v>
      </c>
      <c r="C6859" s="238" t="str">
        <f>IFERROR(__xludf.DUMMYFUNCTION("""COMPUTED_VALUE"""),"SOC-RJ2")</f>
        <v>SOC-RJ2</v>
      </c>
      <c r="D6859" s="234">
        <f>IFERROR(__xludf.DUMMYFUNCTION("""COMPUTED_VALUE"""),96.0)</f>
        <v>96</v>
      </c>
      <c r="E6859" s="237" t="str">
        <f>IFERROR(__xludf.DUMMYFUNCTION("""COMPUTED_VALUE"""),"LT0Q2501Y5P91")</f>
        <v>LT0Q2501Y5P91</v>
      </c>
      <c r="F6859" s="238" t="str">
        <f>IFERROR(__xludf.DUMMYFUNCTION("""COMPUTED_VALUE"""),"JGZ2838,KET3G80")</f>
        <v>JGZ2838,KET3G80</v>
      </c>
      <c r="G6859" s="238">
        <f>IFERROR(__xludf.DUMMYFUNCTION("""COMPUTED_VALUE"""),46058.919444444444)</f>
        <v>46058.91944</v>
      </c>
      <c r="H6859" s="238">
        <f>IFERROR(__xludf.DUMMYFUNCTION("""COMPUTED_VALUE"""),46059.29166666667)</f>
        <v>46059.29167</v>
      </c>
      <c r="J6859" s="239">
        <v>536.0000000079162</v>
      </c>
    </row>
    <row r="6860">
      <c r="A6860" s="234"/>
      <c r="B6860" s="238" t="str">
        <f>IFERROR(__xludf.DUMMYFUNCTION("""COMPUTED_VALUE"""),"SoC_RJ_Duque de Caxias")</f>
        <v>SoC_RJ_Duque de Caxias</v>
      </c>
      <c r="C6860" s="238" t="str">
        <f>IFERROR(__xludf.DUMMYFUNCTION("""COMPUTED_VALUE"""),"SOC-RJ2")</f>
        <v>SOC-RJ2</v>
      </c>
      <c r="D6860" s="234">
        <f>IFERROR(__xludf.DUMMYFUNCTION("""COMPUTED_VALUE"""),14.0)</f>
        <v>14</v>
      </c>
      <c r="E6860" s="237" t="str">
        <f>IFERROR(__xludf.DUMMYFUNCTION("""COMPUTED_VALUE"""),"LT0Q2501Y5PB2")</f>
        <v>LT0Q2501Y5PB2</v>
      </c>
      <c r="F6860" s="238" t="str">
        <f>IFERROR(__xludf.DUMMYFUNCTION("""COMPUTED_VALUE"""),"CUE9A46,FAE3G59")</f>
        <v>CUE9A46,FAE3G59</v>
      </c>
      <c r="G6860" s="238">
        <f>IFERROR(__xludf.DUMMYFUNCTION("""COMPUTED_VALUE"""),46058.919444444444)</f>
        <v>46058.91944</v>
      </c>
      <c r="H6860" s="238">
        <f>IFERROR(__xludf.DUMMYFUNCTION("""COMPUTED_VALUE"""),46059.29166666667)</f>
        <v>46059.29167</v>
      </c>
      <c r="J6860" s="239">
        <v>536.0000000079162</v>
      </c>
    </row>
    <row r="6861">
      <c r="A6861" s="234"/>
      <c r="B6861" s="238" t="str">
        <f>IFERROR(__xludf.DUMMYFUNCTION("""COMPUTED_VALUE"""),"SoC_RJ_Duque de Caxias")</f>
        <v>SoC_RJ_Duque de Caxias</v>
      </c>
      <c r="C6861" s="238" t="str">
        <f>IFERROR(__xludf.DUMMYFUNCTION("""COMPUTED_VALUE"""),"SOC-RJ2")</f>
        <v>SOC-RJ2</v>
      </c>
      <c r="D6861" s="234" t="str">
        <f>IFERROR(__xludf.DUMMYFUNCTION("""COMPUTED_VALUE"""),"97/27")</f>
        <v>97/27</v>
      </c>
      <c r="E6861" s="237" t="str">
        <f>IFERROR(__xludf.DUMMYFUNCTION("""COMPUTED_VALUE"""),"LT0Q2501Y5PD3")</f>
        <v>LT0Q2501Y5PD3</v>
      </c>
      <c r="F6861" s="238" t="str">
        <f>IFERROR(__xludf.DUMMYFUNCTION("""COMPUTED_VALUE"""),"ARE7A90,LMA1179")</f>
        <v>ARE7A90,LMA1179</v>
      </c>
      <c r="G6861" s="238">
        <f>IFERROR(__xludf.DUMMYFUNCTION("""COMPUTED_VALUE"""),46058.919444444444)</f>
        <v>46058.91944</v>
      </c>
      <c r="H6861" s="238">
        <f>IFERROR(__xludf.DUMMYFUNCTION("""COMPUTED_VALUE"""),46059.29166666667)</f>
        <v>46059.29167</v>
      </c>
      <c r="J6861" s="239">
        <v>120.00000001396984</v>
      </c>
    </row>
    <row r="6862">
      <c r="A6862" s="234"/>
      <c r="B6862" s="238" t="str">
        <f>IFERROR(__xludf.DUMMYFUNCTION("""COMPUTED_VALUE"""),"LM Hub_SP_Barueri_01")</f>
        <v>LM Hub_SP_Barueri_01</v>
      </c>
      <c r="C6862" s="238" t="str">
        <f>IFERROR(__xludf.DUMMYFUNCTION("""COMPUTED_VALUE"""),"HUB-LSP-81")</f>
        <v>HUB-LSP-81</v>
      </c>
      <c r="D6862" s="234">
        <f>IFERROR(__xludf.DUMMYFUNCTION("""COMPUTED_VALUE"""),17.0)</f>
        <v>17</v>
      </c>
      <c r="E6862" s="237" t="str">
        <f>IFERROR(__xludf.DUMMYFUNCTION("""COMPUTED_VALUE"""),"LT0Q2601Y0Z61")</f>
        <v>LT0Q2601Y0Z61</v>
      </c>
      <c r="F6862" s="238" t="str">
        <f>IFERROR(__xludf.DUMMYFUNCTION("""COMPUTED_VALUE"""),"SUQ5C99,TLD5B82")</f>
        <v>SUQ5C99,TLD5B82</v>
      </c>
      <c r="G6862" s="238">
        <f>IFERROR(__xludf.DUMMYFUNCTION("""COMPUTED_VALUE"""),46059.20833333333)</f>
        <v>46059.20833</v>
      </c>
      <c r="H6862" s="238">
        <f>IFERROR(__xludf.DUMMYFUNCTION("""COMPUTED_VALUE"""),46059.29166666667)</f>
        <v>46059.29167</v>
      </c>
      <c r="J6862" s="239">
        <v>539.0000000072177</v>
      </c>
    </row>
    <row r="6863">
      <c r="A6863" s="234"/>
      <c r="B6863" s="238" t="str">
        <f>IFERROR(__xludf.DUMMYFUNCTION("""COMPUTED_VALUE"""),"SoC_PE_Jaboatão dos Guararapes")</f>
        <v>SoC_PE_Jaboatão dos Guararapes</v>
      </c>
      <c r="C6863" s="238" t="str">
        <f>IFERROR(__xludf.DUMMYFUNCTION("""COMPUTED_VALUE"""),"SOC-PE2")</f>
        <v>SOC-PE2</v>
      </c>
      <c r="D6863" s="234">
        <f>IFERROR(__xludf.DUMMYFUNCTION("""COMPUTED_VALUE"""),98.0)</f>
        <v>98</v>
      </c>
      <c r="E6863" s="237" t="str">
        <f>IFERROR(__xludf.DUMMYFUNCTION("""COMPUTED_VALUE"""),"LT0Q2501Y18C1")</f>
        <v>LT0Q2501Y18C1</v>
      </c>
      <c r="F6863" s="238" t="str">
        <f>IFERROR(__xludf.DUMMYFUNCTION("""COMPUTED_VALUE"""),"RNX2B61,TEK7I73")</f>
        <v>RNX2B61,TEK7I73</v>
      </c>
      <c r="G6863" s="238">
        <f>IFERROR(__xludf.DUMMYFUNCTION("""COMPUTED_VALUE"""),46058.91736111111)</f>
        <v>46058.91736</v>
      </c>
      <c r="H6863" s="238">
        <f>IFERROR(__xludf.DUMMYFUNCTION("""COMPUTED_VALUE"""),46059.29166666667)</f>
        <v>46059.29167</v>
      </c>
      <c r="J6863" s="239">
        <v>120.00000001396984</v>
      </c>
    </row>
    <row r="6864">
      <c r="A6864" s="234"/>
      <c r="B6864" s="238" t="str">
        <f>IFERROR(__xludf.DUMMYFUNCTION("""COMPUTED_VALUE"""),"LM Hub_SP_Piracicaba")</f>
        <v>LM Hub_SP_Piracicaba</v>
      </c>
      <c r="C6864" s="238" t="str">
        <f>IFERROR(__xludf.DUMMYFUNCTION("""COMPUTED_VALUE"""),"HUB-LSP-62")</f>
        <v>HUB-LSP-62</v>
      </c>
      <c r="D6864" s="234">
        <f>IFERROR(__xludf.DUMMYFUNCTION("""COMPUTED_VALUE"""),23.0)</f>
        <v>23</v>
      </c>
      <c r="E6864" s="237" t="str">
        <f>IFERROR(__xludf.DUMMYFUNCTION("""COMPUTED_VALUE"""),"LT0Q2601XWQM1")</f>
        <v>LT0Q2601XWQM1</v>
      </c>
      <c r="F6864" s="238" t="str">
        <f>IFERROR(__xludf.DUMMYFUNCTION("""COMPUTED_VALUE"""),"EOF4D32,EOF4D33")</f>
        <v>EOF4D32,EOF4D33</v>
      </c>
      <c r="G6864" s="238">
        <f>IFERROR(__xludf.DUMMYFUNCTION("""COMPUTED_VALUE"""),46059.20833333333)</f>
        <v>46059.20833</v>
      </c>
      <c r="H6864" s="238">
        <f>IFERROR(__xludf.DUMMYFUNCTION("""COMPUTED_VALUE"""),46059.29166666667)</f>
        <v>46059.29167</v>
      </c>
      <c r="J6864" s="239">
        <v>120.00000001396984</v>
      </c>
    </row>
    <row r="6865">
      <c r="A6865" s="234"/>
      <c r="B6865" s="238" t="str">
        <f>IFERROR(__xludf.DUMMYFUNCTION("""COMPUTED_VALUE"""),"LM Hub_SP_Santos_PraiaGrande_02")</f>
        <v>LM Hub_SP_Santos_PraiaGrande_02</v>
      </c>
      <c r="C6865" s="238" t="str">
        <f>IFERROR(__xludf.DUMMYFUNCTION("""COMPUTED_VALUE"""),"HUB-LSP-63")</f>
        <v>HUB-LSP-63</v>
      </c>
      <c r="D6865" s="234">
        <f>IFERROR(__xludf.DUMMYFUNCTION("""COMPUTED_VALUE"""),19.0)</f>
        <v>19</v>
      </c>
      <c r="E6865" s="237" t="str">
        <f>IFERROR(__xludf.DUMMYFUNCTION("""COMPUTED_VALUE"""),"LT0Q2601XX7D1")</f>
        <v>LT0Q2601XX7D1</v>
      </c>
      <c r="F6865" s="238" t="str">
        <f>IFERROR(__xludf.DUMMYFUNCTION("""COMPUTED_VALUE"""),"EHH6F53,BYU0C58")</f>
        <v>EHH6F53,BYU0C58</v>
      </c>
      <c r="G6865" s="238">
        <f>IFERROR(__xludf.DUMMYFUNCTION("""COMPUTED_VALUE"""),46059.20833333333)</f>
        <v>46059.20833</v>
      </c>
      <c r="H6865" s="238">
        <f>IFERROR(__xludf.DUMMYFUNCTION("""COMPUTED_VALUE"""),46059.29166666667)</f>
        <v>46059.29167</v>
      </c>
      <c r="J6865" s="239">
        <v>60.00000000698492</v>
      </c>
    </row>
    <row r="6866">
      <c r="A6866" s="234"/>
      <c r="B6866" s="238" t="str">
        <f>IFERROR(__xludf.DUMMYFUNCTION("""COMPUTED_VALUE"""),"LM Hub_SP_Piracicaba")</f>
        <v>LM Hub_SP_Piracicaba</v>
      </c>
      <c r="C6866" s="238" t="str">
        <f>IFERROR(__xludf.DUMMYFUNCTION("""COMPUTED_VALUE"""),"HUB-LSP-62")</f>
        <v>HUB-LSP-62</v>
      </c>
      <c r="D6866" s="234">
        <f>IFERROR(__xludf.DUMMYFUNCTION("""COMPUTED_VALUE"""),23.0)</f>
        <v>23</v>
      </c>
      <c r="E6866" s="237" t="str">
        <f>IFERROR(__xludf.DUMMYFUNCTION("""COMPUTED_VALUE"""),"LT1Q2601YDHS1")</f>
        <v>LT1Q2601YDHS1</v>
      </c>
      <c r="F6866" s="238" t="str">
        <f>IFERROR(__xludf.DUMMYFUNCTION("""COMPUTED_VALUE"""),"EOF4D32")</f>
        <v>EOF4D32</v>
      </c>
      <c r="G6866" s="238">
        <f>IFERROR(__xludf.DUMMYFUNCTION("""COMPUTED_VALUE"""),46059.26666666666)</f>
        <v>46059.26667</v>
      </c>
      <c r="H6866" s="238">
        <f>IFERROR(__xludf.DUMMYFUNCTION("""COMPUTED_VALUE"""),46059.308333333334)</f>
        <v>46059.30833</v>
      </c>
      <c r="J6866" s="239">
        <v>119.00000000023283</v>
      </c>
    </row>
    <row r="6867">
      <c r="A6867" s="234"/>
      <c r="B6867" s="238" t="str">
        <f>IFERROR(__xludf.DUMMYFUNCTION("""COMPUTED_VALUE"""),"LM Hub_SP_Itapevi")</f>
        <v>LM Hub_SP_Itapevi</v>
      </c>
      <c r="C6867" s="238" t="str">
        <f>IFERROR(__xludf.DUMMYFUNCTION("""COMPUTED_VALUE"""),"HUB-LSP-41")</f>
        <v>HUB-LSP-41</v>
      </c>
      <c r="D6867" s="234">
        <f>IFERROR(__xludf.DUMMYFUNCTION("""COMPUTED_VALUE"""),9.0)</f>
        <v>9</v>
      </c>
      <c r="E6867" s="237" t="str">
        <f>IFERROR(__xludf.DUMMYFUNCTION("""COMPUTED_VALUE"""),"LT0Q2601Y59O1")</f>
        <v>LT0Q2601Y59O1</v>
      </c>
      <c r="F6867" s="238" t="str">
        <f>IFERROR(__xludf.DUMMYFUNCTION("""COMPUTED_VALUE"""),"MEZ3B05,MCK9433")</f>
        <v>MEZ3B05,MCK9433</v>
      </c>
      <c r="G6867" s="238">
        <f>IFERROR(__xludf.DUMMYFUNCTION("""COMPUTED_VALUE"""),46059.22986111111)</f>
        <v>46059.22986</v>
      </c>
      <c r="H6867" s="238">
        <f>IFERROR(__xludf.DUMMYFUNCTION("""COMPUTED_VALUE"""),46059.3125)</f>
        <v>46059.3125</v>
      </c>
      <c r="J6867" s="239">
        <v>119.99999999301508</v>
      </c>
    </row>
    <row r="6868">
      <c r="A6868" s="234"/>
      <c r="B6868" s="238" t="str">
        <f>IFERROR(__xludf.DUMMYFUNCTION("""COMPUTED_VALUE"""),"LM Hub_SP_Guarujá")</f>
        <v>LM Hub_SP_Guarujá</v>
      </c>
      <c r="C6868" s="238" t="str">
        <f>IFERROR(__xludf.DUMMYFUNCTION("""COMPUTED_VALUE"""),"HUB-LSP-06")</f>
        <v>HUB-LSP-06</v>
      </c>
      <c r="D6868" s="234">
        <f>IFERROR(__xludf.DUMMYFUNCTION("""COMPUTED_VALUE"""),32.0)</f>
        <v>32</v>
      </c>
      <c r="E6868" s="237" t="str">
        <f>IFERROR(__xludf.DUMMYFUNCTION("""COMPUTED_VALUE"""),"LT0Q2601XX6S1")</f>
        <v>LT0Q2601XX6S1</v>
      </c>
      <c r="F6868" s="238" t="str">
        <f>IFERROR(__xludf.DUMMYFUNCTION("""COMPUTED_VALUE"""),"RRA1C26")</f>
        <v>RRA1C26</v>
      </c>
      <c r="G6868" s="238">
        <f>IFERROR(__xludf.DUMMYFUNCTION("""COMPUTED_VALUE"""),46059.22916666667)</f>
        <v>46059.22917</v>
      </c>
      <c r="H6868" s="238">
        <f>IFERROR(__xludf.DUMMYFUNCTION("""COMPUTED_VALUE"""),46059.3125)</f>
        <v>46059.3125</v>
      </c>
      <c r="J6868" s="239">
        <v>119.99999999301508</v>
      </c>
    </row>
    <row r="6869">
      <c r="A6869" s="234"/>
      <c r="B6869" s="238" t="str">
        <f>IFERROR(__xludf.DUMMYFUNCTION("""COMPUTED_VALUE"""),"LM Hub_SP_Santos_Praia Grande")</f>
        <v>LM Hub_SP_Santos_Praia Grande</v>
      </c>
      <c r="C6869" s="238" t="str">
        <f>IFERROR(__xludf.DUMMYFUNCTION("""COMPUTED_VALUE"""),"HUB-LSP-09")</f>
        <v>HUB-LSP-09</v>
      </c>
      <c r="D6869" s="234"/>
      <c r="E6869" s="237" t="str">
        <f>IFERROR(__xludf.DUMMYFUNCTION("""COMPUTED_VALUE"""),"LT0Q2601XX6X1")</f>
        <v>LT0Q2601XX6X1</v>
      </c>
      <c r="F6869" s="238" t="str">
        <f>IFERROR(__xludf.DUMMYFUNCTION("""COMPUTED_VALUE"""),"FRC3C97,EGJ9094")</f>
        <v>FRC3C97,EGJ9094</v>
      </c>
      <c r="G6869" s="238">
        <f>IFERROR(__xludf.DUMMYFUNCTION("""COMPUTED_VALUE"""),46059.22916666667)</f>
        <v>46059.22917</v>
      </c>
      <c r="H6869" s="238">
        <f>IFERROR(__xludf.DUMMYFUNCTION("""COMPUTED_VALUE"""),46059.3125)</f>
        <v>46059.3125</v>
      </c>
      <c r="J6869" s="239">
        <v>118.00000000745058</v>
      </c>
    </row>
    <row r="6870">
      <c r="A6870" s="234"/>
      <c r="B6870" s="238" t="str">
        <f>IFERROR(__xludf.DUMMYFUNCTION("""COMPUTED_VALUE"""),"LM Hub_SP_Várzea Paulista")</f>
        <v>LM Hub_SP_Várzea Paulista</v>
      </c>
      <c r="C6870" s="238" t="str">
        <f>IFERROR(__xludf.DUMMYFUNCTION("""COMPUTED_VALUE"""),"HUB-LSP-20")</f>
        <v>HUB-LSP-20</v>
      </c>
      <c r="D6870" s="234">
        <f>IFERROR(__xludf.DUMMYFUNCTION("""COMPUTED_VALUE"""),21.0)</f>
        <v>21</v>
      </c>
      <c r="E6870" s="237" t="str">
        <f>IFERROR(__xludf.DUMMYFUNCTION("""COMPUTED_VALUE"""),"LT0Q2601XW2U1")</f>
        <v>LT0Q2601XW2U1</v>
      </c>
      <c r="F6870" s="238" t="str">
        <f>IFERROR(__xludf.DUMMYFUNCTION("""COMPUTED_VALUE"""),"EWJ2F50,EVO3C99")</f>
        <v>EWJ2F50,EVO3C99</v>
      </c>
      <c r="G6870" s="238">
        <f>IFERROR(__xludf.DUMMYFUNCTION("""COMPUTED_VALUE"""),46059.23055555555)</f>
        <v>46059.23056</v>
      </c>
      <c r="H6870" s="238">
        <f>IFERROR(__xludf.DUMMYFUNCTION("""COMPUTED_VALUE"""),46059.3125)</f>
        <v>46059.3125</v>
      </c>
      <c r="J6870" s="239">
        <v>119.00000000023283</v>
      </c>
    </row>
    <row r="6871">
      <c r="A6871" s="234"/>
      <c r="B6871" s="238" t="str">
        <f>IFERROR(__xludf.DUMMYFUNCTION("""COMPUTED_VALUE"""),"LM Hub_SP_São Paulo_Mooca")</f>
        <v>LM Hub_SP_São Paulo_Mooca</v>
      </c>
      <c r="C6871" s="238" t="str">
        <f>IFERROR(__xludf.DUMMYFUNCTION("""COMPUTED_VALUE"""),"HUB-LSP-13")</f>
        <v>HUB-LSP-13</v>
      </c>
      <c r="D6871" s="234">
        <f>IFERROR(__xludf.DUMMYFUNCTION("""COMPUTED_VALUE"""),45.0)</f>
        <v>45</v>
      </c>
      <c r="E6871" s="237" t="str">
        <f>IFERROR(__xludf.DUMMYFUNCTION("""COMPUTED_VALUE"""),"LT0Q2601Y5JH1")</f>
        <v>LT0Q2601Y5JH1</v>
      </c>
      <c r="F6871" s="238" t="str">
        <f>IFERROR(__xludf.DUMMYFUNCTION("""COMPUTED_VALUE"""),"FGI1F79")</f>
        <v>FGI1F79</v>
      </c>
      <c r="G6871" s="238">
        <f>IFERROR(__xludf.DUMMYFUNCTION("""COMPUTED_VALUE"""),46059.22986111111)</f>
        <v>46059.22986</v>
      </c>
      <c r="H6871" s="238">
        <f>IFERROR(__xludf.DUMMYFUNCTION("""COMPUTED_VALUE"""),46059.3125)</f>
        <v>46059.3125</v>
      </c>
      <c r="J6871" s="239">
        <v>119.99999999301508</v>
      </c>
    </row>
    <row r="6872">
      <c r="A6872" s="234"/>
      <c r="B6872" s="238" t="str">
        <f>IFERROR(__xludf.DUMMYFUNCTION("""COMPUTED_VALUE"""),"LM Hub_SP_Guarulhos")</f>
        <v>LM Hub_SP_Guarulhos</v>
      </c>
      <c r="C6872" s="238" t="str">
        <f>IFERROR(__xludf.DUMMYFUNCTION("""COMPUTED_VALUE"""),"HUB-LSP-77")</f>
        <v>HUB-LSP-77</v>
      </c>
      <c r="D6872" s="234">
        <f>IFERROR(__xludf.DUMMYFUNCTION("""COMPUTED_VALUE"""),14.0)</f>
        <v>14</v>
      </c>
      <c r="E6872" s="237" t="str">
        <f>IFERROR(__xludf.DUMMYFUNCTION("""COMPUTED_VALUE"""),"LT0Q2601XX781")</f>
        <v>LT0Q2601XX781</v>
      </c>
      <c r="F6872" s="238" t="str">
        <f>IFERROR(__xludf.DUMMYFUNCTION("""COMPUTED_VALUE"""),"CUE1J71,GLB6C22")</f>
        <v>CUE1J71,GLB6C22</v>
      </c>
      <c r="G6872" s="238">
        <f>IFERROR(__xludf.DUMMYFUNCTION("""COMPUTED_VALUE"""),46059.25)</f>
        <v>46059.25</v>
      </c>
      <c r="H6872" s="238">
        <f>IFERROR(__xludf.DUMMYFUNCTION("""COMPUTED_VALUE"""),46059.33333333333)</f>
        <v>46059.33333</v>
      </c>
      <c r="J6872" s="239">
        <v>119.99999999301508</v>
      </c>
    </row>
    <row r="6873">
      <c r="A6873" s="234"/>
      <c r="B6873" s="238" t="str">
        <f>IFERROR(__xludf.DUMMYFUNCTION("""COMPUTED_VALUE"""),"LM Hub_SP_Jurubatuba")</f>
        <v>LM Hub_SP_Jurubatuba</v>
      </c>
      <c r="C6873" s="238" t="str">
        <f>IFERROR(__xludf.DUMMYFUNCTION("""COMPUTED_VALUE"""),"HUB-LSP-16")</f>
        <v>HUB-LSP-16</v>
      </c>
      <c r="D6873" s="234">
        <f>IFERROR(__xludf.DUMMYFUNCTION("""COMPUTED_VALUE"""),35.0)</f>
        <v>35</v>
      </c>
      <c r="E6873" s="237" t="str">
        <f>IFERROR(__xludf.DUMMYFUNCTION("""COMPUTED_VALUE"""),"LT0Q2601XX5Y1")</f>
        <v>LT0Q2601XX5Y1</v>
      </c>
      <c r="F6873" s="238" t="str">
        <f>IFERROR(__xludf.DUMMYFUNCTION("""COMPUTED_VALUE"""),"MQM6I27,FXB7G01")</f>
        <v>MQM6I27,FXB7G01</v>
      </c>
      <c r="G6873" s="238">
        <f>IFERROR(__xludf.DUMMYFUNCTION("""COMPUTED_VALUE"""),46059.25)</f>
        <v>46059.25</v>
      </c>
      <c r="H6873" s="238">
        <f>IFERROR(__xludf.DUMMYFUNCTION("""COMPUTED_VALUE"""),46059.33333333333)</f>
        <v>46059.33333</v>
      </c>
      <c r="J6873" s="239">
        <v>119.99999999301508</v>
      </c>
    </row>
    <row r="6874">
      <c r="A6874" s="234"/>
      <c r="B6874" s="238" t="str">
        <f>IFERROR(__xludf.DUMMYFUNCTION("""COMPUTED_VALUE"""),"SoC_SP_Guarulhos")</f>
        <v>SoC_SP_Guarulhos</v>
      </c>
      <c r="C6874" s="238" t="str">
        <f>IFERROR(__xludf.DUMMYFUNCTION("""COMPUTED_VALUE"""),"SOC-SP6")</f>
        <v>SOC-SP6</v>
      </c>
      <c r="D6874" s="234">
        <f>IFERROR(__xludf.DUMMYFUNCTION("""COMPUTED_VALUE"""),15.0)</f>
        <v>15</v>
      </c>
      <c r="E6874" s="237" t="str">
        <f>IFERROR(__xludf.DUMMYFUNCTION("""COMPUTED_VALUE"""),"LT0Q2601XWZF1")</f>
        <v>LT0Q2601XWZF1</v>
      </c>
      <c r="F6874" s="238" t="str">
        <f>IFERROR(__xludf.DUMMYFUNCTION("""COMPUTED_VALUE"""),"EMU5F62,FGK3A38")</f>
        <v>EMU5F62,FGK3A38</v>
      </c>
      <c r="G6874" s="238">
        <f>IFERROR(__xludf.DUMMYFUNCTION("""COMPUTED_VALUE"""),46059.25)</f>
        <v>46059.25</v>
      </c>
      <c r="H6874" s="238">
        <f>IFERROR(__xludf.DUMMYFUNCTION("""COMPUTED_VALUE"""),46059.33333333333)</f>
        <v>46059.33333</v>
      </c>
      <c r="J6874" s="239">
        <v>119.99999999301508</v>
      </c>
    </row>
    <row r="6875">
      <c r="A6875" s="234"/>
      <c r="B6875" s="238" t="str">
        <f>IFERROR(__xludf.DUMMYFUNCTION("""COMPUTED_VALUE"""),"LM Hub_SP_São Paulo_Lapa")</f>
        <v>LM Hub_SP_São Paulo_Lapa</v>
      </c>
      <c r="C6875" s="238" t="str">
        <f>IFERROR(__xludf.DUMMYFUNCTION("""COMPUTED_VALUE"""),"HUB-LSP-15")</f>
        <v>HUB-LSP-15</v>
      </c>
      <c r="D6875" s="234">
        <f>IFERROR(__xludf.DUMMYFUNCTION("""COMPUTED_VALUE"""),38.0)</f>
        <v>38</v>
      </c>
      <c r="E6875" s="237" t="str">
        <f>IFERROR(__xludf.DUMMYFUNCTION("""COMPUTED_VALUE"""),"LT0Q2601XX5T1")</f>
        <v>LT0Q2601XX5T1</v>
      </c>
      <c r="F6875" s="238" t="str">
        <f>IFERROR(__xludf.DUMMYFUNCTION("""COMPUTED_VALUE"""),"EGK6F67,NGX1F13")</f>
        <v>EGK6F67,NGX1F13</v>
      </c>
      <c r="G6875" s="238">
        <f>IFERROR(__xludf.DUMMYFUNCTION("""COMPUTED_VALUE"""),46059.25)</f>
        <v>46059.25</v>
      </c>
      <c r="H6875" s="238">
        <f>IFERROR(__xludf.DUMMYFUNCTION("""COMPUTED_VALUE"""),46059.33333333333)</f>
        <v>46059.33333</v>
      </c>
      <c r="J6875" s="239">
        <v>119.99999999301508</v>
      </c>
    </row>
    <row r="6876">
      <c r="A6876" s="234"/>
      <c r="B6876" s="238" t="str">
        <f>IFERROR(__xludf.DUMMYFUNCTION("""COMPUTED_VALUE"""),"LM Hub_SP_Itaqua_Zimba")</f>
        <v>LM Hub_SP_Itaqua_Zimba</v>
      </c>
      <c r="C6876" s="238" t="str">
        <f>IFERROR(__xludf.DUMMYFUNCTION("""COMPUTED_VALUE"""),"HUB-LSP-74")</f>
        <v>HUB-LSP-74</v>
      </c>
      <c r="D6876" s="234">
        <f>IFERROR(__xludf.DUMMYFUNCTION("""COMPUTED_VALUE"""),12.0)</f>
        <v>12</v>
      </c>
      <c r="E6876" s="237" t="str">
        <f>IFERROR(__xludf.DUMMYFUNCTION("""COMPUTED_VALUE"""),"LT0Q2601XX6N1")</f>
        <v>LT0Q2601XX6N1</v>
      </c>
      <c r="F6876" s="238" t="str">
        <f>IFERROR(__xludf.DUMMYFUNCTION("""COMPUTED_VALUE"""),"UFL4C38,UDC4C00")</f>
        <v>UFL4C38,UDC4C00</v>
      </c>
      <c r="G6876" s="238">
        <f>IFERROR(__xludf.DUMMYFUNCTION("""COMPUTED_VALUE"""),46059.25)</f>
        <v>46059.25</v>
      </c>
      <c r="H6876" s="238">
        <f>IFERROR(__xludf.DUMMYFUNCTION("""COMPUTED_VALUE"""),46059.33333333333)</f>
        <v>46059.33333</v>
      </c>
      <c r="J6876" s="239">
        <v>119.99999999301508</v>
      </c>
    </row>
    <row r="6877">
      <c r="A6877" s="234"/>
      <c r="B6877" s="238" t="str">
        <f>IFERROR(__xludf.DUMMYFUNCTION("""COMPUTED_VALUE"""),"LM Hub_SP_Artur Alvim")</f>
        <v>LM Hub_SP_Artur Alvim</v>
      </c>
      <c r="C6877" s="238" t="str">
        <f>IFERROR(__xludf.DUMMYFUNCTION("""COMPUTED_VALUE"""),"HUB-LSP-07")</f>
        <v>HUB-LSP-07</v>
      </c>
      <c r="D6877" s="234">
        <f>IFERROR(__xludf.DUMMYFUNCTION("""COMPUTED_VALUE"""),13.0)</f>
        <v>13</v>
      </c>
      <c r="E6877" s="237" t="str">
        <f>IFERROR(__xludf.DUMMYFUNCTION("""COMPUTED_VALUE"""),"LT0Q2601XX5J1")</f>
        <v>LT0Q2601XX5J1</v>
      </c>
      <c r="F6877" s="238" t="str">
        <f>IFERROR(__xludf.DUMMYFUNCTION("""COMPUTED_VALUE"""),"ASH4C66,BWP2G99")</f>
        <v>ASH4C66,BWP2G99</v>
      </c>
      <c r="G6877" s="238">
        <f>IFERROR(__xludf.DUMMYFUNCTION("""COMPUTED_VALUE"""),46059.25)</f>
        <v>46059.25</v>
      </c>
      <c r="H6877" s="238">
        <f>IFERROR(__xludf.DUMMYFUNCTION("""COMPUTED_VALUE"""),46059.33333333333)</f>
        <v>46059.33333</v>
      </c>
      <c r="J6877" s="239">
        <v>119.99999999301508</v>
      </c>
    </row>
    <row r="6878">
      <c r="A6878" s="234"/>
      <c r="B6878" s="238" t="str">
        <f>IFERROR(__xludf.DUMMYFUNCTION("""COMPUTED_VALUE"""),"LM Hub_SP_Embu das Artes")</f>
        <v>LM Hub_SP_Embu das Artes</v>
      </c>
      <c r="C6878" s="238" t="str">
        <f>IFERROR(__xludf.DUMMYFUNCTION("""COMPUTED_VALUE"""),"HUB-LSP-36")</f>
        <v>HUB-LSP-36</v>
      </c>
      <c r="D6878" s="234">
        <f>IFERROR(__xludf.DUMMYFUNCTION("""COMPUTED_VALUE"""),24.0)</f>
        <v>24</v>
      </c>
      <c r="E6878" s="237" t="str">
        <f>IFERROR(__xludf.DUMMYFUNCTION("""COMPUTED_VALUE"""),"LT0Q2601XX7I1")</f>
        <v>LT0Q2601XX7I1</v>
      </c>
      <c r="F6878" s="238" t="str">
        <f>IFERROR(__xludf.DUMMYFUNCTION("""COMPUTED_VALUE"""),"FGL3B43,FQB3D75")</f>
        <v>FGL3B43,FQB3D75</v>
      </c>
      <c r="G6878" s="238">
        <f>IFERROR(__xludf.DUMMYFUNCTION("""COMPUTED_VALUE"""),46059.25)</f>
        <v>46059.25</v>
      </c>
      <c r="H6878" s="238">
        <f>IFERROR(__xludf.DUMMYFUNCTION("""COMPUTED_VALUE"""),46059.33333333333)</f>
        <v>46059.33333</v>
      </c>
      <c r="J6878" s="239">
        <v>119.99999999301508</v>
      </c>
    </row>
    <row r="6879">
      <c r="A6879" s="234"/>
      <c r="B6879" s="238" t="str">
        <f>IFERROR(__xludf.DUMMYFUNCTION("""COMPUTED_VALUE"""),"LM Hub_SP_VilaGuilherme")</f>
        <v>LM Hub_SP_VilaGuilherme</v>
      </c>
      <c r="C6879" s="238" t="str">
        <f>IFERROR(__xludf.DUMMYFUNCTION("""COMPUTED_VALUE"""),"HUB-LSP-68")</f>
        <v>HUB-LSP-68</v>
      </c>
      <c r="D6879" s="234">
        <f>IFERROR(__xludf.DUMMYFUNCTION("""COMPUTED_VALUE"""),33.0)</f>
        <v>33</v>
      </c>
      <c r="E6879" s="237" t="str">
        <f>IFERROR(__xludf.DUMMYFUNCTION("""COMPUTED_VALUE"""),"LT0Q2601XX6I1")</f>
        <v>LT0Q2601XX6I1</v>
      </c>
      <c r="F6879" s="238" t="str">
        <f>IFERROR(__xludf.DUMMYFUNCTION("""COMPUTED_VALUE"""),"GBP5G56,JMA4104")</f>
        <v>GBP5G56,JMA4104</v>
      </c>
      <c r="G6879" s="238">
        <f>IFERROR(__xludf.DUMMYFUNCTION("""COMPUTED_VALUE"""),46059.25)</f>
        <v>46059.25</v>
      </c>
      <c r="H6879" s="238">
        <f>IFERROR(__xludf.DUMMYFUNCTION("""COMPUTED_VALUE"""),46059.33333333333)</f>
        <v>46059.33333</v>
      </c>
      <c r="J6879" s="239">
        <v>119.00000001071021</v>
      </c>
    </row>
    <row r="6880">
      <c r="A6880" s="234"/>
      <c r="B6880" s="238" t="str">
        <f>IFERROR(__xludf.DUMMYFUNCTION("""COMPUTED_VALUE"""),"LM Hub_SP_São Bernardo do Campo")</f>
        <v>LM Hub_SP_São Bernardo do Campo</v>
      </c>
      <c r="C6880" s="238" t="str">
        <f>IFERROR(__xludf.DUMMYFUNCTION("""COMPUTED_VALUE"""),"HUB-LSP-79")</f>
        <v>HUB-LSP-79</v>
      </c>
      <c r="D6880" s="234">
        <f>IFERROR(__xludf.DUMMYFUNCTION("""COMPUTED_VALUE"""),22.0)</f>
        <v>22</v>
      </c>
      <c r="E6880" s="237" t="str">
        <f>IFERROR(__xludf.DUMMYFUNCTION("""COMPUTED_VALUE"""),"LT0Q2601Y5F21")</f>
        <v>LT0Q2601Y5F21</v>
      </c>
      <c r="F6880" s="238" t="str">
        <f>IFERROR(__xludf.DUMMYFUNCTION("""COMPUTED_VALUE"""),"EGK6F57,BEM5F57")</f>
        <v>EGK6F57,BEM5F57</v>
      </c>
      <c r="G6880" s="238">
        <f>IFERROR(__xludf.DUMMYFUNCTION("""COMPUTED_VALUE"""),46059.271527777775)</f>
        <v>46059.27153</v>
      </c>
      <c r="H6880" s="238">
        <f>IFERROR(__xludf.DUMMYFUNCTION("""COMPUTED_VALUE"""),46059.35416666667)</f>
        <v>46059.35417</v>
      </c>
      <c r="J6880" s="239">
        <v>119.99999999301508</v>
      </c>
    </row>
    <row r="6881">
      <c r="A6881" s="234"/>
      <c r="B6881" s="238" t="str">
        <f>IFERROR(__xludf.DUMMYFUNCTION("""COMPUTED_VALUE"""),"LM Hub_SP_Embu das Artes_02")</f>
        <v>LM Hub_SP_Embu das Artes_02</v>
      </c>
      <c r="C6881" s="238" t="str">
        <f>IFERROR(__xludf.DUMMYFUNCTION("""COMPUTED_VALUE"""),"HUB-LSP-96")</f>
        <v>HUB-LSP-96</v>
      </c>
      <c r="D6881" s="234">
        <f>IFERROR(__xludf.DUMMYFUNCTION("""COMPUTED_VALUE"""),25.0)</f>
        <v>25</v>
      </c>
      <c r="E6881" s="237" t="str">
        <f>IFERROR(__xludf.DUMMYFUNCTION("""COMPUTED_VALUE"""),"LT0Q2601XZF61")</f>
        <v>LT0Q2601XZF61</v>
      </c>
      <c r="F6881" s="238" t="str">
        <f>IFERROR(__xludf.DUMMYFUNCTION("""COMPUTED_VALUE"""),"FUF6H46,NVV7D82")</f>
        <v>FUF6H46,NVV7D82</v>
      </c>
      <c r="G6881" s="238">
        <f>IFERROR(__xludf.DUMMYFUNCTION("""COMPUTED_VALUE"""),46059.29166666667)</f>
        <v>46059.29167</v>
      </c>
      <c r="H6881" s="238">
        <f>IFERROR(__xludf.DUMMYFUNCTION("""COMPUTED_VALUE"""),46059.375)</f>
        <v>46059.375</v>
      </c>
      <c r="J6881" s="239">
        <v>540.0</v>
      </c>
    </row>
    <row r="6882">
      <c r="A6882" s="234"/>
      <c r="B6882" s="238" t="str">
        <f>IFERROR(__xludf.DUMMYFUNCTION("""COMPUTED_VALUE"""),"SoC_BA_Simoes Filho")</f>
        <v>SoC_BA_Simoes Filho</v>
      </c>
      <c r="C6882" s="238" t="str">
        <f>IFERROR(__xludf.DUMMYFUNCTION("""COMPUTED_VALUE"""),"SOC-BA2")</f>
        <v>SOC-BA2</v>
      </c>
      <c r="D6882" s="234">
        <f>IFERROR(__xludf.DUMMYFUNCTION("""COMPUTED_VALUE"""),89.0)</f>
        <v>89</v>
      </c>
      <c r="E6882" s="237" t="str">
        <f>IFERROR(__xludf.DUMMYFUNCTION("""COMPUTED_VALUE"""),"LT0Q2501Y1BN2")</f>
        <v>LT0Q2501Y1BN2</v>
      </c>
      <c r="F6882" s="238" t="str">
        <f>IFERROR(__xludf.DUMMYFUNCTION("""COMPUTED_VALUE"""),"CUD7C34,TDQ6J11")</f>
        <v>CUD7C34,TDQ6J11</v>
      </c>
      <c r="G6882" s="238">
        <f>IFERROR(__xludf.DUMMYFUNCTION("""COMPUTED_VALUE"""),46059.08333333333)</f>
        <v>46059.08333</v>
      </c>
      <c r="H6882" s="238">
        <f>IFERROR(__xludf.DUMMYFUNCTION("""COMPUTED_VALUE"""),46059.45833333333)</f>
        <v>46059.45833</v>
      </c>
      <c r="J6882" s="239">
        <v>538.9999999967404</v>
      </c>
    </row>
    <row r="6883">
      <c r="A6883" s="234"/>
      <c r="B6883" s="238" t="str">
        <f>IFERROR(__xludf.DUMMYFUNCTION("""COMPUTED_VALUE"""),"SoC_MG_Betim")</f>
        <v>SoC_MG_Betim</v>
      </c>
      <c r="C6883" s="238" t="str">
        <f>IFERROR(__xludf.DUMMYFUNCTION("""COMPUTED_VALUE"""),"SOC-MG2")</f>
        <v>SOC-MG2</v>
      </c>
      <c r="D6883" s="234">
        <f>IFERROR(__xludf.DUMMYFUNCTION("""COMPUTED_VALUE"""),12.0)</f>
        <v>12</v>
      </c>
      <c r="E6883" s="237" t="str">
        <f>IFERROR(__xludf.DUMMYFUNCTION("""COMPUTED_VALUE"""),"LT0Q2501Y58M1")</f>
        <v>LT0Q2501Y58M1</v>
      </c>
      <c r="F6883" s="238" t="str">
        <f>IFERROR(__xludf.DUMMYFUNCTION("""COMPUTED_VALUE"""),"HBG0F08,FWO5H10")</f>
        <v>HBG0F08,FWO5H10</v>
      </c>
      <c r="G6883" s="238">
        <f>IFERROR(__xludf.DUMMYFUNCTION("""COMPUTED_VALUE"""),46059.084027777775)</f>
        <v>46059.08403</v>
      </c>
      <c r="H6883" s="238">
        <f>IFERROR(__xludf.DUMMYFUNCTION("""COMPUTED_VALUE"""),46059.45833333333)</f>
        <v>46059.45833</v>
      </c>
      <c r="J6883" s="239">
        <v>538.9999999967404</v>
      </c>
    </row>
    <row r="6884">
      <c r="A6884" s="234"/>
      <c r="B6884" s="238" t="str">
        <f>IFERROR(__xludf.DUMMYFUNCTION("""COMPUTED_VALUE"""),"SoC_RJ_Duque de Caxias")</f>
        <v>SoC_RJ_Duque de Caxias</v>
      </c>
      <c r="C6884" s="238" t="str">
        <f>IFERROR(__xludf.DUMMYFUNCTION("""COMPUTED_VALUE"""),"SOC-RJ2")</f>
        <v>SOC-RJ2</v>
      </c>
      <c r="D6884" s="234"/>
      <c r="E6884" s="237" t="str">
        <f>IFERROR(__xludf.DUMMYFUNCTION("""COMPUTED_VALUE"""),"LT0Q2501XXXN2")</f>
        <v>LT0Q2501XXXN2</v>
      </c>
      <c r="F6884" s="238" t="str">
        <f>IFERROR(__xludf.DUMMYFUNCTION("""COMPUTED_VALUE"""),"BZF4B42,ATP5H78")</f>
        <v>BZF4B42,ATP5H78</v>
      </c>
      <c r="G6884" s="238">
        <f>IFERROR(__xludf.DUMMYFUNCTION("""COMPUTED_VALUE"""),46059.084027777775)</f>
        <v>46059.08403</v>
      </c>
      <c r="H6884" s="238">
        <f>IFERROR(__xludf.DUMMYFUNCTION("""COMPUTED_VALUE"""),46059.45833333333)</f>
        <v>46059.45833</v>
      </c>
      <c r="J6884" s="239">
        <v>538.9999999967404</v>
      </c>
    </row>
    <row r="6885">
      <c r="A6885" s="234"/>
      <c r="B6885" s="238" t="str">
        <f>IFERROR(__xludf.DUMMYFUNCTION("""COMPUTED_VALUE"""),"SoC_RJ_Duque de Caxias")</f>
        <v>SoC_RJ_Duque de Caxias</v>
      </c>
      <c r="C6885" s="238" t="str">
        <f>IFERROR(__xludf.DUMMYFUNCTION("""COMPUTED_VALUE"""),"SOC-RJ2")</f>
        <v>SOC-RJ2</v>
      </c>
      <c r="D6885" s="234"/>
      <c r="E6885" s="237" t="str">
        <f>IFERROR(__xludf.DUMMYFUNCTION("""COMPUTED_VALUE"""),"LT0Q2501XXXO3")</f>
        <v>LT0Q2501XXXO3</v>
      </c>
      <c r="F6885" s="238" t="str">
        <f>IFERROR(__xludf.DUMMYFUNCTION("""COMPUTED_VALUE"""),"IYZ5J93,DUM9E13")</f>
        <v>IYZ5J93,DUM9E13</v>
      </c>
      <c r="G6885" s="238">
        <f>IFERROR(__xludf.DUMMYFUNCTION("""COMPUTED_VALUE"""),46059.084027777775)</f>
        <v>46059.08403</v>
      </c>
      <c r="H6885" s="238">
        <f>IFERROR(__xludf.DUMMYFUNCTION("""COMPUTED_VALUE"""),46059.45833333333)</f>
        <v>46059.45833</v>
      </c>
      <c r="J6885" s="239">
        <v>537.9999999934807</v>
      </c>
    </row>
    <row r="6886">
      <c r="A6886" s="234"/>
      <c r="B6886" s="238" t="str">
        <f>IFERROR(__xludf.DUMMYFUNCTION("""COMPUTED_VALUE"""),"SoC_GO_Goiânia_02")</f>
        <v>SoC_GO_Goiânia_02</v>
      </c>
      <c r="C6886" s="238" t="str">
        <f>IFERROR(__xludf.DUMMYFUNCTION("""COMPUTED_VALUE"""),"SOC-GO2")</f>
        <v>SOC-GO2</v>
      </c>
      <c r="D6886" s="234">
        <f>IFERROR(__xludf.DUMMYFUNCTION("""COMPUTED_VALUE"""),87.0)</f>
        <v>87</v>
      </c>
      <c r="E6886" s="237" t="str">
        <f>IFERROR(__xludf.DUMMYFUNCTION("""COMPUTED_VALUE"""),"LT0Q2501Y1OH2")</f>
        <v>LT0Q2501Y1OH2</v>
      </c>
      <c r="F6886" s="238" t="str">
        <f>IFERROR(__xludf.DUMMYFUNCTION("""COMPUTED_VALUE"""),"QSY3H97,FQM4I81")</f>
        <v>QSY3H97,FQM4I81</v>
      </c>
      <c r="G6886" s="238">
        <f>IFERROR(__xludf.DUMMYFUNCTION("""COMPUTED_VALUE"""),46059.08472222222)</f>
        <v>46059.08472</v>
      </c>
      <c r="H6886" s="238">
        <f>IFERROR(__xludf.DUMMYFUNCTION("""COMPUTED_VALUE"""),46059.45833333333)</f>
        <v>46059.45833</v>
      </c>
      <c r="J6886" s="239">
        <v>537.9999999934807</v>
      </c>
    </row>
    <row r="6887">
      <c r="A6887" s="234"/>
      <c r="B6887" s="238" t="str">
        <f>IFERROR(__xludf.DUMMYFUNCTION("""COMPUTED_VALUE"""),"SoC_GO_Goiânia_02")</f>
        <v>SoC_GO_Goiânia_02</v>
      </c>
      <c r="C6887" s="238" t="str">
        <f>IFERROR(__xludf.DUMMYFUNCTION("""COMPUTED_VALUE"""),"SOC-GO2")</f>
        <v>SOC-GO2</v>
      </c>
      <c r="D6887" s="234">
        <f>IFERROR(__xludf.DUMMYFUNCTION("""COMPUTED_VALUE"""),87.0)</f>
        <v>87</v>
      </c>
      <c r="E6887" s="237" t="str">
        <f>IFERROR(__xludf.DUMMYFUNCTION("""COMPUTED_VALUE"""),"LT0Q2501Y1OL4")</f>
        <v>LT0Q2501Y1OL4</v>
      </c>
      <c r="F6887" s="238" t="str">
        <f>IFERROR(__xludf.DUMMYFUNCTION("""COMPUTED_VALUE"""),"EML5C32,UGS2G60")</f>
        <v>EML5C32,UGS2G60</v>
      </c>
      <c r="G6887" s="238">
        <f>IFERROR(__xludf.DUMMYFUNCTION("""COMPUTED_VALUE"""),46059.08472222222)</f>
        <v>46059.08472</v>
      </c>
      <c r="H6887" s="238">
        <f>IFERROR(__xludf.DUMMYFUNCTION("""COMPUTED_VALUE"""),46059.45833333333)</f>
        <v>46059.45833</v>
      </c>
      <c r="J6887" s="239">
        <v>537.9999999934807</v>
      </c>
    </row>
    <row r="6888">
      <c r="A6888" s="234"/>
      <c r="B6888" s="238" t="str">
        <f>IFERROR(__xludf.DUMMYFUNCTION("""COMPUTED_VALUE"""),"SoC_MG_Betim")</f>
        <v>SoC_MG_Betim</v>
      </c>
      <c r="C6888" s="238" t="str">
        <f>IFERROR(__xludf.DUMMYFUNCTION("""COMPUTED_VALUE"""),"SOC-MG2")</f>
        <v>SOC-MG2</v>
      </c>
      <c r="D6888" s="234">
        <f>IFERROR(__xludf.DUMMYFUNCTION("""COMPUTED_VALUE"""),91.0)</f>
        <v>91</v>
      </c>
      <c r="E6888" s="237" t="str">
        <f>IFERROR(__xludf.DUMMYFUNCTION("""COMPUTED_VALUE"""),"LT0Q2501XVTA1")</f>
        <v>LT0Q2501XVTA1</v>
      </c>
      <c r="F6888" s="238" t="str">
        <f>IFERROR(__xludf.DUMMYFUNCTION("""COMPUTED_VALUE"""),"GVQ5253,JZK6540")</f>
        <v>GVQ5253,JZK6540</v>
      </c>
      <c r="G6888" s="238">
        <f>IFERROR(__xludf.DUMMYFUNCTION("""COMPUTED_VALUE"""),46059.08472222222)</f>
        <v>46059.08472</v>
      </c>
      <c r="H6888" s="238">
        <f>IFERROR(__xludf.DUMMYFUNCTION("""COMPUTED_VALUE"""),46059.45833333333)</f>
        <v>46059.45833</v>
      </c>
      <c r="J6888" s="239">
        <v>119.99999999301508</v>
      </c>
    </row>
    <row r="6889">
      <c r="A6889" s="234"/>
      <c r="B6889" s="238" t="str">
        <f>IFERROR(__xludf.DUMMYFUNCTION("""COMPUTED_VALUE"""),"SoC_PR_Curitiba")</f>
        <v>SoC_PR_Curitiba</v>
      </c>
      <c r="C6889" s="238" t="str">
        <f>IFERROR(__xludf.DUMMYFUNCTION("""COMPUTED_VALUE"""),"SOC-PR1")</f>
        <v>SOC-PR1</v>
      </c>
      <c r="D6889" s="234">
        <f>IFERROR(__xludf.DUMMYFUNCTION("""COMPUTED_VALUE"""),40.0)</f>
        <v>40</v>
      </c>
      <c r="E6889" s="237" t="str">
        <f>IFERROR(__xludf.DUMMYFUNCTION("""COMPUTED_VALUE"""),"LT0Q2601XVUD1")</f>
        <v>LT0Q2601XVUD1</v>
      </c>
      <c r="F6889" s="238" t="str">
        <f>IFERROR(__xludf.DUMMYFUNCTION("""COMPUTED_VALUE"""),"GHB1I14,EWJ0841")</f>
        <v>GHB1I14,EWJ0841</v>
      </c>
      <c r="G6889" s="238">
        <f>IFERROR(__xludf.DUMMYFUNCTION("""COMPUTED_VALUE"""),46059.375)</f>
        <v>46059.375</v>
      </c>
      <c r="H6889" s="238">
        <f>IFERROR(__xludf.DUMMYFUNCTION("""COMPUTED_VALUE"""),46059.45833333333)</f>
        <v>46059.45833</v>
      </c>
      <c r="J6889" s="239">
        <v>537.9999999934807</v>
      </c>
    </row>
    <row r="6890">
      <c r="A6890" s="234"/>
      <c r="B6890" s="238" t="str">
        <f>IFERROR(__xludf.DUMMYFUNCTION("""COMPUTED_VALUE"""),"SoC_RS_Gravataí_02")</f>
        <v>SoC_RS_Gravataí_02</v>
      </c>
      <c r="C6890" s="238" t="str">
        <f>IFERROR(__xludf.DUMMYFUNCTION("""COMPUTED_VALUE"""),"SOC-RS2")</f>
        <v>SOC-RS2</v>
      </c>
      <c r="D6890" s="234">
        <f>IFERROR(__xludf.DUMMYFUNCTION("""COMPUTED_VALUE"""),93.0)</f>
        <v>93</v>
      </c>
      <c r="E6890" s="237" t="str">
        <f>IFERROR(__xludf.DUMMYFUNCTION("""COMPUTED_VALUE"""),"LT0Q2501Y1QO3")</f>
        <v>LT0Q2501Y1QO3</v>
      </c>
      <c r="F6890" s="238" t="str">
        <f>IFERROR(__xludf.DUMMYFUNCTION("""COMPUTED_VALUE"""),"FYS0H29,BYZ8D76")</f>
        <v>FYS0H29,BYZ8D76</v>
      </c>
      <c r="G6890" s="238">
        <f>IFERROR(__xludf.DUMMYFUNCTION("""COMPUTED_VALUE"""),46059.08472222222)</f>
        <v>46059.08472</v>
      </c>
      <c r="H6890" s="238">
        <f>IFERROR(__xludf.DUMMYFUNCTION("""COMPUTED_VALUE"""),46059.45833333333)</f>
        <v>46059.45833</v>
      </c>
      <c r="J6890" s="239">
        <v>537.9999999934807</v>
      </c>
    </row>
    <row r="6891">
      <c r="A6891" s="234"/>
      <c r="B6891" s="238" t="str">
        <f>IFERROR(__xludf.DUMMYFUNCTION("""COMPUTED_VALUE"""),"SoC_SP_Cravinhos")</f>
        <v>SoC_SP_Cravinhos</v>
      </c>
      <c r="C6891" s="238" t="str">
        <f>IFERROR(__xludf.DUMMYFUNCTION("""COMPUTED_VALUE"""),"SOC-SP5")</f>
        <v>SOC-SP5</v>
      </c>
      <c r="D6891" s="234">
        <f>IFERROR(__xludf.DUMMYFUNCTION("""COMPUTED_VALUE"""),95.0)</f>
        <v>95</v>
      </c>
      <c r="E6891" s="237" t="str">
        <f>IFERROR(__xludf.DUMMYFUNCTION("""COMPUTED_VALUE"""),"LT0Q2501XVVT2")</f>
        <v>LT0Q2501XVVT2</v>
      </c>
      <c r="F6891" s="238" t="str">
        <f>IFERROR(__xludf.DUMMYFUNCTION("""COMPUTED_VALUE"""),"BUS8C57,JRT7I52")</f>
        <v>BUS8C57,JRT7I52</v>
      </c>
      <c r="G6891" s="238">
        <f>IFERROR(__xludf.DUMMYFUNCTION("""COMPUTED_VALUE"""),46059.08472222222)</f>
        <v>46059.08472</v>
      </c>
      <c r="H6891" s="238">
        <f>IFERROR(__xludf.DUMMYFUNCTION("""COMPUTED_VALUE"""),46059.45833333333)</f>
        <v>46059.45833</v>
      </c>
      <c r="J6891" s="239">
        <v>419.99999998603016</v>
      </c>
    </row>
    <row r="6892">
      <c r="A6892" s="234"/>
      <c r="B6892" s="238" t="str">
        <f>IFERROR(__xludf.DUMMYFUNCTION("""COMPUTED_VALUE"""),"SoC_SC_Itajaí")</f>
        <v>SoC_SC_Itajaí</v>
      </c>
      <c r="C6892" s="238" t="str">
        <f>IFERROR(__xludf.DUMMYFUNCTION("""COMPUTED_VALUE"""),"SOC-SC1")</f>
        <v>SOC-SC1</v>
      </c>
      <c r="D6892" s="234"/>
      <c r="E6892" s="237" t="str">
        <f>IFERROR(__xludf.DUMMYFUNCTION("""COMPUTED_VALUE"""),"LT0Q2501Y0BJ1")</f>
        <v>LT0Q2501Y0BJ1</v>
      </c>
      <c r="F6892" s="238" t="str">
        <f>IFERROR(__xludf.DUMMYFUNCTION("""COMPUTED_VALUE"""),"TBV9I29,UBI4A73")</f>
        <v>TBV9I29,UBI4A73</v>
      </c>
      <c r="G6892" s="238">
        <f>IFERROR(__xludf.DUMMYFUNCTION("""COMPUTED_VALUE"""),46059.16666666667)</f>
        <v>46059.16667</v>
      </c>
      <c r="H6892" s="238">
        <f>IFERROR(__xludf.DUMMYFUNCTION("""COMPUTED_VALUE"""),46059.45833333333)</f>
        <v>46059.45833</v>
      </c>
      <c r="J6892" s="239">
        <v>478.99999998975545</v>
      </c>
    </row>
    <row r="6893">
      <c r="A6893" s="234"/>
      <c r="B6893" s="238" t="str">
        <f>IFERROR(__xludf.DUMMYFUNCTION("""COMPUTED_VALUE"""),"SoC_PE_Jaboatão dos Guararapes")</f>
        <v>SoC_PE_Jaboatão dos Guararapes</v>
      </c>
      <c r="C6893" s="238" t="str">
        <f>IFERROR(__xludf.DUMMYFUNCTION("""COMPUTED_VALUE"""),"SOC-PE2")</f>
        <v>SOC-PE2</v>
      </c>
      <c r="D6893" s="234"/>
      <c r="E6893" s="237" t="str">
        <f>IFERROR(__xludf.DUMMYFUNCTION("""COMPUTED_VALUE"""),"LT0Q2501Y18G3")</f>
        <v>LT0Q2501Y18G3</v>
      </c>
      <c r="F6893" s="238" t="str">
        <f>IFERROR(__xludf.DUMMYFUNCTION("""COMPUTED_VALUE"""),"EOE2286,MEO9E10")</f>
        <v>EOE2286,MEO9E10</v>
      </c>
      <c r="G6893" s="238">
        <f>IFERROR(__xludf.DUMMYFUNCTION("""COMPUTED_VALUE"""),46059.12569444445)</f>
        <v>46059.12569</v>
      </c>
      <c r="H6893" s="238">
        <f>IFERROR(__xludf.DUMMYFUNCTION("""COMPUTED_VALUE"""),46059.45833333333)</f>
        <v>46059.45833</v>
      </c>
      <c r="J6893" s="239">
        <v>419.99999998603016</v>
      </c>
    </row>
    <row r="6894">
      <c r="A6894" s="234"/>
      <c r="B6894" s="238" t="str">
        <f>IFERROR(__xludf.DUMMYFUNCTION("""COMPUTED_VALUE"""),"SoC_BA_Simoes Filho")</f>
        <v>SoC_BA_Simoes Filho</v>
      </c>
      <c r="C6894" s="238" t="str">
        <f>IFERROR(__xludf.DUMMYFUNCTION("""COMPUTED_VALUE"""),"SOC-BA2")</f>
        <v>SOC-BA2</v>
      </c>
      <c r="D6894" s="234"/>
      <c r="E6894" s="237" t="str">
        <f>IFERROR(__xludf.DUMMYFUNCTION("""COMPUTED_VALUE"""),"LT1Q2501YCZW1")</f>
        <v>LT1Q2501YCZW1</v>
      </c>
      <c r="F6894" s="238" t="str">
        <f>IFERROR(__xludf.DUMMYFUNCTION("""COMPUTED_VALUE"""),"NLP2C49,BEF0D55")</f>
        <v>NLP2C49,BEF0D55</v>
      </c>
      <c r="G6894" s="238">
        <f>IFERROR(__xludf.DUMMYFUNCTION("""COMPUTED_VALUE"""),46059.16666666667)</f>
        <v>46059.16667</v>
      </c>
      <c r="H6894" s="238">
        <f>IFERROR(__xludf.DUMMYFUNCTION("""COMPUTED_VALUE"""),46059.45833333333)</f>
        <v>46059.45833</v>
      </c>
      <c r="J6894" s="239">
        <v>419.99999998603016</v>
      </c>
    </row>
    <row r="6895">
      <c r="A6895" s="234"/>
      <c r="B6895" s="238" t="str">
        <f>IFERROR(__xludf.DUMMYFUNCTION("""COMPUTED_VALUE"""),"SoC_MG_Betim")</f>
        <v>SoC_MG_Betim</v>
      </c>
      <c r="C6895" s="238" t="str">
        <f>IFERROR(__xludf.DUMMYFUNCTION("""COMPUTED_VALUE"""),"SOC-MG2")</f>
        <v>SOC-MG2</v>
      </c>
      <c r="D6895" s="234">
        <f>IFERROR(__xludf.DUMMYFUNCTION("""COMPUTED_VALUE"""),90.0)</f>
        <v>90</v>
      </c>
      <c r="E6895" s="237" t="str">
        <f>IFERROR(__xludf.DUMMYFUNCTION("""COMPUTED_VALUE"""),"LT0Q2501XVSX3")</f>
        <v>LT0Q2501XVSX3</v>
      </c>
      <c r="F6895" s="238" t="str">
        <f>IFERROR(__xludf.DUMMYFUNCTION("""COMPUTED_VALUE"""),"QSS0A36,CSK6B41")</f>
        <v>QSS0A36,CSK6B41</v>
      </c>
      <c r="G6895" s="238">
        <f>IFERROR(__xludf.DUMMYFUNCTION("""COMPUTED_VALUE"""),46059.16666666667)</f>
        <v>46059.16667</v>
      </c>
      <c r="H6895" s="238">
        <f>IFERROR(__xludf.DUMMYFUNCTION("""COMPUTED_VALUE"""),46059.45833333333)</f>
        <v>46059.45833</v>
      </c>
      <c r="J6895" s="239">
        <v>419.99999998603016</v>
      </c>
    </row>
    <row r="6896">
      <c r="A6896" s="234"/>
      <c r="B6896" s="238" t="str">
        <f>IFERROR(__xludf.DUMMYFUNCTION("""COMPUTED_VALUE"""),"SoC_MG_Betim")</f>
        <v>SoC_MG_Betim</v>
      </c>
      <c r="C6896" s="238" t="str">
        <f>IFERROR(__xludf.DUMMYFUNCTION("""COMPUTED_VALUE"""),"SOC-MG2")</f>
        <v>SOC-MG2</v>
      </c>
      <c r="D6896" s="234"/>
      <c r="E6896" s="237" t="str">
        <f>IFERROR(__xludf.DUMMYFUNCTION("""COMPUTED_VALUE"""),"LT0Q2501XVSZ4")</f>
        <v>LT0Q2501XVSZ4</v>
      </c>
      <c r="F6896" s="238" t="str">
        <f>IFERROR(__xludf.DUMMYFUNCTION("""COMPUTED_VALUE"""),"FCV3J24,TLS7G35")</f>
        <v>FCV3J24,TLS7G35</v>
      </c>
      <c r="G6896" s="238">
        <f>IFERROR(__xludf.DUMMYFUNCTION("""COMPUTED_VALUE"""),46059.16666666667)</f>
        <v>46059.16667</v>
      </c>
      <c r="H6896" s="238">
        <f>IFERROR(__xludf.DUMMYFUNCTION("""COMPUTED_VALUE"""),46059.45833333333)</f>
        <v>46059.45833</v>
      </c>
      <c r="J6896" s="239">
        <v>419.99999998603016</v>
      </c>
    </row>
    <row r="6897">
      <c r="A6897" s="234"/>
      <c r="B6897" s="238" t="str">
        <f>IFERROR(__xludf.DUMMYFUNCTION("""COMPUTED_VALUE"""),"SoC_MG_Betim")</f>
        <v>SoC_MG_Betim</v>
      </c>
      <c r="C6897" s="238" t="str">
        <f>IFERROR(__xludf.DUMMYFUNCTION("""COMPUTED_VALUE"""),"SOC-MG2")</f>
        <v>SOC-MG2</v>
      </c>
      <c r="D6897" s="234"/>
      <c r="E6897" s="237" t="str">
        <f>IFERROR(__xludf.DUMMYFUNCTION("""COMPUTED_VALUE"""),"LT0Q2501XVT36")</f>
        <v>LT0Q2501XVT36</v>
      </c>
      <c r="F6897" s="238" t="str">
        <f>IFERROR(__xludf.DUMMYFUNCTION("""COMPUTED_VALUE"""),"FJK3B27,FXO3A21")</f>
        <v>FJK3B27,FXO3A21</v>
      </c>
      <c r="G6897" s="238">
        <f>IFERROR(__xludf.DUMMYFUNCTION("""COMPUTED_VALUE"""),46059.16666666667)</f>
        <v>46059.16667</v>
      </c>
      <c r="H6897" s="238">
        <f>IFERROR(__xludf.DUMMYFUNCTION("""COMPUTED_VALUE"""),46059.45833333333)</f>
        <v>46059.45833</v>
      </c>
      <c r="J6897" s="239">
        <v>418.9999999932479</v>
      </c>
    </row>
    <row r="6898">
      <c r="A6898" s="234"/>
      <c r="B6898" s="238" t="str">
        <f>IFERROR(__xludf.DUMMYFUNCTION("""COMPUTED_VALUE"""),"SoC_PE_Jaboatão dos Guararapes")</f>
        <v>SoC_PE_Jaboatão dos Guararapes</v>
      </c>
      <c r="C6898" s="238" t="str">
        <f>IFERROR(__xludf.DUMMYFUNCTION("""COMPUTED_VALUE"""),"SOC-PE2")</f>
        <v>SOC-PE2</v>
      </c>
      <c r="D6898" s="234"/>
      <c r="E6898" s="237" t="str">
        <f>IFERROR(__xludf.DUMMYFUNCTION("""COMPUTED_VALUE"""),"LT0Q2501Y18E2")</f>
        <v>LT0Q2501Y18E2</v>
      </c>
      <c r="F6898" s="238" t="str">
        <f>IFERROR(__xludf.DUMMYFUNCTION("""COMPUTED_VALUE"""),"EJW6G15,UEH0E20")</f>
        <v>EJW6G15,UEH0E20</v>
      </c>
      <c r="G6898" s="238">
        <f>IFERROR(__xludf.DUMMYFUNCTION("""COMPUTED_VALUE"""),46059.16736111111)</f>
        <v>46059.16736</v>
      </c>
      <c r="H6898" s="238">
        <f>IFERROR(__xludf.DUMMYFUNCTION("""COMPUTED_VALUE"""),46059.45833333333)</f>
        <v>46059.45833</v>
      </c>
      <c r="J6898" s="239">
        <v>418.9999999932479</v>
      </c>
    </row>
    <row r="6899">
      <c r="A6899" s="234"/>
      <c r="B6899" s="238" t="str">
        <f>IFERROR(__xludf.DUMMYFUNCTION("""COMPUTED_VALUE"""),"SoC_RJ_Duque de Caxias")</f>
        <v>SoC_RJ_Duque de Caxias</v>
      </c>
      <c r="C6899" s="238" t="str">
        <f>IFERROR(__xludf.DUMMYFUNCTION("""COMPUTED_VALUE"""),"SOC-RJ2")</f>
        <v>SOC-RJ2</v>
      </c>
      <c r="D6899" s="234"/>
      <c r="E6899" s="237" t="str">
        <f>IFERROR(__xludf.DUMMYFUNCTION("""COMPUTED_VALUE"""),"LT0Q2501XXXK1")</f>
        <v>LT0Q2501XXXK1</v>
      </c>
      <c r="F6899" s="238" t="str">
        <f>IFERROR(__xludf.DUMMYFUNCTION("""COMPUTED_VALUE"""),"FFD7D29,JQT3I39")</f>
        <v>FFD7D29,JQT3I39</v>
      </c>
      <c r="G6899" s="238">
        <f>IFERROR(__xludf.DUMMYFUNCTION("""COMPUTED_VALUE"""),46059.16736111111)</f>
        <v>46059.16736</v>
      </c>
      <c r="H6899" s="238">
        <f>IFERROR(__xludf.DUMMYFUNCTION("""COMPUTED_VALUE"""),46059.45833333333)</f>
        <v>46059.45833</v>
      </c>
      <c r="J6899" s="239">
        <v>599.0000000037253</v>
      </c>
    </row>
    <row r="6900">
      <c r="A6900" s="234"/>
      <c r="B6900" s="238" t="str">
        <f>IFERROR(__xludf.DUMMYFUNCTION("""COMPUTED_VALUE"""),"SoC_GO_Goiânia_02")</f>
        <v>SoC_GO_Goiânia_02</v>
      </c>
      <c r="C6900" s="238" t="str">
        <f>IFERROR(__xludf.DUMMYFUNCTION("""COMPUTED_VALUE"""),"SOC-GO2")</f>
        <v>SOC-GO2</v>
      </c>
      <c r="D6900" s="234">
        <f>IFERROR(__xludf.DUMMYFUNCTION("""COMPUTED_VALUE"""),86.0)</f>
        <v>86</v>
      </c>
      <c r="E6900" s="237" t="str">
        <f>IFERROR(__xludf.DUMMYFUNCTION("""COMPUTED_VALUE"""),"LT0Q2601Y1NI1")</f>
        <v>LT0Q2601Y1NI1</v>
      </c>
      <c r="F6900" s="238" t="str">
        <f>IFERROR(__xludf.DUMMYFUNCTION("""COMPUTED_VALUE"""),"DWM3I57,EMT8E12")</f>
        <v>DWM3I57,EMT8E12</v>
      </c>
      <c r="G6900" s="238">
        <f>IFERROR(__xludf.DUMMYFUNCTION("""COMPUTED_VALUE"""),46059.25069444445)</f>
        <v>46059.25069</v>
      </c>
      <c r="H6900" s="238">
        <f>IFERROR(__xludf.DUMMYFUNCTION("""COMPUTED_VALUE"""),46059.66666666667)</f>
        <v>46059.66667</v>
      </c>
      <c r="J6900" s="239">
        <v>598.0000000004657</v>
      </c>
    </row>
    <row r="6901">
      <c r="A6901" s="234"/>
      <c r="B6901" s="238" t="str">
        <f>IFERROR(__xludf.DUMMYFUNCTION("""COMPUTED_VALUE"""),"SoC_RJ_Duque de Caxias")</f>
        <v>SoC_RJ_Duque de Caxias</v>
      </c>
      <c r="C6901" s="238" t="str">
        <f>IFERROR(__xludf.DUMMYFUNCTION("""COMPUTED_VALUE"""),"SOC-RJ2")</f>
        <v>SOC-RJ2</v>
      </c>
      <c r="D6901" s="234">
        <f>IFERROR(__xludf.DUMMYFUNCTION("""COMPUTED_VALUE"""),97.0)</f>
        <v>97</v>
      </c>
      <c r="E6901" s="237" t="str">
        <f>IFERROR(__xludf.DUMMYFUNCTION("""COMPUTED_VALUE"""),"LT0Q2601Y5OS1")</f>
        <v>LT0Q2601Y5OS1</v>
      </c>
      <c r="F6901" s="238" t="str">
        <f>IFERROR(__xludf.DUMMYFUNCTION("""COMPUTED_VALUE"""),"DXX6J81,GFA5E45")</f>
        <v>DXX6J81,GFA5E45</v>
      </c>
      <c r="G6901" s="238">
        <f>IFERROR(__xludf.DUMMYFUNCTION("""COMPUTED_VALUE"""),46059.25138888889)</f>
        <v>46059.25139</v>
      </c>
      <c r="H6901" s="238">
        <f>IFERROR(__xludf.DUMMYFUNCTION("""COMPUTED_VALUE"""),46059.66666666667)</f>
        <v>46059.66667</v>
      </c>
      <c r="J6901" s="239">
        <v>540.0</v>
      </c>
    </row>
    <row r="6902">
      <c r="A6902" s="234"/>
      <c r="B6902" s="238" t="str">
        <f>IFERROR(__xludf.DUMMYFUNCTION("""COMPUTED_VALUE"""),"SoC_PE_Jaboatão dos Guararapes")</f>
        <v>SoC_PE_Jaboatão dos Guararapes</v>
      </c>
      <c r="C6902" s="238" t="str">
        <f>IFERROR(__xludf.DUMMYFUNCTION("""COMPUTED_VALUE"""),"SOC-PE2")</f>
        <v>SOC-PE2</v>
      </c>
      <c r="D6902" s="234">
        <f>IFERROR(__xludf.DUMMYFUNCTION("""COMPUTED_VALUE"""),98.0)</f>
        <v>98</v>
      </c>
      <c r="E6902" s="237" t="str">
        <f>IFERROR(__xludf.DUMMYFUNCTION("""COMPUTED_VALUE"""),"LT0Q2601Y17P1")</f>
        <v>LT0Q2601Y17P1</v>
      </c>
      <c r="F6902" s="238" t="str">
        <f>IFERROR(__xludf.DUMMYFUNCTION("""COMPUTED_VALUE"""),"ETU5G51,MPZ5J83")</f>
        <v>ETU5G51,MPZ5J83</v>
      </c>
      <c r="G6902" s="238">
        <f>IFERROR(__xludf.DUMMYFUNCTION("""COMPUTED_VALUE"""),46059.58333333333)</f>
        <v>46059.58333</v>
      </c>
      <c r="H6902" s="238">
        <f>IFERROR(__xludf.DUMMYFUNCTION("""COMPUTED_VALUE"""),46059.95833333333)</f>
        <v>46059.95833</v>
      </c>
      <c r="J6902" s="239">
        <v>538.9999999967404</v>
      </c>
    </row>
    <row r="6903">
      <c r="A6903" s="234"/>
      <c r="B6903" s="238" t="str">
        <f>IFERROR(__xludf.DUMMYFUNCTION("""COMPUTED_VALUE"""),"SoC_BA_Simoes Filho")</f>
        <v>SoC_BA_Simoes Filho</v>
      </c>
      <c r="C6903" s="238" t="str">
        <f>IFERROR(__xludf.DUMMYFUNCTION("""COMPUTED_VALUE"""),"SOC-BA2")</f>
        <v>SOC-BA2</v>
      </c>
      <c r="D6903" s="234" t="str">
        <f>IFERROR(__xludf.DUMMYFUNCTION("""COMPUTED_VALUE"""),"88/89")</f>
        <v>88/89</v>
      </c>
      <c r="E6903" s="237" t="str">
        <f>IFERROR(__xludf.DUMMYFUNCTION("""COMPUTED_VALUE"""),"LT0Q2601Y1BF2")</f>
        <v>LT0Q2601Y1BF2</v>
      </c>
      <c r="F6903" s="238" t="str">
        <f>IFERROR(__xludf.DUMMYFUNCTION("""COMPUTED_VALUE"""),"FUV1J79,GBR6H74")</f>
        <v>FUV1J79,GBR6H74</v>
      </c>
      <c r="G6903" s="238">
        <f>IFERROR(__xludf.DUMMYFUNCTION("""COMPUTED_VALUE"""),46059.584027777775)</f>
        <v>46059.58403</v>
      </c>
      <c r="H6903" s="238">
        <f>IFERROR(__xludf.DUMMYFUNCTION("""COMPUTED_VALUE"""),46059.95833333333)</f>
        <v>46059.95833</v>
      </c>
      <c r="J6903" s="239">
        <v>537.9999999934807</v>
      </c>
    </row>
    <row r="6904">
      <c r="A6904" s="234"/>
      <c r="B6904" s="238" t="str">
        <f>IFERROR(__xludf.DUMMYFUNCTION("""COMPUTED_VALUE"""),"SoC_RS_Gravataí_02")</f>
        <v>SoC_RS_Gravataí_02</v>
      </c>
      <c r="C6904" s="238" t="str">
        <f>IFERROR(__xludf.DUMMYFUNCTION("""COMPUTED_VALUE"""),"SOC-RS2")</f>
        <v>SOC-RS2</v>
      </c>
      <c r="D6904" s="234">
        <f>IFERROR(__xludf.DUMMYFUNCTION("""COMPUTED_VALUE"""),92.0)</f>
        <v>92</v>
      </c>
      <c r="E6904" s="237" t="str">
        <f>IFERROR(__xludf.DUMMYFUNCTION("""COMPUTED_VALUE"""),"LT0Q2601Y1Q61")</f>
        <v>LT0Q2601Y1Q61</v>
      </c>
      <c r="F6904" s="238" t="str">
        <f>IFERROR(__xludf.DUMMYFUNCTION("""COMPUTED_VALUE"""),"FLN7A59,BQU9H62")</f>
        <v>FLN7A59,BQU9H62</v>
      </c>
      <c r="G6904" s="238">
        <f>IFERROR(__xludf.DUMMYFUNCTION("""COMPUTED_VALUE"""),46059.58472222222)</f>
        <v>46059.58472</v>
      </c>
      <c r="H6904" s="238">
        <f>IFERROR(__xludf.DUMMYFUNCTION("""COMPUTED_VALUE"""),46059.95833333333)</f>
        <v>46059.95833</v>
      </c>
      <c r="J6904" s="239">
        <v>119.99999999301508</v>
      </c>
    </row>
    <row r="6905">
      <c r="A6905" s="234"/>
      <c r="B6905" s="238" t="str">
        <f>IFERROR(__xludf.DUMMYFUNCTION("""COMPUTED_VALUE"""),"LM Hub_SP_Embu das Artes")</f>
        <v>LM Hub_SP_Embu das Artes</v>
      </c>
      <c r="C6905" s="238" t="str">
        <f>IFERROR(__xludf.DUMMYFUNCTION("""COMPUTED_VALUE"""),"HUB-LSP-36")</f>
        <v>HUB-LSP-36</v>
      </c>
      <c r="D6905" s="234">
        <f>IFERROR(__xludf.DUMMYFUNCTION("""COMPUTED_VALUE"""),24.0)</f>
        <v>24</v>
      </c>
      <c r="E6905" s="237" t="str">
        <f>IFERROR(__xludf.DUMMYFUNCTION("""COMPUTED_VALUE"""),"LT0Q2601XVXZ1")</f>
        <v>LT0Q2601XVXZ1</v>
      </c>
      <c r="F6905" s="238" t="str">
        <f>IFERROR(__xludf.DUMMYFUNCTION("""COMPUTED_VALUE"""),"FGL3B43,FQB3D75")</f>
        <v>FGL3B43,FQB3D75</v>
      </c>
      <c r="G6905" s="238">
        <f>IFERROR(__xludf.DUMMYFUNCTION("""COMPUTED_VALUE"""),46059.875)</f>
        <v>46059.875</v>
      </c>
      <c r="H6905" s="238">
        <f>IFERROR(__xludf.DUMMYFUNCTION("""COMPUTED_VALUE"""),46059.95833333333)</f>
        <v>46059.95833</v>
      </c>
      <c r="J6905" s="239">
        <v>120.00000001396984</v>
      </c>
    </row>
    <row r="6906">
      <c r="A6906" s="234"/>
      <c r="B6906" s="238" t="str">
        <f>IFERROR(__xludf.DUMMYFUNCTION("""COMPUTED_VALUE"""),"LM Hub_RJ_Jacarepaguá")</f>
        <v>LM Hub_RJ_Jacarepaguá</v>
      </c>
      <c r="C6906" s="238" t="str">
        <f>IFERROR(__xludf.DUMMYFUNCTION("""COMPUTED_VALUE"""),"HUB-LRJ-29")</f>
        <v>HUB-LRJ-29</v>
      </c>
      <c r="D6906" s="234"/>
      <c r="E6906" s="237" t="str">
        <f>IFERROR(__xludf.DUMMYFUNCTION("""COMPUTED_VALUE"""),"LT0Q2601Y1J71")</f>
        <v>LT0Q2601Y1J71</v>
      </c>
      <c r="F6906" s="238" t="str">
        <f>IFERROR(__xludf.DUMMYFUNCTION("""COMPUTED_VALUE"""),"HLD0E70,DTA4A60")</f>
        <v>HLD0E70,DTA4A60</v>
      </c>
      <c r="G6906" s="238">
        <f>IFERROR(__xludf.DUMMYFUNCTION("""COMPUTED_VALUE"""),46059.89583333333)</f>
        <v>46059.89583</v>
      </c>
      <c r="H6906" s="238">
        <f>IFERROR(__xludf.DUMMYFUNCTION("""COMPUTED_VALUE"""),46059.97916666667)</f>
        <v>46059.97917</v>
      </c>
      <c r="J6906" s="239">
        <v>120.00000001396984</v>
      </c>
    </row>
    <row r="6907">
      <c r="A6907" s="234"/>
      <c r="B6907" s="238" t="str">
        <f>IFERROR(__xludf.DUMMYFUNCTION("""COMPUTED_VALUE"""),"LM Hub_SP_Itaqua_Zimba")</f>
        <v>LM Hub_SP_Itaqua_Zimba</v>
      </c>
      <c r="C6907" s="238" t="str">
        <f>IFERROR(__xludf.DUMMYFUNCTION("""COMPUTED_VALUE"""),"HUB-LSP-74")</f>
        <v>HUB-LSP-74</v>
      </c>
      <c r="D6907" s="234">
        <f>IFERROR(__xludf.DUMMYFUNCTION("""COMPUTED_VALUE"""),16.0)</f>
        <v>16</v>
      </c>
      <c r="E6907" s="237" t="str">
        <f>IFERROR(__xludf.DUMMYFUNCTION("""COMPUTED_VALUE"""),"LT0Q2601XVYT1")</f>
        <v>LT0Q2601XVYT1</v>
      </c>
      <c r="F6907" s="238" t="str">
        <f>IFERROR(__xludf.DUMMYFUNCTION("""COMPUTED_VALUE"""),"EST8J09,TLT5J65")</f>
        <v>EST8J09,TLT5J65</v>
      </c>
      <c r="G6907" s="238">
        <f>IFERROR(__xludf.DUMMYFUNCTION("""COMPUTED_VALUE"""),46059.89583333333)</f>
        <v>46059.89583</v>
      </c>
      <c r="H6907" s="238">
        <f>IFERROR(__xludf.DUMMYFUNCTION("""COMPUTED_VALUE"""),46059.97916666667)</f>
        <v>46059.97917</v>
      </c>
      <c r="J6907" s="239">
        <v>120.00000001396984</v>
      </c>
    </row>
    <row r="6908">
      <c r="A6908" s="234"/>
      <c r="B6908" s="238" t="str">
        <f>IFERROR(__xludf.DUMMYFUNCTION("""COMPUTED_VALUE"""),"LM Hub_SP_São Paulo_Lapa")</f>
        <v>LM Hub_SP_São Paulo_Lapa</v>
      </c>
      <c r="C6908" s="238" t="str">
        <f>IFERROR(__xludf.DUMMYFUNCTION("""COMPUTED_VALUE"""),"HUB-LSP-15")</f>
        <v>HUB-LSP-15</v>
      </c>
      <c r="D6908" s="234">
        <f>IFERROR(__xludf.DUMMYFUNCTION("""COMPUTED_VALUE"""),15.0)</f>
        <v>15</v>
      </c>
      <c r="E6908" s="237" t="str">
        <f>IFERROR(__xludf.DUMMYFUNCTION("""COMPUTED_VALUE"""),"LT0Q2601XVXD1")</f>
        <v>LT0Q2601XVXD1</v>
      </c>
      <c r="F6908" s="238" t="str">
        <f>IFERROR(__xludf.DUMMYFUNCTION("""COMPUTED_VALUE"""),"QPV1A02,ELQ6F04")</f>
        <v>QPV1A02,ELQ6F04</v>
      </c>
      <c r="G6908" s="238">
        <f>IFERROR(__xludf.DUMMYFUNCTION("""COMPUTED_VALUE"""),46059.89583333333)</f>
        <v>46059.89583</v>
      </c>
      <c r="H6908" s="238">
        <f>IFERROR(__xludf.DUMMYFUNCTION("""COMPUTED_VALUE"""),46059.97916666667)</f>
        <v>46059.97917</v>
      </c>
      <c r="J6908" s="239">
        <v>120.00000001396984</v>
      </c>
    </row>
    <row r="6909">
      <c r="A6909" s="234"/>
      <c r="B6909" s="238" t="str">
        <f>IFERROR(__xludf.DUMMYFUNCTION("""COMPUTED_VALUE"""),"LM Hub_SP_Várzea Paulista")</f>
        <v>LM Hub_SP_Várzea Paulista</v>
      </c>
      <c r="C6909" s="238" t="str">
        <f>IFERROR(__xludf.DUMMYFUNCTION("""COMPUTED_VALUE"""),"HUB-LSP-20")</f>
        <v>HUB-LSP-20</v>
      </c>
      <c r="D6909" s="234"/>
      <c r="E6909" s="237" t="str">
        <f>IFERROR(__xludf.DUMMYFUNCTION("""COMPUTED_VALUE"""),"LT0Q2601XW3E1")</f>
        <v>LT0Q2601XW3E1</v>
      </c>
      <c r="F6909" s="238" t="str">
        <f>IFERROR(__xludf.DUMMYFUNCTION("""COMPUTED_VALUE"""),"DPR5J10,TJX9B42")</f>
        <v>DPR5J10,TJX9B42</v>
      </c>
      <c r="G6909" s="238">
        <f>IFERROR(__xludf.DUMMYFUNCTION("""COMPUTED_VALUE"""),46059.89583333333)</f>
        <v>46059.89583</v>
      </c>
      <c r="H6909" s="238">
        <f>IFERROR(__xludf.DUMMYFUNCTION("""COMPUTED_VALUE"""),46059.97916666667)</f>
        <v>46059.97917</v>
      </c>
      <c r="J6909" s="239">
        <v>119.00000001071021</v>
      </c>
    </row>
    <row r="6910">
      <c r="A6910" s="234"/>
      <c r="B6910" s="238" t="str">
        <f>IFERROR(__xludf.DUMMYFUNCTION("""COMPUTED_VALUE"""),"LM Hub_SP_Jurubatuba")</f>
        <v>LM Hub_SP_Jurubatuba</v>
      </c>
      <c r="C6910" s="238" t="str">
        <f>IFERROR(__xludf.DUMMYFUNCTION("""COMPUTED_VALUE"""),"HUB-LSP-16")</f>
        <v>HUB-LSP-16</v>
      </c>
      <c r="D6910" s="234">
        <f>IFERROR(__xludf.DUMMYFUNCTION("""COMPUTED_VALUE"""),36.0)</f>
        <v>36</v>
      </c>
      <c r="E6910" s="237" t="str">
        <f>IFERROR(__xludf.DUMMYFUNCTION("""COMPUTED_VALUE"""),"LT0Q2601Y59H1")</f>
        <v>LT0Q2601Y59H1</v>
      </c>
      <c r="F6910" s="238" t="str">
        <f>IFERROR(__xludf.DUMMYFUNCTION("""COMPUTED_VALUE"""),"DTD4722,NCK7E66")</f>
        <v>DTD4722,NCK7E66</v>
      </c>
      <c r="G6910" s="238">
        <f>IFERROR(__xludf.DUMMYFUNCTION("""COMPUTED_VALUE"""),46059.896527777775)</f>
        <v>46059.89653</v>
      </c>
      <c r="H6910" s="238">
        <f>IFERROR(__xludf.DUMMYFUNCTION("""COMPUTED_VALUE"""),46059.97916666667)</f>
        <v>46059.97917</v>
      </c>
      <c r="J6910" s="239">
        <v>129.00000000139698</v>
      </c>
    </row>
    <row r="6911">
      <c r="A6911" s="234"/>
      <c r="B6911" s="238" t="str">
        <f>IFERROR(__xludf.DUMMYFUNCTION("""COMPUTED_VALUE"""),"LM Hub_SP_Guarujá")</f>
        <v>LM Hub_SP_Guarujá</v>
      </c>
      <c r="C6911" s="238" t="str">
        <f>IFERROR(__xludf.DUMMYFUNCTION("""COMPUTED_VALUE"""),"HUB-LSP-06")</f>
        <v>HUB-LSP-06</v>
      </c>
      <c r="D6911" s="234">
        <f>IFERROR(__xludf.DUMMYFUNCTION("""COMPUTED_VALUE"""),33.0)</f>
        <v>33</v>
      </c>
      <c r="E6911" s="237" t="str">
        <f>IFERROR(__xludf.DUMMYFUNCTION("""COMPUTED_VALUE"""),"LT0Q2601XVZS1")</f>
        <v>LT0Q2601XVZS1</v>
      </c>
      <c r="F6911" s="238" t="str">
        <f>IFERROR(__xludf.DUMMYFUNCTION("""COMPUTED_VALUE"""),"UFB1B50")</f>
        <v>UFB1B50</v>
      </c>
      <c r="G6911" s="238">
        <f>IFERROR(__xludf.DUMMYFUNCTION("""COMPUTED_VALUE"""),46059.90972222222)</f>
        <v>46059.90972</v>
      </c>
      <c r="H6911" s="238">
        <f>IFERROR(__xludf.DUMMYFUNCTION("""COMPUTED_VALUE"""),46059.99930555555)</f>
        <v>46059.99931</v>
      </c>
      <c r="J6911" s="239">
        <v>119.99999999301508</v>
      </c>
    </row>
    <row r="6912">
      <c r="A6912" s="234"/>
      <c r="B6912" s="238" t="str">
        <f>IFERROR(__xludf.DUMMYFUNCTION("""COMPUTED_VALUE"""),"LM Hub_SP_Artur Alvim")</f>
        <v>LM Hub_SP_Artur Alvim</v>
      </c>
      <c r="C6912" s="238" t="str">
        <f>IFERROR(__xludf.DUMMYFUNCTION("""COMPUTED_VALUE"""),"HUB-LSP-07")</f>
        <v>HUB-LSP-07</v>
      </c>
      <c r="D6912" s="234">
        <f>IFERROR(__xludf.DUMMYFUNCTION("""COMPUTED_VALUE"""),17.0)</f>
        <v>17</v>
      </c>
      <c r="E6912" s="237" t="str">
        <f>IFERROR(__xludf.DUMMYFUNCTION("""COMPUTED_VALUE"""),"LT0Q2601XVWY1")</f>
        <v>LT0Q2601XVWY1</v>
      </c>
      <c r="F6912" s="238" t="str">
        <f>IFERROR(__xludf.DUMMYFUNCTION("""COMPUTED_VALUE"""),"OUV2G66,JMU8H37")</f>
        <v>OUV2G66,JMU8H37</v>
      </c>
      <c r="G6912" s="238">
        <f>IFERROR(__xludf.DUMMYFUNCTION("""COMPUTED_VALUE"""),46059.91666666667)</f>
        <v>46059.91667</v>
      </c>
      <c r="H6912" s="238">
        <f>IFERROR(__xludf.DUMMYFUNCTION("""COMPUTED_VALUE"""),46060.0)</f>
        <v>46060</v>
      </c>
      <c r="J6912" s="239">
        <v>119.99999999301508</v>
      </c>
    </row>
    <row r="6913">
      <c r="A6913" s="234"/>
      <c r="B6913" s="238" t="str">
        <f>IFERROR(__xludf.DUMMYFUNCTION("""COMPUTED_VALUE"""),"LM Hub_SP_Barueri_01")</f>
        <v>LM Hub_SP_Barueri_01</v>
      </c>
      <c r="C6913" s="238" t="str">
        <f>IFERROR(__xludf.DUMMYFUNCTION("""COMPUTED_VALUE"""),"HUB-LSP-81")</f>
        <v>HUB-LSP-81</v>
      </c>
      <c r="D6913" s="234">
        <f>IFERROR(__xludf.DUMMYFUNCTION("""COMPUTED_VALUE"""),22.0)</f>
        <v>22</v>
      </c>
      <c r="E6913" s="237" t="str">
        <f>IFERROR(__xludf.DUMMYFUNCTION("""COMPUTED_VALUE"""),"LT0Q2601Y0ZG1")</f>
        <v>LT0Q2601Y0ZG1</v>
      </c>
      <c r="F6913" s="238" t="str">
        <f>IFERROR(__xludf.DUMMYFUNCTION("""COMPUTED_VALUE"""),"FRO3D47,EWU4B46")</f>
        <v>FRO3D47,EWU4B46</v>
      </c>
      <c r="G6913" s="238">
        <f>IFERROR(__xludf.DUMMYFUNCTION("""COMPUTED_VALUE"""),46059.91666666667)</f>
        <v>46059.91667</v>
      </c>
      <c r="H6913" s="238">
        <f>IFERROR(__xludf.DUMMYFUNCTION("""COMPUTED_VALUE"""),46060.0)</f>
        <v>46060</v>
      </c>
      <c r="J6913" s="239">
        <v>119.99999999301508</v>
      </c>
    </row>
    <row r="6914">
      <c r="A6914" s="234"/>
      <c r="B6914" s="238" t="str">
        <f>IFERROR(__xludf.DUMMYFUNCTION("""COMPUTED_VALUE"""),"LM Hub_SP_Guarulhos")</f>
        <v>LM Hub_SP_Guarulhos</v>
      </c>
      <c r="C6914" s="238" t="str">
        <f>IFERROR(__xludf.DUMMYFUNCTION("""COMPUTED_VALUE"""),"HUB-LSP-77")</f>
        <v>HUB-LSP-77</v>
      </c>
      <c r="D6914" s="234">
        <f>IFERROR(__xludf.DUMMYFUNCTION("""COMPUTED_VALUE"""),26.0)</f>
        <v>26</v>
      </c>
      <c r="E6914" s="237" t="str">
        <f>IFERROR(__xludf.DUMMYFUNCTION("""COMPUTED_VALUE"""),"LT0Q2601XWQF1")</f>
        <v>LT0Q2601XWQF1</v>
      </c>
      <c r="F6914" s="238" t="str">
        <f>IFERROR(__xludf.DUMMYFUNCTION("""COMPUTED_VALUE"""),"PRB0D29,NKH4A83")</f>
        <v>PRB0D29,NKH4A83</v>
      </c>
      <c r="G6914" s="238">
        <f>IFERROR(__xludf.DUMMYFUNCTION("""COMPUTED_VALUE"""),46059.91666666667)</f>
        <v>46059.91667</v>
      </c>
      <c r="H6914" s="238">
        <f>IFERROR(__xludf.DUMMYFUNCTION("""COMPUTED_VALUE"""),46060.0)</f>
        <v>46060</v>
      </c>
      <c r="J6914" s="239">
        <v>119.99999999301508</v>
      </c>
    </row>
    <row r="6915">
      <c r="A6915" s="234"/>
      <c r="B6915" s="238" t="str">
        <f>IFERROR(__xludf.DUMMYFUNCTION("""COMPUTED_VALUE"""),"LM Hub_SP_Itapevi")</f>
        <v>LM Hub_SP_Itapevi</v>
      </c>
      <c r="C6915" s="238" t="str">
        <f>IFERROR(__xludf.DUMMYFUNCTION("""COMPUTED_VALUE"""),"HUB-LSP-41")</f>
        <v>HUB-LSP-41</v>
      </c>
      <c r="D6915" s="234">
        <f>IFERROR(__xludf.DUMMYFUNCTION("""COMPUTED_VALUE"""),13.0)</f>
        <v>13</v>
      </c>
      <c r="E6915" s="237" t="str">
        <f>IFERROR(__xludf.DUMMYFUNCTION("""COMPUTED_VALUE"""),"LT0Q2601XVY71")</f>
        <v>LT0Q2601XVY71</v>
      </c>
      <c r="F6915" s="238" t="str">
        <f>IFERROR(__xludf.DUMMYFUNCTION("""COMPUTED_VALUE"""),"BCS4J31,DJB0J76")</f>
        <v>BCS4J31,DJB0J76</v>
      </c>
      <c r="G6915" s="238">
        <f>IFERROR(__xludf.DUMMYFUNCTION("""COMPUTED_VALUE"""),46059.91666666667)</f>
        <v>46059.91667</v>
      </c>
      <c r="H6915" s="238">
        <f>IFERROR(__xludf.DUMMYFUNCTION("""COMPUTED_VALUE"""),46060.0)</f>
        <v>46060</v>
      </c>
      <c r="J6915" s="239">
        <v>119.99999999301508</v>
      </c>
    </row>
    <row r="6916">
      <c r="A6916" s="234"/>
      <c r="B6916" s="238" t="str">
        <f>IFERROR(__xludf.DUMMYFUNCTION("""COMPUTED_VALUE"""),"LM Hub_SP_Jundiaí")</f>
        <v>LM Hub_SP_Jundiaí</v>
      </c>
      <c r="C6916" s="238" t="str">
        <f>IFERROR(__xludf.DUMMYFUNCTION("""COMPUTED_VALUE"""),"HUB-LSP-100")</f>
        <v>HUB-LSP-100</v>
      </c>
      <c r="D6916" s="234">
        <f>IFERROR(__xludf.DUMMYFUNCTION("""COMPUTED_VALUE"""),19.0)</f>
        <v>19</v>
      </c>
      <c r="E6916" s="237" t="str">
        <f>IFERROR(__xludf.DUMMYFUNCTION("""COMPUTED_VALUE"""),"LT0Q2601Y2H81")</f>
        <v>LT0Q2601Y2H81</v>
      </c>
      <c r="F6916" s="238" t="str">
        <f>IFERROR(__xludf.DUMMYFUNCTION("""COMPUTED_VALUE"""),"EDI5J16,STY9E57")</f>
        <v>EDI5J16,STY9E57</v>
      </c>
      <c r="G6916" s="238">
        <f>IFERROR(__xludf.DUMMYFUNCTION("""COMPUTED_VALUE"""),46059.91666666667)</f>
        <v>46059.91667</v>
      </c>
      <c r="H6916" s="238">
        <f>IFERROR(__xludf.DUMMYFUNCTION("""COMPUTED_VALUE"""),46060.0)</f>
        <v>46060</v>
      </c>
      <c r="J6916" s="239">
        <v>119.99999999301508</v>
      </c>
    </row>
    <row r="6917">
      <c r="A6917" s="234"/>
      <c r="B6917" s="238" t="str">
        <f>IFERROR(__xludf.DUMMYFUNCTION("""COMPUTED_VALUE"""),"LM Hub_SP_São José do Rio P")</f>
        <v>LM Hub_SP_São José do Rio P</v>
      </c>
      <c r="C6917" s="238" t="str">
        <f>IFERROR(__xludf.DUMMYFUNCTION("""COMPUTED_VALUE"""),"HUB-LSP-27")</f>
        <v>HUB-LSP-27</v>
      </c>
      <c r="D6917" s="234">
        <f>IFERROR(__xludf.DUMMYFUNCTION("""COMPUTED_VALUE"""),110.0)</f>
        <v>110</v>
      </c>
      <c r="E6917" s="237" t="str">
        <f>IFERROR(__xludf.DUMMYFUNCTION("""COMPUTED_VALUE"""),"LT0Q2601XZR81")</f>
        <v>LT0Q2601XZR81</v>
      </c>
      <c r="F6917" s="238" t="str">
        <f>IFERROR(__xludf.DUMMYFUNCTION("""COMPUTED_VALUE"""),"FPF7962,DOL1F62")</f>
        <v>FPF7962,DOL1F62</v>
      </c>
      <c r="G6917" s="238">
        <f>IFERROR(__xludf.DUMMYFUNCTION("""COMPUTED_VALUE"""),46059.91666666667)</f>
        <v>46059.91667</v>
      </c>
      <c r="H6917" s="238">
        <f>IFERROR(__xludf.DUMMYFUNCTION("""COMPUTED_VALUE"""),46060.0)</f>
        <v>46060</v>
      </c>
      <c r="J6917" s="239">
        <v>119.99999999301508</v>
      </c>
    </row>
    <row r="6918">
      <c r="A6918" s="234"/>
      <c r="B6918" s="238" t="str">
        <f>IFERROR(__xludf.DUMMYFUNCTION("""COMPUTED_VALUE"""),"SoC_SP_Louveira")</f>
        <v>SoC_SP_Louveira</v>
      </c>
      <c r="C6918" s="238" t="str">
        <f>IFERROR(__xludf.DUMMYFUNCTION("""COMPUTED_VALUE"""),"SOC-SP7")</f>
        <v>SOC-SP7</v>
      </c>
      <c r="D6918" s="234"/>
      <c r="E6918" s="237" t="str">
        <f>IFERROR(__xludf.DUMMYFUNCTION("""COMPUTED_VALUE"""),"LT1Q2601YD301")</f>
        <v>LT1Q2601YD301</v>
      </c>
      <c r="F6918" s="238" t="str">
        <f>IFERROR(__xludf.DUMMYFUNCTION("""COMPUTED_VALUE"""),"ITC9C34,RLI7D86")</f>
        <v>ITC9C34,RLI7D86</v>
      </c>
      <c r="G6918" s="238">
        <f>IFERROR(__xludf.DUMMYFUNCTION("""COMPUTED_VALUE"""),46059.91666666667)</f>
        <v>46059.91667</v>
      </c>
      <c r="H6918" s="238">
        <f>IFERROR(__xludf.DUMMYFUNCTION("""COMPUTED_VALUE"""),46060.0)</f>
        <v>46060</v>
      </c>
      <c r="J6918" s="239">
        <v>119.00000000023283</v>
      </c>
    </row>
    <row r="6919">
      <c r="A6919" s="234"/>
      <c r="B6919" s="238" t="str">
        <f>IFERROR(__xludf.DUMMYFUNCTION("""COMPUTED_VALUE"""),"LM Hub_SP_Mooca_02")</f>
        <v>LM Hub_SP_Mooca_02</v>
      </c>
      <c r="C6919" s="238" t="str">
        <f>IFERROR(__xludf.DUMMYFUNCTION("""COMPUTED_VALUE"""),"HUB-LSP-94")</f>
        <v>HUB-LSP-94</v>
      </c>
      <c r="D6919" s="234">
        <f>IFERROR(__xludf.DUMMYFUNCTION("""COMPUTED_VALUE"""),49.0)</f>
        <v>49</v>
      </c>
      <c r="E6919" s="237" t="str">
        <f>IFERROR(__xludf.DUMMYFUNCTION("""COMPUTED_VALUE"""),"LT0Q2601Y73L1")</f>
        <v>LT0Q2601Y73L1</v>
      </c>
      <c r="F6919" s="238" t="str">
        <f>IFERROR(__xludf.DUMMYFUNCTION("""COMPUTED_VALUE"""),"FPX2D52")</f>
        <v>FPX2D52</v>
      </c>
      <c r="G6919" s="238">
        <f>IFERROR(__xludf.DUMMYFUNCTION("""COMPUTED_VALUE"""),46059.91736111111)</f>
        <v>46059.91736</v>
      </c>
      <c r="H6919" s="238">
        <f>IFERROR(__xludf.DUMMYFUNCTION("""COMPUTED_VALUE"""),46060.0)</f>
        <v>46060</v>
      </c>
      <c r="J6919" s="239">
        <v>119.99999999301508</v>
      </c>
    </row>
    <row r="6920">
      <c r="A6920" s="234"/>
      <c r="B6920" s="238" t="str">
        <f>IFERROR(__xludf.DUMMYFUNCTION("""COMPUTED_VALUE"""),"LM Hub_SP_Jardim Adriana")</f>
        <v>LM Hub_SP_Jardim Adriana</v>
      </c>
      <c r="C6920" s="238" t="str">
        <f>IFERROR(__xludf.DUMMYFUNCTION("""COMPUTED_VALUE"""),"HUB-LSP-12")</f>
        <v>HUB-LSP-12</v>
      </c>
      <c r="D6920" s="234">
        <f>IFERROR(__xludf.DUMMYFUNCTION("""COMPUTED_VALUE"""),21.0)</f>
        <v>21</v>
      </c>
      <c r="E6920" s="237" t="str">
        <f>IFERROR(__xludf.DUMMYFUNCTION("""COMPUTED_VALUE"""),"LT0Q2601XVX51")</f>
        <v>LT0Q2601XVX51</v>
      </c>
      <c r="F6920" s="238" t="str">
        <f>IFERROR(__xludf.DUMMYFUNCTION("""COMPUTED_VALUE"""),"IYS3C29")</f>
        <v>IYS3C29</v>
      </c>
      <c r="G6920" s="238">
        <f>IFERROR(__xludf.DUMMYFUNCTION("""COMPUTED_VALUE"""),46059.9375)</f>
        <v>46059.9375</v>
      </c>
      <c r="H6920" s="238">
        <f>IFERROR(__xludf.DUMMYFUNCTION("""COMPUTED_VALUE"""),46060.02083333333)</f>
        <v>46060.02083</v>
      </c>
      <c r="J6920" s="239">
        <v>119.99999999301508</v>
      </c>
    </row>
    <row r="6921">
      <c r="A6921" s="234"/>
      <c r="B6921" s="238" t="str">
        <f>IFERROR(__xludf.DUMMYFUNCTION("""COMPUTED_VALUE"""),"LM Hub_SP_Parque Novo Mundo")</f>
        <v>LM Hub_SP_Parque Novo Mundo</v>
      </c>
      <c r="C6921" s="238" t="str">
        <f>IFERROR(__xludf.DUMMYFUNCTION("""COMPUTED_VALUE"""),"HUB-LSP-89")</f>
        <v>HUB-LSP-89</v>
      </c>
      <c r="D6921" s="234">
        <f>IFERROR(__xludf.DUMMYFUNCTION("""COMPUTED_VALUE"""),14.0)</f>
        <v>14</v>
      </c>
      <c r="E6921" s="237" t="str">
        <f>IFERROR(__xludf.DUMMYFUNCTION("""COMPUTED_VALUE"""),"LT0Q2601XWXA1")</f>
        <v>LT0Q2601XWXA1</v>
      </c>
      <c r="F6921" s="238" t="str">
        <f>IFERROR(__xludf.DUMMYFUNCTION("""COMPUTED_VALUE"""),"CVN5G56,OPD3C39")</f>
        <v>CVN5G56,OPD3C39</v>
      </c>
      <c r="G6921" s="238">
        <f>IFERROR(__xludf.DUMMYFUNCTION("""COMPUTED_VALUE"""),46059.9375)</f>
        <v>46059.9375</v>
      </c>
      <c r="H6921" s="238">
        <f>IFERROR(__xludf.DUMMYFUNCTION("""COMPUTED_VALUE"""),46060.02083333333)</f>
        <v>46060.02083</v>
      </c>
      <c r="J6921" s="239">
        <v>119.99999999301508</v>
      </c>
    </row>
    <row r="6922">
      <c r="A6922" s="234"/>
      <c r="B6922" s="238" t="str">
        <f>IFERROR(__xludf.DUMMYFUNCTION("""COMPUTED_VALUE"""),"LM Hub_SP_Piracicaba")</f>
        <v>LM Hub_SP_Piracicaba</v>
      </c>
      <c r="C6922" s="238" t="str">
        <f>IFERROR(__xludf.DUMMYFUNCTION("""COMPUTED_VALUE"""),"HUB-LSP-62")</f>
        <v>HUB-LSP-62</v>
      </c>
      <c r="D6922" s="234">
        <f>IFERROR(__xludf.DUMMYFUNCTION("""COMPUTED_VALUE"""),28.0)</f>
        <v>28</v>
      </c>
      <c r="E6922" s="237" t="str">
        <f>IFERROR(__xludf.DUMMYFUNCTION("""COMPUTED_VALUE"""),"LT0Q2601XWQU1")</f>
        <v>LT0Q2601XWQU1</v>
      </c>
      <c r="F6922" s="238" t="str">
        <f>IFERROR(__xludf.DUMMYFUNCTION("""COMPUTED_VALUE"""),"EOF4D32")</f>
        <v>EOF4D32</v>
      </c>
      <c r="G6922" s="238">
        <f>IFERROR(__xludf.DUMMYFUNCTION("""COMPUTED_VALUE"""),46059.9375)</f>
        <v>46059.9375</v>
      </c>
      <c r="H6922" s="238">
        <f>IFERROR(__xludf.DUMMYFUNCTION("""COMPUTED_VALUE"""),46060.02083333333)</f>
        <v>46060.02083</v>
      </c>
      <c r="J6922" s="239">
        <v>119.99999999301508</v>
      </c>
    </row>
    <row r="6923">
      <c r="A6923" s="234"/>
      <c r="B6923" s="238" t="str">
        <f>IFERROR(__xludf.DUMMYFUNCTION("""COMPUTED_VALUE"""),"LM Hub_SP_São Paulo_Carandiru")</f>
        <v>LM Hub_SP_São Paulo_Carandiru</v>
      </c>
      <c r="C6923" s="238" t="str">
        <f>IFERROR(__xludf.DUMMYFUNCTION("""COMPUTED_VALUE"""),"HUB-LSP-18")</f>
        <v>HUB-LSP-18</v>
      </c>
      <c r="D6923" s="234">
        <f>IFERROR(__xludf.DUMMYFUNCTION("""COMPUTED_VALUE"""),27.0)</f>
        <v>27</v>
      </c>
      <c r="E6923" s="237" t="str">
        <f>IFERROR(__xludf.DUMMYFUNCTION("""COMPUTED_VALUE"""),"LT0Q2601Y59J1")</f>
        <v>LT0Q2601Y59J1</v>
      </c>
      <c r="F6923" s="238" t="str">
        <f>IFERROR(__xludf.DUMMYFUNCTION("""COMPUTED_VALUE"""),"FLX0F06")</f>
        <v>FLX0F06</v>
      </c>
      <c r="G6923" s="238">
        <f>IFERROR(__xludf.DUMMYFUNCTION("""COMPUTED_VALUE"""),46059.9375)</f>
        <v>46059.9375</v>
      </c>
      <c r="H6923" s="238">
        <f>IFERROR(__xludf.DUMMYFUNCTION("""COMPUTED_VALUE"""),46060.02083333333)</f>
        <v>46060.02083</v>
      </c>
      <c r="J6923" s="239">
        <v>119.99999999301508</v>
      </c>
    </row>
    <row r="6924">
      <c r="A6924" s="234"/>
      <c r="B6924" s="238" t="str">
        <f>IFERROR(__xludf.DUMMYFUNCTION("""COMPUTED_VALUE"""),"LM Hub_SP_Sorocaba_Região Norte")</f>
        <v>LM Hub_SP_Sorocaba_Região Norte</v>
      </c>
      <c r="C6924" s="238" t="str">
        <f>IFERROR(__xludf.DUMMYFUNCTION("""COMPUTED_VALUE"""),"HUB-LSP-10")</f>
        <v>HUB-LSP-10</v>
      </c>
      <c r="D6924" s="234">
        <f>IFERROR(__xludf.DUMMYFUNCTION("""COMPUTED_VALUE"""),29.0)</f>
        <v>29</v>
      </c>
      <c r="E6924" s="237" t="str">
        <f>IFERROR(__xludf.DUMMYFUNCTION("""COMPUTED_VALUE"""),"LT0Q2601XW181")</f>
        <v>LT0Q2601XW181</v>
      </c>
      <c r="F6924" s="238" t="str">
        <f>IFERROR(__xludf.DUMMYFUNCTION("""COMPUTED_VALUE"""),"UAV9I99,TPO9A25")</f>
        <v>UAV9I99,TPO9A25</v>
      </c>
      <c r="G6924" s="238">
        <f>IFERROR(__xludf.DUMMYFUNCTION("""COMPUTED_VALUE"""),46059.9375)</f>
        <v>46059.9375</v>
      </c>
      <c r="H6924" s="238">
        <f>IFERROR(__xludf.DUMMYFUNCTION("""COMPUTED_VALUE"""),46060.02083333333)</f>
        <v>46060.02083</v>
      </c>
      <c r="J6924" s="239">
        <v>119.99999999301508</v>
      </c>
    </row>
    <row r="6925">
      <c r="A6925" s="234"/>
      <c r="B6925" s="238" t="str">
        <f>IFERROR(__xludf.DUMMYFUNCTION("""COMPUTED_VALUE"""),"LM Hub_SP_Suzano_Baruel")</f>
        <v>LM Hub_SP_Suzano_Baruel</v>
      </c>
      <c r="C6925" s="238" t="str">
        <f>IFERROR(__xludf.DUMMYFUNCTION("""COMPUTED_VALUE"""),"HUB-LSP-97")</f>
        <v>HUB-LSP-97</v>
      </c>
      <c r="D6925" s="234">
        <f>IFERROR(__xludf.DUMMYFUNCTION("""COMPUTED_VALUE"""),8.0)</f>
        <v>8</v>
      </c>
      <c r="E6925" s="237" t="str">
        <f>IFERROR(__xludf.DUMMYFUNCTION("""COMPUTED_VALUE"""),"LT0Q2601Y2U91")</f>
        <v>LT0Q2601Y2U91</v>
      </c>
      <c r="F6925" s="238" t="str">
        <f>IFERROR(__xludf.DUMMYFUNCTION("""COMPUTED_VALUE"""),"DPR5J10,TJX9B42")</f>
        <v>DPR5J10,TJX9B42</v>
      </c>
      <c r="G6925" s="238">
        <f>IFERROR(__xludf.DUMMYFUNCTION("""COMPUTED_VALUE"""),46059.9375)</f>
        <v>46059.9375</v>
      </c>
      <c r="H6925" s="238">
        <f>IFERROR(__xludf.DUMMYFUNCTION("""COMPUTED_VALUE"""),46060.02083333333)</f>
        <v>46060.02083</v>
      </c>
      <c r="J6925" s="239">
        <v>118.99999998975545</v>
      </c>
    </row>
    <row r="6926">
      <c r="A6926" s="234"/>
      <c r="B6926" s="238" t="str">
        <f>IFERROR(__xludf.DUMMYFUNCTION("""COMPUTED_VALUE"""),"LM Hub_SP_VilaGuilherme")</f>
        <v>LM Hub_SP_VilaGuilherme</v>
      </c>
      <c r="C6926" s="238" t="str">
        <f>IFERROR(__xludf.DUMMYFUNCTION("""COMPUTED_VALUE"""),"HUB-LSP-68")</f>
        <v>HUB-LSP-68</v>
      </c>
      <c r="D6926" s="234">
        <f>IFERROR(__xludf.DUMMYFUNCTION("""COMPUTED_VALUE"""),32.0)</f>
        <v>32</v>
      </c>
      <c r="E6926" s="237" t="str">
        <f>IFERROR(__xludf.DUMMYFUNCTION("""COMPUTED_VALUE"""),"LT0Q2601Y59S1")</f>
        <v>LT0Q2601Y59S1</v>
      </c>
      <c r="F6926" s="238" t="str">
        <f>IFERROR(__xludf.DUMMYFUNCTION("""COMPUTED_VALUE"""),"HFD4H27,JXG9745")</f>
        <v>HFD4H27,JXG9745</v>
      </c>
      <c r="G6926" s="238">
        <f>IFERROR(__xludf.DUMMYFUNCTION("""COMPUTED_VALUE"""),46059.93819444445)</f>
        <v>46059.93819</v>
      </c>
      <c r="H6926" s="238">
        <f>IFERROR(__xludf.DUMMYFUNCTION("""COMPUTED_VALUE"""),46060.02083333333)</f>
        <v>46060.02083</v>
      </c>
      <c r="J6926" s="239">
        <v>120.00000001396984</v>
      </c>
    </row>
    <row r="6927">
      <c r="A6927" s="234"/>
      <c r="B6927" s="238" t="str">
        <f>IFERROR(__xludf.DUMMYFUNCTION("""COMPUTED_VALUE"""),"LM Hub_MG_Contagem_01")</f>
        <v>LM Hub_MG_Contagem_01</v>
      </c>
      <c r="C6927" s="238" t="str">
        <f>IFERROR(__xludf.DUMMYFUNCTION("""COMPUTED_VALUE"""),"HUB-LMG-05")</f>
        <v>HUB-LMG-05</v>
      </c>
      <c r="D6927" s="234"/>
      <c r="E6927" s="237" t="str">
        <f>IFERROR(__xludf.DUMMYFUNCTION("""COMPUTED_VALUE"""),"LT1Q2601YSHU1")</f>
        <v>LT1Q2601YSHU1</v>
      </c>
      <c r="F6927" s="234"/>
      <c r="G6927" s="238">
        <f>IFERROR(__xludf.DUMMYFUNCTION("""COMPUTED_VALUE"""),46059.95833333333)</f>
        <v>46059.95833</v>
      </c>
      <c r="H6927" s="238">
        <f>IFERROR(__xludf.DUMMYFUNCTION("""COMPUTED_VALUE"""),46060.04166666667)</f>
        <v>46060.04167</v>
      </c>
      <c r="J6927" s="239">
        <v>120.00000001396984</v>
      </c>
    </row>
    <row r="6928">
      <c r="A6928" s="234"/>
      <c r="B6928" s="238" t="str">
        <f>IFERROR(__xludf.DUMMYFUNCTION("""COMPUTED_VALUE"""),"LM Hub_RJ_Nova Iguaçu")</f>
        <v>LM Hub_RJ_Nova Iguaçu</v>
      </c>
      <c r="C6928" s="238" t="str">
        <f>IFERROR(__xludf.DUMMYFUNCTION("""COMPUTED_VALUE"""),"HUB-LRJ-27")</f>
        <v>HUB-LRJ-27</v>
      </c>
      <c r="D6928" s="234">
        <f>IFERROR(__xludf.DUMMYFUNCTION("""COMPUTED_VALUE"""),111.0)</f>
        <v>111</v>
      </c>
      <c r="E6928" s="237" t="str">
        <f>IFERROR(__xludf.DUMMYFUNCTION("""COMPUTED_VALUE"""),"LT0Q2601Y1JJ1")</f>
        <v>LT0Q2601Y1JJ1</v>
      </c>
      <c r="F6928" s="238" t="str">
        <f>IFERROR(__xludf.DUMMYFUNCTION("""COMPUTED_VALUE"""),"UAV2C09,TPK5G45")</f>
        <v>UAV2C09,TPK5G45</v>
      </c>
      <c r="G6928" s="238">
        <f>IFERROR(__xludf.DUMMYFUNCTION("""COMPUTED_VALUE"""),46059.95833333333)</f>
        <v>46059.95833</v>
      </c>
      <c r="H6928" s="238">
        <f>IFERROR(__xludf.DUMMYFUNCTION("""COMPUTED_VALUE"""),46060.04166666667)</f>
        <v>46060.04167</v>
      </c>
      <c r="J6928" s="239">
        <v>120.00000001396984</v>
      </c>
    </row>
    <row r="6929">
      <c r="A6929" s="234"/>
      <c r="B6929" s="238" t="str">
        <f>IFERROR(__xludf.DUMMYFUNCTION("""COMPUTED_VALUE"""),"LM Hub_RJ_Rio de Janeiro_Campo G")</f>
        <v>LM Hub_RJ_Rio de Janeiro_Campo G</v>
      </c>
      <c r="C6929" s="238" t="str">
        <f>IFERROR(__xludf.DUMMYFUNCTION("""COMPUTED_VALUE"""),"HUB-LRJ-04")</f>
        <v>HUB-LRJ-04</v>
      </c>
      <c r="D6929" s="234"/>
      <c r="E6929" s="237" t="str">
        <f>IFERROR(__xludf.DUMMYFUNCTION("""COMPUTED_VALUE"""),"LT0Q2601XW4A1")</f>
        <v>LT0Q2601XW4A1</v>
      </c>
      <c r="F6929" s="238" t="str">
        <f>IFERROR(__xludf.DUMMYFUNCTION("""COMPUTED_VALUE"""),"UAV9I94,UGV5D07")</f>
        <v>UAV9I94,UGV5D07</v>
      </c>
      <c r="G6929" s="238">
        <f>IFERROR(__xludf.DUMMYFUNCTION("""COMPUTED_VALUE"""),46059.95833333333)</f>
        <v>46059.95833</v>
      </c>
      <c r="H6929" s="238">
        <f>IFERROR(__xludf.DUMMYFUNCTION("""COMPUTED_VALUE"""),46060.04166666667)</f>
        <v>46060.04167</v>
      </c>
      <c r="J6929" s="239">
        <v>120.00000001396984</v>
      </c>
    </row>
    <row r="6930">
      <c r="A6930" s="234"/>
      <c r="B6930" s="238" t="str">
        <f>IFERROR(__xludf.DUMMYFUNCTION("""COMPUTED_VALUE"""),"LM Hub_RJ_São João do Meriti")</f>
        <v>LM Hub_RJ_São João do Meriti</v>
      </c>
      <c r="C6930" s="238" t="str">
        <f>IFERROR(__xludf.DUMMYFUNCTION("""COMPUTED_VALUE"""),"HUB-LRJ-01")</f>
        <v>HUB-LRJ-01</v>
      </c>
      <c r="D6930" s="234"/>
      <c r="E6930" s="237" t="str">
        <f>IFERROR(__xludf.DUMMYFUNCTION("""COMPUTED_VALUE"""),"LT0Q2601Y1KG1")</f>
        <v>LT0Q2601Y1KG1</v>
      </c>
      <c r="F6930" s="238" t="str">
        <f>IFERROR(__xludf.DUMMYFUNCTION("""COMPUTED_VALUE"""),"ETU9G39,ETU7708")</f>
        <v>ETU9G39,ETU7708</v>
      </c>
      <c r="G6930" s="238">
        <f>IFERROR(__xludf.DUMMYFUNCTION("""COMPUTED_VALUE"""),46059.95833333333)</f>
        <v>46059.95833</v>
      </c>
      <c r="H6930" s="238">
        <f>IFERROR(__xludf.DUMMYFUNCTION("""COMPUTED_VALUE"""),46060.04166666667)</f>
        <v>46060.04167</v>
      </c>
      <c r="J6930" s="239">
        <v>120.00000001396984</v>
      </c>
    </row>
    <row r="6931">
      <c r="A6931" s="234"/>
      <c r="B6931" s="238" t="str">
        <f>IFERROR(__xludf.DUMMYFUNCTION("""COMPUTED_VALUE"""),"LM Hub_SP_Mogi Mirim")</f>
        <v>LM Hub_SP_Mogi Mirim</v>
      </c>
      <c r="C6931" s="238" t="str">
        <f>IFERROR(__xludf.DUMMYFUNCTION("""COMPUTED_VALUE"""),"HUB-LSP-37")</f>
        <v>HUB-LSP-37</v>
      </c>
      <c r="D6931" s="234">
        <f>IFERROR(__xludf.DUMMYFUNCTION("""COMPUTED_VALUE"""),24.0)</f>
        <v>24</v>
      </c>
      <c r="E6931" s="237" t="str">
        <f>IFERROR(__xludf.DUMMYFUNCTION("""COMPUTED_VALUE"""),"LT0Q2601XW2F1")</f>
        <v>LT0Q2601XW2F1</v>
      </c>
      <c r="F6931" s="238" t="str">
        <f>IFERROR(__xludf.DUMMYFUNCTION("""COMPUTED_VALUE"""),"FLO1G76")</f>
        <v>FLO1G76</v>
      </c>
      <c r="G6931" s="238">
        <f>IFERROR(__xludf.DUMMYFUNCTION("""COMPUTED_VALUE"""),46059.95833333333)</f>
        <v>46059.95833</v>
      </c>
      <c r="H6931" s="238">
        <f>IFERROR(__xludf.DUMMYFUNCTION("""COMPUTED_VALUE"""),46060.04166666667)</f>
        <v>46060.04167</v>
      </c>
      <c r="J6931" s="239">
        <v>119.99999999301508</v>
      </c>
    </row>
    <row r="6932">
      <c r="A6932" s="234"/>
      <c r="B6932" s="238" t="str">
        <f>IFERROR(__xludf.DUMMYFUNCTION("""COMPUTED_VALUE"""),"LM Hub_SP_Araraquara")</f>
        <v>LM Hub_SP_Araraquara</v>
      </c>
      <c r="C6932" s="238" t="str">
        <f>IFERROR(__xludf.DUMMYFUNCTION("""COMPUTED_VALUE"""),"HUB-LSP-29")</f>
        <v>HUB-LSP-29</v>
      </c>
      <c r="D6932" s="234">
        <f>IFERROR(__xludf.DUMMYFUNCTION("""COMPUTED_VALUE"""),34.0)</f>
        <v>34</v>
      </c>
      <c r="E6932" s="237" t="str">
        <f>IFERROR(__xludf.DUMMYFUNCTION("""COMPUTED_VALUE"""),"LT0Q2601XW2K1")</f>
        <v>LT0Q2601XW2K1</v>
      </c>
      <c r="F6932" s="238" t="str">
        <f>IFERROR(__xludf.DUMMYFUNCTION("""COMPUTED_VALUE"""),"ISQ7F01,ANM9G89")</f>
        <v>ISQ7F01,ANM9G89</v>
      </c>
      <c r="G6932" s="238">
        <f>IFERROR(__xludf.DUMMYFUNCTION("""COMPUTED_VALUE"""),46059.97916666667)</f>
        <v>46059.97917</v>
      </c>
      <c r="H6932" s="238">
        <f>IFERROR(__xludf.DUMMYFUNCTION("""COMPUTED_VALUE"""),46060.0625)</f>
        <v>46060.0625</v>
      </c>
      <c r="J6932" s="239">
        <v>119.99999999301508</v>
      </c>
    </row>
    <row r="6933">
      <c r="A6933" s="234"/>
      <c r="B6933" s="238" t="str">
        <f>IFERROR(__xludf.DUMMYFUNCTION("""COMPUTED_VALUE"""),"LM Hub_SP_Atibaia_Ponte_Alta")</f>
        <v>LM Hub_SP_Atibaia_Ponte_Alta</v>
      </c>
      <c r="C6933" s="238" t="str">
        <f>IFERROR(__xludf.DUMMYFUNCTION("""COMPUTED_VALUE"""),"HUB-LSP-87")</f>
        <v>HUB-LSP-87</v>
      </c>
      <c r="D6933" s="234">
        <f>IFERROR(__xludf.DUMMYFUNCTION("""COMPUTED_VALUE"""),25.0)</f>
        <v>25</v>
      </c>
      <c r="E6933" s="237" t="str">
        <f>IFERROR(__xludf.DUMMYFUNCTION("""COMPUTED_VALUE"""),"LT0Q2601XZMG1")</f>
        <v>LT0Q2601XZMG1</v>
      </c>
      <c r="F6933" s="238" t="str">
        <f>IFERROR(__xludf.DUMMYFUNCTION("""COMPUTED_VALUE"""),"TBQ8J60,UFH1G90")</f>
        <v>TBQ8J60,UFH1G90</v>
      </c>
      <c r="G6933" s="238">
        <f>IFERROR(__xludf.DUMMYFUNCTION("""COMPUTED_VALUE"""),46059.97916666667)</f>
        <v>46059.97917</v>
      </c>
      <c r="H6933" s="238">
        <f>IFERROR(__xludf.DUMMYFUNCTION("""COMPUTED_VALUE"""),46060.0625)</f>
        <v>46060.0625</v>
      </c>
      <c r="J6933" s="239">
        <v>119.99999999301508</v>
      </c>
    </row>
    <row r="6934">
      <c r="A6934" s="234"/>
      <c r="B6934" s="238" t="str">
        <f>IFERROR(__xludf.DUMMYFUNCTION("""COMPUTED_VALUE"""),"LM Hub_SP_Várzea Paulista")</f>
        <v>LM Hub_SP_Várzea Paulista</v>
      </c>
      <c r="C6934" s="238" t="str">
        <f>IFERROR(__xludf.DUMMYFUNCTION("""COMPUTED_VALUE"""),"HUB-LSP-20")</f>
        <v>HUB-LSP-20</v>
      </c>
      <c r="D6934" s="234">
        <f>IFERROR(__xludf.DUMMYFUNCTION("""COMPUTED_VALUE"""),40.0)</f>
        <v>40</v>
      </c>
      <c r="E6934" s="237" t="str">
        <f>IFERROR(__xludf.DUMMYFUNCTION("""COMPUTED_VALUE"""),"LT0Q2601XW3J1")</f>
        <v>LT0Q2601XW3J1</v>
      </c>
      <c r="F6934" s="238" t="str">
        <f>IFERROR(__xludf.DUMMYFUNCTION("""COMPUTED_VALUE"""),"EWJ2F50,EVO3C99")</f>
        <v>EWJ2F50,EVO3C99</v>
      </c>
      <c r="G6934" s="238">
        <f>IFERROR(__xludf.DUMMYFUNCTION("""COMPUTED_VALUE"""),46059.97916666667)</f>
        <v>46059.97917</v>
      </c>
      <c r="H6934" s="238">
        <f>IFERROR(__xludf.DUMMYFUNCTION("""COMPUTED_VALUE"""),46060.0625)</f>
        <v>46060.0625</v>
      </c>
      <c r="J6934" s="239">
        <v>119.99999999301508</v>
      </c>
    </row>
    <row r="6935">
      <c r="A6935" s="234"/>
      <c r="B6935" s="238" t="str">
        <f>IFERROR(__xludf.DUMMYFUNCTION("""COMPUTED_VALUE"""),"LM Hub_RJ_Ilha do Governador")</f>
        <v>LM Hub_RJ_Ilha do Governador</v>
      </c>
      <c r="C6935" s="238" t="str">
        <f>IFERROR(__xludf.DUMMYFUNCTION("""COMPUTED_VALUE"""),"HUB-LRJ-32")</f>
        <v>HUB-LRJ-32</v>
      </c>
      <c r="D6935" s="234">
        <f>IFERROR(__xludf.DUMMYFUNCTION("""COMPUTED_VALUE"""),115.0)</f>
        <v>115</v>
      </c>
      <c r="E6935" s="237" t="str">
        <f>IFERROR(__xludf.DUMMYFUNCTION("""COMPUTED_VALUE"""),"LT0Q2701Y1JX1")</f>
        <v>LT0Q2701Y1JX1</v>
      </c>
      <c r="F6935" s="238" t="str">
        <f>IFERROR(__xludf.DUMMYFUNCTION("""COMPUTED_VALUE"""),"FTV1H09,MFT8J62")</f>
        <v>FTV1H09,MFT8J62</v>
      </c>
      <c r="G6935" s="238">
        <f>IFERROR(__xludf.DUMMYFUNCTION("""COMPUTED_VALUE"""),46060.0)</f>
        <v>46060</v>
      </c>
      <c r="H6935" s="238">
        <f>IFERROR(__xludf.DUMMYFUNCTION("""COMPUTED_VALUE"""),46060.08333333333)</f>
        <v>46060.08333</v>
      </c>
      <c r="J6935" s="239">
        <v>119.99999999301508</v>
      </c>
    </row>
    <row r="6936">
      <c r="A6936" s="234"/>
      <c r="B6936" s="238" t="str">
        <f>IFERROR(__xludf.DUMMYFUNCTION("""COMPUTED_VALUE"""),"LM Hub_SP_Tatuí")</f>
        <v>LM Hub_SP_Tatuí</v>
      </c>
      <c r="C6936" s="238" t="str">
        <f>IFERROR(__xludf.DUMMYFUNCTION("""COMPUTED_VALUE"""),"HUB-LSP-51")</f>
        <v>HUB-LSP-51</v>
      </c>
      <c r="D6936" s="234">
        <f>IFERROR(__xludf.DUMMYFUNCTION("""COMPUTED_VALUE"""),36.0)</f>
        <v>36</v>
      </c>
      <c r="E6936" s="237" t="str">
        <f>IFERROR(__xludf.DUMMYFUNCTION("""COMPUTED_VALUE"""),"LT0Q2701XVZ51")</f>
        <v>LT0Q2701XVZ51</v>
      </c>
      <c r="F6936" s="238" t="str">
        <f>IFERROR(__xludf.DUMMYFUNCTION("""COMPUTED_VALUE"""),"UDW5E79,TLL6F35")</f>
        <v>UDW5E79,TLL6F35</v>
      </c>
      <c r="G6936" s="238">
        <f>IFERROR(__xludf.DUMMYFUNCTION("""COMPUTED_VALUE"""),46060.0)</f>
        <v>46060</v>
      </c>
      <c r="H6936" s="238">
        <f>IFERROR(__xludf.DUMMYFUNCTION("""COMPUTED_VALUE"""),46060.08333333333)</f>
        <v>46060.08333</v>
      </c>
      <c r="J6936" s="239">
        <v>119.99999999301508</v>
      </c>
    </row>
    <row r="6937">
      <c r="A6937" s="234"/>
      <c r="B6937" s="238" t="str">
        <f>IFERROR(__xludf.DUMMYFUNCTION("""COMPUTED_VALUE"""),"SoC_PR_Curitiba")</f>
        <v>SoC_PR_Curitiba</v>
      </c>
      <c r="C6937" s="238" t="str">
        <f>IFERROR(__xludf.DUMMYFUNCTION("""COMPUTED_VALUE"""),"SOC-PR1")</f>
        <v>SOC-PR1</v>
      </c>
      <c r="D6937" s="234">
        <f>IFERROR(__xludf.DUMMYFUNCTION("""COMPUTED_VALUE"""),39.0)</f>
        <v>39</v>
      </c>
      <c r="E6937" s="237" t="str">
        <f>IFERROR(__xludf.DUMMYFUNCTION("""COMPUTED_VALUE"""),"LT0Q2701XVTY1")</f>
        <v>LT0Q2701XVTY1</v>
      </c>
      <c r="F6937" s="238" t="str">
        <f>IFERROR(__xludf.DUMMYFUNCTION("""COMPUTED_VALUE"""),"FQJ8B01,UGV7H67")</f>
        <v>FQJ8B01,UGV7H67</v>
      </c>
      <c r="G6937" s="238">
        <f>IFERROR(__xludf.DUMMYFUNCTION("""COMPUTED_VALUE"""),46060.0)</f>
        <v>46060</v>
      </c>
      <c r="H6937" s="238">
        <f>IFERROR(__xludf.DUMMYFUNCTION("""COMPUTED_VALUE"""),46060.08333333333)</f>
        <v>46060.08333</v>
      </c>
      <c r="J6937" s="239">
        <v>120.00000001396984</v>
      </c>
    </row>
    <row r="6938">
      <c r="A6938" s="234"/>
      <c r="B6938" s="238" t="str">
        <f>IFERROR(__xludf.DUMMYFUNCTION("""COMPUTED_VALUE"""),"LM Hub_MG_Varginha_Fausto")</f>
        <v>LM Hub_MG_Varginha_Fausto</v>
      </c>
      <c r="C6938" s="238" t="str">
        <f>IFERROR(__xludf.DUMMYFUNCTION("""COMPUTED_VALUE"""),"HUB-LMG-45")</f>
        <v>HUB-LMG-45</v>
      </c>
      <c r="D6938" s="234">
        <f>IFERROR(__xludf.DUMMYFUNCTION("""COMPUTED_VALUE"""),116.0)</f>
        <v>116</v>
      </c>
      <c r="E6938" s="237" t="str">
        <f>IFERROR(__xludf.DUMMYFUNCTION("""COMPUTED_VALUE"""),"LT0Q2701Y0YV1")</f>
        <v>LT0Q2701Y0YV1</v>
      </c>
      <c r="F6938" s="238" t="str">
        <f>IFERROR(__xludf.DUMMYFUNCTION("""COMPUTED_VALUE"""),"TLB9G32,TLR7G94")</f>
        <v>TLB9G32,TLR7G94</v>
      </c>
      <c r="G6938" s="238">
        <f>IFERROR(__xludf.DUMMYFUNCTION("""COMPUTED_VALUE"""),46060.02083333333)</f>
        <v>46060.02083</v>
      </c>
      <c r="H6938" s="238">
        <f>IFERROR(__xludf.DUMMYFUNCTION("""COMPUTED_VALUE"""),46060.10416666667)</f>
        <v>46060.10417</v>
      </c>
      <c r="J6938" s="239">
        <v>119.99999999301508</v>
      </c>
    </row>
    <row r="6939">
      <c r="A6939" s="234"/>
      <c r="B6939" s="238" t="str">
        <f>IFERROR(__xludf.DUMMYFUNCTION("""COMPUTED_VALUE"""),"SoC_SP_Louveira")</f>
        <v>SoC_SP_Louveira</v>
      </c>
      <c r="C6939" s="238" t="str">
        <f>IFERROR(__xludf.DUMMYFUNCTION("""COMPUTED_VALUE"""),"SOC-SP7")</f>
        <v>SOC-SP7</v>
      </c>
      <c r="D6939" s="234">
        <f>IFERROR(__xludf.DUMMYFUNCTION("""COMPUTED_VALUE"""),41.0)</f>
        <v>41</v>
      </c>
      <c r="E6939" s="237" t="str">
        <f>IFERROR(__xludf.DUMMYFUNCTION("""COMPUTED_VALUE"""),"LT0Q2701XVW11")</f>
        <v>LT0Q2701XVW11</v>
      </c>
      <c r="F6939" s="238" t="str">
        <f>IFERROR(__xludf.DUMMYFUNCTION("""COMPUTED_VALUE"""),"FNZ5B43,RYV2F39")</f>
        <v>FNZ5B43,RYV2F39</v>
      </c>
      <c r="G6939" s="238">
        <f>IFERROR(__xludf.DUMMYFUNCTION("""COMPUTED_VALUE"""),46060.04166666667)</f>
        <v>46060.04167</v>
      </c>
      <c r="H6939" s="238">
        <f>IFERROR(__xludf.DUMMYFUNCTION("""COMPUTED_VALUE"""),46060.125)</f>
        <v>46060.125</v>
      </c>
      <c r="J6939" s="239">
        <v>540.0</v>
      </c>
    </row>
    <row r="6940">
      <c r="A6940" s="234"/>
      <c r="B6940" s="238" t="str">
        <f>IFERROR(__xludf.DUMMYFUNCTION("""COMPUTED_VALUE"""),"SoC_MG_Betim")</f>
        <v>SoC_MG_Betim</v>
      </c>
      <c r="C6940" s="238" t="str">
        <f>IFERROR(__xludf.DUMMYFUNCTION("""COMPUTED_VALUE"""),"SOC-MG2")</f>
        <v>SOC-MG2</v>
      </c>
      <c r="D6940" s="234">
        <f>IFERROR(__xludf.DUMMYFUNCTION("""COMPUTED_VALUE"""),90.0)</f>
        <v>90</v>
      </c>
      <c r="E6940" s="237" t="str">
        <f>IFERROR(__xludf.DUMMYFUNCTION("""COMPUTED_VALUE"""),"LT1Q2601YDVW1")</f>
        <v>LT1Q2601YDVW1</v>
      </c>
      <c r="F6940" s="238" t="str">
        <f>IFERROR(__xludf.DUMMYFUNCTION("""COMPUTED_VALUE"""),"HLC2B82,GSV9280")</f>
        <v>HLC2B82,GSV9280</v>
      </c>
      <c r="G6940" s="238">
        <f>IFERROR(__xludf.DUMMYFUNCTION("""COMPUTED_VALUE"""),46059.79166666667)</f>
        <v>46059.79167</v>
      </c>
      <c r="H6940" s="238">
        <f>IFERROR(__xludf.DUMMYFUNCTION("""COMPUTED_VALUE"""),46060.16666666667)</f>
        <v>46060.16667</v>
      </c>
      <c r="J6940" s="239">
        <v>540.0</v>
      </c>
    </row>
    <row r="6941">
      <c r="A6941" s="234"/>
      <c r="B6941" s="238" t="str">
        <f>IFERROR(__xludf.DUMMYFUNCTION("""COMPUTED_VALUE"""),"SoC_RJ_Duque de Caxias")</f>
        <v>SoC_RJ_Duque de Caxias</v>
      </c>
      <c r="C6941" s="238" t="str">
        <f>IFERROR(__xludf.DUMMYFUNCTION("""COMPUTED_VALUE"""),"SOC-RJ2")</f>
        <v>SOC-RJ2</v>
      </c>
      <c r="D6941" s="234">
        <f>IFERROR(__xludf.DUMMYFUNCTION("""COMPUTED_VALUE"""),97.0)</f>
        <v>97</v>
      </c>
      <c r="E6941" s="237" t="str">
        <f>IFERROR(__xludf.DUMMYFUNCTION("""COMPUTED_VALUE"""),"LT0Q2601XXX65")</f>
        <v>LT0Q2601XXX65</v>
      </c>
      <c r="F6941" s="238" t="str">
        <f>IFERROR(__xludf.DUMMYFUNCTION("""COMPUTED_VALUE"""),"TIV8C68,UDA5E04")</f>
        <v>TIV8C68,UDA5E04</v>
      </c>
      <c r="G6941" s="238">
        <f>IFERROR(__xludf.DUMMYFUNCTION("""COMPUTED_VALUE"""),46059.79166666667)</f>
        <v>46059.79167</v>
      </c>
      <c r="H6941" s="238">
        <f>IFERROR(__xludf.DUMMYFUNCTION("""COMPUTED_VALUE"""),46060.16666666667)</f>
        <v>46060.16667</v>
      </c>
      <c r="J6941" s="239">
        <v>540.0</v>
      </c>
    </row>
    <row r="6942">
      <c r="A6942" s="234"/>
      <c r="B6942" s="238" t="str">
        <f>IFERROR(__xludf.DUMMYFUNCTION("""COMPUTED_VALUE"""),"SoC_RJ_Duque de Caxias")</f>
        <v>SoC_RJ_Duque de Caxias</v>
      </c>
      <c r="C6942" s="238" t="str">
        <f>IFERROR(__xludf.DUMMYFUNCTION("""COMPUTED_VALUE"""),"SOC-RJ2")</f>
        <v>SOC-RJ2</v>
      </c>
      <c r="D6942" s="234">
        <f>IFERROR(__xludf.DUMMYFUNCTION("""COMPUTED_VALUE"""),96.0)</f>
        <v>96</v>
      </c>
      <c r="E6942" s="237" t="str">
        <f>IFERROR(__xludf.DUMMYFUNCTION("""COMPUTED_VALUE"""),"LT0Q2601XXWY1")</f>
        <v>LT0Q2601XXWY1</v>
      </c>
      <c r="F6942" s="238" t="str">
        <f>IFERROR(__xludf.DUMMYFUNCTION("""COMPUTED_VALUE"""),"BZF4B42,ATP5H78")</f>
        <v>BZF4B42,ATP5H78</v>
      </c>
      <c r="G6942" s="238">
        <f>IFERROR(__xludf.DUMMYFUNCTION("""COMPUTED_VALUE"""),46059.79166666667)</f>
        <v>46059.79167</v>
      </c>
      <c r="H6942" s="238">
        <f>IFERROR(__xludf.DUMMYFUNCTION("""COMPUTED_VALUE"""),46060.16666666667)</f>
        <v>46060.16667</v>
      </c>
      <c r="J6942" s="239">
        <v>540.0</v>
      </c>
    </row>
    <row r="6943">
      <c r="A6943" s="234"/>
      <c r="B6943" s="238" t="str">
        <f>IFERROR(__xludf.DUMMYFUNCTION("""COMPUTED_VALUE"""),"SoC_SC_Itajaí")</f>
        <v>SoC_SC_Itajaí</v>
      </c>
      <c r="C6943" s="238" t="str">
        <f>IFERROR(__xludf.DUMMYFUNCTION("""COMPUTED_VALUE"""),"SOC-SC1")</f>
        <v>SOC-SC1</v>
      </c>
      <c r="D6943" s="234">
        <f>IFERROR(__xludf.DUMMYFUNCTION("""COMPUTED_VALUE"""),100.0)</f>
        <v>100</v>
      </c>
      <c r="E6943" s="237" t="str">
        <f>IFERROR(__xludf.DUMMYFUNCTION("""COMPUTED_VALUE"""),"LT0Q2601Y0BB1")</f>
        <v>LT0Q2601Y0BB1</v>
      </c>
      <c r="F6943" s="238" t="str">
        <f>IFERROR(__xludf.DUMMYFUNCTION("""COMPUTED_VALUE"""),"TBV9I29,UBI4A73")</f>
        <v>TBV9I29,UBI4A73</v>
      </c>
      <c r="G6943" s="238">
        <f>IFERROR(__xludf.DUMMYFUNCTION("""COMPUTED_VALUE"""),46059.79166666667)</f>
        <v>46059.79167</v>
      </c>
      <c r="H6943" s="238">
        <f>IFERROR(__xludf.DUMMYFUNCTION("""COMPUTED_VALUE"""),46060.16666666667)</f>
        <v>46060.16667</v>
      </c>
      <c r="J6943" s="239">
        <v>120.00000001396984</v>
      </c>
    </row>
    <row r="6944">
      <c r="A6944" s="234"/>
      <c r="B6944" s="238" t="str">
        <f>IFERROR(__xludf.DUMMYFUNCTION("""COMPUTED_VALUE"""),"LM Hub_RJ_São João do Meriti")</f>
        <v>LM Hub_RJ_São João do Meriti</v>
      </c>
      <c r="C6944" s="238" t="str">
        <f>IFERROR(__xludf.DUMMYFUNCTION("""COMPUTED_VALUE"""),"HUB-LRJ-01")</f>
        <v>HUB-LRJ-01</v>
      </c>
      <c r="D6944" s="234">
        <f>IFERROR(__xludf.DUMMYFUNCTION("""COMPUTED_VALUE"""),117.0)</f>
        <v>117</v>
      </c>
      <c r="E6944" s="237" t="str">
        <f>IFERROR(__xludf.DUMMYFUNCTION("""COMPUTED_VALUE"""),"LT1Q2701YSJJ1")</f>
        <v>LT1Q2701YSJJ1</v>
      </c>
      <c r="F6944" s="238" t="str">
        <f>IFERROR(__xludf.DUMMYFUNCTION("""COMPUTED_VALUE"""),"CUT5C26,TKZ7H26")</f>
        <v>CUT5C26,TKZ7H26</v>
      </c>
      <c r="G6944" s="238">
        <f>IFERROR(__xludf.DUMMYFUNCTION("""COMPUTED_VALUE"""),46060.08333333333)</f>
        <v>46060.08333</v>
      </c>
      <c r="H6944" s="238">
        <f>IFERROR(__xludf.DUMMYFUNCTION("""COMPUTED_VALUE"""),46060.16666666667)</f>
        <v>46060.16667</v>
      </c>
      <c r="J6944" s="239">
        <v>60.00000000698492</v>
      </c>
    </row>
    <row r="6945">
      <c r="A6945" s="234"/>
      <c r="B6945" s="238" t="str">
        <f>IFERROR(__xludf.DUMMYFUNCTION("""COMPUTED_VALUE"""),"SoC_SP_Guarulhos")</f>
        <v>SoC_SP_Guarulhos</v>
      </c>
      <c r="C6945" s="238" t="str">
        <f>IFERROR(__xludf.DUMMYFUNCTION("""COMPUTED_VALUE"""),"SOC-SP6")</f>
        <v>SOC-SP6</v>
      </c>
      <c r="D6945" s="234">
        <f>IFERROR(__xludf.DUMMYFUNCTION("""COMPUTED_VALUE"""),45.0)</f>
        <v>45</v>
      </c>
      <c r="E6945" s="237" t="str">
        <f>IFERROR(__xludf.DUMMYFUNCTION("""COMPUTED_VALUE"""),"LT1Q2701YDVU1")</f>
        <v>LT1Q2701YDVU1</v>
      </c>
      <c r="F6945" s="238" t="str">
        <f>IFERROR(__xludf.DUMMYFUNCTION("""COMPUTED_VALUE"""),"MQM6I27,FXB7G01")</f>
        <v>MQM6I27,FXB7G01</v>
      </c>
      <c r="G6945" s="238">
        <f>IFERROR(__xludf.DUMMYFUNCTION("""COMPUTED_VALUE"""),46060.125)</f>
        <v>46060.125</v>
      </c>
      <c r="H6945" s="238">
        <f>IFERROR(__xludf.DUMMYFUNCTION("""COMPUTED_VALUE"""),46060.16666666667)</f>
        <v>46060.16667</v>
      </c>
      <c r="J6945" s="239">
        <v>119.99999999301508</v>
      </c>
    </row>
    <row r="6946">
      <c r="A6946" s="234"/>
      <c r="B6946" s="238" t="str">
        <f>IFERROR(__xludf.DUMMYFUNCTION("""COMPUTED_VALUE"""),"LM Hub_SP_Itapetininga")</f>
        <v>LM Hub_SP_Itapetininga</v>
      </c>
      <c r="C6946" s="238" t="str">
        <f>IFERROR(__xludf.DUMMYFUNCTION("""COMPUTED_VALUE"""),"HUB-LSP-53")</f>
        <v>HUB-LSP-53</v>
      </c>
      <c r="D6946" s="234">
        <f>IFERROR(__xludf.DUMMYFUNCTION("""COMPUTED_VALUE"""),34.0)</f>
        <v>34</v>
      </c>
      <c r="E6946" s="237" t="str">
        <f>IFERROR(__xludf.DUMMYFUNCTION("""COMPUTED_VALUE"""),"LT0Q2701XVYZ1")</f>
        <v>LT0Q2701XVYZ1</v>
      </c>
      <c r="F6946" s="238" t="str">
        <f>IFERROR(__xludf.DUMMYFUNCTION("""COMPUTED_VALUE"""),"FZY3F48")</f>
        <v>FZY3F48</v>
      </c>
      <c r="G6946" s="238">
        <f>IFERROR(__xludf.DUMMYFUNCTION("""COMPUTED_VALUE"""),46060.10416666667)</f>
        <v>46060.10417</v>
      </c>
      <c r="H6946" s="238">
        <f>IFERROR(__xludf.DUMMYFUNCTION("""COMPUTED_VALUE"""),46060.1875)</f>
        <v>46060.1875</v>
      </c>
      <c r="J6946" s="239">
        <v>119.99999999301508</v>
      </c>
    </row>
    <row r="6947">
      <c r="A6947" s="234"/>
      <c r="B6947" s="238" t="str">
        <f>IFERROR(__xludf.DUMMYFUNCTION("""COMPUTED_VALUE"""),"LM Hub_SP_São Carlos")</f>
        <v>LM Hub_SP_São Carlos</v>
      </c>
      <c r="C6947" s="238" t="str">
        <f>IFERROR(__xludf.DUMMYFUNCTION("""COMPUTED_VALUE"""),"HUB-LSP-31")</f>
        <v>HUB-LSP-31</v>
      </c>
      <c r="D6947" s="234"/>
      <c r="E6947" s="237" t="str">
        <f>IFERROR(__xludf.DUMMYFUNCTION("""COMPUTED_VALUE"""),"LT0Q2701XW1X1")</f>
        <v>LT0Q2701XW1X1</v>
      </c>
      <c r="F6947" s="238" t="str">
        <f>IFERROR(__xludf.DUMMYFUNCTION("""COMPUTED_VALUE"""),"JCG4I58,AXE7I13")</f>
        <v>JCG4I58,AXE7I13</v>
      </c>
      <c r="G6947" s="238">
        <f>IFERROR(__xludf.DUMMYFUNCTION("""COMPUTED_VALUE"""),46060.10416666667)</f>
        <v>46060.10417</v>
      </c>
      <c r="H6947" s="238">
        <f>IFERROR(__xludf.DUMMYFUNCTION("""COMPUTED_VALUE"""),46060.1875)</f>
        <v>46060.1875</v>
      </c>
      <c r="J6947" s="239">
        <v>419.99999998603016</v>
      </c>
    </row>
    <row r="6948">
      <c r="A6948" s="234"/>
      <c r="B6948" s="238" t="str">
        <f>IFERROR(__xludf.DUMMYFUNCTION("""COMPUTED_VALUE"""),"SoC_RJ_Duque de Caxias")</f>
        <v>SoC_RJ_Duque de Caxias</v>
      </c>
      <c r="C6948" s="238" t="str">
        <f>IFERROR(__xludf.DUMMYFUNCTION("""COMPUTED_VALUE"""),"SOC-RJ2")</f>
        <v>SOC-RJ2</v>
      </c>
      <c r="D6948" s="234">
        <f>IFERROR(__xludf.DUMMYFUNCTION("""COMPUTED_VALUE"""),23.0)</f>
        <v>23</v>
      </c>
      <c r="E6948" s="237" t="str">
        <f>IFERROR(__xludf.DUMMYFUNCTION("""COMPUTED_VALUE"""),"LT1Q2601YD311")</f>
        <v>LT1Q2601YD311</v>
      </c>
      <c r="F6948" s="238" t="str">
        <f>IFERROR(__xludf.DUMMYFUNCTION("""COMPUTED_VALUE"""),"EWJ0F90,LVB1J28")</f>
        <v>EWJ0F90,LVB1J28</v>
      </c>
      <c r="G6948" s="238">
        <f>IFERROR(__xludf.DUMMYFUNCTION("""COMPUTED_VALUE"""),46059.91666666667)</f>
        <v>46059.91667</v>
      </c>
      <c r="H6948" s="238">
        <f>IFERROR(__xludf.DUMMYFUNCTION("""COMPUTED_VALUE"""),46060.20833333333)</f>
        <v>46060.20833</v>
      </c>
      <c r="J6948" s="239">
        <v>119.99999999301508</v>
      </c>
    </row>
    <row r="6949">
      <c r="A6949" s="234"/>
      <c r="B6949" s="238" t="str">
        <f>IFERROR(__xludf.DUMMYFUNCTION("""COMPUTED_VALUE"""),"LM Hub_SP_Itapeva")</f>
        <v>LM Hub_SP_Itapeva</v>
      </c>
      <c r="C6949" s="238" t="str">
        <f>IFERROR(__xludf.DUMMYFUNCTION("""COMPUTED_VALUE"""),"HUB-LSP-39")</f>
        <v>HUB-LSP-39</v>
      </c>
      <c r="D6949" s="234">
        <f>IFERROR(__xludf.DUMMYFUNCTION("""COMPUTED_VALUE"""),32.0)</f>
        <v>32</v>
      </c>
      <c r="E6949" s="237" t="str">
        <f>IFERROR(__xludf.DUMMYFUNCTION("""COMPUTED_VALUE"""),"LT0Q2701XVZD1")</f>
        <v>LT0Q2701XVZD1</v>
      </c>
      <c r="F6949" s="238" t="str">
        <f>IFERROR(__xludf.DUMMYFUNCTION("""COMPUTED_VALUE"""),"LTB2D63,FCT0A62")</f>
        <v>LTB2D63,FCT0A62</v>
      </c>
      <c r="G6949" s="238">
        <f>IFERROR(__xludf.DUMMYFUNCTION("""COMPUTED_VALUE"""),46060.125)</f>
        <v>46060.125</v>
      </c>
      <c r="H6949" s="238">
        <f>IFERROR(__xludf.DUMMYFUNCTION("""COMPUTED_VALUE"""),46060.20833333333)</f>
        <v>46060.20833</v>
      </c>
      <c r="J6949" s="239">
        <v>119.99999999301508</v>
      </c>
    </row>
    <row r="6950">
      <c r="A6950" s="234"/>
      <c r="B6950" s="238" t="str">
        <f>IFERROR(__xludf.DUMMYFUNCTION("""COMPUTED_VALUE"""),"LM Hub_SP_Limeira_Campo Belo")</f>
        <v>LM Hub_SP_Limeira_Campo Belo</v>
      </c>
      <c r="C6950" s="238" t="str">
        <f>IFERROR(__xludf.DUMMYFUNCTION("""COMPUTED_VALUE"""),"HUB-LSP-24")</f>
        <v>HUB-LSP-24</v>
      </c>
      <c r="D6950" s="234">
        <f>IFERROR(__xludf.DUMMYFUNCTION("""COMPUTED_VALUE"""),35.0)</f>
        <v>35</v>
      </c>
      <c r="E6950" s="237" t="str">
        <f>IFERROR(__xludf.DUMMYFUNCTION("""COMPUTED_VALUE"""),"LT0Q2701XW1D1")</f>
        <v>LT0Q2701XW1D1</v>
      </c>
      <c r="F6950" s="238" t="str">
        <f>IFERROR(__xludf.DUMMYFUNCTION("""COMPUTED_VALUE"""),"DVS4C57,EXU6A75")</f>
        <v>DVS4C57,EXU6A75</v>
      </c>
      <c r="G6950" s="238">
        <f>IFERROR(__xludf.DUMMYFUNCTION("""COMPUTED_VALUE"""),46060.125)</f>
        <v>46060.125</v>
      </c>
      <c r="H6950" s="238">
        <f>IFERROR(__xludf.DUMMYFUNCTION("""COMPUTED_VALUE"""),46060.20833333333)</f>
        <v>46060.20833</v>
      </c>
      <c r="J6950" s="239">
        <v>119.99999999301508</v>
      </c>
    </row>
    <row r="6951">
      <c r="A6951" s="234"/>
      <c r="B6951" s="238" t="str">
        <f>IFERROR(__xludf.DUMMYFUNCTION("""COMPUTED_VALUE"""),"LM Hub_SP_Sumaré_Nova Veneza_1")</f>
        <v>LM Hub_SP_Sumaré_Nova Veneza_1</v>
      </c>
      <c r="C6951" s="238" t="str">
        <f>IFERROR(__xludf.DUMMYFUNCTION("""COMPUTED_VALUE"""),"HUB-LSP-88")</f>
        <v>HUB-LSP-88</v>
      </c>
      <c r="D6951" s="234">
        <f>IFERROR(__xludf.DUMMYFUNCTION("""COMPUTED_VALUE"""),28.0)</f>
        <v>28</v>
      </c>
      <c r="E6951" s="237" t="str">
        <f>IFERROR(__xludf.DUMMYFUNCTION("""COMPUTED_VALUE"""),"LT0Q2701Y0TM1")</f>
        <v>LT0Q2701Y0TM1</v>
      </c>
      <c r="F6951" s="238" t="str">
        <f>IFERROR(__xludf.DUMMYFUNCTION("""COMPUTED_VALUE"""),"DCU8E76,FMR2224")</f>
        <v>DCU8E76,FMR2224</v>
      </c>
      <c r="G6951" s="238">
        <f>IFERROR(__xludf.DUMMYFUNCTION("""COMPUTED_VALUE"""),46060.125)</f>
        <v>46060.125</v>
      </c>
      <c r="H6951" s="238">
        <f>IFERROR(__xludf.DUMMYFUNCTION("""COMPUTED_VALUE"""),46060.20833333333)</f>
        <v>46060.20833</v>
      </c>
      <c r="J6951" s="239">
        <v>120.00000001396984</v>
      </c>
    </row>
    <row r="6952">
      <c r="A6952" s="234"/>
      <c r="B6952" s="238" t="str">
        <f>IFERROR(__xludf.DUMMYFUNCTION("""COMPUTED_VALUE"""),"LM Hub_SP_Mogi Mirim")</f>
        <v>LM Hub_SP_Mogi Mirim</v>
      </c>
      <c r="C6952" s="238" t="str">
        <f>IFERROR(__xludf.DUMMYFUNCTION("""COMPUTED_VALUE"""),"HUB-LSP-37")</f>
        <v>HUB-LSP-37</v>
      </c>
      <c r="D6952" s="234">
        <f>IFERROR(__xludf.DUMMYFUNCTION("""COMPUTED_VALUE"""),9.0)</f>
        <v>9</v>
      </c>
      <c r="E6952" s="237" t="str">
        <f>IFERROR(__xludf.DUMMYFUNCTION("""COMPUTED_VALUE"""),"LT0Q2701XW291")</f>
        <v>LT0Q2701XW291</v>
      </c>
      <c r="F6952" s="238" t="str">
        <f>IFERROR(__xludf.DUMMYFUNCTION("""COMPUTED_VALUE"""),"EKM9C16,SSU5B03")</f>
        <v>EKM9C16,SSU5B03</v>
      </c>
      <c r="G6952" s="238">
        <f>IFERROR(__xludf.DUMMYFUNCTION("""COMPUTED_VALUE"""),46060.14583333333)</f>
        <v>46060.14583</v>
      </c>
      <c r="H6952" s="238">
        <f>IFERROR(__xludf.DUMMYFUNCTION("""COMPUTED_VALUE"""),46060.22916666667)</f>
        <v>46060.22917</v>
      </c>
      <c r="J6952" s="239">
        <v>119.00000001071021</v>
      </c>
    </row>
    <row r="6953">
      <c r="A6953" s="234"/>
      <c r="B6953" s="238" t="str">
        <f>IFERROR(__xludf.DUMMYFUNCTION("""COMPUTED_VALUE"""),"LM Hub_SP_Campinas_São Martinho")</f>
        <v>LM Hub_SP_Campinas_São Martinho</v>
      </c>
      <c r="C6953" s="238" t="str">
        <f>IFERROR(__xludf.DUMMYFUNCTION("""COMPUTED_VALUE"""),"HUB-LSP-19")</f>
        <v>HUB-LSP-19</v>
      </c>
      <c r="D6953" s="234">
        <f>IFERROR(__xludf.DUMMYFUNCTION("""COMPUTED_VALUE"""),112.0)</f>
        <v>112</v>
      </c>
      <c r="E6953" s="237" t="str">
        <f>IFERROR(__xludf.DUMMYFUNCTION("""COMPUTED_VALUE"""),"LT0Q2701XW4E1")</f>
        <v>LT0Q2701XW4E1</v>
      </c>
      <c r="F6953" s="238" t="str">
        <f>IFERROR(__xludf.DUMMYFUNCTION("""COMPUTED_VALUE"""),"FOD5C14,CYR3A18")</f>
        <v>FOD5C14,CYR3A18</v>
      </c>
      <c r="G6953" s="238">
        <f>IFERROR(__xludf.DUMMYFUNCTION("""COMPUTED_VALUE"""),46060.146527777775)</f>
        <v>46060.14653</v>
      </c>
      <c r="H6953" s="238">
        <f>IFERROR(__xludf.DUMMYFUNCTION("""COMPUTED_VALUE"""),46060.22916666667)</f>
        <v>46060.22917</v>
      </c>
      <c r="J6953" s="239" t="e">
        <v>#VALUE!</v>
      </c>
    </row>
    <row r="6954">
      <c r="A6954" s="234"/>
      <c r="B6954" s="238" t="str">
        <f>IFERROR(__xludf.DUMMYFUNCTION("""COMPUTED_VALUE"""),"Fanout Desconhecido")</f>
        <v>Fanout Desconhecido</v>
      </c>
      <c r="C6954" s="238" t="str">
        <f>IFERROR(__xludf.DUMMYFUNCTION("""COMPUTED_VALUE"""),"-")</f>
        <v>-</v>
      </c>
      <c r="D6954" s="234"/>
      <c r="E6954" s="237" t="str">
        <f>IFERROR(__xludf.DUMMYFUNCTION("""COMPUTED_VALUE"""),"LT0Q2701XW0A1")</f>
        <v>LT0Q2701XW0A1</v>
      </c>
      <c r="F6954" s="238" t="str">
        <f>IFERROR(__xludf.DUMMYFUNCTION("""COMPUTED_VALUE"""),"-")</f>
        <v>-</v>
      </c>
      <c r="G6954" s="238" t="str">
        <f>IFERROR(__xludf.DUMMYFUNCTION("""COMPUTED_VALUE"""),"-")</f>
        <v>-</v>
      </c>
      <c r="H6954" s="238" t="str">
        <f>IFERROR(__xludf.DUMMYFUNCTION("""COMPUTED_VALUE"""),"-")</f>
        <v>-</v>
      </c>
      <c r="J6954" s="239">
        <v>119.99999999301508</v>
      </c>
    </row>
    <row r="6955">
      <c r="A6955" s="234"/>
      <c r="B6955" s="238" t="str">
        <f>IFERROR(__xludf.DUMMYFUNCTION("""COMPUTED_VALUE"""),"LM Hub_SP_Registro")</f>
        <v>LM Hub_SP_Registro</v>
      </c>
      <c r="C6955" s="238" t="str">
        <f>IFERROR(__xludf.DUMMYFUNCTION("""COMPUTED_VALUE"""),"HUB-LSP-40")</f>
        <v>HUB-LSP-40</v>
      </c>
      <c r="D6955" s="234">
        <f>IFERROR(__xludf.DUMMYFUNCTION("""COMPUTED_VALUE"""),33.0)</f>
        <v>33</v>
      </c>
      <c r="E6955" s="237" t="str">
        <f>IFERROR(__xludf.DUMMYFUNCTION("""COMPUTED_VALUE"""),"LT0Q2701XVZY1")</f>
        <v>LT0Q2701XVZY1</v>
      </c>
      <c r="F6955" s="238" t="str">
        <f>IFERROR(__xludf.DUMMYFUNCTION("""COMPUTED_VALUE"""),"MDP4I94,IQM2H21")</f>
        <v>MDP4I94,IQM2H21</v>
      </c>
      <c r="G6955" s="238">
        <f>IFERROR(__xludf.DUMMYFUNCTION("""COMPUTED_VALUE"""),46060.16666666667)</f>
        <v>46060.16667</v>
      </c>
      <c r="H6955" s="238">
        <f>IFERROR(__xludf.DUMMYFUNCTION("""COMPUTED_VALUE"""),46060.25)</f>
        <v>46060.25</v>
      </c>
      <c r="J6955" s="239">
        <v>119.99999999301508</v>
      </c>
    </row>
    <row r="6956">
      <c r="A6956" s="234"/>
      <c r="B6956" s="238" t="str">
        <f>IFERROR(__xludf.DUMMYFUNCTION("""COMPUTED_VALUE"""),"SoC_PR_Curitiba")</f>
        <v>SoC_PR_Curitiba</v>
      </c>
      <c r="C6956" s="238" t="str">
        <f>IFERROR(__xludf.DUMMYFUNCTION("""COMPUTED_VALUE"""),"SOC-PR1")</f>
        <v>SOC-PR1</v>
      </c>
      <c r="D6956" s="234">
        <f>IFERROR(__xludf.DUMMYFUNCTION("""COMPUTED_VALUE"""),39.0)</f>
        <v>39</v>
      </c>
      <c r="E6956" s="237" t="str">
        <f>IFERROR(__xludf.DUMMYFUNCTION("""COMPUTED_VALUE"""),"LT0Q2701XVU81")</f>
        <v>LT0Q2701XVU81</v>
      </c>
      <c r="F6956" s="238" t="str">
        <f>IFERROR(__xludf.DUMMYFUNCTION("""COMPUTED_VALUE"""),"QJU5I97,SXK8A59")</f>
        <v>QJU5I97,SXK8A59</v>
      </c>
      <c r="G6956" s="238">
        <f>IFERROR(__xludf.DUMMYFUNCTION("""COMPUTED_VALUE"""),46060.16666666667)</f>
        <v>46060.16667</v>
      </c>
      <c r="H6956" s="238">
        <f>IFERROR(__xludf.DUMMYFUNCTION("""COMPUTED_VALUE"""),46060.25)</f>
        <v>46060.25</v>
      </c>
      <c r="J6956" s="239">
        <v>119.99999999301508</v>
      </c>
    </row>
    <row r="6957">
      <c r="A6957" s="234"/>
      <c r="B6957" s="238" t="str">
        <f>IFERROR(__xludf.DUMMYFUNCTION("""COMPUTED_VALUE"""),"SoC_PR_Curitiba")</f>
        <v>SoC_PR_Curitiba</v>
      </c>
      <c r="C6957" s="238" t="str">
        <f>IFERROR(__xludf.DUMMYFUNCTION("""COMPUTED_VALUE"""),"SOC-PR1")</f>
        <v>SOC-PR1</v>
      </c>
      <c r="D6957" s="234">
        <f>IFERROR(__xludf.DUMMYFUNCTION("""COMPUTED_VALUE"""),45.0)</f>
        <v>45</v>
      </c>
      <c r="E6957" s="237" t="str">
        <f>IFERROR(__xludf.DUMMYFUNCTION("""COMPUTED_VALUE"""),"LT1Q2701YSK01")</f>
        <v>LT1Q2701YSK01</v>
      </c>
      <c r="F6957" s="238" t="str">
        <f>IFERROR(__xludf.DUMMYFUNCTION("""COMPUTED_VALUE"""),"MFB3494,EWJ0611")</f>
        <v>MFB3494,EWJ0611</v>
      </c>
      <c r="G6957" s="238">
        <f>IFERROR(__xludf.DUMMYFUNCTION("""COMPUTED_VALUE"""),46060.16666666667)</f>
        <v>46060.16667</v>
      </c>
      <c r="H6957" s="238">
        <f>IFERROR(__xludf.DUMMYFUNCTION("""COMPUTED_VALUE"""),46060.25)</f>
        <v>46060.25</v>
      </c>
      <c r="J6957" s="239">
        <v>119.99999999301508</v>
      </c>
    </row>
    <row r="6958">
      <c r="A6958" s="234"/>
      <c r="B6958" s="238" t="str">
        <f>IFERROR(__xludf.DUMMYFUNCTION("""COMPUTED_VALUE"""),"SoC_SP_Louveira")</f>
        <v>SoC_SP_Louveira</v>
      </c>
      <c r="C6958" s="238" t="str">
        <f>IFERROR(__xludf.DUMMYFUNCTION("""COMPUTED_VALUE"""),"SOC-SP7")</f>
        <v>SOC-SP7</v>
      </c>
      <c r="D6958" s="234">
        <f>IFERROR(__xludf.DUMMYFUNCTION("""COMPUTED_VALUE"""),41.0)</f>
        <v>41</v>
      </c>
      <c r="E6958" s="237" t="str">
        <f>IFERROR(__xludf.DUMMYFUNCTION("""COMPUTED_VALUE"""),"LT0Q2701XVW61")</f>
        <v>LT0Q2701XVW61</v>
      </c>
      <c r="F6958" s="238" t="str">
        <f>IFERROR(__xludf.DUMMYFUNCTION("""COMPUTED_VALUE"""),"CJZ1I95,FRT7631")</f>
        <v>CJZ1I95,FRT7631</v>
      </c>
      <c r="G6958" s="238">
        <f>IFERROR(__xludf.DUMMYFUNCTION("""COMPUTED_VALUE"""),46060.16666666667)</f>
        <v>46060.16667</v>
      </c>
      <c r="H6958" s="238">
        <f>IFERROR(__xludf.DUMMYFUNCTION("""COMPUTED_VALUE"""),46060.25)</f>
        <v>46060.25</v>
      </c>
      <c r="J6958" s="239">
        <v>119.99999999301508</v>
      </c>
    </row>
    <row r="6959">
      <c r="A6959" s="234"/>
      <c r="B6959" s="238" t="str">
        <f>IFERROR(__xludf.DUMMYFUNCTION("""COMPUTED_VALUE"""),"LM Hub_SP_Atibaia_Ponte_Alta")</f>
        <v>LM Hub_SP_Atibaia_Ponte_Alta</v>
      </c>
      <c r="C6959" s="238" t="str">
        <f>IFERROR(__xludf.DUMMYFUNCTION("""COMPUTED_VALUE"""),"HUB-LSP-87")</f>
        <v>HUB-LSP-87</v>
      </c>
      <c r="D6959" s="234">
        <f>IFERROR(__xludf.DUMMYFUNCTION("""COMPUTED_VALUE"""),24.0)</f>
        <v>24</v>
      </c>
      <c r="E6959" s="237" t="str">
        <f>IFERROR(__xludf.DUMMYFUNCTION("""COMPUTED_VALUE"""),"LT0Q2701XZM91")</f>
        <v>LT0Q2701XZM91</v>
      </c>
      <c r="F6959" s="238" t="str">
        <f>IFERROR(__xludf.DUMMYFUNCTION("""COMPUTED_VALUE"""),"QTV9B66,FDP0C61")</f>
        <v>QTV9B66,FDP0C61</v>
      </c>
      <c r="G6959" s="238">
        <f>IFERROR(__xludf.DUMMYFUNCTION("""COMPUTED_VALUE"""),46060.1875)</f>
        <v>46060.1875</v>
      </c>
      <c r="H6959" s="238">
        <f>IFERROR(__xludf.DUMMYFUNCTION("""COMPUTED_VALUE"""),46060.27083333333)</f>
        <v>46060.27083</v>
      </c>
      <c r="J6959" s="239">
        <v>119.99999999301508</v>
      </c>
    </row>
    <row r="6960">
      <c r="A6960" s="234"/>
      <c r="B6960" s="238" t="str">
        <f>IFERROR(__xludf.DUMMYFUNCTION("""COMPUTED_VALUE"""),"SoC_SP_Santana")</f>
        <v>SoC_SP_Santana</v>
      </c>
      <c r="C6960" s="238" t="str">
        <f>IFERROR(__xludf.DUMMYFUNCTION("""COMPUTED_VALUE"""),"SOC-SP2")</f>
        <v>SOC-SP2</v>
      </c>
      <c r="D6960" s="234">
        <f>IFERROR(__xludf.DUMMYFUNCTION("""COMPUTED_VALUE"""),37.0)</f>
        <v>37</v>
      </c>
      <c r="E6960" s="237" t="str">
        <f>IFERROR(__xludf.DUMMYFUNCTION("""COMPUTED_VALUE"""),"LT0Q2701Y5ER1")</f>
        <v>LT0Q2701Y5ER1</v>
      </c>
      <c r="F6960" s="238" t="str">
        <f>IFERROR(__xludf.DUMMYFUNCTION("""COMPUTED_VALUE"""),"UFR4D80,TJZ0D53")</f>
        <v>UFR4D80,TJZ0D53</v>
      </c>
      <c r="G6960" s="238">
        <f>IFERROR(__xludf.DUMMYFUNCTION("""COMPUTED_VALUE"""),46060.1875)</f>
        <v>46060.1875</v>
      </c>
      <c r="H6960" s="238">
        <f>IFERROR(__xludf.DUMMYFUNCTION("""COMPUTED_VALUE"""),46060.27083333333)</f>
        <v>46060.27083</v>
      </c>
      <c r="J6960" s="239">
        <v>118.99999998975545</v>
      </c>
    </row>
    <row r="6961">
      <c r="A6961" s="234"/>
      <c r="B6961" s="238" t="str">
        <f>IFERROR(__xludf.DUMMYFUNCTION("""COMPUTED_VALUE"""),"LM Hub_SP_Sorocaba_Região Norte")</f>
        <v>LM Hub_SP_Sorocaba_Região Norte</v>
      </c>
      <c r="C6961" s="238" t="str">
        <f>IFERROR(__xludf.DUMMYFUNCTION("""COMPUTED_VALUE"""),"HUB-LSP-10")</f>
        <v>HUB-LSP-10</v>
      </c>
      <c r="D6961" s="234">
        <f>IFERROR(__xludf.DUMMYFUNCTION("""COMPUTED_VALUE"""),27.0)</f>
        <v>27</v>
      </c>
      <c r="E6961" s="237" t="str">
        <f>IFERROR(__xludf.DUMMYFUNCTION("""COMPUTED_VALUE"""),"LT0Q2701XW0Z1")</f>
        <v>LT0Q2701XW0Z1</v>
      </c>
      <c r="F6961" s="238" t="str">
        <f>IFERROR(__xludf.DUMMYFUNCTION("""COMPUTED_VALUE"""),"SUI1E62,TLW5H77")</f>
        <v>SUI1E62,TLW5H77</v>
      </c>
      <c r="G6961" s="238">
        <f>IFERROR(__xludf.DUMMYFUNCTION("""COMPUTED_VALUE"""),46060.18819444445)</f>
        <v>46060.18819</v>
      </c>
      <c r="H6961" s="238">
        <f>IFERROR(__xludf.DUMMYFUNCTION("""COMPUTED_VALUE"""),46060.27083333333)</f>
        <v>46060.27083</v>
      </c>
      <c r="J6961" s="239">
        <v>118.99999998975545</v>
      </c>
    </row>
    <row r="6962">
      <c r="A6962" s="234"/>
      <c r="B6962" s="238" t="str">
        <f>IFERROR(__xludf.DUMMYFUNCTION("""COMPUTED_VALUE"""),"LM Hub_SP_Taubaté")</f>
        <v>LM Hub_SP_Taubaté</v>
      </c>
      <c r="C6962" s="238" t="str">
        <f>IFERROR(__xludf.DUMMYFUNCTION("""COMPUTED_VALUE"""),"HUB-LSP-08")</f>
        <v>HUB-LSP-08</v>
      </c>
      <c r="D6962" s="234">
        <f>IFERROR(__xludf.DUMMYFUNCTION("""COMPUTED_VALUE"""),49.0)</f>
        <v>49</v>
      </c>
      <c r="E6962" s="237" t="str">
        <f>IFERROR(__xludf.DUMMYFUNCTION("""COMPUTED_VALUE"""),"LT0Q2701Y5A41")</f>
        <v>LT0Q2701Y5A41</v>
      </c>
      <c r="F6962" s="238" t="str">
        <f>IFERROR(__xludf.DUMMYFUNCTION("""COMPUTED_VALUE"""),"ASN0C15,MBC2C84")</f>
        <v>ASN0C15,MBC2C84</v>
      </c>
      <c r="G6962" s="238">
        <f>IFERROR(__xludf.DUMMYFUNCTION("""COMPUTED_VALUE"""),46060.18819444445)</f>
        <v>46060.18819</v>
      </c>
      <c r="H6962" s="238">
        <f>IFERROR(__xludf.DUMMYFUNCTION("""COMPUTED_VALUE"""),46060.27083333333)</f>
        <v>46060.27083</v>
      </c>
      <c r="J6962" s="239">
        <v>540.0</v>
      </c>
    </row>
    <row r="6963">
      <c r="A6963" s="234"/>
      <c r="B6963" s="238" t="str">
        <f>IFERROR(__xludf.DUMMYFUNCTION("""COMPUTED_VALUE"""),"SoC_BA_Simoes Filho")</f>
        <v>SoC_BA_Simoes Filho</v>
      </c>
      <c r="C6963" s="238" t="str">
        <f>IFERROR(__xludf.DUMMYFUNCTION("""COMPUTED_VALUE"""),"SOC-BA2")</f>
        <v>SOC-BA2</v>
      </c>
      <c r="D6963" s="234" t="str">
        <f>IFERROR(__xludf.DUMMYFUNCTION("""COMPUTED_VALUE"""),"88/89")</f>
        <v>88/89</v>
      </c>
      <c r="E6963" s="237" t="str">
        <f>IFERROR(__xludf.DUMMYFUNCTION("""COMPUTED_VALUE"""),"LT0Q2601Y1BL1")</f>
        <v>LT0Q2601Y1BL1</v>
      </c>
      <c r="F6963" s="238" t="str">
        <f>IFERROR(__xludf.DUMMYFUNCTION("""COMPUTED_VALUE"""),"PUG8H72,ECM4J66")</f>
        <v>PUG8H72,ECM4J66</v>
      </c>
      <c r="G6963" s="238">
        <f>IFERROR(__xludf.DUMMYFUNCTION("""COMPUTED_VALUE"""),46059.91666666667)</f>
        <v>46059.91667</v>
      </c>
      <c r="H6963" s="238">
        <f>IFERROR(__xludf.DUMMYFUNCTION("""COMPUTED_VALUE"""),46060.29166666667)</f>
        <v>46060.29167</v>
      </c>
      <c r="J6963" s="239">
        <v>540.0</v>
      </c>
    </row>
    <row r="6964">
      <c r="A6964" s="234"/>
      <c r="B6964" s="238" t="str">
        <f>IFERROR(__xludf.DUMMYFUNCTION("""COMPUTED_VALUE"""),"SoC_GO_Goiânia_02")</f>
        <v>SoC_GO_Goiânia_02</v>
      </c>
      <c r="C6964" s="238" t="str">
        <f>IFERROR(__xludf.DUMMYFUNCTION("""COMPUTED_VALUE"""),"SOC-GO2")</f>
        <v>SOC-GO2</v>
      </c>
      <c r="D6964" s="234">
        <f>IFERROR(__xludf.DUMMYFUNCTION("""COMPUTED_VALUE"""),87.0)</f>
        <v>87</v>
      </c>
      <c r="E6964" s="237" t="str">
        <f>IFERROR(__xludf.DUMMYFUNCTION("""COMPUTED_VALUE"""),"LT0Q2601Y1NZ1")</f>
        <v>LT0Q2601Y1NZ1</v>
      </c>
      <c r="F6964" s="238" t="str">
        <f>IFERROR(__xludf.DUMMYFUNCTION("""COMPUTED_VALUE"""),"SXL6I20,EMT8G01")</f>
        <v>SXL6I20,EMT8G01</v>
      </c>
      <c r="G6964" s="238">
        <f>IFERROR(__xludf.DUMMYFUNCTION("""COMPUTED_VALUE"""),46059.91666666667)</f>
        <v>46059.91667</v>
      </c>
      <c r="H6964" s="238">
        <f>IFERROR(__xludf.DUMMYFUNCTION("""COMPUTED_VALUE"""),46060.29166666667)</f>
        <v>46060.29167</v>
      </c>
      <c r="J6964" s="239">
        <v>540.0</v>
      </c>
    </row>
    <row r="6965">
      <c r="A6965" s="234"/>
      <c r="B6965" s="238" t="str">
        <f>IFERROR(__xludf.DUMMYFUNCTION("""COMPUTED_VALUE"""),"SoC_GO_Goiânia_02")</f>
        <v>SoC_GO_Goiânia_02</v>
      </c>
      <c r="C6965" s="238" t="str">
        <f>IFERROR(__xludf.DUMMYFUNCTION("""COMPUTED_VALUE"""),"SOC-GO2")</f>
        <v>SOC-GO2</v>
      </c>
      <c r="D6965" s="234">
        <f>IFERROR(__xludf.DUMMYFUNCTION("""COMPUTED_VALUE"""),86.0)</f>
        <v>86</v>
      </c>
      <c r="E6965" s="237" t="str">
        <f>IFERROR(__xludf.DUMMYFUNCTION("""COMPUTED_VALUE"""),"LT0Q2601Y1O12")</f>
        <v>LT0Q2601Y1O12</v>
      </c>
      <c r="F6965" s="238" t="str">
        <f>IFERROR(__xludf.DUMMYFUNCTION("""COMPUTED_VALUE"""),"IXK2B38,JAO5B41")</f>
        <v>IXK2B38,JAO5B41</v>
      </c>
      <c r="G6965" s="238">
        <f>IFERROR(__xludf.DUMMYFUNCTION("""COMPUTED_VALUE"""),46059.91666666667)</f>
        <v>46059.91667</v>
      </c>
      <c r="H6965" s="238">
        <f>IFERROR(__xludf.DUMMYFUNCTION("""COMPUTED_VALUE"""),46060.29166666667)</f>
        <v>46060.29167</v>
      </c>
      <c r="J6965" s="239">
        <v>540.0</v>
      </c>
    </row>
    <row r="6966">
      <c r="A6966" s="234"/>
      <c r="B6966" s="238" t="str">
        <f>IFERROR(__xludf.DUMMYFUNCTION("""COMPUTED_VALUE"""),"SoC_GO_Goiânia_02")</f>
        <v>SoC_GO_Goiânia_02</v>
      </c>
      <c r="C6966" s="238" t="str">
        <f>IFERROR(__xludf.DUMMYFUNCTION("""COMPUTED_VALUE"""),"SOC-GO2")</f>
        <v>SOC-GO2</v>
      </c>
      <c r="D6966" s="234">
        <f>IFERROR(__xludf.DUMMYFUNCTION("""COMPUTED_VALUE"""),86.0)</f>
        <v>86</v>
      </c>
      <c r="E6966" s="237" t="str">
        <f>IFERROR(__xludf.DUMMYFUNCTION("""COMPUTED_VALUE"""),"LT0Q2601Y1O33")</f>
        <v>LT0Q2601Y1O33</v>
      </c>
      <c r="F6966" s="238" t="str">
        <f>IFERROR(__xludf.DUMMYFUNCTION("""COMPUTED_VALUE"""),"FCK7E58,TIZ8F97")</f>
        <v>FCK7E58,TIZ8F97</v>
      </c>
      <c r="G6966" s="238">
        <f>IFERROR(__xludf.DUMMYFUNCTION("""COMPUTED_VALUE"""),46059.91666666667)</f>
        <v>46059.91667</v>
      </c>
      <c r="H6966" s="238">
        <f>IFERROR(__xludf.DUMMYFUNCTION("""COMPUTED_VALUE"""),46060.29166666667)</f>
        <v>46060.29167</v>
      </c>
      <c r="J6966" s="239">
        <v>540.0</v>
      </c>
    </row>
    <row r="6967">
      <c r="A6967" s="234"/>
      <c r="B6967" s="238" t="str">
        <f>IFERROR(__xludf.DUMMYFUNCTION("""COMPUTED_VALUE"""),"SoC_RJ_Duque de Caxias")</f>
        <v>SoC_RJ_Duque de Caxias</v>
      </c>
      <c r="C6967" s="238" t="str">
        <f>IFERROR(__xludf.DUMMYFUNCTION("""COMPUTED_VALUE"""),"SOC-RJ2")</f>
        <v>SOC-RJ2</v>
      </c>
      <c r="D6967" s="234">
        <f>IFERROR(__xludf.DUMMYFUNCTION("""COMPUTED_VALUE"""),96.0)</f>
        <v>96</v>
      </c>
      <c r="E6967" s="237" t="str">
        <f>IFERROR(__xludf.DUMMYFUNCTION("""COMPUTED_VALUE"""),"LT0Q2601Y5P41")</f>
        <v>LT0Q2601Y5P41</v>
      </c>
      <c r="F6967" s="238" t="str">
        <f>IFERROR(__xludf.DUMMYFUNCTION("""COMPUTED_VALUE"""),"ONT0B47,LRF5D13")</f>
        <v>ONT0B47,LRF5D13</v>
      </c>
      <c r="G6967" s="238">
        <f>IFERROR(__xludf.DUMMYFUNCTION("""COMPUTED_VALUE"""),46059.91666666667)</f>
        <v>46059.91667</v>
      </c>
      <c r="H6967" s="238">
        <f>IFERROR(__xludf.DUMMYFUNCTION("""COMPUTED_VALUE"""),46060.29166666667)</f>
        <v>46060.29167</v>
      </c>
      <c r="J6967" s="239" t="e">
        <v>#VALUE!</v>
      </c>
    </row>
    <row r="6968">
      <c r="A6968" s="234"/>
      <c r="B6968" s="238" t="str">
        <f>IFERROR(__xludf.DUMMYFUNCTION("""COMPUTED_VALUE"""),"Fanout Desconhecido")</f>
        <v>Fanout Desconhecido</v>
      </c>
      <c r="C6968" s="238" t="str">
        <f>IFERROR(__xludf.DUMMYFUNCTION("""COMPUTED_VALUE"""),"-")</f>
        <v>-</v>
      </c>
      <c r="D6968" s="234"/>
      <c r="E6968" s="237" t="str">
        <f>IFERROR(__xludf.DUMMYFUNCTION("""COMPUTED_VALUE"""),"LT0Q2601Y0BM1")</f>
        <v>LT0Q2601Y0BM1</v>
      </c>
      <c r="F6968" s="238" t="str">
        <f>IFERROR(__xludf.DUMMYFUNCTION("""COMPUTED_VALUE"""),"-")</f>
        <v>-</v>
      </c>
      <c r="G6968" s="238" t="str">
        <f>IFERROR(__xludf.DUMMYFUNCTION("""COMPUTED_VALUE"""),"-")</f>
        <v>-</v>
      </c>
      <c r="H6968" s="238" t="str">
        <f>IFERROR(__xludf.DUMMYFUNCTION("""COMPUTED_VALUE"""),"-")</f>
        <v>-</v>
      </c>
      <c r="J6968" s="239">
        <v>539.0000000072177</v>
      </c>
    </row>
    <row r="6969">
      <c r="A6969" s="234"/>
      <c r="B6969" s="238" t="str">
        <f>IFERROR(__xludf.DUMMYFUNCTION("""COMPUTED_VALUE"""),"SoC_SP_São Bernardo do Campo")</f>
        <v>SoC_SP_São Bernardo do Campo</v>
      </c>
      <c r="C6969" s="238" t="str">
        <f>IFERROR(__xludf.DUMMYFUNCTION("""COMPUTED_VALUE"""),"SOC-SP8")</f>
        <v>SOC-SP8</v>
      </c>
      <c r="D6969" s="234" t="str">
        <f>IFERROR(__xludf.DUMMYFUNCTION("""COMPUTED_VALUE"""),"99/114")</f>
        <v>99/114</v>
      </c>
      <c r="E6969" s="237" t="str">
        <f>IFERROR(__xludf.DUMMYFUNCTION("""COMPUTED_VALUE"""),"LT0Q2601Y18D1")</f>
        <v>LT0Q2601Y18D1</v>
      </c>
      <c r="F6969" s="238" t="str">
        <f>IFERROR(__xludf.DUMMYFUNCTION("""COMPUTED_VALUE"""),"GXM8E88,LML5B20")</f>
        <v>GXM8E88,LML5B20</v>
      </c>
      <c r="G6969" s="238">
        <f>IFERROR(__xludf.DUMMYFUNCTION("""COMPUTED_VALUE"""),46059.91736111111)</f>
        <v>46059.91736</v>
      </c>
      <c r="H6969" s="238">
        <f>IFERROR(__xludf.DUMMYFUNCTION("""COMPUTED_VALUE"""),46060.29166666667)</f>
        <v>46060.29167</v>
      </c>
      <c r="J6969" s="239">
        <v>539.0000000072177</v>
      </c>
    </row>
    <row r="6970">
      <c r="A6970" s="234"/>
      <c r="B6970" s="238" t="str">
        <f>IFERROR(__xludf.DUMMYFUNCTION("""COMPUTED_VALUE"""),"SoC_RS_Gravataí_02")</f>
        <v>SoC_RS_Gravataí_02</v>
      </c>
      <c r="C6970" s="238" t="str">
        <f>IFERROR(__xludf.DUMMYFUNCTION("""COMPUTED_VALUE"""),"SOC-RS2")</f>
        <v>SOC-RS2</v>
      </c>
      <c r="D6970" s="234">
        <f>IFERROR(__xludf.DUMMYFUNCTION("""COMPUTED_VALUE"""),99.0)</f>
        <v>99</v>
      </c>
      <c r="E6970" s="237" t="str">
        <f>IFERROR(__xludf.DUMMYFUNCTION("""COMPUTED_VALUE"""),"LT0Q2601Y1QD1")</f>
        <v>LT0Q2601Y1QD1</v>
      </c>
      <c r="F6970" s="238" t="str">
        <f>IFERROR(__xludf.DUMMYFUNCTION("""COMPUTED_VALUE"""),"IPJ5821,JAA7E21")</f>
        <v>IPJ5821,JAA7E21</v>
      </c>
      <c r="G6970" s="238">
        <f>IFERROR(__xludf.DUMMYFUNCTION("""COMPUTED_VALUE"""),46059.91736111111)</f>
        <v>46059.91736</v>
      </c>
      <c r="H6970" s="238">
        <f>IFERROR(__xludf.DUMMYFUNCTION("""COMPUTED_VALUE"""),46060.29166666667)</f>
        <v>46060.29167</v>
      </c>
      <c r="J6970" s="239">
        <v>538.0000000144355</v>
      </c>
    </row>
    <row r="6971">
      <c r="A6971" s="234"/>
      <c r="B6971" s="238" t="str">
        <f>IFERROR(__xludf.DUMMYFUNCTION("""COMPUTED_VALUE"""),"SoC_MG_Betim")</f>
        <v>SoC_MG_Betim</v>
      </c>
      <c r="C6971" s="238" t="str">
        <f>IFERROR(__xludf.DUMMYFUNCTION("""COMPUTED_VALUE"""),"SOC-MG2")</f>
        <v>SOC-MG2</v>
      </c>
      <c r="D6971" s="234">
        <f>IFERROR(__xludf.DUMMYFUNCTION("""COMPUTED_VALUE"""),90.0)</f>
        <v>90</v>
      </c>
      <c r="E6971" s="237" t="str">
        <f>IFERROR(__xludf.DUMMYFUNCTION("""COMPUTED_VALUE"""),"LT0Q2601XVTF1")</f>
        <v>LT0Q2601XVTF1</v>
      </c>
      <c r="F6971" s="238" t="str">
        <f>IFERROR(__xludf.DUMMYFUNCTION("""COMPUTED_VALUE"""),"SWQ6D05,SWG3J97")</f>
        <v>SWQ6D05,SWG3J97</v>
      </c>
      <c r="G6971" s="238">
        <f>IFERROR(__xludf.DUMMYFUNCTION("""COMPUTED_VALUE"""),46059.91805555555)</f>
        <v>46059.91806</v>
      </c>
      <c r="H6971" s="238">
        <f>IFERROR(__xludf.DUMMYFUNCTION("""COMPUTED_VALUE"""),46060.29166666667)</f>
        <v>46060.29167</v>
      </c>
      <c r="J6971" s="239">
        <v>538.0000000144355</v>
      </c>
    </row>
    <row r="6972">
      <c r="A6972" s="234"/>
      <c r="B6972" s="238" t="str">
        <f>IFERROR(__xludf.DUMMYFUNCTION("""COMPUTED_VALUE"""),"SoC_MG_Betim")</f>
        <v>SoC_MG_Betim</v>
      </c>
      <c r="C6972" s="238" t="str">
        <f>IFERROR(__xludf.DUMMYFUNCTION("""COMPUTED_VALUE"""),"SOC-MG2")</f>
        <v>SOC-MG2</v>
      </c>
      <c r="D6972" s="234">
        <f>IFERROR(__xludf.DUMMYFUNCTION("""COMPUTED_VALUE"""),91.0)</f>
        <v>91</v>
      </c>
      <c r="E6972" s="237" t="str">
        <f>IFERROR(__xludf.DUMMYFUNCTION("""COMPUTED_VALUE"""),"LT0Q2601XVTG2")</f>
        <v>LT0Q2601XVTG2</v>
      </c>
      <c r="F6972" s="238" t="str">
        <f>IFERROR(__xludf.DUMMYFUNCTION("""COMPUTED_VALUE"""),"FWI2F57,UFE2E86")</f>
        <v>FWI2F57,UFE2E86</v>
      </c>
      <c r="G6972" s="238">
        <f>IFERROR(__xludf.DUMMYFUNCTION("""COMPUTED_VALUE"""),46059.91805555555)</f>
        <v>46059.91806</v>
      </c>
      <c r="H6972" s="238">
        <f>IFERROR(__xludf.DUMMYFUNCTION("""COMPUTED_VALUE"""),46060.29166666667)</f>
        <v>46060.29167</v>
      </c>
      <c r="J6972" s="239">
        <v>538.0000000144355</v>
      </c>
    </row>
    <row r="6973">
      <c r="A6973" s="234"/>
      <c r="B6973" s="238" t="str">
        <f>IFERROR(__xludf.DUMMYFUNCTION("""COMPUTED_VALUE"""),"SoC_MG_Betim")</f>
        <v>SoC_MG_Betim</v>
      </c>
      <c r="C6973" s="238" t="str">
        <f>IFERROR(__xludf.DUMMYFUNCTION("""COMPUTED_VALUE"""),"SOC-MG2")</f>
        <v>SOC-MG2</v>
      </c>
      <c r="D6973" s="234">
        <f>IFERROR(__xludf.DUMMYFUNCTION("""COMPUTED_VALUE"""),91.0)</f>
        <v>91</v>
      </c>
      <c r="E6973" s="237" t="str">
        <f>IFERROR(__xludf.DUMMYFUNCTION("""COMPUTED_VALUE"""),"LT0Q2601XVTI3")</f>
        <v>LT0Q2601XVTI3</v>
      </c>
      <c r="F6973" s="238" t="str">
        <f>IFERROR(__xludf.DUMMYFUNCTION("""COMPUTED_VALUE"""),"PTM2E75,TJB8J80")</f>
        <v>PTM2E75,TJB8J80</v>
      </c>
      <c r="G6973" s="238">
        <f>IFERROR(__xludf.DUMMYFUNCTION("""COMPUTED_VALUE"""),46059.91805555555)</f>
        <v>46059.91806</v>
      </c>
      <c r="H6973" s="238">
        <f>IFERROR(__xludf.DUMMYFUNCTION("""COMPUTED_VALUE"""),46060.29166666667)</f>
        <v>46060.29167</v>
      </c>
      <c r="J6973" s="239">
        <v>537.0000000111759</v>
      </c>
    </row>
    <row r="6974">
      <c r="A6974" s="234"/>
      <c r="B6974" s="238" t="str">
        <f>IFERROR(__xludf.DUMMYFUNCTION("""COMPUTED_VALUE"""),"SoC_SP_Cravinhos")</f>
        <v>SoC_SP_Cravinhos</v>
      </c>
      <c r="C6974" s="238" t="str">
        <f>IFERROR(__xludf.DUMMYFUNCTION("""COMPUTED_VALUE"""),"SOC-SP5")</f>
        <v>SOC-SP5</v>
      </c>
      <c r="D6974" s="234">
        <f>IFERROR(__xludf.DUMMYFUNCTION("""COMPUTED_VALUE"""),95.0)</f>
        <v>95</v>
      </c>
      <c r="E6974" s="237" t="str">
        <f>IFERROR(__xludf.DUMMYFUNCTION("""COMPUTED_VALUE"""),"LT0Q2601XVVW1")</f>
        <v>LT0Q2601XVVW1</v>
      </c>
      <c r="F6974" s="238" t="str">
        <f>IFERROR(__xludf.DUMMYFUNCTION("""COMPUTED_VALUE"""),"FEK3A22,EWJ2318")</f>
        <v>FEK3A22,EWJ2318</v>
      </c>
      <c r="G6974" s="238">
        <f>IFERROR(__xludf.DUMMYFUNCTION("""COMPUTED_VALUE"""),46059.91875)</f>
        <v>46059.91875</v>
      </c>
      <c r="H6974" s="238">
        <f>IFERROR(__xludf.DUMMYFUNCTION("""COMPUTED_VALUE"""),46060.29166666667)</f>
        <v>46060.29167</v>
      </c>
      <c r="J6974" s="239">
        <v>120.00000001396984</v>
      </c>
    </row>
    <row r="6975">
      <c r="A6975" s="234"/>
      <c r="B6975" s="238" t="str">
        <f>IFERROR(__xludf.DUMMYFUNCTION("""COMPUTED_VALUE"""),"LM Hub_SP_Barueri_01")</f>
        <v>LM Hub_SP_Barueri_01</v>
      </c>
      <c r="C6975" s="238" t="str">
        <f>IFERROR(__xludf.DUMMYFUNCTION("""COMPUTED_VALUE"""),"HUB-LSP-81")</f>
        <v>HUB-LSP-81</v>
      </c>
      <c r="D6975" s="234">
        <f>IFERROR(__xludf.DUMMYFUNCTION("""COMPUTED_VALUE"""),29.0)</f>
        <v>29</v>
      </c>
      <c r="E6975" s="237" t="str">
        <f>IFERROR(__xludf.DUMMYFUNCTION("""COMPUTED_VALUE"""),"LT0Q2701Y0Z71")</f>
        <v>LT0Q2701Y0Z71</v>
      </c>
      <c r="F6975" s="238" t="str">
        <f>IFERROR(__xludf.DUMMYFUNCTION("""COMPUTED_VALUE"""),"FRO3D47,EWU4B46")</f>
        <v>FRO3D47,EWU4B46</v>
      </c>
      <c r="G6975" s="238">
        <f>IFERROR(__xludf.DUMMYFUNCTION("""COMPUTED_VALUE"""),46060.20833333333)</f>
        <v>46060.20833</v>
      </c>
      <c r="H6975" s="238">
        <f>IFERROR(__xludf.DUMMYFUNCTION("""COMPUTED_VALUE"""),46060.29166666667)</f>
        <v>46060.29167</v>
      </c>
      <c r="J6975" s="239">
        <v>120.00000001396984</v>
      </c>
    </row>
    <row r="6976">
      <c r="A6976" s="234"/>
      <c r="B6976" s="238" t="str">
        <f>IFERROR(__xludf.DUMMYFUNCTION("""COMPUTED_VALUE"""),"LM Hub_SP_Jundiaí")</f>
        <v>LM Hub_SP_Jundiaí</v>
      </c>
      <c r="C6976" s="238" t="str">
        <f>IFERROR(__xludf.DUMMYFUNCTION("""COMPUTED_VALUE"""),"HUB-LSP-100")</f>
        <v>HUB-LSP-100</v>
      </c>
      <c r="D6976" s="234">
        <f>IFERROR(__xludf.DUMMYFUNCTION("""COMPUTED_VALUE"""),26.0)</f>
        <v>26</v>
      </c>
      <c r="E6976" s="237" t="str">
        <f>IFERROR(__xludf.DUMMYFUNCTION("""COMPUTED_VALUE"""),"LT0Q2701Y2H21")</f>
        <v>LT0Q2701Y2H21</v>
      </c>
      <c r="F6976" s="238" t="str">
        <f>IFERROR(__xludf.DUMMYFUNCTION("""COMPUTED_VALUE"""),"TBX6B96")</f>
        <v>TBX6B96</v>
      </c>
      <c r="G6976" s="238">
        <f>IFERROR(__xludf.DUMMYFUNCTION("""COMPUTED_VALUE"""),46060.20833333333)</f>
        <v>46060.20833</v>
      </c>
      <c r="H6976" s="238">
        <f>IFERROR(__xludf.DUMMYFUNCTION("""COMPUTED_VALUE"""),46060.29166666667)</f>
        <v>46060.29167</v>
      </c>
      <c r="J6976" s="239">
        <v>120.00000001396984</v>
      </c>
    </row>
    <row r="6977">
      <c r="A6977" s="234"/>
      <c r="B6977" s="238" t="str">
        <f>IFERROR(__xludf.DUMMYFUNCTION("""COMPUTED_VALUE"""),"LM Hub_SP_Piracicaba")</f>
        <v>LM Hub_SP_Piracicaba</v>
      </c>
      <c r="C6977" s="238" t="str">
        <f>IFERROR(__xludf.DUMMYFUNCTION("""COMPUTED_VALUE"""),"HUB-LSP-62")</f>
        <v>HUB-LSP-62</v>
      </c>
      <c r="D6977" s="234">
        <f>IFERROR(__xludf.DUMMYFUNCTION("""COMPUTED_VALUE"""),34.0)</f>
        <v>34</v>
      </c>
      <c r="E6977" s="237" t="str">
        <f>IFERROR(__xludf.DUMMYFUNCTION("""COMPUTED_VALUE"""),"LT0Q2701XWQN1")</f>
        <v>LT0Q2701XWQN1</v>
      </c>
      <c r="F6977" s="238" t="str">
        <f>IFERROR(__xludf.DUMMYFUNCTION("""COMPUTED_VALUE"""),"OGD9J54")</f>
        <v>OGD9J54</v>
      </c>
      <c r="G6977" s="238">
        <f>IFERROR(__xludf.DUMMYFUNCTION("""COMPUTED_VALUE"""),46060.20833333333)</f>
        <v>46060.20833</v>
      </c>
      <c r="H6977" s="238">
        <f>IFERROR(__xludf.DUMMYFUNCTION("""COMPUTED_VALUE"""),46060.29166666667)</f>
        <v>46060.29167</v>
      </c>
      <c r="J6977" s="239">
        <v>120.00000001396984</v>
      </c>
    </row>
    <row r="6978">
      <c r="A6978" s="234"/>
      <c r="B6978" s="238" t="str">
        <f>IFERROR(__xludf.DUMMYFUNCTION("""COMPUTED_VALUE"""),"LM Hub_SP_Santos_PraiaGrande_02")</f>
        <v>LM Hub_SP_Santos_PraiaGrande_02</v>
      </c>
      <c r="C6978" s="238" t="str">
        <f>IFERROR(__xludf.DUMMYFUNCTION("""COMPUTED_VALUE"""),"HUB-LSP-63")</f>
        <v>HUB-LSP-63</v>
      </c>
      <c r="D6978" s="234">
        <f>IFERROR(__xludf.DUMMYFUNCTION("""COMPUTED_VALUE"""),22.0)</f>
        <v>22</v>
      </c>
      <c r="E6978" s="237" t="str">
        <f>IFERROR(__xludf.DUMMYFUNCTION("""COMPUTED_VALUE"""),"LT0Q2701XX7E1")</f>
        <v>LT0Q2701XX7E1</v>
      </c>
      <c r="F6978" s="238" t="str">
        <f>IFERROR(__xludf.DUMMYFUNCTION("""COMPUTED_VALUE"""),"SWJ8J34,SXN5B19")</f>
        <v>SWJ8J34,SXN5B19</v>
      </c>
      <c r="G6978" s="238">
        <f>IFERROR(__xludf.DUMMYFUNCTION("""COMPUTED_VALUE"""),46060.20833333333)</f>
        <v>46060.20833</v>
      </c>
      <c r="H6978" s="238">
        <f>IFERROR(__xludf.DUMMYFUNCTION("""COMPUTED_VALUE"""),46060.29166666667)</f>
        <v>46060.29167</v>
      </c>
      <c r="J6978" s="239">
        <v>119.99999999301508</v>
      </c>
    </row>
    <row r="6979">
      <c r="A6979" s="234"/>
      <c r="B6979" s="238" t="str">
        <f>IFERROR(__xludf.DUMMYFUNCTION("""COMPUTED_VALUE"""),"LM Hub_SP_Guarujá")</f>
        <v>LM Hub_SP_Guarujá</v>
      </c>
      <c r="C6979" s="238" t="str">
        <f>IFERROR(__xludf.DUMMYFUNCTION("""COMPUTED_VALUE"""),"HUB-LSP-06")</f>
        <v>HUB-LSP-06</v>
      </c>
      <c r="D6979" s="234">
        <f>IFERROR(__xludf.DUMMYFUNCTION("""COMPUTED_VALUE"""),38.0)</f>
        <v>38</v>
      </c>
      <c r="E6979" s="237" t="str">
        <f>IFERROR(__xludf.DUMMYFUNCTION("""COMPUTED_VALUE"""),"LT0Q2701XX6T1")</f>
        <v>LT0Q2701XX6T1</v>
      </c>
      <c r="F6979" s="238" t="str">
        <f>IFERROR(__xludf.DUMMYFUNCTION("""COMPUTED_VALUE"""),"UFB1B50")</f>
        <v>UFB1B50</v>
      </c>
      <c r="G6979" s="238">
        <f>IFERROR(__xludf.DUMMYFUNCTION("""COMPUTED_VALUE"""),46060.22916666667)</f>
        <v>46060.22917</v>
      </c>
      <c r="H6979" s="238">
        <f>IFERROR(__xludf.DUMMYFUNCTION("""COMPUTED_VALUE"""),46060.3125)</f>
        <v>46060.3125</v>
      </c>
      <c r="J6979" s="239">
        <v>119.99999999301508</v>
      </c>
    </row>
    <row r="6980">
      <c r="A6980" s="234"/>
      <c r="B6980" s="238" t="str">
        <f>IFERROR(__xludf.DUMMYFUNCTION("""COMPUTED_VALUE"""),"LM Hub_SP_Itapevi")</f>
        <v>LM Hub_SP_Itapevi</v>
      </c>
      <c r="C6980" s="238" t="str">
        <f>IFERROR(__xludf.DUMMYFUNCTION("""COMPUTED_VALUE"""),"HUB-LSP-41")</f>
        <v>HUB-LSP-41</v>
      </c>
      <c r="D6980" s="234">
        <f>IFERROR(__xludf.DUMMYFUNCTION("""COMPUTED_VALUE"""),21.0)</f>
        <v>21</v>
      </c>
      <c r="E6980" s="237" t="str">
        <f>IFERROR(__xludf.DUMMYFUNCTION("""COMPUTED_VALUE"""),"LT0Q2701XVY11")</f>
        <v>LT0Q2701XVY11</v>
      </c>
      <c r="F6980" s="238" t="str">
        <f>IFERROR(__xludf.DUMMYFUNCTION("""COMPUTED_VALUE"""),"EMU5F62,FGK3A38")</f>
        <v>EMU5F62,FGK3A38</v>
      </c>
      <c r="G6980" s="238">
        <f>IFERROR(__xludf.DUMMYFUNCTION("""COMPUTED_VALUE"""),46060.22916666667)</f>
        <v>46060.22917</v>
      </c>
      <c r="H6980" s="238">
        <f>IFERROR(__xludf.DUMMYFUNCTION("""COMPUTED_VALUE"""),46060.3125)</f>
        <v>46060.3125</v>
      </c>
      <c r="J6980" s="239">
        <v>119.99999999301508</v>
      </c>
    </row>
    <row r="6981">
      <c r="A6981" s="234"/>
      <c r="B6981" s="238" t="str">
        <f>IFERROR(__xludf.DUMMYFUNCTION("""COMPUTED_VALUE"""),"LM Hub_SP_Santos_Praia Grande")</f>
        <v>LM Hub_SP_Santos_Praia Grande</v>
      </c>
      <c r="C6981" s="238" t="str">
        <f>IFERROR(__xludf.DUMMYFUNCTION("""COMPUTED_VALUE"""),"HUB-LSP-09")</f>
        <v>HUB-LSP-09</v>
      </c>
      <c r="D6981" s="234">
        <f>IFERROR(__xludf.DUMMYFUNCTION("""COMPUTED_VALUE"""),15.0)</f>
        <v>15</v>
      </c>
      <c r="E6981" s="237" t="str">
        <f>IFERROR(__xludf.DUMMYFUNCTION("""COMPUTED_VALUE"""),"LT0Q2701XX6Y1")</f>
        <v>LT0Q2701XX6Y1</v>
      </c>
      <c r="F6981" s="238" t="str">
        <f>IFERROR(__xludf.DUMMYFUNCTION("""COMPUTED_VALUE"""),"CRX3F42,FCS9115")</f>
        <v>CRX3F42,FCS9115</v>
      </c>
      <c r="G6981" s="238">
        <f>IFERROR(__xludf.DUMMYFUNCTION("""COMPUTED_VALUE"""),46060.22916666667)</f>
        <v>46060.22917</v>
      </c>
      <c r="H6981" s="238">
        <f>IFERROR(__xludf.DUMMYFUNCTION("""COMPUTED_VALUE"""),46060.3125)</f>
        <v>46060.3125</v>
      </c>
      <c r="J6981" s="239" t="e">
        <v>#VALUE!</v>
      </c>
    </row>
    <row r="6982">
      <c r="A6982" s="234"/>
      <c r="B6982" s="238" t="str">
        <f>IFERROR(__xludf.DUMMYFUNCTION("""COMPUTED_VALUE"""),"Fanout Desconhecido")</f>
        <v>Fanout Desconhecido</v>
      </c>
      <c r="C6982" s="238" t="str">
        <f>IFERROR(__xludf.DUMMYFUNCTION("""COMPUTED_VALUE"""),"-")</f>
        <v>-</v>
      </c>
      <c r="D6982" s="234"/>
      <c r="E6982" s="237" t="str">
        <f>IFERROR(__xludf.DUMMYFUNCTION("""COMPUTED_VALUE"""),"LT0Q2701XW2M1")</f>
        <v>LT0Q2701XW2M1</v>
      </c>
      <c r="F6982" s="238" t="str">
        <f>IFERROR(__xludf.DUMMYFUNCTION("""COMPUTED_VALUE"""),"-")</f>
        <v>-</v>
      </c>
      <c r="G6982" s="238" t="str">
        <f>IFERROR(__xludf.DUMMYFUNCTION("""COMPUTED_VALUE"""),"-")</f>
        <v>-</v>
      </c>
      <c r="H6982" s="238" t="str">
        <f>IFERROR(__xludf.DUMMYFUNCTION("""COMPUTED_VALUE"""),"-")</f>
        <v>-</v>
      </c>
      <c r="J6982" s="239" t="e">
        <v>#VALUE!</v>
      </c>
    </row>
    <row r="6983">
      <c r="A6983" s="234"/>
      <c r="B6983" s="238" t="str">
        <f>IFERROR(__xludf.DUMMYFUNCTION("""COMPUTED_VALUE"""),"Fanout Desconhecido")</f>
        <v>Fanout Desconhecido</v>
      </c>
      <c r="C6983" s="238" t="str">
        <f>IFERROR(__xludf.DUMMYFUNCTION("""COMPUTED_VALUE"""),"-")</f>
        <v>-</v>
      </c>
      <c r="D6983" s="234"/>
      <c r="E6983" s="237" t="str">
        <f>IFERROR(__xludf.DUMMYFUNCTION("""COMPUTED_VALUE"""),"LT0Q2701XW2O2")</f>
        <v>LT0Q2701XW2O2</v>
      </c>
      <c r="F6983" s="238" t="str">
        <f>IFERROR(__xludf.DUMMYFUNCTION("""COMPUTED_VALUE"""),"-")</f>
        <v>-</v>
      </c>
      <c r="G6983" s="238" t="str">
        <f>IFERROR(__xludf.DUMMYFUNCTION("""COMPUTED_VALUE"""),"-")</f>
        <v>-</v>
      </c>
      <c r="H6983" s="238" t="str">
        <f>IFERROR(__xludf.DUMMYFUNCTION("""COMPUTED_VALUE"""),"-")</f>
        <v>-</v>
      </c>
      <c r="J6983" s="239">
        <v>119.00000000023283</v>
      </c>
    </row>
    <row r="6984">
      <c r="A6984" s="234"/>
      <c r="B6984" s="238" t="str">
        <f>IFERROR(__xludf.DUMMYFUNCTION("""COMPUTED_VALUE"""),"LM Hub_SP_São José dos Campos")</f>
        <v>LM Hub_SP_São José dos Campos</v>
      </c>
      <c r="C6984" s="238" t="str">
        <f>IFERROR(__xludf.DUMMYFUNCTION("""COMPUTED_VALUE"""),"HUB-LSP-04")</f>
        <v>HUB-LSP-04</v>
      </c>
      <c r="D6984" s="234">
        <f>IFERROR(__xludf.DUMMYFUNCTION("""COMPUTED_VALUE"""),20.0)</f>
        <v>20</v>
      </c>
      <c r="E6984" s="237" t="str">
        <f>IFERROR(__xludf.DUMMYFUNCTION("""COMPUTED_VALUE"""),"LT0Q2701XX741")</f>
        <v>LT0Q2701XX741</v>
      </c>
      <c r="F6984" s="238" t="str">
        <f>IFERROR(__xludf.DUMMYFUNCTION("""COMPUTED_VALUE"""),"TBX6C72")</f>
        <v>TBX6C72</v>
      </c>
      <c r="G6984" s="238">
        <f>IFERROR(__xludf.DUMMYFUNCTION("""COMPUTED_VALUE"""),46060.22986111111)</f>
        <v>46060.22986</v>
      </c>
      <c r="H6984" s="238">
        <f>IFERROR(__xludf.DUMMYFUNCTION("""COMPUTED_VALUE"""),46060.3125)</f>
        <v>46060.3125</v>
      </c>
      <c r="J6984" s="239">
        <v>119.00000000023283</v>
      </c>
    </row>
    <row r="6985">
      <c r="A6985" s="234"/>
      <c r="B6985" s="238" t="str">
        <f>IFERROR(__xludf.DUMMYFUNCTION("""COMPUTED_VALUE"""),"LM Hub_SP_São Paulo_Mooca")</f>
        <v>LM Hub_SP_São Paulo_Mooca</v>
      </c>
      <c r="C6985" s="238" t="str">
        <f>IFERROR(__xludf.DUMMYFUNCTION("""COMPUTED_VALUE"""),"HUB-LSP-13")</f>
        <v>HUB-LSP-13</v>
      </c>
      <c r="D6985" s="234">
        <f>IFERROR(__xludf.DUMMYFUNCTION("""COMPUTED_VALUE"""),35.0)</f>
        <v>35</v>
      </c>
      <c r="E6985" s="237" t="str">
        <f>IFERROR(__xludf.DUMMYFUNCTION("""COMPUTED_VALUE"""),"LT0Q2701Y5JI1")</f>
        <v>LT0Q2701Y5JI1</v>
      </c>
      <c r="F6985" s="238" t="str">
        <f>IFERROR(__xludf.DUMMYFUNCTION("""COMPUTED_VALUE"""),"FGI1F79")</f>
        <v>FGI1F79</v>
      </c>
      <c r="G6985" s="238">
        <f>IFERROR(__xludf.DUMMYFUNCTION("""COMPUTED_VALUE"""),46060.22986111111)</f>
        <v>46060.22986</v>
      </c>
      <c r="H6985" s="238">
        <f>IFERROR(__xludf.DUMMYFUNCTION("""COMPUTED_VALUE"""),46060.3125)</f>
        <v>46060.3125</v>
      </c>
      <c r="J6985" s="239">
        <v>119.00000000023283</v>
      </c>
    </row>
    <row r="6986">
      <c r="A6986" s="234"/>
      <c r="B6986" s="238" t="str">
        <f>IFERROR(__xludf.DUMMYFUNCTION("""COMPUTED_VALUE"""),"LM Hub_SP_Várzea Paulista")</f>
        <v>LM Hub_SP_Várzea Paulista</v>
      </c>
      <c r="C6986" s="238" t="str">
        <f>IFERROR(__xludf.DUMMYFUNCTION("""COMPUTED_VALUE"""),"HUB-LSP-20")</f>
        <v>HUB-LSP-20</v>
      </c>
      <c r="D6986" s="234">
        <f>IFERROR(__xludf.DUMMYFUNCTION("""COMPUTED_VALUE"""),19.0)</f>
        <v>19</v>
      </c>
      <c r="E6986" s="237" t="str">
        <f>IFERROR(__xludf.DUMMYFUNCTION("""COMPUTED_VALUE"""),"LT0Q2701XW2N1")</f>
        <v>LT0Q2701XW2N1</v>
      </c>
      <c r="F6986" s="238" t="str">
        <f>IFERROR(__xludf.DUMMYFUNCTION("""COMPUTED_VALUE"""),"FJJ1188,EGJ8F24")</f>
        <v>FJJ1188,EGJ8F24</v>
      </c>
      <c r="G6986" s="238">
        <f>IFERROR(__xludf.DUMMYFUNCTION("""COMPUTED_VALUE"""),46060.22986111111)</f>
        <v>46060.22986</v>
      </c>
      <c r="H6986" s="238">
        <f>IFERROR(__xludf.DUMMYFUNCTION("""COMPUTED_VALUE"""),46060.3125)</f>
        <v>46060.3125</v>
      </c>
      <c r="J6986" s="239">
        <v>119.99999999301508</v>
      </c>
    </row>
    <row r="6987">
      <c r="A6987" s="234"/>
      <c r="B6987" s="238" t="str">
        <f>IFERROR(__xludf.DUMMYFUNCTION("""COMPUTED_VALUE"""),"LM Hub_SP_Artur Alvim")</f>
        <v>LM Hub_SP_Artur Alvim</v>
      </c>
      <c r="C6987" s="238" t="str">
        <f>IFERROR(__xludf.DUMMYFUNCTION("""COMPUTED_VALUE"""),"HUB-LSP-07")</f>
        <v>HUB-LSP-07</v>
      </c>
      <c r="D6987" s="234">
        <f>IFERROR(__xludf.DUMMYFUNCTION("""COMPUTED_VALUE"""),18.0)</f>
        <v>18</v>
      </c>
      <c r="E6987" s="237" t="str">
        <f>IFERROR(__xludf.DUMMYFUNCTION("""COMPUTED_VALUE"""),"LT0Q2701XX5K1")</f>
        <v>LT0Q2701XX5K1</v>
      </c>
      <c r="F6987" s="238" t="str">
        <f>IFERROR(__xludf.DUMMYFUNCTION("""COMPUTED_VALUE"""),"ASH4C66,BWP2G99")</f>
        <v>ASH4C66,BWP2G99</v>
      </c>
      <c r="G6987" s="238">
        <f>IFERROR(__xludf.DUMMYFUNCTION("""COMPUTED_VALUE"""),46060.25)</f>
        <v>46060.25</v>
      </c>
      <c r="H6987" s="238">
        <f>IFERROR(__xludf.DUMMYFUNCTION("""COMPUTED_VALUE"""),46060.33333333333)</f>
        <v>46060.33333</v>
      </c>
      <c r="J6987" s="239">
        <v>119.99999999301508</v>
      </c>
    </row>
    <row r="6988">
      <c r="A6988" s="234"/>
      <c r="B6988" s="238" t="str">
        <f>IFERROR(__xludf.DUMMYFUNCTION("""COMPUTED_VALUE"""),"LM Hub_SP_Embu das Artes")</f>
        <v>LM Hub_SP_Embu das Artes</v>
      </c>
      <c r="C6988" s="238" t="str">
        <f>IFERROR(__xludf.DUMMYFUNCTION("""COMPUTED_VALUE"""),"HUB-LSP-36")</f>
        <v>HUB-LSP-36</v>
      </c>
      <c r="D6988" s="234">
        <f>IFERROR(__xludf.DUMMYFUNCTION("""COMPUTED_VALUE"""),39.0)</f>
        <v>39</v>
      </c>
      <c r="E6988" s="237" t="str">
        <f>IFERROR(__xludf.DUMMYFUNCTION("""COMPUTED_VALUE"""),"LT0Q2701XX7J1")</f>
        <v>LT0Q2701XX7J1</v>
      </c>
      <c r="F6988" s="238" t="str">
        <f>IFERROR(__xludf.DUMMYFUNCTION("""COMPUTED_VALUE"""),"FGL3B43,FQB3D75")</f>
        <v>FGL3B43,FQB3D75</v>
      </c>
      <c r="G6988" s="238">
        <f>IFERROR(__xludf.DUMMYFUNCTION("""COMPUTED_VALUE"""),46060.25)</f>
        <v>46060.25</v>
      </c>
      <c r="H6988" s="238">
        <f>IFERROR(__xludf.DUMMYFUNCTION("""COMPUTED_VALUE"""),46060.33333333333)</f>
        <v>46060.33333</v>
      </c>
      <c r="J6988" s="239">
        <v>119.99999999301508</v>
      </c>
    </row>
    <row r="6989">
      <c r="A6989" s="234"/>
      <c r="B6989" s="238" t="str">
        <f>IFERROR(__xludf.DUMMYFUNCTION("""COMPUTED_VALUE"""),"LM Hub_SP_Guarulhos")</f>
        <v>LM Hub_SP_Guarulhos</v>
      </c>
      <c r="C6989" s="238" t="str">
        <f>IFERROR(__xludf.DUMMYFUNCTION("""COMPUTED_VALUE"""),"HUB-LSP-77")</f>
        <v>HUB-LSP-77</v>
      </c>
      <c r="D6989" s="234">
        <f>IFERROR(__xludf.DUMMYFUNCTION("""COMPUTED_VALUE"""),14.0)</f>
        <v>14</v>
      </c>
      <c r="E6989" s="237" t="str">
        <f>IFERROR(__xludf.DUMMYFUNCTION("""COMPUTED_VALUE"""),"LT0Q2701XX791")</f>
        <v>LT0Q2701XX791</v>
      </c>
      <c r="F6989" s="238" t="str">
        <f>IFERROR(__xludf.DUMMYFUNCTION("""COMPUTED_VALUE"""),"ESU9B10,JOK0B33")</f>
        <v>ESU9B10,JOK0B33</v>
      </c>
      <c r="G6989" s="238">
        <f>IFERROR(__xludf.DUMMYFUNCTION("""COMPUTED_VALUE"""),46060.25)</f>
        <v>46060.25</v>
      </c>
      <c r="H6989" s="238">
        <f>IFERROR(__xludf.DUMMYFUNCTION("""COMPUTED_VALUE"""),46060.33333333333)</f>
        <v>46060.33333</v>
      </c>
      <c r="J6989" s="239">
        <v>119.99999999301508</v>
      </c>
    </row>
    <row r="6990">
      <c r="A6990" s="234"/>
      <c r="B6990" s="238" t="str">
        <f>IFERROR(__xludf.DUMMYFUNCTION("""COMPUTED_VALUE"""),"LM Hub_SP_Itaqua_Zimba")</f>
        <v>LM Hub_SP_Itaqua_Zimba</v>
      </c>
      <c r="C6990" s="238" t="str">
        <f>IFERROR(__xludf.DUMMYFUNCTION("""COMPUTED_VALUE"""),"HUB-LSP-74")</f>
        <v>HUB-LSP-74</v>
      </c>
      <c r="D6990" s="234">
        <f>IFERROR(__xludf.DUMMYFUNCTION("""COMPUTED_VALUE"""),16.0)</f>
        <v>16</v>
      </c>
      <c r="E6990" s="237" t="str">
        <f>IFERROR(__xludf.DUMMYFUNCTION("""COMPUTED_VALUE"""),"LT0Q2701XX6O1")</f>
        <v>LT0Q2701XX6O1</v>
      </c>
      <c r="F6990" s="238" t="str">
        <f>IFERROR(__xludf.DUMMYFUNCTION("""COMPUTED_VALUE"""),"CYT4D62,TLF5G42")</f>
        <v>CYT4D62,TLF5G42</v>
      </c>
      <c r="G6990" s="238">
        <f>IFERROR(__xludf.DUMMYFUNCTION("""COMPUTED_VALUE"""),46060.25)</f>
        <v>46060.25</v>
      </c>
      <c r="H6990" s="238">
        <f>IFERROR(__xludf.DUMMYFUNCTION("""COMPUTED_VALUE"""),46060.33333333333)</f>
        <v>46060.33333</v>
      </c>
      <c r="J6990" s="239">
        <v>119.99999999301508</v>
      </c>
    </row>
    <row r="6991">
      <c r="A6991" s="234"/>
      <c r="B6991" s="238" t="str">
        <f>IFERROR(__xludf.DUMMYFUNCTION("""COMPUTED_VALUE"""),"LM Hub_SP_Jurubatuba")</f>
        <v>LM Hub_SP_Jurubatuba</v>
      </c>
      <c r="C6991" s="238" t="str">
        <f>IFERROR(__xludf.DUMMYFUNCTION("""COMPUTED_VALUE"""),"HUB-LSP-16")</f>
        <v>HUB-LSP-16</v>
      </c>
      <c r="D6991" s="234">
        <f>IFERROR(__xludf.DUMMYFUNCTION("""COMPUTED_VALUE"""),23.0)</f>
        <v>23</v>
      </c>
      <c r="E6991" s="237" t="str">
        <f>IFERROR(__xludf.DUMMYFUNCTION("""COMPUTED_VALUE"""),"LT0Q2701XX5Z1")</f>
        <v>LT0Q2701XX5Z1</v>
      </c>
      <c r="F6991" s="238" t="str">
        <f>IFERROR(__xludf.DUMMYFUNCTION("""COMPUTED_VALUE"""),"CUA7C61,FPW0F14")</f>
        <v>CUA7C61,FPW0F14</v>
      </c>
      <c r="G6991" s="238">
        <f>IFERROR(__xludf.DUMMYFUNCTION("""COMPUTED_VALUE"""),46060.25)</f>
        <v>46060.25</v>
      </c>
      <c r="H6991" s="238">
        <f>IFERROR(__xludf.DUMMYFUNCTION("""COMPUTED_VALUE"""),46060.33333333333)</f>
        <v>46060.33333</v>
      </c>
      <c r="J6991" s="239">
        <v>119.99999999301508</v>
      </c>
    </row>
    <row r="6992">
      <c r="A6992" s="234"/>
      <c r="B6992" s="238" t="str">
        <f>IFERROR(__xludf.DUMMYFUNCTION("""COMPUTED_VALUE"""),"LM Hub_SP_São Paulo_Lapa")</f>
        <v>LM Hub_SP_São Paulo_Lapa</v>
      </c>
      <c r="C6992" s="238" t="str">
        <f>IFERROR(__xludf.DUMMYFUNCTION("""COMPUTED_VALUE"""),"HUB-LSP-15")</f>
        <v>HUB-LSP-15</v>
      </c>
      <c r="D6992" s="234">
        <f>IFERROR(__xludf.DUMMYFUNCTION("""COMPUTED_VALUE"""),32.0)</f>
        <v>32</v>
      </c>
      <c r="E6992" s="237" t="str">
        <f>IFERROR(__xludf.DUMMYFUNCTION("""COMPUTED_VALUE"""),"LT0Q2701XX5U1")</f>
        <v>LT0Q2701XX5U1</v>
      </c>
      <c r="F6992" s="238" t="str">
        <f>IFERROR(__xludf.DUMMYFUNCTION("""COMPUTED_VALUE"""),"EGK6F67,NGX1F13")</f>
        <v>EGK6F67,NGX1F13</v>
      </c>
      <c r="G6992" s="238">
        <f>IFERROR(__xludf.DUMMYFUNCTION("""COMPUTED_VALUE"""),46060.25)</f>
        <v>46060.25</v>
      </c>
      <c r="H6992" s="238">
        <f>IFERROR(__xludf.DUMMYFUNCTION("""COMPUTED_VALUE"""),46060.33333333333)</f>
        <v>46060.33333</v>
      </c>
      <c r="J6992" s="239">
        <v>120.00000001396984</v>
      </c>
    </row>
    <row r="6993">
      <c r="A6993" s="234"/>
      <c r="B6993" s="238" t="str">
        <f>IFERROR(__xludf.DUMMYFUNCTION("""COMPUTED_VALUE"""),"LM Hub_SP_Parque Novo Mundo")</f>
        <v>LM Hub_SP_Parque Novo Mundo</v>
      </c>
      <c r="C6993" s="238" t="str">
        <f>IFERROR(__xludf.DUMMYFUNCTION("""COMPUTED_VALUE"""),"HUB-LSP-89")</f>
        <v>HUB-LSP-89</v>
      </c>
      <c r="D6993" s="234">
        <f>IFERROR(__xludf.DUMMYFUNCTION("""COMPUTED_VALUE"""),17.0)</f>
        <v>17</v>
      </c>
      <c r="E6993" s="237" t="str">
        <f>IFERROR(__xludf.DUMMYFUNCTION("""COMPUTED_VALUE"""),"LT0Q2701XWX41")</f>
        <v>LT0Q2701XWX41</v>
      </c>
      <c r="F6993" s="238" t="str">
        <f>IFERROR(__xludf.DUMMYFUNCTION("""COMPUTED_VALUE"""),"GIQ1C13,AKZ0B43")</f>
        <v>GIQ1C13,AKZ0B43</v>
      </c>
      <c r="G6993" s="238">
        <f>IFERROR(__xludf.DUMMYFUNCTION("""COMPUTED_VALUE"""),46060.27083333333)</f>
        <v>46060.27083</v>
      </c>
      <c r="H6993" s="238">
        <f>IFERROR(__xludf.DUMMYFUNCTION("""COMPUTED_VALUE"""),46060.35416666667)</f>
        <v>46060.35417</v>
      </c>
      <c r="J6993" s="239">
        <v>120.00000001396984</v>
      </c>
    </row>
    <row r="6994">
      <c r="A6994" s="234"/>
      <c r="B6994" s="238" t="str">
        <f>IFERROR(__xludf.DUMMYFUNCTION("""COMPUTED_VALUE"""),"LM Hub_SP_São Bernardo do Campo")</f>
        <v>LM Hub_SP_São Bernardo do Campo</v>
      </c>
      <c r="C6994" s="238" t="str">
        <f>IFERROR(__xludf.DUMMYFUNCTION("""COMPUTED_VALUE"""),"HUB-LSP-79")</f>
        <v>HUB-LSP-79</v>
      </c>
      <c r="D6994" s="234">
        <f>IFERROR(__xludf.DUMMYFUNCTION("""COMPUTED_VALUE"""),28.0)</f>
        <v>28</v>
      </c>
      <c r="E6994" s="237" t="str">
        <f>IFERROR(__xludf.DUMMYFUNCTION("""COMPUTED_VALUE"""),"LT0Q2701XWN81")</f>
        <v>LT0Q2701XWN81</v>
      </c>
      <c r="F6994" s="238" t="str">
        <f>IFERROR(__xludf.DUMMYFUNCTION("""COMPUTED_VALUE"""),"DVT5D28,DTC7I46")</f>
        <v>DVT5D28,DTC7I46</v>
      </c>
      <c r="G6994" s="238">
        <f>IFERROR(__xludf.DUMMYFUNCTION("""COMPUTED_VALUE"""),46060.27083333333)</f>
        <v>46060.27083</v>
      </c>
      <c r="H6994" s="238">
        <f>IFERROR(__xludf.DUMMYFUNCTION("""COMPUTED_VALUE"""),46060.35416666667)</f>
        <v>46060.35417</v>
      </c>
      <c r="J6994" s="239">
        <v>119.99999999301508</v>
      </c>
    </row>
    <row r="6995">
      <c r="A6995" s="234"/>
      <c r="B6995" s="238" t="str">
        <f>IFERROR(__xludf.DUMMYFUNCTION("""COMPUTED_VALUE"""),"LM Hub_SP_Embu das Artes_02")</f>
        <v>LM Hub_SP_Embu das Artes_02</v>
      </c>
      <c r="C6995" s="238" t="str">
        <f>IFERROR(__xludf.DUMMYFUNCTION("""COMPUTED_VALUE"""),"HUB-LSP-96")</f>
        <v>HUB-LSP-96</v>
      </c>
      <c r="D6995" s="234">
        <f>IFERROR(__xludf.DUMMYFUNCTION("""COMPUTED_VALUE"""),13.0)</f>
        <v>13</v>
      </c>
      <c r="E6995" s="237" t="str">
        <f>IFERROR(__xludf.DUMMYFUNCTION("""COMPUTED_VALUE"""),"LT0Q2701XZF71")</f>
        <v>LT0Q2701XZF71</v>
      </c>
      <c r="F6995" s="238" t="str">
        <f>IFERROR(__xludf.DUMMYFUNCTION("""COMPUTED_VALUE"""),"FUF6H46,NVV7D82")</f>
        <v>FUF6H46,NVV7D82</v>
      </c>
      <c r="G6995" s="238">
        <f>IFERROR(__xludf.DUMMYFUNCTION("""COMPUTED_VALUE"""),46060.29166666667)</f>
        <v>46060.29167</v>
      </c>
      <c r="H6995" s="238">
        <f>IFERROR(__xludf.DUMMYFUNCTION("""COMPUTED_VALUE"""),46060.375)</f>
        <v>46060.375</v>
      </c>
      <c r="J6995" s="239">
        <v>119.99999999301508</v>
      </c>
    </row>
    <row r="6996">
      <c r="A6996" s="234"/>
      <c r="B6996" s="238" t="str">
        <f>IFERROR(__xludf.DUMMYFUNCTION("""COMPUTED_VALUE"""),"LM Hub_SP_Suzano_Baruel")</f>
        <v>LM Hub_SP_Suzano_Baruel</v>
      </c>
      <c r="C6996" s="238" t="str">
        <f>IFERROR(__xludf.DUMMYFUNCTION("""COMPUTED_VALUE"""),"HUB-LSP-97")</f>
        <v>HUB-LSP-97</v>
      </c>
      <c r="D6996" s="234">
        <f>IFERROR(__xludf.DUMMYFUNCTION("""COMPUTED_VALUE"""),25.0)</f>
        <v>25</v>
      </c>
      <c r="E6996" s="237" t="str">
        <f>IFERROR(__xludf.DUMMYFUNCTION("""COMPUTED_VALUE"""),"LT0Q2701Y2U31")</f>
        <v>LT0Q2701Y2U31</v>
      </c>
      <c r="F6996" s="238" t="str">
        <f>IFERROR(__xludf.DUMMYFUNCTION("""COMPUTED_VALUE"""),"DPR5J10,TJX9B42")</f>
        <v>DPR5J10,TJX9B42</v>
      </c>
      <c r="G6996" s="238">
        <f>IFERROR(__xludf.DUMMYFUNCTION("""COMPUTED_VALUE"""),46060.29166666667)</f>
        <v>46060.29167</v>
      </c>
      <c r="H6996" s="238">
        <f>IFERROR(__xludf.DUMMYFUNCTION("""COMPUTED_VALUE"""),46060.375)</f>
        <v>46060.375</v>
      </c>
      <c r="J6996" s="239">
        <v>119.99999999301508</v>
      </c>
    </row>
    <row r="6997">
      <c r="A6997" s="234"/>
      <c r="B6997" s="238" t="str">
        <f>IFERROR(__xludf.DUMMYFUNCTION("""COMPUTED_VALUE"""),"LM Hub_SP_Santo André")</f>
        <v>LM Hub_SP_Santo André</v>
      </c>
      <c r="C6997" s="238" t="str">
        <f>IFERROR(__xludf.DUMMYFUNCTION("""COMPUTED_VALUE"""),"HUB-LSP-93")</f>
        <v>HUB-LSP-93</v>
      </c>
      <c r="D6997" s="234">
        <f>IFERROR(__xludf.DUMMYFUNCTION("""COMPUTED_VALUE"""),36.0)</f>
        <v>36</v>
      </c>
      <c r="E6997" s="237" t="str">
        <f>IFERROR(__xludf.DUMMYFUNCTION("""COMPUTED_VALUE"""),"LT0Q2701XYEB1")</f>
        <v>LT0Q2701XYEB1</v>
      </c>
      <c r="F6997" s="238" t="str">
        <f>IFERROR(__xludf.DUMMYFUNCTION("""COMPUTED_VALUE"""),"FXQ8H67,EZL9D42")</f>
        <v>FXQ8H67,EZL9D42</v>
      </c>
      <c r="G6997" s="238">
        <f>IFERROR(__xludf.DUMMYFUNCTION("""COMPUTED_VALUE"""),46060.3125)</f>
        <v>46060.3125</v>
      </c>
      <c r="H6997" s="238">
        <f>IFERROR(__xludf.DUMMYFUNCTION("""COMPUTED_VALUE"""),46060.39583333333)</f>
        <v>46060.39583</v>
      </c>
      <c r="J6997" s="239">
        <v>357.00000001117587</v>
      </c>
    </row>
    <row r="6998">
      <c r="A6998" s="234"/>
      <c r="B6998" s="238" t="str">
        <f>IFERROR(__xludf.DUMMYFUNCTION("""COMPUTED_VALUE"""),"SoC_MG_Betim")</f>
        <v>SoC_MG_Betim</v>
      </c>
      <c r="C6998" s="238" t="str">
        <f>IFERROR(__xludf.DUMMYFUNCTION("""COMPUTED_VALUE"""),"SOC-MG2")</f>
        <v>SOC-MG2</v>
      </c>
      <c r="D6998" s="234">
        <f>IFERROR(__xludf.DUMMYFUNCTION("""COMPUTED_VALUE"""),91.0)</f>
        <v>91</v>
      </c>
      <c r="E6998" s="237" t="str">
        <f>IFERROR(__xludf.DUMMYFUNCTION("""COMPUTED_VALUE"""),"LT0Q2601XVT43")</f>
        <v>LT0Q2601XVT43</v>
      </c>
      <c r="F6998" s="238" t="str">
        <f>IFERROR(__xludf.DUMMYFUNCTION("""COMPUTED_VALUE"""),"SUQ0C67,TLC8C54")</f>
        <v>SUQ0C67,TLC8C54</v>
      </c>
      <c r="G6998" s="238">
        <f>IFERROR(__xludf.DUMMYFUNCTION("""COMPUTED_VALUE"""),46060.16875)</f>
        <v>46060.16875</v>
      </c>
      <c r="H6998" s="238">
        <f>IFERROR(__xludf.DUMMYFUNCTION("""COMPUTED_VALUE"""),46060.41666666667)</f>
        <v>46060.41667</v>
      </c>
      <c r="J6998" s="239">
        <v>357.00000001117587</v>
      </c>
    </row>
    <row r="6999">
      <c r="A6999" s="234"/>
      <c r="B6999" s="238" t="str">
        <f>IFERROR(__xludf.DUMMYFUNCTION("""COMPUTED_VALUE"""),"SoC_RJ_Duque de Caxias")</f>
        <v>SoC_RJ_Duque de Caxias</v>
      </c>
      <c r="C6999" s="238" t="str">
        <f>IFERROR(__xludf.DUMMYFUNCTION("""COMPUTED_VALUE"""),"SOC-RJ2")</f>
        <v>SOC-RJ2</v>
      </c>
      <c r="D6999" s="234">
        <f>IFERROR(__xludf.DUMMYFUNCTION("""COMPUTED_VALUE"""),97.0)</f>
        <v>97</v>
      </c>
      <c r="E6999" s="237" t="str">
        <f>IFERROR(__xludf.DUMMYFUNCTION("""COMPUTED_VALUE"""),"LT0Q2601XXXX2")</f>
        <v>LT0Q2601XXXX2</v>
      </c>
      <c r="F6999" s="238" t="str">
        <f>IFERROR(__xludf.DUMMYFUNCTION("""COMPUTED_VALUE"""),"FXK2E00,NLQ2F75")</f>
        <v>FXK2E00,NLQ2F75</v>
      </c>
      <c r="G6999" s="238">
        <f>IFERROR(__xludf.DUMMYFUNCTION("""COMPUTED_VALUE"""),46060.16875)</f>
        <v>46060.16875</v>
      </c>
      <c r="H6999" s="238">
        <f>IFERROR(__xludf.DUMMYFUNCTION("""COMPUTED_VALUE"""),46060.41666666667)</f>
        <v>46060.41667</v>
      </c>
      <c r="J6999" s="239">
        <v>540.0</v>
      </c>
    </row>
    <row r="7000">
      <c r="A7000" s="234"/>
      <c r="B7000" s="238" t="str">
        <f>IFERROR(__xludf.DUMMYFUNCTION("""COMPUTED_VALUE"""),"SoC_BA_Simoes Filho")</f>
        <v>SoC_BA_Simoes Filho</v>
      </c>
      <c r="C7000" s="238" t="str">
        <f>IFERROR(__xludf.DUMMYFUNCTION("""COMPUTED_VALUE"""),"SOC-BA2")</f>
        <v>SOC-BA2</v>
      </c>
      <c r="D7000" s="234">
        <f>IFERROR(__xludf.DUMMYFUNCTION("""COMPUTED_VALUE"""),88.0)</f>
        <v>88</v>
      </c>
      <c r="E7000" s="237" t="str">
        <f>IFERROR(__xludf.DUMMYFUNCTION("""COMPUTED_VALUE"""),"LT0Q2601Y1BM2")</f>
        <v>LT0Q2601Y1BM2</v>
      </c>
      <c r="F7000" s="238" t="str">
        <f>IFERROR(__xludf.DUMMYFUNCTION("""COMPUTED_VALUE"""),"DYB5H69,FVU6A76")</f>
        <v>DYB5H69,FVU6A76</v>
      </c>
      <c r="G7000" s="238">
        <f>IFERROR(__xludf.DUMMYFUNCTION("""COMPUTED_VALUE"""),46060.08333333333)</f>
        <v>46060.08333</v>
      </c>
      <c r="H7000" s="238">
        <f>IFERROR(__xludf.DUMMYFUNCTION("""COMPUTED_VALUE"""),46060.45833333333)</f>
        <v>46060.45833</v>
      </c>
      <c r="J7000" s="239">
        <v>540.0</v>
      </c>
    </row>
    <row r="7001">
      <c r="A7001" s="234"/>
      <c r="B7001" s="238" t="str">
        <f>IFERROR(__xludf.DUMMYFUNCTION("""COMPUTED_VALUE"""),"SoC_SC_Itajaí")</f>
        <v>SoC_SC_Itajaí</v>
      </c>
      <c r="C7001" s="238" t="str">
        <f>IFERROR(__xludf.DUMMYFUNCTION("""COMPUTED_VALUE"""),"SOC-SC1")</f>
        <v>SOC-SC1</v>
      </c>
      <c r="D7001" s="234">
        <f>IFERROR(__xludf.DUMMYFUNCTION("""COMPUTED_VALUE"""),100.0)</f>
        <v>100</v>
      </c>
      <c r="E7001" s="237" t="str">
        <f>IFERROR(__xludf.DUMMYFUNCTION("""COMPUTED_VALUE"""),"LT0Q2601Y0BO2")</f>
        <v>LT0Q2601Y0BO2</v>
      </c>
      <c r="F7001" s="238" t="str">
        <f>IFERROR(__xludf.DUMMYFUNCTION("""COMPUTED_VALUE"""),"RXL7H32,RYC4D76")</f>
        <v>RXL7H32,RYC4D76</v>
      </c>
      <c r="G7001" s="238">
        <f>IFERROR(__xludf.DUMMYFUNCTION("""COMPUTED_VALUE"""),46060.08333333333)</f>
        <v>46060.08333</v>
      </c>
      <c r="H7001" s="238">
        <f>IFERROR(__xludf.DUMMYFUNCTION("""COMPUTED_VALUE"""),46060.45833333333)</f>
        <v>46060.45833</v>
      </c>
      <c r="J7001" s="239">
        <v>540.0</v>
      </c>
    </row>
    <row r="7002">
      <c r="A7002" s="234"/>
      <c r="B7002" s="238" t="str">
        <f>IFERROR(__xludf.DUMMYFUNCTION("""COMPUTED_VALUE"""),"SoC_SP_São Bernardo do Campo")</f>
        <v>SoC_SP_São Bernardo do Campo</v>
      </c>
      <c r="C7002" s="238" t="str">
        <f>IFERROR(__xludf.DUMMYFUNCTION("""COMPUTED_VALUE"""),"SOC-SP8")</f>
        <v>SOC-SP8</v>
      </c>
      <c r="D7002" s="234" t="str">
        <f>IFERROR(__xludf.DUMMYFUNCTION("""COMPUTED_VALUE"""),"94/44")</f>
        <v>94/44</v>
      </c>
      <c r="E7002" s="237" t="str">
        <f>IFERROR(__xludf.DUMMYFUNCTION("""COMPUTED_VALUE"""),"LT0Q2601XVVE2")</f>
        <v>LT0Q2601XVVE2</v>
      </c>
      <c r="F7002" s="238" t="str">
        <f>IFERROR(__xludf.DUMMYFUNCTION("""COMPUTED_VALUE"""),"FOO7J04,TJI8B90")</f>
        <v>FOO7J04,TJI8B90</v>
      </c>
      <c r="G7002" s="238">
        <f>IFERROR(__xludf.DUMMYFUNCTION("""COMPUTED_VALUE"""),46060.08333333333)</f>
        <v>46060.08333</v>
      </c>
      <c r="H7002" s="238">
        <f>IFERROR(__xludf.DUMMYFUNCTION("""COMPUTED_VALUE"""),46060.45833333333)</f>
        <v>46060.45833</v>
      </c>
      <c r="J7002" s="239">
        <v>540.0</v>
      </c>
    </row>
    <row r="7003">
      <c r="A7003" s="234"/>
      <c r="B7003" s="238" t="str">
        <f>IFERROR(__xludf.DUMMYFUNCTION("""COMPUTED_VALUE"""),"SoC_SP_Cravinhos")</f>
        <v>SoC_SP_Cravinhos</v>
      </c>
      <c r="C7003" s="238" t="str">
        <f>IFERROR(__xludf.DUMMYFUNCTION("""COMPUTED_VALUE"""),"SOC-SP5")</f>
        <v>SOC-SP5</v>
      </c>
      <c r="D7003" s="234">
        <f>IFERROR(__xludf.DUMMYFUNCTION("""COMPUTED_VALUE"""),94.0)</f>
        <v>94</v>
      </c>
      <c r="E7003" s="237" t="str">
        <f>IFERROR(__xludf.DUMMYFUNCTION("""COMPUTED_VALUE"""),"LT0Q2601Y58U1")</f>
        <v>LT0Q2601Y58U1</v>
      </c>
      <c r="F7003" s="238" t="str">
        <f>IFERROR(__xludf.DUMMYFUNCTION("""COMPUTED_VALUE"""),"LPY2G34,DAH6F31")</f>
        <v>LPY2G34,DAH6F31</v>
      </c>
      <c r="G7003" s="238">
        <f>IFERROR(__xludf.DUMMYFUNCTION("""COMPUTED_VALUE"""),46060.08333333333)</f>
        <v>46060.08333</v>
      </c>
      <c r="H7003" s="238">
        <f>IFERROR(__xludf.DUMMYFUNCTION("""COMPUTED_VALUE"""),46060.45833333333)</f>
        <v>46060.45833</v>
      </c>
      <c r="J7003" s="239">
        <v>538.9999999967404</v>
      </c>
    </row>
    <row r="7004">
      <c r="A7004" s="234"/>
      <c r="B7004" s="238" t="str">
        <f>IFERROR(__xludf.DUMMYFUNCTION("""COMPUTED_VALUE"""),"SoC_SP_São Bernardo do Campo")</f>
        <v>SoC_SP_São Bernardo do Campo</v>
      </c>
      <c r="C7004" s="238" t="str">
        <f>IFERROR(__xludf.DUMMYFUNCTION("""COMPUTED_VALUE"""),"SOC-SP8")</f>
        <v>SOC-SP8</v>
      </c>
      <c r="D7004" s="234">
        <f>IFERROR(__xludf.DUMMYFUNCTION("""COMPUTED_VALUE"""),98.0)</f>
        <v>98</v>
      </c>
      <c r="E7004" s="237" t="str">
        <f>IFERROR(__xludf.DUMMYFUNCTION("""COMPUTED_VALUE"""),"LT0Q2601Y18F2")</f>
        <v>LT0Q2601Y18F2</v>
      </c>
      <c r="F7004" s="238" t="str">
        <f>IFERROR(__xludf.DUMMYFUNCTION("""COMPUTED_VALUE"""),"PQL1C44,BWF7190")</f>
        <v>PQL1C44,BWF7190</v>
      </c>
      <c r="G7004" s="238">
        <f>IFERROR(__xludf.DUMMYFUNCTION("""COMPUTED_VALUE"""),46060.084027777775)</f>
        <v>46060.08403</v>
      </c>
      <c r="H7004" s="238">
        <f>IFERROR(__xludf.DUMMYFUNCTION("""COMPUTED_VALUE"""),46060.45833333333)</f>
        <v>46060.45833</v>
      </c>
      <c r="J7004" s="239">
        <v>538.9999999967404</v>
      </c>
    </row>
    <row r="7005">
      <c r="A7005" s="234"/>
      <c r="B7005" s="238" t="str">
        <f>IFERROR(__xludf.DUMMYFUNCTION("""COMPUTED_VALUE"""),"SoC_RS_Gravataí_02")</f>
        <v>SoC_RS_Gravataí_02</v>
      </c>
      <c r="C7005" s="238" t="str">
        <f>IFERROR(__xludf.DUMMYFUNCTION("""COMPUTED_VALUE"""),"SOC-RS2")</f>
        <v>SOC-RS2</v>
      </c>
      <c r="D7005" s="234" t="str">
        <f>IFERROR(__xludf.DUMMYFUNCTION("""COMPUTED_VALUE"""),"92/12")</f>
        <v>92/12</v>
      </c>
      <c r="E7005" s="237" t="str">
        <f>IFERROR(__xludf.DUMMYFUNCTION("""COMPUTED_VALUE"""),"LT0Q2601Y1QF2")</f>
        <v>LT0Q2601Y1QF2</v>
      </c>
      <c r="F7005" s="238" t="str">
        <f>IFERROR(__xludf.DUMMYFUNCTION("""COMPUTED_VALUE"""),"EJF8F29,JCV5A53")</f>
        <v>EJF8F29,JCV5A53</v>
      </c>
      <c r="G7005" s="238">
        <f>IFERROR(__xludf.DUMMYFUNCTION("""COMPUTED_VALUE"""),46060.084027777775)</f>
        <v>46060.08403</v>
      </c>
      <c r="H7005" s="238">
        <f>IFERROR(__xludf.DUMMYFUNCTION("""COMPUTED_VALUE"""),46060.45833333333)</f>
        <v>46060.45833</v>
      </c>
      <c r="J7005" s="239" t="e">
        <v>#VALUE!</v>
      </c>
    </row>
    <row r="7006">
      <c r="A7006" s="234"/>
      <c r="B7006" s="238" t="str">
        <f>IFERROR(__xludf.DUMMYFUNCTION("""COMPUTED_VALUE"""),"SoC_MG_Betim")</f>
        <v>SoC_MG_Betim</v>
      </c>
      <c r="C7006" s="238" t="str">
        <f>IFERROR(__xludf.DUMMYFUNCTION("""COMPUTED_VALUE"""),"SOC-MG2")</f>
        <v>SOC-MG2</v>
      </c>
      <c r="D7006" s="234"/>
      <c r="E7006" s="237" t="str">
        <f>IFERROR(__xludf.DUMMYFUNCTION("""COMPUTED_VALUE"""),"LT0Q2601Y58R1")</f>
        <v>LT0Q2601Y58R1</v>
      </c>
      <c r="F7006" s="238" t="str">
        <f>IFERROR(__xludf.DUMMYFUNCTION("""COMPUTED_VALUE"""),"-")</f>
        <v>-</v>
      </c>
      <c r="G7006" s="238" t="str">
        <f>IFERROR(__xludf.DUMMYFUNCTION("""COMPUTED_VALUE"""),"-")</f>
        <v>-</v>
      </c>
      <c r="H7006" s="238" t="str">
        <f>IFERROR(__xludf.DUMMYFUNCTION("""COMPUTED_VALUE"""),"-")</f>
        <v>-</v>
      </c>
      <c r="J7006" s="239">
        <v>536.9999999902211</v>
      </c>
    </row>
    <row r="7007">
      <c r="A7007" s="234"/>
      <c r="B7007" s="238" t="str">
        <f>IFERROR(__xludf.DUMMYFUNCTION("""COMPUTED_VALUE"""),"SoC_RJ_Duque de Caxias")</f>
        <v>SoC_RJ_Duque de Caxias</v>
      </c>
      <c r="C7007" s="238" t="str">
        <f>IFERROR(__xludf.DUMMYFUNCTION("""COMPUTED_VALUE"""),"SOC-RJ2")</f>
        <v>SOC-RJ2</v>
      </c>
      <c r="D7007" s="234">
        <f>IFERROR(__xludf.DUMMYFUNCTION("""COMPUTED_VALUE"""),25.0)</f>
        <v>25</v>
      </c>
      <c r="E7007" s="237" t="str">
        <f>IFERROR(__xludf.DUMMYFUNCTION("""COMPUTED_VALUE"""),"LT0Q2601XXXV1")</f>
        <v>LT0Q2601XXXV1</v>
      </c>
      <c r="F7007" s="238" t="str">
        <f>IFERROR(__xludf.DUMMYFUNCTION("""COMPUTED_VALUE"""),"UDG8A89,UFH2E88")</f>
        <v>UDG8A89,UFH2E88</v>
      </c>
      <c r="G7007" s="238">
        <f>IFERROR(__xludf.DUMMYFUNCTION("""COMPUTED_VALUE"""),46060.08541666667)</f>
        <v>46060.08542</v>
      </c>
      <c r="H7007" s="238">
        <f>IFERROR(__xludf.DUMMYFUNCTION("""COMPUTED_VALUE"""),46060.45833333333)</f>
        <v>46060.45833</v>
      </c>
      <c r="J7007" s="239">
        <v>536.9999999902211</v>
      </c>
    </row>
    <row r="7008">
      <c r="A7008" s="234"/>
      <c r="B7008" s="238" t="str">
        <f>IFERROR(__xludf.DUMMYFUNCTION("""COMPUTED_VALUE"""),"SoC_RJ_Duque de Caxias")</f>
        <v>SoC_RJ_Duque de Caxias</v>
      </c>
      <c r="C7008" s="238" t="str">
        <f>IFERROR(__xludf.DUMMYFUNCTION("""COMPUTED_VALUE"""),"SOC-RJ2")</f>
        <v>SOC-RJ2</v>
      </c>
      <c r="D7008" s="234">
        <f>IFERROR(__xludf.DUMMYFUNCTION("""COMPUTED_VALUE"""),96.0)</f>
        <v>96</v>
      </c>
      <c r="E7008" s="237" t="str">
        <f>IFERROR(__xludf.DUMMYFUNCTION("""COMPUTED_VALUE"""),"LT0Q2601XXY04")</f>
        <v>LT0Q2601XXY04</v>
      </c>
      <c r="F7008" s="238" t="str">
        <f>IFERROR(__xludf.DUMMYFUNCTION("""COMPUTED_VALUE"""),"TTR2F31,CVN6C83")</f>
        <v>TTR2F31,CVN6C83</v>
      </c>
      <c r="G7008" s="238">
        <f>IFERROR(__xludf.DUMMYFUNCTION("""COMPUTED_VALUE"""),46060.08541666667)</f>
        <v>46060.08542</v>
      </c>
      <c r="H7008" s="238">
        <f>IFERROR(__xludf.DUMMYFUNCTION("""COMPUTED_VALUE"""),46060.45833333333)</f>
        <v>46060.45833</v>
      </c>
      <c r="J7008" s="239">
        <v>419.99999998603016</v>
      </c>
    </row>
    <row r="7009">
      <c r="A7009" s="234"/>
      <c r="B7009" s="238" t="str">
        <f>IFERROR(__xludf.DUMMYFUNCTION("""COMPUTED_VALUE"""),"SoC_RJ_Duque de Caxias")</f>
        <v>SoC_RJ_Duque de Caxias</v>
      </c>
      <c r="C7009" s="238" t="str">
        <f>IFERROR(__xludf.DUMMYFUNCTION("""COMPUTED_VALUE"""),"SOC-RJ2")</f>
        <v>SOC-RJ2</v>
      </c>
      <c r="D7009" s="234">
        <f>IFERROR(__xludf.DUMMYFUNCTION("""COMPUTED_VALUE"""),96.0)</f>
        <v>96</v>
      </c>
      <c r="E7009" s="237" t="str">
        <f>IFERROR(__xludf.DUMMYFUNCTION("""COMPUTED_VALUE"""),"LT0Q2601XXXZ3")</f>
        <v>LT0Q2601XXXZ3</v>
      </c>
      <c r="F7009" s="238" t="str">
        <f>IFERROR(__xludf.DUMMYFUNCTION("""COMPUTED_VALUE"""),"FWC2F11,FWB4F06")</f>
        <v>FWC2F11,FWB4F06</v>
      </c>
      <c r="G7009" s="238">
        <f>IFERROR(__xludf.DUMMYFUNCTION("""COMPUTED_VALUE"""),46060.16666666667)</f>
        <v>46060.16667</v>
      </c>
      <c r="H7009" s="238">
        <f>IFERROR(__xludf.DUMMYFUNCTION("""COMPUTED_VALUE"""),46060.45833333333)</f>
        <v>46060.45833</v>
      </c>
      <c r="J7009" s="239">
        <v>418.9999999932479</v>
      </c>
    </row>
    <row r="7010">
      <c r="A7010" s="234"/>
      <c r="B7010" s="238" t="str">
        <f>IFERROR(__xludf.DUMMYFUNCTION("""COMPUTED_VALUE"""),"SoC_PE_Jaboatão dos Guararapes")</f>
        <v>SoC_PE_Jaboatão dos Guararapes</v>
      </c>
      <c r="C7010" s="238" t="str">
        <f>IFERROR(__xludf.DUMMYFUNCTION("""COMPUTED_VALUE"""),"SOC-PE2")</f>
        <v>SOC-PE2</v>
      </c>
      <c r="D7010" s="234">
        <f>IFERROR(__xludf.DUMMYFUNCTION("""COMPUTED_VALUE"""),98.0)</f>
        <v>98</v>
      </c>
      <c r="E7010" s="237" t="str">
        <f>IFERROR(__xludf.DUMMYFUNCTION("""COMPUTED_VALUE"""),"LT0Q2601Y18H3")</f>
        <v>LT0Q2601Y18H3</v>
      </c>
      <c r="F7010" s="238" t="str">
        <f>IFERROR(__xludf.DUMMYFUNCTION("""COMPUTED_VALUE"""),"DTB6F00,CFY7B28")</f>
        <v>DTB6F00,CFY7B28</v>
      </c>
      <c r="G7010" s="238">
        <f>IFERROR(__xludf.DUMMYFUNCTION("""COMPUTED_VALUE"""),46060.16736111111)</f>
        <v>46060.16736</v>
      </c>
      <c r="H7010" s="238">
        <f>IFERROR(__xludf.DUMMYFUNCTION("""COMPUTED_VALUE"""),46060.45833333333)</f>
        <v>46060.45833</v>
      </c>
      <c r="J7010" s="239">
        <v>418.9999999932479</v>
      </c>
    </row>
    <row r="7011">
      <c r="A7011" s="234"/>
      <c r="B7011" s="238" t="str">
        <f>IFERROR(__xludf.DUMMYFUNCTION("""COMPUTED_VALUE"""),"SoC_SP_Cravinhos")</f>
        <v>SoC_SP_Cravinhos</v>
      </c>
      <c r="C7011" s="238" t="str">
        <f>IFERROR(__xludf.DUMMYFUNCTION("""COMPUTED_VALUE"""),"SOC-SP5")</f>
        <v>SOC-SP5</v>
      </c>
      <c r="D7011" s="234">
        <f>IFERROR(__xludf.DUMMYFUNCTION("""COMPUTED_VALUE"""),95.0)</f>
        <v>95</v>
      </c>
      <c r="E7011" s="237" t="str">
        <f>IFERROR(__xludf.DUMMYFUNCTION("""COMPUTED_VALUE"""),"LT0Q2601XVVL1")</f>
        <v>LT0Q2601XVVL1</v>
      </c>
      <c r="F7011" s="238" t="str">
        <f>IFERROR(__xludf.DUMMYFUNCTION("""COMPUTED_VALUE"""),"EZJ6A14,CUJ1C76")</f>
        <v>EZJ6A14,CUJ1C76</v>
      </c>
      <c r="G7011" s="238">
        <f>IFERROR(__xludf.DUMMYFUNCTION("""COMPUTED_VALUE"""),46060.16736111111)</f>
        <v>46060.16736</v>
      </c>
      <c r="H7011" s="238">
        <f>IFERROR(__xludf.DUMMYFUNCTION("""COMPUTED_VALUE"""),46060.45833333333)</f>
        <v>46060.45833</v>
      </c>
      <c r="J7011" s="239">
        <v>599.0000000037253</v>
      </c>
    </row>
    <row r="7012">
      <c r="A7012" s="234"/>
      <c r="B7012" s="238" t="str">
        <f>IFERROR(__xludf.DUMMYFUNCTION("""COMPUTED_VALUE"""),"SoC_GO_Goiânia_02")</f>
        <v>SoC_GO_Goiânia_02</v>
      </c>
      <c r="C7012" s="238" t="str">
        <f>IFERROR(__xludf.DUMMYFUNCTION("""COMPUTED_VALUE"""),"SOC-GO2")</f>
        <v>SOC-GO2</v>
      </c>
      <c r="D7012" s="234">
        <f>IFERROR(__xludf.DUMMYFUNCTION("""COMPUTED_VALUE"""),86.0)</f>
        <v>86</v>
      </c>
      <c r="E7012" s="237" t="str">
        <f>IFERROR(__xludf.DUMMYFUNCTION("""COMPUTED_VALUE"""),"LT0Q2701Y1NN2")</f>
        <v>LT0Q2701Y1NN2</v>
      </c>
      <c r="F7012" s="238" t="str">
        <f>IFERROR(__xludf.DUMMYFUNCTION("""COMPUTED_VALUE"""),"QSO9G46,TKN4I94")</f>
        <v>QSO9G46,TKN4I94</v>
      </c>
      <c r="G7012" s="238">
        <f>IFERROR(__xludf.DUMMYFUNCTION("""COMPUTED_VALUE"""),46060.25069444445)</f>
        <v>46060.25069</v>
      </c>
      <c r="H7012" s="238">
        <f>IFERROR(__xludf.DUMMYFUNCTION("""COMPUTED_VALUE"""),46060.66666666667)</f>
        <v>46060.66667</v>
      </c>
      <c r="J7012" s="239">
        <v>598.0000000004657</v>
      </c>
    </row>
    <row r="7013">
      <c r="A7013" s="234"/>
      <c r="B7013" s="238" t="str">
        <f>IFERROR(__xludf.DUMMYFUNCTION("""COMPUTED_VALUE"""),"SoC_RJ_Duque de Caxias")</f>
        <v>SoC_RJ_Duque de Caxias</v>
      </c>
      <c r="C7013" s="238" t="str">
        <f>IFERROR(__xludf.DUMMYFUNCTION("""COMPUTED_VALUE"""),"SOC-RJ2")</f>
        <v>SOC-RJ2</v>
      </c>
      <c r="D7013" s="234">
        <f>IFERROR(__xludf.DUMMYFUNCTION("""COMPUTED_VALUE"""),97.0)</f>
        <v>97</v>
      </c>
      <c r="E7013" s="237" t="str">
        <f>IFERROR(__xludf.DUMMYFUNCTION("""COMPUTED_VALUE"""),"LT0Q2701Y5OT1")</f>
        <v>LT0Q2701Y5OT1</v>
      </c>
      <c r="F7013" s="238" t="str">
        <f>IFERROR(__xludf.DUMMYFUNCTION("""COMPUTED_VALUE"""),"KRY4B10,OLF2C43")</f>
        <v>KRY4B10,OLF2C43</v>
      </c>
      <c r="G7013" s="238">
        <f>IFERROR(__xludf.DUMMYFUNCTION("""COMPUTED_VALUE"""),46060.25138888889)</f>
        <v>46060.25139</v>
      </c>
      <c r="H7013" s="238">
        <f>IFERROR(__xludf.DUMMYFUNCTION("""COMPUTED_VALUE"""),46060.66666666667)</f>
        <v>46060.66667</v>
      </c>
      <c r="J7013" s="239">
        <v>119.99999999301508</v>
      </c>
    </row>
    <row r="7014">
      <c r="A7014" s="234"/>
      <c r="B7014" s="238" t="str">
        <f>IFERROR(__xludf.DUMMYFUNCTION("""COMPUTED_VALUE"""),"LM Hub_SP_VilaGuilherme")</f>
        <v>LM Hub_SP_VilaGuilherme</v>
      </c>
      <c r="C7014" s="238" t="str">
        <f>IFERROR(__xludf.DUMMYFUNCTION("""COMPUTED_VALUE"""),"HUB-LSP-68")</f>
        <v>HUB-LSP-68</v>
      </c>
      <c r="D7014" s="234">
        <f>IFERROR(__xludf.DUMMYFUNCTION("""COMPUTED_VALUE"""),41.0)</f>
        <v>41</v>
      </c>
      <c r="E7014" s="237" t="str">
        <f>IFERROR(__xludf.DUMMYFUNCTION("""COMPUTED_VALUE"""),"LT0Q2701XX6J1")</f>
        <v>LT0Q2701XX6J1</v>
      </c>
      <c r="F7014" s="238" t="str">
        <f>IFERROR(__xludf.DUMMYFUNCTION("""COMPUTED_VALUE"""),"GBP5G56,JMA4104")</f>
        <v>GBP5G56,JMA4104</v>
      </c>
      <c r="G7014" s="238">
        <f>IFERROR(__xludf.DUMMYFUNCTION("""COMPUTED_VALUE"""),46060.25)</f>
        <v>46060.25</v>
      </c>
      <c r="H7014" s="238">
        <f>IFERROR(__xludf.DUMMYFUNCTION("""COMPUTED_VALUE"""),46060.33333333333)</f>
        <v>46060.33333</v>
      </c>
      <c r="J7014" s="239">
        <v>540.0</v>
      </c>
    </row>
    <row r="7015">
      <c r="A7015" s="234"/>
      <c r="B7015" s="238" t="str">
        <f>IFERROR(__xludf.DUMMYFUNCTION("""COMPUTED_VALUE"""),"SoC_PE_Jaboatão dos Guararapes")</f>
        <v>SoC_PE_Jaboatão dos Guararapes</v>
      </c>
      <c r="C7015" s="238" t="str">
        <f>IFERROR(__xludf.DUMMYFUNCTION("""COMPUTED_VALUE"""),"SOC-PE2")</f>
        <v>SOC-PE2</v>
      </c>
      <c r="D7015" s="234">
        <f>IFERROR(__xludf.DUMMYFUNCTION("""COMPUTED_VALUE"""),114.0)</f>
        <v>114</v>
      </c>
      <c r="E7015" s="237" t="str">
        <f>IFERROR(__xludf.DUMMYFUNCTION("""COMPUTED_VALUE"""),"LT0Q2701Y17S1")</f>
        <v>LT0Q2701Y17S1</v>
      </c>
      <c r="F7015" s="238" t="str">
        <f>IFERROR(__xludf.DUMMYFUNCTION("""COMPUTED_VALUE"""),"BCA0C81,UBA9E70")</f>
        <v>BCA0C81,UBA9E70</v>
      </c>
      <c r="G7015" s="238">
        <f>IFERROR(__xludf.DUMMYFUNCTION("""COMPUTED_VALUE"""),46060.58333333333)</f>
        <v>46060.58333</v>
      </c>
      <c r="H7015" s="238">
        <f>IFERROR(__xludf.DUMMYFUNCTION("""COMPUTED_VALUE"""),46060.95833333333)</f>
        <v>46060.95833</v>
      </c>
      <c r="J7015" s="239">
        <v>540.0</v>
      </c>
    </row>
    <row r="7016">
      <c r="A7016" s="234"/>
      <c r="B7016" s="238" t="str">
        <f>IFERROR(__xludf.DUMMYFUNCTION("""COMPUTED_VALUE"""),"SoC_PE_Jaboatão dos Guararapes")</f>
        <v>SoC_PE_Jaboatão dos Guararapes</v>
      </c>
      <c r="C7016" s="238" t="str">
        <f>IFERROR(__xludf.DUMMYFUNCTION("""COMPUTED_VALUE"""),"SOC-PE2")</f>
        <v>SOC-PE2</v>
      </c>
      <c r="D7016" s="234">
        <f>IFERROR(__xludf.DUMMYFUNCTION("""COMPUTED_VALUE"""),98.0)</f>
        <v>98</v>
      </c>
      <c r="E7016" s="237" t="str">
        <f>IFERROR(__xludf.DUMMYFUNCTION("""COMPUTED_VALUE"""),"LT0Q2701Y17U2")</f>
        <v>LT0Q2701Y17U2</v>
      </c>
      <c r="F7016" s="238" t="str">
        <f>IFERROR(__xludf.DUMMYFUNCTION("""COMPUTED_VALUE"""),"ARW4A08,SVI0B69")</f>
        <v>ARW4A08,SVI0B69</v>
      </c>
      <c r="G7016" s="238">
        <f>IFERROR(__xludf.DUMMYFUNCTION("""COMPUTED_VALUE"""),46060.58333333333)</f>
        <v>46060.58333</v>
      </c>
      <c r="H7016" s="238">
        <f>IFERROR(__xludf.DUMMYFUNCTION("""COMPUTED_VALUE"""),46060.95833333333)</f>
        <v>46060.95833</v>
      </c>
      <c r="J7016" s="239">
        <v>540.0</v>
      </c>
    </row>
    <row r="7017">
      <c r="A7017" s="234"/>
      <c r="B7017" s="238" t="str">
        <f>IFERROR(__xludf.DUMMYFUNCTION("""COMPUTED_VALUE"""),"SoC_SC_Itajaí")</f>
        <v>SoC_SC_Itajaí</v>
      </c>
      <c r="C7017" s="238" t="str">
        <f>IFERROR(__xludf.DUMMYFUNCTION("""COMPUTED_VALUE"""),"SOC-SC1")</f>
        <v>SOC-SC1</v>
      </c>
      <c r="D7017" s="234">
        <f>IFERROR(__xludf.DUMMYFUNCTION("""COMPUTED_VALUE"""),100.0)</f>
        <v>100</v>
      </c>
      <c r="E7017" s="237" t="str">
        <f>IFERROR(__xludf.DUMMYFUNCTION("""COMPUTED_VALUE"""),"LT0Q2701Y0B51")</f>
        <v>LT0Q2701Y0B51</v>
      </c>
      <c r="F7017" s="238" t="str">
        <f>IFERROR(__xludf.DUMMYFUNCTION("""COMPUTED_VALUE"""),"RLH2B54,RAJ1147")</f>
        <v>RLH2B54,RAJ1147</v>
      </c>
      <c r="G7017" s="238">
        <f>IFERROR(__xludf.DUMMYFUNCTION("""COMPUTED_VALUE"""),46060.58333333333)</f>
        <v>46060.58333</v>
      </c>
      <c r="H7017" s="238">
        <f>IFERROR(__xludf.DUMMYFUNCTION("""COMPUTED_VALUE"""),46060.95833333333)</f>
        <v>46060.95833</v>
      </c>
      <c r="J7017" s="239">
        <v>537.9999999934807</v>
      </c>
    </row>
    <row r="7018">
      <c r="A7018" s="234"/>
      <c r="B7018" s="238" t="str">
        <f>IFERROR(__xludf.DUMMYFUNCTION("""COMPUTED_VALUE"""),"SoC_RS_Gravataí_02")</f>
        <v>SoC_RS_Gravataí_02</v>
      </c>
      <c r="C7018" s="238" t="str">
        <f>IFERROR(__xludf.DUMMYFUNCTION("""COMPUTED_VALUE"""),"SOC-RS2")</f>
        <v>SOC-RS2</v>
      </c>
      <c r="D7018" s="234">
        <f>IFERROR(__xludf.DUMMYFUNCTION("""COMPUTED_VALUE"""),92.0)</f>
        <v>92</v>
      </c>
      <c r="E7018" s="237" t="str">
        <f>IFERROR(__xludf.DUMMYFUNCTION("""COMPUTED_VALUE"""),"LT0Q2701Y1QA2")</f>
        <v>LT0Q2701Y1QA2</v>
      </c>
      <c r="F7018" s="238" t="str">
        <f>IFERROR(__xludf.DUMMYFUNCTION("""COMPUTED_VALUE"""),"FDB0F46,JAJ2E20")</f>
        <v>FDB0F46,JAJ2E20</v>
      </c>
      <c r="G7018" s="238">
        <f>IFERROR(__xludf.DUMMYFUNCTION("""COMPUTED_VALUE"""),46060.58472222222)</f>
        <v>46060.58472</v>
      </c>
      <c r="H7018" s="238">
        <f>IFERROR(__xludf.DUMMYFUNCTION("""COMPUTED_VALUE"""),46060.95833333333)</f>
        <v>46060.95833</v>
      </c>
      <c r="J7018" s="239">
        <v>537.9999999934807</v>
      </c>
    </row>
    <row r="7019">
      <c r="A7019" s="234"/>
      <c r="B7019" s="238" t="str">
        <f>IFERROR(__xludf.DUMMYFUNCTION("""COMPUTED_VALUE"""),"SoC_RS_Gravataí_02")</f>
        <v>SoC_RS_Gravataí_02</v>
      </c>
      <c r="C7019" s="238" t="str">
        <f>IFERROR(__xludf.DUMMYFUNCTION("""COMPUTED_VALUE"""),"SOC-RS2")</f>
        <v>SOC-RS2</v>
      </c>
      <c r="D7019" s="234">
        <f>IFERROR(__xludf.DUMMYFUNCTION("""COMPUTED_VALUE"""),93.0)</f>
        <v>93</v>
      </c>
      <c r="E7019" s="237" t="str">
        <f>IFERROR(__xludf.DUMMYFUNCTION("""COMPUTED_VALUE"""),"LT0Q2701Y1Q91")</f>
        <v>LT0Q2701Y1Q91</v>
      </c>
      <c r="F7019" s="238" t="str">
        <f>IFERROR(__xludf.DUMMYFUNCTION("""COMPUTED_VALUE"""),"IUD4271,INU5J24")</f>
        <v>IUD4271,INU5J24</v>
      </c>
      <c r="G7019" s="238">
        <f>IFERROR(__xludf.DUMMYFUNCTION("""COMPUTED_VALUE"""),46060.58472222222)</f>
        <v>46060.58472</v>
      </c>
      <c r="H7019" s="238">
        <f>IFERROR(__xludf.DUMMYFUNCTION("""COMPUTED_VALUE"""),46060.95833333333)</f>
        <v>46060.95833</v>
      </c>
      <c r="J7019" s="239">
        <v>59.99999998603016</v>
      </c>
    </row>
    <row r="7020">
      <c r="A7020" s="234"/>
      <c r="B7020" s="238" t="str">
        <f>IFERROR(__xludf.DUMMYFUNCTION("""COMPUTED_VALUE"""),"LM Hub_SP_Jardim Adriana")</f>
        <v>LM Hub_SP_Jardim Adriana</v>
      </c>
      <c r="C7020" s="238" t="str">
        <f>IFERROR(__xludf.DUMMYFUNCTION("""COMPUTED_VALUE"""),"HUB-LSP-12")</f>
        <v>HUB-LSP-12</v>
      </c>
      <c r="D7020" s="234">
        <f>IFERROR(__xludf.DUMMYFUNCTION("""COMPUTED_VALUE"""),15.0)</f>
        <v>15</v>
      </c>
      <c r="E7020" s="237" t="str">
        <f>IFERROR(__xludf.DUMMYFUNCTION("""COMPUTED_VALUE"""),"LT1Q2701YSYO1")</f>
        <v>LT1Q2701YSYO1</v>
      </c>
      <c r="F7020" s="238" t="str">
        <f>IFERROR(__xludf.DUMMYFUNCTION("""COMPUTED_VALUE"""),"TJB8C46")</f>
        <v>TJB8C46</v>
      </c>
      <c r="G7020" s="238">
        <f>IFERROR(__xludf.DUMMYFUNCTION("""COMPUTED_VALUE"""),46060.91666666667)</f>
        <v>46060.91667</v>
      </c>
      <c r="H7020" s="238">
        <f>IFERROR(__xludf.DUMMYFUNCTION("""COMPUTED_VALUE"""),46060.95833333333)</f>
        <v>46060.95833</v>
      </c>
      <c r="J7020" s="239">
        <v>129.00000000139698</v>
      </c>
    </row>
    <row r="7021">
      <c r="A7021" s="234"/>
      <c r="B7021" s="238" t="str">
        <f>IFERROR(__xludf.DUMMYFUNCTION("""COMPUTED_VALUE"""),"LM Hub_SP_Guarujá")</f>
        <v>LM Hub_SP_Guarujá</v>
      </c>
      <c r="C7021" s="238" t="str">
        <f>IFERROR(__xludf.DUMMYFUNCTION("""COMPUTED_VALUE"""),"HUB-LSP-06")</f>
        <v>HUB-LSP-06</v>
      </c>
      <c r="D7021" s="234">
        <f>IFERROR(__xludf.DUMMYFUNCTION("""COMPUTED_VALUE"""),34.0)</f>
        <v>34</v>
      </c>
      <c r="E7021" s="237" t="str">
        <f>IFERROR(__xludf.DUMMYFUNCTION("""COMPUTED_VALUE"""),"LT0Q2701XVZT1")</f>
        <v>LT0Q2701XVZT1</v>
      </c>
      <c r="F7021" s="238" t="str">
        <f>IFERROR(__xludf.DUMMYFUNCTION("""COMPUTED_VALUE"""),"RRA1C26")</f>
        <v>RRA1C26</v>
      </c>
      <c r="G7021" s="238">
        <f>IFERROR(__xludf.DUMMYFUNCTION("""COMPUTED_VALUE"""),46060.90972222222)</f>
        <v>46060.90972</v>
      </c>
      <c r="H7021" s="238">
        <f>IFERROR(__xludf.DUMMYFUNCTION("""COMPUTED_VALUE"""),46060.99930555555)</f>
        <v>46060.99931</v>
      </c>
      <c r="J7021" s="239">
        <v>119.99999999301508</v>
      </c>
    </row>
    <row r="7022">
      <c r="A7022" s="234"/>
      <c r="B7022" s="238" t="str">
        <f>IFERROR(__xludf.DUMMYFUNCTION("""COMPUTED_VALUE"""),"LM Hub_SP_Artur Alvim")</f>
        <v>LM Hub_SP_Artur Alvim</v>
      </c>
      <c r="C7022" s="238" t="str">
        <f>IFERROR(__xludf.DUMMYFUNCTION("""COMPUTED_VALUE"""),"HUB-LSP-07")</f>
        <v>HUB-LSP-07</v>
      </c>
      <c r="D7022" s="234">
        <f>IFERROR(__xludf.DUMMYFUNCTION("""COMPUTED_VALUE"""),29.0)</f>
        <v>29</v>
      </c>
      <c r="E7022" s="237" t="str">
        <f>IFERROR(__xludf.DUMMYFUNCTION("""COMPUTED_VALUE"""),"LT0Q2701XVWZ1")</f>
        <v>LT0Q2701XVWZ1</v>
      </c>
      <c r="F7022" s="238" t="str">
        <f>IFERROR(__xludf.DUMMYFUNCTION("""COMPUTED_VALUE"""),"OUV2G66,JMU8H37")</f>
        <v>OUV2G66,JMU8H37</v>
      </c>
      <c r="G7022" s="238">
        <f>IFERROR(__xludf.DUMMYFUNCTION("""COMPUTED_VALUE"""),46060.91666666667)</f>
        <v>46060.91667</v>
      </c>
      <c r="H7022" s="238">
        <f>IFERROR(__xludf.DUMMYFUNCTION("""COMPUTED_VALUE"""),46061.0)</f>
        <v>46061</v>
      </c>
      <c r="J7022" s="239">
        <v>119.99999999301508</v>
      </c>
    </row>
    <row r="7023">
      <c r="A7023" s="234"/>
      <c r="B7023" s="238" t="str">
        <f>IFERROR(__xludf.DUMMYFUNCTION("""COMPUTED_VALUE"""),"LM Hub_SP_Barueri_01")</f>
        <v>LM Hub_SP_Barueri_01</v>
      </c>
      <c r="C7023" s="238" t="str">
        <f>IFERROR(__xludf.DUMMYFUNCTION("""COMPUTED_VALUE"""),"HUB-LSP-81")</f>
        <v>HUB-LSP-81</v>
      </c>
      <c r="D7023" s="234">
        <f>IFERROR(__xludf.DUMMYFUNCTION("""COMPUTED_VALUE"""),26.0)</f>
        <v>26</v>
      </c>
      <c r="E7023" s="237" t="str">
        <f>IFERROR(__xludf.DUMMYFUNCTION("""COMPUTED_VALUE"""),"LT0Q2701Y0ZH1")</f>
        <v>LT0Q2701Y0ZH1</v>
      </c>
      <c r="F7023" s="238" t="str">
        <f>IFERROR(__xludf.DUMMYFUNCTION("""COMPUTED_VALUE"""),"GDQ4B07,SUW1F63")</f>
        <v>GDQ4B07,SUW1F63</v>
      </c>
      <c r="G7023" s="238">
        <f>IFERROR(__xludf.DUMMYFUNCTION("""COMPUTED_VALUE"""),46060.91666666667)</f>
        <v>46060.91667</v>
      </c>
      <c r="H7023" s="238">
        <f>IFERROR(__xludf.DUMMYFUNCTION("""COMPUTED_VALUE"""),46061.0)</f>
        <v>46061</v>
      </c>
      <c r="J7023" s="239">
        <v>119.99999999301508</v>
      </c>
    </row>
    <row r="7024">
      <c r="A7024" s="234"/>
      <c r="B7024" s="238" t="str">
        <f>IFERROR(__xludf.DUMMYFUNCTION("""COMPUTED_VALUE"""),"LM Hub_SP_Mauá")</f>
        <v>LM Hub_SP_Mauá</v>
      </c>
      <c r="C7024" s="238" t="str">
        <f>IFERROR(__xludf.DUMMYFUNCTION("""COMPUTED_VALUE"""),"HUB-LSP-64")</f>
        <v>HUB-LSP-64</v>
      </c>
      <c r="D7024" s="234">
        <f>IFERROR(__xludf.DUMMYFUNCTION("""COMPUTED_VALUE"""),44.0)</f>
        <v>44</v>
      </c>
      <c r="E7024" s="237" t="str">
        <f>IFERROR(__xludf.DUMMYFUNCTION("""COMPUTED_VALUE"""),"LT0Q2701XVYM1")</f>
        <v>LT0Q2701XVYM1</v>
      </c>
      <c r="F7024" s="238" t="str">
        <f>IFERROR(__xludf.DUMMYFUNCTION("""COMPUTED_VALUE"""),"FQF6B98,DTA7802")</f>
        <v>FQF6B98,DTA7802</v>
      </c>
      <c r="G7024" s="238">
        <f>IFERROR(__xludf.DUMMYFUNCTION("""COMPUTED_VALUE"""),46060.91666666667)</f>
        <v>46060.91667</v>
      </c>
      <c r="H7024" s="238">
        <f>IFERROR(__xludf.DUMMYFUNCTION("""COMPUTED_VALUE"""),46061.0)</f>
        <v>46061</v>
      </c>
      <c r="J7024" s="239">
        <v>119.99999999301508</v>
      </c>
    </row>
    <row r="7025">
      <c r="A7025" s="234"/>
      <c r="B7025" s="238" t="str">
        <f>IFERROR(__xludf.DUMMYFUNCTION("""COMPUTED_VALUE"""),"LM Hub_SP_Osasco_02")</f>
        <v>LM Hub_SP_Osasco_02</v>
      </c>
      <c r="C7025" s="238" t="str">
        <f>IFERROR(__xludf.DUMMYFUNCTION("""COMPUTED_VALUE"""),"HUB-LSP-60")</f>
        <v>HUB-LSP-60</v>
      </c>
      <c r="D7025" s="234"/>
      <c r="E7025" s="237" t="str">
        <f>IFERROR(__xludf.DUMMYFUNCTION("""COMPUTED_VALUE"""),"LT0Q2701XVYF1")</f>
        <v>LT0Q2701XVYF1</v>
      </c>
      <c r="F7025" s="238" t="str">
        <f>IFERROR(__xludf.DUMMYFUNCTION("""COMPUTED_VALUE"""),"ARA0I24,TWK4D57")</f>
        <v>ARA0I24,TWK4D57</v>
      </c>
      <c r="G7025" s="238">
        <f>IFERROR(__xludf.DUMMYFUNCTION("""COMPUTED_VALUE"""),46060.91666666667)</f>
        <v>46060.91667</v>
      </c>
      <c r="H7025" s="238">
        <f>IFERROR(__xludf.DUMMYFUNCTION("""COMPUTED_VALUE"""),46061.0)</f>
        <v>46061</v>
      </c>
      <c r="J7025" s="239">
        <v>119.99999999301508</v>
      </c>
    </row>
    <row r="7026">
      <c r="A7026" s="234"/>
      <c r="B7026" s="238" t="str">
        <f>IFERROR(__xludf.DUMMYFUNCTION("""COMPUTED_VALUE"""),"LM Hub_SP_Santo André")</f>
        <v>LM Hub_SP_Santo André</v>
      </c>
      <c r="C7026" s="238" t="str">
        <f>IFERROR(__xludf.DUMMYFUNCTION("""COMPUTED_VALUE"""),"HUB-LSP-93")</f>
        <v>HUB-LSP-93</v>
      </c>
      <c r="D7026" s="234">
        <f>IFERROR(__xludf.DUMMYFUNCTION("""COMPUTED_VALUE"""),36.0)</f>
        <v>36</v>
      </c>
      <c r="E7026" s="237" t="str">
        <f>IFERROR(__xludf.DUMMYFUNCTION("""COMPUTED_VALUE"""),"LT0Q2701XYEI1")</f>
        <v>LT0Q2701XYEI1</v>
      </c>
      <c r="F7026" s="238" t="str">
        <f>IFERROR(__xludf.DUMMYFUNCTION("""COMPUTED_VALUE"""),"LLM1I97,AOF6828")</f>
        <v>LLM1I97,AOF6828</v>
      </c>
      <c r="G7026" s="238">
        <f>IFERROR(__xludf.DUMMYFUNCTION("""COMPUTED_VALUE"""),46060.91666666667)</f>
        <v>46060.91667</v>
      </c>
      <c r="H7026" s="238">
        <f>IFERROR(__xludf.DUMMYFUNCTION("""COMPUTED_VALUE"""),46061.0)</f>
        <v>46061</v>
      </c>
      <c r="J7026" s="239">
        <v>119.99999999301508</v>
      </c>
    </row>
    <row r="7027">
      <c r="A7027" s="234"/>
      <c r="B7027" s="238" t="str">
        <f>IFERROR(__xludf.DUMMYFUNCTION("""COMPUTED_VALUE"""),"LM Hub_SP_Jardim Adriana")</f>
        <v>LM Hub_SP_Jardim Adriana</v>
      </c>
      <c r="C7027" s="238" t="str">
        <f>IFERROR(__xludf.DUMMYFUNCTION("""COMPUTED_VALUE"""),"HUB-LSP-12")</f>
        <v>HUB-LSP-12</v>
      </c>
      <c r="D7027" s="234">
        <f>IFERROR(__xludf.DUMMYFUNCTION("""COMPUTED_VALUE"""),14.0)</f>
        <v>14</v>
      </c>
      <c r="E7027" s="237" t="str">
        <f>IFERROR(__xludf.DUMMYFUNCTION("""COMPUTED_VALUE"""),"LT0Q2701XVX61")</f>
        <v>LT0Q2701XVX61</v>
      </c>
      <c r="F7027" s="238" t="str">
        <f>IFERROR(__xludf.DUMMYFUNCTION("""COMPUTED_VALUE"""),"DBB6C34")</f>
        <v>DBB6C34</v>
      </c>
      <c r="G7027" s="238">
        <f>IFERROR(__xludf.DUMMYFUNCTION("""COMPUTED_VALUE"""),46060.9375)</f>
        <v>46060.9375</v>
      </c>
      <c r="H7027" s="238">
        <f>IFERROR(__xludf.DUMMYFUNCTION("""COMPUTED_VALUE"""),46061.02083333333)</f>
        <v>46061.02083</v>
      </c>
      <c r="J7027" s="239">
        <v>119.99999999301508</v>
      </c>
    </row>
    <row r="7028">
      <c r="A7028" s="234"/>
      <c r="B7028" s="238" t="str">
        <f>IFERROR(__xludf.DUMMYFUNCTION("""COMPUTED_VALUE"""),"LM Hub_SP_Piracicaba")</f>
        <v>LM Hub_SP_Piracicaba</v>
      </c>
      <c r="C7028" s="238" t="str">
        <f>IFERROR(__xludf.DUMMYFUNCTION("""COMPUTED_VALUE"""),"HUB-LSP-62")</f>
        <v>HUB-LSP-62</v>
      </c>
      <c r="D7028" s="234">
        <f>IFERROR(__xludf.DUMMYFUNCTION("""COMPUTED_VALUE"""),16.0)</f>
        <v>16</v>
      </c>
      <c r="E7028" s="237" t="str">
        <f>IFERROR(__xludf.DUMMYFUNCTION("""COMPUTED_VALUE"""),"LT0Q2701XWQV1")</f>
        <v>LT0Q2701XWQV1</v>
      </c>
      <c r="F7028" s="238" t="str">
        <f>IFERROR(__xludf.DUMMYFUNCTION("""COMPUTED_VALUE"""),"DWC7H14,NTW5061")</f>
        <v>DWC7H14,NTW5061</v>
      </c>
      <c r="G7028" s="238">
        <f>IFERROR(__xludf.DUMMYFUNCTION("""COMPUTED_VALUE"""),46060.9375)</f>
        <v>46060.9375</v>
      </c>
      <c r="H7028" s="238">
        <f>IFERROR(__xludf.DUMMYFUNCTION("""COMPUTED_VALUE"""),46061.02083333333)</f>
        <v>46061.02083</v>
      </c>
      <c r="J7028" s="239">
        <v>119.99999999301508</v>
      </c>
    </row>
    <row r="7029">
      <c r="A7029" s="234"/>
      <c r="B7029" s="238" t="str">
        <f>IFERROR(__xludf.DUMMYFUNCTION("""COMPUTED_VALUE"""),"LM Hub_SP_Suzano_Baruel")</f>
        <v>LM Hub_SP_Suzano_Baruel</v>
      </c>
      <c r="C7029" s="238" t="str">
        <f>IFERROR(__xludf.DUMMYFUNCTION("""COMPUTED_VALUE"""),"HUB-LSP-97")</f>
        <v>HUB-LSP-97</v>
      </c>
      <c r="D7029" s="234">
        <f>IFERROR(__xludf.DUMMYFUNCTION("""COMPUTED_VALUE"""),19.0)</f>
        <v>19</v>
      </c>
      <c r="E7029" s="237" t="str">
        <f>IFERROR(__xludf.DUMMYFUNCTION("""COMPUTED_VALUE"""),"LT0Q2701Y2UA1")</f>
        <v>LT0Q2701Y2UA1</v>
      </c>
      <c r="F7029" s="238" t="str">
        <f>IFERROR(__xludf.DUMMYFUNCTION("""COMPUTED_VALUE"""),"LTR7J66,BTB3E49")</f>
        <v>LTR7J66,BTB3E49</v>
      </c>
      <c r="G7029" s="238">
        <f>IFERROR(__xludf.DUMMYFUNCTION("""COMPUTED_VALUE"""),46060.9375)</f>
        <v>46060.9375</v>
      </c>
      <c r="H7029" s="238">
        <f>IFERROR(__xludf.DUMMYFUNCTION("""COMPUTED_VALUE"""),46061.02083333333)</f>
        <v>46061.02083</v>
      </c>
      <c r="J7029" s="239">
        <v>118.99999998975545</v>
      </c>
    </row>
    <row r="7030">
      <c r="A7030" s="234"/>
      <c r="B7030" s="238" t="str">
        <f>IFERROR(__xludf.DUMMYFUNCTION("""COMPUTED_VALUE"""),"LM Hub_SP_Parque Novo Mundo")</f>
        <v>LM Hub_SP_Parque Novo Mundo</v>
      </c>
      <c r="C7030" s="238" t="str">
        <f>IFERROR(__xludf.DUMMYFUNCTION("""COMPUTED_VALUE"""),"HUB-LSP-89")</f>
        <v>HUB-LSP-89</v>
      </c>
      <c r="D7030" s="234">
        <f>IFERROR(__xludf.DUMMYFUNCTION("""COMPUTED_VALUE"""),28.0)</f>
        <v>28</v>
      </c>
      <c r="E7030" s="237" t="str">
        <f>IFERROR(__xludf.DUMMYFUNCTION("""COMPUTED_VALUE"""),"LT0Q2701Y5HR1")</f>
        <v>LT0Q2701Y5HR1</v>
      </c>
      <c r="F7030" s="238" t="str">
        <f>IFERROR(__xludf.DUMMYFUNCTION("""COMPUTED_VALUE"""),"FNK8E47,FAM1829")</f>
        <v>FNK8E47,FAM1829</v>
      </c>
      <c r="G7030" s="238">
        <f>IFERROR(__xludf.DUMMYFUNCTION("""COMPUTED_VALUE"""),46060.93819444445)</f>
        <v>46060.93819</v>
      </c>
      <c r="H7030" s="238">
        <f>IFERROR(__xludf.DUMMYFUNCTION("""COMPUTED_VALUE"""),46061.02083333333)</f>
        <v>46061.02083</v>
      </c>
      <c r="J7030" s="239">
        <v>118.99999998975545</v>
      </c>
    </row>
    <row r="7031">
      <c r="A7031" s="234"/>
      <c r="B7031" s="238" t="str">
        <f>IFERROR(__xludf.DUMMYFUNCTION("""COMPUTED_VALUE"""),"LM Hub_SP_São Paulo_Carandiru")</f>
        <v>LM Hub_SP_São Paulo_Carandiru</v>
      </c>
      <c r="C7031" s="238" t="str">
        <f>IFERROR(__xludf.DUMMYFUNCTION("""COMPUTED_VALUE"""),"HUB-LSP-18")</f>
        <v>HUB-LSP-18</v>
      </c>
      <c r="D7031" s="234">
        <f>IFERROR(__xludf.DUMMYFUNCTION("""COMPUTED_VALUE"""),27.0)</f>
        <v>27</v>
      </c>
      <c r="E7031" s="237" t="str">
        <f>IFERROR(__xludf.DUMMYFUNCTION("""COMPUTED_VALUE"""),"LT0Q2701XVXS1")</f>
        <v>LT0Q2701XVXS1</v>
      </c>
      <c r="F7031" s="238" t="str">
        <f>IFERROR(__xludf.DUMMYFUNCTION("""COMPUTED_VALUE"""),"AXH9D10")</f>
        <v>AXH9D10</v>
      </c>
      <c r="G7031" s="238">
        <f>IFERROR(__xludf.DUMMYFUNCTION("""COMPUTED_VALUE"""),46060.93819444445)</f>
        <v>46060.93819</v>
      </c>
      <c r="H7031" s="238">
        <f>IFERROR(__xludf.DUMMYFUNCTION("""COMPUTED_VALUE"""),46061.02083333333)</f>
        <v>46061.02083</v>
      </c>
      <c r="J7031" s="239">
        <v>118.99999998975545</v>
      </c>
    </row>
    <row r="7032">
      <c r="A7032" s="234"/>
      <c r="B7032" s="238" t="str">
        <f>IFERROR(__xludf.DUMMYFUNCTION("""COMPUTED_VALUE"""),"LM Hub_SP_VilaGuilherme")</f>
        <v>LM Hub_SP_VilaGuilherme</v>
      </c>
      <c r="C7032" s="238" t="str">
        <f>IFERROR(__xludf.DUMMYFUNCTION("""COMPUTED_VALUE"""),"HUB-LSP-68")</f>
        <v>HUB-LSP-68</v>
      </c>
      <c r="D7032" s="234">
        <f>IFERROR(__xludf.DUMMYFUNCTION("""COMPUTED_VALUE"""),32.0)</f>
        <v>32</v>
      </c>
      <c r="E7032" s="237" t="str">
        <f>IFERROR(__xludf.DUMMYFUNCTION("""COMPUTED_VALUE"""),"LT0Q2701Y59T1")</f>
        <v>LT0Q2701Y59T1</v>
      </c>
      <c r="F7032" s="238" t="str">
        <f>IFERROR(__xludf.DUMMYFUNCTION("""COMPUTED_VALUE"""),"HFD4H27,JXG9745")</f>
        <v>HFD4H27,JXG9745</v>
      </c>
      <c r="G7032" s="238">
        <f>IFERROR(__xludf.DUMMYFUNCTION("""COMPUTED_VALUE"""),46060.93819444445)</f>
        <v>46060.93819</v>
      </c>
      <c r="H7032" s="238">
        <f>IFERROR(__xludf.DUMMYFUNCTION("""COMPUTED_VALUE"""),46061.02083333333)</f>
        <v>46061.02083</v>
      </c>
      <c r="J7032" s="239">
        <v>119.99999999301508</v>
      </c>
    </row>
    <row r="7033">
      <c r="A7033" s="234"/>
      <c r="B7033" s="238" t="str">
        <f>IFERROR(__xludf.DUMMYFUNCTION("""COMPUTED_VALUE"""),"LM Hub_SP_Araraquara")</f>
        <v>LM Hub_SP_Araraquara</v>
      </c>
      <c r="C7033" s="238" t="str">
        <f>IFERROR(__xludf.DUMMYFUNCTION("""COMPUTED_VALUE"""),"HUB-LSP-29")</f>
        <v>HUB-LSP-29</v>
      </c>
      <c r="D7033" s="234">
        <f>IFERROR(__xludf.DUMMYFUNCTION("""COMPUTED_VALUE"""),13.0)</f>
        <v>13</v>
      </c>
      <c r="E7033" s="237" t="str">
        <f>IFERROR(__xludf.DUMMYFUNCTION("""COMPUTED_VALUE"""),"LT0Q2701XW2L1")</f>
        <v>LT0Q2701XW2L1</v>
      </c>
      <c r="F7033" s="238" t="str">
        <f>IFERROR(__xludf.DUMMYFUNCTION("""COMPUTED_VALUE"""),"ISQ7F01,ANM9G89")</f>
        <v>ISQ7F01,ANM9G89</v>
      </c>
      <c r="G7033" s="238">
        <f>IFERROR(__xludf.DUMMYFUNCTION("""COMPUTED_VALUE"""),46060.97916666667)</f>
        <v>46060.97917</v>
      </c>
      <c r="H7033" s="238">
        <f>IFERROR(__xludf.DUMMYFUNCTION("""COMPUTED_VALUE"""),46061.0625)</f>
        <v>46061.0625</v>
      </c>
      <c r="J7033" s="239">
        <v>540.0</v>
      </c>
    </row>
    <row r="7034">
      <c r="A7034" s="234"/>
      <c r="B7034" s="238" t="str">
        <f>IFERROR(__xludf.DUMMYFUNCTION("""COMPUTED_VALUE"""),"SoC_BA_Simoes Filho")</f>
        <v>SoC_BA_Simoes Filho</v>
      </c>
      <c r="C7034" s="238" t="str">
        <f>IFERROR(__xludf.DUMMYFUNCTION("""COMPUTED_VALUE"""),"SOC-BA2")</f>
        <v>SOC-BA2</v>
      </c>
      <c r="D7034" s="234">
        <f>IFERROR(__xludf.DUMMYFUNCTION("""COMPUTED_VALUE"""),89.0)</f>
        <v>89</v>
      </c>
      <c r="E7034" s="237" t="str">
        <f>IFERROR(__xludf.DUMMYFUNCTION("""COMPUTED_VALUE"""),"LT1Q2701YSRK1")</f>
        <v>LT1Q2701YSRK1</v>
      </c>
      <c r="F7034" s="238" t="str">
        <f>IFERROR(__xludf.DUMMYFUNCTION("""COMPUTED_VALUE"""),"DYB5H69,FVU6A76")</f>
        <v>DYB5H69,FVU6A76</v>
      </c>
      <c r="G7034" s="238">
        <f>IFERROR(__xludf.DUMMYFUNCTION("""COMPUTED_VALUE"""),46060.75)</f>
        <v>46060.75</v>
      </c>
      <c r="H7034" s="238">
        <f>IFERROR(__xludf.DUMMYFUNCTION("""COMPUTED_VALUE"""),46061.125)</f>
        <v>46061.125</v>
      </c>
      <c r="J7034" s="239">
        <v>540.0</v>
      </c>
    </row>
    <row r="7035">
      <c r="A7035" s="234"/>
      <c r="B7035" s="238" t="str">
        <f>IFERROR(__xludf.DUMMYFUNCTION("""COMPUTED_VALUE"""),"SoC_BA_Simoes Filho")</f>
        <v>SoC_BA_Simoes Filho</v>
      </c>
      <c r="C7035" s="238" t="str">
        <f>IFERROR(__xludf.DUMMYFUNCTION("""COMPUTED_VALUE"""),"SOC-BA2")</f>
        <v>SOC-BA2</v>
      </c>
      <c r="D7035" s="234">
        <f>IFERROR(__xludf.DUMMYFUNCTION("""COMPUTED_VALUE"""),88.0)</f>
        <v>88</v>
      </c>
      <c r="E7035" s="237" t="str">
        <f>IFERROR(__xludf.DUMMYFUNCTION("""COMPUTED_VALUE"""),"LT0Q2701Y1BI2")</f>
        <v>LT0Q2701Y1BI2</v>
      </c>
      <c r="F7035" s="238" t="str">
        <f>IFERROR(__xludf.DUMMYFUNCTION("""COMPUTED_VALUE"""),"AQE9D24,MLF4E07")</f>
        <v>AQE9D24,MLF4E07</v>
      </c>
      <c r="G7035" s="238">
        <f>IFERROR(__xludf.DUMMYFUNCTION("""COMPUTED_VALUE"""),46060.79166666667)</f>
        <v>46060.79167</v>
      </c>
      <c r="H7035" s="238">
        <f>IFERROR(__xludf.DUMMYFUNCTION("""COMPUTED_VALUE"""),46061.16666666667)</f>
        <v>46061.16667</v>
      </c>
      <c r="J7035" s="239">
        <v>540.0</v>
      </c>
    </row>
    <row r="7036">
      <c r="A7036" s="234"/>
      <c r="B7036" s="238" t="str">
        <f>IFERROR(__xludf.DUMMYFUNCTION("""COMPUTED_VALUE"""),"SoC_GO_Goiânia_02")</f>
        <v>SoC_GO_Goiânia_02</v>
      </c>
      <c r="C7036" s="238" t="str">
        <f>IFERROR(__xludf.DUMMYFUNCTION("""COMPUTED_VALUE"""),"SOC-GO2")</f>
        <v>SOC-GO2</v>
      </c>
      <c r="D7036" s="234">
        <f>IFERROR(__xludf.DUMMYFUNCTION("""COMPUTED_VALUE"""),86.0)</f>
        <v>86</v>
      </c>
      <c r="E7036" s="237" t="str">
        <f>IFERROR(__xludf.DUMMYFUNCTION("""COMPUTED_VALUE"""),"LT0Q2701Y1NR2")</f>
        <v>LT0Q2701Y1NR2</v>
      </c>
      <c r="F7036" s="238" t="str">
        <f>IFERROR(__xludf.DUMMYFUNCTION("""COMPUTED_VALUE"""),"TJS6H39,EML2A11")</f>
        <v>TJS6H39,EML2A11</v>
      </c>
      <c r="G7036" s="238">
        <f>IFERROR(__xludf.DUMMYFUNCTION("""COMPUTED_VALUE"""),46060.79166666667)</f>
        <v>46060.79167</v>
      </c>
      <c r="H7036" s="238">
        <f>IFERROR(__xludf.DUMMYFUNCTION("""COMPUTED_VALUE"""),46061.16666666667)</f>
        <v>46061.16667</v>
      </c>
      <c r="J7036" s="239">
        <v>540.0</v>
      </c>
    </row>
    <row r="7037">
      <c r="A7037" s="234"/>
      <c r="B7037" s="238" t="str">
        <f>IFERROR(__xludf.DUMMYFUNCTION("""COMPUTED_VALUE"""),"SoC_RJ_Duque de Caxias")</f>
        <v>SoC_RJ_Duque de Caxias</v>
      </c>
      <c r="C7037" s="238" t="str">
        <f>IFERROR(__xludf.DUMMYFUNCTION("""COMPUTED_VALUE"""),"SOC-RJ2")</f>
        <v>SOC-RJ2</v>
      </c>
      <c r="D7037" s="234">
        <f>IFERROR(__xludf.DUMMYFUNCTION("""COMPUTED_VALUE"""),97.0)</f>
        <v>97</v>
      </c>
      <c r="E7037" s="237" t="str">
        <f>IFERROR(__xludf.DUMMYFUNCTION("""COMPUTED_VALUE"""),"LT0Q2701Y5P13")</f>
        <v>LT0Q2701Y5P13</v>
      </c>
      <c r="F7037" s="238" t="str">
        <f>IFERROR(__xludf.DUMMYFUNCTION("""COMPUTED_VALUE"""),"IVY3A89,EZL3A06")</f>
        <v>IVY3A89,EZL3A06</v>
      </c>
      <c r="G7037" s="238">
        <f>IFERROR(__xludf.DUMMYFUNCTION("""COMPUTED_VALUE"""),46060.79166666667)</f>
        <v>46060.79167</v>
      </c>
      <c r="H7037" s="238">
        <f>IFERROR(__xludf.DUMMYFUNCTION("""COMPUTED_VALUE"""),46061.16666666667)</f>
        <v>46061.16667</v>
      </c>
      <c r="J7037" s="239">
        <v>479.9999999930151</v>
      </c>
    </row>
    <row r="7038">
      <c r="A7038" s="234"/>
      <c r="B7038" s="238" t="str">
        <f>IFERROR(__xludf.DUMMYFUNCTION("""COMPUTED_VALUE"""),"SoC_MG_Betim")</f>
        <v>SoC_MG_Betim</v>
      </c>
      <c r="C7038" s="238" t="str">
        <f>IFERROR(__xludf.DUMMYFUNCTION("""COMPUTED_VALUE"""),"SOC-MG2")</f>
        <v>SOC-MG2</v>
      </c>
      <c r="D7038" s="234">
        <f>IFERROR(__xludf.DUMMYFUNCTION("""COMPUTED_VALUE"""),90.0)</f>
        <v>90</v>
      </c>
      <c r="E7038" s="237" t="str">
        <f>IFERROR(__xludf.DUMMYFUNCTION("""COMPUTED_VALUE"""),"LT0Q2701Y58G1")</f>
        <v>LT0Q2701Y58G1</v>
      </c>
      <c r="F7038" s="238" t="str">
        <f>IFERROR(__xludf.DUMMYFUNCTION("""COMPUTED_VALUE"""),"HJF4B24,LPT4G62")</f>
        <v>HJF4B24,LPT4G62</v>
      </c>
      <c r="G7038" s="238">
        <f>IFERROR(__xludf.DUMMYFUNCTION("""COMPUTED_VALUE"""),46060.875)</f>
        <v>46060.875</v>
      </c>
      <c r="H7038" s="238">
        <f>IFERROR(__xludf.DUMMYFUNCTION("""COMPUTED_VALUE"""),46061.20833333333)</f>
        <v>46061.20833</v>
      </c>
      <c r="J7038" s="239">
        <v>119.99999999301508</v>
      </c>
    </row>
    <row r="7039">
      <c r="A7039" s="234"/>
      <c r="B7039" s="238" t="str">
        <f>IFERROR(__xludf.DUMMYFUNCTION("""COMPUTED_VALUE"""),"SoC_PR_Curitiba")</f>
        <v>SoC_PR_Curitiba</v>
      </c>
      <c r="C7039" s="238" t="str">
        <f>IFERROR(__xludf.DUMMYFUNCTION("""COMPUTED_VALUE"""),"SOC-PR1")</f>
        <v>SOC-PR1</v>
      </c>
      <c r="D7039" s="234">
        <f>IFERROR(__xludf.DUMMYFUNCTION("""COMPUTED_VALUE"""),41.0)</f>
        <v>41</v>
      </c>
      <c r="E7039" s="237" t="str">
        <f>IFERROR(__xludf.DUMMYFUNCTION("""COMPUTED_VALUE"""),"LT0Q2801XVU31")</f>
        <v>LT0Q2801XVU31</v>
      </c>
      <c r="F7039" s="238" t="str">
        <f>IFERROR(__xludf.DUMMYFUNCTION("""COMPUTED_VALUE"""),"MLH4G14,LYT5E35")</f>
        <v>MLH4G14,LYT5E35</v>
      </c>
      <c r="G7039" s="238">
        <f>IFERROR(__xludf.DUMMYFUNCTION("""COMPUTED_VALUE"""),46061.125)</f>
        <v>46061.125</v>
      </c>
      <c r="H7039" s="238">
        <f>IFERROR(__xludf.DUMMYFUNCTION("""COMPUTED_VALUE"""),46061.20833333333)</f>
        <v>46061.20833</v>
      </c>
      <c r="J7039" s="239">
        <v>119.99999999301508</v>
      </c>
    </row>
    <row r="7040">
      <c r="A7040" s="234"/>
      <c r="B7040" s="238" t="str">
        <f>IFERROR(__xludf.DUMMYFUNCTION("""COMPUTED_VALUE"""),"SoC_SP_Louveira")</f>
        <v>SoC_SP_Louveira</v>
      </c>
      <c r="C7040" s="238" t="str">
        <f>IFERROR(__xludf.DUMMYFUNCTION("""COMPUTED_VALUE"""),"SOC-SP7")</f>
        <v>SOC-SP7</v>
      </c>
      <c r="D7040" s="234">
        <f>IFERROR(__xludf.DUMMYFUNCTION("""COMPUTED_VALUE"""),43.0)</f>
        <v>43</v>
      </c>
      <c r="E7040" s="237" t="str">
        <f>IFERROR(__xludf.DUMMYFUNCTION("""COMPUTED_VALUE"""),"LT1Q2801YQ141")</f>
        <v>LT1Q2801YQ141</v>
      </c>
      <c r="F7040" s="238" t="str">
        <f>IFERROR(__xludf.DUMMYFUNCTION("""COMPUTED_VALUE"""),"EDI5J16,STY9E57")</f>
        <v>EDI5J16,STY9E57</v>
      </c>
      <c r="G7040" s="238">
        <f>IFERROR(__xludf.DUMMYFUNCTION("""COMPUTED_VALUE"""),46061.125)</f>
        <v>46061.125</v>
      </c>
      <c r="H7040" s="238">
        <f>IFERROR(__xludf.DUMMYFUNCTION("""COMPUTED_VALUE"""),46061.20833333333)</f>
        <v>46061.20833</v>
      </c>
      <c r="J7040" s="239">
        <v>540.0</v>
      </c>
    </row>
    <row r="7041">
      <c r="A7041" s="234"/>
      <c r="B7041" s="238" t="str">
        <f>IFERROR(__xludf.DUMMYFUNCTION("""COMPUTED_VALUE"""),"SoC_RJ_Duque de Caxias")</f>
        <v>SoC_RJ_Duque de Caxias</v>
      </c>
      <c r="C7041" s="238" t="str">
        <f>IFERROR(__xludf.DUMMYFUNCTION("""COMPUTED_VALUE"""),"SOC-RJ2")</f>
        <v>SOC-RJ2</v>
      </c>
      <c r="D7041" s="234" t="str">
        <f>IFERROR(__xludf.DUMMYFUNCTION("""COMPUTED_VALUE"""),"96/15")</f>
        <v>96/15</v>
      </c>
      <c r="E7041" s="237" t="str">
        <f>IFERROR(__xludf.DUMMYFUNCTION("""COMPUTED_VALUE"""),"LT0Q2701Y5P51")</f>
        <v>LT0Q2701Y5P51</v>
      </c>
      <c r="F7041" s="238" t="str">
        <f>IFERROR(__xludf.DUMMYFUNCTION("""COMPUTED_VALUE"""),"LUR6D59,SUL8E73")</f>
        <v>LUR6D59,SUL8E73</v>
      </c>
      <c r="G7041" s="238">
        <f>IFERROR(__xludf.DUMMYFUNCTION("""COMPUTED_VALUE"""),46060.91666666667)</f>
        <v>46060.91667</v>
      </c>
      <c r="H7041" s="238">
        <f>IFERROR(__xludf.DUMMYFUNCTION("""COMPUTED_VALUE"""),46061.29166666667)</f>
        <v>46061.29167</v>
      </c>
      <c r="J7041" s="239">
        <v>539.0000000072177</v>
      </c>
    </row>
    <row r="7042">
      <c r="A7042" s="234"/>
      <c r="B7042" s="238" t="str">
        <f>IFERROR(__xludf.DUMMYFUNCTION("""COMPUTED_VALUE"""),"SoC_PE_Jaboatão dos Guararapes")</f>
        <v>SoC_PE_Jaboatão dos Guararapes</v>
      </c>
      <c r="C7042" s="238" t="str">
        <f>IFERROR(__xludf.DUMMYFUNCTION("""COMPUTED_VALUE"""),"SOC-PE2")</f>
        <v>SOC-PE2</v>
      </c>
      <c r="D7042" s="234">
        <f>IFERROR(__xludf.DUMMYFUNCTION("""COMPUTED_VALUE"""),98.0)</f>
        <v>98</v>
      </c>
      <c r="E7042" s="237" t="str">
        <f>IFERROR(__xludf.DUMMYFUNCTION("""COMPUTED_VALUE"""),"LT0Q2701Y18K2")</f>
        <v>LT0Q2701Y18K2</v>
      </c>
      <c r="F7042" s="238" t="str">
        <f>IFERROR(__xludf.DUMMYFUNCTION("""COMPUTED_VALUE"""),"EJW6G15,UEH0E20")</f>
        <v>EJW6G15,UEH0E20</v>
      </c>
      <c r="G7042" s="238">
        <f>IFERROR(__xludf.DUMMYFUNCTION("""COMPUTED_VALUE"""),46060.91736111111)</f>
        <v>46060.91736</v>
      </c>
      <c r="H7042" s="238">
        <f>IFERROR(__xludf.DUMMYFUNCTION("""COMPUTED_VALUE"""),46061.29166666667)</f>
        <v>46061.29167</v>
      </c>
      <c r="J7042" s="239">
        <v>536.0000000079162</v>
      </c>
    </row>
    <row r="7043">
      <c r="A7043" s="234"/>
      <c r="B7043" s="238" t="str">
        <f>IFERROR(__xludf.DUMMYFUNCTION("""COMPUTED_VALUE"""),"SoC_SP_Cravinhos")</f>
        <v>SoC_SP_Cravinhos</v>
      </c>
      <c r="C7043" s="238" t="str">
        <f>IFERROR(__xludf.DUMMYFUNCTION("""COMPUTED_VALUE"""),"SOC-SP5")</f>
        <v>SOC-SP5</v>
      </c>
      <c r="D7043" s="234" t="str">
        <f>IFERROR(__xludf.DUMMYFUNCTION("""COMPUTED_VALUE"""),"94/42")</f>
        <v>94/42</v>
      </c>
      <c r="E7043" s="237" t="str">
        <f>IFERROR(__xludf.DUMMYFUNCTION("""COMPUTED_VALUE"""),"LT0Q2701XVVS2")</f>
        <v>LT0Q2701XVVS2</v>
      </c>
      <c r="F7043" s="238" t="str">
        <f>IFERROR(__xludf.DUMMYFUNCTION("""COMPUTED_VALUE"""),"RYN1D89,SXT9D73")</f>
        <v>RYN1D89,SXT9D73</v>
      </c>
      <c r="G7043" s="238">
        <f>IFERROR(__xludf.DUMMYFUNCTION("""COMPUTED_VALUE"""),46060.919444444444)</f>
        <v>46060.91944</v>
      </c>
      <c r="H7043" s="238">
        <f>IFERROR(__xludf.DUMMYFUNCTION("""COMPUTED_VALUE"""),46061.29166666667)</f>
        <v>46061.29167</v>
      </c>
      <c r="J7043" s="239">
        <v>300.00000001396984</v>
      </c>
    </row>
    <row r="7044">
      <c r="A7044" s="234"/>
      <c r="B7044" s="238" t="str">
        <f>IFERROR(__xludf.DUMMYFUNCTION("""COMPUTED_VALUE"""),"SoC_BA_Simoes Filho")</f>
        <v>SoC_BA_Simoes Filho</v>
      </c>
      <c r="C7044" s="238" t="str">
        <f>IFERROR(__xludf.DUMMYFUNCTION("""COMPUTED_VALUE"""),"SOC-BA2")</f>
        <v>SOC-BA2</v>
      </c>
      <c r="D7044" s="234"/>
      <c r="E7044" s="237" t="str">
        <f>IFERROR(__xludf.DUMMYFUNCTION("""COMPUTED_VALUE"""),"LT0Q2701Y1BO1")</f>
        <v>LT0Q2701Y1BO1</v>
      </c>
      <c r="F7044" s="238" t="str">
        <f>IFERROR(__xludf.DUMMYFUNCTION("""COMPUTED_VALUE"""),"OPS7A60,DJB2575")</f>
        <v>OPS7A60,DJB2575</v>
      </c>
      <c r="G7044" s="238">
        <f>IFERROR(__xludf.DUMMYFUNCTION("""COMPUTED_VALUE"""),46061.08333333333)</f>
        <v>46061.08333</v>
      </c>
      <c r="H7044" s="238">
        <f>IFERROR(__xludf.DUMMYFUNCTION("""COMPUTED_VALUE"""),46061.29166666667)</f>
        <v>46061.29167</v>
      </c>
      <c r="J7044" s="239">
        <v>300.00000001396984</v>
      </c>
    </row>
    <row r="7045">
      <c r="A7045" s="234"/>
      <c r="B7045" s="238" t="str">
        <f>IFERROR(__xludf.DUMMYFUNCTION("""COMPUTED_VALUE"""),"SoC_GO_Goiânia_02")</f>
        <v>SoC_GO_Goiânia_02</v>
      </c>
      <c r="C7045" s="238" t="str">
        <f>IFERROR(__xludf.DUMMYFUNCTION("""COMPUTED_VALUE"""),"SOC-GO2")</f>
        <v>SOC-GO2</v>
      </c>
      <c r="D7045" s="234"/>
      <c r="E7045" s="237" t="str">
        <f>IFERROR(__xludf.DUMMYFUNCTION("""COMPUTED_VALUE"""),"LT0Q2701Y1O41")</f>
        <v>LT0Q2701Y1O41</v>
      </c>
      <c r="F7045" s="238" t="str">
        <f>IFERROR(__xludf.DUMMYFUNCTION("""COMPUTED_VALUE"""),"TPL2J88,EML4G72")</f>
        <v>TPL2J88,EML4G72</v>
      </c>
      <c r="G7045" s="238">
        <f>IFERROR(__xludf.DUMMYFUNCTION("""COMPUTED_VALUE"""),46061.08333333333)</f>
        <v>46061.08333</v>
      </c>
      <c r="H7045" s="238">
        <f>IFERROR(__xludf.DUMMYFUNCTION("""COMPUTED_VALUE"""),46061.29166666667)</f>
        <v>46061.29167</v>
      </c>
      <c r="J7045" s="239">
        <v>300.00000001396984</v>
      </c>
    </row>
    <row r="7046">
      <c r="A7046" s="234"/>
      <c r="B7046" s="238" t="str">
        <f>IFERROR(__xludf.DUMMYFUNCTION("""COMPUTED_VALUE"""),"SoC_RJ_Duque de Caxias")</f>
        <v>SoC_RJ_Duque de Caxias</v>
      </c>
      <c r="C7046" s="238" t="str">
        <f>IFERROR(__xludf.DUMMYFUNCTION("""COMPUTED_VALUE"""),"SOC-RJ2")</f>
        <v>SOC-RJ2</v>
      </c>
      <c r="D7046" s="234">
        <f>IFERROR(__xludf.DUMMYFUNCTION("""COMPUTED_VALUE"""),96.0)</f>
        <v>96</v>
      </c>
      <c r="E7046" s="237" t="str">
        <f>IFERROR(__xludf.DUMMYFUNCTION("""COMPUTED_VALUE"""),"LT1Q2701YSSS1")</f>
        <v>LT1Q2701YSSS1</v>
      </c>
      <c r="F7046" s="238" t="str">
        <f>IFERROR(__xludf.DUMMYFUNCTION("""COMPUTED_VALUE"""),"CUE9A46,FAE3G59")</f>
        <v>CUE9A46,FAE3G59</v>
      </c>
      <c r="G7046" s="238">
        <f>IFERROR(__xludf.DUMMYFUNCTION("""COMPUTED_VALUE"""),46061.08333333333)</f>
        <v>46061.08333</v>
      </c>
      <c r="H7046" s="238">
        <f>IFERROR(__xludf.DUMMYFUNCTION("""COMPUTED_VALUE"""),46061.29166666667)</f>
        <v>46061.29167</v>
      </c>
      <c r="J7046" s="239">
        <v>299.0000000107102</v>
      </c>
    </row>
    <row r="7047">
      <c r="A7047" s="234"/>
      <c r="B7047" s="238" t="str">
        <f>IFERROR(__xludf.DUMMYFUNCTION("""COMPUTED_VALUE"""),"SoC_PE_Jaboatão dos Guararapes")</f>
        <v>SoC_PE_Jaboatão dos Guararapes</v>
      </c>
      <c r="C7047" s="238" t="str">
        <f>IFERROR(__xludf.DUMMYFUNCTION("""COMPUTED_VALUE"""),"SOC-PE2")</f>
        <v>SOC-PE2</v>
      </c>
      <c r="D7047" s="234">
        <f>IFERROR(__xludf.DUMMYFUNCTION("""COMPUTED_VALUE"""),99.0)</f>
        <v>99</v>
      </c>
      <c r="E7047" s="237" t="str">
        <f>IFERROR(__xludf.DUMMYFUNCTION("""COMPUTED_VALUE"""),"LT0Q2701Y18I1")</f>
        <v>LT0Q2701Y18I1</v>
      </c>
      <c r="F7047" s="238" t="str">
        <f>IFERROR(__xludf.DUMMYFUNCTION("""COMPUTED_VALUE"""),"QXM0F88,HMM4E77")</f>
        <v>QXM0F88,HMM4E77</v>
      </c>
      <c r="G7047" s="238">
        <f>IFERROR(__xludf.DUMMYFUNCTION("""COMPUTED_VALUE"""),46061.084027777775)</f>
        <v>46061.08403</v>
      </c>
      <c r="H7047" s="238">
        <f>IFERROR(__xludf.DUMMYFUNCTION("""COMPUTED_VALUE"""),46061.29166666667)</f>
        <v>46061.29167</v>
      </c>
      <c r="J7047" s="239">
        <v>299.0000000107102</v>
      </c>
    </row>
    <row r="7048">
      <c r="A7048" s="234"/>
      <c r="B7048" s="238" t="str">
        <f>IFERROR(__xludf.DUMMYFUNCTION("""COMPUTED_VALUE"""),"SoC_PE_Jaboatão dos Guararapes")</f>
        <v>SoC_PE_Jaboatão dos Guararapes</v>
      </c>
      <c r="C7048" s="238" t="str">
        <f>IFERROR(__xludf.DUMMYFUNCTION("""COMPUTED_VALUE"""),"SOC-PE2")</f>
        <v>SOC-PE2</v>
      </c>
      <c r="D7048" s="234"/>
      <c r="E7048" s="237" t="str">
        <f>IFERROR(__xludf.DUMMYFUNCTION("""COMPUTED_VALUE"""),"LT0Q2701Y18M3")</f>
        <v>LT0Q2701Y18M3</v>
      </c>
      <c r="F7048" s="238" t="str">
        <f>IFERROR(__xludf.DUMMYFUNCTION("""COMPUTED_VALUE"""),"TMJ6E46,UFU2E09")</f>
        <v>TMJ6E46,UFU2E09</v>
      </c>
      <c r="G7048" s="238">
        <f>IFERROR(__xludf.DUMMYFUNCTION("""COMPUTED_VALUE"""),46061.084027777775)</f>
        <v>46061.08403</v>
      </c>
      <c r="H7048" s="238">
        <f>IFERROR(__xludf.DUMMYFUNCTION("""COMPUTED_VALUE"""),46061.29166666667)</f>
        <v>46061.29167</v>
      </c>
      <c r="J7048" s="239">
        <v>299.0000000107102</v>
      </c>
    </row>
    <row r="7049">
      <c r="A7049" s="234"/>
      <c r="B7049" s="238" t="str">
        <f>IFERROR(__xludf.DUMMYFUNCTION("""COMPUTED_VALUE"""),"SoC_RJ_Duque de Caxias")</f>
        <v>SoC_RJ_Duque de Caxias</v>
      </c>
      <c r="C7049" s="238" t="str">
        <f>IFERROR(__xludf.DUMMYFUNCTION("""COMPUTED_VALUE"""),"SOC-RJ2")</f>
        <v>SOC-RJ2</v>
      </c>
      <c r="D7049" s="234">
        <f>IFERROR(__xludf.DUMMYFUNCTION("""COMPUTED_VALUE"""),97.0)</f>
        <v>97</v>
      </c>
      <c r="E7049" s="237" t="str">
        <f>IFERROR(__xludf.DUMMYFUNCTION("""COMPUTED_VALUE"""),"LT0Q2701XXXP1")</f>
        <v>LT0Q2701XXXP1</v>
      </c>
      <c r="F7049" s="238" t="str">
        <f>IFERROR(__xludf.DUMMYFUNCTION("""COMPUTED_VALUE"""),"NZI6J95,JMQ6G62")</f>
        <v>NZI6J95,JMQ6G62</v>
      </c>
      <c r="G7049" s="238">
        <f>IFERROR(__xludf.DUMMYFUNCTION("""COMPUTED_VALUE"""),46061.084027777775)</f>
        <v>46061.08403</v>
      </c>
      <c r="H7049" s="238">
        <f>IFERROR(__xludf.DUMMYFUNCTION("""COMPUTED_VALUE"""),46061.29166666667)</f>
        <v>46061.29167</v>
      </c>
      <c r="J7049" s="239">
        <v>299.0000000107102</v>
      </c>
    </row>
    <row r="7050">
      <c r="A7050" s="234"/>
      <c r="B7050" s="238" t="str">
        <f>IFERROR(__xludf.DUMMYFUNCTION("""COMPUTED_VALUE"""),"SoC_RJ_Duque de Caxias")</f>
        <v>SoC_RJ_Duque de Caxias</v>
      </c>
      <c r="C7050" s="238" t="str">
        <f>IFERROR(__xludf.DUMMYFUNCTION("""COMPUTED_VALUE"""),"SOC-RJ2")</f>
        <v>SOC-RJ2</v>
      </c>
      <c r="D7050" s="234"/>
      <c r="E7050" s="237" t="str">
        <f>IFERROR(__xludf.DUMMYFUNCTION("""COMPUTED_VALUE"""),"LT0Q2701XXXS3")</f>
        <v>LT0Q2701XXXS3</v>
      </c>
      <c r="F7050" s="238" t="str">
        <f>IFERROR(__xludf.DUMMYFUNCTION("""COMPUTED_VALUE"""),"TTP0I76,TTG6J01")</f>
        <v>TTP0I76,TTG6J01</v>
      </c>
      <c r="G7050" s="238">
        <f>IFERROR(__xludf.DUMMYFUNCTION("""COMPUTED_VALUE"""),46061.084027777775)</f>
        <v>46061.08403</v>
      </c>
      <c r="H7050" s="238">
        <f>IFERROR(__xludf.DUMMYFUNCTION("""COMPUTED_VALUE"""),46061.29166666667)</f>
        <v>46061.29167</v>
      </c>
      <c r="J7050" s="239">
        <v>299.0000000107102</v>
      </c>
    </row>
    <row r="7051">
      <c r="A7051" s="234"/>
      <c r="B7051" s="238" t="str">
        <f>IFERROR(__xludf.DUMMYFUNCTION("""COMPUTED_VALUE"""),"SoC_RS_Gravataí_02")</f>
        <v>SoC_RS_Gravataí_02</v>
      </c>
      <c r="C7051" s="238" t="str">
        <f>IFERROR(__xludf.DUMMYFUNCTION("""COMPUTED_VALUE"""),"SOC-RS2")</f>
        <v>SOC-RS2</v>
      </c>
      <c r="D7051" s="234"/>
      <c r="E7051" s="237" t="str">
        <f>IFERROR(__xludf.DUMMYFUNCTION("""COMPUTED_VALUE"""),"LT0Q2701Y1QG1")</f>
        <v>LT0Q2701Y1QG1</v>
      </c>
      <c r="F7051" s="238" t="str">
        <f>IFERROR(__xludf.DUMMYFUNCTION("""COMPUTED_VALUE"""),"NJU6B02,EVS9I72")</f>
        <v>NJU6B02,EVS9I72</v>
      </c>
      <c r="G7051" s="238">
        <f>IFERROR(__xludf.DUMMYFUNCTION("""COMPUTED_VALUE"""),46061.084027777775)</f>
        <v>46061.08403</v>
      </c>
      <c r="H7051" s="238">
        <f>IFERROR(__xludf.DUMMYFUNCTION("""COMPUTED_VALUE"""),46061.29166666667)</f>
        <v>46061.29167</v>
      </c>
      <c r="J7051" s="239">
        <v>296.0000000009313</v>
      </c>
    </row>
    <row r="7052">
      <c r="A7052" s="234"/>
      <c r="B7052" s="238" t="str">
        <f>IFERROR(__xludf.DUMMYFUNCTION("""COMPUTED_VALUE"""),"SoC_MG_Betim")</f>
        <v>SoC_MG_Betim</v>
      </c>
      <c r="C7052" s="238" t="str">
        <f>IFERROR(__xludf.DUMMYFUNCTION("""COMPUTED_VALUE"""),"SOC-MG2")</f>
        <v>SOC-MG2</v>
      </c>
      <c r="D7052" s="234">
        <f>IFERROR(__xludf.DUMMYFUNCTION("""COMPUTED_VALUE"""),91.0)</f>
        <v>91</v>
      </c>
      <c r="E7052" s="237" t="str">
        <f>IFERROR(__xludf.DUMMYFUNCTION("""COMPUTED_VALUE"""),"LT0Q2701XVTP1")</f>
        <v>LT0Q2701XVTP1</v>
      </c>
      <c r="F7052" s="238" t="str">
        <f>IFERROR(__xludf.DUMMYFUNCTION("""COMPUTED_VALUE"""),"HDI4A93,ATP5I13")</f>
        <v>HDI4A93,ATP5I13</v>
      </c>
      <c r="G7052" s="238">
        <f>IFERROR(__xludf.DUMMYFUNCTION("""COMPUTED_VALUE"""),46061.086111111115)</f>
        <v>46061.08611</v>
      </c>
      <c r="H7052" s="238">
        <f>IFERROR(__xludf.DUMMYFUNCTION("""COMPUTED_VALUE"""),46061.29166666667)</f>
        <v>46061.29167</v>
      </c>
      <c r="J7052" s="239">
        <v>296.0000000009313</v>
      </c>
    </row>
    <row r="7053">
      <c r="A7053" s="234"/>
      <c r="B7053" s="238" t="str">
        <f>IFERROR(__xludf.DUMMYFUNCTION("""COMPUTED_VALUE"""),"SoC_MG_Betim")</f>
        <v>SoC_MG_Betim</v>
      </c>
      <c r="C7053" s="238" t="str">
        <f>IFERROR(__xludf.DUMMYFUNCTION("""COMPUTED_VALUE"""),"SOC-MG2")</f>
        <v>SOC-MG2</v>
      </c>
      <c r="D7053" s="234"/>
      <c r="E7053" s="237" t="str">
        <f>IFERROR(__xludf.DUMMYFUNCTION("""COMPUTED_VALUE"""),"LT0Q2701XVTT3")</f>
        <v>LT0Q2701XVTT3</v>
      </c>
      <c r="F7053" s="238" t="str">
        <f>IFERROR(__xludf.DUMMYFUNCTION("""COMPUTED_VALUE"""),"SWX3E45,NXW0B60")</f>
        <v>SWX3E45,NXW0B60</v>
      </c>
      <c r="G7053" s="238">
        <f>IFERROR(__xludf.DUMMYFUNCTION("""COMPUTED_VALUE"""),46061.086111111115)</f>
        <v>46061.08611</v>
      </c>
      <c r="H7053" s="238">
        <f>IFERROR(__xludf.DUMMYFUNCTION("""COMPUTED_VALUE"""),46061.29166666667)</f>
        <v>46061.29167</v>
      </c>
      <c r="J7053" s="239">
        <v>296.0000000009313</v>
      </c>
    </row>
    <row r="7054">
      <c r="A7054" s="234"/>
      <c r="B7054" s="238" t="str">
        <f>IFERROR(__xludf.DUMMYFUNCTION("""COMPUTED_VALUE"""),"SoC_SP_Cravinhos")</f>
        <v>SoC_SP_Cravinhos</v>
      </c>
      <c r="C7054" s="238" t="str">
        <f>IFERROR(__xludf.DUMMYFUNCTION("""COMPUTED_VALUE"""),"SOC-SP5")</f>
        <v>SOC-SP5</v>
      </c>
      <c r="D7054" s="234">
        <f>IFERROR(__xludf.DUMMYFUNCTION("""COMPUTED_VALUE"""),95.0)</f>
        <v>95</v>
      </c>
      <c r="E7054" s="237" t="str">
        <f>IFERROR(__xludf.DUMMYFUNCTION("""COMPUTED_VALUE"""),"LT0Q2701XVVQ1")</f>
        <v>LT0Q2701XVVQ1</v>
      </c>
      <c r="F7054" s="238" t="str">
        <f>IFERROR(__xludf.DUMMYFUNCTION("""COMPUTED_VALUE"""),"IYG4J17,TQX7D00")</f>
        <v>IYG4J17,TQX7D00</v>
      </c>
      <c r="G7054" s="238">
        <f>IFERROR(__xludf.DUMMYFUNCTION("""COMPUTED_VALUE"""),46061.086111111115)</f>
        <v>46061.08611</v>
      </c>
      <c r="H7054" s="238">
        <f>IFERROR(__xludf.DUMMYFUNCTION("""COMPUTED_VALUE"""),46061.29166666667)</f>
        <v>46061.29167</v>
      </c>
      <c r="J7054" s="239">
        <v>180.0</v>
      </c>
    </row>
    <row r="7055">
      <c r="A7055" s="234"/>
      <c r="B7055" s="238" t="str">
        <f>IFERROR(__xludf.DUMMYFUNCTION("""COMPUTED_VALUE"""),"SoC_GO_Goiânia_02")</f>
        <v>SoC_GO_Goiânia_02</v>
      </c>
      <c r="C7055" s="238" t="str">
        <f>IFERROR(__xludf.DUMMYFUNCTION("""COMPUTED_VALUE"""),"SOC-GO2")</f>
        <v>SOC-GO2</v>
      </c>
      <c r="D7055" s="234">
        <f>IFERROR(__xludf.DUMMYFUNCTION("""COMPUTED_VALUE"""),86.0)</f>
        <v>86</v>
      </c>
      <c r="E7055" s="237" t="str">
        <f>IFERROR(__xludf.DUMMYFUNCTION("""COMPUTED_VALUE"""),"LT0Q2701Y1O83")</f>
        <v>LT0Q2701Y1O83</v>
      </c>
      <c r="F7055" s="238" t="str">
        <f>IFERROR(__xludf.DUMMYFUNCTION("""COMPUTED_VALUE"""),"PWA0I37,NWC3934")</f>
        <v>PWA0I37,NWC3934</v>
      </c>
      <c r="G7055" s="238">
        <f>IFERROR(__xludf.DUMMYFUNCTION("""COMPUTED_VALUE"""),46061.16666666667)</f>
        <v>46061.16667</v>
      </c>
      <c r="H7055" s="238">
        <f>IFERROR(__xludf.DUMMYFUNCTION("""COMPUTED_VALUE"""),46061.29166666667)</f>
        <v>46061.29167</v>
      </c>
      <c r="J7055" s="239">
        <v>176.00000000791624</v>
      </c>
    </row>
    <row r="7056">
      <c r="A7056" s="234"/>
      <c r="B7056" s="238" t="str">
        <f>IFERROR(__xludf.DUMMYFUNCTION("""COMPUTED_VALUE"""),"SoC_MG_Betim")</f>
        <v>SoC_MG_Betim</v>
      </c>
      <c r="C7056" s="238" t="str">
        <f>IFERROR(__xludf.DUMMYFUNCTION("""COMPUTED_VALUE"""),"SOC-MG2")</f>
        <v>SOC-MG2</v>
      </c>
      <c r="D7056" s="234">
        <f>IFERROR(__xludf.DUMMYFUNCTION("""COMPUTED_VALUE"""),91.0)</f>
        <v>91</v>
      </c>
      <c r="E7056" s="237" t="str">
        <f>IFERROR(__xludf.DUMMYFUNCTION("""COMPUTED_VALUE"""),"LT0Q2701XVTU4")</f>
        <v>LT0Q2701XVTU4</v>
      </c>
      <c r="F7056" s="238" t="str">
        <f>IFERROR(__xludf.DUMMYFUNCTION("""COMPUTED_VALUE"""),"ECZ9A86,TLK2F94")</f>
        <v>ECZ9A86,TLK2F94</v>
      </c>
      <c r="G7056" s="238">
        <f>IFERROR(__xludf.DUMMYFUNCTION("""COMPUTED_VALUE"""),46061.169444444444)</f>
        <v>46061.16944</v>
      </c>
      <c r="H7056" s="238">
        <f>IFERROR(__xludf.DUMMYFUNCTION("""COMPUTED_VALUE"""),46061.29166666667)</f>
        <v>46061.29167</v>
      </c>
      <c r="J7056" s="239">
        <v>540.0</v>
      </c>
    </row>
    <row r="7057">
      <c r="A7057" s="234"/>
      <c r="B7057" s="238" t="str">
        <f>IFERROR(__xludf.DUMMYFUNCTION("""COMPUTED_VALUE"""),"SoC_BA_Simoes Filho")</f>
        <v>SoC_BA_Simoes Filho</v>
      </c>
      <c r="C7057" s="238" t="str">
        <f>IFERROR(__xludf.DUMMYFUNCTION("""COMPUTED_VALUE"""),"SOC-BA2")</f>
        <v>SOC-BA2</v>
      </c>
      <c r="D7057" s="234">
        <f>IFERROR(__xludf.DUMMYFUNCTION("""COMPUTED_VALUE"""),88.0)</f>
        <v>88</v>
      </c>
      <c r="E7057" s="237" t="str">
        <f>IFERROR(__xludf.DUMMYFUNCTION("""COMPUTED_VALUE"""),"LT0Q2901YNG51")</f>
        <v>LT0Q2901YNG51</v>
      </c>
      <c r="F7057" s="238" t="str">
        <f>IFERROR(__xludf.DUMMYFUNCTION("""COMPUTED_VALUE"""),"OGX9D47,PQF7B93")</f>
        <v>OGX9D47,PQF7B93</v>
      </c>
      <c r="G7057" s="238">
        <f>IFERROR(__xludf.DUMMYFUNCTION("""COMPUTED_VALUE"""),46062.58333333333)</f>
        <v>46062.58333</v>
      </c>
      <c r="H7057" s="238">
        <f>IFERROR(__xludf.DUMMYFUNCTION("""COMPUTED_VALUE"""),46062.95833333333)</f>
        <v>46062.95833</v>
      </c>
      <c r="J7057" s="239">
        <v>540.0</v>
      </c>
    </row>
    <row r="7058">
      <c r="A7058" s="234"/>
      <c r="B7058" s="238" t="str">
        <f>IFERROR(__xludf.DUMMYFUNCTION("""COMPUTED_VALUE"""),"SoC_RS_Gravataí_02")</f>
        <v>SoC_RS_Gravataí_02</v>
      </c>
      <c r="C7058" s="238" t="str">
        <f>IFERROR(__xludf.DUMMYFUNCTION("""COMPUTED_VALUE"""),"SOC-RS2")</f>
        <v>SOC-RS2</v>
      </c>
      <c r="D7058" s="234">
        <f>IFERROR(__xludf.DUMMYFUNCTION("""COMPUTED_VALUE"""),93.0)</f>
        <v>93</v>
      </c>
      <c r="E7058" s="237" t="str">
        <f>IFERROR(__xludf.DUMMYFUNCTION("""COMPUTED_VALUE"""),"LT0Q2901YNSB1")</f>
        <v>LT0Q2901YNSB1</v>
      </c>
      <c r="F7058" s="238" t="str">
        <f>IFERROR(__xludf.DUMMYFUNCTION("""COMPUTED_VALUE"""),"CUZ0I03,SSY7F66")</f>
        <v>CUZ0I03,SSY7F66</v>
      </c>
      <c r="G7058" s="238">
        <f>IFERROR(__xludf.DUMMYFUNCTION("""COMPUTED_VALUE"""),46062.58333333333)</f>
        <v>46062.58333</v>
      </c>
      <c r="H7058" s="238">
        <f>IFERROR(__xludf.DUMMYFUNCTION("""COMPUTED_VALUE"""),46062.95833333333)</f>
        <v>46062.95833</v>
      </c>
      <c r="J7058" s="239">
        <v>540.0</v>
      </c>
    </row>
    <row r="7059">
      <c r="A7059" s="234"/>
      <c r="B7059" s="238" t="str">
        <f>IFERROR(__xludf.DUMMYFUNCTION("""COMPUTED_VALUE"""),"SoC_SC_Itajaí")</f>
        <v>SoC_SC_Itajaí</v>
      </c>
      <c r="C7059" s="238" t="str">
        <f>IFERROR(__xludf.DUMMYFUNCTION("""COMPUTED_VALUE"""),"SOC-SC1")</f>
        <v>SOC-SC1</v>
      </c>
      <c r="D7059" s="234">
        <f>IFERROR(__xludf.DUMMYFUNCTION("""COMPUTED_VALUE"""),100.0)</f>
        <v>100</v>
      </c>
      <c r="E7059" s="237" t="str">
        <f>IFERROR(__xludf.DUMMYFUNCTION("""COMPUTED_VALUE"""),"LT0Q2901YMN01")</f>
        <v>LT0Q2901YMN01</v>
      </c>
      <c r="F7059" s="238" t="str">
        <f>IFERROR(__xludf.DUMMYFUNCTION("""COMPUTED_VALUE"""),"TPU2G86,SXX8D97")</f>
        <v>TPU2G86,SXX8D97</v>
      </c>
      <c r="G7059" s="238">
        <f>IFERROR(__xludf.DUMMYFUNCTION("""COMPUTED_VALUE"""),46062.58333333333)</f>
        <v>46062.58333</v>
      </c>
      <c r="H7059" s="238">
        <f>IFERROR(__xludf.DUMMYFUNCTION("""COMPUTED_VALUE"""),46062.95833333333)</f>
        <v>46062.95833</v>
      </c>
      <c r="J7059" s="239">
        <v>540.0</v>
      </c>
    </row>
    <row r="7060">
      <c r="A7060" s="234"/>
      <c r="B7060" s="238" t="str">
        <f>IFERROR(__xludf.DUMMYFUNCTION("""COMPUTED_VALUE"""),"SoC_SP_Cravinhos")</f>
        <v>SoC_SP_Cravinhos</v>
      </c>
      <c r="C7060" s="238" t="str">
        <f>IFERROR(__xludf.DUMMYFUNCTION("""COMPUTED_VALUE"""),"SOC-SP5")</f>
        <v>SOC-SP5</v>
      </c>
      <c r="D7060" s="234">
        <f>IFERROR(__xludf.DUMMYFUNCTION("""COMPUTED_VALUE"""),95.0)</f>
        <v>95</v>
      </c>
      <c r="E7060" s="237" t="str">
        <f>IFERROR(__xludf.DUMMYFUNCTION("""COMPUTED_VALUE"""),"LT0Q2901YF831")</f>
        <v>LT0Q2901YF831</v>
      </c>
      <c r="F7060" s="238" t="str">
        <f>IFERROR(__xludf.DUMMYFUNCTION("""COMPUTED_VALUE"""),"AQT0E76,EJY3D08")</f>
        <v>AQT0E76,EJY3D08</v>
      </c>
      <c r="G7060" s="238">
        <f>IFERROR(__xludf.DUMMYFUNCTION("""COMPUTED_VALUE"""),46062.58333333333)</f>
        <v>46062.58333</v>
      </c>
      <c r="H7060" s="238">
        <f>IFERROR(__xludf.DUMMYFUNCTION("""COMPUTED_VALUE"""),46062.95833333333)</f>
        <v>46062.95833</v>
      </c>
      <c r="J7060" s="239">
        <v>119.99999999301508</v>
      </c>
    </row>
    <row r="7061">
      <c r="A7061" s="234"/>
      <c r="B7061" s="238" t="str">
        <f>IFERROR(__xludf.DUMMYFUNCTION("""COMPUTED_VALUE"""),"LM Hub_SP_Taubaté")</f>
        <v>LM Hub_SP_Taubaté</v>
      </c>
      <c r="C7061" s="238" t="str">
        <f>IFERROR(__xludf.DUMMYFUNCTION("""COMPUTED_VALUE"""),"HUB-LSP-08")</f>
        <v>HUB-LSP-08</v>
      </c>
      <c r="D7061" s="234">
        <f>IFERROR(__xludf.DUMMYFUNCTION("""COMPUTED_VALUE"""),48.0)</f>
        <v>48</v>
      </c>
      <c r="E7061" s="237" t="str">
        <f>IFERROR(__xludf.DUMMYFUNCTION("""COMPUTED_VALUE"""),"LT0Q2901YIZR1")</f>
        <v>LT0Q2901YIZR1</v>
      </c>
      <c r="F7061" s="238" t="str">
        <f>IFERROR(__xludf.DUMMYFUNCTION("""COMPUTED_VALUE"""),"CUE0H45,BSG0B75")</f>
        <v>CUE0H45,BSG0B75</v>
      </c>
      <c r="G7061" s="238">
        <f>IFERROR(__xludf.DUMMYFUNCTION("""COMPUTED_VALUE"""),46062.875)</f>
        <v>46062.875</v>
      </c>
      <c r="H7061" s="238">
        <f>IFERROR(__xludf.DUMMYFUNCTION("""COMPUTED_VALUE"""),46062.95833333333)</f>
        <v>46062.95833</v>
      </c>
      <c r="J7061" s="239">
        <v>120.00000001396984</v>
      </c>
    </row>
    <row r="7062">
      <c r="A7062" s="234"/>
      <c r="B7062" s="238" t="str">
        <f>IFERROR(__xludf.DUMMYFUNCTION("""COMPUTED_VALUE"""),"LM Hub_RJ_Jacarepaguá")</f>
        <v>LM Hub_RJ_Jacarepaguá</v>
      </c>
      <c r="C7062" s="238" t="str">
        <f>IFERROR(__xludf.DUMMYFUNCTION("""COMPUTED_VALUE"""),"HUB-LRJ-29")</f>
        <v>HUB-LRJ-29</v>
      </c>
      <c r="D7062" s="234"/>
      <c r="E7062" s="237" t="str">
        <f>IFERROR(__xludf.DUMMYFUNCTION("""COMPUTED_VALUE"""),"LT0Q2901YNM51")</f>
        <v>LT0Q2901YNM51</v>
      </c>
      <c r="F7062" s="238" t="str">
        <f>IFERROR(__xludf.DUMMYFUNCTION("""COMPUTED_VALUE"""),"HLD0E70,DTA4A60")</f>
        <v>HLD0E70,DTA4A60</v>
      </c>
      <c r="G7062" s="238">
        <f>IFERROR(__xludf.DUMMYFUNCTION("""COMPUTED_VALUE"""),46062.89583333333)</f>
        <v>46062.89583</v>
      </c>
      <c r="H7062" s="238">
        <f>IFERROR(__xludf.DUMMYFUNCTION("""COMPUTED_VALUE"""),46062.97916666667)</f>
        <v>46062.97917</v>
      </c>
      <c r="J7062" s="239">
        <v>118.99999998975545</v>
      </c>
    </row>
    <row r="7063">
      <c r="A7063" s="234"/>
      <c r="B7063" s="238" t="str">
        <f>IFERROR(__xludf.DUMMYFUNCTION("""COMPUTED_VALUE"""),"LM Hub_SP_Guarujá")</f>
        <v>LM Hub_SP_Guarujá</v>
      </c>
      <c r="C7063" s="238" t="str">
        <f>IFERROR(__xludf.DUMMYFUNCTION("""COMPUTED_VALUE"""),"HUB-LSP-06")</f>
        <v>HUB-LSP-06</v>
      </c>
      <c r="D7063" s="234">
        <f>IFERROR(__xludf.DUMMYFUNCTION("""COMPUTED_VALUE"""),32.0)</f>
        <v>32</v>
      </c>
      <c r="E7063" s="237" t="str">
        <f>IFERROR(__xludf.DUMMYFUNCTION("""COMPUTED_VALUE"""),"LT0Q2901YIZ61")</f>
        <v>LT0Q2901YIZ61</v>
      </c>
      <c r="F7063" s="238" t="str">
        <f>IFERROR(__xludf.DUMMYFUNCTION("""COMPUTED_VALUE"""),"UFB1B50")</f>
        <v>UFB1B50</v>
      </c>
      <c r="G7063" s="238">
        <f>IFERROR(__xludf.DUMMYFUNCTION("""COMPUTED_VALUE"""),46062.91666666667)</f>
        <v>46062.91667</v>
      </c>
      <c r="H7063" s="238">
        <f>IFERROR(__xludf.DUMMYFUNCTION("""COMPUTED_VALUE"""),46062.99930555555)</f>
        <v>46062.99931</v>
      </c>
      <c r="J7063" s="239">
        <v>119.99999999301508</v>
      </c>
    </row>
    <row r="7064">
      <c r="A7064" s="234"/>
      <c r="B7064" s="238" t="str">
        <f>IFERROR(__xludf.DUMMYFUNCTION("""COMPUTED_VALUE"""),"LM Hub_RS_Porto Alegre_Floresta")</f>
        <v>LM Hub_RS_Porto Alegre_Floresta</v>
      </c>
      <c r="C7064" s="238" t="str">
        <f>IFERROR(__xludf.DUMMYFUNCTION("""COMPUTED_VALUE"""),"HUB-LRS-03")</f>
        <v>HUB-LRS-03</v>
      </c>
      <c r="D7064" s="234">
        <f>IFERROR(__xludf.DUMMYFUNCTION("""COMPUTED_VALUE"""),115.0)</f>
        <v>115</v>
      </c>
      <c r="E7064" s="237" t="str">
        <f>IFERROR(__xludf.DUMMYFUNCTION("""COMPUTED_VALUE"""),"LT0Q2901YO6X1")</f>
        <v>LT0Q2901YO6X1</v>
      </c>
      <c r="F7064" s="238" t="str">
        <f>IFERROR(__xludf.DUMMYFUNCTION("""COMPUTED_VALUE"""),"FNR7G23")</f>
        <v>FNR7G23</v>
      </c>
      <c r="G7064" s="238">
        <f>IFERROR(__xludf.DUMMYFUNCTION("""COMPUTED_VALUE"""),46062.91666666667)</f>
        <v>46062.91667</v>
      </c>
      <c r="H7064" s="238">
        <f>IFERROR(__xludf.DUMMYFUNCTION("""COMPUTED_VALUE"""),46063.0)</f>
        <v>46063</v>
      </c>
      <c r="J7064" s="239">
        <v>119.99999999301508</v>
      </c>
    </row>
    <row r="7065">
      <c r="A7065" s="234"/>
      <c r="B7065" s="238" t="str">
        <f>IFERROR(__xludf.DUMMYFUNCTION("""COMPUTED_VALUE"""),"LM Hub_SP_Artur Alvim")</f>
        <v>LM Hub_SP_Artur Alvim</v>
      </c>
      <c r="C7065" s="238" t="str">
        <f>IFERROR(__xludf.DUMMYFUNCTION("""COMPUTED_VALUE"""),"HUB-LSP-07")</f>
        <v>HUB-LSP-07</v>
      </c>
      <c r="D7065" s="234">
        <f>IFERROR(__xludf.DUMMYFUNCTION("""COMPUTED_VALUE"""),19.0)</f>
        <v>19</v>
      </c>
      <c r="E7065" s="237" t="str">
        <f>IFERROR(__xludf.DUMMYFUNCTION("""COMPUTED_VALUE"""),"LT0Q2901YIWA1")</f>
        <v>LT0Q2901YIWA1</v>
      </c>
      <c r="F7065" s="238" t="str">
        <f>IFERROR(__xludf.DUMMYFUNCTION("""COMPUTED_VALUE"""),"OUV2G66,JMU8H37")</f>
        <v>OUV2G66,JMU8H37</v>
      </c>
      <c r="G7065" s="238">
        <f>IFERROR(__xludf.DUMMYFUNCTION("""COMPUTED_VALUE"""),46062.91666666667)</f>
        <v>46062.91667</v>
      </c>
      <c r="H7065" s="238">
        <f>IFERROR(__xludf.DUMMYFUNCTION("""COMPUTED_VALUE"""),46063.0)</f>
        <v>46063</v>
      </c>
      <c r="J7065" s="239">
        <v>119.99999999301508</v>
      </c>
    </row>
    <row r="7066">
      <c r="A7066" s="234"/>
      <c r="B7066" s="238" t="str">
        <f>IFERROR(__xludf.DUMMYFUNCTION("""COMPUTED_VALUE"""),"LM Hub_SP_Barueri_01")</f>
        <v>LM Hub_SP_Barueri_01</v>
      </c>
      <c r="C7066" s="238" t="str">
        <f>IFERROR(__xludf.DUMMYFUNCTION("""COMPUTED_VALUE"""),"HUB-LSP-81")</f>
        <v>HUB-LSP-81</v>
      </c>
      <c r="D7066" s="234">
        <f>IFERROR(__xludf.DUMMYFUNCTION("""COMPUTED_VALUE"""),28.0)</f>
        <v>28</v>
      </c>
      <c r="E7066" s="237" t="str">
        <f>IFERROR(__xludf.DUMMYFUNCTION("""COMPUTED_VALUE"""),"LT0Q2901YN6B1")</f>
        <v>LT0Q2901YN6B1</v>
      </c>
      <c r="F7066" s="238" t="str">
        <f>IFERROR(__xludf.DUMMYFUNCTION("""COMPUTED_VALUE"""),"UFL4C38,UDC4C00")</f>
        <v>UFL4C38,UDC4C00</v>
      </c>
      <c r="G7066" s="238">
        <f>IFERROR(__xludf.DUMMYFUNCTION("""COMPUTED_VALUE"""),46062.91666666667)</f>
        <v>46062.91667</v>
      </c>
      <c r="H7066" s="238">
        <f>IFERROR(__xludf.DUMMYFUNCTION("""COMPUTED_VALUE"""),46063.0)</f>
        <v>46063</v>
      </c>
      <c r="J7066" s="239">
        <v>119.99999999301508</v>
      </c>
    </row>
    <row r="7067">
      <c r="A7067" s="234"/>
      <c r="B7067" s="238" t="str">
        <f>IFERROR(__xludf.DUMMYFUNCTION("""COMPUTED_VALUE"""),"LM Hub_SP_Guarulhos")</f>
        <v>LM Hub_SP_Guarulhos</v>
      </c>
      <c r="C7067" s="238" t="str">
        <f>IFERROR(__xludf.DUMMYFUNCTION("""COMPUTED_VALUE"""),"HUB-LSP-77")</f>
        <v>HUB-LSP-77</v>
      </c>
      <c r="D7067" s="234">
        <f>IFERROR(__xludf.DUMMYFUNCTION("""COMPUTED_VALUE"""),17.0)</f>
        <v>17</v>
      </c>
      <c r="E7067" s="237" t="str">
        <f>IFERROR(__xludf.DUMMYFUNCTION("""COMPUTED_VALUE"""),"LT0Q2901YJL11")</f>
        <v>LT0Q2901YJL11</v>
      </c>
      <c r="F7067" s="238" t="str">
        <f>IFERROR(__xludf.DUMMYFUNCTION("""COMPUTED_VALUE"""),"IRW2J90,DPE5726")</f>
        <v>IRW2J90,DPE5726</v>
      </c>
      <c r="G7067" s="238">
        <f>IFERROR(__xludf.DUMMYFUNCTION("""COMPUTED_VALUE"""),46062.91666666667)</f>
        <v>46062.91667</v>
      </c>
      <c r="H7067" s="238">
        <f>IFERROR(__xludf.DUMMYFUNCTION("""COMPUTED_VALUE"""),46063.0)</f>
        <v>46063</v>
      </c>
      <c r="J7067" s="239">
        <v>119.99999999301508</v>
      </c>
    </row>
    <row r="7068">
      <c r="A7068" s="234"/>
      <c r="B7068" s="238" t="str">
        <f>IFERROR(__xludf.DUMMYFUNCTION("""COMPUTED_VALUE"""),"LM Hub_SP_Itapevi")</f>
        <v>LM Hub_SP_Itapevi</v>
      </c>
      <c r="C7068" s="238" t="str">
        <f>IFERROR(__xludf.DUMMYFUNCTION("""COMPUTED_VALUE"""),"HUB-LSP-41")</f>
        <v>HUB-LSP-41</v>
      </c>
      <c r="D7068" s="234">
        <f>IFERROR(__xludf.DUMMYFUNCTION("""COMPUTED_VALUE"""),13.0)</f>
        <v>13</v>
      </c>
      <c r="E7068" s="237" t="str">
        <f>IFERROR(__xludf.DUMMYFUNCTION("""COMPUTED_VALUE"""),"LT0Q2901YIXO1")</f>
        <v>LT0Q2901YIXO1</v>
      </c>
      <c r="F7068" s="238" t="str">
        <f>IFERROR(__xludf.DUMMYFUNCTION("""COMPUTED_VALUE"""),"BCS4J31,DJB0J76")</f>
        <v>BCS4J31,DJB0J76</v>
      </c>
      <c r="G7068" s="238">
        <f>IFERROR(__xludf.DUMMYFUNCTION("""COMPUTED_VALUE"""),46062.91666666667)</f>
        <v>46062.91667</v>
      </c>
      <c r="H7068" s="238">
        <f>IFERROR(__xludf.DUMMYFUNCTION("""COMPUTED_VALUE"""),46063.0)</f>
        <v>46063</v>
      </c>
      <c r="J7068" s="239">
        <v>119.99999999301508</v>
      </c>
    </row>
    <row r="7069">
      <c r="A7069" s="234"/>
      <c r="B7069" s="238" t="str">
        <f>IFERROR(__xludf.DUMMYFUNCTION("""COMPUTED_VALUE"""),"LM Hub_SP_Mauá")</f>
        <v>LM Hub_SP_Mauá</v>
      </c>
      <c r="C7069" s="238" t="str">
        <f>IFERROR(__xludf.DUMMYFUNCTION("""COMPUTED_VALUE"""),"HUB-LSP-64")</f>
        <v>HUB-LSP-64</v>
      </c>
      <c r="D7069" s="234">
        <f>IFERROR(__xludf.DUMMYFUNCTION("""COMPUTED_VALUE"""),39.0)</f>
        <v>39</v>
      </c>
      <c r="E7069" s="237" t="str">
        <f>IFERROR(__xludf.DUMMYFUNCTION("""COMPUTED_VALUE"""),"LT0Q2901YIY21")</f>
        <v>LT0Q2901YIY21</v>
      </c>
      <c r="F7069" s="238" t="str">
        <f>IFERROR(__xludf.DUMMYFUNCTION("""COMPUTED_VALUE"""),"FQF6B98,DTA7802")</f>
        <v>FQF6B98,DTA7802</v>
      </c>
      <c r="G7069" s="238">
        <f>IFERROR(__xludf.DUMMYFUNCTION("""COMPUTED_VALUE"""),46062.91666666667)</f>
        <v>46062.91667</v>
      </c>
      <c r="H7069" s="238">
        <f>IFERROR(__xludf.DUMMYFUNCTION("""COMPUTED_VALUE"""),46063.0)</f>
        <v>46063</v>
      </c>
      <c r="J7069" s="239">
        <v>119.99999999301508</v>
      </c>
    </row>
    <row r="7070">
      <c r="A7070" s="234"/>
      <c r="B7070" s="238" t="str">
        <f>IFERROR(__xludf.DUMMYFUNCTION("""COMPUTED_VALUE"""),"LM Hub_SP_São José do Rio P")</f>
        <v>LM Hub_SP_São José do Rio P</v>
      </c>
      <c r="C7070" s="238" t="str">
        <f>IFERROR(__xludf.DUMMYFUNCTION("""COMPUTED_VALUE"""),"HUB-LSP-27")</f>
        <v>HUB-LSP-27</v>
      </c>
      <c r="D7070" s="234">
        <f>IFERROR(__xludf.DUMMYFUNCTION("""COMPUTED_VALUE"""),117.0)</f>
        <v>117</v>
      </c>
      <c r="E7070" s="237" t="str">
        <f>IFERROR(__xludf.DUMMYFUNCTION("""COMPUTED_VALUE"""),"LT0Q2901YM6K1")</f>
        <v>LT0Q2901YM6K1</v>
      </c>
      <c r="F7070" s="238" t="str">
        <f>IFERROR(__xludf.DUMMYFUNCTION("""COMPUTED_VALUE"""),"FRD8E02")</f>
        <v>FRD8E02</v>
      </c>
      <c r="G7070" s="238">
        <f>IFERROR(__xludf.DUMMYFUNCTION("""COMPUTED_VALUE"""),46062.91666666667)</f>
        <v>46062.91667</v>
      </c>
      <c r="H7070" s="238">
        <f>IFERROR(__xludf.DUMMYFUNCTION("""COMPUTED_VALUE"""),46063.0)</f>
        <v>46063</v>
      </c>
      <c r="J7070" s="239">
        <v>119.00000000023283</v>
      </c>
    </row>
    <row r="7071">
      <c r="A7071" s="234"/>
      <c r="B7071" s="238" t="str">
        <f>IFERROR(__xludf.DUMMYFUNCTION("""COMPUTED_VALUE"""),"LM Hub_SP_Santo André")</f>
        <v>LM Hub_SP_Santo André</v>
      </c>
      <c r="C7071" s="238" t="str">
        <f>IFERROR(__xludf.DUMMYFUNCTION("""COMPUTED_VALUE"""),"HUB-LSP-93")</f>
        <v>HUB-LSP-93</v>
      </c>
      <c r="D7071" s="234"/>
      <c r="E7071" s="237" t="str">
        <f>IFERROR(__xludf.DUMMYFUNCTION("""COMPUTED_VALUE"""),"LT0Q2901YL0U1")</f>
        <v>LT0Q2901YL0U1</v>
      </c>
      <c r="F7071" s="238" t="str">
        <f>IFERROR(__xludf.DUMMYFUNCTION("""COMPUTED_VALUE"""),"LLM1I97,AOF6828")</f>
        <v>LLM1I97,AOF6828</v>
      </c>
      <c r="G7071" s="238">
        <f>IFERROR(__xludf.DUMMYFUNCTION("""COMPUTED_VALUE"""),46062.91736111111)</f>
        <v>46062.91736</v>
      </c>
      <c r="H7071" s="238">
        <f>IFERROR(__xludf.DUMMYFUNCTION("""COMPUTED_VALUE"""),46063.0)</f>
        <v>46063</v>
      </c>
      <c r="J7071" s="239">
        <v>119.99999999301508</v>
      </c>
    </row>
    <row r="7072">
      <c r="A7072" s="234"/>
      <c r="B7072" s="238" t="str">
        <f>IFERROR(__xludf.DUMMYFUNCTION("""COMPUTED_VALUE"""),"LM Hub_SP_Parque Novo Mundo")</f>
        <v>LM Hub_SP_Parque Novo Mundo</v>
      </c>
      <c r="C7072" s="238" t="str">
        <f>IFERROR(__xludf.DUMMYFUNCTION("""COMPUTED_VALUE"""),"HUB-LSP-89")</f>
        <v>HUB-LSP-89</v>
      </c>
      <c r="D7072" s="234">
        <f>IFERROR(__xludf.DUMMYFUNCTION("""COMPUTED_VALUE"""),12.0)</f>
        <v>12</v>
      </c>
      <c r="E7072" s="237" t="str">
        <f>IFERROR(__xludf.DUMMYFUNCTION("""COMPUTED_VALUE"""),"LT0Q2901YJRO1")</f>
        <v>LT0Q2901YJRO1</v>
      </c>
      <c r="F7072" s="238" t="str">
        <f>IFERROR(__xludf.DUMMYFUNCTION("""COMPUTED_VALUE"""),"FUF6H46,NVV7D82")</f>
        <v>FUF6H46,NVV7D82</v>
      </c>
      <c r="G7072" s="238">
        <f>IFERROR(__xludf.DUMMYFUNCTION("""COMPUTED_VALUE"""),46062.9375)</f>
        <v>46062.9375</v>
      </c>
      <c r="H7072" s="238">
        <f>IFERROR(__xludf.DUMMYFUNCTION("""COMPUTED_VALUE"""),46063.02083333333)</f>
        <v>46063.02083</v>
      </c>
      <c r="J7072" s="239">
        <v>119.99999999301508</v>
      </c>
    </row>
    <row r="7073">
      <c r="A7073" s="234"/>
      <c r="B7073" s="238" t="str">
        <f>IFERROR(__xludf.DUMMYFUNCTION("""COMPUTED_VALUE"""),"LM Hub_SP_Piracicaba")</f>
        <v>LM Hub_SP_Piracicaba</v>
      </c>
      <c r="C7073" s="238" t="str">
        <f>IFERROR(__xludf.DUMMYFUNCTION("""COMPUTED_VALUE"""),"HUB-LSP-62")</f>
        <v>HUB-LSP-62</v>
      </c>
      <c r="D7073" s="234">
        <f>IFERROR(__xludf.DUMMYFUNCTION("""COMPUTED_VALUE"""),22.0)</f>
        <v>22</v>
      </c>
      <c r="E7073" s="237" t="str">
        <f>IFERROR(__xludf.DUMMYFUNCTION("""COMPUTED_VALUE"""),"LT0Q2901YPQB1")</f>
        <v>LT0Q2901YPQB1</v>
      </c>
      <c r="F7073" s="238" t="str">
        <f>IFERROR(__xludf.DUMMYFUNCTION("""COMPUTED_VALUE"""),"EGB0G74,BKO8351")</f>
        <v>EGB0G74,BKO8351</v>
      </c>
      <c r="G7073" s="238">
        <f>IFERROR(__xludf.DUMMYFUNCTION("""COMPUTED_VALUE"""),46062.9375)</f>
        <v>46062.9375</v>
      </c>
      <c r="H7073" s="238">
        <f>IFERROR(__xludf.DUMMYFUNCTION("""COMPUTED_VALUE"""),46063.02083333333)</f>
        <v>46063.02083</v>
      </c>
      <c r="J7073" s="239">
        <v>119.99999999301508</v>
      </c>
    </row>
    <row r="7074">
      <c r="A7074" s="234"/>
      <c r="B7074" s="238" t="str">
        <f>IFERROR(__xludf.DUMMYFUNCTION("""COMPUTED_VALUE"""),"LM Hub_SP_São Paulo_Carandiru")</f>
        <v>LM Hub_SP_São Paulo_Carandiru</v>
      </c>
      <c r="C7074" s="238" t="str">
        <f>IFERROR(__xludf.DUMMYFUNCTION("""COMPUTED_VALUE"""),"HUB-LSP-18")</f>
        <v>HUB-LSP-18</v>
      </c>
      <c r="D7074" s="234">
        <f>IFERROR(__xludf.DUMMYFUNCTION("""COMPUTED_VALUE"""),18.0)</f>
        <v>18</v>
      </c>
      <c r="E7074" s="237" t="str">
        <f>IFERROR(__xludf.DUMMYFUNCTION("""COMPUTED_VALUE"""),"LT0Q2901YIXA1")</f>
        <v>LT0Q2901YIXA1</v>
      </c>
      <c r="F7074" s="238" t="str">
        <f>IFERROR(__xludf.DUMMYFUNCTION("""COMPUTED_VALUE"""),"NVO0561")</f>
        <v>NVO0561</v>
      </c>
      <c r="G7074" s="238">
        <f>IFERROR(__xludf.DUMMYFUNCTION("""COMPUTED_VALUE"""),46062.9375)</f>
        <v>46062.9375</v>
      </c>
      <c r="H7074" s="238">
        <f>IFERROR(__xludf.DUMMYFUNCTION("""COMPUTED_VALUE"""),46063.02083333333)</f>
        <v>46063.02083</v>
      </c>
      <c r="J7074" s="239">
        <v>119.99999999301508</v>
      </c>
    </row>
    <row r="7075">
      <c r="A7075" s="234"/>
      <c r="B7075" s="238" t="str">
        <f>IFERROR(__xludf.DUMMYFUNCTION("""COMPUTED_VALUE"""),"LM Hub_SP_Sorocaba_Região Norte")</f>
        <v>LM Hub_SP_Sorocaba_Região Norte</v>
      </c>
      <c r="C7075" s="238" t="str">
        <f>IFERROR(__xludf.DUMMYFUNCTION("""COMPUTED_VALUE"""),"HUB-LSP-10")</f>
        <v>HUB-LSP-10</v>
      </c>
      <c r="D7075" s="234">
        <f>IFERROR(__xludf.DUMMYFUNCTION("""COMPUTED_VALUE"""),29.0)</f>
        <v>29</v>
      </c>
      <c r="E7075" s="237" t="str">
        <f>IFERROR(__xludf.DUMMYFUNCTION("""COMPUTED_VALUE"""),"LT0Q2901YF9H1")</f>
        <v>LT0Q2901YF9H1</v>
      </c>
      <c r="F7075" s="238" t="str">
        <f>IFERROR(__xludf.DUMMYFUNCTION("""COMPUTED_VALUE"""),"FDZ3A56,KVS1392")</f>
        <v>FDZ3A56,KVS1392</v>
      </c>
      <c r="G7075" s="238">
        <f>IFERROR(__xludf.DUMMYFUNCTION("""COMPUTED_VALUE"""),46062.9375)</f>
        <v>46062.9375</v>
      </c>
      <c r="H7075" s="238">
        <f>IFERROR(__xludf.DUMMYFUNCTION("""COMPUTED_VALUE"""),46063.02083333333)</f>
        <v>46063.02083</v>
      </c>
      <c r="J7075" s="239">
        <v>119.99999999301508</v>
      </c>
    </row>
    <row r="7076">
      <c r="A7076" s="234"/>
      <c r="B7076" s="238" t="str">
        <f>IFERROR(__xludf.DUMMYFUNCTION("""COMPUTED_VALUE"""),"LM Hub_SP_VilaGuilherme")</f>
        <v>LM Hub_SP_VilaGuilherme</v>
      </c>
      <c r="C7076" s="238" t="str">
        <f>IFERROR(__xludf.DUMMYFUNCTION("""COMPUTED_VALUE"""),"HUB-LSP-68")</f>
        <v>HUB-LSP-68</v>
      </c>
      <c r="D7076" s="234">
        <f>IFERROR(__xludf.DUMMYFUNCTION("""COMPUTED_VALUE"""),33.0)</f>
        <v>33</v>
      </c>
      <c r="E7076" s="237" t="str">
        <f>IFERROR(__xludf.DUMMYFUNCTION("""COMPUTED_VALUE"""),"LT0Q2901YIY91")</f>
        <v>LT0Q2901YIY91</v>
      </c>
      <c r="F7076" s="238" t="str">
        <f>IFERROR(__xludf.DUMMYFUNCTION("""COMPUTED_VALUE"""),"GBP5G56,JMA4104")</f>
        <v>GBP5G56,JMA4104</v>
      </c>
      <c r="G7076" s="238">
        <f>IFERROR(__xludf.DUMMYFUNCTION("""COMPUTED_VALUE"""),46062.9375)</f>
        <v>46062.9375</v>
      </c>
      <c r="H7076" s="238">
        <f>IFERROR(__xludf.DUMMYFUNCTION("""COMPUTED_VALUE"""),46063.02083333333)</f>
        <v>46063.02083</v>
      </c>
      <c r="J7076" s="239">
        <v>120.00000001396984</v>
      </c>
    </row>
    <row r="7077">
      <c r="A7077" s="234"/>
      <c r="B7077" s="238" t="str">
        <f>IFERROR(__xludf.DUMMYFUNCTION("""COMPUTED_VALUE"""),"LM Hub_RJ_Nova Iguaçu")</f>
        <v>LM Hub_RJ_Nova Iguaçu</v>
      </c>
      <c r="C7077" s="238" t="str">
        <f>IFERROR(__xludf.DUMMYFUNCTION("""COMPUTED_VALUE"""),"HUB-LRJ-27")</f>
        <v>HUB-LRJ-27</v>
      </c>
      <c r="D7077" s="234">
        <f>IFERROR(__xludf.DUMMYFUNCTION("""COMPUTED_VALUE"""),110.0)</f>
        <v>110</v>
      </c>
      <c r="E7077" s="237" t="str">
        <f>IFERROR(__xludf.DUMMYFUNCTION("""COMPUTED_VALUE"""),"LT0Q2901YNMG1")</f>
        <v>LT0Q2901YNMG1</v>
      </c>
      <c r="F7077" s="238" t="str">
        <f>IFERROR(__xludf.DUMMYFUNCTION("""COMPUTED_VALUE"""),"TAK9C48")</f>
        <v>TAK9C48</v>
      </c>
      <c r="G7077" s="238">
        <f>IFERROR(__xludf.DUMMYFUNCTION("""COMPUTED_VALUE"""),46062.95833333333)</f>
        <v>46062.95833</v>
      </c>
      <c r="H7077" s="238">
        <f>IFERROR(__xludf.DUMMYFUNCTION("""COMPUTED_VALUE"""),46063.04166666667)</f>
        <v>46063.04167</v>
      </c>
      <c r="J7077" s="239">
        <v>120.00000001396984</v>
      </c>
    </row>
    <row r="7078">
      <c r="A7078" s="234"/>
      <c r="B7078" s="238" t="str">
        <f>IFERROR(__xludf.DUMMYFUNCTION("""COMPUTED_VALUE"""),"LM Hub_RJ_São João do Meriti")</f>
        <v>LM Hub_RJ_São João do Meriti</v>
      </c>
      <c r="C7078" s="238" t="str">
        <f>IFERROR(__xludf.DUMMYFUNCTION("""COMPUTED_VALUE"""),"HUB-LRJ-01")</f>
        <v>HUB-LRJ-01</v>
      </c>
      <c r="D7078" s="234">
        <f>IFERROR(__xludf.DUMMYFUNCTION("""COMPUTED_VALUE"""),116.0)</f>
        <v>116</v>
      </c>
      <c r="E7078" s="237" t="str">
        <f>IFERROR(__xludf.DUMMYFUNCTION("""COMPUTED_VALUE"""),"LT0Q2901YNNF1")</f>
        <v>LT0Q2901YNNF1</v>
      </c>
      <c r="F7078" s="238" t="str">
        <f>IFERROR(__xludf.DUMMYFUNCTION("""COMPUTED_VALUE"""),"CSK6J01")</f>
        <v>CSK6J01</v>
      </c>
      <c r="G7078" s="238">
        <f>IFERROR(__xludf.DUMMYFUNCTION("""COMPUTED_VALUE"""),46062.95833333333)</f>
        <v>46062.95833</v>
      </c>
      <c r="H7078" s="238">
        <f>IFERROR(__xludf.DUMMYFUNCTION("""COMPUTED_VALUE"""),46063.04166666667)</f>
        <v>46063.04167</v>
      </c>
      <c r="J7078" s="239">
        <v>120.00000001396984</v>
      </c>
    </row>
    <row r="7079">
      <c r="A7079" s="234"/>
      <c r="B7079" s="238" t="str">
        <f>IFERROR(__xludf.DUMMYFUNCTION("""COMPUTED_VALUE"""),"LM Hub_SP_Mogi Mirim")</f>
        <v>LM Hub_SP_Mogi Mirim</v>
      </c>
      <c r="C7079" s="238" t="str">
        <f>IFERROR(__xludf.DUMMYFUNCTION("""COMPUTED_VALUE"""),"HUB-LSP-37")</f>
        <v>HUB-LSP-37</v>
      </c>
      <c r="D7079" s="234">
        <f>IFERROR(__xludf.DUMMYFUNCTION("""COMPUTED_VALUE"""),21.0)</f>
        <v>21</v>
      </c>
      <c r="E7079" s="237" t="str">
        <f>IFERROR(__xludf.DUMMYFUNCTION("""COMPUTED_VALUE"""),"LT0Q2901YJ1E1")</f>
        <v>LT0Q2901YJ1E1</v>
      </c>
      <c r="F7079" s="238" t="str">
        <f>IFERROR(__xludf.DUMMYFUNCTION("""COMPUTED_VALUE"""),"BPQ9C21,RBB2B81")</f>
        <v>BPQ9C21,RBB2B81</v>
      </c>
      <c r="G7079" s="238">
        <f>IFERROR(__xludf.DUMMYFUNCTION("""COMPUTED_VALUE"""),46062.95833333333)</f>
        <v>46062.95833</v>
      </c>
      <c r="H7079" s="238">
        <f>IFERROR(__xludf.DUMMYFUNCTION("""COMPUTED_VALUE"""),46063.04166666667)</f>
        <v>46063.04167</v>
      </c>
      <c r="J7079" s="239">
        <v>119.99999999301508</v>
      </c>
    </row>
    <row r="7080">
      <c r="A7080" s="234"/>
      <c r="B7080" s="238" t="str">
        <f>IFERROR(__xludf.DUMMYFUNCTION("""COMPUTED_VALUE"""),"LM Hub_SP_Araraquara")</f>
        <v>LM Hub_SP_Araraquara</v>
      </c>
      <c r="C7080" s="238" t="str">
        <f>IFERROR(__xludf.DUMMYFUNCTION("""COMPUTED_VALUE"""),"HUB-LSP-29")</f>
        <v>HUB-LSP-29</v>
      </c>
      <c r="D7080" s="234">
        <f>IFERROR(__xludf.DUMMYFUNCTION("""COMPUTED_VALUE"""),16.0)</f>
        <v>16</v>
      </c>
      <c r="E7080" s="237" t="str">
        <f>IFERROR(__xludf.DUMMYFUNCTION("""COMPUTED_VALUE"""),"LT0Q2901YJ1K1")</f>
        <v>LT0Q2901YJ1K1</v>
      </c>
      <c r="F7080" s="238" t="str">
        <f>IFERROR(__xludf.DUMMYFUNCTION("""COMPUTED_VALUE"""),"ISQ7F01,ANM9G89")</f>
        <v>ISQ7F01,ANM9G89</v>
      </c>
      <c r="G7080" s="238">
        <f>IFERROR(__xludf.DUMMYFUNCTION("""COMPUTED_VALUE"""),46062.97916666667)</f>
        <v>46062.97917</v>
      </c>
      <c r="H7080" s="238">
        <f>IFERROR(__xludf.DUMMYFUNCTION("""COMPUTED_VALUE"""),46063.0625)</f>
        <v>46063.0625</v>
      </c>
      <c r="J7080" s="239">
        <v>119.99999999301508</v>
      </c>
    </row>
    <row r="7081">
      <c r="A7081" s="234"/>
      <c r="B7081" s="238" t="str">
        <f>IFERROR(__xludf.DUMMYFUNCTION("""COMPUTED_VALUE"""),"LM Hub_SP_Atibaia_Ponte_Alta")</f>
        <v>LM Hub_SP_Atibaia_Ponte_Alta</v>
      </c>
      <c r="C7081" s="238" t="str">
        <f>IFERROR(__xludf.DUMMYFUNCTION("""COMPUTED_VALUE"""),"HUB-LSP-87")</f>
        <v>HUB-LSP-87</v>
      </c>
      <c r="D7081" s="234">
        <f>IFERROR(__xludf.DUMMYFUNCTION("""COMPUTED_VALUE"""),32.0)</f>
        <v>32</v>
      </c>
      <c r="E7081" s="237" t="str">
        <f>IFERROR(__xludf.DUMMYFUNCTION("""COMPUTED_VALUE"""),"LT0Q2901YM2F1")</f>
        <v>LT0Q2901YM2F1</v>
      </c>
      <c r="F7081" s="238" t="str">
        <f>IFERROR(__xludf.DUMMYFUNCTION("""COMPUTED_VALUE"""),"EOD6F41,TKI1B59")</f>
        <v>EOD6F41,TKI1B59</v>
      </c>
      <c r="G7081" s="238">
        <f>IFERROR(__xludf.DUMMYFUNCTION("""COMPUTED_VALUE"""),46062.97916666667)</f>
        <v>46062.97917</v>
      </c>
      <c r="H7081" s="238">
        <f>IFERROR(__xludf.DUMMYFUNCTION("""COMPUTED_VALUE"""),46063.0625)</f>
        <v>46063.0625</v>
      </c>
      <c r="J7081" s="239">
        <v>119.99999999301508</v>
      </c>
    </row>
    <row r="7082">
      <c r="A7082" s="234"/>
      <c r="B7082" s="238" t="str">
        <f>IFERROR(__xludf.DUMMYFUNCTION("""COMPUTED_VALUE"""),"LM Hub_SP_Várzea Paulista")</f>
        <v>LM Hub_SP_Várzea Paulista</v>
      </c>
      <c r="C7082" s="238" t="str">
        <f>IFERROR(__xludf.DUMMYFUNCTION("""COMPUTED_VALUE"""),"HUB-LSP-20")</f>
        <v>HUB-LSP-20</v>
      </c>
      <c r="D7082" s="234">
        <f>IFERROR(__xludf.DUMMYFUNCTION("""COMPUTED_VALUE"""),23.0)</f>
        <v>23</v>
      </c>
      <c r="E7082" s="237" t="str">
        <f>IFERROR(__xludf.DUMMYFUNCTION("""COMPUTED_VALUE"""),"LT0Q2901YJ201")</f>
        <v>LT0Q2901YJ201</v>
      </c>
      <c r="F7082" s="238" t="str">
        <f>IFERROR(__xludf.DUMMYFUNCTION("""COMPUTED_VALUE"""),"RJG8E37,FCG5D30")</f>
        <v>RJG8E37,FCG5D30</v>
      </c>
      <c r="G7082" s="238">
        <f>IFERROR(__xludf.DUMMYFUNCTION("""COMPUTED_VALUE"""),46062.97916666667)</f>
        <v>46062.97917</v>
      </c>
      <c r="H7082" s="238">
        <f>IFERROR(__xludf.DUMMYFUNCTION("""COMPUTED_VALUE"""),46063.0625)</f>
        <v>46063.0625</v>
      </c>
      <c r="J7082" s="239">
        <v>119.99999999301508</v>
      </c>
    </row>
    <row r="7083">
      <c r="A7083" s="234"/>
      <c r="B7083" s="238" t="str">
        <f>IFERROR(__xludf.DUMMYFUNCTION("""COMPUTED_VALUE"""),"LM Hub_RJ_Ilha do Governador")</f>
        <v>LM Hub_RJ_Ilha do Governador</v>
      </c>
      <c r="C7083" s="238" t="str">
        <f>IFERROR(__xludf.DUMMYFUNCTION("""COMPUTED_VALUE"""),"HUB-LRJ-32")</f>
        <v>HUB-LRJ-32</v>
      </c>
      <c r="D7083" s="234">
        <f>IFERROR(__xludf.DUMMYFUNCTION("""COMPUTED_VALUE"""),113.0)</f>
        <v>113</v>
      </c>
      <c r="E7083" s="237" t="str">
        <f>IFERROR(__xludf.DUMMYFUNCTION("""COMPUTED_VALUE"""),"LT0Q2A01YNMW1")</f>
        <v>LT0Q2A01YNMW1</v>
      </c>
      <c r="F7083" s="238" t="str">
        <f>IFERROR(__xludf.DUMMYFUNCTION("""COMPUTED_VALUE"""),"SHY4B72")</f>
        <v>SHY4B72</v>
      </c>
      <c r="G7083" s="238">
        <f>IFERROR(__xludf.DUMMYFUNCTION("""COMPUTED_VALUE"""),46063.0)</f>
        <v>46063</v>
      </c>
      <c r="H7083" s="238">
        <f>IFERROR(__xludf.DUMMYFUNCTION("""COMPUTED_VALUE"""),46063.08333333333)</f>
        <v>46063.08333</v>
      </c>
      <c r="J7083" s="239">
        <v>119.99999999301508</v>
      </c>
    </row>
    <row r="7084">
      <c r="A7084" s="234"/>
      <c r="B7084" s="238" t="str">
        <f>IFERROR(__xludf.DUMMYFUNCTION("""COMPUTED_VALUE"""),"SoC_PR_Curitiba")</f>
        <v>SoC_PR_Curitiba</v>
      </c>
      <c r="C7084" s="238" t="str">
        <f>IFERROR(__xludf.DUMMYFUNCTION("""COMPUTED_VALUE"""),"SOC-PR1")</f>
        <v>SOC-PR1</v>
      </c>
      <c r="D7084" s="234">
        <f>IFERROR(__xludf.DUMMYFUNCTION("""COMPUTED_VALUE"""),43.0)</f>
        <v>43</v>
      </c>
      <c r="E7084" s="237" t="str">
        <f>IFERROR(__xludf.DUMMYFUNCTION("""COMPUTED_VALUE"""),"LT0Q2A01YIU31")</f>
        <v>LT0Q2A01YIU31</v>
      </c>
      <c r="F7084" s="238" t="str">
        <f>IFERROR(__xludf.DUMMYFUNCTION("""COMPUTED_VALUE"""),"FQJ8B01,UGV7H67")</f>
        <v>FQJ8B01,UGV7H67</v>
      </c>
      <c r="G7084" s="238">
        <f>IFERROR(__xludf.DUMMYFUNCTION("""COMPUTED_VALUE"""),46063.0)</f>
        <v>46063</v>
      </c>
      <c r="H7084" s="238">
        <f>IFERROR(__xludf.DUMMYFUNCTION("""COMPUTED_VALUE"""),46063.08333333333)</f>
        <v>46063.08333</v>
      </c>
      <c r="J7084" s="239">
        <v>119.99999999301508</v>
      </c>
    </row>
    <row r="7085">
      <c r="A7085" s="234"/>
      <c r="B7085" s="238" t="str">
        <f>IFERROR(__xludf.DUMMYFUNCTION("""COMPUTED_VALUE"""),"SoC_SP_Louveira")</f>
        <v>SoC_SP_Louveira</v>
      </c>
      <c r="C7085" s="238" t="str">
        <f>IFERROR(__xludf.DUMMYFUNCTION("""COMPUTED_VALUE"""),"SOC-SP7")</f>
        <v>SOC-SP7</v>
      </c>
      <c r="D7085" s="234">
        <f>IFERROR(__xludf.DUMMYFUNCTION("""COMPUTED_VALUE"""),38.0)</f>
        <v>38</v>
      </c>
      <c r="E7085" s="237" t="str">
        <f>IFERROR(__xludf.DUMMYFUNCTION("""COMPUTED_VALUE"""),"LT0Q2A01YIVQ1")</f>
        <v>LT0Q2A01YIVQ1</v>
      </c>
      <c r="F7085" s="238" t="str">
        <f>IFERROR(__xludf.DUMMYFUNCTION("""COMPUTED_VALUE"""),"FNZ5B43,RYV2F39")</f>
        <v>FNZ5B43,RYV2F39</v>
      </c>
      <c r="G7085" s="238">
        <f>IFERROR(__xludf.DUMMYFUNCTION("""COMPUTED_VALUE"""),46063.0)</f>
        <v>46063</v>
      </c>
      <c r="H7085" s="238">
        <f>IFERROR(__xludf.DUMMYFUNCTION("""COMPUTED_VALUE"""),46063.08333333333)</f>
        <v>46063.08333</v>
      </c>
      <c r="J7085" s="239">
        <v>59.99999998603016</v>
      </c>
    </row>
    <row r="7086">
      <c r="A7086" s="234"/>
      <c r="B7086" s="238" t="str">
        <f>IFERROR(__xludf.DUMMYFUNCTION("""COMPUTED_VALUE"""),"LM Hub_SP_Tatuí")</f>
        <v>LM Hub_SP_Tatuí</v>
      </c>
      <c r="C7086" s="238" t="str">
        <f>IFERROR(__xludf.DUMMYFUNCTION("""COMPUTED_VALUE"""),"HUB-LSP-51")</f>
        <v>HUB-LSP-51</v>
      </c>
      <c r="D7086" s="234">
        <f>IFERROR(__xludf.DUMMYFUNCTION("""COMPUTED_VALUE"""),34.0)</f>
        <v>34</v>
      </c>
      <c r="E7086" s="237" t="str">
        <f>IFERROR(__xludf.DUMMYFUNCTION("""COMPUTED_VALUE"""),"LT0Q2A01YIYL1")</f>
        <v>LT0Q2A01YIYL1</v>
      </c>
      <c r="F7086" s="238" t="str">
        <f>IFERROR(__xludf.DUMMYFUNCTION("""COMPUTED_VALUE"""),"TAJ5D50")</f>
        <v>TAJ5D50</v>
      </c>
      <c r="G7086" s="238">
        <f>IFERROR(__xludf.DUMMYFUNCTION("""COMPUTED_VALUE"""),46063.04166666667)</f>
        <v>46063.04167</v>
      </c>
      <c r="H7086" s="238">
        <f>IFERROR(__xludf.DUMMYFUNCTION("""COMPUTED_VALUE"""),46063.08333333333)</f>
        <v>46063.08333</v>
      </c>
      <c r="J7086" s="239">
        <v>59.99999999650754</v>
      </c>
    </row>
    <row r="7087">
      <c r="A7087" s="234"/>
      <c r="B7087" s="238" t="str">
        <f>IFERROR(__xludf.DUMMYFUNCTION("""COMPUTED_VALUE"""),"SoC_MG_Betim")</f>
        <v>SoC_MG_Betim</v>
      </c>
      <c r="C7087" s="238" t="str">
        <f>IFERROR(__xludf.DUMMYFUNCTION("""COMPUTED_VALUE"""),"SOC-MG2")</f>
        <v>SOC-MG2</v>
      </c>
      <c r="D7087" s="234">
        <f>IFERROR(__xludf.DUMMYFUNCTION("""COMPUTED_VALUE"""),91.0)</f>
        <v>91</v>
      </c>
      <c r="E7087" s="237" t="str">
        <f>IFERROR(__xludf.DUMMYFUNCTION("""COMPUTED_VALUE"""),"LT1Q2A01YU4R1")</f>
        <v>LT1Q2A01YU4R1</v>
      </c>
      <c r="F7087" s="238" t="str">
        <f>IFERROR(__xludf.DUMMYFUNCTION("""COMPUTED_VALUE"""),"AVT7H53")</f>
        <v>AVT7H53</v>
      </c>
      <c r="G7087" s="238">
        <f>IFERROR(__xludf.DUMMYFUNCTION("""COMPUTED_VALUE"""),46063.055555555555)</f>
        <v>46063.05556</v>
      </c>
      <c r="H7087" s="238">
        <f>IFERROR(__xludf.DUMMYFUNCTION("""COMPUTED_VALUE"""),46063.09722222222)</f>
        <v>46063.09722</v>
      </c>
      <c r="J7087" s="239">
        <v>120.00000001396984</v>
      </c>
    </row>
    <row r="7088">
      <c r="A7088" s="234"/>
      <c r="B7088" s="238" t="str">
        <f>IFERROR(__xludf.DUMMYFUNCTION("""COMPUTED_VALUE"""),"LM Hub_MG_Varginha_Fausto")</f>
        <v>LM Hub_MG_Varginha_Fausto</v>
      </c>
      <c r="C7088" s="238" t="str">
        <f>IFERROR(__xludf.DUMMYFUNCTION("""COMPUTED_VALUE"""),"HUB-LMG-45")</f>
        <v>HUB-LMG-45</v>
      </c>
      <c r="D7088" s="234">
        <f>IFERROR(__xludf.DUMMYFUNCTION("""COMPUTED_VALUE"""),114.0)</f>
        <v>114</v>
      </c>
      <c r="E7088" s="237" t="str">
        <f>IFERROR(__xludf.DUMMYFUNCTION("""COMPUTED_VALUE"""),"LT0Q2A01YN5U1")</f>
        <v>LT0Q2A01YN5U1</v>
      </c>
      <c r="F7088" s="238" t="str">
        <f>IFERROR(__xludf.DUMMYFUNCTION("""COMPUTED_VALUE"""),"GGT7B46")</f>
        <v>GGT7B46</v>
      </c>
      <c r="G7088" s="238">
        <f>IFERROR(__xludf.DUMMYFUNCTION("""COMPUTED_VALUE"""),46063.02083333333)</f>
        <v>46063.02083</v>
      </c>
      <c r="H7088" s="238">
        <f>IFERROR(__xludf.DUMMYFUNCTION("""COMPUTED_VALUE"""),46063.10416666667)</f>
        <v>46063.10417</v>
      </c>
      <c r="J7088" s="239">
        <v>120.00000001396984</v>
      </c>
    </row>
    <row r="7089">
      <c r="A7089" s="234"/>
      <c r="B7089" s="238" t="str">
        <f>IFERROR(__xludf.DUMMYFUNCTION("""COMPUTED_VALUE"""),"SoC_MG_Betim")</f>
        <v>SoC_MG_Betim</v>
      </c>
      <c r="C7089" s="238" t="str">
        <f>IFERROR(__xludf.DUMMYFUNCTION("""COMPUTED_VALUE"""),"SOC-MG2")</f>
        <v>SOC-MG2</v>
      </c>
      <c r="D7089" s="234">
        <f>IFERROR(__xludf.DUMMYFUNCTION("""COMPUTED_VALUE"""),90.0)</f>
        <v>90</v>
      </c>
      <c r="E7089" s="237" t="str">
        <f>IFERROR(__xludf.DUMMYFUNCTION("""COMPUTED_VALUE"""),"LT1Q2A01YU4S1")</f>
        <v>LT1Q2A01YU4S1</v>
      </c>
      <c r="F7089" s="238" t="str">
        <f>IFERROR(__xludf.DUMMYFUNCTION("""COMPUTED_VALUE"""),"CNQ9G84,DAJ1A32")</f>
        <v>CNQ9G84,DAJ1A32</v>
      </c>
      <c r="G7089" s="238">
        <f>IFERROR(__xludf.DUMMYFUNCTION("""COMPUTED_VALUE"""),46063.08333333333)</f>
        <v>46063.08333</v>
      </c>
      <c r="H7089" s="238">
        <f>IFERROR(__xludf.DUMMYFUNCTION("""COMPUTED_VALUE"""),46063.16666666667)</f>
        <v>46063.16667</v>
      </c>
      <c r="J7089" s="239">
        <v>120.00000001396984</v>
      </c>
    </row>
    <row r="7090">
      <c r="A7090" s="234"/>
      <c r="B7090" s="238" t="str">
        <f>IFERROR(__xludf.DUMMYFUNCTION("""COMPUTED_VALUE"""),"SoC_SP_Louveira")</f>
        <v>SoC_SP_Louveira</v>
      </c>
      <c r="C7090" s="238" t="str">
        <f>IFERROR(__xludf.DUMMYFUNCTION("""COMPUTED_VALUE"""),"SOC-SP7")</f>
        <v>SOC-SP7</v>
      </c>
      <c r="D7090" s="234">
        <f>IFERROR(__xludf.DUMMYFUNCTION("""COMPUTED_VALUE"""),39.0)</f>
        <v>39</v>
      </c>
      <c r="E7090" s="237" t="str">
        <f>IFERROR(__xludf.DUMMYFUNCTION("""COMPUTED_VALUE"""),"LT1Q2A01YTG31")</f>
        <v>LT1Q2A01YTG31</v>
      </c>
      <c r="F7090" s="238" t="str">
        <f>IFERROR(__xludf.DUMMYFUNCTION("""COMPUTED_VALUE"""),"DPE9J20,LCG1A86")</f>
        <v>DPE9J20,LCG1A86</v>
      </c>
      <c r="G7090" s="238">
        <f>IFERROR(__xludf.DUMMYFUNCTION("""COMPUTED_VALUE"""),46063.08333333333)</f>
        <v>46063.08333</v>
      </c>
      <c r="H7090" s="238">
        <f>IFERROR(__xludf.DUMMYFUNCTION("""COMPUTED_VALUE"""),46063.16666666667)</f>
        <v>46063.16667</v>
      </c>
      <c r="J7090" s="239">
        <v>119.99999999301508</v>
      </c>
    </row>
    <row r="7091">
      <c r="A7091" s="234"/>
      <c r="B7091" s="238" t="str">
        <f>IFERROR(__xludf.DUMMYFUNCTION("""COMPUTED_VALUE"""),"LM Hub_SP_Campinas_PqCidade")</f>
        <v>LM Hub_SP_Campinas_PqCidade</v>
      </c>
      <c r="C7091" s="238" t="str">
        <f>IFERROR(__xludf.DUMMYFUNCTION("""COMPUTED_VALUE"""),"HUB-LSP-105")</f>
        <v>HUB-LSP-105</v>
      </c>
      <c r="D7091" s="234">
        <f>IFERROR(__xludf.DUMMYFUNCTION("""COMPUTED_VALUE"""),112.0)</f>
        <v>112</v>
      </c>
      <c r="E7091" s="237" t="str">
        <f>IFERROR(__xludf.DUMMYFUNCTION("""COMPUTED_VALUE"""),"LT0Q2A01YPX21")</f>
        <v>LT0Q2A01YPX21</v>
      </c>
      <c r="F7091" s="238" t="str">
        <f>IFERROR(__xludf.DUMMYFUNCTION("""COMPUTED_VALUE"""),"GCJ6G71")</f>
        <v>GCJ6G71</v>
      </c>
      <c r="G7091" s="238">
        <f>IFERROR(__xludf.DUMMYFUNCTION("""COMPUTED_VALUE"""),46063.10416666667)</f>
        <v>46063.10417</v>
      </c>
      <c r="H7091" s="238">
        <f>IFERROR(__xludf.DUMMYFUNCTION("""COMPUTED_VALUE"""),46063.1875)</f>
        <v>46063.1875</v>
      </c>
      <c r="J7091" s="239">
        <v>119.99999999301508</v>
      </c>
    </row>
    <row r="7092">
      <c r="A7092" s="234"/>
      <c r="B7092" s="238" t="str">
        <f>IFERROR(__xludf.DUMMYFUNCTION("""COMPUTED_VALUE"""),"LM Hub_SP_Itapetininga")</f>
        <v>LM Hub_SP_Itapetininga</v>
      </c>
      <c r="C7092" s="238" t="str">
        <f>IFERROR(__xludf.DUMMYFUNCTION("""COMPUTED_VALUE"""),"HUB-LSP-53")</f>
        <v>HUB-LSP-53</v>
      </c>
      <c r="D7092" s="234">
        <f>IFERROR(__xludf.DUMMYFUNCTION("""COMPUTED_VALUE"""),37.0)</f>
        <v>37</v>
      </c>
      <c r="E7092" s="237" t="str">
        <f>IFERROR(__xludf.DUMMYFUNCTION("""COMPUTED_VALUE"""),"LT0Q2A01YIYF1")</f>
        <v>LT0Q2A01YIYF1</v>
      </c>
      <c r="F7092" s="238" t="str">
        <f>IFERROR(__xludf.DUMMYFUNCTION("""COMPUTED_VALUE"""),"FZY3F48")</f>
        <v>FZY3F48</v>
      </c>
      <c r="G7092" s="238">
        <f>IFERROR(__xludf.DUMMYFUNCTION("""COMPUTED_VALUE"""),46063.10416666667)</f>
        <v>46063.10417</v>
      </c>
      <c r="H7092" s="238">
        <f>IFERROR(__xludf.DUMMYFUNCTION("""COMPUTED_VALUE"""),46063.1875)</f>
        <v>46063.1875</v>
      </c>
      <c r="J7092" s="239">
        <v>119.99999999301508</v>
      </c>
    </row>
    <row r="7093">
      <c r="A7093" s="234"/>
      <c r="B7093" s="238" t="str">
        <f>IFERROR(__xludf.DUMMYFUNCTION("""COMPUTED_VALUE"""),"LM Hub_SP_São Carlos")</f>
        <v>LM Hub_SP_São Carlos</v>
      </c>
      <c r="C7093" s="238" t="str">
        <f>IFERROR(__xludf.DUMMYFUNCTION("""COMPUTED_VALUE"""),"HUB-LSP-31")</f>
        <v>HUB-LSP-31</v>
      </c>
      <c r="D7093" s="234">
        <f>IFERROR(__xludf.DUMMYFUNCTION("""COMPUTED_VALUE"""),33.0)</f>
        <v>33</v>
      </c>
      <c r="E7093" s="237" t="str">
        <f>IFERROR(__xludf.DUMMYFUNCTION("""COMPUTED_VALUE"""),"LT0Q2A01YJ0W1")</f>
        <v>LT0Q2A01YJ0W1</v>
      </c>
      <c r="F7093" s="238" t="str">
        <f>IFERROR(__xludf.DUMMYFUNCTION("""COMPUTED_VALUE"""),"OMS0F06")</f>
        <v>OMS0F06</v>
      </c>
      <c r="G7093" s="238">
        <f>IFERROR(__xludf.DUMMYFUNCTION("""COMPUTED_VALUE"""),46063.10416666667)</f>
        <v>46063.10417</v>
      </c>
      <c r="H7093" s="238">
        <f>IFERROR(__xludf.DUMMYFUNCTION("""COMPUTED_VALUE"""),46063.1875)</f>
        <v>46063.1875</v>
      </c>
      <c r="J7093" s="239">
        <v>540.0</v>
      </c>
    </row>
    <row r="7094">
      <c r="A7094" s="234"/>
      <c r="B7094" s="238" t="str">
        <f>IFERROR(__xludf.DUMMYFUNCTION("""COMPUTED_VALUE"""),"SoC_GO_Goiânia_02")</f>
        <v>SoC_GO_Goiânia_02</v>
      </c>
      <c r="C7094" s="238" t="str">
        <f>IFERROR(__xludf.DUMMYFUNCTION("""COMPUTED_VALUE"""),"SOC-GO2")</f>
        <v>SOC-GO2</v>
      </c>
      <c r="D7094" s="234">
        <f>IFERROR(__xludf.DUMMYFUNCTION("""COMPUTED_VALUE"""),86.0)</f>
        <v>86</v>
      </c>
      <c r="E7094" s="237" t="str">
        <f>IFERROR(__xludf.DUMMYFUNCTION("""COMPUTED_VALUE"""),"LT1Q2901YTGF1")</f>
        <v>LT1Q2901YTGF1</v>
      </c>
      <c r="F7094" s="238" t="str">
        <f>IFERROR(__xludf.DUMMYFUNCTION("""COMPUTED_VALUE"""),"MJE9C81,MID5968")</f>
        <v>MJE9C81,MID5968</v>
      </c>
      <c r="G7094" s="238">
        <f>IFERROR(__xludf.DUMMYFUNCTION("""COMPUTED_VALUE"""),46062.83333333333)</f>
        <v>46062.83333</v>
      </c>
      <c r="H7094" s="238">
        <f>IFERROR(__xludf.DUMMYFUNCTION("""COMPUTED_VALUE"""),46063.20833333333)</f>
        <v>46063.20833</v>
      </c>
      <c r="J7094" s="239">
        <v>540.0</v>
      </c>
    </row>
    <row r="7095">
      <c r="A7095" s="234"/>
      <c r="B7095" s="238" t="str">
        <f>IFERROR(__xludf.DUMMYFUNCTION("""COMPUTED_VALUE"""),"SoC_PE_Jaboatão dos Guararapes")</f>
        <v>SoC_PE_Jaboatão dos Guararapes</v>
      </c>
      <c r="C7095" s="238" t="str">
        <f>IFERROR(__xludf.DUMMYFUNCTION("""COMPUTED_VALUE"""),"SOC-PE2")</f>
        <v>SOC-PE2</v>
      </c>
      <c r="D7095" s="234">
        <f>IFERROR(__xludf.DUMMYFUNCTION("""COMPUTED_VALUE"""),98.0)</f>
        <v>98</v>
      </c>
      <c r="E7095" s="237" t="str">
        <f>IFERROR(__xludf.DUMMYFUNCTION("""COMPUTED_VALUE"""),"LT1Q2901YTG71")</f>
        <v>LT1Q2901YTG71</v>
      </c>
      <c r="F7095" s="238" t="str">
        <f>IFERROR(__xludf.DUMMYFUNCTION("""COMPUTED_VALUE"""),"EJW6G15,UEH0E20")</f>
        <v>EJW6G15,UEH0E20</v>
      </c>
      <c r="G7095" s="238">
        <f>IFERROR(__xludf.DUMMYFUNCTION("""COMPUTED_VALUE"""),46062.83333333333)</f>
        <v>46062.83333</v>
      </c>
      <c r="H7095" s="238">
        <f>IFERROR(__xludf.DUMMYFUNCTION("""COMPUTED_VALUE"""),46063.20833333333)</f>
        <v>46063.20833</v>
      </c>
      <c r="J7095" s="239">
        <v>119.99999999301508</v>
      </c>
    </row>
    <row r="7096">
      <c r="A7096" s="234"/>
      <c r="B7096" s="238" t="str">
        <f>IFERROR(__xludf.DUMMYFUNCTION("""COMPUTED_VALUE"""),"LM Hub_SP_Itapeva")</f>
        <v>LM Hub_SP_Itapeva</v>
      </c>
      <c r="C7096" s="238" t="str">
        <f>IFERROR(__xludf.DUMMYFUNCTION("""COMPUTED_VALUE"""),"HUB-LSP-39")</f>
        <v>HUB-LSP-39</v>
      </c>
      <c r="D7096" s="234">
        <f>IFERROR(__xludf.DUMMYFUNCTION("""COMPUTED_VALUE"""),12.0)</f>
        <v>12</v>
      </c>
      <c r="E7096" s="237" t="str">
        <f>IFERROR(__xludf.DUMMYFUNCTION("""COMPUTED_VALUE"""),"LT0Q2A01YIYS1")</f>
        <v>LT0Q2A01YIYS1</v>
      </c>
      <c r="F7096" s="238" t="str">
        <f>IFERROR(__xludf.DUMMYFUNCTION("""COMPUTED_VALUE"""),"LTB2D63")</f>
        <v>LTB2D63</v>
      </c>
      <c r="G7096" s="238">
        <f>IFERROR(__xludf.DUMMYFUNCTION("""COMPUTED_VALUE"""),46063.125)</f>
        <v>46063.125</v>
      </c>
      <c r="H7096" s="238">
        <f>IFERROR(__xludf.DUMMYFUNCTION("""COMPUTED_VALUE"""),46063.20833333333)</f>
        <v>46063.20833</v>
      </c>
      <c r="J7096" s="239">
        <v>119.99999999301508</v>
      </c>
    </row>
    <row r="7097">
      <c r="A7097" s="234"/>
      <c r="B7097" s="238" t="str">
        <f>IFERROR(__xludf.DUMMYFUNCTION("""COMPUTED_VALUE"""),"LM Hub_SP_Sumaré_Nova Veneza_1")</f>
        <v>LM Hub_SP_Sumaré_Nova Veneza_1</v>
      </c>
      <c r="C7097" s="238" t="str">
        <f>IFERROR(__xludf.DUMMYFUNCTION("""COMPUTED_VALUE"""),"HUB-LSP-88")</f>
        <v>HUB-LSP-88</v>
      </c>
      <c r="D7097" s="234">
        <f>IFERROR(__xludf.DUMMYFUNCTION("""COMPUTED_VALUE"""),29.0)</f>
        <v>29</v>
      </c>
      <c r="E7097" s="237" t="str">
        <f>IFERROR(__xludf.DUMMYFUNCTION("""COMPUTED_VALUE"""),"LT0Q2A01YN1N1")</f>
        <v>LT0Q2A01YN1N1</v>
      </c>
      <c r="F7097" s="238" t="str">
        <f>IFERROR(__xludf.DUMMYFUNCTION("""COMPUTED_VALUE"""),"DCU8E76,FMR2224")</f>
        <v>DCU8E76,FMR2224</v>
      </c>
      <c r="G7097" s="238">
        <f>IFERROR(__xludf.DUMMYFUNCTION("""COMPUTED_VALUE"""),46063.125)</f>
        <v>46063.125</v>
      </c>
      <c r="H7097" s="238">
        <f>IFERROR(__xludf.DUMMYFUNCTION("""COMPUTED_VALUE"""),46063.20833333333)</f>
        <v>46063.20833</v>
      </c>
      <c r="J7097" s="239">
        <v>119.99999999301508</v>
      </c>
    </row>
    <row r="7098">
      <c r="A7098" s="234"/>
      <c r="B7098" s="238" t="str">
        <f>IFERROR(__xludf.DUMMYFUNCTION("""COMPUTED_VALUE"""),"SoC_BA_Simoes Filho")</f>
        <v>SoC_BA_Simoes Filho</v>
      </c>
      <c r="C7098" s="238" t="str">
        <f>IFERROR(__xludf.DUMMYFUNCTION("""COMPUTED_VALUE"""),"SOC-BA2")</f>
        <v>SOC-BA2</v>
      </c>
      <c r="D7098" s="234">
        <f>IFERROR(__xludf.DUMMYFUNCTION("""COMPUTED_VALUE"""),88.0)</f>
        <v>88</v>
      </c>
      <c r="E7098" s="237" t="str">
        <f>IFERROR(__xludf.DUMMYFUNCTION("""COMPUTED_VALUE"""),"LT1Q2A01YTGD1")</f>
        <v>LT1Q2A01YTGD1</v>
      </c>
      <c r="F7098" s="238" t="str">
        <f>IFERROR(__xludf.DUMMYFUNCTION("""COMPUTED_VALUE"""),"CNR7743,PZK6I60")</f>
        <v>CNR7743,PZK6I60</v>
      </c>
      <c r="G7098" s="238">
        <f>IFERROR(__xludf.DUMMYFUNCTION("""COMPUTED_VALUE"""),46063.125)</f>
        <v>46063.125</v>
      </c>
      <c r="H7098" s="238">
        <f>IFERROR(__xludf.DUMMYFUNCTION("""COMPUTED_VALUE"""),46063.20833333333)</f>
        <v>46063.20833</v>
      </c>
      <c r="J7098" s="239">
        <v>119.99999999301508</v>
      </c>
    </row>
    <row r="7099">
      <c r="A7099" s="234"/>
      <c r="B7099" s="238" t="str">
        <f>IFERROR(__xludf.DUMMYFUNCTION("""COMPUTED_VALUE"""),"SoC_GO_Goiânia_02")</f>
        <v>SoC_GO_Goiânia_02</v>
      </c>
      <c r="C7099" s="238" t="str">
        <f>IFERROR(__xludf.DUMMYFUNCTION("""COMPUTED_VALUE"""),"SOC-GO2")</f>
        <v>SOC-GO2</v>
      </c>
      <c r="D7099" s="234"/>
      <c r="E7099" s="237" t="str">
        <f>IFERROR(__xludf.DUMMYFUNCTION("""COMPUTED_VALUE"""),"LT1Q2A01YTGI1")</f>
        <v>LT1Q2A01YTGI1</v>
      </c>
      <c r="F7099" s="238" t="str">
        <f>IFERROR(__xludf.DUMMYFUNCTION("""COMPUTED_VALUE"""),"JXS8F53,BDW7J10")</f>
        <v>JXS8F53,BDW7J10</v>
      </c>
      <c r="G7099" s="238">
        <f>IFERROR(__xludf.DUMMYFUNCTION("""COMPUTED_VALUE"""),46063.125)</f>
        <v>46063.125</v>
      </c>
      <c r="H7099" s="238">
        <f>IFERROR(__xludf.DUMMYFUNCTION("""COMPUTED_VALUE"""),46063.20833333333)</f>
        <v>46063.20833</v>
      </c>
      <c r="J7099" s="239">
        <v>119.99999999301508</v>
      </c>
    </row>
    <row r="7100">
      <c r="A7100" s="234"/>
      <c r="B7100" s="238" t="str">
        <f>IFERROR(__xludf.DUMMYFUNCTION("""COMPUTED_VALUE"""),"SoC_PE_Jaboatão dos Guararapes")</f>
        <v>SoC_PE_Jaboatão dos Guararapes</v>
      </c>
      <c r="C7100" s="238" t="str">
        <f>IFERROR(__xludf.DUMMYFUNCTION("""COMPUTED_VALUE"""),"SOC-PE2")</f>
        <v>SOC-PE2</v>
      </c>
      <c r="D7100" s="234">
        <f>IFERROR(__xludf.DUMMYFUNCTION("""COMPUTED_VALUE"""),99.0)</f>
        <v>99</v>
      </c>
      <c r="E7100" s="237" t="str">
        <f>IFERROR(__xludf.DUMMYFUNCTION("""COMPUTED_VALUE"""),"LT1Q2A01YTGA1")</f>
        <v>LT1Q2A01YTGA1</v>
      </c>
      <c r="F7100" s="238" t="str">
        <f>IFERROR(__xludf.DUMMYFUNCTION("""COMPUTED_VALUE"""),"NPR6B26,HAX4D33")</f>
        <v>NPR6B26,HAX4D33</v>
      </c>
      <c r="G7100" s="238">
        <f>IFERROR(__xludf.DUMMYFUNCTION("""COMPUTED_VALUE"""),46063.125)</f>
        <v>46063.125</v>
      </c>
      <c r="H7100" s="238">
        <f>IFERROR(__xludf.DUMMYFUNCTION("""COMPUTED_VALUE"""),46063.20833333333)</f>
        <v>46063.20833</v>
      </c>
      <c r="J7100" s="239">
        <v>119.99999999301508</v>
      </c>
    </row>
    <row r="7101">
      <c r="A7101" s="234"/>
      <c r="B7101" s="238" t="str">
        <f>IFERROR(__xludf.DUMMYFUNCTION("""COMPUTED_VALUE"""),"SoC_PR_Curitiba")</f>
        <v>SoC_PR_Curitiba</v>
      </c>
      <c r="C7101" s="238" t="str">
        <f>IFERROR(__xludf.DUMMYFUNCTION("""COMPUTED_VALUE"""),"SOC-PR1")</f>
        <v>SOC-PR1</v>
      </c>
      <c r="D7101" s="234">
        <f>IFERROR(__xludf.DUMMYFUNCTION("""COMPUTED_VALUE"""),43.0)</f>
        <v>43</v>
      </c>
      <c r="E7101" s="237" t="str">
        <f>IFERROR(__xludf.DUMMYFUNCTION("""COMPUTED_VALUE"""),"LT0Q2A01YIUB1")</f>
        <v>LT0Q2A01YIUB1</v>
      </c>
      <c r="F7101" s="238" t="str">
        <f>IFERROR(__xludf.DUMMYFUNCTION("""COMPUTED_VALUE"""),"TJD1F44,BEY5C12")</f>
        <v>TJD1F44,BEY5C12</v>
      </c>
      <c r="G7101" s="238">
        <f>IFERROR(__xludf.DUMMYFUNCTION("""COMPUTED_VALUE"""),46063.125)</f>
        <v>46063.125</v>
      </c>
      <c r="H7101" s="238">
        <f>IFERROR(__xludf.DUMMYFUNCTION("""COMPUTED_VALUE"""),46063.20833333333)</f>
        <v>46063.20833</v>
      </c>
      <c r="J7101" s="239">
        <v>119.99999999301508</v>
      </c>
    </row>
    <row r="7102">
      <c r="A7102" s="234"/>
      <c r="B7102" s="238" t="str">
        <f>IFERROR(__xludf.DUMMYFUNCTION("""COMPUTED_VALUE"""),"SoC_RJ_Duque de Caxias")</f>
        <v>SoC_RJ_Duque de Caxias</v>
      </c>
      <c r="C7102" s="238" t="str">
        <f>IFERROR(__xludf.DUMMYFUNCTION("""COMPUTED_VALUE"""),"SOC-RJ2")</f>
        <v>SOC-RJ2</v>
      </c>
      <c r="D7102" s="234">
        <f>IFERROR(__xludf.DUMMYFUNCTION("""COMPUTED_VALUE"""),97.0)</f>
        <v>97</v>
      </c>
      <c r="E7102" s="237" t="str">
        <f>IFERROR(__xludf.DUMMYFUNCTION("""COMPUTED_VALUE"""),"LT1Q2A01YTG61")</f>
        <v>LT1Q2A01YTG61</v>
      </c>
      <c r="F7102" s="238" t="str">
        <f>IFERROR(__xludf.DUMMYFUNCTION("""COMPUTED_VALUE"""),"DTE7D25,CYR8701")</f>
        <v>DTE7D25,CYR8701</v>
      </c>
      <c r="G7102" s="238">
        <f>IFERROR(__xludf.DUMMYFUNCTION("""COMPUTED_VALUE"""),46063.125)</f>
        <v>46063.125</v>
      </c>
      <c r="H7102" s="238">
        <f>IFERROR(__xludf.DUMMYFUNCTION("""COMPUTED_VALUE"""),46063.20833333333)</f>
        <v>46063.20833</v>
      </c>
      <c r="J7102" s="239">
        <v>119.99999999301508</v>
      </c>
    </row>
    <row r="7103">
      <c r="A7103" s="234"/>
      <c r="B7103" s="238" t="str">
        <f>IFERROR(__xludf.DUMMYFUNCTION("""COMPUTED_VALUE"""),"SoC_RS_Gravataí_02")</f>
        <v>SoC_RS_Gravataí_02</v>
      </c>
      <c r="C7103" s="238" t="str">
        <f>IFERROR(__xludf.DUMMYFUNCTION("""COMPUTED_VALUE"""),"SOC-RS2")</f>
        <v>SOC-RS2</v>
      </c>
      <c r="D7103" s="234">
        <f>IFERROR(__xludf.DUMMYFUNCTION("""COMPUTED_VALUE"""),93.0)</f>
        <v>93</v>
      </c>
      <c r="E7103" s="237" t="str">
        <f>IFERROR(__xludf.DUMMYFUNCTION("""COMPUTED_VALUE"""),"LT1Q2A01YTGE1")</f>
        <v>LT1Q2A01YTGE1</v>
      </c>
      <c r="F7103" s="238" t="str">
        <f>IFERROR(__xludf.DUMMYFUNCTION("""COMPUTED_VALUE"""),"DED0G62,UEE5D06")</f>
        <v>DED0G62,UEE5D06</v>
      </c>
      <c r="G7103" s="238">
        <f>IFERROR(__xludf.DUMMYFUNCTION("""COMPUTED_VALUE"""),46063.125)</f>
        <v>46063.125</v>
      </c>
      <c r="H7103" s="238">
        <f>IFERROR(__xludf.DUMMYFUNCTION("""COMPUTED_VALUE"""),46063.20833333333)</f>
        <v>46063.20833</v>
      </c>
      <c r="J7103" s="239">
        <v>119.99999999301508</v>
      </c>
    </row>
    <row r="7104">
      <c r="A7104" s="234"/>
      <c r="B7104" s="238" t="str">
        <f>IFERROR(__xludf.DUMMYFUNCTION("""COMPUTED_VALUE"""),"SoC_SP_Guarulhos")</f>
        <v>SoC_SP_Guarulhos</v>
      </c>
      <c r="C7104" s="238" t="str">
        <f>IFERROR(__xludf.DUMMYFUNCTION("""COMPUTED_VALUE"""),"SOC-SP6")</f>
        <v>SOC-SP6</v>
      </c>
      <c r="D7104" s="234">
        <f>IFERROR(__xludf.DUMMYFUNCTION("""COMPUTED_VALUE"""),45.0)</f>
        <v>45</v>
      </c>
      <c r="E7104" s="237" t="str">
        <f>IFERROR(__xludf.DUMMYFUNCTION("""COMPUTED_VALUE"""),"LT0Q2A01YFGF1")</f>
        <v>LT0Q2A01YFGF1</v>
      </c>
      <c r="F7104" s="238" t="str">
        <f>IFERROR(__xludf.DUMMYFUNCTION("""COMPUTED_VALUE"""),"DTD4722,NCK7E66")</f>
        <v>DTD4722,NCK7E66</v>
      </c>
      <c r="G7104" s="238">
        <f>IFERROR(__xludf.DUMMYFUNCTION("""COMPUTED_VALUE"""),46063.125)</f>
        <v>46063.125</v>
      </c>
      <c r="H7104" s="238">
        <f>IFERROR(__xludf.DUMMYFUNCTION("""COMPUTED_VALUE"""),46063.20833333333)</f>
        <v>46063.20833</v>
      </c>
      <c r="J7104" s="239">
        <v>119.99999999301508</v>
      </c>
    </row>
    <row r="7105">
      <c r="A7105" s="234"/>
      <c r="B7105" s="238" t="str">
        <f>IFERROR(__xludf.DUMMYFUNCTION("""COMPUTED_VALUE"""),"SoC_SP_Louveira")</f>
        <v>SoC_SP_Louveira</v>
      </c>
      <c r="C7105" s="238" t="str">
        <f>IFERROR(__xludf.DUMMYFUNCTION("""COMPUTED_VALUE"""),"SOC-SP7")</f>
        <v>SOC-SP7</v>
      </c>
      <c r="D7105" s="234">
        <f>IFERROR(__xludf.DUMMYFUNCTION("""COMPUTED_VALUE"""),41.0)</f>
        <v>41</v>
      </c>
      <c r="E7105" s="237" t="str">
        <f>IFERROR(__xludf.DUMMYFUNCTION("""COMPUTED_VALUE"""),"LT0Q2A01YIVW1")</f>
        <v>LT0Q2A01YIVW1</v>
      </c>
      <c r="F7105" s="238" t="str">
        <f>IFERROR(__xludf.DUMMYFUNCTION("""COMPUTED_VALUE"""),"CJZ1I95,FRT7631")</f>
        <v>CJZ1I95,FRT7631</v>
      </c>
      <c r="G7105" s="238">
        <f>IFERROR(__xludf.DUMMYFUNCTION("""COMPUTED_VALUE"""),46063.125)</f>
        <v>46063.125</v>
      </c>
      <c r="H7105" s="238">
        <f>IFERROR(__xludf.DUMMYFUNCTION("""COMPUTED_VALUE"""),46063.20833333333)</f>
        <v>46063.20833</v>
      </c>
      <c r="J7105" s="239">
        <v>119.99999999301508</v>
      </c>
    </row>
    <row r="7106">
      <c r="A7106" s="234"/>
      <c r="B7106" s="238" t="str">
        <f>IFERROR(__xludf.DUMMYFUNCTION("""COMPUTED_VALUE"""),"LM Hub_SP_Limeira_Campo Belo")</f>
        <v>LM Hub_SP_Limeira_Campo Belo</v>
      </c>
      <c r="C7106" s="238" t="str">
        <f>IFERROR(__xludf.DUMMYFUNCTION("""COMPUTED_VALUE"""),"HUB-LSP-24")</f>
        <v>HUB-LSP-24</v>
      </c>
      <c r="D7106" s="234">
        <f>IFERROR(__xludf.DUMMYFUNCTION("""COMPUTED_VALUE"""),38.0)</f>
        <v>38</v>
      </c>
      <c r="E7106" s="237" t="str">
        <f>IFERROR(__xludf.DUMMYFUNCTION("""COMPUTED_VALUE"""),"LT0Q2A01YJ0D1")</f>
        <v>LT0Q2A01YJ0D1</v>
      </c>
      <c r="F7106" s="238" t="str">
        <f>IFERROR(__xludf.DUMMYFUNCTION("""COMPUTED_VALUE"""),"GFT5J70,GBH5G53")</f>
        <v>GFT5J70,GBH5G53</v>
      </c>
      <c r="G7106" s="238">
        <f>IFERROR(__xludf.DUMMYFUNCTION("""COMPUTED_VALUE"""),46063.125)</f>
        <v>46063.125</v>
      </c>
      <c r="H7106" s="238">
        <f>IFERROR(__xludf.DUMMYFUNCTION("""COMPUTED_VALUE"""),46063.20833333333)</f>
        <v>46063.20833</v>
      </c>
      <c r="J7106" s="239">
        <v>58.99999999324791</v>
      </c>
    </row>
    <row r="7107">
      <c r="A7107" s="234"/>
      <c r="B7107" s="238" t="str">
        <f>IFERROR(__xludf.DUMMYFUNCTION("""COMPUTED_VALUE"""),"SoC_MG_Betim")</f>
        <v>SoC_MG_Betim</v>
      </c>
      <c r="C7107" s="238" t="str">
        <f>IFERROR(__xludf.DUMMYFUNCTION("""COMPUTED_VALUE"""),"SOC-MG2")</f>
        <v>SOC-MG2</v>
      </c>
      <c r="D7107" s="234">
        <f>IFERROR(__xludf.DUMMYFUNCTION("""COMPUTED_VALUE"""),91.0)</f>
        <v>91</v>
      </c>
      <c r="E7107" s="237" t="str">
        <f>IFERROR(__xludf.DUMMYFUNCTION("""COMPUTED_VALUE"""),"LT1Q2A01YU6E1")</f>
        <v>LT1Q2A01YU6E1</v>
      </c>
      <c r="F7107" s="238" t="str">
        <f>IFERROR(__xludf.DUMMYFUNCTION("""COMPUTED_VALUE"""),"EOE9G43,CNN8I75")</f>
        <v>EOE9G43,CNN8I75</v>
      </c>
      <c r="G7107" s="238">
        <f>IFERROR(__xludf.DUMMYFUNCTION("""COMPUTED_VALUE"""),46063.179861111115)</f>
        <v>46063.17986</v>
      </c>
      <c r="H7107" s="238">
        <f>IFERROR(__xludf.DUMMYFUNCTION("""COMPUTED_VALUE"""),46063.22083333333)</f>
        <v>46063.22083</v>
      </c>
      <c r="J7107" s="239">
        <v>120.00000001396984</v>
      </c>
    </row>
    <row r="7108">
      <c r="A7108" s="234"/>
      <c r="B7108" s="238" t="str">
        <f>IFERROR(__xludf.DUMMYFUNCTION("""COMPUTED_VALUE"""),"LM Hub_SP_Mogi Mirim")</f>
        <v>LM Hub_SP_Mogi Mirim</v>
      </c>
      <c r="C7108" s="238" t="str">
        <f>IFERROR(__xludf.DUMMYFUNCTION("""COMPUTED_VALUE"""),"HUB-LSP-37")</f>
        <v>HUB-LSP-37</v>
      </c>
      <c r="D7108" s="234">
        <f>IFERROR(__xludf.DUMMYFUNCTION("""COMPUTED_VALUE"""),25.0)</f>
        <v>25</v>
      </c>
      <c r="E7108" s="237" t="str">
        <f>IFERROR(__xludf.DUMMYFUNCTION("""COMPUTED_VALUE"""),"LT0Q2A01YJ181")</f>
        <v>LT0Q2A01YJ181</v>
      </c>
      <c r="F7108" s="238" t="str">
        <f>IFERROR(__xludf.DUMMYFUNCTION("""COMPUTED_VALUE"""),"UDW5E79,TLL6F35")</f>
        <v>UDW5E79,TLL6F35</v>
      </c>
      <c r="G7108" s="238">
        <f>IFERROR(__xludf.DUMMYFUNCTION("""COMPUTED_VALUE"""),46063.14583333333)</f>
        <v>46063.14583</v>
      </c>
      <c r="H7108" s="238">
        <f>IFERROR(__xludf.DUMMYFUNCTION("""COMPUTED_VALUE"""),46063.22916666667)</f>
        <v>46063.22917</v>
      </c>
      <c r="J7108" s="239">
        <v>540.0</v>
      </c>
    </row>
    <row r="7109">
      <c r="A7109" s="234"/>
      <c r="B7109" s="238" t="str">
        <f>IFERROR(__xludf.DUMMYFUNCTION("""COMPUTED_VALUE"""),"SoC_BA_Simoes Filho")</f>
        <v>SoC_BA_Simoes Filho</v>
      </c>
      <c r="C7109" s="238" t="str">
        <f>IFERROR(__xludf.DUMMYFUNCTION("""COMPUTED_VALUE"""),"SOC-BA2")</f>
        <v>SOC-BA2</v>
      </c>
      <c r="D7109" s="234">
        <f>IFERROR(__xludf.DUMMYFUNCTION("""COMPUTED_VALUE"""),88.0)</f>
        <v>88</v>
      </c>
      <c r="E7109" s="237" t="str">
        <f>IFERROR(__xludf.DUMMYFUNCTION("""COMPUTED_VALUE"""),"LT1Q2901YTGB1")</f>
        <v>LT1Q2901YTGB1</v>
      </c>
      <c r="F7109" s="238" t="str">
        <f>IFERROR(__xludf.DUMMYFUNCTION("""COMPUTED_VALUE"""),"MSH2297,GES0E20")</f>
        <v>MSH2297,GES0E20</v>
      </c>
      <c r="G7109" s="238">
        <f>IFERROR(__xludf.DUMMYFUNCTION("""COMPUTED_VALUE"""),46062.875)</f>
        <v>46062.875</v>
      </c>
      <c r="H7109" s="238">
        <f>IFERROR(__xludf.DUMMYFUNCTION("""COMPUTED_VALUE"""),46063.25)</f>
        <v>46063.25</v>
      </c>
      <c r="J7109" s="239">
        <v>540.0</v>
      </c>
    </row>
    <row r="7110">
      <c r="A7110" s="234"/>
      <c r="B7110" s="238" t="str">
        <f>IFERROR(__xludf.DUMMYFUNCTION("""COMPUTED_VALUE"""),"SoC_GO_Goiânia_02")</f>
        <v>SoC_GO_Goiânia_02</v>
      </c>
      <c r="C7110" s="238" t="str">
        <f>IFERROR(__xludf.DUMMYFUNCTION("""COMPUTED_VALUE"""),"SOC-GO2")</f>
        <v>SOC-GO2</v>
      </c>
      <c r="D7110" s="234">
        <f>IFERROR(__xludf.DUMMYFUNCTION("""COMPUTED_VALUE"""),87.0)</f>
        <v>87</v>
      </c>
      <c r="E7110" s="237" t="str">
        <f>IFERROR(__xludf.DUMMYFUNCTION("""COMPUTED_VALUE"""),"LT1Q2901YTGG1")</f>
        <v>LT1Q2901YTGG1</v>
      </c>
      <c r="F7110" s="238" t="str">
        <f>IFERROR(__xludf.DUMMYFUNCTION("""COMPUTED_VALUE"""),"UFO7C24,SWA7E04")</f>
        <v>UFO7C24,SWA7E04</v>
      </c>
      <c r="G7110" s="238">
        <f>IFERROR(__xludf.DUMMYFUNCTION("""COMPUTED_VALUE"""),46062.875)</f>
        <v>46062.875</v>
      </c>
      <c r="H7110" s="238">
        <f>IFERROR(__xludf.DUMMYFUNCTION("""COMPUTED_VALUE"""),46063.25)</f>
        <v>46063.25</v>
      </c>
      <c r="J7110" s="239">
        <v>540.0</v>
      </c>
    </row>
    <row r="7111">
      <c r="A7111" s="234"/>
      <c r="B7111" s="238" t="str">
        <f>IFERROR(__xludf.DUMMYFUNCTION("""COMPUTED_VALUE"""),"SoC_PE_Jaboatão dos Guararapes")</f>
        <v>SoC_PE_Jaboatão dos Guararapes</v>
      </c>
      <c r="C7111" s="238" t="str">
        <f>IFERROR(__xludf.DUMMYFUNCTION("""COMPUTED_VALUE"""),"SOC-PE2")</f>
        <v>SOC-PE2</v>
      </c>
      <c r="D7111" s="234">
        <f>IFERROR(__xludf.DUMMYFUNCTION("""COMPUTED_VALUE"""),98.0)</f>
        <v>98</v>
      </c>
      <c r="E7111" s="237" t="str">
        <f>IFERROR(__xludf.DUMMYFUNCTION("""COMPUTED_VALUE"""),"LT1Q2901YTG81")</f>
        <v>LT1Q2901YTG81</v>
      </c>
      <c r="F7111" s="238" t="str">
        <f>IFERROR(__xludf.DUMMYFUNCTION("""COMPUTED_VALUE"""),"MRN6C83,PJF7H63")</f>
        <v>MRN6C83,PJF7H63</v>
      </c>
      <c r="G7111" s="238">
        <f>IFERROR(__xludf.DUMMYFUNCTION("""COMPUTED_VALUE"""),46062.875)</f>
        <v>46062.875</v>
      </c>
      <c r="H7111" s="238">
        <f>IFERROR(__xludf.DUMMYFUNCTION("""COMPUTED_VALUE"""),46063.25)</f>
        <v>46063.25</v>
      </c>
      <c r="J7111" s="239">
        <v>540.0</v>
      </c>
    </row>
    <row r="7112">
      <c r="A7112" s="234"/>
      <c r="B7112" s="238" t="str">
        <f>IFERROR(__xludf.DUMMYFUNCTION("""COMPUTED_VALUE"""),"SoC_RJ_Duque de Caxias")</f>
        <v>SoC_RJ_Duque de Caxias</v>
      </c>
      <c r="C7112" s="238" t="str">
        <f>IFERROR(__xludf.DUMMYFUNCTION("""COMPUTED_VALUE"""),"SOC-RJ2")</f>
        <v>SOC-RJ2</v>
      </c>
      <c r="D7112" s="234">
        <f>IFERROR(__xludf.DUMMYFUNCTION("""COMPUTED_VALUE"""),96.0)</f>
        <v>96</v>
      </c>
      <c r="E7112" s="237" t="str">
        <f>IFERROR(__xludf.DUMMYFUNCTION("""COMPUTED_VALUE"""),"LT1Q2901YTG41")</f>
        <v>LT1Q2901YTG41</v>
      </c>
      <c r="F7112" s="238" t="str">
        <f>IFERROR(__xludf.DUMMYFUNCTION("""COMPUTED_VALUE"""),"FPB6H47,FWG8C04")</f>
        <v>FPB6H47,FWG8C04</v>
      </c>
      <c r="G7112" s="238">
        <f>IFERROR(__xludf.DUMMYFUNCTION("""COMPUTED_VALUE"""),46062.875)</f>
        <v>46062.875</v>
      </c>
      <c r="H7112" s="238">
        <f>IFERROR(__xludf.DUMMYFUNCTION("""COMPUTED_VALUE"""),46063.25)</f>
        <v>46063.25</v>
      </c>
      <c r="J7112" s="239">
        <v>180.0</v>
      </c>
    </row>
    <row r="7113">
      <c r="A7113" s="234"/>
      <c r="B7113" s="238" t="str">
        <f>IFERROR(__xludf.DUMMYFUNCTION("""COMPUTED_VALUE"""),"SoC_SP_Santana")</f>
        <v>SoC_SP_Santana</v>
      </c>
      <c r="C7113" s="238" t="str">
        <f>IFERROR(__xludf.DUMMYFUNCTION("""COMPUTED_VALUE"""),"SOC-SP2")</f>
        <v>SOC-SP2</v>
      </c>
      <c r="D7113" s="234">
        <f>IFERROR(__xludf.DUMMYFUNCTION("""COMPUTED_VALUE"""),28.0)</f>
        <v>28</v>
      </c>
      <c r="E7113" s="237" t="str">
        <f>IFERROR(__xludf.DUMMYFUNCTION("""COMPUTED_VALUE"""),"LT0Q2A01YFDI1")</f>
        <v>LT0Q2A01YFDI1</v>
      </c>
      <c r="F7113" s="238" t="str">
        <f>IFERROR(__xludf.DUMMYFUNCTION("""COMPUTED_VALUE"""),"EFU9C99,IND2879")</f>
        <v>EFU9C99,IND2879</v>
      </c>
      <c r="G7113" s="238">
        <f>IFERROR(__xludf.DUMMYFUNCTION("""COMPUTED_VALUE"""),46063.125)</f>
        <v>46063.125</v>
      </c>
      <c r="H7113" s="238">
        <f>IFERROR(__xludf.DUMMYFUNCTION("""COMPUTED_VALUE"""),46063.25)</f>
        <v>46063.25</v>
      </c>
      <c r="J7113" s="239">
        <v>119.99999999301508</v>
      </c>
    </row>
    <row r="7114">
      <c r="A7114" s="234"/>
      <c r="B7114" s="238" t="str">
        <f>IFERROR(__xludf.DUMMYFUNCTION("""COMPUTED_VALUE"""),"LM Hub_SP_Guaratinguetá")</f>
        <v>LM Hub_SP_Guaratinguetá</v>
      </c>
      <c r="C7114" s="238" t="str">
        <f>IFERROR(__xludf.DUMMYFUNCTION("""COMPUTED_VALUE"""),"HUB-LSP-33")</f>
        <v>HUB-LSP-33</v>
      </c>
      <c r="D7114" s="234">
        <f>IFERROR(__xludf.DUMMYFUNCTION("""COMPUTED_VALUE"""),16.0)</f>
        <v>16</v>
      </c>
      <c r="E7114" s="237" t="str">
        <f>IFERROR(__xludf.DUMMYFUNCTION("""COMPUTED_VALUE"""),"LT0Q2A01YIZA1")</f>
        <v>LT0Q2A01YIZA1</v>
      </c>
      <c r="F7114" s="238" t="str">
        <f>IFERROR(__xludf.DUMMYFUNCTION("""COMPUTED_VALUE"""),"SWQ6D05,SWG3J97")</f>
        <v>SWQ6D05,SWG3J97</v>
      </c>
      <c r="G7114" s="238">
        <f>IFERROR(__xludf.DUMMYFUNCTION("""COMPUTED_VALUE"""),46063.16666666667)</f>
        <v>46063.16667</v>
      </c>
      <c r="H7114" s="238">
        <f>IFERROR(__xludf.DUMMYFUNCTION("""COMPUTED_VALUE"""),46063.25)</f>
        <v>46063.25</v>
      </c>
      <c r="J7114" s="239">
        <v>119.99999999301508</v>
      </c>
    </row>
    <row r="7115">
      <c r="A7115" s="234"/>
      <c r="B7115" s="238" t="str">
        <f>IFERROR(__xludf.DUMMYFUNCTION("""COMPUTED_VALUE"""),"LM Hub_SP_Registro")</f>
        <v>LM Hub_SP_Registro</v>
      </c>
      <c r="C7115" s="238" t="str">
        <f>IFERROR(__xludf.DUMMYFUNCTION("""COMPUTED_VALUE"""),"HUB-LSP-40")</f>
        <v>HUB-LSP-40</v>
      </c>
      <c r="D7115" s="234">
        <f>IFERROR(__xludf.DUMMYFUNCTION("""COMPUTED_VALUE"""),36.0)</f>
        <v>36</v>
      </c>
      <c r="E7115" s="237" t="str">
        <f>IFERROR(__xludf.DUMMYFUNCTION("""COMPUTED_VALUE"""),"LT0Q2A01YPP91")</f>
        <v>LT0Q2A01YPP91</v>
      </c>
      <c r="F7115" s="238" t="str">
        <f>IFERROR(__xludf.DUMMYFUNCTION("""COMPUTED_VALUE"""),"GYS8H24")</f>
        <v>GYS8H24</v>
      </c>
      <c r="G7115" s="238">
        <f>IFERROR(__xludf.DUMMYFUNCTION("""COMPUTED_VALUE"""),46063.16666666667)</f>
        <v>46063.16667</v>
      </c>
      <c r="H7115" s="238">
        <f>IFERROR(__xludf.DUMMYFUNCTION("""COMPUTED_VALUE"""),46063.25)</f>
        <v>46063.25</v>
      </c>
      <c r="J7115" s="239">
        <v>119.99999999301508</v>
      </c>
    </row>
    <row r="7116">
      <c r="A7116" s="234"/>
      <c r="B7116" s="238" t="str">
        <f>IFERROR(__xludf.DUMMYFUNCTION("""COMPUTED_VALUE"""),"LM Hub_SP_São José dos Campos")</f>
        <v>LM Hub_SP_São José dos Campos</v>
      </c>
      <c r="C7116" s="238" t="str">
        <f>IFERROR(__xludf.DUMMYFUNCTION("""COMPUTED_VALUE"""),"HUB-LSP-04")</f>
        <v>HUB-LSP-04</v>
      </c>
      <c r="D7116" s="234">
        <f>IFERROR(__xludf.DUMMYFUNCTION("""COMPUTED_VALUE"""),22.0)</f>
        <v>22</v>
      </c>
      <c r="E7116" s="237" t="str">
        <f>IFERROR(__xludf.DUMMYFUNCTION("""COMPUTED_VALUE"""),"LT0Q2A01YK121")</f>
        <v>LT0Q2A01YK121</v>
      </c>
      <c r="F7116" s="238" t="str">
        <f>IFERROR(__xludf.DUMMYFUNCTION("""COMPUTED_VALUE"""),"TBX6B96")</f>
        <v>TBX6B96</v>
      </c>
      <c r="G7116" s="238">
        <f>IFERROR(__xludf.DUMMYFUNCTION("""COMPUTED_VALUE"""),46063.16666666667)</f>
        <v>46063.16667</v>
      </c>
      <c r="H7116" s="238">
        <f>IFERROR(__xludf.DUMMYFUNCTION("""COMPUTED_VALUE"""),46063.25)</f>
        <v>46063.25</v>
      </c>
      <c r="J7116" s="239">
        <v>119.99999999301508</v>
      </c>
    </row>
    <row r="7117">
      <c r="A7117" s="234"/>
      <c r="B7117" s="238" t="str">
        <f>IFERROR(__xludf.DUMMYFUNCTION("""COMPUTED_VALUE"""),"SoC_RJ_Duque de Caxias")</f>
        <v>SoC_RJ_Duque de Caxias</v>
      </c>
      <c r="C7117" s="238" t="str">
        <f>IFERROR(__xludf.DUMMYFUNCTION("""COMPUTED_VALUE"""),"SOC-RJ2")</f>
        <v>SOC-RJ2</v>
      </c>
      <c r="D7117" s="234">
        <f>IFERROR(__xludf.DUMMYFUNCTION("""COMPUTED_VALUE"""),97.0)</f>
        <v>97</v>
      </c>
      <c r="E7117" s="237" t="str">
        <f>IFERROR(__xludf.DUMMYFUNCTION("""COMPUTED_VALUE"""),"LT1Q2A01YU591")</f>
        <v>LT1Q2A01YU591</v>
      </c>
      <c r="F7117" s="238" t="str">
        <f>IFERROR(__xludf.DUMMYFUNCTION("""COMPUTED_VALUE"""),"EQN2H35,ERS9J88")</f>
        <v>EQN2H35,ERS9J88</v>
      </c>
      <c r="G7117" s="238">
        <f>IFERROR(__xludf.DUMMYFUNCTION("""COMPUTED_VALUE"""),46063.16666666667)</f>
        <v>46063.16667</v>
      </c>
      <c r="H7117" s="238">
        <f>IFERROR(__xludf.DUMMYFUNCTION("""COMPUTED_VALUE"""),46063.25)</f>
        <v>46063.25</v>
      </c>
      <c r="J7117" s="239">
        <v>119.99999999301508</v>
      </c>
    </row>
    <row r="7118">
      <c r="A7118" s="234"/>
      <c r="B7118" s="238" t="str">
        <f>IFERROR(__xludf.DUMMYFUNCTION("""COMPUTED_VALUE"""),"LM Hub_SP_Atibaia_Ponte_Alta")</f>
        <v>LM Hub_SP_Atibaia_Ponte_Alta</v>
      </c>
      <c r="C7118" s="238" t="str">
        <f>IFERROR(__xludf.DUMMYFUNCTION("""COMPUTED_VALUE"""),"HUB-LSP-87")</f>
        <v>HUB-LSP-87</v>
      </c>
      <c r="D7118" s="234">
        <f>IFERROR(__xludf.DUMMYFUNCTION("""COMPUTED_VALUE"""),26.0)</f>
        <v>26</v>
      </c>
      <c r="E7118" s="237" t="str">
        <f>IFERROR(__xludf.DUMMYFUNCTION("""COMPUTED_VALUE"""),"LT0Q2A01YM291")</f>
        <v>LT0Q2A01YM291</v>
      </c>
      <c r="F7118" s="238" t="str">
        <f>IFERROR(__xludf.DUMMYFUNCTION("""COMPUTED_VALUE"""),"CDM2D32")</f>
        <v>CDM2D32</v>
      </c>
      <c r="G7118" s="238">
        <f>IFERROR(__xludf.DUMMYFUNCTION("""COMPUTED_VALUE"""),46063.1875)</f>
        <v>46063.1875</v>
      </c>
      <c r="H7118" s="238">
        <f>IFERROR(__xludf.DUMMYFUNCTION("""COMPUTED_VALUE"""),46063.27083333333)</f>
        <v>46063.27083</v>
      </c>
      <c r="J7118" s="239">
        <v>119.99999999301508</v>
      </c>
    </row>
    <row r="7119">
      <c r="A7119" s="234"/>
      <c r="B7119" s="238" t="str">
        <f>IFERROR(__xludf.DUMMYFUNCTION("""COMPUTED_VALUE"""),"LM Hub_SP_Sorocaba_Região Norte")</f>
        <v>LM Hub_SP_Sorocaba_Região Norte</v>
      </c>
      <c r="C7119" s="238" t="str">
        <f>IFERROR(__xludf.DUMMYFUNCTION("""COMPUTED_VALUE"""),"HUB-LSP-10")</f>
        <v>HUB-LSP-10</v>
      </c>
      <c r="D7119" s="234">
        <f>IFERROR(__xludf.DUMMYFUNCTION("""COMPUTED_VALUE"""),33.0)</f>
        <v>33</v>
      </c>
      <c r="E7119" s="237" t="str">
        <f>IFERROR(__xludf.DUMMYFUNCTION("""COMPUTED_VALUE"""),"LT0Q2A01YF9C1")</f>
        <v>LT0Q2A01YF9C1</v>
      </c>
      <c r="F7119" s="238" t="str">
        <f>IFERROR(__xludf.DUMMYFUNCTION("""COMPUTED_VALUE"""),"HFD4H27,JXG9745")</f>
        <v>HFD4H27,JXG9745</v>
      </c>
      <c r="G7119" s="238">
        <f>IFERROR(__xludf.DUMMYFUNCTION("""COMPUTED_VALUE"""),46063.1875)</f>
        <v>46063.1875</v>
      </c>
      <c r="H7119" s="238">
        <f>IFERROR(__xludf.DUMMYFUNCTION("""COMPUTED_VALUE"""),46063.27083333333)</f>
        <v>46063.27083</v>
      </c>
      <c r="J7119" s="239">
        <v>119.99999999301508</v>
      </c>
    </row>
    <row r="7120">
      <c r="A7120" s="234"/>
      <c r="B7120" s="238" t="str">
        <f>IFERROR(__xludf.DUMMYFUNCTION("""COMPUTED_VALUE"""),"LM Hub_SP_Taubaté")</f>
        <v>LM Hub_SP_Taubaté</v>
      </c>
      <c r="C7120" s="238" t="str">
        <f>IFERROR(__xludf.DUMMYFUNCTION("""COMPUTED_VALUE"""),"HUB-LSP-08")</f>
        <v>HUB-LSP-08</v>
      </c>
      <c r="D7120" s="234">
        <f>IFERROR(__xludf.DUMMYFUNCTION("""COMPUTED_VALUE"""),34.0)</f>
        <v>34</v>
      </c>
      <c r="E7120" s="237" t="str">
        <f>IFERROR(__xludf.DUMMYFUNCTION("""COMPUTED_VALUE"""),"LT0Q2A01YIZL1")</f>
        <v>LT0Q2A01YIZL1</v>
      </c>
      <c r="F7120" s="238" t="str">
        <f>IFERROR(__xludf.DUMMYFUNCTION("""COMPUTED_VALUE"""),"FQS1E78")</f>
        <v>FQS1E78</v>
      </c>
      <c r="G7120" s="238">
        <f>IFERROR(__xludf.DUMMYFUNCTION("""COMPUTED_VALUE"""),46063.1875)</f>
        <v>46063.1875</v>
      </c>
      <c r="H7120" s="238">
        <f>IFERROR(__xludf.DUMMYFUNCTION("""COMPUTED_VALUE"""),46063.27083333333)</f>
        <v>46063.27083</v>
      </c>
      <c r="J7120" s="239">
        <v>119.99999999301508</v>
      </c>
    </row>
    <row r="7121">
      <c r="A7121" s="234"/>
      <c r="B7121" s="238" t="str">
        <f>IFERROR(__xludf.DUMMYFUNCTION("""COMPUTED_VALUE"""),"SoC_MG_Betim")</f>
        <v>SoC_MG_Betim</v>
      </c>
      <c r="C7121" s="238" t="str">
        <f>IFERROR(__xludf.DUMMYFUNCTION("""COMPUTED_VALUE"""),"SOC-MG2")</f>
        <v>SOC-MG2</v>
      </c>
      <c r="D7121" s="234">
        <f>IFERROR(__xludf.DUMMYFUNCTION("""COMPUTED_VALUE"""),91.0)</f>
        <v>91</v>
      </c>
      <c r="E7121" s="237" t="str">
        <f>IFERROR(__xludf.DUMMYFUNCTION("""COMPUTED_VALUE"""),"LT1Q2A01YU6G1")</f>
        <v>LT1Q2A01YU6G1</v>
      </c>
      <c r="F7121" s="238" t="str">
        <f>IFERROR(__xludf.DUMMYFUNCTION("""COMPUTED_VALUE"""),"EXU6A75,DVS4C57")</f>
        <v>EXU6A75,DVS4C57</v>
      </c>
      <c r="G7121" s="238">
        <f>IFERROR(__xludf.DUMMYFUNCTION("""COMPUTED_VALUE"""),46063.1875)</f>
        <v>46063.1875</v>
      </c>
      <c r="H7121" s="238">
        <f>IFERROR(__xludf.DUMMYFUNCTION("""COMPUTED_VALUE"""),46063.27083333333)</f>
        <v>46063.27083</v>
      </c>
      <c r="J7121" s="239">
        <v>540.0</v>
      </c>
    </row>
    <row r="7122">
      <c r="A7122" s="234"/>
      <c r="B7122" s="238" t="str">
        <f>IFERROR(__xludf.DUMMYFUNCTION("""COMPUTED_VALUE"""),"SoC_BA_Simoes Filho")</f>
        <v>SoC_BA_Simoes Filho</v>
      </c>
      <c r="C7122" s="238" t="str">
        <f>IFERROR(__xludf.DUMMYFUNCTION("""COMPUTED_VALUE"""),"SOC-BA2")</f>
        <v>SOC-BA2</v>
      </c>
      <c r="D7122" s="234">
        <f>IFERROR(__xludf.DUMMYFUNCTION("""COMPUTED_VALUE"""),88.0)</f>
        <v>88</v>
      </c>
      <c r="E7122" s="237" t="str">
        <f>IFERROR(__xludf.DUMMYFUNCTION("""COMPUTED_VALUE"""),"LT0Q2901YNGD1")</f>
        <v>LT0Q2901YNGD1</v>
      </c>
      <c r="F7122" s="238" t="str">
        <f>IFERROR(__xludf.DUMMYFUNCTION("""COMPUTED_VALUE"""),"EWJ4880,RLI5H60")</f>
        <v>EWJ4880,RLI5H60</v>
      </c>
      <c r="G7122" s="238">
        <f>IFERROR(__xludf.DUMMYFUNCTION("""COMPUTED_VALUE"""),46062.91666666667)</f>
        <v>46062.91667</v>
      </c>
      <c r="H7122" s="238">
        <f>IFERROR(__xludf.DUMMYFUNCTION("""COMPUTED_VALUE"""),46063.29166666667)</f>
        <v>46063.29167</v>
      </c>
      <c r="J7122" s="239">
        <v>540.0</v>
      </c>
    </row>
    <row r="7123">
      <c r="A7123" s="234"/>
      <c r="B7123" s="238" t="str">
        <f>IFERROR(__xludf.DUMMYFUNCTION("""COMPUTED_VALUE"""),"SoC_BA_Simoes Filho")</f>
        <v>SoC_BA_Simoes Filho</v>
      </c>
      <c r="C7123" s="238" t="str">
        <f>IFERROR(__xludf.DUMMYFUNCTION("""COMPUTED_VALUE"""),"SOC-BA2")</f>
        <v>SOC-BA2</v>
      </c>
      <c r="D7123" s="234">
        <f>IFERROR(__xludf.DUMMYFUNCTION("""COMPUTED_VALUE"""),89.0)</f>
        <v>89</v>
      </c>
      <c r="E7123" s="237" t="str">
        <f>IFERROR(__xludf.DUMMYFUNCTION("""COMPUTED_VALUE"""),"LT1Q2901YTGC1")</f>
        <v>LT1Q2901YTGC1</v>
      </c>
      <c r="F7123" s="238" t="str">
        <f>IFERROR(__xludf.DUMMYFUNCTION("""COMPUTED_VALUE"""),"RDZ4E63,QSR8C55")</f>
        <v>RDZ4E63,QSR8C55</v>
      </c>
      <c r="G7123" s="238">
        <f>IFERROR(__xludf.DUMMYFUNCTION("""COMPUTED_VALUE"""),46062.91666666667)</f>
        <v>46062.91667</v>
      </c>
      <c r="H7123" s="238">
        <f>IFERROR(__xludf.DUMMYFUNCTION("""COMPUTED_VALUE"""),46063.29166666667)</f>
        <v>46063.29167</v>
      </c>
      <c r="J7123" s="239">
        <v>540.0</v>
      </c>
    </row>
    <row r="7124">
      <c r="A7124" s="234"/>
      <c r="B7124" s="238" t="str">
        <f>IFERROR(__xludf.DUMMYFUNCTION("""COMPUTED_VALUE"""),"SoC_GO_Goiânia_02")</f>
        <v>SoC_GO_Goiânia_02</v>
      </c>
      <c r="C7124" s="238" t="str">
        <f>IFERROR(__xludf.DUMMYFUNCTION("""COMPUTED_VALUE"""),"SOC-GO2")</f>
        <v>SOC-GO2</v>
      </c>
      <c r="D7124" s="234" t="str">
        <f>IFERROR(__xludf.DUMMYFUNCTION("""COMPUTED_VALUE"""),"87/13")</f>
        <v>87/13</v>
      </c>
      <c r="E7124" s="237" t="str">
        <f>IFERROR(__xludf.DUMMYFUNCTION("""COMPUTED_VALUE"""),"LT0Q2901YNQM1")</f>
        <v>LT0Q2901YNQM1</v>
      </c>
      <c r="F7124" s="238" t="str">
        <f>IFERROR(__xludf.DUMMYFUNCTION("""COMPUTED_VALUE"""),"RJG5E55,ETM2J71")</f>
        <v>RJG5E55,ETM2J71</v>
      </c>
      <c r="G7124" s="238">
        <f>IFERROR(__xludf.DUMMYFUNCTION("""COMPUTED_VALUE"""),46062.91666666667)</f>
        <v>46062.91667</v>
      </c>
      <c r="H7124" s="238">
        <f>IFERROR(__xludf.DUMMYFUNCTION("""COMPUTED_VALUE"""),46063.29166666667)</f>
        <v>46063.29167</v>
      </c>
      <c r="J7124" s="239">
        <v>540.0</v>
      </c>
    </row>
    <row r="7125">
      <c r="A7125" s="234"/>
      <c r="B7125" s="238" t="str">
        <f>IFERROR(__xludf.DUMMYFUNCTION("""COMPUTED_VALUE"""),"SoC_GO_Goiânia_02")</f>
        <v>SoC_GO_Goiânia_02</v>
      </c>
      <c r="C7125" s="238" t="str">
        <f>IFERROR(__xludf.DUMMYFUNCTION("""COMPUTED_VALUE"""),"SOC-GO2")</f>
        <v>SOC-GO2</v>
      </c>
      <c r="D7125" s="234">
        <f>IFERROR(__xludf.DUMMYFUNCTION("""COMPUTED_VALUE"""),87.0)</f>
        <v>87</v>
      </c>
      <c r="E7125" s="237" t="str">
        <f>IFERROR(__xludf.DUMMYFUNCTION("""COMPUTED_VALUE"""),"LT1Q2901YTGH1")</f>
        <v>LT1Q2901YTGH1</v>
      </c>
      <c r="F7125" s="238" t="str">
        <f>IFERROR(__xludf.DUMMYFUNCTION("""COMPUTED_VALUE"""),"RTD5C41,DTA7I07")</f>
        <v>RTD5C41,DTA7I07</v>
      </c>
      <c r="G7125" s="238">
        <f>IFERROR(__xludf.DUMMYFUNCTION("""COMPUTED_VALUE"""),46062.91666666667)</f>
        <v>46062.91667</v>
      </c>
      <c r="H7125" s="238">
        <f>IFERROR(__xludf.DUMMYFUNCTION("""COMPUTED_VALUE"""),46063.29166666667)</f>
        <v>46063.29167</v>
      </c>
      <c r="J7125" s="239">
        <v>540.0</v>
      </c>
    </row>
    <row r="7126">
      <c r="A7126" s="234"/>
      <c r="B7126" s="238" t="str">
        <f>IFERROR(__xludf.DUMMYFUNCTION("""COMPUTED_VALUE"""),"SoC_PE_Jaboatão dos Guararapes")</f>
        <v>SoC_PE_Jaboatão dos Guararapes</v>
      </c>
      <c r="C7126" s="238" t="str">
        <f>IFERROR(__xludf.DUMMYFUNCTION("""COMPUTED_VALUE"""),"SOC-PE2")</f>
        <v>SOC-PE2</v>
      </c>
      <c r="D7126" s="234">
        <f>IFERROR(__xludf.DUMMYFUNCTION("""COMPUTED_VALUE"""),99.0)</f>
        <v>99</v>
      </c>
      <c r="E7126" s="237" t="str">
        <f>IFERROR(__xludf.DUMMYFUNCTION("""COMPUTED_VALUE"""),"LT0Q2901YNDG1")</f>
        <v>LT0Q2901YNDG1</v>
      </c>
      <c r="F7126" s="238" t="str">
        <f>IFERROR(__xludf.DUMMYFUNCTION("""COMPUTED_VALUE"""),"QXM0F88,HMM4E77")</f>
        <v>QXM0F88,HMM4E77</v>
      </c>
      <c r="G7126" s="238">
        <f>IFERROR(__xludf.DUMMYFUNCTION("""COMPUTED_VALUE"""),46062.91666666667)</f>
        <v>46062.91667</v>
      </c>
      <c r="H7126" s="238">
        <f>IFERROR(__xludf.DUMMYFUNCTION("""COMPUTED_VALUE"""),46063.29166666667)</f>
        <v>46063.29167</v>
      </c>
      <c r="J7126" s="239">
        <v>540.0</v>
      </c>
    </row>
    <row r="7127">
      <c r="A7127" s="234"/>
      <c r="B7127" s="238" t="str">
        <f>IFERROR(__xludf.DUMMYFUNCTION("""COMPUTED_VALUE"""),"SoC_PE_Jaboatão dos Guararapes")</f>
        <v>SoC_PE_Jaboatão dos Guararapes</v>
      </c>
      <c r="C7127" s="238" t="str">
        <f>IFERROR(__xludf.DUMMYFUNCTION("""COMPUTED_VALUE"""),"SOC-PE2")</f>
        <v>SOC-PE2</v>
      </c>
      <c r="D7127" s="234">
        <f>IFERROR(__xludf.DUMMYFUNCTION("""COMPUTED_VALUE"""),98.0)</f>
        <v>98</v>
      </c>
      <c r="E7127" s="237" t="str">
        <f>IFERROR(__xludf.DUMMYFUNCTION("""COMPUTED_VALUE"""),"LT1Q2901YTG91")</f>
        <v>LT1Q2901YTG91</v>
      </c>
      <c r="F7127" s="238" t="str">
        <f>IFERROR(__xludf.DUMMYFUNCTION("""COMPUTED_VALUE"""),"RLJ4C94,REA1D68")</f>
        <v>RLJ4C94,REA1D68</v>
      </c>
      <c r="G7127" s="238">
        <f>IFERROR(__xludf.DUMMYFUNCTION("""COMPUTED_VALUE"""),46062.91666666667)</f>
        <v>46062.91667</v>
      </c>
      <c r="H7127" s="238">
        <f>IFERROR(__xludf.DUMMYFUNCTION("""COMPUTED_VALUE"""),46063.29166666667)</f>
        <v>46063.29167</v>
      </c>
      <c r="J7127" s="239">
        <v>540.0</v>
      </c>
    </row>
    <row r="7128">
      <c r="A7128" s="234"/>
      <c r="B7128" s="238" t="str">
        <f>IFERROR(__xludf.DUMMYFUNCTION("""COMPUTED_VALUE"""),"SoC_RJ_Duque de Caxias")</f>
        <v>SoC_RJ_Duque de Caxias</v>
      </c>
      <c r="C7128" s="238" t="str">
        <f>IFERROR(__xludf.DUMMYFUNCTION("""COMPUTED_VALUE"""),"SOC-RJ2")</f>
        <v>SOC-RJ2</v>
      </c>
      <c r="D7128" s="234">
        <f>IFERROR(__xludf.DUMMYFUNCTION("""COMPUTED_VALUE"""),96.0)</f>
        <v>96</v>
      </c>
      <c r="E7128" s="237" t="str">
        <f>IFERROR(__xludf.DUMMYFUNCTION("""COMPUTED_VALUE"""),"LT1Q2901YTG51")</f>
        <v>LT1Q2901YTG51</v>
      </c>
      <c r="F7128" s="238" t="str">
        <f>IFERROR(__xludf.DUMMYFUNCTION("""COMPUTED_VALUE"""),"FTS4B75,UGK8E68")</f>
        <v>FTS4B75,UGK8E68</v>
      </c>
      <c r="G7128" s="238">
        <f>IFERROR(__xludf.DUMMYFUNCTION("""COMPUTED_VALUE"""),46062.91666666667)</f>
        <v>46062.91667</v>
      </c>
      <c r="H7128" s="238">
        <f>IFERROR(__xludf.DUMMYFUNCTION("""COMPUTED_VALUE"""),46063.29166666667)</f>
        <v>46063.29167</v>
      </c>
      <c r="J7128" s="239">
        <v>540.0</v>
      </c>
    </row>
    <row r="7129">
      <c r="A7129" s="234"/>
      <c r="B7129" s="238" t="str">
        <f>IFERROR(__xludf.DUMMYFUNCTION("""COMPUTED_VALUE"""),"SoC_RS_Gravataí_02")</f>
        <v>SoC_RS_Gravataí_02</v>
      </c>
      <c r="C7129" s="238" t="str">
        <f>IFERROR(__xludf.DUMMYFUNCTION("""COMPUTED_VALUE"""),"SOC-RS2")</f>
        <v>SOC-RS2</v>
      </c>
      <c r="D7129" s="234">
        <f>IFERROR(__xludf.DUMMYFUNCTION("""COMPUTED_VALUE"""),92.0)</f>
        <v>92</v>
      </c>
      <c r="E7129" s="237" t="str">
        <f>IFERROR(__xludf.DUMMYFUNCTION("""COMPUTED_VALUE"""),"LT0Q2901YNSJ1")</f>
        <v>LT0Q2901YNSJ1</v>
      </c>
      <c r="F7129" s="238" t="str">
        <f>IFERROR(__xludf.DUMMYFUNCTION("""COMPUTED_VALUE"""),"SWP1F91,SVT2B25")</f>
        <v>SWP1F91,SVT2B25</v>
      </c>
      <c r="G7129" s="238">
        <f>IFERROR(__xludf.DUMMYFUNCTION("""COMPUTED_VALUE"""),46062.91666666667)</f>
        <v>46062.91667</v>
      </c>
      <c r="H7129" s="238">
        <f>IFERROR(__xludf.DUMMYFUNCTION("""COMPUTED_VALUE"""),46063.29166666667)</f>
        <v>46063.29167</v>
      </c>
      <c r="J7129" s="239">
        <v>540.0</v>
      </c>
    </row>
    <row r="7130">
      <c r="A7130" s="234"/>
      <c r="B7130" s="238" t="str">
        <f>IFERROR(__xludf.DUMMYFUNCTION("""COMPUTED_VALUE"""),"SoC_SC_Itajaí")</f>
        <v>SoC_SC_Itajaí</v>
      </c>
      <c r="C7130" s="238" t="str">
        <f>IFERROR(__xludf.DUMMYFUNCTION("""COMPUTED_VALUE"""),"SOC-SC1")</f>
        <v>SOC-SC1</v>
      </c>
      <c r="D7130" s="234">
        <f>IFERROR(__xludf.DUMMYFUNCTION("""COMPUTED_VALUE"""),101.0)</f>
        <v>101</v>
      </c>
      <c r="E7130" s="237" t="str">
        <f>IFERROR(__xludf.DUMMYFUNCTION("""COMPUTED_VALUE"""),"LT0Q2901YMN91")</f>
        <v>LT0Q2901YMN91</v>
      </c>
      <c r="F7130" s="238" t="str">
        <f>IFERROR(__xludf.DUMMYFUNCTION("""COMPUTED_VALUE"""),"QJE1J34,RYV2H48")</f>
        <v>QJE1J34,RYV2H48</v>
      </c>
      <c r="G7130" s="238">
        <f>IFERROR(__xludf.DUMMYFUNCTION("""COMPUTED_VALUE"""),46062.91666666667)</f>
        <v>46062.91667</v>
      </c>
      <c r="H7130" s="238">
        <f>IFERROR(__xludf.DUMMYFUNCTION("""COMPUTED_VALUE"""),46063.29166666667)</f>
        <v>46063.29167</v>
      </c>
      <c r="J7130" s="239">
        <v>540.0</v>
      </c>
    </row>
    <row r="7131">
      <c r="A7131" s="234"/>
      <c r="B7131" s="238" t="str">
        <f>IFERROR(__xludf.DUMMYFUNCTION("""COMPUTED_VALUE"""),"SoC_SP_Cravinhos")</f>
        <v>SoC_SP_Cravinhos</v>
      </c>
      <c r="C7131" s="238" t="str">
        <f>IFERROR(__xludf.DUMMYFUNCTION("""COMPUTED_VALUE"""),"SOC-SP5")</f>
        <v>SOC-SP5</v>
      </c>
      <c r="D7131" s="234">
        <f>IFERROR(__xludf.DUMMYFUNCTION("""COMPUTED_VALUE"""),94.0)</f>
        <v>94</v>
      </c>
      <c r="E7131" s="237" t="str">
        <f>IFERROR(__xludf.DUMMYFUNCTION("""COMPUTED_VALUE"""),"LT0Q2901YIVC1")</f>
        <v>LT0Q2901YIVC1</v>
      </c>
      <c r="F7131" s="238" t="str">
        <f>IFERROR(__xludf.DUMMYFUNCTION("""COMPUTED_VALUE"""),"EFV3J07,FNB4150")</f>
        <v>EFV3J07,FNB4150</v>
      </c>
      <c r="G7131" s="238">
        <f>IFERROR(__xludf.DUMMYFUNCTION("""COMPUTED_VALUE"""),46062.91666666667)</f>
        <v>46062.91667</v>
      </c>
      <c r="H7131" s="238">
        <f>IFERROR(__xludf.DUMMYFUNCTION("""COMPUTED_VALUE"""),46063.29166666667)</f>
        <v>46063.29167</v>
      </c>
      <c r="J7131" s="239">
        <v>540.0</v>
      </c>
    </row>
    <row r="7132">
      <c r="A7132" s="234"/>
      <c r="B7132" s="238" t="str">
        <f>IFERROR(__xludf.DUMMYFUNCTION("""COMPUTED_VALUE"""),"SoC_SP_Cravinhos")</f>
        <v>SoC_SP_Cravinhos</v>
      </c>
      <c r="C7132" s="238" t="str">
        <f>IFERROR(__xludf.DUMMYFUNCTION("""COMPUTED_VALUE"""),"SOC-SP5")</f>
        <v>SOC-SP5</v>
      </c>
      <c r="D7132" s="234">
        <f>IFERROR(__xludf.DUMMYFUNCTION("""COMPUTED_VALUE"""),94.0)</f>
        <v>94</v>
      </c>
      <c r="E7132" s="237" t="str">
        <f>IFERROR(__xludf.DUMMYFUNCTION("""COMPUTED_VALUE"""),"LT0Q2901YIVE2")</f>
        <v>LT0Q2901YIVE2</v>
      </c>
      <c r="F7132" s="238" t="str">
        <f>IFERROR(__xludf.DUMMYFUNCTION("""COMPUTED_VALUE"""),"FOO7J04,TJI8B90")</f>
        <v>FOO7J04,TJI8B90</v>
      </c>
      <c r="G7132" s="238">
        <f>IFERROR(__xludf.DUMMYFUNCTION("""COMPUTED_VALUE"""),46062.91666666667)</f>
        <v>46062.91667</v>
      </c>
      <c r="H7132" s="238">
        <f>IFERROR(__xludf.DUMMYFUNCTION("""COMPUTED_VALUE"""),46063.29166666667)</f>
        <v>46063.29167</v>
      </c>
      <c r="J7132" s="239">
        <v>540.0</v>
      </c>
    </row>
    <row r="7133">
      <c r="A7133" s="234"/>
      <c r="B7133" s="238" t="str">
        <f>IFERROR(__xludf.DUMMYFUNCTION("""COMPUTED_VALUE"""),"SoC_SP_Cravinhos")</f>
        <v>SoC_SP_Cravinhos</v>
      </c>
      <c r="C7133" s="238" t="str">
        <f>IFERROR(__xludf.DUMMYFUNCTION("""COMPUTED_VALUE"""),"SOC-SP5")</f>
        <v>SOC-SP5</v>
      </c>
      <c r="D7133" s="234">
        <f>IFERROR(__xludf.DUMMYFUNCTION("""COMPUTED_VALUE"""),95.0)</f>
        <v>95</v>
      </c>
      <c r="E7133" s="237" t="str">
        <f>IFERROR(__xludf.DUMMYFUNCTION("""COMPUTED_VALUE"""),"LT0Q2901YIVG3")</f>
        <v>LT0Q2901YIVG3</v>
      </c>
      <c r="F7133" s="238" t="str">
        <f>IFERROR(__xludf.DUMMYFUNCTION("""COMPUTED_VALUE"""),"SUY4J08,TLT6E40")</f>
        <v>SUY4J08,TLT6E40</v>
      </c>
      <c r="G7133" s="238">
        <f>IFERROR(__xludf.DUMMYFUNCTION("""COMPUTED_VALUE"""),46062.91666666667)</f>
        <v>46062.91667</v>
      </c>
      <c r="H7133" s="238">
        <f>IFERROR(__xludf.DUMMYFUNCTION("""COMPUTED_VALUE"""),46063.29166666667)</f>
        <v>46063.29167</v>
      </c>
      <c r="J7133" s="239">
        <v>539.0000000072177</v>
      </c>
    </row>
    <row r="7134">
      <c r="A7134" s="234"/>
      <c r="B7134" s="238" t="str">
        <f>IFERROR(__xludf.DUMMYFUNCTION("""COMPUTED_VALUE"""),"SoC_RJ_Duque de Caxias")</f>
        <v>SoC_RJ_Duque de Caxias</v>
      </c>
      <c r="C7134" s="238" t="str">
        <f>IFERROR(__xludf.DUMMYFUNCTION("""COMPUTED_VALUE"""),"SOC-RJ2")</f>
        <v>SOC-RJ2</v>
      </c>
      <c r="D7134" s="234" t="str">
        <f>IFERROR(__xludf.DUMMYFUNCTION("""COMPUTED_VALUE"""),"97/13")</f>
        <v>97/13</v>
      </c>
      <c r="E7134" s="237" t="str">
        <f>IFERROR(__xludf.DUMMYFUNCTION("""COMPUTED_VALUE"""),"LT0Q2901YKMG1")</f>
        <v>LT0Q2901YKMG1</v>
      </c>
      <c r="F7134" s="238" t="str">
        <f>IFERROR(__xludf.DUMMYFUNCTION("""COMPUTED_VALUE"""),"FDZ0F10,TIV4G86")</f>
        <v>FDZ0F10,TIV4G86</v>
      </c>
      <c r="G7134" s="238">
        <f>IFERROR(__xludf.DUMMYFUNCTION("""COMPUTED_VALUE"""),46062.91736111111)</f>
        <v>46062.91736</v>
      </c>
      <c r="H7134" s="238">
        <f>IFERROR(__xludf.DUMMYFUNCTION("""COMPUTED_VALUE"""),46063.29166666667)</f>
        <v>46063.29167</v>
      </c>
      <c r="J7134" s="239">
        <v>539.0000000072177</v>
      </c>
    </row>
    <row r="7135">
      <c r="A7135" s="234"/>
      <c r="B7135" s="238" t="str">
        <f>IFERROR(__xludf.DUMMYFUNCTION("""COMPUTED_VALUE"""),"SoC_RJ_Duque de Caxias")</f>
        <v>SoC_RJ_Duque de Caxias</v>
      </c>
      <c r="C7135" s="238" t="str">
        <f>IFERROR(__xludf.DUMMYFUNCTION("""COMPUTED_VALUE"""),"SOC-RJ2")</f>
        <v>SOC-RJ2</v>
      </c>
      <c r="D7135" s="234">
        <f>IFERROR(__xludf.DUMMYFUNCTION("""COMPUTED_VALUE"""),97.0)</f>
        <v>97</v>
      </c>
      <c r="E7135" s="237" t="str">
        <f>IFERROR(__xludf.DUMMYFUNCTION("""COMPUTED_VALUE"""),"LT0Q2901YKMI2")</f>
        <v>LT0Q2901YKMI2</v>
      </c>
      <c r="F7135" s="238" t="str">
        <f>IFERROR(__xludf.DUMMYFUNCTION("""COMPUTED_VALUE"""),"IYZ5J93,DUM9E13")</f>
        <v>IYZ5J93,DUM9E13</v>
      </c>
      <c r="G7135" s="238">
        <f>IFERROR(__xludf.DUMMYFUNCTION("""COMPUTED_VALUE"""),46062.91736111111)</f>
        <v>46062.91736</v>
      </c>
      <c r="H7135" s="238">
        <f>IFERROR(__xludf.DUMMYFUNCTION("""COMPUTED_VALUE"""),46063.29166666667)</f>
        <v>46063.29167</v>
      </c>
      <c r="J7135" s="239">
        <v>538.0000000144355</v>
      </c>
    </row>
    <row r="7136">
      <c r="A7136" s="234"/>
      <c r="B7136" s="238" t="str">
        <f>IFERROR(__xludf.DUMMYFUNCTION("""COMPUTED_VALUE"""),"SoC_MG_Betim")</f>
        <v>SoC_MG_Betim</v>
      </c>
      <c r="C7136" s="238" t="str">
        <f>IFERROR(__xludf.DUMMYFUNCTION("""COMPUTED_VALUE"""),"SOC-MG2")</f>
        <v>SOC-MG2</v>
      </c>
      <c r="D7136" s="234">
        <f>IFERROR(__xludf.DUMMYFUNCTION("""COMPUTED_VALUE"""),17.0)</f>
        <v>17</v>
      </c>
      <c r="E7136" s="237" t="str">
        <f>IFERROR(__xludf.DUMMYFUNCTION("""COMPUTED_VALUE"""),"LT0Q2901YITO1")</f>
        <v>LT0Q2901YITO1</v>
      </c>
      <c r="F7136" s="238" t="str">
        <f>IFERROR(__xludf.DUMMYFUNCTION("""COMPUTED_VALUE"""),"SWH0E90,TAX1L63")</f>
        <v>SWH0E90,TAX1L63</v>
      </c>
      <c r="G7136" s="238">
        <f>IFERROR(__xludf.DUMMYFUNCTION("""COMPUTED_VALUE"""),46062.91805555555)</f>
        <v>46062.91806</v>
      </c>
      <c r="H7136" s="238">
        <f>IFERROR(__xludf.DUMMYFUNCTION("""COMPUTED_VALUE"""),46063.29166666667)</f>
        <v>46063.29167</v>
      </c>
      <c r="J7136" s="239">
        <v>538.0000000144355</v>
      </c>
    </row>
    <row r="7137">
      <c r="A7137" s="234"/>
      <c r="B7137" s="238" t="str">
        <f>IFERROR(__xludf.DUMMYFUNCTION("""COMPUTED_VALUE"""),"SoC_MG_Betim")</f>
        <v>SoC_MG_Betim</v>
      </c>
      <c r="C7137" s="238" t="str">
        <f>IFERROR(__xludf.DUMMYFUNCTION("""COMPUTED_VALUE"""),"SOC-MG2")</f>
        <v>SOC-MG2</v>
      </c>
      <c r="D7137" s="234">
        <f>IFERROR(__xludf.DUMMYFUNCTION("""COMPUTED_VALUE"""),91.0)</f>
        <v>91</v>
      </c>
      <c r="E7137" s="237" t="str">
        <f>IFERROR(__xludf.DUMMYFUNCTION("""COMPUTED_VALUE"""),"LT0Q2901YITQ2")</f>
        <v>LT0Q2901YITQ2</v>
      </c>
      <c r="F7137" s="238" t="str">
        <f>IFERROR(__xludf.DUMMYFUNCTION("""COMPUTED_VALUE"""),"FCV3J24,TLS7G35")</f>
        <v>FCV3J24,TLS7G35</v>
      </c>
      <c r="G7137" s="238">
        <f>IFERROR(__xludf.DUMMYFUNCTION("""COMPUTED_VALUE"""),46062.91805555555)</f>
        <v>46062.91806</v>
      </c>
      <c r="H7137" s="238">
        <f>IFERROR(__xludf.DUMMYFUNCTION("""COMPUTED_VALUE"""),46063.29166666667)</f>
        <v>46063.29167</v>
      </c>
      <c r="J7137" s="239">
        <v>120.00000001396984</v>
      </c>
    </row>
    <row r="7138">
      <c r="A7138" s="234"/>
      <c r="B7138" s="238" t="str">
        <f>IFERROR(__xludf.DUMMYFUNCTION("""COMPUTED_VALUE"""),"LM Hub_SP_Barueri_01")</f>
        <v>LM Hub_SP_Barueri_01</v>
      </c>
      <c r="C7138" s="238" t="str">
        <f>IFERROR(__xludf.DUMMYFUNCTION("""COMPUTED_VALUE"""),"HUB-LSP-81")</f>
        <v>HUB-LSP-81</v>
      </c>
      <c r="D7138" s="234">
        <f>IFERROR(__xludf.DUMMYFUNCTION("""COMPUTED_VALUE"""),29.0)</f>
        <v>29</v>
      </c>
      <c r="E7138" s="237" t="str">
        <f>IFERROR(__xludf.DUMMYFUNCTION("""COMPUTED_VALUE"""),"LT0Q2A01YN661")</f>
        <v>LT0Q2A01YN661</v>
      </c>
      <c r="F7138" s="238" t="str">
        <f>IFERROR(__xludf.DUMMYFUNCTION("""COMPUTED_VALUE"""),"SUQ5C99")</f>
        <v>SUQ5C99</v>
      </c>
      <c r="G7138" s="238">
        <f>IFERROR(__xludf.DUMMYFUNCTION("""COMPUTED_VALUE"""),46063.20833333333)</f>
        <v>46063.20833</v>
      </c>
      <c r="H7138" s="238">
        <f>IFERROR(__xludf.DUMMYFUNCTION("""COMPUTED_VALUE"""),46063.29166666667)</f>
        <v>46063.29167</v>
      </c>
      <c r="J7138" s="239">
        <v>120.00000001396984</v>
      </c>
    </row>
    <row r="7139">
      <c r="A7139" s="234"/>
      <c r="B7139" s="238" t="str">
        <f>IFERROR(__xludf.DUMMYFUNCTION("""COMPUTED_VALUE"""),"LM Hub_SP_Piracicaba")</f>
        <v>LM Hub_SP_Piracicaba</v>
      </c>
      <c r="C7139" s="238" t="str">
        <f>IFERROR(__xludf.DUMMYFUNCTION("""COMPUTED_VALUE"""),"HUB-LSP-62")</f>
        <v>HUB-LSP-62</v>
      </c>
      <c r="D7139" s="234">
        <f>IFERROR(__xludf.DUMMYFUNCTION("""COMPUTED_VALUE"""),24.0)</f>
        <v>24</v>
      </c>
      <c r="E7139" s="237" t="str">
        <f>IFERROR(__xludf.DUMMYFUNCTION("""COMPUTED_VALUE"""),"LT0Q2A01YPQ41")</f>
        <v>LT0Q2A01YPQ41</v>
      </c>
      <c r="F7139" s="238" t="str">
        <f>IFERROR(__xludf.DUMMYFUNCTION("""COMPUTED_VALUE"""),"OMY3I62")</f>
        <v>OMY3I62</v>
      </c>
      <c r="G7139" s="238">
        <f>IFERROR(__xludf.DUMMYFUNCTION("""COMPUTED_VALUE"""),46063.20833333333)</f>
        <v>46063.20833</v>
      </c>
      <c r="H7139" s="238">
        <f>IFERROR(__xludf.DUMMYFUNCTION("""COMPUTED_VALUE"""),46063.29166666667)</f>
        <v>46063.29167</v>
      </c>
      <c r="J7139" s="239">
        <v>120.00000001396984</v>
      </c>
    </row>
    <row r="7140">
      <c r="A7140" s="234"/>
      <c r="B7140" s="238" t="str">
        <f>IFERROR(__xludf.DUMMYFUNCTION("""COMPUTED_VALUE"""),"LM Hub_SP_Santos_PraiaGrande_02")</f>
        <v>LM Hub_SP_Santos_PraiaGrande_02</v>
      </c>
      <c r="C7140" s="238" t="str">
        <f>IFERROR(__xludf.DUMMYFUNCTION("""COMPUTED_VALUE"""),"HUB-LSP-63")</f>
        <v>HUB-LSP-63</v>
      </c>
      <c r="D7140" s="234">
        <f>IFERROR(__xludf.DUMMYFUNCTION("""COMPUTED_VALUE"""),40.0)</f>
        <v>40</v>
      </c>
      <c r="E7140" s="237" t="str">
        <f>IFERROR(__xludf.DUMMYFUNCTION("""COMPUTED_VALUE"""),"LT0Q2A01YK1C1")</f>
        <v>LT0Q2A01YK1C1</v>
      </c>
      <c r="F7140" s="238" t="str">
        <f>IFERROR(__xludf.DUMMYFUNCTION("""COMPUTED_VALUE"""),"EJE6981,FCW8D21")</f>
        <v>EJE6981,FCW8D21</v>
      </c>
      <c r="G7140" s="238">
        <f>IFERROR(__xludf.DUMMYFUNCTION("""COMPUTED_VALUE"""),46063.20833333333)</f>
        <v>46063.20833</v>
      </c>
      <c r="H7140" s="238">
        <f>IFERROR(__xludf.DUMMYFUNCTION("""COMPUTED_VALUE"""),46063.29166666667)</f>
        <v>46063.29167</v>
      </c>
      <c r="J7140" s="239">
        <v>119.00000001071021</v>
      </c>
    </row>
    <row r="7141">
      <c r="A7141" s="234"/>
      <c r="B7141" s="238" t="str">
        <f>IFERROR(__xludf.DUMMYFUNCTION("""COMPUTED_VALUE"""),"LM Hub_SP_Jundiaí")</f>
        <v>LM Hub_SP_Jundiaí</v>
      </c>
      <c r="C7141" s="238" t="str">
        <f>IFERROR(__xludf.DUMMYFUNCTION("""COMPUTED_VALUE"""),"HUB-LSP-100")</f>
        <v>HUB-LSP-100</v>
      </c>
      <c r="D7141" s="234">
        <f>IFERROR(__xludf.DUMMYFUNCTION("""COMPUTED_VALUE"""),35.0)</f>
        <v>35</v>
      </c>
      <c r="E7141" s="237" t="str">
        <f>IFERROR(__xludf.DUMMYFUNCTION("""COMPUTED_VALUE"""),"LT0Q2A01YGJI1")</f>
        <v>LT0Q2A01YGJI1</v>
      </c>
      <c r="F7141" s="238" t="str">
        <f>IFERROR(__xludf.DUMMYFUNCTION("""COMPUTED_VALUE"""),"FNK8E47,FAM1829")</f>
        <v>FNK8E47,FAM1829</v>
      </c>
      <c r="G7141" s="238">
        <f>IFERROR(__xludf.DUMMYFUNCTION("""COMPUTED_VALUE"""),46063.209027777775)</f>
        <v>46063.20903</v>
      </c>
      <c r="H7141" s="238">
        <f>IFERROR(__xludf.DUMMYFUNCTION("""COMPUTED_VALUE"""),46063.29166666667)</f>
        <v>46063.29167</v>
      </c>
      <c r="J7141" s="239">
        <v>119.99999999301508</v>
      </c>
    </row>
    <row r="7142">
      <c r="A7142" s="234"/>
      <c r="B7142" s="238" t="str">
        <f>IFERROR(__xludf.DUMMYFUNCTION("""COMPUTED_VALUE"""),"LM Hub_SP_Guarujá")</f>
        <v>LM Hub_SP_Guarujá</v>
      </c>
      <c r="C7142" s="238" t="str">
        <f>IFERROR(__xludf.DUMMYFUNCTION("""COMPUTED_VALUE"""),"HUB-LSP-06")</f>
        <v>HUB-LSP-06</v>
      </c>
      <c r="D7142" s="234">
        <f>IFERROR(__xludf.DUMMYFUNCTION("""COMPUTED_VALUE"""),32.0)</f>
        <v>32</v>
      </c>
      <c r="E7142" s="237" t="str">
        <f>IFERROR(__xludf.DUMMYFUNCTION("""COMPUTED_VALUE"""),"LT0Q2A01YK0S1")</f>
        <v>LT0Q2A01YK0S1</v>
      </c>
      <c r="F7142" s="238" t="str">
        <f>IFERROR(__xludf.DUMMYFUNCTION("""COMPUTED_VALUE"""),"UFB1B50")</f>
        <v>UFB1B50</v>
      </c>
      <c r="G7142" s="238">
        <f>IFERROR(__xludf.DUMMYFUNCTION("""COMPUTED_VALUE"""),46063.22916666667)</f>
        <v>46063.22917</v>
      </c>
      <c r="H7142" s="238">
        <f>IFERROR(__xludf.DUMMYFUNCTION("""COMPUTED_VALUE"""),46063.3125)</f>
        <v>46063.3125</v>
      </c>
      <c r="J7142" s="239">
        <v>119.99999999301508</v>
      </c>
    </row>
    <row r="7143">
      <c r="A7143" s="234"/>
      <c r="B7143" s="238" t="str">
        <f>IFERROR(__xludf.DUMMYFUNCTION("""COMPUTED_VALUE"""),"LM Hub_SP_Itapevi")</f>
        <v>LM Hub_SP_Itapevi</v>
      </c>
      <c r="C7143" s="238" t="str">
        <f>IFERROR(__xludf.DUMMYFUNCTION("""COMPUTED_VALUE"""),"HUB-LSP-41")</f>
        <v>HUB-LSP-41</v>
      </c>
      <c r="D7143" s="234">
        <f>IFERROR(__xludf.DUMMYFUNCTION("""COMPUTED_VALUE"""),23.0)</f>
        <v>23</v>
      </c>
      <c r="E7143" s="237" t="str">
        <f>IFERROR(__xludf.DUMMYFUNCTION("""COMPUTED_VALUE"""),"LT0Q2A01YF8Q1")</f>
        <v>LT0Q2A01YF8Q1</v>
      </c>
      <c r="F7143" s="238" t="str">
        <f>IFERROR(__xludf.DUMMYFUNCTION("""COMPUTED_VALUE"""),"FYQ5533")</f>
        <v>FYQ5533</v>
      </c>
      <c r="G7143" s="238">
        <f>IFERROR(__xludf.DUMMYFUNCTION("""COMPUTED_VALUE"""),46063.22916666667)</f>
        <v>46063.22917</v>
      </c>
      <c r="H7143" s="238">
        <f>IFERROR(__xludf.DUMMYFUNCTION("""COMPUTED_VALUE"""),46063.3125)</f>
        <v>46063.3125</v>
      </c>
      <c r="J7143" s="239">
        <v>119.99999999301508</v>
      </c>
    </row>
    <row r="7144">
      <c r="A7144" s="234"/>
      <c r="B7144" s="238" t="str">
        <f>IFERROR(__xludf.DUMMYFUNCTION("""COMPUTED_VALUE"""),"LM Hub_SP_Santos_Praia Grande")</f>
        <v>LM Hub_SP_Santos_Praia Grande</v>
      </c>
      <c r="C7144" s="238" t="str">
        <f>IFERROR(__xludf.DUMMYFUNCTION("""COMPUTED_VALUE"""),"HUB-LSP-09")</f>
        <v>HUB-LSP-09</v>
      </c>
      <c r="D7144" s="234">
        <f>IFERROR(__xludf.DUMMYFUNCTION("""COMPUTED_VALUE"""),17.0)</f>
        <v>17</v>
      </c>
      <c r="E7144" s="237" t="str">
        <f>IFERROR(__xludf.DUMMYFUNCTION("""COMPUTED_VALUE"""),"LT0Q2A01YK0X1")</f>
        <v>LT0Q2A01YK0X1</v>
      </c>
      <c r="F7144" s="238" t="str">
        <f>IFERROR(__xludf.DUMMYFUNCTION("""COMPUTED_VALUE"""),"CDX7C63")</f>
        <v>CDX7C63</v>
      </c>
      <c r="G7144" s="238">
        <f>IFERROR(__xludf.DUMMYFUNCTION("""COMPUTED_VALUE"""),46063.22916666667)</f>
        <v>46063.22917</v>
      </c>
      <c r="H7144" s="238">
        <f>IFERROR(__xludf.DUMMYFUNCTION("""COMPUTED_VALUE"""),46063.3125)</f>
        <v>46063.3125</v>
      </c>
      <c r="J7144" s="239">
        <v>119.99999999301508</v>
      </c>
    </row>
    <row r="7145">
      <c r="A7145" s="234"/>
      <c r="B7145" s="238" t="str">
        <f>IFERROR(__xludf.DUMMYFUNCTION("""COMPUTED_VALUE"""),"LM Hub_SP_São Paulo_Mooca")</f>
        <v>LM Hub_SP_São Paulo_Mooca</v>
      </c>
      <c r="C7145" s="238" t="str">
        <f>IFERROR(__xludf.DUMMYFUNCTION("""COMPUTED_VALUE"""),"HUB-LSP-13")</f>
        <v>HUB-LSP-13</v>
      </c>
      <c r="D7145" s="234">
        <f>IFERROR(__xludf.DUMMYFUNCTION("""COMPUTED_VALUE"""),25.0)</f>
        <v>25</v>
      </c>
      <c r="E7145" s="237" t="str">
        <f>IFERROR(__xludf.DUMMYFUNCTION("""COMPUTED_VALUE"""),"LT0Q2A01YFHP1")</f>
        <v>LT0Q2A01YFHP1</v>
      </c>
      <c r="F7145" s="238" t="str">
        <f>IFERROR(__xludf.DUMMYFUNCTION("""COMPUTED_VALUE"""),"FGI1F79")</f>
        <v>FGI1F79</v>
      </c>
      <c r="G7145" s="238">
        <f>IFERROR(__xludf.DUMMYFUNCTION("""COMPUTED_VALUE"""),46063.22916666667)</f>
        <v>46063.22917</v>
      </c>
      <c r="H7145" s="238">
        <f>IFERROR(__xludf.DUMMYFUNCTION("""COMPUTED_VALUE"""),46063.3125)</f>
        <v>46063.3125</v>
      </c>
      <c r="J7145" s="239">
        <v>119.00000000023283</v>
      </c>
    </row>
    <row r="7146">
      <c r="A7146" s="234"/>
      <c r="B7146" s="238" t="str">
        <f>IFERROR(__xludf.DUMMYFUNCTION("""COMPUTED_VALUE"""),"LM Hub_SP_Várzea Paulista")</f>
        <v>LM Hub_SP_Várzea Paulista</v>
      </c>
      <c r="C7146" s="238" t="str">
        <f>IFERROR(__xludf.DUMMYFUNCTION("""COMPUTED_VALUE"""),"HUB-LSP-20")</f>
        <v>HUB-LSP-20</v>
      </c>
      <c r="D7146" s="234">
        <f>IFERROR(__xludf.DUMMYFUNCTION("""COMPUTED_VALUE"""),18.0)</f>
        <v>18</v>
      </c>
      <c r="E7146" s="237" t="str">
        <f>IFERROR(__xludf.DUMMYFUNCTION("""COMPUTED_VALUE"""),"LT0Q2A01YF9M1")</f>
        <v>LT0Q2A01YF9M1</v>
      </c>
      <c r="F7146" s="238" t="str">
        <f>IFERROR(__xludf.DUMMYFUNCTION("""COMPUTED_VALUE"""),"MEZ3B05,MCK9433")</f>
        <v>MEZ3B05,MCK9433</v>
      </c>
      <c r="G7146" s="238">
        <f>IFERROR(__xludf.DUMMYFUNCTION("""COMPUTED_VALUE"""),46063.22986111111)</f>
        <v>46063.22986</v>
      </c>
      <c r="H7146" s="238">
        <f>IFERROR(__xludf.DUMMYFUNCTION("""COMPUTED_VALUE"""),46063.3125)</f>
        <v>46063.3125</v>
      </c>
      <c r="J7146" s="239">
        <v>119.99999999301508</v>
      </c>
    </row>
    <row r="7147">
      <c r="A7147" s="234"/>
      <c r="B7147" s="238" t="str">
        <f>IFERROR(__xludf.DUMMYFUNCTION("""COMPUTED_VALUE"""),"LM Hub_SP_Artur Alvim")</f>
        <v>LM Hub_SP_Artur Alvim</v>
      </c>
      <c r="C7147" s="238" t="str">
        <f>IFERROR(__xludf.DUMMYFUNCTION("""COMPUTED_VALUE"""),"HUB-LSP-07")</f>
        <v>HUB-LSP-07</v>
      </c>
      <c r="D7147" s="234">
        <f>IFERROR(__xludf.DUMMYFUNCTION("""COMPUTED_VALUE"""),19.0)</f>
        <v>19</v>
      </c>
      <c r="E7147" s="237" t="str">
        <f>IFERROR(__xludf.DUMMYFUNCTION("""COMPUTED_VALUE"""),"LT0Q2A01YJZO1")</f>
        <v>LT0Q2A01YJZO1</v>
      </c>
      <c r="F7147" s="238" t="str">
        <f>IFERROR(__xludf.DUMMYFUNCTION("""COMPUTED_VALUE"""),"DAJ3E28")</f>
        <v>DAJ3E28</v>
      </c>
      <c r="G7147" s="238">
        <f>IFERROR(__xludf.DUMMYFUNCTION("""COMPUTED_VALUE"""),46063.25)</f>
        <v>46063.25</v>
      </c>
      <c r="H7147" s="238">
        <f>IFERROR(__xludf.DUMMYFUNCTION("""COMPUTED_VALUE"""),46063.33333333333)</f>
        <v>46063.33333</v>
      </c>
      <c r="J7147" s="239">
        <v>119.99999999301508</v>
      </c>
    </row>
    <row r="7148">
      <c r="A7148" s="234"/>
      <c r="B7148" s="238" t="str">
        <f>IFERROR(__xludf.DUMMYFUNCTION("""COMPUTED_VALUE"""),"LM Hub_SP_Jardim Adriana")</f>
        <v>LM Hub_SP_Jardim Adriana</v>
      </c>
      <c r="C7148" s="238" t="str">
        <f>IFERROR(__xludf.DUMMYFUNCTION("""COMPUTED_VALUE"""),"HUB-LSP-12")</f>
        <v>HUB-LSP-12</v>
      </c>
      <c r="D7148" s="234">
        <f>IFERROR(__xludf.DUMMYFUNCTION("""COMPUTED_VALUE"""),15.0)</f>
        <v>15</v>
      </c>
      <c r="E7148" s="237" t="str">
        <f>IFERROR(__xludf.DUMMYFUNCTION("""COMPUTED_VALUE"""),"LT0Q2A01YJZT1")</f>
        <v>LT0Q2A01YJZT1</v>
      </c>
      <c r="F7148" s="238" t="str">
        <f>IFERROR(__xludf.DUMMYFUNCTION("""COMPUTED_VALUE"""),"CUA4J46")</f>
        <v>CUA4J46</v>
      </c>
      <c r="G7148" s="238">
        <f>IFERROR(__xludf.DUMMYFUNCTION("""COMPUTED_VALUE"""),46063.25)</f>
        <v>46063.25</v>
      </c>
      <c r="H7148" s="238">
        <f>IFERROR(__xludf.DUMMYFUNCTION("""COMPUTED_VALUE"""),46063.33333333333)</f>
        <v>46063.33333</v>
      </c>
      <c r="J7148" s="239">
        <v>119.99999999301508</v>
      </c>
    </row>
    <row r="7149">
      <c r="A7149" s="234"/>
      <c r="B7149" s="234" t="str">
        <f>IFERROR(__xludf.DUMMYFUNCTION("""COMPUTED_VALUE"""),"LM Hub_SP_Jurubatuba")</f>
        <v>LM Hub_SP_Jurubatuba</v>
      </c>
      <c r="C7149" s="238" t="str">
        <f>IFERROR(__xludf.DUMMYFUNCTION("""COMPUTED_VALUE"""),"HUB-LSP-16")</f>
        <v>HUB-LSP-16</v>
      </c>
      <c r="D7149" s="234">
        <f>IFERROR(__xludf.DUMMYFUNCTION("""COMPUTED_VALUE"""),42.0)</f>
        <v>42</v>
      </c>
      <c r="E7149" s="237" t="str">
        <f>IFERROR(__xludf.DUMMYFUNCTION("""COMPUTED_VALUE"""),"LT0Q2A01YK031")</f>
        <v>LT0Q2A01YK031</v>
      </c>
      <c r="F7149" s="238" t="str">
        <f>IFERROR(__xludf.DUMMYFUNCTION("""COMPUTED_VALUE"""),"MQM6I27,FXB7G01")</f>
        <v>MQM6I27,FXB7G01</v>
      </c>
      <c r="G7149" s="238">
        <f>IFERROR(__xludf.DUMMYFUNCTION("""COMPUTED_VALUE"""),46063.25)</f>
        <v>46063.25</v>
      </c>
      <c r="H7149" s="238">
        <f>IFERROR(__xludf.DUMMYFUNCTION("""COMPUTED_VALUE"""),46063.33333333333)</f>
        <v>46063.33333</v>
      </c>
      <c r="J7149" s="239">
        <v>119.99999999301508</v>
      </c>
    </row>
    <row r="7150">
      <c r="A7150" s="234"/>
      <c r="B7150" s="238" t="str">
        <f>IFERROR(__xludf.DUMMYFUNCTION("""COMPUTED_VALUE"""),"LM Hub_SP_Osasco_02")</f>
        <v>LM Hub_SP_Osasco_02</v>
      </c>
      <c r="C7150" s="238" t="str">
        <f>IFERROR(__xludf.DUMMYFUNCTION("""COMPUTED_VALUE"""),"HUB-LSP-60")</f>
        <v>HUB-LSP-60</v>
      </c>
      <c r="D7150" s="234">
        <f>IFERROR(__xludf.DUMMYFUNCTION("""COMPUTED_VALUE"""),27.0)</f>
        <v>27</v>
      </c>
      <c r="E7150" s="237" t="str">
        <f>IFERROR(__xludf.DUMMYFUNCTION("""COMPUTED_VALUE"""),"LT0Q2A01YK0D1")</f>
        <v>LT0Q2A01YK0D1</v>
      </c>
      <c r="F7150" s="238" t="str">
        <f>IFERROR(__xludf.DUMMYFUNCTION("""COMPUTED_VALUE"""),"FEU6H63")</f>
        <v>FEU6H63</v>
      </c>
      <c r="G7150" s="238">
        <f>IFERROR(__xludf.DUMMYFUNCTION("""COMPUTED_VALUE"""),46063.25)</f>
        <v>46063.25</v>
      </c>
      <c r="H7150" s="238">
        <f>IFERROR(__xludf.DUMMYFUNCTION("""COMPUTED_VALUE"""),46063.33333333333)</f>
        <v>46063.33333</v>
      </c>
      <c r="J7150" s="239">
        <v>120.00000001396984</v>
      </c>
    </row>
    <row r="7151">
      <c r="A7151" s="234"/>
      <c r="B7151" s="234" t="str">
        <f>IFERROR(__xludf.DUMMYFUNCTION("""COMPUTED_VALUE"""),"LM Hub_SP_Parque Novo Mundo")</f>
        <v>LM Hub_SP_Parque Novo Mundo</v>
      </c>
      <c r="C7151" s="238" t="str">
        <f>IFERROR(__xludf.DUMMYFUNCTION("""COMPUTED_VALUE"""),"HUB-LSP-89")</f>
        <v>HUB-LSP-89</v>
      </c>
      <c r="D7151" s="234">
        <f>IFERROR(__xludf.DUMMYFUNCTION("""COMPUTED_VALUE"""),39.0)</f>
        <v>39</v>
      </c>
      <c r="E7151" s="237" t="str">
        <f>IFERROR(__xludf.DUMMYFUNCTION("""COMPUTED_VALUE"""),"LT0Q2A01YJRI1")</f>
        <v>LT0Q2A01YJRI1</v>
      </c>
      <c r="F7151" s="238" t="str">
        <f>IFERROR(__xludf.DUMMYFUNCTION("""COMPUTED_VALUE"""),"GIQ1C13")</f>
        <v>GIQ1C13</v>
      </c>
      <c r="G7151" s="238">
        <f>IFERROR(__xludf.DUMMYFUNCTION("""COMPUTED_VALUE"""),46063.27083333333)</f>
        <v>46063.27083</v>
      </c>
      <c r="H7151" s="238">
        <f>IFERROR(__xludf.DUMMYFUNCTION("""COMPUTED_VALUE"""),46063.35416666667)</f>
        <v>46063.35417</v>
      </c>
      <c r="J7151" s="239">
        <v>119.99999999301508</v>
      </c>
    </row>
    <row r="7152">
      <c r="A7152" s="234"/>
      <c r="B7152" s="238" t="str">
        <f>IFERROR(__xludf.DUMMYFUNCTION("""COMPUTED_VALUE"""),"LM Hub_SP_Embu das Artes_02")</f>
        <v>LM Hub_SP_Embu das Artes_02</v>
      </c>
      <c r="C7152" s="238" t="str">
        <f>IFERROR(__xludf.DUMMYFUNCTION("""COMPUTED_VALUE"""),"HUB-LSP-96")</f>
        <v>HUB-LSP-96</v>
      </c>
      <c r="D7152" s="234">
        <f>IFERROR(__xludf.DUMMYFUNCTION("""COMPUTED_VALUE"""),21.0)</f>
        <v>21</v>
      </c>
      <c r="E7152" s="237" t="str">
        <f>IFERROR(__xludf.DUMMYFUNCTION("""COMPUTED_VALUE"""),"LT0Q2A01YLW81")</f>
        <v>LT0Q2A01YLW81</v>
      </c>
      <c r="F7152" s="238" t="str">
        <f>IFERROR(__xludf.DUMMYFUNCTION("""COMPUTED_VALUE"""),"FPA0G56")</f>
        <v>FPA0G56</v>
      </c>
      <c r="G7152" s="238">
        <f>IFERROR(__xludf.DUMMYFUNCTION("""COMPUTED_VALUE"""),46063.29166666667)</f>
        <v>46063.29167</v>
      </c>
      <c r="H7152" s="238">
        <f>IFERROR(__xludf.DUMMYFUNCTION("""COMPUTED_VALUE"""),46063.375)</f>
        <v>46063.375</v>
      </c>
      <c r="J7152" s="239">
        <v>119.99999999301508</v>
      </c>
    </row>
    <row r="7153">
      <c r="A7153" s="234"/>
      <c r="B7153" s="238" t="str">
        <f>IFERROR(__xludf.DUMMYFUNCTION("""COMPUTED_VALUE"""),"LM Hub_SP_Suzano_Baruel")</f>
        <v>LM Hub_SP_Suzano_Baruel</v>
      </c>
      <c r="C7153" s="238" t="str">
        <f>IFERROR(__xludf.DUMMYFUNCTION("""COMPUTED_VALUE"""),"HUB-LSP-97")</f>
        <v>HUB-LSP-97</v>
      </c>
      <c r="D7153" s="234">
        <f>IFERROR(__xludf.DUMMYFUNCTION("""COMPUTED_VALUE"""),14.0)</f>
        <v>14</v>
      </c>
      <c r="E7153" s="237" t="str">
        <f>IFERROR(__xludf.DUMMYFUNCTION("""COMPUTED_VALUE"""),"LT0Q2A01YOSA1")</f>
        <v>LT0Q2A01YOSA1</v>
      </c>
      <c r="F7153" s="238" t="str">
        <f>IFERROR(__xludf.DUMMYFUNCTION("""COMPUTED_VALUE"""),"ODE7J96,UGA3J73")</f>
        <v>ODE7J96,UGA3J73</v>
      </c>
      <c r="G7153" s="238">
        <f>IFERROR(__xludf.DUMMYFUNCTION("""COMPUTED_VALUE"""),46063.29166666667)</f>
        <v>46063.29167</v>
      </c>
      <c r="H7153" s="238">
        <f>IFERROR(__xludf.DUMMYFUNCTION("""COMPUTED_VALUE"""),46063.375)</f>
        <v>46063.375</v>
      </c>
      <c r="J7153" s="239">
        <v>540.0</v>
      </c>
    </row>
    <row r="7154">
      <c r="A7154" s="234"/>
      <c r="B7154" s="238" t="str">
        <f>IFERROR(__xludf.DUMMYFUNCTION("""COMPUTED_VALUE"""),"SoC_BA_Simoes Filho")</f>
        <v>SoC_BA_Simoes Filho</v>
      </c>
      <c r="C7154" s="238" t="str">
        <f>IFERROR(__xludf.DUMMYFUNCTION("""COMPUTED_VALUE"""),"SOC-BA2")</f>
        <v>SOC-BA2</v>
      </c>
      <c r="D7154" s="234">
        <f>IFERROR(__xludf.DUMMYFUNCTION("""COMPUTED_VALUE"""),88.0)</f>
        <v>88</v>
      </c>
      <c r="E7154" s="237" t="str">
        <f>IFERROR(__xludf.DUMMYFUNCTION("""COMPUTED_VALUE"""),"LT1Q2A01YUCL1")</f>
        <v>LT1Q2A01YUCL1</v>
      </c>
      <c r="F7154" s="238" t="str">
        <f>IFERROR(__xludf.DUMMYFUNCTION("""COMPUTED_VALUE"""),"EJW1J90,IZK6D05")</f>
        <v>EJW1J90,IZK6D05</v>
      </c>
      <c r="G7154" s="238">
        <f>IFERROR(__xludf.DUMMYFUNCTION("""COMPUTED_VALUE"""),46063.58333333333)</f>
        <v>46063.58333</v>
      </c>
      <c r="H7154" s="238">
        <f>IFERROR(__xludf.DUMMYFUNCTION("""COMPUTED_VALUE"""),46063.95833333333)</f>
        <v>46063.95833</v>
      </c>
      <c r="J7154" s="239">
        <v>538.9999999967404</v>
      </c>
    </row>
    <row r="7155">
      <c r="A7155" s="234"/>
      <c r="B7155" s="238" t="str">
        <f>IFERROR(__xludf.DUMMYFUNCTION("""COMPUTED_VALUE"""),"SoC_BA_Simoes Filho")</f>
        <v>SoC_BA_Simoes Filho</v>
      </c>
      <c r="C7155" s="238" t="str">
        <f>IFERROR(__xludf.DUMMYFUNCTION("""COMPUTED_VALUE"""),"SOC-BA2")</f>
        <v>SOC-BA2</v>
      </c>
      <c r="D7155" s="234">
        <f>IFERROR(__xludf.DUMMYFUNCTION("""COMPUTED_VALUE"""),89.0)</f>
        <v>89</v>
      </c>
      <c r="E7155" s="237" t="str">
        <f>IFERROR(__xludf.DUMMYFUNCTION("""COMPUTED_VALUE"""),"LT0Q2A01YNGB2")</f>
        <v>LT0Q2A01YNGB2</v>
      </c>
      <c r="F7155" s="238" t="str">
        <f>IFERROR(__xludf.DUMMYFUNCTION("""COMPUTED_VALUE"""),"FDC7C33,FSM8A15")</f>
        <v>FDC7C33,FSM8A15</v>
      </c>
      <c r="G7155" s="238">
        <f>IFERROR(__xludf.DUMMYFUNCTION("""COMPUTED_VALUE"""),46063.584027777775)</f>
        <v>46063.58403</v>
      </c>
      <c r="H7155" s="238">
        <f>IFERROR(__xludf.DUMMYFUNCTION("""COMPUTED_VALUE"""),46063.95833333333)</f>
        <v>46063.95833</v>
      </c>
      <c r="J7155" s="239">
        <v>538.9999999967404</v>
      </c>
    </row>
    <row r="7156">
      <c r="A7156" s="234"/>
      <c r="B7156" s="238" t="str">
        <f>IFERROR(__xludf.DUMMYFUNCTION("""COMPUTED_VALUE"""),"SoC_RS_Gravataí_02")</f>
        <v>SoC_RS_Gravataí_02</v>
      </c>
      <c r="C7156" s="238" t="str">
        <f>IFERROR(__xludf.DUMMYFUNCTION("""COMPUTED_VALUE"""),"SOC-RS2")</f>
        <v>SOC-RS2</v>
      </c>
      <c r="D7156" s="234">
        <f>IFERROR(__xludf.DUMMYFUNCTION("""COMPUTED_VALUE"""),92.0)</f>
        <v>92</v>
      </c>
      <c r="E7156" s="237" t="str">
        <f>IFERROR(__xludf.DUMMYFUNCTION("""COMPUTED_VALUE"""),"LT0Q2A01YNSE1")</f>
        <v>LT0Q2A01YNSE1</v>
      </c>
      <c r="F7156" s="238" t="str">
        <f>IFERROR(__xludf.DUMMYFUNCTION("""COMPUTED_VALUE"""),"FWP6J84,TPM2C22")</f>
        <v>FWP6J84,TPM2C22</v>
      </c>
      <c r="G7156" s="238">
        <f>IFERROR(__xludf.DUMMYFUNCTION("""COMPUTED_VALUE"""),46063.584027777775)</f>
        <v>46063.58403</v>
      </c>
      <c r="H7156" s="238">
        <f>IFERROR(__xludf.DUMMYFUNCTION("""COMPUTED_VALUE"""),46063.95833333333)</f>
        <v>46063.95833</v>
      </c>
      <c r="J7156" s="239">
        <v>538.9999999967404</v>
      </c>
    </row>
    <row r="7157">
      <c r="A7157" s="234"/>
      <c r="B7157" s="238" t="str">
        <f>IFERROR(__xludf.DUMMYFUNCTION("""COMPUTED_VALUE"""),"SoC_SC_Itajaí")</f>
        <v>SoC_SC_Itajaí</v>
      </c>
      <c r="C7157" s="238" t="str">
        <f>IFERROR(__xludf.DUMMYFUNCTION("""COMPUTED_VALUE"""),"SOC-SC1")</f>
        <v>SOC-SC1</v>
      </c>
      <c r="D7157" s="234">
        <f>IFERROR(__xludf.DUMMYFUNCTION("""COMPUTED_VALUE"""),100.0)</f>
        <v>100</v>
      </c>
      <c r="E7157" s="237" t="str">
        <f>IFERROR(__xludf.DUMMYFUNCTION("""COMPUTED_VALUE"""),"LT0Q2A01YMN51")</f>
        <v>LT0Q2A01YMN51</v>
      </c>
      <c r="F7157" s="238" t="str">
        <f>IFERROR(__xludf.DUMMYFUNCTION("""COMPUTED_VALUE"""),"RLL1C47,RYE8I27")</f>
        <v>RLL1C47,RYE8I27</v>
      </c>
      <c r="G7157" s="238">
        <f>IFERROR(__xludf.DUMMYFUNCTION("""COMPUTED_VALUE"""),46063.584027777775)</f>
        <v>46063.58403</v>
      </c>
      <c r="H7157" s="238">
        <f>IFERROR(__xludf.DUMMYFUNCTION("""COMPUTED_VALUE"""),46063.95833333333)</f>
        <v>46063.95833</v>
      </c>
      <c r="J7157" s="239">
        <v>119.99999999301508</v>
      </c>
    </row>
    <row r="7158">
      <c r="A7158" s="234"/>
      <c r="B7158" s="238" t="str">
        <f>IFERROR(__xludf.DUMMYFUNCTION("""COMPUTED_VALUE"""),"LM Hub_PR_Curitiba")</f>
        <v>LM Hub_PR_Curitiba</v>
      </c>
      <c r="C7158" s="238" t="str">
        <f>IFERROR(__xludf.DUMMYFUNCTION("""COMPUTED_VALUE"""),"HUB-LPR-16")</f>
        <v>HUB-LPR-16</v>
      </c>
      <c r="D7158" s="234"/>
      <c r="E7158" s="237" t="str">
        <f>IFERROR(__xludf.DUMMYFUNCTION("""COMPUTED_VALUE"""),"LT0Q2A01YJ2E1")</f>
        <v>LT0Q2A01YJ2E1</v>
      </c>
      <c r="F7158" s="238" t="str">
        <f>IFERROR(__xludf.DUMMYFUNCTION("""COMPUTED_VALUE"""),"EPP7I72,IVC2400")</f>
        <v>EPP7I72,IVC2400</v>
      </c>
      <c r="G7158" s="238">
        <f>IFERROR(__xludf.DUMMYFUNCTION("""COMPUTED_VALUE"""),46063.875)</f>
        <v>46063.875</v>
      </c>
      <c r="H7158" s="238">
        <f>IFERROR(__xludf.DUMMYFUNCTION("""COMPUTED_VALUE"""),46063.95833333333)</f>
        <v>46063.95833</v>
      </c>
      <c r="J7158" s="239">
        <v>119.99999999301508</v>
      </c>
    </row>
    <row r="7159">
      <c r="A7159" s="234"/>
      <c r="B7159" s="238" t="str">
        <f>IFERROR(__xludf.DUMMYFUNCTION("""COMPUTED_VALUE"""),"SoC_SP_Louveira")</f>
        <v>SoC_SP_Louveira</v>
      </c>
      <c r="C7159" s="238" t="str">
        <f>IFERROR(__xludf.DUMMYFUNCTION("""COMPUTED_VALUE"""),"SOC-SP7")</f>
        <v>SOC-SP7</v>
      </c>
      <c r="D7159" s="234">
        <f>IFERROR(__xludf.DUMMYFUNCTION("""COMPUTED_VALUE"""),32.0)</f>
        <v>32</v>
      </c>
      <c r="E7159" s="237" t="str">
        <f>IFERROR(__xludf.DUMMYFUNCTION("""COMPUTED_VALUE"""),"LT1Q2A01YUCA1")</f>
        <v>LT1Q2A01YUCA1</v>
      </c>
      <c r="F7159" s="238" t="str">
        <f>IFERROR(__xludf.DUMMYFUNCTION("""COMPUTED_VALUE"""),"FPW0F14,CUA7C61")</f>
        <v>FPW0F14,CUA7C61</v>
      </c>
      <c r="G7159" s="238">
        <f>IFERROR(__xludf.DUMMYFUNCTION("""COMPUTED_VALUE"""),46063.875)</f>
        <v>46063.875</v>
      </c>
      <c r="H7159" s="238">
        <f>IFERROR(__xludf.DUMMYFUNCTION("""COMPUTED_VALUE"""),46063.95833333333)</f>
        <v>46063.95833</v>
      </c>
      <c r="J7159" s="239">
        <v>118.99999998975545</v>
      </c>
    </row>
    <row r="7160">
      <c r="A7160" s="234"/>
      <c r="B7160" s="238" t="str">
        <f>IFERROR(__xludf.DUMMYFUNCTION("""COMPUTED_VALUE"""),"LM Hub_SP_São Bernardo do Campo")</f>
        <v>LM Hub_SP_São Bernardo do Campo</v>
      </c>
      <c r="C7160" s="238" t="str">
        <f>IFERROR(__xludf.DUMMYFUNCTION("""COMPUTED_VALUE"""),"HUB-LSP-79")</f>
        <v>HUB-LSP-79</v>
      </c>
      <c r="D7160" s="234">
        <f>IFERROR(__xludf.DUMMYFUNCTION("""COMPUTED_VALUE"""),23.0)</f>
        <v>23</v>
      </c>
      <c r="E7160" s="237" t="str">
        <f>IFERROR(__xludf.DUMMYFUNCTION("""COMPUTED_VALUE"""),"LT0Q2A01YJIJ1")</f>
        <v>LT0Q2A01YJIJ1</v>
      </c>
      <c r="F7160" s="238" t="str">
        <f>IFERROR(__xludf.DUMMYFUNCTION("""COMPUTED_VALUE"""),"DVT5D28")</f>
        <v>DVT5D28</v>
      </c>
      <c r="G7160" s="238">
        <f>IFERROR(__xludf.DUMMYFUNCTION("""COMPUTED_VALUE"""),46063.87569444445)</f>
        <v>46063.87569</v>
      </c>
      <c r="H7160" s="238">
        <f>IFERROR(__xludf.DUMMYFUNCTION("""COMPUTED_VALUE"""),46063.95833333333)</f>
        <v>46063.95833</v>
      </c>
      <c r="J7160" s="239">
        <v>120.00000001396984</v>
      </c>
    </row>
    <row r="7161">
      <c r="A7161" s="234"/>
      <c r="B7161" s="238" t="str">
        <f>IFERROR(__xludf.DUMMYFUNCTION("""COMPUTED_VALUE"""),"LM Hub_RJ_Jacarepaguá")</f>
        <v>LM Hub_RJ_Jacarepaguá</v>
      </c>
      <c r="C7161" s="238" t="str">
        <f>IFERROR(__xludf.DUMMYFUNCTION("""COMPUTED_VALUE"""),"HUB-LRJ-29")</f>
        <v>HUB-LRJ-29</v>
      </c>
      <c r="D7161" s="234">
        <f>IFERROR(__xludf.DUMMYFUNCTION("""COMPUTED_VALUE"""),114.0)</f>
        <v>114</v>
      </c>
      <c r="E7161" s="237" t="str">
        <f>IFERROR(__xludf.DUMMYFUNCTION("""COMPUTED_VALUE"""),"LT0Q2A01YNM61")</f>
        <v>LT0Q2A01YNM61</v>
      </c>
      <c r="F7161" s="238" t="str">
        <f>IFERROR(__xludf.DUMMYFUNCTION("""COMPUTED_VALUE"""),"HLD0E70,DTA4A60")</f>
        <v>HLD0E70,DTA4A60</v>
      </c>
      <c r="G7161" s="238">
        <f>IFERROR(__xludf.DUMMYFUNCTION("""COMPUTED_VALUE"""),46063.89583333333)</f>
        <v>46063.89583</v>
      </c>
      <c r="H7161" s="238">
        <f>IFERROR(__xludf.DUMMYFUNCTION("""COMPUTED_VALUE"""),46063.97916666667)</f>
        <v>46063.97917</v>
      </c>
      <c r="J7161" s="239">
        <v>118.00000000745058</v>
      </c>
    </row>
    <row r="7162">
      <c r="A7162" s="234"/>
      <c r="B7162" s="238" t="str">
        <f>IFERROR(__xludf.DUMMYFUNCTION("""COMPUTED_VALUE"""),"LM Hub_SP_Jurubatuba")</f>
        <v>LM Hub_SP_Jurubatuba</v>
      </c>
      <c r="C7162" s="238" t="str">
        <f>IFERROR(__xludf.DUMMYFUNCTION("""COMPUTED_VALUE"""),"HUB-LSP-16")</f>
        <v>HUB-LSP-16</v>
      </c>
      <c r="D7162" s="234"/>
      <c r="E7162" s="237" t="str">
        <f>IFERROR(__xludf.DUMMYFUNCTION("""COMPUTED_VALUE"""),"LT0Q2A01YIX61")</f>
        <v>LT0Q2A01YIX61</v>
      </c>
      <c r="F7162" s="238" t="str">
        <f>IFERROR(__xludf.DUMMYFUNCTION("""COMPUTED_VALUE"""),"IUK6F70")</f>
        <v>IUK6F70</v>
      </c>
      <c r="G7162" s="238">
        <f>IFERROR(__xludf.DUMMYFUNCTION("""COMPUTED_VALUE"""),46063.89722222222)</f>
        <v>46063.89722</v>
      </c>
      <c r="H7162" s="238">
        <f>IFERROR(__xludf.DUMMYFUNCTION("""COMPUTED_VALUE"""),46063.97916666667)</f>
        <v>46063.97917</v>
      </c>
      <c r="J7162" s="239">
        <v>118.99999998975545</v>
      </c>
    </row>
    <row r="7163">
      <c r="A7163" s="234"/>
      <c r="B7163" s="238" t="str">
        <f>IFERROR(__xludf.DUMMYFUNCTION("""COMPUTED_VALUE"""),"LM Hub_SP_Guarujá")</f>
        <v>LM Hub_SP_Guarujá</v>
      </c>
      <c r="C7163" s="238" t="str">
        <f>IFERROR(__xludf.DUMMYFUNCTION("""COMPUTED_VALUE"""),"HUB-LSP-06")</f>
        <v>HUB-LSP-06</v>
      </c>
      <c r="D7163" s="234">
        <f>IFERROR(__xludf.DUMMYFUNCTION("""COMPUTED_VALUE"""),33.0)</f>
        <v>33</v>
      </c>
      <c r="E7163" s="237" t="str">
        <f>IFERROR(__xludf.DUMMYFUNCTION("""COMPUTED_VALUE"""),"LT0Q2A01YIZ71")</f>
        <v>LT0Q2A01YIZ71</v>
      </c>
      <c r="F7163" s="238" t="str">
        <f>IFERROR(__xludf.DUMMYFUNCTION("""COMPUTED_VALUE"""),"NZI5D38")</f>
        <v>NZI5D38</v>
      </c>
      <c r="G7163" s="238">
        <f>IFERROR(__xludf.DUMMYFUNCTION("""COMPUTED_VALUE"""),46063.91666666667)</f>
        <v>46063.91667</v>
      </c>
      <c r="H7163" s="238">
        <f>IFERROR(__xludf.DUMMYFUNCTION("""COMPUTED_VALUE"""),46063.99930555555)</f>
        <v>46063.99931</v>
      </c>
      <c r="J7163" s="239">
        <v>119.99999999301508</v>
      </c>
    </row>
    <row r="7164">
      <c r="A7164" s="234"/>
      <c r="B7164" s="238" t="str">
        <f>IFERROR(__xludf.DUMMYFUNCTION("""COMPUTED_VALUE"""),"LM Hub_RS_Porto Alegre_Floresta")</f>
        <v>LM Hub_RS_Porto Alegre_Floresta</v>
      </c>
      <c r="C7164" s="238" t="str">
        <f>IFERROR(__xludf.DUMMYFUNCTION("""COMPUTED_VALUE"""),"HUB-LRS-03")</f>
        <v>HUB-LRS-03</v>
      </c>
      <c r="D7164" s="234">
        <f>IFERROR(__xludf.DUMMYFUNCTION("""COMPUTED_VALUE"""),116.0)</f>
        <v>116</v>
      </c>
      <c r="E7164" s="237" t="str">
        <f>IFERROR(__xludf.DUMMYFUNCTION("""COMPUTED_VALUE"""),"LT0Q2A01YO6Y1")</f>
        <v>LT0Q2A01YO6Y1</v>
      </c>
      <c r="F7164" s="238" t="str">
        <f>IFERROR(__xludf.DUMMYFUNCTION("""COMPUTED_VALUE"""),"MLI5A23")</f>
        <v>MLI5A23</v>
      </c>
      <c r="G7164" s="238">
        <f>IFERROR(__xludf.DUMMYFUNCTION("""COMPUTED_VALUE"""),46063.91666666667)</f>
        <v>46063.91667</v>
      </c>
      <c r="H7164" s="238">
        <f>IFERROR(__xludf.DUMMYFUNCTION("""COMPUTED_VALUE"""),46064.0)</f>
        <v>46064</v>
      </c>
      <c r="J7164" s="239">
        <v>119.99999999301508</v>
      </c>
    </row>
    <row r="7165">
      <c r="A7165" s="234"/>
      <c r="B7165" s="238" t="str">
        <f>IFERROR(__xludf.DUMMYFUNCTION("""COMPUTED_VALUE"""),"LM Hub_SP_Artur Alvim")</f>
        <v>LM Hub_SP_Artur Alvim</v>
      </c>
      <c r="C7165" s="238" t="str">
        <f>IFERROR(__xludf.DUMMYFUNCTION("""COMPUTED_VALUE"""),"HUB-LSP-07")</f>
        <v>HUB-LSP-07</v>
      </c>
      <c r="D7165" s="234">
        <f>IFERROR(__xludf.DUMMYFUNCTION("""COMPUTED_VALUE"""),12.0)</f>
        <v>12</v>
      </c>
      <c r="E7165" s="237" t="str">
        <f>IFERROR(__xludf.DUMMYFUNCTION("""COMPUTED_VALUE"""),"LT0Q2A01YIWC1")</f>
        <v>LT0Q2A01YIWC1</v>
      </c>
      <c r="F7165" s="238" t="str">
        <f>IFERROR(__xludf.DUMMYFUNCTION("""COMPUTED_VALUE"""),"EGK6F67,NGX1F13")</f>
        <v>EGK6F67,NGX1F13</v>
      </c>
      <c r="G7165" s="238">
        <f>IFERROR(__xludf.DUMMYFUNCTION("""COMPUTED_VALUE"""),46063.91666666667)</f>
        <v>46063.91667</v>
      </c>
      <c r="H7165" s="238">
        <f>IFERROR(__xludf.DUMMYFUNCTION("""COMPUTED_VALUE"""),46064.0)</f>
        <v>46064</v>
      </c>
      <c r="J7165" s="239">
        <v>119.99999999301508</v>
      </c>
    </row>
    <row r="7166">
      <c r="A7166" s="234"/>
      <c r="B7166" s="238" t="str">
        <f>IFERROR(__xludf.DUMMYFUNCTION("""COMPUTED_VALUE"""),"LM Hub_SP_Guarulhos")</f>
        <v>LM Hub_SP_Guarulhos</v>
      </c>
      <c r="C7166" s="238" t="str">
        <f>IFERROR(__xludf.DUMMYFUNCTION("""COMPUTED_VALUE"""),"HUB-LSP-77")</f>
        <v>HUB-LSP-77</v>
      </c>
      <c r="D7166" s="234">
        <f>IFERROR(__xludf.DUMMYFUNCTION("""COMPUTED_VALUE"""),22.0)</f>
        <v>22</v>
      </c>
      <c r="E7166" s="237" t="str">
        <f>IFERROR(__xludf.DUMMYFUNCTION("""COMPUTED_VALUE"""),"LT0Q2A01YJL31")</f>
        <v>LT0Q2A01YJL31</v>
      </c>
      <c r="F7166" s="238" t="str">
        <f>IFERROR(__xludf.DUMMYFUNCTION("""COMPUTED_VALUE"""),"MFO5E94,JXB0B94")</f>
        <v>MFO5E94,JXB0B94</v>
      </c>
      <c r="G7166" s="238">
        <f>IFERROR(__xludf.DUMMYFUNCTION("""COMPUTED_VALUE"""),46063.91666666667)</f>
        <v>46063.91667</v>
      </c>
      <c r="H7166" s="238">
        <f>IFERROR(__xludf.DUMMYFUNCTION("""COMPUTED_VALUE"""),46064.0)</f>
        <v>46064</v>
      </c>
      <c r="J7166" s="239">
        <v>119.99999999301508</v>
      </c>
    </row>
    <row r="7167">
      <c r="A7167" s="234"/>
      <c r="B7167" s="238" t="str">
        <f>IFERROR(__xludf.DUMMYFUNCTION("""COMPUTED_VALUE"""),"LM Hub_SP_Itapevi")</f>
        <v>LM Hub_SP_Itapevi</v>
      </c>
      <c r="C7167" s="238" t="str">
        <f>IFERROR(__xludf.DUMMYFUNCTION("""COMPUTED_VALUE"""),"HUB-LSP-41")</f>
        <v>HUB-LSP-41</v>
      </c>
      <c r="D7167" s="234">
        <f>IFERROR(__xludf.DUMMYFUNCTION("""COMPUTED_VALUE"""),26.0)</f>
        <v>26</v>
      </c>
      <c r="E7167" s="237" t="str">
        <f>IFERROR(__xludf.DUMMYFUNCTION("""COMPUTED_VALUE"""),"LT0Q2A01YIXP1")</f>
        <v>LT0Q2A01YIXP1</v>
      </c>
      <c r="F7167" s="238" t="str">
        <f>IFERROR(__xludf.DUMMYFUNCTION("""COMPUTED_VALUE"""),"BCS4J31,DJB0J76")</f>
        <v>BCS4J31,DJB0J76</v>
      </c>
      <c r="G7167" s="238">
        <f>IFERROR(__xludf.DUMMYFUNCTION("""COMPUTED_VALUE"""),46063.91666666667)</f>
        <v>46063.91667</v>
      </c>
      <c r="H7167" s="238">
        <f>IFERROR(__xludf.DUMMYFUNCTION("""COMPUTED_VALUE"""),46064.0)</f>
        <v>46064</v>
      </c>
      <c r="J7167" s="239">
        <v>119.99999999301508</v>
      </c>
    </row>
    <row r="7168">
      <c r="A7168" s="234"/>
      <c r="B7168" s="238" t="str">
        <f>IFERROR(__xludf.DUMMYFUNCTION("""COMPUTED_VALUE"""),"LM Hub_SP_Jundiaí")</f>
        <v>LM Hub_SP_Jundiaí</v>
      </c>
      <c r="C7168" s="234"/>
      <c r="D7168" s="234">
        <f>IFERROR(__xludf.DUMMYFUNCTION("""COMPUTED_VALUE"""),13.0)</f>
        <v>13</v>
      </c>
      <c r="E7168" s="237" t="str">
        <f>IFERROR(__xludf.DUMMYFUNCTION("""COMPUTED_VALUE"""),"LT0Q2A01YOGY1")</f>
        <v>LT0Q2A01YOGY1</v>
      </c>
      <c r="F7168" s="238" t="str">
        <f>IFERROR(__xludf.DUMMYFUNCTION("""COMPUTED_VALUE"""),"CDM2D32,TIZ1A09")</f>
        <v>CDM2D32,TIZ1A09</v>
      </c>
      <c r="G7168" s="238">
        <f>IFERROR(__xludf.DUMMYFUNCTION("""COMPUTED_VALUE"""),46063.91666666667)</f>
        <v>46063.91667</v>
      </c>
      <c r="H7168" s="238">
        <f>IFERROR(__xludf.DUMMYFUNCTION("""COMPUTED_VALUE"""),46064.0)</f>
        <v>46064</v>
      </c>
      <c r="J7168" s="239">
        <v>119.99999999301508</v>
      </c>
    </row>
    <row r="7169">
      <c r="A7169" s="234"/>
      <c r="B7169" s="238" t="str">
        <f>IFERROR(__xludf.DUMMYFUNCTION("""COMPUTED_VALUE"""),"LM Hub_SP_Mooca_02")</f>
        <v>LM Hub_SP_Mooca_02</v>
      </c>
      <c r="C7169" s="238" t="str">
        <f>IFERROR(__xludf.DUMMYFUNCTION("""COMPUTED_VALUE"""),"HUB-LSP-94")</f>
        <v>HUB-LSP-94</v>
      </c>
      <c r="D7169" s="234">
        <f>IFERROR(__xludf.DUMMYFUNCTION("""COMPUTED_VALUE"""),9.0)</f>
        <v>9</v>
      </c>
      <c r="E7169" s="237" t="str">
        <f>IFERROR(__xludf.DUMMYFUNCTION("""COMPUTED_VALUE"""),"LT0Q2A01YGB11")</f>
        <v>LT0Q2A01YGB11</v>
      </c>
      <c r="F7169" s="238" t="str">
        <f>IFERROR(__xludf.DUMMYFUNCTION("""COMPUTED_VALUE"""),"FPX2D52")</f>
        <v>FPX2D52</v>
      </c>
      <c r="G7169" s="238">
        <f>IFERROR(__xludf.DUMMYFUNCTION("""COMPUTED_VALUE"""),46063.91666666667)</f>
        <v>46063.91667</v>
      </c>
      <c r="H7169" s="238">
        <f>IFERROR(__xludf.DUMMYFUNCTION("""COMPUTED_VALUE"""),46064.0)</f>
        <v>46064</v>
      </c>
      <c r="J7169" s="239">
        <v>119.99999999301508</v>
      </c>
    </row>
    <row r="7170">
      <c r="A7170" s="234"/>
      <c r="B7170" s="238" t="str">
        <f>IFERROR(__xludf.DUMMYFUNCTION("""COMPUTED_VALUE"""),"LM Hub_SP_Osasco_02")</f>
        <v>LM Hub_SP_Osasco_02</v>
      </c>
      <c r="C7170" s="238" t="str">
        <f>IFERROR(__xludf.DUMMYFUNCTION("""COMPUTED_VALUE"""),"HUB-LSP-60")</f>
        <v>HUB-LSP-60</v>
      </c>
      <c r="D7170" s="234">
        <f>IFERROR(__xludf.DUMMYFUNCTION("""COMPUTED_VALUE"""),25.0)</f>
        <v>25</v>
      </c>
      <c r="E7170" s="237" t="str">
        <f>IFERROR(__xludf.DUMMYFUNCTION("""COMPUTED_VALUE"""),"LT0Q2A01YIXW1")</f>
        <v>LT0Q2A01YIXW1</v>
      </c>
      <c r="F7170" s="238" t="str">
        <f>IFERROR(__xludf.DUMMYFUNCTION("""COMPUTED_VALUE"""),"FRO3D47,EWU4B46")</f>
        <v>FRO3D47,EWU4B46</v>
      </c>
      <c r="G7170" s="238">
        <f>IFERROR(__xludf.DUMMYFUNCTION("""COMPUTED_VALUE"""),46063.91666666667)</f>
        <v>46063.91667</v>
      </c>
      <c r="H7170" s="238">
        <f>IFERROR(__xludf.DUMMYFUNCTION("""COMPUTED_VALUE"""),46064.0)</f>
        <v>46064</v>
      </c>
      <c r="J7170" s="239">
        <v>119.99999999301508</v>
      </c>
    </row>
    <row r="7171">
      <c r="A7171" s="234"/>
      <c r="B7171" s="238" t="str">
        <f>IFERROR(__xludf.DUMMYFUNCTION("""COMPUTED_VALUE"""),"LM Hub_SP_São José do Rio P")</f>
        <v>LM Hub_SP_São José do Rio P</v>
      </c>
      <c r="C7171" s="238" t="str">
        <f>IFERROR(__xludf.DUMMYFUNCTION("""COMPUTED_VALUE"""),"HUB-LSP-27")</f>
        <v>HUB-LSP-27</v>
      </c>
      <c r="D7171" s="234">
        <f>IFERROR(__xludf.DUMMYFUNCTION("""COMPUTED_VALUE"""),117.0)</f>
        <v>117</v>
      </c>
      <c r="E7171" s="237" t="str">
        <f>IFERROR(__xludf.DUMMYFUNCTION("""COMPUTED_VALUE"""),"LT0Q2A01YM6L1")</f>
        <v>LT0Q2A01YM6L1</v>
      </c>
      <c r="F7171" s="238" t="str">
        <f>IFERROR(__xludf.DUMMYFUNCTION("""COMPUTED_VALUE"""),"ELO8399")</f>
        <v>ELO8399</v>
      </c>
      <c r="G7171" s="238">
        <f>IFERROR(__xludf.DUMMYFUNCTION("""COMPUTED_VALUE"""),46063.91666666667)</f>
        <v>46063.91667</v>
      </c>
      <c r="H7171" s="238">
        <f>IFERROR(__xludf.DUMMYFUNCTION("""COMPUTED_VALUE"""),46064.0)</f>
        <v>46064</v>
      </c>
      <c r="J7171" s="239">
        <v>119.99999999301508</v>
      </c>
    </row>
    <row r="7172">
      <c r="A7172" s="234"/>
      <c r="B7172" s="238" t="str">
        <f>IFERROR(__xludf.DUMMYFUNCTION("""COMPUTED_VALUE"""),"LM Hub_SP_Piracicaba")</f>
        <v>LM Hub_SP_Piracicaba</v>
      </c>
      <c r="C7172" s="238" t="str">
        <f>IFERROR(__xludf.DUMMYFUNCTION("""COMPUTED_VALUE"""),"HUB-LSP-18")</f>
        <v>HUB-LSP-18</v>
      </c>
      <c r="D7172" s="234">
        <f>IFERROR(__xludf.DUMMYFUNCTION("""COMPUTED_VALUE"""),28.0)</f>
        <v>28</v>
      </c>
      <c r="E7172" s="237" t="str">
        <f>IFERROR(__xludf.DUMMYFUNCTION("""COMPUTED_VALUE"""),"LT0Q2A01YPQC1")</f>
        <v>LT0Q2A01YPQC1</v>
      </c>
      <c r="F7172" s="238" t="str">
        <f>IFERROR(__xludf.DUMMYFUNCTION("""COMPUTED_VALUE"""),"EOF4D32")</f>
        <v>EOF4D32</v>
      </c>
      <c r="G7172" s="238">
        <f>IFERROR(__xludf.DUMMYFUNCTION("""COMPUTED_VALUE"""),46063.9375)</f>
        <v>46063.9375</v>
      </c>
      <c r="H7172" s="238">
        <f>IFERROR(__xludf.DUMMYFUNCTION("""COMPUTED_VALUE"""),46064.02083333333)</f>
        <v>46064.02083</v>
      </c>
      <c r="J7172" s="239">
        <v>119.99999999301508</v>
      </c>
    </row>
    <row r="7173">
      <c r="A7173" s="234"/>
      <c r="B7173" s="238" t="str">
        <f>IFERROR(__xludf.DUMMYFUNCTION("""COMPUTED_VALUE"""),"LM Hub_SP_São Paulo_Carandiru")</f>
        <v>LM Hub_SP_São Paulo_Carandiru</v>
      </c>
      <c r="C7173" s="238" t="str">
        <f>IFERROR(__xludf.DUMMYFUNCTION("""COMPUTED_VALUE"""),"HUB-LSP-100")</f>
        <v>HUB-LSP-100</v>
      </c>
      <c r="D7173" s="234">
        <f>IFERROR(__xludf.DUMMYFUNCTION("""COMPUTED_VALUE"""),21.0)</f>
        <v>21</v>
      </c>
      <c r="E7173" s="237" t="str">
        <f>IFERROR(__xludf.DUMMYFUNCTION("""COMPUTED_VALUE"""),"LT0Q2A01YIXB1")</f>
        <v>LT0Q2A01YIXB1</v>
      </c>
      <c r="F7173" s="238" t="str">
        <f>IFERROR(__xludf.DUMMYFUNCTION("""COMPUTED_VALUE"""),"AXH9D10")</f>
        <v>AXH9D10</v>
      </c>
      <c r="G7173" s="238">
        <f>IFERROR(__xludf.DUMMYFUNCTION("""COMPUTED_VALUE"""),46063.9375)</f>
        <v>46063.9375</v>
      </c>
      <c r="H7173" s="238">
        <f>IFERROR(__xludf.DUMMYFUNCTION("""COMPUTED_VALUE"""),46064.02083333333)</f>
        <v>46064.02083</v>
      </c>
      <c r="J7173" s="239">
        <v>118.99999998975545</v>
      </c>
    </row>
    <row r="7174">
      <c r="A7174" s="234"/>
      <c r="B7174" s="238" t="str">
        <f>IFERROR(__xludf.DUMMYFUNCTION("""COMPUTED_VALUE"""),"LM Hub_SP_Jardim Adriana")</f>
        <v>LM Hub_SP_Jardim Adriana</v>
      </c>
      <c r="C7174" s="238" t="str">
        <f>IFERROR(__xludf.DUMMYFUNCTION("""COMPUTED_VALUE"""),"HUB-LSP-12")</f>
        <v>HUB-LSP-12</v>
      </c>
      <c r="D7174" s="234">
        <f>IFERROR(__xludf.DUMMYFUNCTION("""COMPUTED_VALUE"""),18.0)</f>
        <v>18</v>
      </c>
      <c r="E7174" s="237" t="str">
        <f>IFERROR(__xludf.DUMMYFUNCTION("""COMPUTED_VALUE"""),"LT0Q2A01YF891")</f>
        <v>LT0Q2A01YF891</v>
      </c>
      <c r="F7174" s="238" t="str">
        <f>IFERROR(__xludf.DUMMYFUNCTION("""COMPUTED_VALUE"""),"EPU4G01")</f>
        <v>EPU4G01</v>
      </c>
      <c r="G7174" s="238">
        <f>IFERROR(__xludf.DUMMYFUNCTION("""COMPUTED_VALUE"""),46063.93819444445)</f>
        <v>46063.93819</v>
      </c>
      <c r="H7174" s="238">
        <f>IFERROR(__xludf.DUMMYFUNCTION("""COMPUTED_VALUE"""),46064.02083333333)</f>
        <v>46064.02083</v>
      </c>
      <c r="J7174" s="239">
        <v>118.99999998975545</v>
      </c>
    </row>
    <row r="7175">
      <c r="A7175" s="234"/>
      <c r="B7175" s="238" t="str">
        <f>IFERROR(__xludf.DUMMYFUNCTION("""COMPUTED_VALUE"""),"LM Hub_SP_Parque Novo Mundo")</f>
        <v>LM Hub_SP_Parque Novo Mundo</v>
      </c>
      <c r="C7175" s="238" t="str">
        <f>IFERROR(__xludf.DUMMYFUNCTION("""COMPUTED_VALUE"""),"HUB-LSP-89")</f>
        <v>HUB-LSP-89</v>
      </c>
      <c r="D7175" s="234">
        <f>IFERROR(__xludf.DUMMYFUNCTION("""COMPUTED_VALUE"""),14.0)</f>
        <v>14</v>
      </c>
      <c r="E7175" s="237" t="str">
        <f>IFERROR(__xludf.DUMMYFUNCTION("""COMPUTED_VALUE"""),"LT0Q2A01YFG41")</f>
        <v>LT0Q2A01YFG41</v>
      </c>
      <c r="F7175" s="238" t="str">
        <f>IFERROR(__xludf.DUMMYFUNCTION("""COMPUTED_VALUE"""),"FNK8E47,FAM1829")</f>
        <v>FNK8E47,FAM1829</v>
      </c>
      <c r="G7175" s="238">
        <f>IFERROR(__xludf.DUMMYFUNCTION("""COMPUTED_VALUE"""),46063.93819444445)</f>
        <v>46063.93819</v>
      </c>
      <c r="H7175" s="238">
        <f>IFERROR(__xludf.DUMMYFUNCTION("""COMPUTED_VALUE"""),46064.02083333333)</f>
        <v>46064.02083</v>
      </c>
      <c r="J7175" s="239">
        <v>118.99999998975545</v>
      </c>
    </row>
    <row r="7176">
      <c r="A7176" s="234"/>
      <c r="B7176" s="238" t="str">
        <f>IFERROR(__xludf.DUMMYFUNCTION("""COMPUTED_VALUE"""),"LM Hub_SP_Sorocaba_Região Norte")</f>
        <v>LM Hub_SP_Sorocaba_Região Norte</v>
      </c>
      <c r="C7176" s="238" t="str">
        <f>IFERROR(__xludf.DUMMYFUNCTION("""COMPUTED_VALUE"""),"HUB-LSP-10")</f>
        <v>HUB-LSP-10</v>
      </c>
      <c r="D7176" s="234">
        <f>IFERROR(__xludf.DUMMYFUNCTION("""COMPUTED_VALUE"""),27.0)</f>
        <v>27</v>
      </c>
      <c r="E7176" s="237" t="str">
        <f>IFERROR(__xludf.DUMMYFUNCTION("""COMPUTED_VALUE"""),"LT0Q2A01YJ091")</f>
        <v>LT0Q2A01YJ091</v>
      </c>
      <c r="F7176" s="238" t="str">
        <f>IFERROR(__xludf.DUMMYFUNCTION("""COMPUTED_VALUE"""),"UAV9I85,UGU0I83")</f>
        <v>UAV9I85,UGU0I83</v>
      </c>
      <c r="G7176" s="238">
        <f>IFERROR(__xludf.DUMMYFUNCTION("""COMPUTED_VALUE"""),46063.93819444445)</f>
        <v>46063.93819</v>
      </c>
      <c r="H7176" s="238">
        <f>IFERROR(__xludf.DUMMYFUNCTION("""COMPUTED_VALUE"""),46064.02083333333)</f>
        <v>46064.02083</v>
      </c>
      <c r="J7176" s="239">
        <v>118.99999998975545</v>
      </c>
    </row>
    <row r="7177">
      <c r="A7177" s="234"/>
      <c r="B7177" s="238" t="str">
        <f>IFERROR(__xludf.DUMMYFUNCTION("""COMPUTED_VALUE"""),"LM Hub_SP_VilaGuilherme")</f>
        <v>LM Hub_SP_VilaGuilherme</v>
      </c>
      <c r="C7177" s="238" t="str">
        <f>IFERROR(__xludf.DUMMYFUNCTION("""COMPUTED_VALUE"""),"HUB-LSP-68")</f>
        <v>HUB-LSP-68</v>
      </c>
      <c r="D7177" s="234">
        <f>IFERROR(__xludf.DUMMYFUNCTION("""COMPUTED_VALUE"""),42.0)</f>
        <v>42</v>
      </c>
      <c r="E7177" s="237" t="str">
        <f>IFERROR(__xludf.DUMMYFUNCTION("""COMPUTED_VALUE"""),"LT0Q2A01YF8V1")</f>
        <v>LT0Q2A01YF8V1</v>
      </c>
      <c r="F7177" s="238" t="str">
        <f>IFERROR(__xludf.DUMMYFUNCTION("""COMPUTED_VALUE"""),"HFD4H27,JXG9745")</f>
        <v>HFD4H27,JXG9745</v>
      </c>
      <c r="G7177" s="238">
        <f>IFERROR(__xludf.DUMMYFUNCTION("""COMPUTED_VALUE"""),46063.93819444445)</f>
        <v>46063.93819</v>
      </c>
      <c r="H7177" s="238">
        <f>IFERROR(__xludf.DUMMYFUNCTION("""COMPUTED_VALUE"""),46064.02083333333)</f>
        <v>46064.02083</v>
      </c>
      <c r="J7177" s="239">
        <v>540.0</v>
      </c>
    </row>
    <row r="7178">
      <c r="A7178" s="234"/>
      <c r="B7178" s="238" t="str">
        <f>IFERROR(__xludf.DUMMYFUNCTION("""COMPUTED_VALUE"""),"SoC_PR_Curitiba")</f>
        <v>SoC_PR_Curitiba</v>
      </c>
      <c r="C7178" s="238" t="str">
        <f>IFERROR(__xludf.DUMMYFUNCTION("""COMPUTED_VALUE"""),"SOC-PR1")</f>
        <v>SOC-PR1</v>
      </c>
      <c r="D7178" s="234">
        <f>IFERROR(__xludf.DUMMYFUNCTION("""COMPUTED_VALUE"""),34.0)</f>
        <v>34</v>
      </c>
      <c r="E7178" s="237" t="str">
        <f>IFERROR(__xludf.DUMMYFUNCTION("""COMPUTED_VALUE"""),"LT0Q2A01YIUN1")</f>
        <v>LT0Q2A01YIUN1</v>
      </c>
      <c r="F7178" s="238" t="str">
        <f>IFERROR(__xludf.DUMMYFUNCTION("""COMPUTED_VALUE"""),"MFB3494,EWJ0611")</f>
        <v>MFB3494,EWJ0611</v>
      </c>
      <c r="G7178" s="238">
        <f>IFERROR(__xludf.DUMMYFUNCTION("""COMPUTED_VALUE"""),46063.66666666667)</f>
        <v>46063.66667</v>
      </c>
      <c r="H7178" s="238">
        <f>IFERROR(__xludf.DUMMYFUNCTION("""COMPUTED_VALUE"""),46064.04166666667)</f>
        <v>46064.04167</v>
      </c>
      <c r="J7178" s="239">
        <v>120.00000001396984</v>
      </c>
    </row>
    <row r="7179">
      <c r="A7179" s="234"/>
      <c r="B7179" s="238" t="str">
        <f>IFERROR(__xludf.DUMMYFUNCTION("""COMPUTED_VALUE"""),"LM Hub_RJ_Nova Iguaçu")</f>
        <v>LM Hub_RJ_Nova Iguaçu</v>
      </c>
      <c r="C7179" s="238" t="str">
        <f>IFERROR(__xludf.DUMMYFUNCTION("""COMPUTED_VALUE"""),"HUB-LRJ-27")</f>
        <v>HUB-LRJ-27</v>
      </c>
      <c r="D7179" s="234"/>
      <c r="E7179" s="237" t="str">
        <f>IFERROR(__xludf.DUMMYFUNCTION("""COMPUTED_VALUE"""),"LT0Q2A01YNMH1")</f>
        <v>LT0Q2A01YNMH1</v>
      </c>
      <c r="F7179" s="238" t="str">
        <f>IFERROR(__xludf.DUMMYFUNCTION("""COMPUTED_VALUE"""),"TBQ6J10")</f>
        <v>TBQ6J10</v>
      </c>
      <c r="G7179" s="238">
        <f>IFERROR(__xludf.DUMMYFUNCTION("""COMPUTED_VALUE"""),46063.95833333333)</f>
        <v>46063.95833</v>
      </c>
      <c r="H7179" s="238">
        <f>IFERROR(__xludf.DUMMYFUNCTION("""COMPUTED_VALUE"""),46064.04166666667)</f>
        <v>46064.04167</v>
      </c>
      <c r="J7179" s="239">
        <v>120.00000001396984</v>
      </c>
    </row>
    <row r="7180">
      <c r="A7180" s="234"/>
      <c r="B7180" s="238" t="str">
        <f>IFERROR(__xludf.DUMMYFUNCTION("""COMPUTED_VALUE"""),"LM Hub_RJ_São João do Meriti")</f>
        <v>LM Hub_RJ_São João do Meriti</v>
      </c>
      <c r="C7180" s="238" t="str">
        <f>IFERROR(__xludf.DUMMYFUNCTION("""COMPUTED_VALUE"""),"HUB-LRJ-01")</f>
        <v>HUB-LRJ-01</v>
      </c>
      <c r="D7180" s="234">
        <f>IFERROR(__xludf.DUMMYFUNCTION("""COMPUTED_VALUE"""),115.0)</f>
        <v>115</v>
      </c>
      <c r="E7180" s="237" t="str">
        <f>IFERROR(__xludf.DUMMYFUNCTION("""COMPUTED_VALUE"""),"LT0Q2A01YNNG1")</f>
        <v>LT0Q2A01YNNG1</v>
      </c>
      <c r="F7180" s="238" t="str">
        <f>IFERROR(__xludf.DUMMYFUNCTION("""COMPUTED_VALUE"""),"TLE4D84")</f>
        <v>TLE4D84</v>
      </c>
      <c r="G7180" s="238">
        <f>IFERROR(__xludf.DUMMYFUNCTION("""COMPUTED_VALUE"""),46063.95833333333)</f>
        <v>46063.95833</v>
      </c>
      <c r="H7180" s="238">
        <f>IFERROR(__xludf.DUMMYFUNCTION("""COMPUTED_VALUE"""),46064.04166666667)</f>
        <v>46064.04167</v>
      </c>
      <c r="J7180" s="239">
        <v>120.00000001396984</v>
      </c>
    </row>
    <row r="7181">
      <c r="A7181" s="234"/>
      <c r="B7181" s="238" t="str">
        <f>IFERROR(__xludf.DUMMYFUNCTION("""COMPUTED_VALUE"""),"LM Hub_SP_Mogi Mirim")</f>
        <v>LM Hub_SP_Mogi Mirim</v>
      </c>
      <c r="C7181" s="238" t="str">
        <f>IFERROR(__xludf.DUMMYFUNCTION("""COMPUTED_VALUE"""),"HUB-LSP-37")</f>
        <v>HUB-LSP-37</v>
      </c>
      <c r="D7181" s="234">
        <f>IFERROR(__xludf.DUMMYFUNCTION("""COMPUTED_VALUE"""),24.0)</f>
        <v>24</v>
      </c>
      <c r="E7181" s="237" t="str">
        <f>IFERROR(__xludf.DUMMYFUNCTION("""COMPUTED_VALUE"""),"LT0Q2A01YJ1F1")</f>
        <v>LT0Q2A01YJ1F1</v>
      </c>
      <c r="F7181" s="238" t="str">
        <f>IFERROR(__xludf.DUMMYFUNCTION("""COMPUTED_VALUE"""),"UDW5E79,TLL6F35")</f>
        <v>UDW5E79,TLL6F35</v>
      </c>
      <c r="G7181" s="238">
        <f>IFERROR(__xludf.DUMMYFUNCTION("""COMPUTED_VALUE"""),46063.95833333333)</f>
        <v>46063.95833</v>
      </c>
      <c r="H7181" s="238">
        <f>IFERROR(__xludf.DUMMYFUNCTION("""COMPUTED_VALUE"""),46064.04166666667)</f>
        <v>46064.04167</v>
      </c>
      <c r="J7181" s="239">
        <v>119.00000001071021</v>
      </c>
    </row>
    <row r="7182">
      <c r="A7182" s="234"/>
      <c r="B7182" s="238" t="str">
        <f>IFERROR(__xludf.DUMMYFUNCTION("""COMPUTED_VALUE"""),"LM Hub_SP_Mogi Mirim")</f>
        <v>LM Hub_SP_Mogi Mirim</v>
      </c>
      <c r="C7182" s="238" t="str">
        <f>IFERROR(__xludf.DUMMYFUNCTION("""COMPUTED_VALUE"""),"HUB-LSP-37")</f>
        <v>HUB-LSP-37</v>
      </c>
      <c r="D7182" s="234"/>
      <c r="E7182" s="237" t="str">
        <f>IFERROR(__xludf.DUMMYFUNCTION("""COMPUTED_VALUE"""),"LT0Q2A01YJ1J1")</f>
        <v>LT0Q2A01YJ1J1</v>
      </c>
      <c r="F7182" s="238" t="str">
        <f>IFERROR(__xludf.DUMMYFUNCTION("""COMPUTED_VALUE"""),"STU3E60,SVG9I28")</f>
        <v>STU3E60,SVG9I28</v>
      </c>
      <c r="G7182" s="238">
        <f>IFERROR(__xludf.DUMMYFUNCTION("""COMPUTED_VALUE"""),46063.959027777775)</f>
        <v>46063.95903</v>
      </c>
      <c r="H7182" s="238">
        <f>IFERROR(__xludf.DUMMYFUNCTION("""COMPUTED_VALUE"""),46064.04166666667)</f>
        <v>46064.04167</v>
      </c>
      <c r="J7182" s="239">
        <v>119.99999999301508</v>
      </c>
    </row>
    <row r="7183">
      <c r="A7183" s="234"/>
      <c r="B7183" s="238" t="str">
        <f>IFERROR(__xludf.DUMMYFUNCTION("""COMPUTED_VALUE"""),"LM Hub_SP_Araraquara")</f>
        <v>LM Hub_SP_Araraquara</v>
      </c>
      <c r="C7183" s="238" t="str">
        <f>IFERROR(__xludf.DUMMYFUNCTION("""COMPUTED_VALUE"""),"HUB-LSP-29")</f>
        <v>HUB-LSP-29</v>
      </c>
      <c r="D7183" s="234">
        <f>IFERROR(__xludf.DUMMYFUNCTION("""COMPUTED_VALUE"""),23.0)</f>
        <v>23</v>
      </c>
      <c r="E7183" s="237" t="str">
        <f>IFERROR(__xludf.DUMMYFUNCTION("""COMPUTED_VALUE"""),"LT0Q2A01YJ1L1")</f>
        <v>LT0Q2A01YJ1L1</v>
      </c>
      <c r="F7183" s="238" t="str">
        <f>IFERROR(__xludf.DUMMYFUNCTION("""COMPUTED_VALUE"""),"ISQ7F01,ANM9G89")</f>
        <v>ISQ7F01,ANM9G89</v>
      </c>
      <c r="G7183" s="238">
        <f>IFERROR(__xludf.DUMMYFUNCTION("""COMPUTED_VALUE"""),46063.97916666667)</f>
        <v>46063.97917</v>
      </c>
      <c r="H7183" s="238">
        <f>IFERROR(__xludf.DUMMYFUNCTION("""COMPUTED_VALUE"""),46064.0625)</f>
        <v>46064.0625</v>
      </c>
      <c r="J7183" s="239">
        <v>119.99999999301508</v>
      </c>
    </row>
    <row r="7184">
      <c r="A7184" s="234"/>
      <c r="B7184" s="238" t="str">
        <f>IFERROR(__xludf.DUMMYFUNCTION("""COMPUTED_VALUE"""),"LM Hub_SP_Atibaia_Ponte_Alta")</f>
        <v>LM Hub_SP_Atibaia_Ponte_Alta</v>
      </c>
      <c r="C7184" s="238" t="str">
        <f>IFERROR(__xludf.DUMMYFUNCTION("""COMPUTED_VALUE"""),"HUB-LSP-87")</f>
        <v>HUB-LSP-87</v>
      </c>
      <c r="D7184" s="234">
        <f>IFERROR(__xludf.DUMMYFUNCTION("""COMPUTED_VALUE"""),29.0)</f>
        <v>29</v>
      </c>
      <c r="E7184" s="237" t="str">
        <f>IFERROR(__xludf.DUMMYFUNCTION("""COMPUTED_VALUE"""),"LT0Q2A01YM2G1")</f>
        <v>LT0Q2A01YM2G1</v>
      </c>
      <c r="F7184" s="238" t="str">
        <f>IFERROR(__xludf.DUMMYFUNCTION("""COMPUTED_VALUE"""),"TMH3A56,FUK4B71")</f>
        <v>TMH3A56,FUK4B71</v>
      </c>
      <c r="G7184" s="238">
        <f>IFERROR(__xludf.DUMMYFUNCTION("""COMPUTED_VALUE"""),46063.97916666667)</f>
        <v>46063.97917</v>
      </c>
      <c r="H7184" s="238">
        <f>IFERROR(__xludf.DUMMYFUNCTION("""COMPUTED_VALUE"""),46064.0625)</f>
        <v>46064.0625</v>
      </c>
      <c r="J7184" s="239">
        <v>119.99999999301508</v>
      </c>
    </row>
    <row r="7185">
      <c r="A7185" s="234"/>
      <c r="B7185" s="238" t="str">
        <f>IFERROR(__xludf.DUMMYFUNCTION("""COMPUTED_VALUE"""),"LM Hub_SP_Várzea Paulista")</f>
        <v>LM Hub_SP_Várzea Paulista</v>
      </c>
      <c r="C7185" s="238" t="str">
        <f>IFERROR(__xludf.DUMMYFUNCTION("""COMPUTED_VALUE"""),"HUB-LSP-20")</f>
        <v>HUB-LSP-20</v>
      </c>
      <c r="D7185" s="234">
        <f>IFERROR(__xludf.DUMMYFUNCTION("""COMPUTED_VALUE"""),19.0)</f>
        <v>19</v>
      </c>
      <c r="E7185" s="237" t="str">
        <f>IFERROR(__xludf.DUMMYFUNCTION("""COMPUTED_VALUE"""),"LT0Q2A01YJ211")</f>
        <v>LT0Q2A01YJ211</v>
      </c>
      <c r="F7185" s="238" t="str">
        <f>IFERROR(__xludf.DUMMYFUNCTION("""COMPUTED_VALUE"""),"SRG9A89,QPW4889")</f>
        <v>SRG9A89,QPW4889</v>
      </c>
      <c r="G7185" s="238">
        <f>IFERROR(__xludf.DUMMYFUNCTION("""COMPUTED_VALUE"""),46063.97916666667)</f>
        <v>46063.97917</v>
      </c>
      <c r="H7185" s="238">
        <f>IFERROR(__xludf.DUMMYFUNCTION("""COMPUTED_VALUE"""),46064.0625)</f>
        <v>46064.0625</v>
      </c>
      <c r="J7185" s="239">
        <v>119.00000000023283</v>
      </c>
    </row>
    <row r="7186">
      <c r="A7186" s="234"/>
      <c r="B7186" s="238" t="str">
        <f>IFERROR(__xludf.DUMMYFUNCTION("""COMPUTED_VALUE"""),"LM Hub_SP_Araraquara")</f>
        <v>LM Hub_SP_Araraquara</v>
      </c>
      <c r="C7186" s="238" t="str">
        <f>IFERROR(__xludf.DUMMYFUNCTION("""COMPUTED_VALUE"""),"HUB-LSP-29")</f>
        <v>HUB-LSP-29</v>
      </c>
      <c r="D7186" s="234"/>
      <c r="E7186" s="237" t="str">
        <f>IFERROR(__xludf.DUMMYFUNCTION("""COMPUTED_VALUE"""),"LT0Q2A01YJ1Q1")</f>
        <v>LT0Q2A01YJ1Q1</v>
      </c>
      <c r="F7186" s="238" t="str">
        <f>IFERROR(__xludf.DUMMYFUNCTION("""COMPUTED_VALUE"""),"NFG8B11,CZZ8526")</f>
        <v>NFG8B11,CZZ8526</v>
      </c>
      <c r="G7186" s="238">
        <f>IFERROR(__xludf.DUMMYFUNCTION("""COMPUTED_VALUE"""),46063.97986111111)</f>
        <v>46063.97986</v>
      </c>
      <c r="H7186" s="238">
        <f>IFERROR(__xludf.DUMMYFUNCTION("""COMPUTED_VALUE"""),46064.0625)</f>
        <v>46064.0625</v>
      </c>
      <c r="J7186" s="239">
        <v>119.00000000023283</v>
      </c>
    </row>
    <row r="7187">
      <c r="A7187" s="234"/>
      <c r="B7187" s="238" t="str">
        <f>IFERROR(__xludf.DUMMYFUNCTION("""COMPUTED_VALUE"""),"LM Hub_SP_Atibaia_Ponte_Alta")</f>
        <v>LM Hub_SP_Atibaia_Ponte_Alta</v>
      </c>
      <c r="C7187" s="238" t="str">
        <f>IFERROR(__xludf.DUMMYFUNCTION("""COMPUTED_VALUE"""),"HUB-LSP-87")</f>
        <v>HUB-LSP-87</v>
      </c>
      <c r="D7187" s="234">
        <f>IFERROR(__xludf.DUMMYFUNCTION("""COMPUTED_VALUE"""),45.0)</f>
        <v>45</v>
      </c>
      <c r="E7187" s="237" t="str">
        <f>IFERROR(__xludf.DUMMYFUNCTION("""COMPUTED_VALUE"""),"LT0Q2A01YM2K1")</f>
        <v>LT0Q2A01YM2K1</v>
      </c>
      <c r="F7187" s="238" t="str">
        <f>IFERROR(__xludf.DUMMYFUNCTION("""COMPUTED_VALUE"""),"DBM1893")</f>
        <v>DBM1893</v>
      </c>
      <c r="G7187" s="238">
        <f>IFERROR(__xludf.DUMMYFUNCTION("""COMPUTED_VALUE"""),46063.97986111111)</f>
        <v>46063.97986</v>
      </c>
      <c r="H7187" s="238">
        <f>IFERROR(__xludf.DUMMYFUNCTION("""COMPUTED_VALUE"""),46064.0625)</f>
        <v>46064.0625</v>
      </c>
      <c r="J7187" s="239">
        <v>119.99999999301508</v>
      </c>
    </row>
    <row r="7188">
      <c r="A7188" s="234"/>
      <c r="B7188" s="238" t="str">
        <f>IFERROR(__xludf.DUMMYFUNCTION("""COMPUTED_VALUE"""),"LM Hub_RJ_Ilha do Governador")</f>
        <v>LM Hub_RJ_Ilha do Governador</v>
      </c>
      <c r="C7188" s="238" t="str">
        <f>IFERROR(__xludf.DUMMYFUNCTION("""COMPUTED_VALUE"""),"HUB-LRJ-32")</f>
        <v>HUB-LRJ-32</v>
      </c>
      <c r="D7188" s="234">
        <f>IFERROR(__xludf.DUMMYFUNCTION("""COMPUTED_VALUE"""),112.0)</f>
        <v>112</v>
      </c>
      <c r="E7188" s="237" t="str">
        <f>IFERROR(__xludf.DUMMYFUNCTION("""COMPUTED_VALUE"""),"LT0Q2B01YNMX1")</f>
        <v>LT0Q2B01YNMX1</v>
      </c>
      <c r="F7188" s="238" t="str">
        <f>IFERROR(__xludf.DUMMYFUNCTION("""COMPUTED_VALUE"""),"NTU8H21")</f>
        <v>NTU8H21</v>
      </c>
      <c r="G7188" s="238">
        <f>IFERROR(__xludf.DUMMYFUNCTION("""COMPUTED_VALUE"""),46064.0)</f>
        <v>46064</v>
      </c>
      <c r="H7188" s="238">
        <f>IFERROR(__xludf.DUMMYFUNCTION("""COMPUTED_VALUE"""),46064.08333333333)</f>
        <v>46064.08333</v>
      </c>
      <c r="J7188" s="239">
        <v>119.99999999301508</v>
      </c>
    </row>
    <row r="7189">
      <c r="A7189" s="234"/>
      <c r="B7189" s="238" t="str">
        <f>IFERROR(__xludf.DUMMYFUNCTION("""COMPUTED_VALUE"""),"LM Hub_SP_Tatuí")</f>
        <v>LM Hub_SP_Tatuí</v>
      </c>
      <c r="C7189" s="238" t="str">
        <f>IFERROR(__xludf.DUMMYFUNCTION("""COMPUTED_VALUE"""),"HUB-LSP-51")</f>
        <v>HUB-LSP-51</v>
      </c>
      <c r="D7189" s="234">
        <f>IFERROR(__xludf.DUMMYFUNCTION("""COMPUTED_VALUE"""),38.0)</f>
        <v>38</v>
      </c>
      <c r="E7189" s="237" t="str">
        <f>IFERROR(__xludf.DUMMYFUNCTION("""COMPUTED_VALUE"""),"LT0Q2B01YIYM1")</f>
        <v>LT0Q2B01YIYM1</v>
      </c>
      <c r="F7189" s="238" t="str">
        <f>IFERROR(__xludf.DUMMYFUNCTION("""COMPUTED_VALUE"""),"SUK7E04,GBX1009")</f>
        <v>SUK7E04,GBX1009</v>
      </c>
      <c r="G7189" s="238">
        <f>IFERROR(__xludf.DUMMYFUNCTION("""COMPUTED_VALUE"""),46064.0)</f>
        <v>46064</v>
      </c>
      <c r="H7189" s="238">
        <f>IFERROR(__xludf.DUMMYFUNCTION("""COMPUTED_VALUE"""),46064.08333333333)</f>
        <v>46064.08333</v>
      </c>
      <c r="J7189" s="239">
        <v>118.99999998975545</v>
      </c>
    </row>
    <row r="7190">
      <c r="A7190" s="234"/>
      <c r="B7190" s="238" t="str">
        <f>IFERROR(__xludf.DUMMYFUNCTION("""COMPUTED_VALUE"""),"LM Hub_SP_Tatuí")</f>
        <v>LM Hub_SP_Tatuí</v>
      </c>
      <c r="C7190" s="238" t="str">
        <f>IFERROR(__xludf.DUMMYFUNCTION("""COMPUTED_VALUE"""),"HUB-LSP-51")</f>
        <v>HUB-LSP-51</v>
      </c>
      <c r="D7190" s="234"/>
      <c r="E7190" s="237" t="str">
        <f>IFERROR(__xludf.DUMMYFUNCTION("""COMPUTED_VALUE"""),"LT0Q2B01YIYQ1")</f>
        <v>LT0Q2B01YIYQ1</v>
      </c>
      <c r="F7190" s="238" t="str">
        <f>IFERROR(__xludf.DUMMYFUNCTION("""COMPUTED_VALUE"""),"FLO1G76")</f>
        <v>FLO1G76</v>
      </c>
      <c r="G7190" s="238">
        <f>IFERROR(__xludf.DUMMYFUNCTION("""COMPUTED_VALUE"""),46064.00069444445)</f>
        <v>46064.00069</v>
      </c>
      <c r="H7190" s="238">
        <f>IFERROR(__xludf.DUMMYFUNCTION("""COMPUTED_VALUE"""),46064.08333333333)</f>
        <v>46064.08333</v>
      </c>
      <c r="J7190" s="239">
        <v>120.00000001396984</v>
      </c>
    </row>
    <row r="7191">
      <c r="A7191" s="234"/>
      <c r="B7191" s="238" t="str">
        <f>IFERROR(__xludf.DUMMYFUNCTION("""COMPUTED_VALUE"""),"LM Hub_MG_Varginha_Fausto")</f>
        <v>LM Hub_MG_Varginha_Fausto</v>
      </c>
      <c r="C7191" s="238" t="str">
        <f>IFERROR(__xludf.DUMMYFUNCTION("""COMPUTED_VALUE"""),"HUB-LMG-45")</f>
        <v>HUB-LMG-45</v>
      </c>
      <c r="D7191" s="234">
        <f>IFERROR(__xludf.DUMMYFUNCTION("""COMPUTED_VALUE"""),114.0)</f>
        <v>114</v>
      </c>
      <c r="E7191" s="237" t="str">
        <f>IFERROR(__xludf.DUMMYFUNCTION("""COMPUTED_VALUE"""),"LT0Q2B01YN5V1")</f>
        <v>LT0Q2B01YN5V1</v>
      </c>
      <c r="F7191" s="238" t="str">
        <f>IFERROR(__xludf.DUMMYFUNCTION("""COMPUTED_VALUE"""),"AUJ9865")</f>
        <v>AUJ9865</v>
      </c>
      <c r="G7191" s="238">
        <f>IFERROR(__xludf.DUMMYFUNCTION("""COMPUTED_VALUE"""),46064.02083333333)</f>
        <v>46064.02083</v>
      </c>
      <c r="H7191" s="238">
        <f>IFERROR(__xludf.DUMMYFUNCTION("""COMPUTED_VALUE"""),46064.10416666667)</f>
        <v>46064.10417</v>
      </c>
      <c r="J7191" s="239">
        <v>120.00000001396984</v>
      </c>
    </row>
    <row r="7192">
      <c r="A7192" s="234"/>
      <c r="B7192" s="238" t="str">
        <f>IFERROR(__xludf.DUMMYFUNCTION("""COMPUTED_VALUE"""),"SoC_BA_Simoes Filho")</f>
        <v>SoC_BA_Simoes Filho</v>
      </c>
      <c r="C7192" s="238" t="str">
        <f>IFERROR(__xludf.DUMMYFUNCTION("""COMPUTED_VALUE"""),"SOC-BA2")</f>
        <v>SOC-BA2</v>
      </c>
      <c r="D7192" s="234"/>
      <c r="E7192" s="237" t="str">
        <f>IFERROR(__xludf.DUMMYFUNCTION("""COMPUTED_VALUE"""),"LT1Q2B01YUCO1")</f>
        <v>LT1Q2B01YUCO1</v>
      </c>
      <c r="F7192" s="238" t="str">
        <f>IFERROR(__xludf.DUMMYFUNCTION("""COMPUTED_VALUE"""),"MLV7F78,GGY3A57")</f>
        <v>MLV7F78,GGY3A57</v>
      </c>
      <c r="G7192" s="238">
        <f>IFERROR(__xludf.DUMMYFUNCTION("""COMPUTED_VALUE"""),46064.08333333333)</f>
        <v>46064.08333</v>
      </c>
      <c r="H7192" s="238">
        <f>IFERROR(__xludf.DUMMYFUNCTION("""COMPUTED_VALUE"""),46064.16666666667)</f>
        <v>46064.16667</v>
      </c>
      <c r="J7192" s="239">
        <v>120.00000001396984</v>
      </c>
    </row>
    <row r="7193">
      <c r="A7193" s="234"/>
      <c r="B7193" s="238" t="str">
        <f>IFERROR(__xludf.DUMMYFUNCTION("""COMPUTED_VALUE"""),"SoC_PE_Jaboatão dos Guararapes")</f>
        <v>SoC_PE_Jaboatão dos Guararapes</v>
      </c>
      <c r="C7193" s="238" t="str">
        <f>IFERROR(__xludf.DUMMYFUNCTION("""COMPUTED_VALUE"""),"SOC-PE2")</f>
        <v>SOC-PE2</v>
      </c>
      <c r="D7193" s="234"/>
      <c r="E7193" s="237" t="str">
        <f>IFERROR(__xludf.DUMMYFUNCTION("""COMPUTED_VALUE"""),"LT1Q2B01YUCJ1")</f>
        <v>LT1Q2B01YUCJ1</v>
      </c>
      <c r="F7193" s="238" t="str">
        <f>IFERROR(__xludf.DUMMYFUNCTION("""COMPUTED_VALUE"""),"MTW4C62,TJD7A40")</f>
        <v>MTW4C62,TJD7A40</v>
      </c>
      <c r="G7193" s="238">
        <f>IFERROR(__xludf.DUMMYFUNCTION("""COMPUTED_VALUE"""),46064.08333333333)</f>
        <v>46064.08333</v>
      </c>
      <c r="H7193" s="238">
        <f>IFERROR(__xludf.DUMMYFUNCTION("""COMPUTED_VALUE"""),46064.16666666667)</f>
        <v>46064.16667</v>
      </c>
      <c r="J7193" s="239">
        <v>120.00000001396984</v>
      </c>
    </row>
    <row r="7194">
      <c r="A7194" s="234"/>
      <c r="B7194" s="238" t="str">
        <f>IFERROR(__xludf.DUMMYFUNCTION("""COMPUTED_VALUE"""),"SoC_PR_Curitiba")</f>
        <v>SoC_PR_Curitiba</v>
      </c>
      <c r="C7194" s="238" t="str">
        <f>IFERROR(__xludf.DUMMYFUNCTION("""COMPUTED_VALUE"""),"SOC-PR1")</f>
        <v>SOC-PR1</v>
      </c>
      <c r="D7194" s="234"/>
      <c r="E7194" s="237" t="str">
        <f>IFERROR(__xludf.DUMMYFUNCTION("""COMPUTED_VALUE"""),"LT1Q2B01YUCF1")</f>
        <v>LT1Q2B01YUCF1</v>
      </c>
      <c r="F7194" s="238" t="str">
        <f>IFERROR(__xludf.DUMMYFUNCTION("""COMPUTED_VALUE"""),"TAO4G30,TJU8A14")</f>
        <v>TAO4G30,TJU8A14</v>
      </c>
      <c r="G7194" s="238">
        <f>IFERROR(__xludf.DUMMYFUNCTION("""COMPUTED_VALUE"""),46064.08333333333)</f>
        <v>46064.08333</v>
      </c>
      <c r="H7194" s="238">
        <f>IFERROR(__xludf.DUMMYFUNCTION("""COMPUTED_VALUE"""),46064.16666666667)</f>
        <v>46064.16667</v>
      </c>
      <c r="J7194" s="239">
        <v>120.00000001396984</v>
      </c>
    </row>
    <row r="7195">
      <c r="A7195" s="234"/>
      <c r="B7195" s="238" t="str">
        <f>IFERROR(__xludf.DUMMYFUNCTION("""COMPUTED_VALUE"""),"SoC_SC_Itajaí")</f>
        <v>SoC_SC_Itajaí</v>
      </c>
      <c r="C7195" s="238" t="str">
        <f>IFERROR(__xludf.DUMMYFUNCTION("""COMPUTED_VALUE"""),"SOC-SC1")</f>
        <v>SOC-SC1</v>
      </c>
      <c r="D7195" s="234"/>
      <c r="E7195" s="237" t="str">
        <f>IFERROR(__xludf.DUMMYFUNCTION("""COMPUTED_VALUE"""),"LT1Q2B01YUCG1")</f>
        <v>LT1Q2B01YUCG1</v>
      </c>
      <c r="F7195" s="238" t="str">
        <f>IFERROR(__xludf.DUMMYFUNCTION("""COMPUTED_VALUE"""),"PRL0F27,ETM2E52")</f>
        <v>PRL0F27,ETM2E52</v>
      </c>
      <c r="G7195" s="238">
        <f>IFERROR(__xludf.DUMMYFUNCTION("""COMPUTED_VALUE"""),46064.08333333333)</f>
        <v>46064.08333</v>
      </c>
      <c r="H7195" s="238">
        <f>IFERROR(__xludf.DUMMYFUNCTION("""COMPUTED_VALUE"""),46064.16666666667)</f>
        <v>46064.16667</v>
      </c>
      <c r="J7195" s="239">
        <v>119.99999999301508</v>
      </c>
    </row>
    <row r="7196">
      <c r="A7196" s="234"/>
      <c r="B7196" s="238" t="str">
        <f>IFERROR(__xludf.DUMMYFUNCTION("""COMPUTED_VALUE"""),"LM Hub_SP_Campinas_PqCidade")</f>
        <v>LM Hub_SP_Campinas_PqCidade</v>
      </c>
      <c r="C7196" s="238" t="str">
        <f>IFERROR(__xludf.DUMMYFUNCTION("""COMPUTED_VALUE"""),"HUB-LSP-105")</f>
        <v>HUB-LSP-105</v>
      </c>
      <c r="D7196" s="234">
        <f>IFERROR(__xludf.DUMMYFUNCTION("""COMPUTED_VALUE"""),113.0)</f>
        <v>113</v>
      </c>
      <c r="E7196" s="237" t="str">
        <f>IFERROR(__xludf.DUMMYFUNCTION("""COMPUTED_VALUE"""),"LT0Q2B01YPX31")</f>
        <v>LT0Q2B01YPX31</v>
      </c>
      <c r="F7196" s="238" t="str">
        <f>IFERROR(__xludf.DUMMYFUNCTION("""COMPUTED_VALUE"""),"GCJ6G71")</f>
        <v>GCJ6G71</v>
      </c>
      <c r="G7196" s="238">
        <f>IFERROR(__xludf.DUMMYFUNCTION("""COMPUTED_VALUE"""),46064.10416666667)</f>
        <v>46064.10417</v>
      </c>
      <c r="H7196" s="238">
        <f>IFERROR(__xludf.DUMMYFUNCTION("""COMPUTED_VALUE"""),46064.1875)</f>
        <v>46064.1875</v>
      </c>
      <c r="J7196" s="239">
        <v>119.99999999301508</v>
      </c>
    </row>
    <row r="7197">
      <c r="A7197" s="234"/>
      <c r="B7197" s="238" t="str">
        <f>IFERROR(__xludf.DUMMYFUNCTION("""COMPUTED_VALUE"""),"LM Hub_SP_Itapetininga")</f>
        <v>LM Hub_SP_Itapetininga</v>
      </c>
      <c r="C7197" s="238" t="str">
        <f>IFERROR(__xludf.DUMMYFUNCTION("""COMPUTED_VALUE"""),"HUB-LSP-53")</f>
        <v>HUB-LSP-53</v>
      </c>
      <c r="D7197" s="234">
        <f>IFERROR(__xludf.DUMMYFUNCTION("""COMPUTED_VALUE"""),38.0)</f>
        <v>38</v>
      </c>
      <c r="E7197" s="237" t="str">
        <f>IFERROR(__xludf.DUMMYFUNCTION("""COMPUTED_VALUE"""),"LT0Q2B01YIYG1")</f>
        <v>LT0Q2B01YIYG1</v>
      </c>
      <c r="F7197" s="238" t="str">
        <f>IFERROR(__xludf.DUMMYFUNCTION("""COMPUTED_VALUE"""),"FZY3F48")</f>
        <v>FZY3F48</v>
      </c>
      <c r="G7197" s="238">
        <f>IFERROR(__xludf.DUMMYFUNCTION("""COMPUTED_VALUE"""),46064.10416666667)</f>
        <v>46064.10417</v>
      </c>
      <c r="H7197" s="238">
        <f>IFERROR(__xludf.DUMMYFUNCTION("""COMPUTED_VALUE"""),46064.1875)</f>
        <v>46064.1875</v>
      </c>
      <c r="J7197" s="239">
        <v>119.99999999301508</v>
      </c>
    </row>
    <row r="7198">
      <c r="A7198" s="234"/>
      <c r="B7198" s="238" t="str">
        <f>IFERROR(__xludf.DUMMYFUNCTION("""COMPUTED_VALUE"""),"LM Hub_SP_São Carlos")</f>
        <v>LM Hub_SP_São Carlos</v>
      </c>
      <c r="C7198" s="238" t="str">
        <f>IFERROR(__xludf.DUMMYFUNCTION("""COMPUTED_VALUE"""),"HUB-LSP-31")</f>
        <v>HUB-LSP-31</v>
      </c>
      <c r="D7198" s="234">
        <f>IFERROR(__xludf.DUMMYFUNCTION("""COMPUTED_VALUE"""),32.0)</f>
        <v>32</v>
      </c>
      <c r="E7198" s="237" t="str">
        <f>IFERROR(__xludf.DUMMYFUNCTION("""COMPUTED_VALUE"""),"LT0Q2B01YJ0X1")</f>
        <v>LT0Q2B01YJ0X1</v>
      </c>
      <c r="F7198" s="238" t="str">
        <f>IFERROR(__xludf.DUMMYFUNCTION("""COMPUTED_VALUE"""),"OMS0F06")</f>
        <v>OMS0F06</v>
      </c>
      <c r="G7198" s="238">
        <f>IFERROR(__xludf.DUMMYFUNCTION("""COMPUTED_VALUE"""),46064.10416666667)</f>
        <v>46064.10417</v>
      </c>
      <c r="H7198" s="238">
        <f>IFERROR(__xludf.DUMMYFUNCTION("""COMPUTED_VALUE"""),46064.1875)</f>
        <v>46064.1875</v>
      </c>
      <c r="J7198" s="239">
        <v>540.0</v>
      </c>
    </row>
    <row r="7199">
      <c r="A7199" s="234"/>
      <c r="B7199" s="238" t="str">
        <f>IFERROR(__xludf.DUMMYFUNCTION("""COMPUTED_VALUE"""),"SoC_SP_Cravinhos")</f>
        <v>SoC_SP_Cravinhos</v>
      </c>
      <c r="C7199" s="238" t="str">
        <f>IFERROR(__xludf.DUMMYFUNCTION("""COMPUTED_VALUE"""),"SOC-SP5")</f>
        <v>SOC-SP5</v>
      </c>
      <c r="D7199" s="234">
        <f>IFERROR(__xludf.DUMMYFUNCTION("""COMPUTED_VALUE"""),94.0)</f>
        <v>94</v>
      </c>
      <c r="E7199" s="237" t="str">
        <f>IFERROR(__xludf.DUMMYFUNCTION("""COMPUTED_VALUE"""),"LT1Q2A01YUCD1")</f>
        <v>LT1Q2A01YUCD1</v>
      </c>
      <c r="F7199" s="238" t="str">
        <f>IFERROR(__xludf.DUMMYFUNCTION("""COMPUTED_VALUE"""),"IRJ4D34,DBB4D70")</f>
        <v>IRJ4D34,DBB4D70</v>
      </c>
      <c r="G7199" s="238">
        <f>IFERROR(__xludf.DUMMYFUNCTION("""COMPUTED_VALUE"""),46063.83333333333)</f>
        <v>46063.83333</v>
      </c>
      <c r="H7199" s="238">
        <f>IFERROR(__xludf.DUMMYFUNCTION("""COMPUTED_VALUE"""),46064.20833333333)</f>
        <v>46064.20833</v>
      </c>
      <c r="J7199" s="239">
        <v>537.9999999934807</v>
      </c>
    </row>
    <row r="7200">
      <c r="A7200" s="234"/>
      <c r="B7200" s="238" t="str">
        <f>IFERROR(__xludf.DUMMYFUNCTION("""COMPUTED_VALUE"""),"SoC_GO_Goiânia_02")</f>
        <v>SoC_GO_Goiânia_02</v>
      </c>
      <c r="C7200" s="238" t="str">
        <f>IFERROR(__xludf.DUMMYFUNCTION("""COMPUTED_VALUE"""),"SOC-GO2")</f>
        <v>SOC-GO2</v>
      </c>
      <c r="D7200" s="234">
        <f>IFERROR(__xludf.DUMMYFUNCTION("""COMPUTED_VALUE"""),87.0)</f>
        <v>87</v>
      </c>
      <c r="E7200" s="237" t="str">
        <f>IFERROR(__xludf.DUMMYFUNCTION("""COMPUTED_VALUE"""),"LT0Q2A01YNQZ3")</f>
        <v>LT0Q2A01YNQZ3</v>
      </c>
      <c r="F7200" s="238" t="str">
        <f>IFERROR(__xludf.DUMMYFUNCTION("""COMPUTED_VALUE"""),"EML3G12,EMT0D31")</f>
        <v>EML3G12,EMT0D31</v>
      </c>
      <c r="G7200" s="238">
        <f>IFERROR(__xludf.DUMMYFUNCTION("""COMPUTED_VALUE"""),46063.83472222222)</f>
        <v>46063.83472</v>
      </c>
      <c r="H7200" s="238">
        <f>IFERROR(__xludf.DUMMYFUNCTION("""COMPUTED_VALUE"""),46064.20833333333)</f>
        <v>46064.20833</v>
      </c>
      <c r="J7200" s="239">
        <v>419.99999998603016</v>
      </c>
    </row>
    <row r="7201">
      <c r="A7201" s="234"/>
      <c r="B7201" s="238" t="str">
        <f>IFERROR(__xludf.DUMMYFUNCTION("""COMPUTED_VALUE"""),"SoC_PE_Jaboatão dos Guararapes")</f>
        <v>SoC_PE_Jaboatão dos Guararapes</v>
      </c>
      <c r="C7201" s="238" t="str">
        <f>IFERROR(__xludf.DUMMYFUNCTION("""COMPUTED_VALUE"""),"SOC-PE2")</f>
        <v>SOC-PE2</v>
      </c>
      <c r="D7201" s="234">
        <f>IFERROR(__xludf.DUMMYFUNCTION("""COMPUTED_VALUE"""),99.0)</f>
        <v>99</v>
      </c>
      <c r="E7201" s="237" t="str">
        <f>IFERROR(__xludf.DUMMYFUNCTION("""COMPUTED_VALUE"""),"LT1Q2A01YTQN1")</f>
        <v>LT1Q2A01YTQN1</v>
      </c>
      <c r="F7201" s="238" t="str">
        <f>IFERROR(__xludf.DUMMYFUNCTION("""COMPUTED_VALUE"""),"FIH8I30,FDC5I41")</f>
        <v>FIH8I30,FDC5I41</v>
      </c>
      <c r="G7201" s="238">
        <f>IFERROR(__xludf.DUMMYFUNCTION("""COMPUTED_VALUE"""),46063.91666666667)</f>
        <v>46063.91667</v>
      </c>
      <c r="H7201" s="238">
        <f>IFERROR(__xludf.DUMMYFUNCTION("""COMPUTED_VALUE"""),46064.20833333333)</f>
        <v>46064.20833</v>
      </c>
      <c r="J7201" s="239">
        <v>419.99999998603016</v>
      </c>
    </row>
    <row r="7202">
      <c r="A7202" s="234"/>
      <c r="B7202" s="238" t="str">
        <f>IFERROR(__xludf.DUMMYFUNCTION("""COMPUTED_VALUE"""),"SoC_RJ_Duque de Caxias")</f>
        <v>SoC_RJ_Duque de Caxias</v>
      </c>
      <c r="C7202" s="238" t="str">
        <f>IFERROR(__xludf.DUMMYFUNCTION("""COMPUTED_VALUE"""),"SOC-RJ2")</f>
        <v>SOC-RJ2</v>
      </c>
      <c r="D7202" s="234">
        <f>IFERROR(__xludf.DUMMYFUNCTION("""COMPUTED_VALUE"""),97.0)</f>
        <v>97</v>
      </c>
      <c r="E7202" s="237" t="str">
        <f>IFERROR(__xludf.DUMMYFUNCTION("""COMPUTED_VALUE"""),"LT1Q2A01YTQH1")</f>
        <v>LT1Q2A01YTQH1</v>
      </c>
      <c r="F7202" s="238" t="str">
        <f>IFERROR(__xludf.DUMMYFUNCTION("""COMPUTED_VALUE"""),"ISA7C33,FOU3I56")</f>
        <v>ISA7C33,FOU3I56</v>
      </c>
      <c r="G7202" s="238">
        <f>IFERROR(__xludf.DUMMYFUNCTION("""COMPUTED_VALUE"""),46063.91666666667)</f>
        <v>46063.91667</v>
      </c>
      <c r="H7202" s="238">
        <f>IFERROR(__xludf.DUMMYFUNCTION("""COMPUTED_VALUE"""),46064.20833333333)</f>
        <v>46064.20833</v>
      </c>
      <c r="J7202" s="239">
        <v>360.0</v>
      </c>
    </row>
    <row r="7203">
      <c r="A7203" s="234"/>
      <c r="B7203" s="238" t="str">
        <f>IFERROR(__xludf.DUMMYFUNCTION("""COMPUTED_VALUE"""),"SoC_PE_Jaboatão dos Guararapes")</f>
        <v>SoC_PE_Jaboatão dos Guararapes</v>
      </c>
      <c r="C7203" s="238" t="str">
        <f>IFERROR(__xludf.DUMMYFUNCTION("""COMPUTED_VALUE"""),"SOC-PE2")</f>
        <v>SOC-PE2</v>
      </c>
      <c r="D7203" s="234">
        <f>IFERROR(__xludf.DUMMYFUNCTION("""COMPUTED_VALUE"""),98.0)</f>
        <v>98</v>
      </c>
      <c r="E7203" s="237" t="str">
        <f>IFERROR(__xludf.DUMMYFUNCTION("""COMPUTED_VALUE"""),"LT1Q2A01YTQO1")</f>
        <v>LT1Q2A01YTQO1</v>
      </c>
      <c r="F7203" s="238" t="str">
        <f>IFERROR(__xludf.DUMMYFUNCTION("""COMPUTED_VALUE"""),"MQX1896,EZU9G35")</f>
        <v>MQX1896,EZU9G35</v>
      </c>
      <c r="G7203" s="238">
        <f>IFERROR(__xludf.DUMMYFUNCTION("""COMPUTED_VALUE"""),46063.95833333333)</f>
        <v>46063.95833</v>
      </c>
      <c r="H7203" s="238">
        <f>IFERROR(__xludf.DUMMYFUNCTION("""COMPUTED_VALUE"""),46064.20833333333)</f>
        <v>46064.20833</v>
      </c>
      <c r="J7203" s="239">
        <v>360.0</v>
      </c>
    </row>
    <row r="7204">
      <c r="A7204" s="234"/>
      <c r="B7204" s="238" t="str">
        <f>IFERROR(__xludf.DUMMYFUNCTION("""COMPUTED_VALUE"""),"SoC_SP_Cravinhos")</f>
        <v>SoC_SP_Cravinhos</v>
      </c>
      <c r="C7204" s="238" t="str">
        <f>IFERROR(__xludf.DUMMYFUNCTION("""COMPUTED_VALUE"""),"SOC-SP5")</f>
        <v>SOC-SP5</v>
      </c>
      <c r="D7204" s="234" t="str">
        <f>IFERROR(__xludf.DUMMYFUNCTION("""COMPUTED_VALUE"""),"94/16")</f>
        <v>94/16</v>
      </c>
      <c r="E7204" s="237" t="str">
        <f>IFERROR(__xludf.DUMMYFUNCTION("""COMPUTED_VALUE"""),"LT1Q2A01YTQG1")</f>
        <v>LT1Q2A01YTQG1</v>
      </c>
      <c r="F7204" s="238" t="str">
        <f>IFERROR(__xludf.DUMMYFUNCTION("""COMPUTED_VALUE"""),"FOO7J04,TJI8B90")</f>
        <v>FOO7J04,TJI8B90</v>
      </c>
      <c r="G7204" s="238">
        <f>IFERROR(__xludf.DUMMYFUNCTION("""COMPUTED_VALUE"""),46063.95833333333)</f>
        <v>46063.95833</v>
      </c>
      <c r="H7204" s="238">
        <f>IFERROR(__xludf.DUMMYFUNCTION("""COMPUTED_VALUE"""),46064.20833333333)</f>
        <v>46064.20833</v>
      </c>
      <c r="J7204" s="239">
        <v>360.0</v>
      </c>
    </row>
    <row r="7205">
      <c r="A7205" s="234"/>
      <c r="B7205" s="238" t="str">
        <f>IFERROR(__xludf.DUMMYFUNCTION("""COMPUTED_VALUE"""),"SoC_SP_Louveira")</f>
        <v>SoC_SP_Louveira</v>
      </c>
      <c r="C7205" s="238" t="str">
        <f>IFERROR(__xludf.DUMMYFUNCTION("""COMPUTED_VALUE"""),"SOC-SP7")</f>
        <v>SOC-SP7</v>
      </c>
      <c r="D7205" s="234">
        <f>IFERROR(__xludf.DUMMYFUNCTION("""COMPUTED_VALUE"""),42.0)</f>
        <v>42</v>
      </c>
      <c r="E7205" s="237" t="str">
        <f>IFERROR(__xludf.DUMMYFUNCTION("""COMPUTED_VALUE"""),"LT1Q2A01YTQF1")</f>
        <v>LT1Q2A01YTQF1</v>
      </c>
      <c r="F7205" s="238" t="str">
        <f>IFERROR(__xludf.DUMMYFUNCTION("""COMPUTED_VALUE"""),"MSI5B58,GHP3437")</f>
        <v>MSI5B58,GHP3437</v>
      </c>
      <c r="G7205" s="238">
        <f>IFERROR(__xludf.DUMMYFUNCTION("""COMPUTED_VALUE"""),46063.95833333333)</f>
        <v>46063.95833</v>
      </c>
      <c r="H7205" s="238">
        <f>IFERROR(__xludf.DUMMYFUNCTION("""COMPUTED_VALUE"""),46064.20833333333)</f>
        <v>46064.20833</v>
      </c>
      <c r="J7205" s="239">
        <v>119.99999999301508</v>
      </c>
    </row>
    <row r="7206">
      <c r="A7206" s="234"/>
      <c r="B7206" s="238" t="str">
        <f>IFERROR(__xludf.DUMMYFUNCTION("""COMPUTED_VALUE"""),"LM Hub_SP_Itapeva")</f>
        <v>LM Hub_SP_Itapeva</v>
      </c>
      <c r="C7206" s="238" t="str">
        <f>IFERROR(__xludf.DUMMYFUNCTION("""COMPUTED_VALUE"""),"HUB-LSP-39")</f>
        <v>HUB-LSP-39</v>
      </c>
      <c r="D7206" s="234">
        <f>IFERROR(__xludf.DUMMYFUNCTION("""COMPUTED_VALUE"""),34.0)</f>
        <v>34</v>
      </c>
      <c r="E7206" s="237" t="str">
        <f>IFERROR(__xludf.DUMMYFUNCTION("""COMPUTED_VALUE"""),"LT0Q2B01YIYT1")</f>
        <v>LT0Q2B01YIYT1</v>
      </c>
      <c r="F7206" s="238" t="str">
        <f>IFERROR(__xludf.DUMMYFUNCTION("""COMPUTED_VALUE"""),"FCT0F31")</f>
        <v>FCT0F31</v>
      </c>
      <c r="G7206" s="238">
        <f>IFERROR(__xludf.DUMMYFUNCTION("""COMPUTED_VALUE"""),46064.125)</f>
        <v>46064.125</v>
      </c>
      <c r="H7206" s="238">
        <f>IFERROR(__xludf.DUMMYFUNCTION("""COMPUTED_VALUE"""),46064.20833333333)</f>
        <v>46064.20833</v>
      </c>
      <c r="J7206" s="239">
        <v>119.99999999301508</v>
      </c>
    </row>
    <row r="7207">
      <c r="A7207" s="234"/>
      <c r="B7207" s="238" t="str">
        <f>IFERROR(__xludf.DUMMYFUNCTION("""COMPUTED_VALUE"""),"LM Hub_SP_Limeira_Campo Belo")</f>
        <v>LM Hub_SP_Limeira_Campo Belo</v>
      </c>
      <c r="C7207" s="238" t="str">
        <f>IFERROR(__xludf.DUMMYFUNCTION("""COMPUTED_VALUE"""),"HUB-LSP-24")</f>
        <v>HUB-LSP-24</v>
      </c>
      <c r="D7207" s="234">
        <f>IFERROR(__xludf.DUMMYFUNCTION("""COMPUTED_VALUE"""),33.0)</f>
        <v>33</v>
      </c>
      <c r="E7207" s="237" t="str">
        <f>IFERROR(__xludf.DUMMYFUNCTION("""COMPUTED_VALUE"""),"LT0Q2B01YJ0E1")</f>
        <v>LT0Q2B01YJ0E1</v>
      </c>
      <c r="F7207" s="238" t="str">
        <f>IFERROR(__xludf.DUMMYFUNCTION("""COMPUTED_VALUE"""),"GFT5J70,GBH5G53")</f>
        <v>GFT5J70,GBH5G53</v>
      </c>
      <c r="G7207" s="238">
        <f>IFERROR(__xludf.DUMMYFUNCTION("""COMPUTED_VALUE"""),46064.125)</f>
        <v>46064.125</v>
      </c>
      <c r="H7207" s="238">
        <f>IFERROR(__xludf.DUMMYFUNCTION("""COMPUTED_VALUE"""),46064.20833333333)</f>
        <v>46064.20833</v>
      </c>
      <c r="J7207" s="239">
        <v>119.99999999301508</v>
      </c>
    </row>
    <row r="7208">
      <c r="A7208" s="234"/>
      <c r="B7208" s="238" t="str">
        <f>IFERROR(__xludf.DUMMYFUNCTION("""COMPUTED_VALUE"""),"LM Hub_SP_Sumaré_Nova Veneza_1")</f>
        <v>LM Hub_SP_Sumaré_Nova Veneza_1</v>
      </c>
      <c r="C7208" s="238" t="str">
        <f>IFERROR(__xludf.DUMMYFUNCTION("""COMPUTED_VALUE"""),"HUB-LSP-88")</f>
        <v>HUB-LSP-88</v>
      </c>
      <c r="D7208" s="234">
        <f>IFERROR(__xludf.DUMMYFUNCTION("""COMPUTED_VALUE"""),29.0)</f>
        <v>29</v>
      </c>
      <c r="E7208" s="237" t="str">
        <f>IFERROR(__xludf.DUMMYFUNCTION("""COMPUTED_VALUE"""),"LT0Q2B01YN1O1")</f>
        <v>LT0Q2B01YN1O1</v>
      </c>
      <c r="F7208" s="238" t="str">
        <f>IFERROR(__xludf.DUMMYFUNCTION("""COMPUTED_VALUE"""),"DCU8E76,FMR2224")</f>
        <v>DCU8E76,FMR2224</v>
      </c>
      <c r="G7208" s="238">
        <f>IFERROR(__xludf.DUMMYFUNCTION("""COMPUTED_VALUE"""),46064.125)</f>
        <v>46064.125</v>
      </c>
      <c r="H7208" s="238">
        <f>IFERROR(__xludf.DUMMYFUNCTION("""COMPUTED_VALUE"""),46064.20833333333)</f>
        <v>46064.20833</v>
      </c>
      <c r="J7208" s="239">
        <v>119.99999999301508</v>
      </c>
    </row>
    <row r="7209">
      <c r="A7209" s="234"/>
      <c r="B7209" s="238" t="str">
        <f>IFERROR(__xludf.DUMMYFUNCTION("""COMPUTED_VALUE"""),"SoC_PR_Curitiba")</f>
        <v>SoC_PR_Curitiba</v>
      </c>
      <c r="C7209" s="238" t="str">
        <f>IFERROR(__xludf.DUMMYFUNCTION("""COMPUTED_VALUE"""),"SOC-PR1")</f>
        <v>SOC-PR1</v>
      </c>
      <c r="D7209" s="234"/>
      <c r="E7209" s="237" t="str">
        <f>IFERROR(__xludf.DUMMYFUNCTION("""COMPUTED_VALUE"""),"LT0Q2B01YIU51")</f>
        <v>LT0Q2B01YIU51</v>
      </c>
      <c r="F7209" s="238" t="str">
        <f>IFERROR(__xludf.DUMMYFUNCTION("""COMPUTED_VALUE"""),"QJU5I97,SXK8A59")</f>
        <v>QJU5I97,SXK8A59</v>
      </c>
      <c r="G7209" s="238">
        <f>IFERROR(__xludf.DUMMYFUNCTION("""COMPUTED_VALUE"""),46064.125)</f>
        <v>46064.125</v>
      </c>
      <c r="H7209" s="238">
        <f>IFERROR(__xludf.DUMMYFUNCTION("""COMPUTED_VALUE"""),46064.20833333333)</f>
        <v>46064.20833</v>
      </c>
      <c r="J7209" s="239">
        <v>119.99999999301508</v>
      </c>
    </row>
    <row r="7210">
      <c r="A7210" s="234"/>
      <c r="B7210" s="238" t="str">
        <f>IFERROR(__xludf.DUMMYFUNCTION("""COMPUTED_VALUE"""),"SoC_PR_Curitiba")</f>
        <v>SoC_PR_Curitiba</v>
      </c>
      <c r="C7210" s="238" t="str">
        <f>IFERROR(__xludf.DUMMYFUNCTION("""COMPUTED_VALUE"""),"SOC-PR1")</f>
        <v>SOC-PR1</v>
      </c>
      <c r="D7210" s="234"/>
      <c r="E7210" s="237" t="str">
        <f>IFERROR(__xludf.DUMMYFUNCTION("""COMPUTED_VALUE"""),"LT0Q2B01YIUC1")</f>
        <v>LT0Q2B01YIUC1</v>
      </c>
      <c r="F7210" s="238" t="str">
        <f>IFERROR(__xludf.DUMMYFUNCTION("""COMPUTED_VALUE"""),"FQJ8B01,UGV7H67")</f>
        <v>FQJ8B01,UGV7H67</v>
      </c>
      <c r="G7210" s="238">
        <f>IFERROR(__xludf.DUMMYFUNCTION("""COMPUTED_VALUE"""),46064.125)</f>
        <v>46064.125</v>
      </c>
      <c r="H7210" s="238">
        <f>IFERROR(__xludf.DUMMYFUNCTION("""COMPUTED_VALUE"""),46064.20833333333)</f>
        <v>46064.20833</v>
      </c>
      <c r="J7210" s="239">
        <v>119.99999999301508</v>
      </c>
    </row>
    <row r="7211">
      <c r="A7211" s="234"/>
      <c r="B7211" s="238" t="str">
        <f>IFERROR(__xludf.DUMMYFUNCTION("""COMPUTED_VALUE"""),"SoC_SP_Louveira")</f>
        <v>SoC_SP_Louveira</v>
      </c>
      <c r="C7211" s="238" t="str">
        <f>IFERROR(__xludf.DUMMYFUNCTION("""COMPUTED_VALUE"""),"SOC-SP7")</f>
        <v>SOC-SP7</v>
      </c>
      <c r="D7211" s="234">
        <f>IFERROR(__xludf.DUMMYFUNCTION("""COMPUTED_VALUE"""),43.0)</f>
        <v>43</v>
      </c>
      <c r="E7211" s="237" t="str">
        <f>IFERROR(__xludf.DUMMYFUNCTION("""COMPUTED_VALUE"""),"LT0Q2B01YIVX1")</f>
        <v>LT0Q2B01YIVX1</v>
      </c>
      <c r="F7211" s="238" t="str">
        <f>IFERROR(__xludf.DUMMYFUNCTION("""COMPUTED_VALUE"""),"GDL9D12,GJM4992")</f>
        <v>GDL9D12,GJM4992</v>
      </c>
      <c r="G7211" s="238">
        <f>IFERROR(__xludf.DUMMYFUNCTION("""COMPUTED_VALUE"""),46064.125)</f>
        <v>46064.125</v>
      </c>
      <c r="H7211" s="238">
        <f>IFERROR(__xludf.DUMMYFUNCTION("""COMPUTED_VALUE"""),46064.20833333333)</f>
        <v>46064.20833</v>
      </c>
      <c r="J7211" s="239">
        <v>118.99999998975545</v>
      </c>
    </row>
    <row r="7212">
      <c r="A7212" s="234"/>
      <c r="B7212" s="238" t="str">
        <f>IFERROR(__xludf.DUMMYFUNCTION("""COMPUTED_VALUE"""),"SoC_SP_Guarulhos")</f>
        <v>SoC_SP_Guarulhos</v>
      </c>
      <c r="C7212" s="238" t="str">
        <f>IFERROR(__xludf.DUMMYFUNCTION("""COMPUTED_VALUE"""),"SOC-SP6")</f>
        <v>SOC-SP6</v>
      </c>
      <c r="D7212" s="234">
        <f>IFERROR(__xludf.DUMMYFUNCTION("""COMPUTED_VALUE"""),47.0)</f>
        <v>47</v>
      </c>
      <c r="E7212" s="237" t="str">
        <f>IFERROR(__xludf.DUMMYFUNCTION("""COMPUTED_VALUE"""),"LT0Q2B01YJTM1")</f>
        <v>LT0Q2B01YJTM1</v>
      </c>
      <c r="F7212" s="238" t="str">
        <f>IFERROR(__xludf.DUMMYFUNCTION("""COMPUTED_VALUE"""),"DBM1F51,MDA3C82")</f>
        <v>DBM1F51,MDA3C82</v>
      </c>
      <c r="G7212" s="238">
        <f>IFERROR(__xludf.DUMMYFUNCTION("""COMPUTED_VALUE"""),46064.12569444445)</f>
        <v>46064.12569</v>
      </c>
      <c r="H7212" s="238">
        <f>IFERROR(__xludf.DUMMYFUNCTION("""COMPUTED_VALUE"""),46064.20833333333)</f>
        <v>46064.20833</v>
      </c>
      <c r="J7212" s="239">
        <v>120.00000001396984</v>
      </c>
    </row>
    <row r="7213">
      <c r="A7213" s="234"/>
      <c r="B7213" s="238" t="str">
        <f>IFERROR(__xludf.DUMMYFUNCTION("""COMPUTED_VALUE"""),"LM Hub_SP_Mogi Mirim")</f>
        <v>LM Hub_SP_Mogi Mirim</v>
      </c>
      <c r="C7213" s="238" t="str">
        <f>IFERROR(__xludf.DUMMYFUNCTION("""COMPUTED_VALUE"""),"HUB-LSP-37")</f>
        <v>HUB-LSP-37</v>
      </c>
      <c r="D7213" s="234">
        <f>IFERROR(__xludf.DUMMYFUNCTION("""COMPUTED_VALUE"""),27.0)</f>
        <v>27</v>
      </c>
      <c r="E7213" s="237" t="str">
        <f>IFERROR(__xludf.DUMMYFUNCTION("""COMPUTED_VALUE"""),"LT0Q2B01YJ191")</f>
        <v>LT0Q2B01YJ191</v>
      </c>
      <c r="F7213" s="238" t="str">
        <f>IFERROR(__xludf.DUMMYFUNCTION("""COMPUTED_VALUE"""),"GHB5H18,FZB6G45")</f>
        <v>GHB5H18,FZB6G45</v>
      </c>
      <c r="G7213" s="238">
        <f>IFERROR(__xludf.DUMMYFUNCTION("""COMPUTED_VALUE"""),46064.14583333333)</f>
        <v>46064.14583</v>
      </c>
      <c r="H7213" s="238">
        <f>IFERROR(__xludf.DUMMYFUNCTION("""COMPUTED_VALUE"""),46064.22916666667)</f>
        <v>46064.22917</v>
      </c>
      <c r="J7213" s="239">
        <v>119.99999999301508</v>
      </c>
    </row>
    <row r="7214">
      <c r="A7214" s="234"/>
      <c r="B7214" s="238" t="str">
        <f>IFERROR(__xludf.DUMMYFUNCTION("""COMPUTED_VALUE"""),"LM Hub_SP_Guaratinguetá")</f>
        <v>LM Hub_SP_Guaratinguetá</v>
      </c>
      <c r="C7214" s="238" t="str">
        <f>IFERROR(__xludf.DUMMYFUNCTION("""COMPUTED_VALUE"""),"HUB-LSP-33")</f>
        <v>HUB-LSP-33</v>
      </c>
      <c r="D7214" s="234">
        <f>IFERROR(__xludf.DUMMYFUNCTION("""COMPUTED_VALUE"""),19.0)</f>
        <v>19</v>
      </c>
      <c r="E7214" s="237" t="str">
        <f>IFERROR(__xludf.DUMMYFUNCTION("""COMPUTED_VALUE"""),"LT0Q2B01YIZB1")</f>
        <v>LT0Q2B01YIZB1</v>
      </c>
      <c r="F7214" s="238" t="str">
        <f>IFERROR(__xludf.DUMMYFUNCTION("""COMPUTED_VALUE"""),"SWQ6D05,SWG3J97")</f>
        <v>SWQ6D05,SWG3J97</v>
      </c>
      <c r="G7214" s="238">
        <f>IFERROR(__xludf.DUMMYFUNCTION("""COMPUTED_VALUE"""),46064.16666666667)</f>
        <v>46064.16667</v>
      </c>
      <c r="H7214" s="238">
        <f>IFERROR(__xludf.DUMMYFUNCTION("""COMPUTED_VALUE"""),46064.25)</f>
        <v>46064.25</v>
      </c>
      <c r="J7214" s="239">
        <v>119.99999999301508</v>
      </c>
    </row>
    <row r="7215">
      <c r="A7215" s="234"/>
      <c r="B7215" s="238" t="str">
        <f>IFERROR(__xludf.DUMMYFUNCTION("""COMPUTED_VALUE"""),"LM Hub_SP_Registro")</f>
        <v>LM Hub_SP_Registro</v>
      </c>
      <c r="C7215" s="238" t="str">
        <f>IFERROR(__xludf.DUMMYFUNCTION("""COMPUTED_VALUE"""),"HUB-LSP-40")</f>
        <v>HUB-LSP-40</v>
      </c>
      <c r="D7215" s="234">
        <f>IFERROR(__xludf.DUMMYFUNCTION("""COMPUTED_VALUE"""),35.0)</f>
        <v>35</v>
      </c>
      <c r="E7215" s="237" t="str">
        <f>IFERROR(__xludf.DUMMYFUNCTION("""COMPUTED_VALUE"""),"LT0Q2B01YPPA1")</f>
        <v>LT0Q2B01YPPA1</v>
      </c>
      <c r="F7215" s="238" t="str">
        <f>IFERROR(__xludf.DUMMYFUNCTION("""COMPUTED_VALUE"""),"QHS1D68")</f>
        <v>QHS1D68</v>
      </c>
      <c r="G7215" s="238">
        <f>IFERROR(__xludf.DUMMYFUNCTION("""COMPUTED_VALUE"""),46064.16666666667)</f>
        <v>46064.16667</v>
      </c>
      <c r="H7215" s="238">
        <f>IFERROR(__xludf.DUMMYFUNCTION("""COMPUTED_VALUE"""),46064.25)</f>
        <v>46064.25</v>
      </c>
      <c r="J7215" s="239">
        <v>119.99999999301508</v>
      </c>
    </row>
    <row r="7216">
      <c r="A7216" s="234"/>
      <c r="B7216" s="238" t="str">
        <f>IFERROR(__xludf.DUMMYFUNCTION("""COMPUTED_VALUE"""),"LM Hub_SP_São José dos Campos")</f>
        <v>LM Hub_SP_São José dos Campos</v>
      </c>
      <c r="C7216" s="238" t="str">
        <f>IFERROR(__xludf.DUMMYFUNCTION("""COMPUTED_VALUE"""),"HUB-LSP-04")</f>
        <v>HUB-LSP-04</v>
      </c>
      <c r="D7216" s="234">
        <f>IFERROR(__xludf.DUMMYFUNCTION("""COMPUTED_VALUE"""),28.0)</f>
        <v>28</v>
      </c>
      <c r="E7216" s="237" t="str">
        <f>IFERROR(__xludf.DUMMYFUNCTION("""COMPUTED_VALUE"""),"LT1Q2B01YTRA1")</f>
        <v>LT1Q2B01YTRA1</v>
      </c>
      <c r="F7216" s="238" t="str">
        <f>IFERROR(__xludf.DUMMYFUNCTION("""COMPUTED_VALUE"""),"TBX6D09")</f>
        <v>TBX6D09</v>
      </c>
      <c r="G7216" s="238">
        <f>IFERROR(__xludf.DUMMYFUNCTION("""COMPUTED_VALUE"""),46064.16666666667)</f>
        <v>46064.16667</v>
      </c>
      <c r="H7216" s="238">
        <f>IFERROR(__xludf.DUMMYFUNCTION("""COMPUTED_VALUE"""),46064.25)</f>
        <v>46064.25</v>
      </c>
      <c r="J7216" s="239">
        <v>119.99999999301508</v>
      </c>
    </row>
    <row r="7217">
      <c r="A7217" s="234"/>
      <c r="B7217" s="238" t="str">
        <f>IFERROR(__xludf.DUMMYFUNCTION("""COMPUTED_VALUE"""),"LM Hub_SP_São José dos Campos")</f>
        <v>LM Hub_SP_São José dos Campos</v>
      </c>
      <c r="C7217" s="238" t="str">
        <f>IFERROR(__xludf.DUMMYFUNCTION("""COMPUTED_VALUE"""),"HUB-LSP-04")</f>
        <v>HUB-LSP-04</v>
      </c>
      <c r="D7217" s="234">
        <f>IFERROR(__xludf.DUMMYFUNCTION("""COMPUTED_VALUE"""),18.0)</f>
        <v>18</v>
      </c>
      <c r="E7217" s="237" t="str">
        <f>IFERROR(__xludf.DUMMYFUNCTION("""COMPUTED_VALUE"""),"LT0Q2B01YK131")</f>
        <v>LT0Q2B01YK131</v>
      </c>
      <c r="F7217" s="238" t="str">
        <f>IFERROR(__xludf.DUMMYFUNCTION("""COMPUTED_VALUE"""),"PCW9A46")</f>
        <v>PCW9A46</v>
      </c>
      <c r="G7217" s="238">
        <f>IFERROR(__xludf.DUMMYFUNCTION("""COMPUTED_VALUE"""),46064.16666666667)</f>
        <v>46064.16667</v>
      </c>
      <c r="H7217" s="238">
        <f>IFERROR(__xludf.DUMMYFUNCTION("""COMPUTED_VALUE"""),46064.25)</f>
        <v>46064.25</v>
      </c>
      <c r="J7217" s="239">
        <v>119.99999999301508</v>
      </c>
    </row>
    <row r="7218">
      <c r="A7218" s="234"/>
      <c r="B7218" s="238" t="str">
        <f>IFERROR(__xludf.DUMMYFUNCTION("""COMPUTED_VALUE"""),"SoC_BA_Simoes Filho")</f>
        <v>SoC_BA_Simoes Filho</v>
      </c>
      <c r="C7218" s="238" t="str">
        <f>IFERROR(__xludf.DUMMYFUNCTION("""COMPUTED_VALUE"""),"SOC-BA2")</f>
        <v>SOC-BA2</v>
      </c>
      <c r="D7218" s="234"/>
      <c r="E7218" s="237" t="str">
        <f>IFERROR(__xludf.DUMMYFUNCTION("""COMPUTED_VALUE"""),"LT1Q2A01YTQP1")</f>
        <v>LT1Q2A01YTQP1</v>
      </c>
      <c r="F7218" s="238" t="str">
        <f>IFERROR(__xludf.DUMMYFUNCTION("""COMPUTED_VALUE"""),"GJT6G49,EZU1H05")</f>
        <v>GJT6G49,EZU1H05</v>
      </c>
      <c r="G7218" s="238">
        <f>IFERROR(__xludf.DUMMYFUNCTION("""COMPUTED_VALUE"""),46064.16666666667)</f>
        <v>46064.16667</v>
      </c>
      <c r="H7218" s="238">
        <f>IFERROR(__xludf.DUMMYFUNCTION("""COMPUTED_VALUE"""),46064.25)</f>
        <v>46064.25</v>
      </c>
      <c r="J7218" s="239">
        <v>119.99999999301508</v>
      </c>
    </row>
    <row r="7219">
      <c r="A7219" s="234"/>
      <c r="B7219" s="238" t="str">
        <f>IFERROR(__xludf.DUMMYFUNCTION("""COMPUTED_VALUE"""),"SoC_SP_Louveira")</f>
        <v>SoC_SP_Louveira</v>
      </c>
      <c r="C7219" s="238" t="str">
        <f>IFERROR(__xludf.DUMMYFUNCTION("""COMPUTED_VALUE"""),"SOC-SP7")</f>
        <v>SOC-SP7</v>
      </c>
      <c r="D7219" s="234">
        <f>IFERROR(__xludf.DUMMYFUNCTION("""COMPUTED_VALUE"""),43.0)</f>
        <v>43</v>
      </c>
      <c r="E7219" s="237" t="str">
        <f>IFERROR(__xludf.DUMMYFUNCTION("""COMPUTED_VALUE"""),"LT0Q2B01YIVS1")</f>
        <v>LT0Q2B01YIVS1</v>
      </c>
      <c r="F7219" s="238" t="str">
        <f>IFERROR(__xludf.DUMMYFUNCTION("""COMPUTED_VALUE"""),"FNZ5B43,RYV2F39")</f>
        <v>FNZ5B43,RYV2F39</v>
      </c>
      <c r="G7219" s="238">
        <f>IFERROR(__xludf.DUMMYFUNCTION("""COMPUTED_VALUE"""),46064.16666666667)</f>
        <v>46064.16667</v>
      </c>
      <c r="H7219" s="238">
        <f>IFERROR(__xludf.DUMMYFUNCTION("""COMPUTED_VALUE"""),46064.25)</f>
        <v>46064.25</v>
      </c>
      <c r="J7219" s="239">
        <v>119.99999999301508</v>
      </c>
    </row>
    <row r="7220">
      <c r="A7220" s="234"/>
      <c r="B7220" s="238" t="str">
        <f>IFERROR(__xludf.DUMMYFUNCTION("""COMPUTED_VALUE"""),"SoC_SP_Louveira")</f>
        <v>SoC_SP_Louveira</v>
      </c>
      <c r="C7220" s="238" t="str">
        <f>IFERROR(__xludf.DUMMYFUNCTION("""COMPUTED_VALUE"""),"SOC-SP7")</f>
        <v>SOC-SP7</v>
      </c>
      <c r="D7220" s="234"/>
      <c r="E7220" s="237" t="str">
        <f>IFERROR(__xludf.DUMMYFUNCTION("""COMPUTED_VALUE"""),"LT1Q2B01YUCB1")</f>
        <v>LT1Q2B01YUCB1</v>
      </c>
      <c r="F7220" s="238" t="str">
        <f>IFERROR(__xludf.DUMMYFUNCTION("""COMPUTED_VALUE"""),"EGJ8I62,CRY8A88")</f>
        <v>EGJ8I62,CRY8A88</v>
      </c>
      <c r="G7220" s="238">
        <f>IFERROR(__xludf.DUMMYFUNCTION("""COMPUTED_VALUE"""),46064.16666666667)</f>
        <v>46064.16667</v>
      </c>
      <c r="H7220" s="238">
        <f>IFERROR(__xludf.DUMMYFUNCTION("""COMPUTED_VALUE"""),46064.25)</f>
        <v>46064.25</v>
      </c>
      <c r="J7220" s="239">
        <v>119.00000000023283</v>
      </c>
    </row>
    <row r="7221">
      <c r="A7221" s="234"/>
      <c r="B7221" s="238" t="str">
        <f>IFERROR(__xludf.DUMMYFUNCTION("""COMPUTED_VALUE"""),"SoC_SP_Santana")</f>
        <v>SoC_SP_Santana</v>
      </c>
      <c r="C7221" s="238" t="str">
        <f>IFERROR(__xludf.DUMMYFUNCTION("""COMPUTED_VALUE"""),"SOC-SP2")</f>
        <v>SOC-SP2</v>
      </c>
      <c r="D7221" s="234">
        <f>IFERROR(__xludf.DUMMYFUNCTION("""COMPUTED_VALUE"""),37.0)</f>
        <v>37</v>
      </c>
      <c r="E7221" s="237" t="str">
        <f>IFERROR(__xludf.DUMMYFUNCTION("""COMPUTED_VALUE"""),"LT0Q2B01YJE81")</f>
        <v>LT0Q2B01YJE81</v>
      </c>
      <c r="F7221" s="238" t="str">
        <f>IFERROR(__xludf.DUMMYFUNCTION("""COMPUTED_VALUE"""),"FSH3A54,TPM2H63")</f>
        <v>FSH3A54,TPM2H63</v>
      </c>
      <c r="G7221" s="238">
        <f>IFERROR(__xludf.DUMMYFUNCTION("""COMPUTED_VALUE"""),46064.16736111111)</f>
        <v>46064.16736</v>
      </c>
      <c r="H7221" s="238">
        <f>IFERROR(__xludf.DUMMYFUNCTION("""COMPUTED_VALUE"""),46064.25)</f>
        <v>46064.25</v>
      </c>
      <c r="J7221" s="239">
        <v>119.99999999301508</v>
      </c>
    </row>
    <row r="7222">
      <c r="A7222" s="234"/>
      <c r="B7222" s="238" t="str">
        <f>IFERROR(__xludf.DUMMYFUNCTION("""COMPUTED_VALUE"""),"LM Hub_SP_Taubaté")</f>
        <v>LM Hub_SP_Taubaté</v>
      </c>
      <c r="C7222" s="238" t="str">
        <f>IFERROR(__xludf.DUMMYFUNCTION("""COMPUTED_VALUE"""),"HUB-LSP-08")</f>
        <v>HUB-LSP-08</v>
      </c>
      <c r="D7222" s="234">
        <f>IFERROR(__xludf.DUMMYFUNCTION("""COMPUTED_VALUE"""),36.0)</f>
        <v>36</v>
      </c>
      <c r="E7222" s="237" t="str">
        <f>IFERROR(__xludf.DUMMYFUNCTION("""COMPUTED_VALUE"""),"LT0Q2B01YIZM1")</f>
        <v>LT0Q2B01YIZM1</v>
      </c>
      <c r="F7222" s="238" t="str">
        <f>IFERROR(__xludf.DUMMYFUNCTION("""COMPUTED_VALUE"""),"FQS1E78")</f>
        <v>FQS1E78</v>
      </c>
      <c r="G7222" s="238">
        <f>IFERROR(__xludf.DUMMYFUNCTION("""COMPUTED_VALUE"""),46064.1875)</f>
        <v>46064.1875</v>
      </c>
      <c r="H7222" s="238">
        <f>IFERROR(__xludf.DUMMYFUNCTION("""COMPUTED_VALUE"""),46064.27083333333)</f>
        <v>46064.27083</v>
      </c>
      <c r="J7222" s="239">
        <v>118.99999998975545</v>
      </c>
    </row>
    <row r="7223">
      <c r="A7223" s="234"/>
      <c r="B7223" s="238" t="str">
        <f>IFERROR(__xludf.DUMMYFUNCTION("""COMPUTED_VALUE"""),"LM Hub_SP_Sorocaba_Região Norte")</f>
        <v>LM Hub_SP_Sorocaba_Região Norte</v>
      </c>
      <c r="C7223" s="238" t="str">
        <f>IFERROR(__xludf.DUMMYFUNCTION("""COMPUTED_VALUE"""),"HUB-LSP-10")</f>
        <v>HUB-LSP-10</v>
      </c>
      <c r="D7223" s="234">
        <f>IFERROR(__xludf.DUMMYFUNCTION("""COMPUTED_VALUE"""),25.0)</f>
        <v>25</v>
      </c>
      <c r="E7223" s="237" t="str">
        <f>IFERROR(__xludf.DUMMYFUNCTION("""COMPUTED_VALUE"""),"LT0Q2B01YJ021")</f>
        <v>LT0Q2B01YJ021</v>
      </c>
      <c r="F7223" s="238" t="str">
        <f>IFERROR(__xludf.DUMMYFUNCTION("""COMPUTED_VALUE"""),"UAX1H38,UGQ4G38")</f>
        <v>UAX1H38,UGQ4G38</v>
      </c>
      <c r="G7223" s="238">
        <f>IFERROR(__xludf.DUMMYFUNCTION("""COMPUTED_VALUE"""),46064.18819444445)</f>
        <v>46064.18819</v>
      </c>
      <c r="H7223" s="238">
        <f>IFERROR(__xludf.DUMMYFUNCTION("""COMPUTED_VALUE"""),46064.27083333333)</f>
        <v>46064.27083</v>
      </c>
      <c r="J7223" s="239">
        <v>540.0</v>
      </c>
    </row>
    <row r="7224">
      <c r="A7224" s="234"/>
      <c r="B7224" s="238" t="str">
        <f>IFERROR(__xludf.DUMMYFUNCTION("""COMPUTED_VALUE"""),"SoC_SP_Cravinhos")</f>
        <v>SoC_SP_Cravinhos</v>
      </c>
      <c r="C7224" s="238" t="str">
        <f>IFERROR(__xludf.DUMMYFUNCTION("""COMPUTED_VALUE"""),"SOC-SP5")</f>
        <v>SOC-SP5</v>
      </c>
      <c r="D7224" s="234"/>
      <c r="E7224" s="237" t="str">
        <f>IFERROR(__xludf.DUMMYFUNCTION("""COMPUTED_VALUE"""),"LT0Q2A01YIVH1")</f>
        <v>LT0Q2A01YIVH1</v>
      </c>
      <c r="F7224" s="238" t="str">
        <f>IFERROR(__xludf.DUMMYFUNCTION("""COMPUTED_VALUE"""),"DPB8E27,BES1E92")</f>
        <v>DPB8E27,BES1E92</v>
      </c>
      <c r="G7224" s="238">
        <f>IFERROR(__xludf.DUMMYFUNCTION("""COMPUTED_VALUE"""),46063.91666666667)</f>
        <v>46063.91667</v>
      </c>
      <c r="H7224" s="238">
        <f>IFERROR(__xludf.DUMMYFUNCTION("""COMPUTED_VALUE"""),46064.29166666667)</f>
        <v>46064.29167</v>
      </c>
      <c r="J7224" s="239">
        <v>540.0</v>
      </c>
    </row>
    <row r="7225">
      <c r="A7225" s="234"/>
      <c r="B7225" s="238" t="str">
        <f>IFERROR(__xludf.DUMMYFUNCTION("""COMPUTED_VALUE"""),"SoC_SP_Cravinhos")</f>
        <v>SoC_SP_Cravinhos</v>
      </c>
      <c r="C7225" s="238" t="str">
        <f>IFERROR(__xludf.DUMMYFUNCTION("""COMPUTED_VALUE"""),"SOC-SP5")</f>
        <v>SOC-SP5</v>
      </c>
      <c r="D7225" s="234">
        <f>IFERROR(__xludf.DUMMYFUNCTION("""COMPUTED_VALUE"""),95.0)</f>
        <v>95</v>
      </c>
      <c r="E7225" s="237" t="str">
        <f>IFERROR(__xludf.DUMMYFUNCTION("""COMPUTED_VALUE"""),"LT0Q2A01YIVI2")</f>
        <v>LT0Q2A01YIVI2</v>
      </c>
      <c r="F7225" s="238" t="str">
        <f>IFERROR(__xludf.DUMMYFUNCTION("""COMPUTED_VALUE"""),"SUY4J08,TLT6E40")</f>
        <v>SUY4J08,TLT6E40</v>
      </c>
      <c r="G7225" s="238">
        <f>IFERROR(__xludf.DUMMYFUNCTION("""COMPUTED_VALUE"""),46063.91666666667)</f>
        <v>46063.91667</v>
      </c>
      <c r="H7225" s="238">
        <f>IFERROR(__xludf.DUMMYFUNCTION("""COMPUTED_VALUE"""),46064.29166666667)</f>
        <v>46064.29167</v>
      </c>
      <c r="J7225" s="239">
        <v>539.0000000072177</v>
      </c>
    </row>
    <row r="7226">
      <c r="A7226" s="234"/>
      <c r="B7226" s="238" t="str">
        <f>IFERROR(__xludf.DUMMYFUNCTION("""COMPUTED_VALUE"""),"SoC_BA_Simoes Filho")</f>
        <v>SoC_BA_Simoes Filho</v>
      </c>
      <c r="C7226" s="238" t="str">
        <f>IFERROR(__xludf.DUMMYFUNCTION("""COMPUTED_VALUE"""),"SOC-BA2")</f>
        <v>SOC-BA2</v>
      </c>
      <c r="D7226" s="234"/>
      <c r="E7226" s="237" t="str">
        <f>IFERROR(__xludf.DUMMYFUNCTION("""COMPUTED_VALUE"""),"LT0Q2A01YNGG2")</f>
        <v>LT0Q2A01YNGG2</v>
      </c>
      <c r="F7226" s="238" t="str">
        <f>IFERROR(__xludf.DUMMYFUNCTION("""COMPUTED_VALUE"""),"ELQ1D50,MME4B74")</f>
        <v>ELQ1D50,MME4B74</v>
      </c>
      <c r="G7226" s="238">
        <f>IFERROR(__xludf.DUMMYFUNCTION("""COMPUTED_VALUE"""),46063.91736111111)</f>
        <v>46063.91736</v>
      </c>
      <c r="H7226" s="238">
        <f>IFERROR(__xludf.DUMMYFUNCTION("""COMPUTED_VALUE"""),46064.29166666667)</f>
        <v>46064.29167</v>
      </c>
      <c r="J7226" s="239">
        <v>539.0000000072177</v>
      </c>
    </row>
    <row r="7227">
      <c r="A7227" s="234"/>
      <c r="B7227" s="238" t="str">
        <f>IFERROR(__xludf.DUMMYFUNCTION("""COMPUTED_VALUE"""),"SoC_PE_Jaboatão dos Guararapes")</f>
        <v>SoC_PE_Jaboatão dos Guararapes</v>
      </c>
      <c r="C7227" s="238" t="str">
        <f>IFERROR(__xludf.DUMMYFUNCTION("""COMPUTED_VALUE"""),"SOC-PE2")</f>
        <v>SOC-PE2</v>
      </c>
      <c r="D7227" s="234">
        <f>IFERROR(__xludf.DUMMYFUNCTION("""COMPUTED_VALUE"""),98.0)</f>
        <v>98</v>
      </c>
      <c r="E7227" s="237" t="str">
        <f>IFERROR(__xludf.DUMMYFUNCTION("""COMPUTED_VALUE"""),"LT0Q2A01YNDH1")</f>
        <v>LT0Q2A01YNDH1</v>
      </c>
      <c r="F7227" s="238" t="str">
        <f>IFERROR(__xludf.DUMMYFUNCTION("""COMPUTED_VALUE"""),"RMS3I83,PUT9615")</f>
        <v>RMS3I83,PUT9615</v>
      </c>
      <c r="G7227" s="238">
        <f>IFERROR(__xludf.DUMMYFUNCTION("""COMPUTED_VALUE"""),46063.91736111111)</f>
        <v>46063.91736</v>
      </c>
      <c r="H7227" s="238">
        <f>IFERROR(__xludf.DUMMYFUNCTION("""COMPUTED_VALUE"""),46064.29166666667)</f>
        <v>46064.29167</v>
      </c>
      <c r="J7227" s="239">
        <v>539.0000000072177</v>
      </c>
    </row>
    <row r="7228">
      <c r="A7228" s="234"/>
      <c r="B7228" s="238" t="str">
        <f>IFERROR(__xludf.DUMMYFUNCTION("""COMPUTED_VALUE"""),"SoC_PE_Jaboatão dos Guararapes")</f>
        <v>SoC_PE_Jaboatão dos Guararapes</v>
      </c>
      <c r="C7228" s="238" t="str">
        <f>IFERROR(__xludf.DUMMYFUNCTION("""COMPUTED_VALUE"""),"SOC-PE2")</f>
        <v>SOC-PE2</v>
      </c>
      <c r="D7228" s="234">
        <f>IFERROR(__xludf.DUMMYFUNCTION("""COMPUTED_VALUE"""),98.0)</f>
        <v>98</v>
      </c>
      <c r="E7228" s="237" t="str">
        <f>IFERROR(__xludf.DUMMYFUNCTION("""COMPUTED_VALUE"""),"LT0Q2A01YNDL3")</f>
        <v>LT0Q2A01YNDL3</v>
      </c>
      <c r="F7228" s="238" t="str">
        <f>IFERROR(__xludf.DUMMYFUNCTION("""COMPUTED_VALUE"""),"BAK1D27,BEV4D31")</f>
        <v>BAK1D27,BEV4D31</v>
      </c>
      <c r="G7228" s="238">
        <f>IFERROR(__xludf.DUMMYFUNCTION("""COMPUTED_VALUE"""),46063.91736111111)</f>
        <v>46063.91736</v>
      </c>
      <c r="H7228" s="238">
        <f>IFERROR(__xludf.DUMMYFUNCTION("""COMPUTED_VALUE"""),46064.29166666667)</f>
        <v>46064.29167</v>
      </c>
      <c r="J7228" s="239">
        <v>539.0000000072177</v>
      </c>
    </row>
    <row r="7229">
      <c r="A7229" s="234"/>
      <c r="B7229" s="238" t="str">
        <f>IFERROR(__xludf.DUMMYFUNCTION("""COMPUTED_VALUE"""),"SoC_RS_Gravataí_02")</f>
        <v>SoC_RS_Gravataí_02</v>
      </c>
      <c r="C7229" s="238" t="str">
        <f>IFERROR(__xludf.DUMMYFUNCTION("""COMPUTED_VALUE"""),"SOC-RS2")</f>
        <v>SOC-RS2</v>
      </c>
      <c r="D7229" s="234">
        <f>IFERROR(__xludf.DUMMYFUNCTION("""COMPUTED_VALUE"""),93.0)</f>
        <v>93</v>
      </c>
      <c r="E7229" s="237" t="str">
        <f>IFERROR(__xludf.DUMMYFUNCTION("""COMPUTED_VALUE"""),"LT0Q2A01YNSO2")</f>
        <v>LT0Q2A01YNSO2</v>
      </c>
      <c r="F7229" s="238" t="str">
        <f>IFERROR(__xludf.DUMMYFUNCTION("""COMPUTED_VALUE"""),"TJY0B04,TPN2E99")</f>
        <v>TJY0B04,TPN2E99</v>
      </c>
      <c r="G7229" s="238">
        <f>IFERROR(__xludf.DUMMYFUNCTION("""COMPUTED_VALUE"""),46063.91736111111)</f>
        <v>46063.91736</v>
      </c>
      <c r="H7229" s="238">
        <f>IFERROR(__xludf.DUMMYFUNCTION("""COMPUTED_VALUE"""),46064.29166666667)</f>
        <v>46064.29167</v>
      </c>
      <c r="J7229" s="239">
        <v>539.0000000072177</v>
      </c>
    </row>
    <row r="7230">
      <c r="A7230" s="234"/>
      <c r="B7230" s="238" t="str">
        <f>IFERROR(__xludf.DUMMYFUNCTION("""COMPUTED_VALUE"""),"SoC_RS_Gravataí_02")</f>
        <v>SoC_RS_Gravataí_02</v>
      </c>
      <c r="C7230" s="238" t="str">
        <f>IFERROR(__xludf.DUMMYFUNCTION("""COMPUTED_VALUE"""),"SOC-RS2")</f>
        <v>SOC-RS2</v>
      </c>
      <c r="D7230" s="234">
        <f>IFERROR(__xludf.DUMMYFUNCTION("""COMPUTED_VALUE"""),93.0)</f>
        <v>93</v>
      </c>
      <c r="E7230" s="237" t="str">
        <f>IFERROR(__xludf.DUMMYFUNCTION("""COMPUTED_VALUE"""),"LT0Q2A01YNSQ3")</f>
        <v>LT0Q2A01YNSQ3</v>
      </c>
      <c r="F7230" s="238" t="str">
        <f>IFERROR(__xludf.DUMMYFUNCTION("""COMPUTED_VALUE"""),"CUZ0I01,CUZ3A13")</f>
        <v>CUZ0I01,CUZ3A13</v>
      </c>
      <c r="G7230" s="238">
        <f>IFERROR(__xludf.DUMMYFUNCTION("""COMPUTED_VALUE"""),46063.91736111111)</f>
        <v>46063.91736</v>
      </c>
      <c r="H7230" s="238">
        <f>IFERROR(__xludf.DUMMYFUNCTION("""COMPUTED_VALUE"""),46064.29166666667)</f>
        <v>46064.29167</v>
      </c>
      <c r="J7230" s="239">
        <v>539.0000000072177</v>
      </c>
    </row>
    <row r="7231">
      <c r="A7231" s="234"/>
      <c r="B7231" s="238" t="str">
        <f>IFERROR(__xludf.DUMMYFUNCTION("""COMPUTED_VALUE"""),"SoC_SC_Itajaí")</f>
        <v>SoC_SC_Itajaí</v>
      </c>
      <c r="C7231" s="238" t="str">
        <f>IFERROR(__xludf.DUMMYFUNCTION("""COMPUTED_VALUE"""),"SOC-SC1")</f>
        <v>SOC-SC1</v>
      </c>
      <c r="D7231" s="234">
        <f>IFERROR(__xludf.DUMMYFUNCTION("""COMPUTED_VALUE"""),101.0)</f>
        <v>101</v>
      </c>
      <c r="E7231" s="237" t="str">
        <f>IFERROR(__xludf.DUMMYFUNCTION("""COMPUTED_VALUE"""),"LT0Q2A01YMNE2")</f>
        <v>LT0Q2A01YMNE2</v>
      </c>
      <c r="F7231" s="238" t="str">
        <f>IFERROR(__xludf.DUMMYFUNCTION("""COMPUTED_VALUE"""),"MIY3A35,MKY9684")</f>
        <v>MIY3A35,MKY9684</v>
      </c>
      <c r="G7231" s="238">
        <f>IFERROR(__xludf.DUMMYFUNCTION("""COMPUTED_VALUE"""),46063.91736111111)</f>
        <v>46063.91736</v>
      </c>
      <c r="H7231" s="238">
        <f>IFERROR(__xludf.DUMMYFUNCTION("""COMPUTED_VALUE"""),46064.29166666667)</f>
        <v>46064.29167</v>
      </c>
      <c r="J7231" s="239">
        <v>538.0000000144355</v>
      </c>
    </row>
    <row r="7232">
      <c r="A7232" s="234"/>
      <c r="B7232" s="238" t="str">
        <f>IFERROR(__xludf.DUMMYFUNCTION("""COMPUTED_VALUE"""),"SoC_RJ_Duque de Caxias")</f>
        <v>SoC_RJ_Duque de Caxias</v>
      </c>
      <c r="C7232" s="238" t="str">
        <f>IFERROR(__xludf.DUMMYFUNCTION("""COMPUTED_VALUE"""),"SOC-RJ2")</f>
        <v>SOC-RJ2</v>
      </c>
      <c r="D7232" s="234">
        <f>IFERROR(__xludf.DUMMYFUNCTION("""COMPUTED_VALUE"""),96.0)</f>
        <v>96</v>
      </c>
      <c r="E7232" s="237" t="str">
        <f>IFERROR(__xludf.DUMMYFUNCTION("""COMPUTED_VALUE"""),"LT0Q2A01YFN23")</f>
        <v>LT0Q2A01YFN23</v>
      </c>
      <c r="F7232" s="238" t="str">
        <f>IFERROR(__xludf.DUMMYFUNCTION("""COMPUTED_VALUE"""),"ONT0B47,LRF5D13")</f>
        <v>ONT0B47,LRF5D13</v>
      </c>
      <c r="G7232" s="238">
        <f>IFERROR(__xludf.DUMMYFUNCTION("""COMPUTED_VALUE"""),46063.91805555555)</f>
        <v>46063.91806</v>
      </c>
      <c r="H7232" s="238">
        <f>IFERROR(__xludf.DUMMYFUNCTION("""COMPUTED_VALUE"""),46064.29166666667)</f>
        <v>46064.29167</v>
      </c>
      <c r="J7232" s="239">
        <v>537.0000000111759</v>
      </c>
    </row>
    <row r="7233">
      <c r="A7233" s="234"/>
      <c r="B7233" s="238" t="str">
        <f>IFERROR(__xludf.DUMMYFUNCTION("""COMPUTED_VALUE"""),"SoC_MG_Betim")</f>
        <v>SoC_MG_Betim</v>
      </c>
      <c r="C7233" s="238" t="str">
        <f>IFERROR(__xludf.DUMMYFUNCTION("""COMPUTED_VALUE"""),"SOC-MG2")</f>
        <v>SOC-MG2</v>
      </c>
      <c r="D7233" s="234">
        <f>IFERROR(__xludf.DUMMYFUNCTION("""COMPUTED_VALUE"""),91.0)</f>
        <v>91</v>
      </c>
      <c r="E7233" s="237" t="str">
        <f>IFERROR(__xludf.DUMMYFUNCTION("""COMPUTED_VALUE"""),"LT0Q2A01YIU05")</f>
        <v>LT0Q2A01YIU05</v>
      </c>
      <c r="F7233" s="238" t="str">
        <f>IFERROR(__xludf.DUMMYFUNCTION("""COMPUTED_VALUE"""),"HDI4A93,ATP5I13")</f>
        <v>HDI4A93,ATP5I13</v>
      </c>
      <c r="G7233" s="238">
        <f>IFERROR(__xludf.DUMMYFUNCTION("""COMPUTED_VALUE"""),46063.91875)</f>
        <v>46063.91875</v>
      </c>
      <c r="H7233" s="238">
        <f>IFERROR(__xludf.DUMMYFUNCTION("""COMPUTED_VALUE"""),46064.29166666667)</f>
        <v>46064.29167</v>
      </c>
      <c r="J7233" s="239">
        <v>480.00000001396984</v>
      </c>
    </row>
    <row r="7234">
      <c r="A7234" s="234"/>
      <c r="B7234" s="238" t="str">
        <f>IFERROR(__xludf.DUMMYFUNCTION("""COMPUTED_VALUE"""),"SoC_PE_Jaboatão dos Guararapes")</f>
        <v>SoC_PE_Jaboatão dos Guararapes</v>
      </c>
      <c r="C7234" s="238" t="str">
        <f>IFERROR(__xludf.DUMMYFUNCTION("""COMPUTED_VALUE"""),"SOC-PE2")</f>
        <v>SOC-PE2</v>
      </c>
      <c r="D7234" s="234">
        <f>IFERROR(__xludf.DUMMYFUNCTION("""COMPUTED_VALUE"""),99.0)</f>
        <v>99</v>
      </c>
      <c r="E7234" s="237" t="str">
        <f>IFERROR(__xludf.DUMMYFUNCTION("""COMPUTED_VALUE"""),"LT1Q2A01YUCI1")</f>
        <v>LT1Q2A01YUCI1</v>
      </c>
      <c r="F7234" s="238" t="str">
        <f>IFERROR(__xludf.DUMMYFUNCTION("""COMPUTED_VALUE"""),"GFY4H06,UDV6G59")</f>
        <v>GFY4H06,UDV6G59</v>
      </c>
      <c r="G7234" s="238">
        <f>IFERROR(__xludf.DUMMYFUNCTION("""COMPUTED_VALUE"""),46063.95833333333)</f>
        <v>46063.95833</v>
      </c>
      <c r="H7234" s="238">
        <f>IFERROR(__xludf.DUMMYFUNCTION("""COMPUTED_VALUE"""),46064.29166666667)</f>
        <v>46064.29167</v>
      </c>
      <c r="J7234" s="239">
        <v>120.00000001396984</v>
      </c>
    </row>
    <row r="7235">
      <c r="A7235" s="234"/>
      <c r="B7235" s="238" t="str">
        <f>IFERROR(__xludf.DUMMYFUNCTION("""COMPUTED_VALUE"""),"LM Hub_SP_Piracicaba")</f>
        <v>LM Hub_SP_Piracicaba</v>
      </c>
      <c r="C7235" s="238" t="str">
        <f>IFERROR(__xludf.DUMMYFUNCTION("""COMPUTED_VALUE"""),"HUB-LSP-62")</f>
        <v>HUB-LSP-62</v>
      </c>
      <c r="D7235" s="234">
        <f>IFERROR(__xludf.DUMMYFUNCTION("""COMPUTED_VALUE"""),24.0)</f>
        <v>24</v>
      </c>
      <c r="E7235" s="237" t="str">
        <f>IFERROR(__xludf.DUMMYFUNCTION("""COMPUTED_VALUE"""),"LT0Q2B01YPQ51")</f>
        <v>LT0Q2B01YPQ51</v>
      </c>
      <c r="F7235" s="238" t="str">
        <f>IFERROR(__xludf.DUMMYFUNCTION("""COMPUTED_VALUE"""),"OMY3I62")</f>
        <v>OMY3I62</v>
      </c>
      <c r="G7235" s="238">
        <f>IFERROR(__xludf.DUMMYFUNCTION("""COMPUTED_VALUE"""),46064.20833333333)</f>
        <v>46064.20833</v>
      </c>
      <c r="H7235" s="238">
        <f>IFERROR(__xludf.DUMMYFUNCTION("""COMPUTED_VALUE"""),46064.29166666667)</f>
        <v>46064.29167</v>
      </c>
      <c r="J7235" s="239">
        <v>120.00000001396984</v>
      </c>
    </row>
    <row r="7236">
      <c r="A7236" s="234"/>
      <c r="B7236" s="238" t="str">
        <f>IFERROR(__xludf.DUMMYFUNCTION("""COMPUTED_VALUE"""),"LM Hub_SP_Santos_PraiaGrande_02")</f>
        <v>LM Hub_SP_Santos_PraiaGrande_02</v>
      </c>
      <c r="C7236" s="238" t="str">
        <f>IFERROR(__xludf.DUMMYFUNCTION("""COMPUTED_VALUE"""),"HUB-LSP-63")</f>
        <v>HUB-LSP-63</v>
      </c>
      <c r="D7236" s="234">
        <f>IFERROR(__xludf.DUMMYFUNCTION("""COMPUTED_VALUE"""),21.0)</f>
        <v>21</v>
      </c>
      <c r="E7236" s="237" t="str">
        <f>IFERROR(__xludf.DUMMYFUNCTION("""COMPUTED_VALUE"""),"LT0Q2B01YK1D1")</f>
        <v>LT0Q2B01YK1D1</v>
      </c>
      <c r="F7236" s="238" t="str">
        <f>IFERROR(__xludf.DUMMYFUNCTION("""COMPUTED_VALUE"""),"EJE6981,FCW8D21")</f>
        <v>EJE6981,FCW8D21</v>
      </c>
      <c r="G7236" s="238">
        <f>IFERROR(__xludf.DUMMYFUNCTION("""COMPUTED_VALUE"""),46064.20833333333)</f>
        <v>46064.20833</v>
      </c>
      <c r="H7236" s="238">
        <f>IFERROR(__xludf.DUMMYFUNCTION("""COMPUTED_VALUE"""),46064.29166666667)</f>
        <v>46064.29167</v>
      </c>
      <c r="J7236" s="239">
        <v>119.00000001071021</v>
      </c>
    </row>
    <row r="7237">
      <c r="A7237" s="234"/>
      <c r="B7237" s="238" t="str">
        <f>IFERROR(__xludf.DUMMYFUNCTION("""COMPUTED_VALUE"""),"LM Hub_SP_Jundiaí")</f>
        <v>LM Hub_SP_Jundiaí</v>
      </c>
      <c r="C7237" s="238" t="str">
        <f>IFERROR(__xludf.DUMMYFUNCTION("""COMPUTED_VALUE"""),"HUB-LSP-100")</f>
        <v>HUB-LSP-100</v>
      </c>
      <c r="D7237" s="234">
        <f>IFERROR(__xludf.DUMMYFUNCTION("""COMPUTED_VALUE"""),16.0)</f>
        <v>16</v>
      </c>
      <c r="E7237" s="237" t="str">
        <f>IFERROR(__xludf.DUMMYFUNCTION("""COMPUTED_VALUE"""),"LT0Q2B01YGJJ1")</f>
        <v>LT0Q2B01YGJJ1</v>
      </c>
      <c r="F7237" s="238" t="str">
        <f>IFERROR(__xludf.DUMMYFUNCTION("""COMPUTED_VALUE"""),"ECM7486,OAH3B11")</f>
        <v>ECM7486,OAH3B11</v>
      </c>
      <c r="G7237" s="238">
        <f>IFERROR(__xludf.DUMMYFUNCTION("""COMPUTED_VALUE"""),46064.209027777775)</f>
        <v>46064.20903</v>
      </c>
      <c r="H7237" s="238">
        <f>IFERROR(__xludf.DUMMYFUNCTION("""COMPUTED_VALUE"""),46064.29166666667)</f>
        <v>46064.29167</v>
      </c>
      <c r="J7237" s="239">
        <v>119.99999999301508</v>
      </c>
    </row>
    <row r="7238">
      <c r="A7238" s="234"/>
      <c r="B7238" s="238" t="str">
        <f>IFERROR(__xludf.DUMMYFUNCTION("""COMPUTED_VALUE"""),"LM Hub_SP_Guarujá")</f>
        <v>LM Hub_SP_Guarujá</v>
      </c>
      <c r="C7238" s="238" t="str">
        <f>IFERROR(__xludf.DUMMYFUNCTION("""COMPUTED_VALUE"""),"HUB-LSP-06")</f>
        <v>HUB-LSP-06</v>
      </c>
      <c r="D7238" s="234">
        <f>IFERROR(__xludf.DUMMYFUNCTION("""COMPUTED_VALUE"""),26.0)</f>
        <v>26</v>
      </c>
      <c r="E7238" s="237" t="str">
        <f>IFERROR(__xludf.DUMMYFUNCTION("""COMPUTED_VALUE"""),"LT0Q2B01YK0T1")</f>
        <v>LT0Q2B01YK0T1</v>
      </c>
      <c r="F7238" s="238" t="str">
        <f>IFERROR(__xludf.DUMMYFUNCTION("""COMPUTED_VALUE"""),"UFB1B50")</f>
        <v>UFB1B50</v>
      </c>
      <c r="G7238" s="238">
        <f>IFERROR(__xludf.DUMMYFUNCTION("""COMPUTED_VALUE"""),46064.22916666667)</f>
        <v>46064.22917</v>
      </c>
      <c r="H7238" s="238">
        <f>IFERROR(__xludf.DUMMYFUNCTION("""COMPUTED_VALUE"""),46064.3125)</f>
        <v>46064.3125</v>
      </c>
      <c r="J7238" s="239">
        <v>119.99999999301508</v>
      </c>
    </row>
    <row r="7239">
      <c r="A7239" s="234"/>
      <c r="B7239" s="238" t="str">
        <f>IFERROR(__xludf.DUMMYFUNCTION("""COMPUTED_VALUE"""),"LM Hub_SP_Itapevi")</f>
        <v>LM Hub_SP_Itapevi</v>
      </c>
      <c r="C7239" s="238" t="str">
        <f>IFERROR(__xludf.DUMMYFUNCTION("""COMPUTED_VALUE"""),"HUB-LSP-41")</f>
        <v>HUB-LSP-41</v>
      </c>
      <c r="D7239" s="234">
        <f>IFERROR(__xludf.DUMMYFUNCTION("""COMPUTED_VALUE"""),45.0)</f>
        <v>45</v>
      </c>
      <c r="E7239" s="237" t="str">
        <f>IFERROR(__xludf.DUMMYFUNCTION("""COMPUTED_VALUE"""),"LT0Q2B01YF8R1")</f>
        <v>LT0Q2B01YF8R1</v>
      </c>
      <c r="F7239" s="238" t="str">
        <f>IFERROR(__xludf.DUMMYFUNCTION("""COMPUTED_VALUE"""),"FYQ5533")</f>
        <v>FYQ5533</v>
      </c>
      <c r="G7239" s="238">
        <f>IFERROR(__xludf.DUMMYFUNCTION("""COMPUTED_VALUE"""),46064.22916666667)</f>
        <v>46064.22917</v>
      </c>
      <c r="H7239" s="238">
        <f>IFERROR(__xludf.DUMMYFUNCTION("""COMPUTED_VALUE"""),46064.3125)</f>
        <v>46064.3125</v>
      </c>
      <c r="J7239" s="239">
        <v>119.99999999301508</v>
      </c>
    </row>
    <row r="7240">
      <c r="A7240" s="234"/>
      <c r="B7240" s="238" t="str">
        <f>IFERROR(__xludf.DUMMYFUNCTION("""COMPUTED_VALUE"""),"LM Hub_SP_Santos_Praia Grande")</f>
        <v>LM Hub_SP_Santos_Praia Grande</v>
      </c>
      <c r="C7240" s="238" t="str">
        <f>IFERROR(__xludf.DUMMYFUNCTION("""COMPUTED_VALUE"""),"HUB-LSP-09")</f>
        <v>HUB-LSP-09</v>
      </c>
      <c r="D7240" s="234">
        <f>IFERROR(__xludf.DUMMYFUNCTION("""COMPUTED_VALUE"""),9.0)</f>
        <v>9</v>
      </c>
      <c r="E7240" s="237" t="str">
        <f>IFERROR(__xludf.DUMMYFUNCTION("""COMPUTED_VALUE"""),"LT0Q2B01YK0Y1")</f>
        <v>LT0Q2B01YK0Y1</v>
      </c>
      <c r="F7240" s="238" t="str">
        <f>IFERROR(__xludf.DUMMYFUNCTION("""COMPUTED_VALUE"""),"CDX0A62")</f>
        <v>CDX0A62</v>
      </c>
      <c r="G7240" s="238">
        <f>IFERROR(__xludf.DUMMYFUNCTION("""COMPUTED_VALUE"""),46064.22916666667)</f>
        <v>46064.22917</v>
      </c>
      <c r="H7240" s="238">
        <f>IFERROR(__xludf.DUMMYFUNCTION("""COMPUTED_VALUE"""),46064.3125)</f>
        <v>46064.3125</v>
      </c>
      <c r="J7240" s="239">
        <v>119.99999999301508</v>
      </c>
    </row>
    <row r="7241">
      <c r="A7241" s="234"/>
      <c r="B7241" s="238" t="str">
        <f>IFERROR(__xludf.DUMMYFUNCTION("""COMPUTED_VALUE"""),"LM Hub_SP_São Paulo_Mooca")</f>
        <v>LM Hub_SP_São Paulo_Mooca</v>
      </c>
      <c r="C7241" s="238" t="str">
        <f>IFERROR(__xludf.DUMMYFUNCTION("""COMPUTED_VALUE"""),"HUB-LSP-13")</f>
        <v>HUB-LSP-13</v>
      </c>
      <c r="D7241" s="234">
        <f>IFERROR(__xludf.DUMMYFUNCTION("""COMPUTED_VALUE"""),29.0)</f>
        <v>29</v>
      </c>
      <c r="E7241" s="237" t="str">
        <f>IFERROR(__xludf.DUMMYFUNCTION("""COMPUTED_VALUE"""),"LT0Q2B01YFHQ1")</f>
        <v>LT0Q2B01YFHQ1</v>
      </c>
      <c r="F7241" s="238" t="str">
        <f>IFERROR(__xludf.DUMMYFUNCTION("""COMPUTED_VALUE"""),"FGI1F79")</f>
        <v>FGI1F79</v>
      </c>
      <c r="G7241" s="238">
        <f>IFERROR(__xludf.DUMMYFUNCTION("""COMPUTED_VALUE"""),46064.22916666667)</f>
        <v>46064.22917</v>
      </c>
      <c r="H7241" s="238">
        <f>IFERROR(__xludf.DUMMYFUNCTION("""COMPUTED_VALUE"""),46064.3125)</f>
        <v>46064.3125</v>
      </c>
      <c r="J7241" s="239">
        <v>119.00000000023283</v>
      </c>
    </row>
    <row r="7242">
      <c r="A7242" s="234"/>
      <c r="B7242" s="238" t="str">
        <f>IFERROR(__xludf.DUMMYFUNCTION("""COMPUTED_VALUE"""),"LM Hub_SP_Várzea Paulista")</f>
        <v>LM Hub_SP_Várzea Paulista</v>
      </c>
      <c r="C7242" s="238" t="str">
        <f>IFERROR(__xludf.DUMMYFUNCTION("""COMPUTED_VALUE"""),"HUB-LSP-20")</f>
        <v>HUB-LSP-20</v>
      </c>
      <c r="D7242" s="234">
        <f>IFERROR(__xludf.DUMMYFUNCTION("""COMPUTED_VALUE"""),47.0)</f>
        <v>47</v>
      </c>
      <c r="E7242" s="237" t="str">
        <f>IFERROR(__xludf.DUMMYFUNCTION("""COMPUTED_VALUE"""),"LT0Q2B01YF9N1")</f>
        <v>LT0Q2B01YF9N1</v>
      </c>
      <c r="F7242" s="238" t="str">
        <f>IFERROR(__xludf.DUMMYFUNCTION("""COMPUTED_VALUE"""),"FDZ3A56,KVS1392")</f>
        <v>FDZ3A56,KVS1392</v>
      </c>
      <c r="G7242" s="238">
        <f>IFERROR(__xludf.DUMMYFUNCTION("""COMPUTED_VALUE"""),46064.22986111111)</f>
        <v>46064.22986</v>
      </c>
      <c r="H7242" s="238">
        <f>IFERROR(__xludf.DUMMYFUNCTION("""COMPUTED_VALUE"""),46064.3125)</f>
        <v>46064.3125</v>
      </c>
      <c r="J7242" s="239">
        <v>119.99999999301508</v>
      </c>
    </row>
    <row r="7243">
      <c r="A7243" s="234"/>
      <c r="B7243" s="238" t="str">
        <f>IFERROR(__xludf.DUMMYFUNCTION("""COMPUTED_VALUE"""),"LM Hub_SP_Embu das Artes")</f>
        <v>LM Hub_SP_Embu das Artes</v>
      </c>
      <c r="C7243" s="238" t="str">
        <f>IFERROR(__xludf.DUMMYFUNCTION("""COMPUTED_VALUE"""),"HUB-LSP-36")</f>
        <v>HUB-LSP-36</v>
      </c>
      <c r="D7243" s="234">
        <f>IFERROR(__xludf.DUMMYFUNCTION("""COMPUTED_VALUE"""),22.0)</f>
        <v>22</v>
      </c>
      <c r="E7243" s="237" t="str">
        <f>IFERROR(__xludf.DUMMYFUNCTION("""COMPUTED_VALUE"""),"LT1Q2B01YUOG1")</f>
        <v>LT1Q2B01YUOG1</v>
      </c>
      <c r="F7243" s="238" t="str">
        <f>IFERROR(__xludf.DUMMYFUNCTION("""COMPUTED_VALUE"""),"DVT7H66,BPJ3D71")</f>
        <v>DVT7H66,BPJ3D71</v>
      </c>
      <c r="G7243" s="238">
        <f>IFERROR(__xludf.DUMMYFUNCTION("""COMPUTED_VALUE"""),46064.25)</f>
        <v>46064.25</v>
      </c>
      <c r="H7243" s="238">
        <f>IFERROR(__xludf.DUMMYFUNCTION("""COMPUTED_VALUE"""),46064.33333333333)</f>
        <v>46064.33333</v>
      </c>
      <c r="J7243" s="239">
        <v>119.99999999301508</v>
      </c>
    </row>
    <row r="7244">
      <c r="A7244" s="234"/>
      <c r="B7244" s="238" t="str">
        <f>IFERROR(__xludf.DUMMYFUNCTION("""COMPUTED_VALUE"""),"LM Hub_SP_Guarulhos")</f>
        <v>LM Hub_SP_Guarulhos</v>
      </c>
      <c r="C7244" s="238" t="str">
        <f>IFERROR(__xludf.DUMMYFUNCTION("""COMPUTED_VALUE"""),"HUB-LSP-77")</f>
        <v>HUB-LSP-77</v>
      </c>
      <c r="D7244" s="234">
        <f>IFERROR(__xludf.DUMMYFUNCTION("""COMPUTED_VALUE"""),16.0)</f>
        <v>16</v>
      </c>
      <c r="E7244" s="237" t="str">
        <f>IFERROR(__xludf.DUMMYFUNCTION("""COMPUTED_VALUE"""),"LT0Q2B01YK181")</f>
        <v>LT0Q2B01YK181</v>
      </c>
      <c r="F7244" s="238" t="str">
        <f>IFERROR(__xludf.DUMMYFUNCTION("""COMPUTED_VALUE"""),"DTA1J86")</f>
        <v>DTA1J86</v>
      </c>
      <c r="G7244" s="238">
        <f>IFERROR(__xludf.DUMMYFUNCTION("""COMPUTED_VALUE"""),46064.25)</f>
        <v>46064.25</v>
      </c>
      <c r="H7244" s="238">
        <f>IFERROR(__xludf.DUMMYFUNCTION("""COMPUTED_VALUE"""),46064.33333333333)</f>
        <v>46064.33333</v>
      </c>
      <c r="J7244" s="239">
        <v>119.99999999301508</v>
      </c>
    </row>
    <row r="7245">
      <c r="A7245" s="234"/>
      <c r="B7245" s="238" t="str">
        <f>IFERROR(__xludf.DUMMYFUNCTION("""COMPUTED_VALUE"""),"LM Hub_SP_Itaqua_Zimba")</f>
        <v>LM Hub_SP_Itaqua_Zimba</v>
      </c>
      <c r="C7245" s="238" t="str">
        <f>IFERROR(__xludf.DUMMYFUNCTION("""COMPUTED_VALUE"""),"HUB-LSP-74")</f>
        <v>HUB-LSP-74</v>
      </c>
      <c r="D7245" s="234">
        <f>IFERROR(__xludf.DUMMYFUNCTION("""COMPUTED_VALUE"""),8.0)</f>
        <v>8</v>
      </c>
      <c r="E7245" s="237" t="str">
        <f>IFERROR(__xludf.DUMMYFUNCTION("""COMPUTED_VALUE"""),"LT0Q2B01YK0O1")</f>
        <v>LT0Q2B01YK0O1</v>
      </c>
      <c r="F7245" s="238" t="str">
        <f>IFERROR(__xludf.DUMMYFUNCTION("""COMPUTED_VALUE"""),"FGP3D56")</f>
        <v>FGP3D56</v>
      </c>
      <c r="G7245" s="238">
        <f>IFERROR(__xludf.DUMMYFUNCTION("""COMPUTED_VALUE"""),46064.25)</f>
        <v>46064.25</v>
      </c>
      <c r="H7245" s="238">
        <f>IFERROR(__xludf.DUMMYFUNCTION("""COMPUTED_VALUE"""),46064.33333333333)</f>
        <v>46064.33333</v>
      </c>
      <c r="J7245" s="239">
        <v>119.99999999301508</v>
      </c>
    </row>
    <row r="7246">
      <c r="A7246" s="234"/>
      <c r="B7246" s="238" t="str">
        <f>IFERROR(__xludf.DUMMYFUNCTION("""COMPUTED_VALUE"""),"LM Hub_SP_Itaqua_Zimba")</f>
        <v>LM Hub_SP_Itaqua_Zimba</v>
      </c>
      <c r="C7246" s="238" t="str">
        <f>IFERROR(__xludf.DUMMYFUNCTION("""COMPUTED_VALUE"""),"HUB-LSP-74")</f>
        <v>HUB-LSP-74</v>
      </c>
      <c r="D7246" s="234">
        <f>IFERROR(__xludf.DUMMYFUNCTION("""COMPUTED_VALUE"""),12.0)</f>
        <v>12</v>
      </c>
      <c r="E7246" s="237" t="str">
        <f>IFERROR(__xludf.DUMMYFUNCTION("""COMPUTED_VALUE"""),"LT1Q2B01YUOH1")</f>
        <v>LT1Q2B01YUOH1</v>
      </c>
      <c r="F7246" s="238" t="str">
        <f>IFERROR(__xludf.DUMMYFUNCTION("""COMPUTED_VALUE"""),"UDY3C40")</f>
        <v>UDY3C40</v>
      </c>
      <c r="G7246" s="238">
        <f>IFERROR(__xludf.DUMMYFUNCTION("""COMPUTED_VALUE"""),46064.25)</f>
        <v>46064.25</v>
      </c>
      <c r="H7246" s="238">
        <f>IFERROR(__xludf.DUMMYFUNCTION("""COMPUTED_VALUE"""),46064.33333333333)</f>
        <v>46064.33333</v>
      </c>
      <c r="J7246" s="239">
        <v>119.99999999301508</v>
      </c>
    </row>
    <row r="7247">
      <c r="A7247" s="234"/>
      <c r="B7247" s="238" t="str">
        <f>IFERROR(__xludf.DUMMYFUNCTION("""COMPUTED_VALUE"""),"LM Hub_SP_Jardim Adriana")</f>
        <v>LM Hub_SP_Jardim Adriana</v>
      </c>
      <c r="C7247" s="238" t="str">
        <f>IFERROR(__xludf.DUMMYFUNCTION("""COMPUTED_VALUE"""),"HUB-LSP-12")</f>
        <v>HUB-LSP-12</v>
      </c>
      <c r="D7247" s="234">
        <f>IFERROR(__xludf.DUMMYFUNCTION("""COMPUTED_VALUE"""),17.0)</f>
        <v>17</v>
      </c>
      <c r="E7247" s="237" t="str">
        <f>IFERROR(__xludf.DUMMYFUNCTION("""COMPUTED_VALUE"""),"LT0Q2B01YJZU1")</f>
        <v>LT0Q2B01YJZU1</v>
      </c>
      <c r="F7247" s="238" t="str">
        <f>IFERROR(__xludf.DUMMYFUNCTION("""COMPUTED_VALUE"""),"CSK0A38")</f>
        <v>CSK0A38</v>
      </c>
      <c r="G7247" s="238">
        <f>IFERROR(__xludf.DUMMYFUNCTION("""COMPUTED_VALUE"""),46064.25)</f>
        <v>46064.25</v>
      </c>
      <c r="H7247" s="238">
        <f>IFERROR(__xludf.DUMMYFUNCTION("""COMPUTED_VALUE"""),46064.33333333333)</f>
        <v>46064.33333</v>
      </c>
      <c r="J7247" s="239">
        <v>119.99999999301508</v>
      </c>
    </row>
    <row r="7248">
      <c r="A7248" s="234"/>
      <c r="B7248" s="238" t="str">
        <f>IFERROR(__xludf.DUMMYFUNCTION("""COMPUTED_VALUE"""),"LM Hub_SP_Osasco_02")</f>
        <v>LM Hub_SP_Osasco_02</v>
      </c>
      <c r="C7248" s="238" t="str">
        <f>IFERROR(__xludf.DUMMYFUNCTION("""COMPUTED_VALUE"""),"HUB-LSP-60")</f>
        <v>HUB-LSP-60</v>
      </c>
      <c r="D7248" s="234">
        <f>IFERROR(__xludf.DUMMYFUNCTION("""COMPUTED_VALUE"""),23.0)</f>
        <v>23</v>
      </c>
      <c r="E7248" s="237" t="str">
        <f>IFERROR(__xludf.DUMMYFUNCTION("""COMPUTED_VALUE"""),"LT0Q2B01YK0E1")</f>
        <v>LT0Q2B01YK0E1</v>
      </c>
      <c r="F7248" s="238" t="str">
        <f>IFERROR(__xludf.DUMMYFUNCTION("""COMPUTED_VALUE"""),"FEU6H63")</f>
        <v>FEU6H63</v>
      </c>
      <c r="G7248" s="238">
        <f>IFERROR(__xludf.DUMMYFUNCTION("""COMPUTED_VALUE"""),46064.25)</f>
        <v>46064.25</v>
      </c>
      <c r="H7248" s="238">
        <f>IFERROR(__xludf.DUMMYFUNCTION("""COMPUTED_VALUE"""),46064.33333333333)</f>
        <v>46064.33333</v>
      </c>
      <c r="J7248" s="239">
        <v>120.00000001396984</v>
      </c>
    </row>
    <row r="7249">
      <c r="A7249" s="234"/>
      <c r="B7249" s="238" t="str">
        <f>IFERROR(__xludf.DUMMYFUNCTION("""COMPUTED_VALUE"""),"LM Hub_SP_Parque Novo Mundo")</f>
        <v>LM Hub_SP_Parque Novo Mundo</v>
      </c>
      <c r="C7249" s="238" t="str">
        <f>IFERROR(__xludf.DUMMYFUNCTION("""COMPUTED_VALUE"""),"HUB-LSP-89")</f>
        <v>HUB-LSP-89</v>
      </c>
      <c r="D7249" s="234"/>
      <c r="E7249" s="237" t="str">
        <f>IFERROR(__xludf.DUMMYFUNCTION("""COMPUTED_VALUE"""),"LT0Q2B01YJRJ1")</f>
        <v>LT0Q2B01YJRJ1</v>
      </c>
      <c r="F7249" s="238" t="str">
        <f>IFERROR(__xludf.DUMMYFUNCTION("""COMPUTED_VALUE"""),"GIQ1C13")</f>
        <v>GIQ1C13</v>
      </c>
      <c r="G7249" s="238">
        <f>IFERROR(__xludf.DUMMYFUNCTION("""COMPUTED_VALUE"""),46064.27083333333)</f>
        <v>46064.27083</v>
      </c>
      <c r="H7249" s="238">
        <f>IFERROR(__xludf.DUMMYFUNCTION("""COMPUTED_VALUE"""),46064.35416666667)</f>
        <v>46064.35417</v>
      </c>
      <c r="J7249" s="239">
        <v>420.0000000069849</v>
      </c>
    </row>
    <row r="7250">
      <c r="A7250" s="234"/>
      <c r="B7250" s="238" t="str">
        <f>IFERROR(__xludf.DUMMYFUNCTION("""COMPUTED_VALUE"""),"SoC_PR_Curitiba")</f>
        <v>SoC_PR_Curitiba</v>
      </c>
      <c r="C7250" s="238" t="str">
        <f>IFERROR(__xludf.DUMMYFUNCTION("""COMPUTED_VALUE"""),"SOC-PR1")</f>
        <v>SOC-PR1</v>
      </c>
      <c r="D7250" s="234">
        <f>IFERROR(__xludf.DUMMYFUNCTION("""COMPUTED_VALUE"""),39.0)</f>
        <v>39</v>
      </c>
      <c r="E7250" s="237" t="str">
        <f>IFERROR(__xludf.DUMMYFUNCTION("""COMPUTED_VALUE"""),"LT1Q2A01YTQM1")</f>
        <v>LT1Q2A01YTQM1</v>
      </c>
      <c r="F7250" s="238" t="str">
        <f>IFERROR(__xludf.DUMMYFUNCTION("""COMPUTED_VALUE"""),"RYO1H90,REB1E80")</f>
        <v>RYO1H90,REB1E80</v>
      </c>
      <c r="G7250" s="238">
        <f>IFERROR(__xludf.DUMMYFUNCTION("""COMPUTED_VALUE"""),46064.08333333333)</f>
        <v>46064.08333</v>
      </c>
      <c r="H7250" s="238">
        <f>IFERROR(__xludf.DUMMYFUNCTION("""COMPUTED_VALUE"""),46064.375)</f>
        <v>46064.375</v>
      </c>
      <c r="J7250" s="239">
        <v>540.0</v>
      </c>
    </row>
    <row r="7251">
      <c r="A7251" s="234"/>
      <c r="B7251" s="238" t="str">
        <f>IFERROR(__xludf.DUMMYFUNCTION("""COMPUTED_VALUE"""),"SoC_RJ_Duque de Caxias")</f>
        <v>SoC_RJ_Duque de Caxias</v>
      </c>
      <c r="C7251" s="238" t="str">
        <f>IFERROR(__xludf.DUMMYFUNCTION("""COMPUTED_VALUE"""),"SOC-RJ2")</f>
        <v>SOC-RJ2</v>
      </c>
      <c r="D7251" s="234">
        <f>IFERROR(__xludf.DUMMYFUNCTION("""COMPUTED_VALUE"""),96.0)</f>
        <v>96</v>
      </c>
      <c r="E7251" s="237" t="str">
        <f>IFERROR(__xludf.DUMMYFUNCTION("""COMPUTED_VALUE"""),"LT0Q2A01YFN02")</f>
        <v>LT0Q2A01YFN02</v>
      </c>
      <c r="F7251" s="238" t="str">
        <f>IFERROR(__xludf.DUMMYFUNCTION("""COMPUTED_VALUE"""),"EJV4D00,STP0D65")</f>
        <v>EJV4D00,STP0D65</v>
      </c>
      <c r="G7251" s="238">
        <f>IFERROR(__xludf.DUMMYFUNCTION("""COMPUTED_VALUE"""),46064.04166666667)</f>
        <v>46064.04167</v>
      </c>
      <c r="H7251" s="238">
        <f>IFERROR(__xludf.DUMMYFUNCTION("""COMPUTED_VALUE"""),46064.41666666667)</f>
        <v>46064.41667</v>
      </c>
      <c r="J7251" s="239">
        <v>479.0000000107102</v>
      </c>
    </row>
    <row r="7252">
      <c r="A7252" s="234"/>
      <c r="B7252" s="238" t="str">
        <f>IFERROR(__xludf.DUMMYFUNCTION("""COMPUTED_VALUE"""),"SoC_RS_Gravataí_02")</f>
        <v>SoC_RS_Gravataí_02</v>
      </c>
      <c r="C7252" s="238" t="str">
        <f>IFERROR(__xludf.DUMMYFUNCTION("""COMPUTED_VALUE"""),"SOC-RS2")</f>
        <v>SOC-RS2</v>
      </c>
      <c r="D7252" s="234">
        <f>IFERROR(__xludf.DUMMYFUNCTION("""COMPUTED_VALUE"""),92.0)</f>
        <v>92</v>
      </c>
      <c r="E7252" s="237" t="str">
        <f>IFERROR(__xludf.DUMMYFUNCTION("""COMPUTED_VALUE"""),"LT0Q2A01YNSM1")</f>
        <v>LT0Q2A01YNSM1</v>
      </c>
      <c r="F7252" s="238" t="str">
        <f>IFERROR(__xludf.DUMMYFUNCTION("""COMPUTED_VALUE"""),"IWT0E00,BEF3J07")</f>
        <v>IWT0E00,BEF3J07</v>
      </c>
      <c r="G7252" s="238">
        <f>IFERROR(__xludf.DUMMYFUNCTION("""COMPUTED_VALUE"""),46064.084027777775)</f>
        <v>46064.08403</v>
      </c>
      <c r="H7252" s="238">
        <f>IFERROR(__xludf.DUMMYFUNCTION("""COMPUTED_VALUE"""),46064.41666666667)</f>
        <v>46064.41667</v>
      </c>
      <c r="J7252" s="239">
        <v>479.0000000107102</v>
      </c>
    </row>
    <row r="7253">
      <c r="A7253" s="234"/>
      <c r="B7253" s="238" t="str">
        <f>IFERROR(__xludf.DUMMYFUNCTION("""COMPUTED_VALUE"""),"SoC_SC_Itajaí")</f>
        <v>SoC_SC_Itajaí</v>
      </c>
      <c r="C7253" s="238" t="str">
        <f>IFERROR(__xludf.DUMMYFUNCTION("""COMPUTED_VALUE"""),"SOC-SC1")</f>
        <v>SOC-SC1</v>
      </c>
      <c r="D7253" s="234"/>
      <c r="E7253" s="237" t="str">
        <f>IFERROR(__xludf.DUMMYFUNCTION("""COMPUTED_VALUE"""),"LT0Q2A01YMNC1")</f>
        <v>LT0Q2A01YMNC1</v>
      </c>
      <c r="F7253" s="238" t="str">
        <f>IFERROR(__xludf.DUMMYFUNCTION("""COMPUTED_VALUE"""),"FSH3A54,TPM2H63")</f>
        <v>FSH3A54,TPM2H63</v>
      </c>
      <c r="G7253" s="238">
        <f>IFERROR(__xludf.DUMMYFUNCTION("""COMPUTED_VALUE"""),46064.084027777775)</f>
        <v>46064.08403</v>
      </c>
      <c r="H7253" s="238">
        <f>IFERROR(__xludf.DUMMYFUNCTION("""COMPUTED_VALUE"""),46064.41666666667)</f>
        <v>46064.41667</v>
      </c>
      <c r="J7253" s="239">
        <v>537.9999999934807</v>
      </c>
    </row>
    <row r="7254">
      <c r="A7254" s="234"/>
      <c r="B7254" s="238" t="str">
        <f>IFERROR(__xludf.DUMMYFUNCTION("""COMPUTED_VALUE"""),"SoC_GO_Goiânia_02")</f>
        <v>SoC_GO_Goiânia_02</v>
      </c>
      <c r="C7254" s="238" t="str">
        <f>IFERROR(__xludf.DUMMYFUNCTION("""COMPUTED_VALUE"""),"SOC-GO2")</f>
        <v>SOC-GO2</v>
      </c>
      <c r="D7254" s="234">
        <f>IFERROR(__xludf.DUMMYFUNCTION("""COMPUTED_VALUE"""),87.0)</f>
        <v>87</v>
      </c>
      <c r="E7254" s="237" t="str">
        <f>IFERROR(__xludf.DUMMYFUNCTION("""COMPUTED_VALUE"""),"LT0Q2A01YNQX2")</f>
        <v>LT0Q2A01YNQX2</v>
      </c>
      <c r="F7254" s="238" t="str">
        <f>IFERROR(__xludf.DUMMYFUNCTION("""COMPUTED_VALUE"""),"EML5G01,TIT8E34")</f>
        <v>EML5G01,TIT8E34</v>
      </c>
      <c r="G7254" s="238">
        <f>IFERROR(__xludf.DUMMYFUNCTION("""COMPUTED_VALUE"""),46064.08472222222)</f>
        <v>46064.08472</v>
      </c>
      <c r="H7254" s="238">
        <f>IFERROR(__xludf.DUMMYFUNCTION("""COMPUTED_VALUE"""),46064.45833333333)</f>
        <v>46064.45833</v>
      </c>
      <c r="J7254" s="239">
        <v>536.9999999902211</v>
      </c>
    </row>
    <row r="7255">
      <c r="A7255" s="234"/>
      <c r="B7255" s="238" t="str">
        <f>IFERROR(__xludf.DUMMYFUNCTION("""COMPUTED_VALUE"""),"SoC_MG_Betim")</f>
        <v>SoC_MG_Betim</v>
      </c>
      <c r="C7255" s="238" t="str">
        <f>IFERROR(__xludf.DUMMYFUNCTION("""COMPUTED_VALUE"""),"SOC-MG2")</f>
        <v>SOC-MG2</v>
      </c>
      <c r="D7255" s="234">
        <f>IFERROR(__xludf.DUMMYFUNCTION("""COMPUTED_VALUE"""),90.0)</f>
        <v>90</v>
      </c>
      <c r="E7255" s="237" t="str">
        <f>IFERROR(__xludf.DUMMYFUNCTION("""COMPUTED_VALUE"""),"LT0Q2A01YITW3")</f>
        <v>LT0Q2A01YITW3</v>
      </c>
      <c r="F7255" s="238" t="str">
        <f>IFERROR(__xludf.DUMMYFUNCTION("""COMPUTED_VALUE"""),"FEJ1E97,UEF4J87")</f>
        <v>FEJ1E97,UEF4J87</v>
      </c>
      <c r="G7255" s="238">
        <f>IFERROR(__xludf.DUMMYFUNCTION("""COMPUTED_VALUE"""),46064.08541666667)</f>
        <v>46064.08542</v>
      </c>
      <c r="H7255" s="238">
        <f>IFERROR(__xludf.DUMMYFUNCTION("""COMPUTED_VALUE"""),46064.45833333333)</f>
        <v>46064.45833</v>
      </c>
      <c r="J7255" s="239">
        <v>416.99999999720603</v>
      </c>
    </row>
    <row r="7256">
      <c r="A7256" s="234"/>
      <c r="B7256" s="238" t="str">
        <f>IFERROR(__xludf.DUMMYFUNCTION("""COMPUTED_VALUE"""),"SoC_MG_Betim")</f>
        <v>SoC_MG_Betim</v>
      </c>
      <c r="C7256" s="238" t="str">
        <f>IFERROR(__xludf.DUMMYFUNCTION("""COMPUTED_VALUE"""),"SOC-MG2")</f>
        <v>SOC-MG2</v>
      </c>
      <c r="D7256" s="234">
        <f>IFERROR(__xludf.DUMMYFUNCTION("""COMPUTED_VALUE"""),91.0)</f>
        <v>91</v>
      </c>
      <c r="E7256" s="237" t="str">
        <f>IFERROR(__xludf.DUMMYFUNCTION("""COMPUTED_VALUE"""),"LT0Q2A01YITX4")</f>
        <v>LT0Q2A01YITX4</v>
      </c>
      <c r="F7256" s="238" t="str">
        <f>IFERROR(__xludf.DUMMYFUNCTION("""COMPUTED_VALUE"""),"SWU6I91,TJS9D47")</f>
        <v>SWU6I91,TJS9D47</v>
      </c>
      <c r="G7256" s="238">
        <f>IFERROR(__xludf.DUMMYFUNCTION("""COMPUTED_VALUE"""),46064.16875)</f>
        <v>46064.16875</v>
      </c>
      <c r="H7256" s="238">
        <f>IFERROR(__xludf.DUMMYFUNCTION("""COMPUTED_VALUE"""),46064.45833333333)</f>
        <v>46064.45833</v>
      </c>
      <c r="J7256" s="239">
        <v>540.0</v>
      </c>
    </row>
    <row r="7257">
      <c r="A7257" s="234"/>
      <c r="B7257" s="238" t="str">
        <f>IFERROR(__xludf.DUMMYFUNCTION("""COMPUTED_VALUE"""),"SoC_BA_Simoes Filho")</f>
        <v>SoC_BA_Simoes Filho</v>
      </c>
      <c r="C7257" s="238" t="str">
        <f>IFERROR(__xludf.DUMMYFUNCTION("""COMPUTED_VALUE"""),"SOC-BA2")</f>
        <v>SOC-BA2</v>
      </c>
      <c r="D7257" s="234"/>
      <c r="E7257" s="237" t="str">
        <f>IFERROR(__xludf.DUMMYFUNCTION("""COMPUTED_VALUE"""),"LT1Q2A01YUCN1")</f>
        <v>LT1Q2A01YUCN1</v>
      </c>
      <c r="F7257" s="238" t="str">
        <f>IFERROR(__xludf.DUMMYFUNCTION("""COMPUTED_VALUE"""),"DTC2H75,KUP7C71")</f>
        <v>DTC2H75,KUP7C71</v>
      </c>
      <c r="G7257" s="238">
        <f>IFERROR(__xludf.DUMMYFUNCTION("""COMPUTED_VALUE"""),46064.125)</f>
        <v>46064.125</v>
      </c>
      <c r="H7257" s="238">
        <f>IFERROR(__xludf.DUMMYFUNCTION("""COMPUTED_VALUE"""),46064.5)</f>
        <v>46064.5</v>
      </c>
      <c r="J7257" s="239">
        <v>538.9999999967404</v>
      </c>
    </row>
    <row r="7258">
      <c r="A7258" s="234"/>
      <c r="B7258" s="238" t="str">
        <f>IFERROR(__xludf.DUMMYFUNCTION("""COMPUTED_VALUE"""),"SoC_RJ_Duque de Caxias")</f>
        <v>SoC_RJ_Duque de Caxias</v>
      </c>
      <c r="C7258" s="238" t="str">
        <f>IFERROR(__xludf.DUMMYFUNCTION("""COMPUTED_VALUE"""),"SOC-RJ2")</f>
        <v>SOC-RJ2</v>
      </c>
      <c r="D7258" s="234" t="str">
        <f>IFERROR(__xludf.DUMMYFUNCTION("""COMPUTED_VALUE"""),"97/14")</f>
        <v>97/14</v>
      </c>
      <c r="E7258" s="237" t="str">
        <f>IFERROR(__xludf.DUMMYFUNCTION("""COMPUTED_VALUE"""),"LT0Q2A01YKMK1")</f>
        <v>LT0Q2A01YKMK1</v>
      </c>
      <c r="F7258" s="238" t="str">
        <f>IFERROR(__xludf.DUMMYFUNCTION("""COMPUTED_VALUE"""),"IUQ0A80,FAR1D43")</f>
        <v>IUQ0A80,FAR1D43</v>
      </c>
      <c r="G7258" s="238">
        <f>IFERROR(__xludf.DUMMYFUNCTION("""COMPUTED_VALUE"""),46064.12569444445)</f>
        <v>46064.12569</v>
      </c>
      <c r="H7258" s="238">
        <f>IFERROR(__xludf.DUMMYFUNCTION("""COMPUTED_VALUE"""),46064.5)</f>
        <v>46064.5</v>
      </c>
      <c r="J7258" s="239">
        <v>537.9999999934807</v>
      </c>
    </row>
    <row r="7259">
      <c r="A7259" s="234"/>
      <c r="B7259" s="238" t="str">
        <f>IFERROR(__xludf.DUMMYFUNCTION("""COMPUTED_VALUE"""),"SoC_GO_Goiânia_02")</f>
        <v>SoC_GO_Goiânia_02</v>
      </c>
      <c r="C7259" s="238" t="str">
        <f>IFERROR(__xludf.DUMMYFUNCTION("""COMPUTED_VALUE"""),"SOC-GO2")</f>
        <v>SOC-GO2</v>
      </c>
      <c r="D7259" s="234">
        <f>IFERROR(__xludf.DUMMYFUNCTION("""COMPUTED_VALUE"""),86.0)</f>
        <v>86</v>
      </c>
      <c r="E7259" s="237" t="str">
        <f>IFERROR(__xludf.DUMMYFUNCTION("""COMPUTED_VALUE"""),"LT0Q2A01YNQV1")</f>
        <v>LT0Q2A01YNQV1</v>
      </c>
      <c r="F7259" s="238" t="str">
        <f>IFERROR(__xludf.DUMMYFUNCTION("""COMPUTED_VALUE"""),"EML1A61,EMT9A12")</f>
        <v>EML1A61,EMT9A12</v>
      </c>
      <c r="G7259" s="238">
        <f>IFERROR(__xludf.DUMMYFUNCTION("""COMPUTED_VALUE"""),46064.12638888889)</f>
        <v>46064.12639</v>
      </c>
      <c r="H7259" s="238">
        <f>IFERROR(__xludf.DUMMYFUNCTION("""COMPUTED_VALUE"""),46064.5)</f>
        <v>46064.5</v>
      </c>
      <c r="J7259" s="239">
        <v>537.0000000006985</v>
      </c>
    </row>
    <row r="7260">
      <c r="A7260" s="234"/>
      <c r="B7260" s="238" t="str">
        <f>IFERROR(__xludf.DUMMYFUNCTION("""COMPUTED_VALUE"""),"SoC_MG_Betim")</f>
        <v>SoC_MG_Betim</v>
      </c>
      <c r="C7260" s="238" t="str">
        <f>IFERROR(__xludf.DUMMYFUNCTION("""COMPUTED_VALUE"""),"SOC-MG2")</f>
        <v>SOC-MG2</v>
      </c>
      <c r="D7260" s="234">
        <f>IFERROR(__xludf.DUMMYFUNCTION("""COMPUTED_VALUE"""),90.0)</f>
        <v>90</v>
      </c>
      <c r="E7260" s="237" t="str">
        <f>IFERROR(__xludf.DUMMYFUNCTION("""COMPUTED_VALUE"""),"LT0Q2A01YITS1")</f>
        <v>LT0Q2A01YITS1</v>
      </c>
      <c r="F7260" s="238" t="str">
        <f>IFERROR(__xludf.DUMMYFUNCTION("""COMPUTED_VALUE"""),"FNY2B06,FCR2E04")</f>
        <v>FNY2B06,FCR2E04</v>
      </c>
      <c r="G7260" s="238">
        <f>IFERROR(__xludf.DUMMYFUNCTION("""COMPUTED_VALUE"""),46064.12708333333)</f>
        <v>46064.12708</v>
      </c>
      <c r="H7260" s="238">
        <f>IFERROR(__xludf.DUMMYFUNCTION("""COMPUTED_VALUE"""),46064.5)</f>
        <v>46064.5</v>
      </c>
      <c r="J7260" s="239">
        <v>479.9999999930151</v>
      </c>
    </row>
    <row r="7261">
      <c r="A7261" s="234"/>
      <c r="B7261" s="238" t="str">
        <f>IFERROR(__xludf.DUMMYFUNCTION("""COMPUTED_VALUE"""),"SoC_RJ_Duque de Caxias")</f>
        <v>SoC_RJ_Duque de Caxias</v>
      </c>
      <c r="C7261" s="238" t="str">
        <f>IFERROR(__xludf.DUMMYFUNCTION("""COMPUTED_VALUE"""),"SOC-RJ2")</f>
        <v>SOC-RJ2</v>
      </c>
      <c r="D7261" s="234">
        <f>IFERROR(__xludf.DUMMYFUNCTION("""COMPUTED_VALUE"""),96.0)</f>
        <v>96</v>
      </c>
      <c r="E7261" s="237" t="str">
        <f>IFERROR(__xludf.DUMMYFUNCTION("""COMPUTED_VALUE"""),"LT1Q2A01YTQI1")</f>
        <v>LT1Q2A01YTQI1</v>
      </c>
      <c r="F7261" s="238" t="str">
        <f>IFERROR(__xludf.DUMMYFUNCTION("""COMPUTED_VALUE"""),"MAR6J89,NUN8J32")</f>
        <v>MAR6J89,NUN8J32</v>
      </c>
      <c r="G7261" s="238">
        <f>IFERROR(__xludf.DUMMYFUNCTION("""COMPUTED_VALUE"""),46064.16666666667)</f>
        <v>46064.16667</v>
      </c>
      <c r="H7261" s="238">
        <f>IFERROR(__xludf.DUMMYFUNCTION("""COMPUTED_VALUE"""),46064.5)</f>
        <v>46064.5</v>
      </c>
      <c r="J7261" s="239">
        <v>479.9999999930151</v>
      </c>
    </row>
    <row r="7262">
      <c r="A7262" s="234"/>
      <c r="B7262" s="238" t="str">
        <f>IFERROR(__xludf.DUMMYFUNCTION("""COMPUTED_VALUE"""),"SoC_SP_Cravinhos")</f>
        <v>SoC_SP_Cravinhos</v>
      </c>
      <c r="C7262" s="238" t="str">
        <f>IFERROR(__xludf.DUMMYFUNCTION("""COMPUTED_VALUE"""),"SOC-SP5")</f>
        <v>SOC-SP5</v>
      </c>
      <c r="D7262" s="234">
        <f>IFERROR(__xludf.DUMMYFUNCTION("""COMPUTED_VALUE"""),95.0)</f>
        <v>95</v>
      </c>
      <c r="E7262" s="237" t="str">
        <f>IFERROR(__xludf.DUMMYFUNCTION("""COMPUTED_VALUE"""),"LT1Q2A01YUCE1")</f>
        <v>LT1Q2A01YUCE1</v>
      </c>
      <c r="F7262" s="238" t="str">
        <f>IFERROR(__xludf.DUMMYFUNCTION("""COMPUTED_VALUE"""),"QTZ0D14,EZU4H19,EZU4H20")</f>
        <v>QTZ0D14,EZU4H19,EZU4H20</v>
      </c>
      <c r="G7262" s="238">
        <f>IFERROR(__xludf.DUMMYFUNCTION("""COMPUTED_VALUE"""),46064.16666666667)</f>
        <v>46064.16667</v>
      </c>
      <c r="H7262" s="238">
        <f>IFERROR(__xludf.DUMMYFUNCTION("""COMPUTED_VALUE"""),46064.5)</f>
        <v>46064.5</v>
      </c>
      <c r="J7262" s="239">
        <v>600.0000000069849</v>
      </c>
    </row>
    <row r="7263">
      <c r="A7263" s="234"/>
      <c r="B7263" s="238" t="str">
        <f>IFERROR(__xludf.DUMMYFUNCTION("""COMPUTED_VALUE"""),"SoC_SC_Itajaí")</f>
        <v>SoC_SC_Itajaí</v>
      </c>
      <c r="C7263" s="238" t="str">
        <f>IFERROR(__xludf.DUMMYFUNCTION("""COMPUTED_VALUE"""),"SOC-SC1")</f>
        <v>SOC-SC1</v>
      </c>
      <c r="D7263" s="234">
        <f>IFERROR(__xludf.DUMMYFUNCTION("""COMPUTED_VALUE"""),100.0)</f>
        <v>100</v>
      </c>
      <c r="E7263" s="237" t="str">
        <f>IFERROR(__xludf.DUMMYFUNCTION("""COMPUTED_VALUE"""),"LT0Q2B01YMMV1")</f>
        <v>LT0Q2B01YMMV1</v>
      </c>
      <c r="F7263" s="238" t="str">
        <f>IFERROR(__xludf.DUMMYFUNCTION("""COMPUTED_VALUE"""),"OPN3H95,IPN8J87")</f>
        <v>OPN3H95,IPN8J87</v>
      </c>
      <c r="G7263" s="238">
        <f>IFERROR(__xludf.DUMMYFUNCTION("""COMPUTED_VALUE"""),46064.25)</f>
        <v>46064.25</v>
      </c>
      <c r="H7263" s="238">
        <f>IFERROR(__xludf.DUMMYFUNCTION("""COMPUTED_VALUE"""),46064.66666666667)</f>
        <v>46064.66667</v>
      </c>
      <c r="J7263" s="239">
        <v>120.00000001396984</v>
      </c>
    </row>
    <row r="7264">
      <c r="A7264" s="234"/>
      <c r="B7264" s="238" t="str">
        <f>IFERROR(__xludf.DUMMYFUNCTION("""COMPUTED_VALUE"""),"LM Hub_SP_Barueri_01")</f>
        <v>LM Hub_SP_Barueri_01</v>
      </c>
      <c r="C7264" s="238" t="str">
        <f>IFERROR(__xludf.DUMMYFUNCTION("""COMPUTED_VALUE"""),"HUB-LSP-81")</f>
        <v>HUB-LSP-81</v>
      </c>
      <c r="D7264" s="234">
        <f>IFERROR(__xludf.DUMMYFUNCTION("""COMPUTED_VALUE"""),15.0)</f>
        <v>15</v>
      </c>
      <c r="E7264" s="237" t="str">
        <f>IFERROR(__xludf.DUMMYFUNCTION("""COMPUTED_VALUE"""),"LT0Q2B01YN671")</f>
        <v>LT0Q2B01YN671</v>
      </c>
      <c r="F7264" s="238" t="str">
        <f>IFERROR(__xludf.DUMMYFUNCTION("""COMPUTED_VALUE"""),"GDQ4B07")</f>
        <v>GDQ4B07</v>
      </c>
      <c r="G7264" s="238">
        <f>IFERROR(__xludf.DUMMYFUNCTION("""COMPUTED_VALUE"""),46064.20833333333)</f>
        <v>46064.20833</v>
      </c>
      <c r="H7264" s="238">
        <f>IFERROR(__xludf.DUMMYFUNCTION("""COMPUTED_VALUE"""),46064.29166666667)</f>
        <v>46064.29167</v>
      </c>
      <c r="J7264" s="239">
        <v>120.00000000349246</v>
      </c>
    </row>
    <row r="7265">
      <c r="A7265" s="234"/>
      <c r="B7265" s="238" t="str">
        <f>IFERROR(__xludf.DUMMYFUNCTION("""COMPUTED_VALUE"""),"SoC_RJ_Duque de Caxias")</f>
        <v>SoC_RJ_Duque de Caxias</v>
      </c>
      <c r="C7265" s="238" t="str">
        <f>IFERROR(__xludf.DUMMYFUNCTION("""COMPUTED_VALUE"""),"SOC-RJ2")</f>
        <v>SOC-RJ2</v>
      </c>
      <c r="D7265" s="234" t="str">
        <f>IFERROR(__xludf.DUMMYFUNCTION("""COMPUTED_VALUE"""),"97/14")</f>
        <v>97/14</v>
      </c>
      <c r="E7265" s="237" t="str">
        <f>IFERROR(__xludf.DUMMYFUNCTION("""COMPUTED_VALUE"""),"LT1Q2B01YV081")</f>
        <v>LT1Q2B01YV081</v>
      </c>
      <c r="F7265" s="238" t="str">
        <f>IFERROR(__xludf.DUMMYFUNCTION("""COMPUTED_VALUE"""),"GCV3B56,BUP5186")</f>
        <v>GCV3B56,BUP5186</v>
      </c>
      <c r="G7265" s="238">
        <f>IFERROR(__xludf.DUMMYFUNCTION("""COMPUTED_VALUE"""),46064.22222222222)</f>
        <v>46064.22222</v>
      </c>
      <c r="H7265" s="238">
        <f>IFERROR(__xludf.DUMMYFUNCTION("""COMPUTED_VALUE"""),46064.305555555555)</f>
        <v>46064.30556</v>
      </c>
      <c r="J7265" s="239">
        <v>537.9999999934807</v>
      </c>
    </row>
    <row r="7266">
      <c r="A7266" s="234"/>
      <c r="B7266" s="238" t="str">
        <f>IFERROR(__xludf.DUMMYFUNCTION("""COMPUTED_VALUE"""),"SoC_SP_Cravinhos")</f>
        <v>SoC_SP_Cravinhos</v>
      </c>
      <c r="C7266" s="238" t="str">
        <f>IFERROR(__xludf.DUMMYFUNCTION("""COMPUTED_VALUE"""),"SOC-SP5")</f>
        <v>SOC-SP5</v>
      </c>
      <c r="D7266" s="234">
        <f>IFERROR(__xludf.DUMMYFUNCTION("""COMPUTED_VALUE"""),95.0)</f>
        <v>95</v>
      </c>
      <c r="E7266" s="237" t="str">
        <f>IFERROR(__xludf.DUMMYFUNCTION("""COMPUTED_VALUE"""),"LT0Q2B01YIVB1")</f>
        <v>LT0Q2B01YIVB1</v>
      </c>
      <c r="F7266" s="238" t="str">
        <f>IFERROR(__xludf.DUMMYFUNCTION("""COMPUTED_VALUE"""),"FYJ9H67,FEE8I31")</f>
        <v>FYJ9H67,FEE8I31</v>
      </c>
      <c r="G7266" s="238">
        <f>IFERROR(__xludf.DUMMYFUNCTION("""COMPUTED_VALUE"""),46064.58472222222)</f>
        <v>46064.58472</v>
      </c>
      <c r="H7266" s="238">
        <f>IFERROR(__xludf.DUMMYFUNCTION("""COMPUTED_VALUE"""),46064.95833333333)</f>
        <v>46064.95833</v>
      </c>
      <c r="J7266" s="239">
        <v>120.00000001396984</v>
      </c>
    </row>
    <row r="7267">
      <c r="A7267" s="234"/>
      <c r="B7267" s="238" t="str">
        <f>IFERROR(__xludf.DUMMYFUNCTION("""COMPUTED_VALUE"""),"LM Hub_RJ_Jacarepaguá")</f>
        <v>LM Hub_RJ_Jacarepaguá</v>
      </c>
      <c r="C7267" s="238" t="str">
        <f>IFERROR(__xludf.DUMMYFUNCTION("""COMPUTED_VALUE"""),"HUB-LRJ-29")</f>
        <v>HUB-LRJ-29</v>
      </c>
      <c r="D7267" s="234">
        <f>IFERROR(__xludf.DUMMYFUNCTION("""COMPUTED_VALUE"""),115.0)</f>
        <v>115</v>
      </c>
      <c r="E7267" s="237" t="str">
        <f>IFERROR(__xludf.DUMMYFUNCTION("""COMPUTED_VALUE"""),"LT0Q2B01YNM71")</f>
        <v>LT0Q2B01YNM71</v>
      </c>
      <c r="F7267" s="238" t="str">
        <f>IFERROR(__xludf.DUMMYFUNCTION("""COMPUTED_VALUE"""),"FJU8A24,GCV4C08")</f>
        <v>FJU8A24,GCV4C08</v>
      </c>
      <c r="G7267" s="238">
        <f>IFERROR(__xludf.DUMMYFUNCTION("""COMPUTED_VALUE"""),46064.89583333333)</f>
        <v>46064.89583</v>
      </c>
      <c r="H7267" s="238">
        <f>IFERROR(__xludf.DUMMYFUNCTION("""COMPUTED_VALUE"""),46064.97916666667)</f>
        <v>46064.97917</v>
      </c>
      <c r="J7267" s="239">
        <v>120.00000001396984</v>
      </c>
    </row>
    <row r="7268">
      <c r="A7268" s="234"/>
      <c r="B7268" s="238" t="str">
        <f>IFERROR(__xludf.DUMMYFUNCTION("""COMPUTED_VALUE"""),"LM Hub_RJ_Rio de Janeiro_Campo G")</f>
        <v>LM Hub_RJ_Rio de Janeiro_Campo G</v>
      </c>
      <c r="C7268" s="238" t="str">
        <f>IFERROR(__xludf.DUMMYFUNCTION("""COMPUTED_VALUE"""),"HUB-LRJ-04")</f>
        <v>HUB-LRJ-04</v>
      </c>
      <c r="D7268" s="234">
        <f>IFERROR(__xludf.DUMMYFUNCTION("""COMPUTED_VALUE"""),112.0)</f>
        <v>112</v>
      </c>
      <c r="E7268" s="237" t="str">
        <f>IFERROR(__xludf.DUMMYFUNCTION("""COMPUTED_VALUE"""),"LT0Q2B01YJ2R1")</f>
        <v>LT0Q2B01YJ2R1</v>
      </c>
      <c r="F7268" s="238" t="str">
        <f>IFERROR(__xludf.DUMMYFUNCTION("""COMPUTED_VALUE"""),"TAU4J46")</f>
        <v>TAU4J46</v>
      </c>
      <c r="G7268" s="238">
        <f>IFERROR(__xludf.DUMMYFUNCTION("""COMPUTED_VALUE"""),46064.89583333333)</f>
        <v>46064.89583</v>
      </c>
      <c r="H7268" s="238">
        <f>IFERROR(__xludf.DUMMYFUNCTION("""COMPUTED_VALUE"""),46064.97916666667)</f>
        <v>46064.97917</v>
      </c>
      <c r="J7268" s="239">
        <v>117.9999999969732</v>
      </c>
    </row>
    <row r="7269">
      <c r="A7269" s="234"/>
      <c r="B7269" s="238" t="str">
        <f>IFERROR(__xludf.DUMMYFUNCTION("""COMPUTED_VALUE"""),"LM Hub_SP_Guarujá")</f>
        <v>LM Hub_SP_Guarujá</v>
      </c>
      <c r="C7269" s="238" t="str">
        <f>IFERROR(__xludf.DUMMYFUNCTION("""COMPUTED_VALUE"""),"HUB-LSP-06")</f>
        <v>HUB-LSP-06</v>
      </c>
      <c r="D7269" s="234">
        <f>IFERROR(__xludf.DUMMYFUNCTION("""COMPUTED_VALUE"""),33.0)</f>
        <v>33</v>
      </c>
      <c r="E7269" s="237" t="str">
        <f>IFERROR(__xludf.DUMMYFUNCTION("""COMPUTED_VALUE"""),"LT0Q2B01YF971")</f>
        <v>LT0Q2B01YF971</v>
      </c>
      <c r="F7269" s="238" t="str">
        <f>IFERROR(__xludf.DUMMYFUNCTION("""COMPUTED_VALUE"""),"FPX2D52")</f>
        <v>FPX2D52</v>
      </c>
      <c r="G7269" s="238">
        <f>IFERROR(__xludf.DUMMYFUNCTION("""COMPUTED_VALUE"""),46064.91736111111)</f>
        <v>46064.91736</v>
      </c>
      <c r="H7269" s="238">
        <f>IFERROR(__xludf.DUMMYFUNCTION("""COMPUTED_VALUE"""),46064.99930555555)</f>
        <v>46064.99931</v>
      </c>
      <c r="J7269" s="239">
        <v>119.99999999301508</v>
      </c>
    </row>
    <row r="7270">
      <c r="A7270" s="234"/>
      <c r="B7270" s="238" t="str">
        <f>IFERROR(__xludf.DUMMYFUNCTION("""COMPUTED_VALUE"""),"LM Hub_RS_Porto Alegre_Floresta")</f>
        <v>LM Hub_RS_Porto Alegre_Floresta</v>
      </c>
      <c r="C7270" s="238" t="str">
        <f>IFERROR(__xludf.DUMMYFUNCTION("""COMPUTED_VALUE"""),"HUB-LRS-03")</f>
        <v>HUB-LRS-03</v>
      </c>
      <c r="D7270" s="234">
        <f>IFERROR(__xludf.DUMMYFUNCTION("""COMPUTED_VALUE"""),113.0)</f>
        <v>113</v>
      </c>
      <c r="E7270" s="237" t="str">
        <f>IFERROR(__xludf.DUMMYFUNCTION("""COMPUTED_VALUE"""),"LT0Q2B01YO6Z1")</f>
        <v>LT0Q2B01YO6Z1</v>
      </c>
      <c r="F7270" s="238" t="str">
        <f>IFERROR(__xludf.DUMMYFUNCTION("""COMPUTED_VALUE"""),"BCU4D79")</f>
        <v>BCU4D79</v>
      </c>
      <c r="G7270" s="238">
        <f>IFERROR(__xludf.DUMMYFUNCTION("""COMPUTED_VALUE"""),46064.91666666667)</f>
        <v>46064.91667</v>
      </c>
      <c r="H7270" s="238">
        <f>IFERROR(__xludf.DUMMYFUNCTION("""COMPUTED_VALUE"""),46065.0)</f>
        <v>46065</v>
      </c>
      <c r="J7270" s="239">
        <v>119.99999999301508</v>
      </c>
    </row>
    <row r="7271">
      <c r="A7271" s="234"/>
      <c r="B7271" s="238" t="str">
        <f>IFERROR(__xludf.DUMMYFUNCTION("""COMPUTED_VALUE"""),"LM Hub_SP_Barueri_01")</f>
        <v>LM Hub_SP_Barueri_01</v>
      </c>
      <c r="C7271" s="238" t="str">
        <f>IFERROR(__xludf.DUMMYFUNCTION("""COMPUTED_VALUE"""),"HUB-LSP-81")</f>
        <v>HUB-LSP-81</v>
      </c>
      <c r="D7271" s="234">
        <f>IFERROR(__xludf.DUMMYFUNCTION("""COMPUTED_VALUE"""),21.0)</f>
        <v>21</v>
      </c>
      <c r="E7271" s="237" t="str">
        <f>IFERROR(__xludf.DUMMYFUNCTION("""COMPUTED_VALUE"""),"LT0Q2B01YN6E1")</f>
        <v>LT0Q2B01YN6E1</v>
      </c>
      <c r="F7271" s="238" t="str">
        <f>IFERROR(__xludf.DUMMYFUNCTION("""COMPUTED_VALUE"""),"EXU1I55,EXJ7G70")</f>
        <v>EXU1I55,EXJ7G70</v>
      </c>
      <c r="G7271" s="238">
        <f>IFERROR(__xludf.DUMMYFUNCTION("""COMPUTED_VALUE"""),46064.91666666667)</f>
        <v>46064.91667</v>
      </c>
      <c r="H7271" s="238">
        <f>IFERROR(__xludf.DUMMYFUNCTION("""COMPUTED_VALUE"""),46065.0)</f>
        <v>46065</v>
      </c>
      <c r="J7271" s="239">
        <v>119.99999999301508</v>
      </c>
    </row>
    <row r="7272">
      <c r="A7272" s="234"/>
      <c r="B7272" s="238" t="str">
        <f>IFERROR(__xludf.DUMMYFUNCTION("""COMPUTED_VALUE"""),"LM Hub_SP_Itapevi")</f>
        <v>LM Hub_SP_Itapevi</v>
      </c>
      <c r="C7272" s="238" t="str">
        <f>IFERROR(__xludf.DUMMYFUNCTION("""COMPUTED_VALUE"""),"HUB-LSP-41")</f>
        <v>HUB-LSP-41</v>
      </c>
      <c r="D7272" s="234">
        <f>IFERROR(__xludf.DUMMYFUNCTION("""COMPUTED_VALUE"""),23.0)</f>
        <v>23</v>
      </c>
      <c r="E7272" s="237" t="str">
        <f>IFERROR(__xludf.DUMMYFUNCTION("""COMPUTED_VALUE"""),"LT0Q2B01YIXQ1")</f>
        <v>LT0Q2B01YIXQ1</v>
      </c>
      <c r="F7272" s="238" t="str">
        <f>IFERROR(__xludf.DUMMYFUNCTION("""COMPUTED_VALUE"""),"BCS4J31,DJB0J76")</f>
        <v>BCS4J31,DJB0J76</v>
      </c>
      <c r="G7272" s="238">
        <f>IFERROR(__xludf.DUMMYFUNCTION("""COMPUTED_VALUE"""),46064.91666666667)</f>
        <v>46064.91667</v>
      </c>
      <c r="H7272" s="238">
        <f>IFERROR(__xludf.DUMMYFUNCTION("""COMPUTED_VALUE"""),46065.0)</f>
        <v>46065</v>
      </c>
      <c r="J7272" s="239">
        <v>119.99999999301508</v>
      </c>
    </row>
    <row r="7273">
      <c r="A7273" s="234"/>
      <c r="B7273" s="238" t="str">
        <f>IFERROR(__xludf.DUMMYFUNCTION("""COMPUTED_VALUE"""),"LM Hub_SP_Osasco_02")</f>
        <v>LM Hub_SP_Osasco_02</v>
      </c>
      <c r="C7273" s="238" t="str">
        <f>IFERROR(__xludf.DUMMYFUNCTION("""COMPUTED_VALUE"""),"HUB-LSP-60")</f>
        <v>HUB-LSP-60</v>
      </c>
      <c r="D7273" s="234">
        <f>IFERROR(__xludf.DUMMYFUNCTION("""COMPUTED_VALUE"""),27.0)</f>
        <v>27</v>
      </c>
      <c r="E7273" s="237" t="str">
        <f>IFERROR(__xludf.DUMMYFUNCTION("""COMPUTED_VALUE"""),"LT0Q2B01YIXX1")</f>
        <v>LT0Q2B01YIXX1</v>
      </c>
      <c r="F7273" s="238" t="str">
        <f>IFERROR(__xludf.DUMMYFUNCTION("""COMPUTED_VALUE"""),"FRO3D47,EWU4B46")</f>
        <v>FRO3D47,EWU4B46</v>
      </c>
      <c r="G7273" s="238">
        <f>IFERROR(__xludf.DUMMYFUNCTION("""COMPUTED_VALUE"""),46064.91666666667)</f>
        <v>46064.91667</v>
      </c>
      <c r="H7273" s="238">
        <f>IFERROR(__xludf.DUMMYFUNCTION("""COMPUTED_VALUE"""),46065.0)</f>
        <v>46065</v>
      </c>
      <c r="J7273" s="239">
        <v>119.99999999301508</v>
      </c>
    </row>
    <row r="7274">
      <c r="A7274" s="234"/>
      <c r="B7274" s="238" t="str">
        <f>IFERROR(__xludf.DUMMYFUNCTION("""COMPUTED_VALUE"""),"LM Hub_SP_São José do Rio P")</f>
        <v>LM Hub_SP_São José do Rio P</v>
      </c>
      <c r="C7274" s="238" t="str">
        <f>IFERROR(__xludf.DUMMYFUNCTION("""COMPUTED_VALUE"""),"HUB-LSP-27")</f>
        <v>HUB-LSP-27</v>
      </c>
      <c r="D7274" s="234">
        <f>IFERROR(__xludf.DUMMYFUNCTION("""COMPUTED_VALUE"""),114.0)</f>
        <v>114</v>
      </c>
      <c r="E7274" s="237" t="str">
        <f>IFERROR(__xludf.DUMMYFUNCTION("""COMPUTED_VALUE"""),"LT0Q2B01YM6M1")</f>
        <v>LT0Q2B01YM6M1</v>
      </c>
      <c r="F7274" s="238" t="str">
        <f>IFERROR(__xludf.DUMMYFUNCTION("""COMPUTED_VALUE"""),"SFB9G11")</f>
        <v>SFB9G11</v>
      </c>
      <c r="G7274" s="238">
        <f>IFERROR(__xludf.DUMMYFUNCTION("""COMPUTED_VALUE"""),46064.91666666667)</f>
        <v>46064.91667</v>
      </c>
      <c r="H7274" s="238">
        <f>IFERROR(__xludf.DUMMYFUNCTION("""COMPUTED_VALUE"""),46065.0)</f>
        <v>46065</v>
      </c>
      <c r="J7274" s="239">
        <v>119.99999999301508</v>
      </c>
    </row>
    <row r="7275">
      <c r="A7275" s="234"/>
      <c r="B7275" s="238" t="str">
        <f>IFERROR(__xludf.DUMMYFUNCTION("""COMPUTED_VALUE"""),"LM Hub_SP_Piracicaba")</f>
        <v>LM Hub_SP_Piracicaba</v>
      </c>
      <c r="C7275" s="238" t="str">
        <f>IFERROR(__xludf.DUMMYFUNCTION("""COMPUTED_VALUE"""),"HUB-LSP-62")</f>
        <v>HUB-LSP-62</v>
      </c>
      <c r="D7275" s="234">
        <f>IFERROR(__xludf.DUMMYFUNCTION("""COMPUTED_VALUE"""),25.0)</f>
        <v>25</v>
      </c>
      <c r="E7275" s="237" t="str">
        <f>IFERROR(__xludf.DUMMYFUNCTION("""COMPUTED_VALUE"""),"LT0Q2B01YPQD1")</f>
        <v>LT0Q2B01YPQD1</v>
      </c>
      <c r="F7275" s="238" t="str">
        <f>IFERROR(__xludf.DUMMYFUNCTION("""COMPUTED_VALUE"""),"EGB0G74,BKO8351")</f>
        <v>EGB0G74,BKO8351</v>
      </c>
      <c r="G7275" s="238">
        <f>IFERROR(__xludf.DUMMYFUNCTION("""COMPUTED_VALUE"""),46064.9375)</f>
        <v>46064.9375</v>
      </c>
      <c r="H7275" s="238">
        <f>IFERROR(__xludf.DUMMYFUNCTION("""COMPUTED_VALUE"""),46065.02083333333)</f>
        <v>46065.02083</v>
      </c>
      <c r="J7275" s="239">
        <v>119.99999999301508</v>
      </c>
    </row>
    <row r="7276">
      <c r="A7276" s="234"/>
      <c r="B7276" s="238" t="str">
        <f>IFERROR(__xludf.DUMMYFUNCTION("""COMPUTED_VALUE"""),"LM Hub_SP_Suzano_Baruel")</f>
        <v>LM Hub_SP_Suzano_Baruel</v>
      </c>
      <c r="C7276" s="238" t="str">
        <f>IFERROR(__xludf.DUMMYFUNCTION("""COMPUTED_VALUE"""),"HUB-LSP-97")</f>
        <v>HUB-LSP-97</v>
      </c>
      <c r="D7276" s="234">
        <f>IFERROR(__xludf.DUMMYFUNCTION("""COMPUTED_VALUE"""),17.0)</f>
        <v>17</v>
      </c>
      <c r="E7276" s="237" t="str">
        <f>IFERROR(__xludf.DUMMYFUNCTION("""COMPUTED_VALUE"""),"LT0Q2B01YOSI1")</f>
        <v>LT0Q2B01YOSI1</v>
      </c>
      <c r="F7276" s="238" t="str">
        <f>IFERROR(__xludf.DUMMYFUNCTION("""COMPUTED_VALUE"""),"ODE7J96,UGA3J73")</f>
        <v>ODE7J96,UGA3J73</v>
      </c>
      <c r="G7276" s="238">
        <f>IFERROR(__xludf.DUMMYFUNCTION("""COMPUTED_VALUE"""),46064.9375)</f>
        <v>46064.9375</v>
      </c>
      <c r="H7276" s="238">
        <f>IFERROR(__xludf.DUMMYFUNCTION("""COMPUTED_VALUE"""),46065.02083333333)</f>
        <v>46065.02083</v>
      </c>
      <c r="J7276" s="239">
        <v>118.99999998975545</v>
      </c>
    </row>
    <row r="7277">
      <c r="A7277" s="234"/>
      <c r="B7277" s="238" t="str">
        <f>IFERROR(__xludf.DUMMYFUNCTION("""COMPUTED_VALUE"""),"LM Hub_SP_Jardim Adriana")</f>
        <v>LM Hub_SP_Jardim Adriana</v>
      </c>
      <c r="C7277" s="238" t="str">
        <f>IFERROR(__xludf.DUMMYFUNCTION("""COMPUTED_VALUE"""),"HUB-LSP-12")</f>
        <v>HUB-LSP-12</v>
      </c>
      <c r="D7277" s="234">
        <f>IFERROR(__xludf.DUMMYFUNCTION("""COMPUTED_VALUE"""),37.0)</f>
        <v>37</v>
      </c>
      <c r="E7277" s="237" t="str">
        <f>IFERROR(__xludf.DUMMYFUNCTION("""COMPUTED_VALUE"""),"LT0Q2B01YF8A1")</f>
        <v>LT0Q2B01YF8A1</v>
      </c>
      <c r="F7277" s="238" t="str">
        <f>IFERROR(__xludf.DUMMYFUNCTION("""COMPUTED_VALUE"""),"EPU4G01")</f>
        <v>EPU4G01</v>
      </c>
      <c r="G7277" s="238">
        <f>IFERROR(__xludf.DUMMYFUNCTION("""COMPUTED_VALUE"""),46064.93819444445)</f>
        <v>46064.93819</v>
      </c>
      <c r="H7277" s="238">
        <f>IFERROR(__xludf.DUMMYFUNCTION("""COMPUTED_VALUE"""),46065.02083333333)</f>
        <v>46065.02083</v>
      </c>
      <c r="J7277" s="239">
        <v>118.99999998975545</v>
      </c>
    </row>
    <row r="7278">
      <c r="A7278" s="234"/>
      <c r="B7278" s="238" t="str">
        <f>IFERROR(__xludf.DUMMYFUNCTION("""COMPUTED_VALUE"""),"LM Hub_SP_Parque Novo Mundo")</f>
        <v>LM Hub_SP_Parque Novo Mundo</v>
      </c>
      <c r="C7278" s="238" t="str">
        <f>IFERROR(__xludf.DUMMYFUNCTION("""COMPUTED_VALUE"""),"HUB-LSP-89")</f>
        <v>HUB-LSP-89</v>
      </c>
      <c r="D7278" s="234">
        <f>IFERROR(__xludf.DUMMYFUNCTION("""COMPUTED_VALUE"""),12.0)</f>
        <v>12</v>
      </c>
      <c r="E7278" s="237" t="str">
        <f>IFERROR(__xludf.DUMMYFUNCTION("""COMPUTED_VALUE"""),"LT0Q2B01YFG51")</f>
        <v>LT0Q2B01YFG51</v>
      </c>
      <c r="F7278" s="238" t="str">
        <f>IFERROR(__xludf.DUMMYFUNCTION("""COMPUTED_VALUE"""),"FNK8E47,FAM1829")</f>
        <v>FNK8E47,FAM1829</v>
      </c>
      <c r="G7278" s="238">
        <f>IFERROR(__xludf.DUMMYFUNCTION("""COMPUTED_VALUE"""),46064.93819444445)</f>
        <v>46064.93819</v>
      </c>
      <c r="H7278" s="238">
        <f>IFERROR(__xludf.DUMMYFUNCTION("""COMPUTED_VALUE"""),46065.02083333333)</f>
        <v>46065.02083</v>
      </c>
      <c r="J7278" s="239">
        <v>118.99999998975545</v>
      </c>
    </row>
    <row r="7279">
      <c r="A7279" s="234"/>
      <c r="B7279" s="238" t="str">
        <f>IFERROR(__xludf.DUMMYFUNCTION("""COMPUTED_VALUE"""),"LM Hub_SP_Sorocaba_Região Norte")</f>
        <v>LM Hub_SP_Sorocaba_Região Norte</v>
      </c>
      <c r="C7279" s="238" t="str">
        <f>IFERROR(__xludf.DUMMYFUNCTION("""COMPUTED_VALUE"""),"HUB-LSP-10")</f>
        <v>HUB-LSP-10</v>
      </c>
      <c r="D7279" s="234">
        <f>IFERROR(__xludf.DUMMYFUNCTION("""COMPUTED_VALUE"""),28.0)</f>
        <v>28</v>
      </c>
      <c r="E7279" s="237" t="str">
        <f>IFERROR(__xludf.DUMMYFUNCTION("""COMPUTED_VALUE"""),"LT0Q2B01YJ0A1")</f>
        <v>LT0Q2B01YJ0A1</v>
      </c>
      <c r="F7279" s="238" t="str">
        <f>IFERROR(__xludf.DUMMYFUNCTION("""COMPUTED_VALUE"""),"UAV9I85,UGU0I83")</f>
        <v>UAV9I85,UGU0I83</v>
      </c>
      <c r="G7279" s="238">
        <f>IFERROR(__xludf.DUMMYFUNCTION("""COMPUTED_VALUE"""),46064.93819444445)</f>
        <v>46064.93819</v>
      </c>
      <c r="H7279" s="238">
        <f>IFERROR(__xludf.DUMMYFUNCTION("""COMPUTED_VALUE"""),46065.02083333333)</f>
        <v>46065.02083</v>
      </c>
      <c r="J7279" s="239">
        <v>118.99999998975545</v>
      </c>
    </row>
    <row r="7280">
      <c r="A7280" s="234"/>
      <c r="B7280" s="238" t="str">
        <f>IFERROR(__xludf.DUMMYFUNCTION("""COMPUTED_VALUE"""),"LM Hub_SP_VilaGuilherme")</f>
        <v>LM Hub_SP_VilaGuilherme</v>
      </c>
      <c r="C7280" s="238" t="str">
        <f>IFERROR(__xludf.DUMMYFUNCTION("""COMPUTED_VALUE"""),"HUB-LSP-68")</f>
        <v>HUB-LSP-68</v>
      </c>
      <c r="D7280" s="234">
        <f>IFERROR(__xludf.DUMMYFUNCTION("""COMPUTED_VALUE"""),32.0)</f>
        <v>32</v>
      </c>
      <c r="E7280" s="237" t="str">
        <f>IFERROR(__xludf.DUMMYFUNCTION("""COMPUTED_VALUE"""),"LT0Q2B01YF8W1")</f>
        <v>LT0Q2B01YF8W1</v>
      </c>
      <c r="F7280" s="238" t="str">
        <f>IFERROR(__xludf.DUMMYFUNCTION("""COMPUTED_VALUE"""),"HFD4H27,JXG9745")</f>
        <v>HFD4H27,JXG9745</v>
      </c>
      <c r="G7280" s="238">
        <f>IFERROR(__xludf.DUMMYFUNCTION("""COMPUTED_VALUE"""),46064.93819444445)</f>
        <v>46064.93819</v>
      </c>
      <c r="H7280" s="238">
        <f>IFERROR(__xludf.DUMMYFUNCTION("""COMPUTED_VALUE"""),46065.02083333333)</f>
        <v>46065.02083</v>
      </c>
      <c r="J7280" s="239">
        <v>120.00000001396984</v>
      </c>
    </row>
    <row r="7281">
      <c r="A7281" s="234"/>
      <c r="B7281" s="238" t="str">
        <f>IFERROR(__xludf.DUMMYFUNCTION("""COMPUTED_VALUE"""),"LM Hub_RJ_Nova Iguaçu")</f>
        <v>LM Hub_RJ_Nova Iguaçu</v>
      </c>
      <c r="C7281" s="238" t="str">
        <f>IFERROR(__xludf.DUMMYFUNCTION("""COMPUTED_VALUE"""),"HUB-LRJ-27")</f>
        <v>HUB-LRJ-27</v>
      </c>
      <c r="D7281" s="234">
        <f>IFERROR(__xludf.DUMMYFUNCTION("""COMPUTED_VALUE"""),110.0)</f>
        <v>110</v>
      </c>
      <c r="E7281" s="237" t="str">
        <f>IFERROR(__xludf.DUMMYFUNCTION("""COMPUTED_VALUE"""),"LT0Q2B01YNMI1")</f>
        <v>LT0Q2B01YNMI1</v>
      </c>
      <c r="F7281" s="238" t="str">
        <f>IFERROR(__xludf.DUMMYFUNCTION("""COMPUTED_VALUE"""),"UAV9I91")</f>
        <v>UAV9I91</v>
      </c>
      <c r="G7281" s="238">
        <f>IFERROR(__xludf.DUMMYFUNCTION("""COMPUTED_VALUE"""),46064.95833333333)</f>
        <v>46064.95833</v>
      </c>
      <c r="H7281" s="238">
        <f>IFERROR(__xludf.DUMMYFUNCTION("""COMPUTED_VALUE"""),46065.04166666667)</f>
        <v>46065.04167</v>
      </c>
      <c r="J7281" s="239">
        <v>120.00000001396984</v>
      </c>
    </row>
    <row r="7282">
      <c r="A7282" s="234"/>
      <c r="B7282" s="238" t="str">
        <f>IFERROR(__xludf.DUMMYFUNCTION("""COMPUTED_VALUE"""),"LM Hub_SP_Mogi Mirim")</f>
        <v>LM Hub_SP_Mogi Mirim</v>
      </c>
      <c r="C7282" s="238" t="str">
        <f>IFERROR(__xludf.DUMMYFUNCTION("""COMPUTED_VALUE"""),"HUB-LSP-37")</f>
        <v>HUB-LSP-37</v>
      </c>
      <c r="D7282" s="234">
        <f>IFERROR(__xludf.DUMMYFUNCTION("""COMPUTED_VALUE"""),26.0)</f>
        <v>26</v>
      </c>
      <c r="E7282" s="237" t="str">
        <f>IFERROR(__xludf.DUMMYFUNCTION("""COMPUTED_VALUE"""),"LT0Q2B01YJ1G1")</f>
        <v>LT0Q2B01YJ1G1</v>
      </c>
      <c r="F7282" s="238" t="str">
        <f>IFERROR(__xludf.DUMMYFUNCTION("""COMPUTED_VALUE"""),"FLN0H65,FTJ9A92")</f>
        <v>FLN0H65,FTJ9A92</v>
      </c>
      <c r="G7282" s="238">
        <f>IFERROR(__xludf.DUMMYFUNCTION("""COMPUTED_VALUE"""),46064.95833333333)</f>
        <v>46064.95833</v>
      </c>
      <c r="H7282" s="238">
        <f>IFERROR(__xludf.DUMMYFUNCTION("""COMPUTED_VALUE"""),46065.04166666667)</f>
        <v>46065.04167</v>
      </c>
      <c r="J7282" s="239">
        <v>119.99999999301508</v>
      </c>
    </row>
    <row r="7283">
      <c r="A7283" s="234"/>
      <c r="B7283" s="238" t="str">
        <f>IFERROR(__xludf.DUMMYFUNCTION("""COMPUTED_VALUE"""),"LM Hub_SP_Araraquara")</f>
        <v>LM Hub_SP_Araraquara</v>
      </c>
      <c r="C7283" s="238" t="str">
        <f>IFERROR(__xludf.DUMMYFUNCTION("""COMPUTED_VALUE"""),"HUB-LSP-29")</f>
        <v>HUB-LSP-29</v>
      </c>
      <c r="D7283" s="234">
        <f>IFERROR(__xludf.DUMMYFUNCTION("""COMPUTED_VALUE"""),34.0)</f>
        <v>34</v>
      </c>
      <c r="E7283" s="237" t="str">
        <f>IFERROR(__xludf.DUMMYFUNCTION("""COMPUTED_VALUE"""),"LT0Q2B01YJ1M1")</f>
        <v>LT0Q2B01YJ1M1</v>
      </c>
      <c r="F7283" s="238" t="str">
        <f>IFERROR(__xludf.DUMMYFUNCTION("""COMPUTED_VALUE"""),"ISQ7F01,ANM9G89")</f>
        <v>ISQ7F01,ANM9G89</v>
      </c>
      <c r="G7283" s="238">
        <f>IFERROR(__xludf.DUMMYFUNCTION("""COMPUTED_VALUE"""),46064.97916666667)</f>
        <v>46064.97917</v>
      </c>
      <c r="H7283" s="238">
        <f>IFERROR(__xludf.DUMMYFUNCTION("""COMPUTED_VALUE"""),46065.0625)</f>
        <v>46065.0625</v>
      </c>
      <c r="J7283" s="239">
        <v>119.99999999301508</v>
      </c>
    </row>
    <row r="7284">
      <c r="A7284" s="234"/>
      <c r="B7284" s="238" t="str">
        <f>IFERROR(__xludf.DUMMYFUNCTION("""COMPUTED_VALUE"""),"LM Hub_SP_Atibaia_Ponte_Alta")</f>
        <v>LM Hub_SP_Atibaia_Ponte_Alta</v>
      </c>
      <c r="C7284" s="238" t="str">
        <f>IFERROR(__xludf.DUMMYFUNCTION("""COMPUTED_VALUE"""),"HUB-LSP-87")</f>
        <v>HUB-LSP-87</v>
      </c>
      <c r="D7284" s="234">
        <f>IFERROR(__xludf.DUMMYFUNCTION("""COMPUTED_VALUE"""),35.0)</f>
        <v>35</v>
      </c>
      <c r="E7284" s="237" t="str">
        <f>IFERROR(__xludf.DUMMYFUNCTION("""COMPUTED_VALUE"""),"LT0Q2B01YM2H1")</f>
        <v>LT0Q2B01YM2H1</v>
      </c>
      <c r="F7284" s="238" t="str">
        <f>IFERROR(__xludf.DUMMYFUNCTION("""COMPUTED_VALUE"""),"FQL0I39,EHH8I84")</f>
        <v>FQL0I39,EHH8I84</v>
      </c>
      <c r="G7284" s="238">
        <f>IFERROR(__xludf.DUMMYFUNCTION("""COMPUTED_VALUE"""),46064.97916666667)</f>
        <v>46064.97917</v>
      </c>
      <c r="H7284" s="238">
        <f>IFERROR(__xludf.DUMMYFUNCTION("""COMPUTED_VALUE"""),46065.0625)</f>
        <v>46065.0625</v>
      </c>
      <c r="J7284" s="239">
        <v>119.99999999301508</v>
      </c>
    </row>
    <row r="7285">
      <c r="A7285" s="234"/>
      <c r="B7285" s="238" t="str">
        <f>IFERROR(__xludf.DUMMYFUNCTION("""COMPUTED_VALUE"""),"LM Hub_SP_Várzea Paulista")</f>
        <v>LM Hub_SP_Várzea Paulista</v>
      </c>
      <c r="C7285" s="238" t="str">
        <f>IFERROR(__xludf.DUMMYFUNCTION("""COMPUTED_VALUE"""),"HUB-LSP-20")</f>
        <v>HUB-LSP-20</v>
      </c>
      <c r="D7285" s="234">
        <f>IFERROR(__xludf.DUMMYFUNCTION("""COMPUTED_VALUE"""),18.0)</f>
        <v>18</v>
      </c>
      <c r="E7285" s="237" t="str">
        <f>IFERROR(__xludf.DUMMYFUNCTION("""COMPUTED_VALUE"""),"LT0Q2B01YJ221")</f>
        <v>LT0Q2B01YJ221</v>
      </c>
      <c r="F7285" s="238" t="str">
        <f>IFERROR(__xludf.DUMMYFUNCTION("""COMPUTED_VALUE"""),"HJD3B39,SHK3D71")</f>
        <v>HJD3B39,SHK3D71</v>
      </c>
      <c r="G7285" s="238">
        <f>IFERROR(__xludf.DUMMYFUNCTION("""COMPUTED_VALUE"""),46064.97916666667)</f>
        <v>46064.97917</v>
      </c>
      <c r="H7285" s="238">
        <f>IFERROR(__xludf.DUMMYFUNCTION("""COMPUTED_VALUE"""),46065.0625)</f>
        <v>46065.0625</v>
      </c>
      <c r="J7285" s="239">
        <v>119.00000000023283</v>
      </c>
    </row>
    <row r="7286">
      <c r="A7286" s="234"/>
      <c r="B7286" s="238" t="str">
        <f>IFERROR(__xludf.DUMMYFUNCTION("""COMPUTED_VALUE"""),"LM Hub_SP_Araraquara")</f>
        <v>LM Hub_SP_Araraquara</v>
      </c>
      <c r="C7286" s="238" t="str">
        <f>IFERROR(__xludf.DUMMYFUNCTION("""COMPUTED_VALUE"""),"HUB-LSP-29")</f>
        <v>HUB-LSP-29</v>
      </c>
      <c r="D7286" s="234"/>
      <c r="E7286" s="237" t="str">
        <f>IFERROR(__xludf.DUMMYFUNCTION("""COMPUTED_VALUE"""),"LT0Q2B01YJ1R1")</f>
        <v>LT0Q2B01YJ1R1</v>
      </c>
      <c r="F7286" s="238" t="str">
        <f>IFERROR(__xludf.DUMMYFUNCTION("""COMPUTED_VALUE"""),"ISQ7F01,ANM9G89")</f>
        <v>ISQ7F01,ANM9G89</v>
      </c>
      <c r="G7286" s="238">
        <f>IFERROR(__xludf.DUMMYFUNCTION("""COMPUTED_VALUE"""),46064.97986111111)</f>
        <v>46064.97986</v>
      </c>
      <c r="H7286" s="238">
        <f>IFERROR(__xludf.DUMMYFUNCTION("""COMPUTED_VALUE"""),46065.0625)</f>
        <v>46065.0625</v>
      </c>
      <c r="J7286" s="239">
        <v>360.0</v>
      </c>
    </row>
    <row r="7287">
      <c r="A7287" s="234"/>
      <c r="B7287" s="238" t="str">
        <f>IFERROR(__xludf.DUMMYFUNCTION("""COMPUTED_VALUE"""),"SoC_RS_Gravataí_02")</f>
        <v>SoC_RS_Gravataí_02</v>
      </c>
      <c r="C7287" s="238" t="str">
        <f>IFERROR(__xludf.DUMMYFUNCTION("""COMPUTED_VALUE"""),"SOC-RS2")</f>
        <v>SOC-RS2</v>
      </c>
      <c r="D7287" s="234" t="str">
        <f>IFERROR(__xludf.DUMMYFUNCTION("""COMPUTED_VALUE"""),"94/14")</f>
        <v>94/14</v>
      </c>
      <c r="E7287" s="237" t="str">
        <f>IFERROR(__xludf.DUMMYFUNCTION("""COMPUTED_VALUE"""),"LT1Q2B01YUPL1")</f>
        <v>LT1Q2B01YUPL1</v>
      </c>
      <c r="F7287" s="238" t="str">
        <f>IFERROR(__xludf.DUMMYFUNCTION("""COMPUTED_VALUE"""),"EWM7C20,ISL5895")</f>
        <v>EWM7C20,ISL5895</v>
      </c>
      <c r="G7287" s="238">
        <f>IFERROR(__xludf.DUMMYFUNCTION("""COMPUTED_VALUE"""),46064.83333333333)</f>
        <v>46064.83333</v>
      </c>
      <c r="H7287" s="238">
        <f>IFERROR(__xludf.DUMMYFUNCTION("""COMPUTED_VALUE"""),46065.08333333333)</f>
        <v>46065.08333</v>
      </c>
      <c r="J7287" s="239">
        <v>119.99999999301508</v>
      </c>
    </row>
    <row r="7288">
      <c r="A7288" s="234"/>
      <c r="B7288" s="238" t="str">
        <f>IFERROR(__xludf.DUMMYFUNCTION("""COMPUTED_VALUE"""),"LM Hub_RJ_Ilha do Governador")</f>
        <v>LM Hub_RJ_Ilha do Governador</v>
      </c>
      <c r="C7288" s="238" t="str">
        <f>IFERROR(__xludf.DUMMYFUNCTION("""COMPUTED_VALUE"""),"HUB-LRJ-32")</f>
        <v>HUB-LRJ-32</v>
      </c>
      <c r="D7288" s="234">
        <f>IFERROR(__xludf.DUMMYFUNCTION("""COMPUTED_VALUE"""),115.0)</f>
        <v>115</v>
      </c>
      <c r="E7288" s="237" t="str">
        <f>IFERROR(__xludf.DUMMYFUNCTION("""COMPUTED_VALUE"""),"LT0Q2C01YNMY1")</f>
        <v>LT0Q2C01YNMY1</v>
      </c>
      <c r="F7288" s="238" t="str">
        <f>IFERROR(__xludf.DUMMYFUNCTION("""COMPUTED_VALUE"""),"SHY4B72")</f>
        <v>SHY4B72</v>
      </c>
      <c r="G7288" s="238">
        <f>IFERROR(__xludf.DUMMYFUNCTION("""COMPUTED_VALUE"""),46065.0)</f>
        <v>46065</v>
      </c>
      <c r="H7288" s="238">
        <f>IFERROR(__xludf.DUMMYFUNCTION("""COMPUTED_VALUE"""),46065.08333333333)</f>
        <v>46065.08333</v>
      </c>
      <c r="J7288" s="239">
        <v>119.99999999301508</v>
      </c>
    </row>
    <row r="7289">
      <c r="A7289" s="234"/>
      <c r="B7289" s="238" t="str">
        <f>IFERROR(__xludf.DUMMYFUNCTION("""COMPUTED_VALUE"""),"LM Hub_SP_Tatuí")</f>
        <v>LM Hub_SP_Tatuí</v>
      </c>
      <c r="C7289" s="238" t="str">
        <f>IFERROR(__xludf.DUMMYFUNCTION("""COMPUTED_VALUE"""),"HUB-LSP-51")</f>
        <v>HUB-LSP-51</v>
      </c>
      <c r="D7289" s="234">
        <f>IFERROR(__xludf.DUMMYFUNCTION("""COMPUTED_VALUE"""),45.0)</f>
        <v>45</v>
      </c>
      <c r="E7289" s="237" t="str">
        <f>IFERROR(__xludf.DUMMYFUNCTION("""COMPUTED_VALUE"""),"LT0Q2C01YIYN1")</f>
        <v>LT0Q2C01YIYN1</v>
      </c>
      <c r="F7289" s="238" t="str">
        <f>IFERROR(__xludf.DUMMYFUNCTION("""COMPUTED_VALUE"""),"STW5B17,TLF7F34")</f>
        <v>STW5B17,TLF7F34</v>
      </c>
      <c r="G7289" s="238">
        <f>IFERROR(__xludf.DUMMYFUNCTION("""COMPUTED_VALUE"""),46065.0)</f>
        <v>46065</v>
      </c>
      <c r="H7289" s="238">
        <f>IFERROR(__xludf.DUMMYFUNCTION("""COMPUTED_VALUE"""),46065.08333333333)</f>
        <v>46065.08333</v>
      </c>
      <c r="J7289" s="239">
        <v>119.99999999301508</v>
      </c>
    </row>
    <row r="7290">
      <c r="A7290" s="234"/>
      <c r="B7290" s="238" t="str">
        <f>IFERROR(__xludf.DUMMYFUNCTION("""COMPUTED_VALUE"""),"SoC_SP_Louveira")</f>
        <v>SoC_SP_Louveira</v>
      </c>
      <c r="C7290" s="238" t="str">
        <f>IFERROR(__xludf.DUMMYFUNCTION("""COMPUTED_VALUE"""),"SOC-SP7")</f>
        <v>SOC-SP7</v>
      </c>
      <c r="D7290" s="234">
        <f>IFERROR(__xludf.DUMMYFUNCTION("""COMPUTED_VALUE"""),39.0)</f>
        <v>39</v>
      </c>
      <c r="E7290" s="237" t="str">
        <f>IFERROR(__xludf.DUMMYFUNCTION("""COMPUTED_VALUE"""),"LT0Q2C01YIVT1")</f>
        <v>LT0Q2C01YIVT1</v>
      </c>
      <c r="F7290" s="238" t="str">
        <f>IFERROR(__xludf.DUMMYFUNCTION("""COMPUTED_VALUE"""),"GDL9D12,GJM4992")</f>
        <v>GDL9D12,GJM4992</v>
      </c>
      <c r="G7290" s="238">
        <f>IFERROR(__xludf.DUMMYFUNCTION("""COMPUTED_VALUE"""),46065.0)</f>
        <v>46065</v>
      </c>
      <c r="H7290" s="238">
        <f>IFERROR(__xludf.DUMMYFUNCTION("""COMPUTED_VALUE"""),46065.08333333333)</f>
        <v>46065.08333</v>
      </c>
      <c r="J7290" s="239">
        <v>60.00000000698492</v>
      </c>
    </row>
    <row r="7291">
      <c r="A7291" s="234"/>
      <c r="B7291" s="238" t="str">
        <f>IFERROR(__xludf.DUMMYFUNCTION("""COMPUTED_VALUE"""),"LM Hub_RJ_São João do Meriti")</f>
        <v>LM Hub_RJ_São João do Meriti</v>
      </c>
      <c r="C7291" s="238" t="str">
        <f>IFERROR(__xludf.DUMMYFUNCTION("""COMPUTED_VALUE"""),"HUB-LRJ-01")</f>
        <v>HUB-LRJ-01</v>
      </c>
      <c r="D7291" s="234">
        <f>IFERROR(__xludf.DUMMYFUNCTION("""COMPUTED_VALUE"""),114.0)</f>
        <v>114</v>
      </c>
      <c r="E7291" s="237" t="str">
        <f>IFERROR(__xludf.DUMMYFUNCTION("""COMPUTED_VALUE"""),"LT1Q2C01YVLT1")</f>
        <v>LT1Q2C01YVLT1</v>
      </c>
      <c r="F7291" s="238" t="str">
        <f>IFERROR(__xludf.DUMMYFUNCTION("""COMPUTED_VALUE"""),"FDP1C98")</f>
        <v>FDP1C98</v>
      </c>
      <c r="G7291" s="238">
        <f>IFERROR(__xludf.DUMMYFUNCTION("""COMPUTED_VALUE"""),46065.044444444444)</f>
        <v>46065.04444</v>
      </c>
      <c r="H7291" s="238">
        <f>IFERROR(__xludf.DUMMYFUNCTION("""COMPUTED_VALUE"""),46065.086111111115)</f>
        <v>46065.08611</v>
      </c>
      <c r="J7291" s="239">
        <v>120.00000001396984</v>
      </c>
    </row>
    <row r="7292">
      <c r="A7292" s="234"/>
      <c r="B7292" s="238" t="str">
        <f>IFERROR(__xludf.DUMMYFUNCTION("""COMPUTED_VALUE"""),"LM Hub_MG_Varginha_Fausto")</f>
        <v>LM Hub_MG_Varginha_Fausto</v>
      </c>
      <c r="C7292" s="238" t="str">
        <f>IFERROR(__xludf.DUMMYFUNCTION("""COMPUTED_VALUE"""),"HUB-LMG-45")</f>
        <v>HUB-LMG-45</v>
      </c>
      <c r="D7292" s="234">
        <f>IFERROR(__xludf.DUMMYFUNCTION("""COMPUTED_VALUE"""),116.0)</f>
        <v>116</v>
      </c>
      <c r="E7292" s="237" t="str">
        <f>IFERROR(__xludf.DUMMYFUNCTION("""COMPUTED_VALUE"""),"LT0Q2C01YN5W1")</f>
        <v>LT0Q2C01YN5W1</v>
      </c>
      <c r="F7292" s="238" t="str">
        <f>IFERROR(__xludf.DUMMYFUNCTION("""COMPUTED_VALUE"""),"GGT7B46")</f>
        <v>GGT7B46</v>
      </c>
      <c r="G7292" s="238">
        <f>IFERROR(__xludf.DUMMYFUNCTION("""COMPUTED_VALUE"""),46065.02083333333)</f>
        <v>46065.02083</v>
      </c>
      <c r="H7292" s="238">
        <f>IFERROR(__xludf.DUMMYFUNCTION("""COMPUTED_VALUE"""),46065.10416666667)</f>
        <v>46065.10417</v>
      </c>
      <c r="J7292" s="239">
        <v>540.0</v>
      </c>
    </row>
    <row r="7293">
      <c r="A7293" s="234"/>
      <c r="B7293" s="238" t="str">
        <f>IFERROR(__xludf.DUMMYFUNCTION("""COMPUTED_VALUE"""),"SoC_MG_Betim")</f>
        <v>SoC_MG_Betim</v>
      </c>
      <c r="C7293" s="238" t="str">
        <f>IFERROR(__xludf.DUMMYFUNCTION("""COMPUTED_VALUE"""),"SOC-MG2")</f>
        <v>SOC-MG2</v>
      </c>
      <c r="D7293" s="234">
        <f>IFERROR(__xludf.DUMMYFUNCTION("""COMPUTED_VALUE"""),91.0)</f>
        <v>91</v>
      </c>
      <c r="E7293" s="237" t="str">
        <f>IFERROR(__xludf.DUMMYFUNCTION("""COMPUTED_VALUE"""),"LT0Q2B01YITJ5")</f>
        <v>LT0Q2B01YITJ5</v>
      </c>
      <c r="F7293" s="238" t="str">
        <f>IFERROR(__xludf.DUMMYFUNCTION("""COMPUTED_VALUE"""),"SVI6C80,FXE2B95")</f>
        <v>SVI6C80,FXE2B95</v>
      </c>
      <c r="G7293" s="238">
        <f>IFERROR(__xludf.DUMMYFUNCTION("""COMPUTED_VALUE"""),46064.75)</f>
        <v>46064.75</v>
      </c>
      <c r="H7293" s="238">
        <f>IFERROR(__xludf.DUMMYFUNCTION("""COMPUTED_VALUE"""),46065.125)</f>
        <v>46065.125</v>
      </c>
      <c r="J7293" s="239">
        <v>540.0</v>
      </c>
    </row>
    <row r="7294">
      <c r="A7294" s="234"/>
      <c r="B7294" s="238" t="str">
        <f>IFERROR(__xludf.DUMMYFUNCTION("""COMPUTED_VALUE"""),"SoC_GO_Goiânia_02")</f>
        <v>SoC_GO_Goiânia_02</v>
      </c>
      <c r="C7294" s="238" t="str">
        <f>IFERROR(__xludf.DUMMYFUNCTION("""COMPUTED_VALUE"""),"SOC-GO2")</f>
        <v>SOC-GO2</v>
      </c>
      <c r="D7294" s="234">
        <f>IFERROR(__xludf.DUMMYFUNCTION("""COMPUTED_VALUE"""),86.0)</f>
        <v>86</v>
      </c>
      <c r="E7294" s="237" t="str">
        <f>IFERROR(__xludf.DUMMYFUNCTION("""COMPUTED_VALUE"""),"LT0Q2B01YNQK3")</f>
        <v>LT0Q2B01YNQK3</v>
      </c>
      <c r="F7294" s="238" t="str">
        <f>IFERROR(__xludf.DUMMYFUNCTION("""COMPUTED_VALUE"""),"IZN6G87,EMT7G71")</f>
        <v>IZN6G87,EMT7G71</v>
      </c>
      <c r="G7294" s="238">
        <f>IFERROR(__xludf.DUMMYFUNCTION("""COMPUTED_VALUE"""),46064.79166666667)</f>
        <v>46064.79167</v>
      </c>
      <c r="H7294" s="238">
        <f>IFERROR(__xludf.DUMMYFUNCTION("""COMPUTED_VALUE"""),46065.16666666667)</f>
        <v>46065.16667</v>
      </c>
      <c r="J7294" s="239">
        <v>540.0</v>
      </c>
    </row>
    <row r="7295">
      <c r="A7295" s="234"/>
      <c r="B7295" s="238" t="str">
        <f>IFERROR(__xludf.DUMMYFUNCTION("""COMPUTED_VALUE"""),"SoC_MG_Betim")</f>
        <v>SoC_MG_Betim</v>
      </c>
      <c r="C7295" s="238" t="str">
        <f>IFERROR(__xludf.DUMMYFUNCTION("""COMPUTED_VALUE"""),"SOC-MG2")</f>
        <v>SOC-MG2</v>
      </c>
      <c r="D7295" s="234"/>
      <c r="E7295" s="237" t="str">
        <f>IFERROR(__xludf.DUMMYFUNCTION("""COMPUTED_VALUE"""),"LT1Q2B01YV5U1")</f>
        <v>LT1Q2B01YV5U1</v>
      </c>
      <c r="F7295" s="238" t="str">
        <f>IFERROR(__xludf.DUMMYFUNCTION("""COMPUTED_VALUE"""),"BCN8D83,EFU9D97")</f>
        <v>BCN8D83,EFU9D97</v>
      </c>
      <c r="G7295" s="238">
        <f>IFERROR(__xludf.DUMMYFUNCTION("""COMPUTED_VALUE"""),46064.79166666667)</f>
        <v>46064.79167</v>
      </c>
      <c r="H7295" s="238">
        <f>IFERROR(__xludf.DUMMYFUNCTION("""COMPUTED_VALUE"""),46065.16666666667)</f>
        <v>46065.16667</v>
      </c>
      <c r="J7295" s="239">
        <v>540.0</v>
      </c>
    </row>
    <row r="7296">
      <c r="A7296" s="234"/>
      <c r="B7296" s="238" t="str">
        <f>IFERROR(__xludf.DUMMYFUNCTION("""COMPUTED_VALUE"""),"SoC_SC_Itajaí")</f>
        <v>SoC_SC_Itajaí</v>
      </c>
      <c r="C7296" s="238" t="str">
        <f>IFERROR(__xludf.DUMMYFUNCTION("""COMPUTED_VALUE"""),"SOC-SC1")</f>
        <v>SOC-SC1</v>
      </c>
      <c r="D7296" s="234" t="str">
        <f>IFERROR(__xludf.DUMMYFUNCTION("""COMPUTED_VALUE"""),"100/110")</f>
        <v>100/110</v>
      </c>
      <c r="E7296" s="237" t="str">
        <f>IFERROR(__xludf.DUMMYFUNCTION("""COMPUTED_VALUE"""),"LT0Q2B01YMN61")</f>
        <v>LT0Q2B01YMN61</v>
      </c>
      <c r="F7296" s="238" t="str">
        <f>IFERROR(__xludf.DUMMYFUNCTION("""COMPUTED_VALUE"""),"FSH3A54,TPM2H63")</f>
        <v>FSH3A54,TPM2H63</v>
      </c>
      <c r="G7296" s="238">
        <f>IFERROR(__xludf.DUMMYFUNCTION("""COMPUTED_VALUE"""),46064.79166666667)</f>
        <v>46064.79167</v>
      </c>
      <c r="H7296" s="238">
        <f>IFERROR(__xludf.DUMMYFUNCTION("""COMPUTED_VALUE"""),46065.16666666667)</f>
        <v>46065.16667</v>
      </c>
      <c r="J7296" s="239">
        <v>540.0</v>
      </c>
    </row>
    <row r="7297">
      <c r="A7297" s="234"/>
      <c r="B7297" s="238" t="str">
        <f>IFERROR(__xludf.DUMMYFUNCTION("""COMPUTED_VALUE"""),"SoC_SP_Cravinhos")</f>
        <v>SoC_SP_Cravinhos</v>
      </c>
      <c r="C7297" s="238" t="str">
        <f>IFERROR(__xludf.DUMMYFUNCTION("""COMPUTED_VALUE"""),"SOC-SP5")</f>
        <v>SOC-SP5</v>
      </c>
      <c r="D7297" s="234">
        <f>IFERROR(__xludf.DUMMYFUNCTION("""COMPUTED_VALUE"""),94.0)</f>
        <v>94</v>
      </c>
      <c r="E7297" s="237" t="str">
        <f>IFERROR(__xludf.DUMMYFUNCTION("""COMPUTED_VALUE"""),"LT0Q2B01YIVD2")</f>
        <v>LT0Q2B01YIVD2</v>
      </c>
      <c r="F7297" s="238" t="str">
        <f>IFERROR(__xludf.DUMMYFUNCTION("""COMPUTED_VALUE"""),"EWJ2F50,EVO3C99")</f>
        <v>EWJ2F50,EVO3C99</v>
      </c>
      <c r="G7297" s="238">
        <f>IFERROR(__xludf.DUMMYFUNCTION("""COMPUTED_VALUE"""),46064.79166666667)</f>
        <v>46064.79167</v>
      </c>
      <c r="H7297" s="238">
        <f>IFERROR(__xludf.DUMMYFUNCTION("""COMPUTED_VALUE"""),46065.16666666667)</f>
        <v>46065.16667</v>
      </c>
      <c r="J7297" s="239">
        <v>120.00000001396984</v>
      </c>
    </row>
    <row r="7298">
      <c r="A7298" s="234"/>
      <c r="B7298" s="238" t="str">
        <f>IFERROR(__xludf.DUMMYFUNCTION("""COMPUTED_VALUE"""),"SoC_PE_Jaboatão dos Guararapes")</f>
        <v>SoC_PE_Jaboatão dos Guararapes</v>
      </c>
      <c r="C7298" s="238" t="str">
        <f>IFERROR(__xludf.DUMMYFUNCTION("""COMPUTED_VALUE"""),"SOC-PE2")</f>
        <v>SOC-PE2</v>
      </c>
      <c r="D7298" s="234"/>
      <c r="E7298" s="237" t="str">
        <f>IFERROR(__xludf.DUMMYFUNCTION("""COMPUTED_VALUE"""),"LT1Q2C01YV5G1")</f>
        <v>LT1Q2C01YV5G1</v>
      </c>
      <c r="F7298" s="238" t="str">
        <f>IFERROR(__xludf.DUMMYFUNCTION("""COMPUTED_VALUE"""),"CNI5D19,IMM4A27")</f>
        <v>CNI5D19,IMM4A27</v>
      </c>
      <c r="G7298" s="238">
        <f>IFERROR(__xludf.DUMMYFUNCTION("""COMPUTED_VALUE"""),46065.08333333333)</f>
        <v>46065.08333</v>
      </c>
      <c r="H7298" s="238">
        <f>IFERROR(__xludf.DUMMYFUNCTION("""COMPUTED_VALUE"""),46065.16666666667)</f>
        <v>46065.16667</v>
      </c>
      <c r="J7298" s="239">
        <v>120.00000001396984</v>
      </c>
    </row>
    <row r="7299">
      <c r="A7299" s="234"/>
      <c r="B7299" s="238" t="str">
        <f>IFERROR(__xludf.DUMMYFUNCTION("""COMPUTED_VALUE"""),"SoC_PR_Curitiba")</f>
        <v>SoC_PR_Curitiba</v>
      </c>
      <c r="C7299" s="238" t="str">
        <f>IFERROR(__xludf.DUMMYFUNCTION("""COMPUTED_VALUE"""),"SOC-PR1")</f>
        <v>SOC-PR1</v>
      </c>
      <c r="D7299" s="234"/>
      <c r="E7299" s="237" t="str">
        <f>IFERROR(__xludf.DUMMYFUNCTION("""COMPUTED_VALUE"""),"LT0Q2C01YIU71")</f>
        <v>LT0Q2C01YIU71</v>
      </c>
      <c r="F7299" s="238" t="str">
        <f>IFERROR(__xludf.DUMMYFUNCTION("""COMPUTED_VALUE"""),"MLL0J68,MEA5I23")</f>
        <v>MLL0J68,MEA5I23</v>
      </c>
      <c r="G7299" s="238">
        <f>IFERROR(__xludf.DUMMYFUNCTION("""COMPUTED_VALUE"""),46065.08333333333)</f>
        <v>46065.08333</v>
      </c>
      <c r="H7299" s="238">
        <f>IFERROR(__xludf.DUMMYFUNCTION("""COMPUTED_VALUE"""),46065.16666666667)</f>
        <v>46065.16667</v>
      </c>
      <c r="J7299" s="239">
        <v>119.00000001071021</v>
      </c>
    </row>
    <row r="7300">
      <c r="A7300" s="234"/>
      <c r="B7300" s="238" t="str">
        <f>IFERROR(__xludf.DUMMYFUNCTION("""COMPUTED_VALUE"""),"SoC_SP_Santana")</f>
        <v>SoC_SP_Santana</v>
      </c>
      <c r="C7300" s="238" t="str">
        <f>IFERROR(__xludf.DUMMYFUNCTION("""COMPUTED_VALUE"""),"SOC-SP2")</f>
        <v>SOC-SP2</v>
      </c>
      <c r="D7300" s="234">
        <f>IFERROR(__xludf.DUMMYFUNCTION("""COMPUTED_VALUE"""),36.0)</f>
        <v>36</v>
      </c>
      <c r="E7300" s="237" t="str">
        <f>IFERROR(__xludf.DUMMYFUNCTION("""COMPUTED_VALUE"""),"LT0Q2C01YJE91")</f>
        <v>LT0Q2C01YJE91</v>
      </c>
      <c r="F7300" s="238" t="str">
        <f>IFERROR(__xludf.DUMMYFUNCTION("""COMPUTED_VALUE"""),"FOT6A80,FTH9H90")</f>
        <v>FOT6A80,FTH9H90</v>
      </c>
      <c r="G7300" s="238">
        <f>IFERROR(__xludf.DUMMYFUNCTION("""COMPUTED_VALUE"""),46065.084027777775)</f>
        <v>46065.08403</v>
      </c>
      <c r="H7300" s="238">
        <f>IFERROR(__xludf.DUMMYFUNCTION("""COMPUTED_VALUE"""),46065.16666666667)</f>
        <v>46065.16667</v>
      </c>
      <c r="J7300" s="239">
        <v>119.99999999301508</v>
      </c>
    </row>
    <row r="7301">
      <c r="A7301" s="234"/>
      <c r="B7301" s="238" t="str">
        <f>IFERROR(__xludf.DUMMYFUNCTION("""COMPUTED_VALUE"""),"LM Hub_SP_Campinas_PqCidade")</f>
        <v>LM Hub_SP_Campinas_PqCidade</v>
      </c>
      <c r="C7301" s="238" t="str">
        <f>IFERROR(__xludf.DUMMYFUNCTION("""COMPUTED_VALUE"""),"HUB-LSP-105")</f>
        <v>HUB-LSP-105</v>
      </c>
      <c r="D7301" s="234">
        <f>IFERROR(__xludf.DUMMYFUNCTION("""COMPUTED_VALUE"""),112.0)</f>
        <v>112</v>
      </c>
      <c r="E7301" s="237" t="str">
        <f>IFERROR(__xludf.DUMMYFUNCTION("""COMPUTED_VALUE"""),"LT0Q2C01YPX41")</f>
        <v>LT0Q2C01YPX41</v>
      </c>
      <c r="F7301" s="238" t="str">
        <f>IFERROR(__xludf.DUMMYFUNCTION("""COMPUTED_VALUE"""),"GCJ6G71")</f>
        <v>GCJ6G71</v>
      </c>
      <c r="G7301" s="238">
        <f>IFERROR(__xludf.DUMMYFUNCTION("""COMPUTED_VALUE"""),46065.10416666667)</f>
        <v>46065.10417</v>
      </c>
      <c r="H7301" s="238">
        <f>IFERROR(__xludf.DUMMYFUNCTION("""COMPUTED_VALUE"""),46065.1875)</f>
        <v>46065.1875</v>
      </c>
      <c r="J7301" s="239">
        <v>119.99999999301508</v>
      </c>
    </row>
    <row r="7302">
      <c r="A7302" s="234"/>
      <c r="B7302" s="238" t="str">
        <f>IFERROR(__xludf.DUMMYFUNCTION("""COMPUTED_VALUE"""),"LM Hub_SP_Itapetininga")</f>
        <v>LM Hub_SP_Itapetininga</v>
      </c>
      <c r="C7302" s="238" t="str">
        <f>IFERROR(__xludf.DUMMYFUNCTION("""COMPUTED_VALUE"""),"HUB-LSP-53")</f>
        <v>HUB-LSP-53</v>
      </c>
      <c r="D7302" s="234">
        <f>IFERROR(__xludf.DUMMYFUNCTION("""COMPUTED_VALUE"""),32.0)</f>
        <v>32</v>
      </c>
      <c r="E7302" s="237" t="str">
        <f>IFERROR(__xludf.DUMMYFUNCTION("""COMPUTED_VALUE"""),"LT0Q2C01YIYH1")</f>
        <v>LT0Q2C01YIYH1</v>
      </c>
      <c r="F7302" s="238" t="str">
        <f>IFERROR(__xludf.DUMMYFUNCTION("""COMPUTED_VALUE"""),"FLO1G76")</f>
        <v>FLO1G76</v>
      </c>
      <c r="G7302" s="238">
        <f>IFERROR(__xludf.DUMMYFUNCTION("""COMPUTED_VALUE"""),46065.10416666667)</f>
        <v>46065.10417</v>
      </c>
      <c r="H7302" s="238">
        <f>IFERROR(__xludf.DUMMYFUNCTION("""COMPUTED_VALUE"""),46065.1875)</f>
        <v>46065.1875</v>
      </c>
      <c r="J7302" s="239">
        <v>119.99999999301508</v>
      </c>
    </row>
    <row r="7303">
      <c r="A7303" s="234"/>
      <c r="B7303" s="238" t="str">
        <f>IFERROR(__xludf.DUMMYFUNCTION("""COMPUTED_VALUE"""),"LM Hub_SP_São Carlos")</f>
        <v>LM Hub_SP_São Carlos</v>
      </c>
      <c r="C7303" s="238" t="str">
        <f>IFERROR(__xludf.DUMMYFUNCTION("""COMPUTED_VALUE"""),"HUB-LSP-31")</f>
        <v>HUB-LSP-31</v>
      </c>
      <c r="D7303" s="234">
        <f>IFERROR(__xludf.DUMMYFUNCTION("""COMPUTED_VALUE"""),29.0)</f>
        <v>29</v>
      </c>
      <c r="E7303" s="237" t="str">
        <f>IFERROR(__xludf.DUMMYFUNCTION("""COMPUTED_VALUE"""),"LT0Q2C01YJ0Y1")</f>
        <v>LT0Q2C01YJ0Y1</v>
      </c>
      <c r="F7303" s="238" t="str">
        <f>IFERROR(__xludf.DUMMYFUNCTION("""COMPUTED_VALUE"""),"EJW2D71")</f>
        <v>EJW2D71</v>
      </c>
      <c r="G7303" s="238">
        <f>IFERROR(__xludf.DUMMYFUNCTION("""COMPUTED_VALUE"""),46065.10416666667)</f>
        <v>46065.10417</v>
      </c>
      <c r="H7303" s="238">
        <f>IFERROR(__xludf.DUMMYFUNCTION("""COMPUTED_VALUE"""),46065.1875)</f>
        <v>46065.1875</v>
      </c>
      <c r="J7303" s="239">
        <v>419.99999998603016</v>
      </c>
    </row>
    <row r="7304">
      <c r="A7304" s="234"/>
      <c r="B7304" s="238" t="str">
        <f>IFERROR(__xludf.DUMMYFUNCTION("""COMPUTED_VALUE"""),"SoC_BA_Simoes Filho")</f>
        <v>SoC_BA_Simoes Filho</v>
      </c>
      <c r="C7304" s="238" t="str">
        <f>IFERROR(__xludf.DUMMYFUNCTION("""COMPUTED_VALUE"""),"SOC-BA2")</f>
        <v>SOC-BA2</v>
      </c>
      <c r="D7304" s="234">
        <f>IFERROR(__xludf.DUMMYFUNCTION("""COMPUTED_VALUE"""),88.0)</f>
        <v>88</v>
      </c>
      <c r="E7304" s="237" t="str">
        <f>IFERROR(__xludf.DUMMYFUNCTION("""COMPUTED_VALUE"""),"LT1Q2B01YUPK1")</f>
        <v>LT1Q2B01YUPK1</v>
      </c>
      <c r="F7304" s="238" t="str">
        <f>IFERROR(__xludf.DUMMYFUNCTION("""COMPUTED_VALUE"""),"GJT6G49,EZU1H05")</f>
        <v>GJT6G49,EZU1H05</v>
      </c>
      <c r="G7304" s="238">
        <f>IFERROR(__xludf.DUMMYFUNCTION("""COMPUTED_VALUE"""),46064.91666666667)</f>
        <v>46064.91667</v>
      </c>
      <c r="H7304" s="238">
        <f>IFERROR(__xludf.DUMMYFUNCTION("""COMPUTED_VALUE"""),46065.20833333333)</f>
        <v>46065.20833</v>
      </c>
      <c r="J7304" s="239">
        <v>419.99999998603016</v>
      </c>
    </row>
    <row r="7305">
      <c r="A7305" s="234"/>
      <c r="B7305" s="238" t="str">
        <f>IFERROR(__xludf.DUMMYFUNCTION("""COMPUTED_VALUE"""),"SoC_PR_Curitiba")</f>
        <v>SoC_PR_Curitiba</v>
      </c>
      <c r="C7305" s="238" t="str">
        <f>IFERROR(__xludf.DUMMYFUNCTION("""COMPUTED_VALUE"""),"SOC-PR1")</f>
        <v>SOC-PR1</v>
      </c>
      <c r="D7305" s="234">
        <f>IFERROR(__xludf.DUMMYFUNCTION("""COMPUTED_VALUE"""),41.0)</f>
        <v>41</v>
      </c>
      <c r="E7305" s="237" t="str">
        <f>IFERROR(__xludf.DUMMYFUNCTION("""COMPUTED_VALUE"""),"LT1Q2B01YUPH1")</f>
        <v>LT1Q2B01YUPH1</v>
      </c>
      <c r="F7305" s="238" t="str">
        <f>IFERROR(__xludf.DUMMYFUNCTION("""COMPUTED_VALUE"""),"TAP7G03,UBF0J65")</f>
        <v>TAP7G03,UBF0J65</v>
      </c>
      <c r="G7305" s="238">
        <f>IFERROR(__xludf.DUMMYFUNCTION("""COMPUTED_VALUE"""),46064.91666666667)</f>
        <v>46064.91667</v>
      </c>
      <c r="H7305" s="238">
        <f>IFERROR(__xludf.DUMMYFUNCTION("""COMPUTED_VALUE"""),46065.20833333333)</f>
        <v>46065.20833</v>
      </c>
      <c r="J7305" s="239">
        <v>360.0</v>
      </c>
    </row>
    <row r="7306">
      <c r="A7306" s="234"/>
      <c r="B7306" s="238" t="str">
        <f>IFERROR(__xludf.DUMMYFUNCTION("""COMPUTED_VALUE"""),"SoC_PE_Jaboatão dos Guararapes")</f>
        <v>SoC_PE_Jaboatão dos Guararapes</v>
      </c>
      <c r="C7306" s="238" t="str">
        <f>IFERROR(__xludf.DUMMYFUNCTION("""COMPUTED_VALUE"""),"SOC-PE2")</f>
        <v>SOC-PE2</v>
      </c>
      <c r="D7306" s="234">
        <f>IFERROR(__xludf.DUMMYFUNCTION("""COMPUTED_VALUE"""),99.0)</f>
        <v>99</v>
      </c>
      <c r="E7306" s="237" t="str">
        <f>IFERROR(__xludf.DUMMYFUNCTION("""COMPUTED_VALUE"""),"LT1Q2B01YV4L1")</f>
        <v>LT1Q2B01YV4L1</v>
      </c>
      <c r="F7306" s="238" t="str">
        <f>IFERROR(__xludf.DUMMYFUNCTION("""COMPUTED_VALUE"""),"IRP6529,DBL9E82")</f>
        <v>IRP6529,DBL9E82</v>
      </c>
      <c r="G7306" s="238">
        <f>IFERROR(__xludf.DUMMYFUNCTION("""COMPUTED_VALUE"""),46064.95833333333)</f>
        <v>46064.95833</v>
      </c>
      <c r="H7306" s="238">
        <f>IFERROR(__xludf.DUMMYFUNCTION("""COMPUTED_VALUE"""),46065.20833333333)</f>
        <v>46065.20833</v>
      </c>
      <c r="J7306" s="239">
        <v>360.0</v>
      </c>
    </row>
    <row r="7307">
      <c r="A7307" s="234"/>
      <c r="B7307" s="238" t="str">
        <f>IFERROR(__xludf.DUMMYFUNCTION("""COMPUTED_VALUE"""),"SoC_PR_Curitiba")</f>
        <v>SoC_PR_Curitiba</v>
      </c>
      <c r="C7307" s="238" t="str">
        <f>IFERROR(__xludf.DUMMYFUNCTION("""COMPUTED_VALUE"""),"SOC-PR1")</f>
        <v>SOC-PR1</v>
      </c>
      <c r="D7307" s="234">
        <f>IFERROR(__xludf.DUMMYFUNCTION("""COMPUTED_VALUE"""),42.0)</f>
        <v>42</v>
      </c>
      <c r="E7307" s="237" t="str">
        <f>IFERROR(__xludf.DUMMYFUNCTION("""COMPUTED_VALUE"""),"LT1Q2B01YUPI1")</f>
        <v>LT1Q2B01YUPI1</v>
      </c>
      <c r="F7307" s="238" t="str">
        <f>IFERROR(__xludf.DUMMYFUNCTION("""COMPUTED_VALUE"""),"SXP3I83,SXP3F63")</f>
        <v>SXP3I83,SXP3F63</v>
      </c>
      <c r="G7307" s="238">
        <f>IFERROR(__xludf.DUMMYFUNCTION("""COMPUTED_VALUE"""),46064.95833333333)</f>
        <v>46064.95833</v>
      </c>
      <c r="H7307" s="238">
        <f>IFERROR(__xludf.DUMMYFUNCTION("""COMPUTED_VALUE"""),46065.20833333333)</f>
        <v>46065.20833</v>
      </c>
      <c r="J7307" s="239">
        <v>360.0</v>
      </c>
    </row>
    <row r="7308">
      <c r="A7308" s="234"/>
      <c r="B7308" s="238" t="str">
        <f>IFERROR(__xludf.DUMMYFUNCTION("""COMPUTED_VALUE"""),"SoC_SP_Louveira")</f>
        <v>SoC_SP_Louveira</v>
      </c>
      <c r="C7308" s="238" t="str">
        <f>IFERROR(__xludf.DUMMYFUNCTION("""COMPUTED_VALUE"""),"SOC-SP7")</f>
        <v>SOC-SP7</v>
      </c>
      <c r="D7308" s="234">
        <f>IFERROR(__xludf.DUMMYFUNCTION("""COMPUTED_VALUE"""),39.0)</f>
        <v>39</v>
      </c>
      <c r="E7308" s="237" t="str">
        <f>IFERROR(__xludf.DUMMYFUNCTION("""COMPUTED_VALUE"""),"LT1Q2B01YUPC1")</f>
        <v>LT1Q2B01YUPC1</v>
      </c>
      <c r="F7308" s="238" t="str">
        <f>IFERROR(__xludf.DUMMYFUNCTION("""COMPUTED_VALUE"""),"QQO8H42,EZL9D42")</f>
        <v>QQO8H42,EZL9D42</v>
      </c>
      <c r="G7308" s="238">
        <f>IFERROR(__xludf.DUMMYFUNCTION("""COMPUTED_VALUE"""),46064.95833333333)</f>
        <v>46064.95833</v>
      </c>
      <c r="H7308" s="238">
        <f>IFERROR(__xludf.DUMMYFUNCTION("""COMPUTED_VALUE"""),46065.20833333333)</f>
        <v>46065.20833</v>
      </c>
      <c r="J7308" s="239">
        <v>119.99999999301508</v>
      </c>
    </row>
    <row r="7309">
      <c r="A7309" s="234"/>
      <c r="B7309" s="238" t="str">
        <f>IFERROR(__xludf.DUMMYFUNCTION("""COMPUTED_VALUE"""),"LM Hub_SP_Itapeva")</f>
        <v>LM Hub_SP_Itapeva</v>
      </c>
      <c r="C7309" s="238" t="str">
        <f>IFERROR(__xludf.DUMMYFUNCTION("""COMPUTED_VALUE"""),"HUB-LSP-39")</f>
        <v>HUB-LSP-39</v>
      </c>
      <c r="D7309" s="234">
        <f>IFERROR(__xludf.DUMMYFUNCTION("""COMPUTED_VALUE"""),34.0)</f>
        <v>34</v>
      </c>
      <c r="E7309" s="237" t="str">
        <f>IFERROR(__xludf.DUMMYFUNCTION("""COMPUTED_VALUE"""),"LT0Q2C01YIYU1")</f>
        <v>LT0Q2C01YIYU1</v>
      </c>
      <c r="F7309" s="238" t="str">
        <f>IFERROR(__xludf.DUMMYFUNCTION("""COMPUTED_VALUE"""),"FCT0F31")</f>
        <v>FCT0F31</v>
      </c>
      <c r="G7309" s="238">
        <f>IFERROR(__xludf.DUMMYFUNCTION("""COMPUTED_VALUE"""),46065.125)</f>
        <v>46065.125</v>
      </c>
      <c r="H7309" s="238">
        <f>IFERROR(__xludf.DUMMYFUNCTION("""COMPUTED_VALUE"""),46065.20833333333)</f>
        <v>46065.20833</v>
      </c>
      <c r="J7309" s="239">
        <v>119.99999999301508</v>
      </c>
    </row>
    <row r="7310">
      <c r="A7310" s="234"/>
      <c r="B7310" s="238" t="str">
        <f>IFERROR(__xludf.DUMMYFUNCTION("""COMPUTED_VALUE"""),"LM Hub_SP_Limeira_Campo Belo")</f>
        <v>LM Hub_SP_Limeira_Campo Belo</v>
      </c>
      <c r="C7310" s="238" t="str">
        <f>IFERROR(__xludf.DUMMYFUNCTION("""COMPUTED_VALUE"""),"HUB-LSP-24")</f>
        <v>HUB-LSP-24</v>
      </c>
      <c r="D7310" s="234">
        <f>IFERROR(__xludf.DUMMYFUNCTION("""COMPUTED_VALUE"""),33.0)</f>
        <v>33</v>
      </c>
      <c r="E7310" s="237" t="str">
        <f>IFERROR(__xludf.DUMMYFUNCTION("""COMPUTED_VALUE"""),"LT0Q2C01YJ0F1")</f>
        <v>LT0Q2C01YJ0F1</v>
      </c>
      <c r="F7310" s="238" t="str">
        <f>IFERROR(__xludf.DUMMYFUNCTION("""COMPUTED_VALUE"""),"GFT5J70,GBH5G53")</f>
        <v>GFT5J70,GBH5G53</v>
      </c>
      <c r="G7310" s="238">
        <f>IFERROR(__xludf.DUMMYFUNCTION("""COMPUTED_VALUE"""),46065.125)</f>
        <v>46065.125</v>
      </c>
      <c r="H7310" s="238">
        <f>IFERROR(__xludf.DUMMYFUNCTION("""COMPUTED_VALUE"""),46065.20833333333)</f>
        <v>46065.20833</v>
      </c>
      <c r="J7310" s="239">
        <v>119.99999999301508</v>
      </c>
    </row>
    <row r="7311">
      <c r="A7311" s="234"/>
      <c r="B7311" s="238" t="str">
        <f>IFERROR(__xludf.DUMMYFUNCTION("""COMPUTED_VALUE"""),"LM Hub_SP_Sumaré_Nova Veneza_1")</f>
        <v>LM Hub_SP_Sumaré_Nova Veneza_1</v>
      </c>
      <c r="C7311" s="238" t="str">
        <f>IFERROR(__xludf.DUMMYFUNCTION("""COMPUTED_VALUE"""),"HUB-LSP-88")</f>
        <v>HUB-LSP-88</v>
      </c>
      <c r="D7311" s="234">
        <f>IFERROR(__xludf.DUMMYFUNCTION("""COMPUTED_VALUE"""),28.0)</f>
        <v>28</v>
      </c>
      <c r="E7311" s="237" t="str">
        <f>IFERROR(__xludf.DUMMYFUNCTION("""COMPUTED_VALUE"""),"LT0Q2C01YN1P1")</f>
        <v>LT0Q2C01YN1P1</v>
      </c>
      <c r="F7311" s="238" t="str">
        <f>IFERROR(__xludf.DUMMYFUNCTION("""COMPUTED_VALUE"""),"DCU8E76,FMR2224")</f>
        <v>DCU8E76,FMR2224</v>
      </c>
      <c r="G7311" s="238">
        <f>IFERROR(__xludf.DUMMYFUNCTION("""COMPUTED_VALUE"""),46065.125)</f>
        <v>46065.125</v>
      </c>
      <c r="H7311" s="238">
        <f>IFERROR(__xludf.DUMMYFUNCTION("""COMPUTED_VALUE"""),46065.20833333333)</f>
        <v>46065.20833</v>
      </c>
      <c r="J7311" s="239">
        <v>118.99999998975545</v>
      </c>
    </row>
    <row r="7312">
      <c r="A7312" s="234"/>
      <c r="B7312" s="238" t="str">
        <f>IFERROR(__xludf.DUMMYFUNCTION("""COMPUTED_VALUE"""),"SoC_SP_Guarulhos")</f>
        <v>SoC_SP_Guarulhos</v>
      </c>
      <c r="C7312" s="238" t="str">
        <f>IFERROR(__xludf.DUMMYFUNCTION("""COMPUTED_VALUE"""),"SOC-SP6")</f>
        <v>SOC-SP6</v>
      </c>
      <c r="D7312" s="234">
        <f>IFERROR(__xludf.DUMMYFUNCTION("""COMPUTED_VALUE"""),38.0)</f>
        <v>38</v>
      </c>
      <c r="E7312" s="237" t="str">
        <f>IFERROR(__xludf.DUMMYFUNCTION("""COMPUTED_VALUE"""),"LT0Q2C01YJTN1")</f>
        <v>LT0Q2C01YJTN1</v>
      </c>
      <c r="F7312" s="238" t="str">
        <f>IFERROR(__xludf.DUMMYFUNCTION("""COMPUTED_VALUE"""),"IZQ5I76,AVB1G48")</f>
        <v>IZQ5I76,AVB1G48</v>
      </c>
      <c r="G7312" s="238">
        <f>IFERROR(__xludf.DUMMYFUNCTION("""COMPUTED_VALUE"""),46065.12569444445)</f>
        <v>46065.12569</v>
      </c>
      <c r="H7312" s="238">
        <f>IFERROR(__xludf.DUMMYFUNCTION("""COMPUTED_VALUE"""),46065.20833333333)</f>
        <v>46065.20833</v>
      </c>
      <c r="J7312" s="239">
        <v>120.00000001396984</v>
      </c>
    </row>
    <row r="7313">
      <c r="A7313" s="234"/>
      <c r="B7313" s="238" t="str">
        <f>IFERROR(__xludf.DUMMYFUNCTION("""COMPUTED_VALUE"""),"LM Hub_SP_Mogi Mirim")</f>
        <v>LM Hub_SP_Mogi Mirim</v>
      </c>
      <c r="C7313" s="238" t="str">
        <f>IFERROR(__xludf.DUMMYFUNCTION("""COMPUTED_VALUE"""),"HUB-LSP-37")</f>
        <v>HUB-LSP-37</v>
      </c>
      <c r="D7313" s="234">
        <f>IFERROR(__xludf.DUMMYFUNCTION("""COMPUTED_VALUE"""),26.0)</f>
        <v>26</v>
      </c>
      <c r="E7313" s="237" t="str">
        <f>IFERROR(__xludf.DUMMYFUNCTION("""COMPUTED_VALUE"""),"LT0Q2C01YJ1A1")</f>
        <v>LT0Q2C01YJ1A1</v>
      </c>
      <c r="F7313" s="238" t="str">
        <f>IFERROR(__xludf.DUMMYFUNCTION("""COMPUTED_VALUE"""),"GHB5H18,FZB6G45")</f>
        <v>GHB5H18,FZB6G45</v>
      </c>
      <c r="G7313" s="238">
        <f>IFERROR(__xludf.DUMMYFUNCTION("""COMPUTED_VALUE"""),46065.14583333333)</f>
        <v>46065.14583</v>
      </c>
      <c r="H7313" s="238">
        <f>IFERROR(__xludf.DUMMYFUNCTION("""COMPUTED_VALUE"""),46065.22916666667)</f>
        <v>46065.22917</v>
      </c>
      <c r="J7313" s="239">
        <v>120.00000001396984</v>
      </c>
    </row>
    <row r="7314">
      <c r="A7314" s="234"/>
      <c r="B7314" s="238" t="str">
        <f>IFERROR(__xludf.DUMMYFUNCTION("""COMPUTED_VALUE"""),"LM Hub_SP_Jurubatuba")</f>
        <v>LM Hub_SP_Jurubatuba</v>
      </c>
      <c r="C7314" s="238" t="str">
        <f>IFERROR(__xludf.DUMMYFUNCTION("""COMPUTED_VALUE"""),"HUB-LSP-16")</f>
        <v>HUB-LSP-16</v>
      </c>
      <c r="D7314" s="234">
        <f>IFERROR(__xludf.DUMMYFUNCTION("""COMPUTED_VALUE"""),24.0)</f>
        <v>24</v>
      </c>
      <c r="E7314" s="237" t="str">
        <f>IFERROR(__xludf.DUMMYFUNCTION("""COMPUTED_VALUE"""),"LT1Q2C01YVNH1")</f>
        <v>LT1Q2C01YVNH1</v>
      </c>
      <c r="F7314" s="238" t="str">
        <f>IFERROR(__xludf.DUMMYFUNCTION("""COMPUTED_VALUE"""),"EFY1G61,CUG9G47")</f>
        <v>EFY1G61,CUG9G47</v>
      </c>
      <c r="G7314" s="238">
        <f>IFERROR(__xludf.DUMMYFUNCTION("""COMPUTED_VALUE"""),46065.14583333333)</f>
        <v>46065.14583</v>
      </c>
      <c r="H7314" s="238">
        <f>IFERROR(__xludf.DUMMYFUNCTION("""COMPUTED_VALUE"""),46065.22916666667)</f>
        <v>46065.22917</v>
      </c>
      <c r="J7314" s="239">
        <v>119.99999999301508</v>
      </c>
    </row>
    <row r="7315">
      <c r="A7315" s="234"/>
      <c r="B7315" s="238" t="str">
        <f>IFERROR(__xludf.DUMMYFUNCTION("""COMPUTED_VALUE"""),"LM Hub_SP_Guaratinguetá")</f>
        <v>LM Hub_SP_Guaratinguetá</v>
      </c>
      <c r="C7315" s="238" t="str">
        <f>IFERROR(__xludf.DUMMYFUNCTION("""COMPUTED_VALUE"""),"HUB-LSP-33")</f>
        <v>HUB-LSP-33</v>
      </c>
      <c r="D7315" s="234">
        <f>IFERROR(__xludf.DUMMYFUNCTION("""COMPUTED_VALUE"""),15.0)</f>
        <v>15</v>
      </c>
      <c r="E7315" s="237" t="str">
        <f>IFERROR(__xludf.DUMMYFUNCTION("""COMPUTED_VALUE"""),"LT0Q2C01YIZC1")</f>
        <v>LT0Q2C01YIZC1</v>
      </c>
      <c r="F7315" s="238" t="str">
        <f>IFERROR(__xludf.DUMMYFUNCTION("""COMPUTED_VALUE"""),"SWQ6D05,SWG3J97")</f>
        <v>SWQ6D05,SWG3J97</v>
      </c>
      <c r="G7315" s="238">
        <f>IFERROR(__xludf.DUMMYFUNCTION("""COMPUTED_VALUE"""),46065.16666666667)</f>
        <v>46065.16667</v>
      </c>
      <c r="H7315" s="238">
        <f>IFERROR(__xludf.DUMMYFUNCTION("""COMPUTED_VALUE"""),46065.25)</f>
        <v>46065.25</v>
      </c>
      <c r="J7315" s="239">
        <v>119.99999999301508</v>
      </c>
    </row>
    <row r="7316">
      <c r="A7316" s="234"/>
      <c r="B7316" s="238" t="str">
        <f>IFERROR(__xludf.DUMMYFUNCTION("""COMPUTED_VALUE"""),"LM Hub_SP_Registro")</f>
        <v>LM Hub_SP_Registro</v>
      </c>
      <c r="C7316" s="238" t="str">
        <f>IFERROR(__xludf.DUMMYFUNCTION("""COMPUTED_VALUE"""),"HUB-LSP-40")</f>
        <v>HUB-LSP-40</v>
      </c>
      <c r="D7316" s="234">
        <f>IFERROR(__xludf.DUMMYFUNCTION("""COMPUTED_VALUE"""),36.0)</f>
        <v>36</v>
      </c>
      <c r="E7316" s="237" t="str">
        <f>IFERROR(__xludf.DUMMYFUNCTION("""COMPUTED_VALUE"""),"LT0Q2C01YPPB1")</f>
        <v>LT0Q2C01YPPB1</v>
      </c>
      <c r="F7316" s="238" t="str">
        <f>IFERROR(__xludf.DUMMYFUNCTION("""COMPUTED_VALUE"""),"MMD1A87")</f>
        <v>MMD1A87</v>
      </c>
      <c r="G7316" s="238">
        <f>IFERROR(__xludf.DUMMYFUNCTION("""COMPUTED_VALUE"""),46065.16666666667)</f>
        <v>46065.16667</v>
      </c>
      <c r="H7316" s="238">
        <f>IFERROR(__xludf.DUMMYFUNCTION("""COMPUTED_VALUE"""),46065.25)</f>
        <v>46065.25</v>
      </c>
      <c r="J7316" s="239">
        <v>119.99999999301508</v>
      </c>
    </row>
    <row r="7317">
      <c r="A7317" s="234"/>
      <c r="B7317" s="238" t="str">
        <f>IFERROR(__xludf.DUMMYFUNCTION("""COMPUTED_VALUE"""),"LM Hub_SP_São José dos Campos")</f>
        <v>LM Hub_SP_São José dos Campos</v>
      </c>
      <c r="C7317" s="238" t="str">
        <f>IFERROR(__xludf.DUMMYFUNCTION("""COMPUTED_VALUE"""),"HUB-LSP-04")</f>
        <v>HUB-LSP-04</v>
      </c>
      <c r="D7317" s="234">
        <f>IFERROR(__xludf.DUMMYFUNCTION("""COMPUTED_VALUE"""),17.0)</f>
        <v>17</v>
      </c>
      <c r="E7317" s="237" t="str">
        <f>IFERROR(__xludf.DUMMYFUNCTION("""COMPUTED_VALUE"""),"LT0Q2C01YK141")</f>
        <v>LT0Q2C01YK141</v>
      </c>
      <c r="F7317" s="238" t="str">
        <f>IFERROR(__xludf.DUMMYFUNCTION("""COMPUTED_VALUE"""),"TBX6D09")</f>
        <v>TBX6D09</v>
      </c>
      <c r="G7317" s="238">
        <f>IFERROR(__xludf.DUMMYFUNCTION("""COMPUTED_VALUE"""),46065.16666666667)</f>
        <v>46065.16667</v>
      </c>
      <c r="H7317" s="238">
        <f>IFERROR(__xludf.DUMMYFUNCTION("""COMPUTED_VALUE"""),46065.25)</f>
        <v>46065.25</v>
      </c>
      <c r="J7317" s="239">
        <v>119.99999999301508</v>
      </c>
    </row>
    <row r="7318">
      <c r="A7318" s="234"/>
      <c r="B7318" s="238" t="str">
        <f>IFERROR(__xludf.DUMMYFUNCTION("""COMPUTED_VALUE"""),"SoC_PE_Jaboatão dos Guararapes")</f>
        <v>SoC_PE_Jaboatão dos Guararapes</v>
      </c>
      <c r="C7318" s="238" t="str">
        <f>IFERROR(__xludf.DUMMYFUNCTION("""COMPUTED_VALUE"""),"SOC-PE2")</f>
        <v>SOC-PE2</v>
      </c>
      <c r="D7318" s="234"/>
      <c r="E7318" s="237" t="str">
        <f>IFERROR(__xludf.DUMMYFUNCTION("""COMPUTED_VALUE"""),"LT1Q2C01YV5S1")</f>
        <v>LT1Q2C01YV5S1</v>
      </c>
      <c r="F7318" s="238" t="str">
        <f>IFERROR(__xludf.DUMMYFUNCTION("""COMPUTED_VALUE"""),"FHT6I13,EJV1G80")</f>
        <v>FHT6I13,EJV1G80</v>
      </c>
      <c r="G7318" s="238">
        <f>IFERROR(__xludf.DUMMYFUNCTION("""COMPUTED_VALUE"""),46065.16666666667)</f>
        <v>46065.16667</v>
      </c>
      <c r="H7318" s="238">
        <f>IFERROR(__xludf.DUMMYFUNCTION("""COMPUTED_VALUE"""),46065.25)</f>
        <v>46065.25</v>
      </c>
      <c r="J7318" s="239">
        <v>119.99999999301508</v>
      </c>
    </row>
    <row r="7319">
      <c r="A7319" s="234"/>
      <c r="B7319" s="238" t="str">
        <f>IFERROR(__xludf.DUMMYFUNCTION("""COMPUTED_VALUE"""),"SoC_PR_Curitiba")</f>
        <v>SoC_PR_Curitiba</v>
      </c>
      <c r="C7319" s="238" t="str">
        <f>IFERROR(__xludf.DUMMYFUNCTION("""COMPUTED_VALUE"""),"SOC-PR1")</f>
        <v>SOC-PR1</v>
      </c>
      <c r="D7319" s="234">
        <f>IFERROR(__xludf.DUMMYFUNCTION("""COMPUTED_VALUE"""),41.0)</f>
        <v>41</v>
      </c>
      <c r="E7319" s="237" t="str">
        <f>IFERROR(__xludf.DUMMYFUNCTION("""COMPUTED_VALUE"""),"LT0Q2C01YIUE1")</f>
        <v>LT0Q2C01YIUE1</v>
      </c>
      <c r="F7319" s="238" t="str">
        <f>IFERROR(__xludf.DUMMYFUNCTION("""COMPUTED_VALUE"""),"MLL0J68,MEA5I23")</f>
        <v>MLL0J68,MEA5I23</v>
      </c>
      <c r="G7319" s="238">
        <f>IFERROR(__xludf.DUMMYFUNCTION("""COMPUTED_VALUE"""),46065.16666666667)</f>
        <v>46065.16667</v>
      </c>
      <c r="H7319" s="238">
        <f>IFERROR(__xludf.DUMMYFUNCTION("""COMPUTED_VALUE"""),46065.25)</f>
        <v>46065.25</v>
      </c>
      <c r="J7319" s="239">
        <v>119.99999999301508</v>
      </c>
    </row>
    <row r="7320">
      <c r="A7320" s="234"/>
      <c r="B7320" s="238" t="str">
        <f>IFERROR(__xludf.DUMMYFUNCTION("""COMPUTED_VALUE"""),"LM Hub_SP_Atibaia_Ponte_Alta")</f>
        <v>LM Hub_SP_Atibaia_Ponte_Alta</v>
      </c>
      <c r="C7320" s="238" t="str">
        <f>IFERROR(__xludf.DUMMYFUNCTION("""COMPUTED_VALUE"""),"HUB-LSP-87")</f>
        <v>HUB-LSP-87</v>
      </c>
      <c r="D7320" s="234">
        <f>IFERROR(__xludf.DUMMYFUNCTION("""COMPUTED_VALUE"""),25.0)</f>
        <v>25</v>
      </c>
      <c r="E7320" s="237" t="str">
        <f>IFERROR(__xludf.DUMMYFUNCTION("""COMPUTED_VALUE"""),"LT0Q2C01YM2B1")</f>
        <v>LT0Q2C01YM2B1</v>
      </c>
      <c r="F7320" s="238" t="str">
        <f>IFERROR(__xludf.DUMMYFUNCTION("""COMPUTED_VALUE"""),"SIE0F31")</f>
        <v>SIE0F31</v>
      </c>
      <c r="G7320" s="238">
        <f>IFERROR(__xludf.DUMMYFUNCTION("""COMPUTED_VALUE"""),46065.1875)</f>
        <v>46065.1875</v>
      </c>
      <c r="H7320" s="238">
        <f>IFERROR(__xludf.DUMMYFUNCTION("""COMPUTED_VALUE"""),46065.27083333333)</f>
        <v>46065.27083</v>
      </c>
      <c r="J7320" s="239">
        <v>119.99999999301508</v>
      </c>
    </row>
    <row r="7321">
      <c r="A7321" s="234"/>
      <c r="B7321" s="238" t="str">
        <f>IFERROR(__xludf.DUMMYFUNCTION("""COMPUTED_VALUE"""),"LM Hub_SP_Taubaté")</f>
        <v>LM Hub_SP_Taubaté</v>
      </c>
      <c r="C7321" s="238" t="str">
        <f>IFERROR(__xludf.DUMMYFUNCTION("""COMPUTED_VALUE"""),"HUB-LSP-08")</f>
        <v>HUB-LSP-08</v>
      </c>
      <c r="D7321" s="234">
        <f>IFERROR(__xludf.DUMMYFUNCTION("""COMPUTED_VALUE"""),35.0)</f>
        <v>35</v>
      </c>
      <c r="E7321" s="237" t="str">
        <f>IFERROR(__xludf.DUMMYFUNCTION("""COMPUTED_VALUE"""),"LT0Q2C01YIZN1")</f>
        <v>LT0Q2C01YIZN1</v>
      </c>
      <c r="F7321" s="238" t="str">
        <f>IFERROR(__xludf.DUMMYFUNCTION("""COMPUTED_VALUE"""),"FQS1E78")</f>
        <v>FQS1E78</v>
      </c>
      <c r="G7321" s="238">
        <f>IFERROR(__xludf.DUMMYFUNCTION("""COMPUTED_VALUE"""),46065.1875)</f>
        <v>46065.1875</v>
      </c>
      <c r="H7321" s="238">
        <f>IFERROR(__xludf.DUMMYFUNCTION("""COMPUTED_VALUE"""),46065.27083333333)</f>
        <v>46065.27083</v>
      </c>
      <c r="J7321" s="239">
        <v>118.99999998975545</v>
      </c>
    </row>
    <row r="7322">
      <c r="A7322" s="234"/>
      <c r="B7322" s="238" t="str">
        <f>IFERROR(__xludf.DUMMYFUNCTION("""COMPUTED_VALUE"""),"LM Hub_SP_Sorocaba_Região Norte")</f>
        <v>LM Hub_SP_Sorocaba_Região Norte</v>
      </c>
      <c r="C7322" s="238" t="str">
        <f>IFERROR(__xludf.DUMMYFUNCTION("""COMPUTED_VALUE"""),"HUB-LSP-10")</f>
        <v>HUB-LSP-10</v>
      </c>
      <c r="D7322" s="234">
        <f>IFERROR(__xludf.DUMMYFUNCTION("""COMPUTED_VALUE"""),27.0)</f>
        <v>27</v>
      </c>
      <c r="E7322" s="237" t="str">
        <f>IFERROR(__xludf.DUMMYFUNCTION("""COMPUTED_VALUE"""),"LT0Q2C01YJ031")</f>
        <v>LT0Q2C01YJ031</v>
      </c>
      <c r="F7322" s="238" t="str">
        <f>IFERROR(__xludf.DUMMYFUNCTION("""COMPUTED_VALUE"""),"UAX1H38,UGQ4G38")</f>
        <v>UAX1H38,UGQ4G38</v>
      </c>
      <c r="G7322" s="238">
        <f>IFERROR(__xludf.DUMMYFUNCTION("""COMPUTED_VALUE"""),46065.18819444445)</f>
        <v>46065.18819</v>
      </c>
      <c r="H7322" s="238">
        <f>IFERROR(__xludf.DUMMYFUNCTION("""COMPUTED_VALUE"""),46065.27083333333)</f>
        <v>46065.27083</v>
      </c>
      <c r="J7322" s="239">
        <v>120.00000001396984</v>
      </c>
    </row>
    <row r="7323">
      <c r="A7323" s="234"/>
      <c r="B7323" s="238" t="str">
        <f>IFERROR(__xludf.DUMMYFUNCTION("""COMPUTED_VALUE"""),"LM Hub_SP_Jundiaí")</f>
        <v>LM Hub_SP_Jundiaí</v>
      </c>
      <c r="C7323" s="238" t="str">
        <f>IFERROR(__xludf.DUMMYFUNCTION("""COMPUTED_VALUE"""),"HUB-LSP-100")</f>
        <v>HUB-LSP-100</v>
      </c>
      <c r="D7323" s="234">
        <f>IFERROR(__xludf.DUMMYFUNCTION("""COMPUTED_VALUE"""),13.0)</f>
        <v>13</v>
      </c>
      <c r="E7323" s="237" t="str">
        <f>IFERROR(__xludf.DUMMYFUNCTION("""COMPUTED_VALUE"""),"LT0Q2C01YOGS1")</f>
        <v>LT0Q2C01YOGS1</v>
      </c>
      <c r="F7323" s="238" t="str">
        <f>IFERROR(__xludf.DUMMYFUNCTION("""COMPUTED_VALUE"""),"PWK2A99,FQY3B32")</f>
        <v>PWK2A99,FQY3B32</v>
      </c>
      <c r="G7323" s="238">
        <f>IFERROR(__xludf.DUMMYFUNCTION("""COMPUTED_VALUE"""),46065.20833333333)</f>
        <v>46065.20833</v>
      </c>
      <c r="H7323" s="238">
        <f>IFERROR(__xludf.DUMMYFUNCTION("""COMPUTED_VALUE"""),46065.29166666667)</f>
        <v>46065.29167</v>
      </c>
      <c r="J7323" s="239">
        <v>539.0000000072177</v>
      </c>
    </row>
    <row r="7324">
      <c r="A7324" s="234"/>
      <c r="B7324" s="238" t="str">
        <f>IFERROR(__xludf.DUMMYFUNCTION("""COMPUTED_VALUE"""),"SoC_BA_Simoes Filho")</f>
        <v>SoC_BA_Simoes Filho</v>
      </c>
      <c r="C7324" s="238" t="str">
        <f>IFERROR(__xludf.DUMMYFUNCTION("""COMPUTED_VALUE"""),"SOC-BA2")</f>
        <v>SOC-BA2</v>
      </c>
      <c r="D7324" s="234">
        <f>IFERROR(__xludf.DUMMYFUNCTION("""COMPUTED_VALUE"""),87.0)</f>
        <v>87</v>
      </c>
      <c r="E7324" s="237" t="str">
        <f>IFERROR(__xludf.DUMMYFUNCTION("""COMPUTED_VALUE"""),"LT0Q2B01YNGH2")</f>
        <v>LT0Q2B01YNGH2</v>
      </c>
      <c r="F7324" s="238" t="str">
        <f>IFERROR(__xludf.DUMMYFUNCTION("""COMPUTED_VALUE"""),"PUJ4E98,DTE7G68")</f>
        <v>PUJ4E98,DTE7G68</v>
      </c>
      <c r="G7324" s="238">
        <f>IFERROR(__xludf.DUMMYFUNCTION("""COMPUTED_VALUE"""),46064.91736111111)</f>
        <v>46064.91736</v>
      </c>
      <c r="H7324" s="238">
        <f>IFERROR(__xludf.DUMMYFUNCTION("""COMPUTED_VALUE"""),46065.29166666667)</f>
        <v>46065.29167</v>
      </c>
      <c r="J7324" s="239">
        <v>539.0000000072177</v>
      </c>
    </row>
    <row r="7325">
      <c r="A7325" s="234"/>
      <c r="B7325" s="238" t="str">
        <f>IFERROR(__xludf.DUMMYFUNCTION("""COMPUTED_VALUE"""),"SoC_SC_Itajaí")</f>
        <v>SoC_SC_Itajaí</v>
      </c>
      <c r="C7325" s="238" t="str">
        <f>IFERROR(__xludf.DUMMYFUNCTION("""COMPUTED_VALUE"""),"SOC-SC1")</f>
        <v>SOC-SC1</v>
      </c>
      <c r="D7325" s="234">
        <f>IFERROR(__xludf.DUMMYFUNCTION("""COMPUTED_VALUE"""),101.0)</f>
        <v>101</v>
      </c>
      <c r="E7325" s="237" t="str">
        <f>IFERROR(__xludf.DUMMYFUNCTION("""COMPUTED_VALUE"""),"LT0Q2B01YMND1")</f>
        <v>LT0Q2B01YMND1</v>
      </c>
      <c r="F7325" s="238" t="str">
        <f>IFERROR(__xludf.DUMMYFUNCTION("""COMPUTED_VALUE"""),"MJI3I60,ETU6I12")</f>
        <v>MJI3I60,ETU6I12</v>
      </c>
      <c r="G7325" s="238">
        <f>IFERROR(__xludf.DUMMYFUNCTION("""COMPUTED_VALUE"""),46064.91736111111)</f>
        <v>46064.91736</v>
      </c>
      <c r="H7325" s="238">
        <f>IFERROR(__xludf.DUMMYFUNCTION("""COMPUTED_VALUE"""),46065.29166666667)</f>
        <v>46065.29167</v>
      </c>
      <c r="J7325" s="239">
        <v>539.0000000072177</v>
      </c>
    </row>
    <row r="7326">
      <c r="A7326" s="234"/>
      <c r="B7326" s="238" t="str">
        <f>IFERROR(__xludf.DUMMYFUNCTION("""COMPUTED_VALUE"""),"SoC_SC_Itajaí")</f>
        <v>SoC_SC_Itajaí</v>
      </c>
      <c r="C7326" s="238" t="str">
        <f>IFERROR(__xludf.DUMMYFUNCTION("""COMPUTED_VALUE"""),"SOC-SC1")</f>
        <v>SOC-SC1</v>
      </c>
      <c r="D7326" s="234">
        <f>IFERROR(__xludf.DUMMYFUNCTION("""COMPUTED_VALUE"""),100.0)</f>
        <v>100</v>
      </c>
      <c r="E7326" s="237" t="str">
        <f>IFERROR(__xludf.DUMMYFUNCTION("""COMPUTED_VALUE"""),"LT0Q2B01YMNF2")</f>
        <v>LT0Q2B01YMNF2</v>
      </c>
      <c r="F7326" s="238" t="str">
        <f>IFERROR(__xludf.DUMMYFUNCTION("""COMPUTED_VALUE"""),"RLL0D67,RXQ9E72")</f>
        <v>RLL0D67,RXQ9E72</v>
      </c>
      <c r="G7326" s="238">
        <f>IFERROR(__xludf.DUMMYFUNCTION("""COMPUTED_VALUE"""),46064.91736111111)</f>
        <v>46064.91736</v>
      </c>
      <c r="H7326" s="238">
        <f>IFERROR(__xludf.DUMMYFUNCTION("""COMPUTED_VALUE"""),46065.29166666667)</f>
        <v>46065.29167</v>
      </c>
      <c r="J7326" s="239">
        <v>538.0000000144355</v>
      </c>
    </row>
    <row r="7327">
      <c r="A7327" s="234"/>
      <c r="B7327" s="238" t="str">
        <f>IFERROR(__xludf.DUMMYFUNCTION("""COMPUTED_VALUE"""),"SoC_GO_Goiânia_02")</f>
        <v>SoC_GO_Goiânia_02</v>
      </c>
      <c r="C7327" s="238" t="str">
        <f>IFERROR(__xludf.DUMMYFUNCTION("""COMPUTED_VALUE"""),"SOC-GO2")</f>
        <v>SOC-GO2</v>
      </c>
      <c r="D7327" s="234">
        <f>IFERROR(__xludf.DUMMYFUNCTION("""COMPUTED_VALUE"""),87.0)</f>
        <v>87</v>
      </c>
      <c r="E7327" s="237" t="str">
        <f>IFERROR(__xludf.DUMMYFUNCTION("""COMPUTED_VALUE"""),"LT0Q2B01YNQW1")</f>
        <v>LT0Q2B01YNQW1</v>
      </c>
      <c r="F7327" s="238" t="str">
        <f>IFERROR(__xludf.DUMMYFUNCTION("""COMPUTED_VALUE"""),"TLG0A02,EML6G54")</f>
        <v>TLG0A02,EML6G54</v>
      </c>
      <c r="G7327" s="238">
        <f>IFERROR(__xludf.DUMMYFUNCTION("""COMPUTED_VALUE"""),46064.91805555555)</f>
        <v>46064.91806</v>
      </c>
      <c r="H7327" s="238">
        <f>IFERROR(__xludf.DUMMYFUNCTION("""COMPUTED_VALUE"""),46065.29166666667)</f>
        <v>46065.29167</v>
      </c>
      <c r="J7327" s="239">
        <v>538.0000000144355</v>
      </c>
    </row>
    <row r="7328">
      <c r="A7328" s="234"/>
      <c r="B7328" s="238" t="str">
        <f>IFERROR(__xludf.DUMMYFUNCTION("""COMPUTED_VALUE"""),"SoC_GO_Goiânia_02")</f>
        <v>SoC_GO_Goiânia_02</v>
      </c>
      <c r="C7328" s="238" t="str">
        <f>IFERROR(__xludf.DUMMYFUNCTION("""COMPUTED_VALUE"""),"SOC-GO2")</f>
        <v>SOC-GO2</v>
      </c>
      <c r="D7328" s="234">
        <f>IFERROR(__xludf.DUMMYFUNCTION("""COMPUTED_VALUE"""),86.0)</f>
        <v>86</v>
      </c>
      <c r="E7328" s="237" t="str">
        <f>IFERROR(__xludf.DUMMYFUNCTION("""COMPUTED_VALUE"""),"LT0Q2B01YNQY2")</f>
        <v>LT0Q2B01YNQY2</v>
      </c>
      <c r="F7328" s="238" t="str">
        <f>IFERROR(__xludf.DUMMYFUNCTION("""COMPUTED_VALUE"""),"UDR6E27,ETM0J86")</f>
        <v>UDR6E27,ETM0J86</v>
      </c>
      <c r="G7328" s="238">
        <f>IFERROR(__xludf.DUMMYFUNCTION("""COMPUTED_VALUE"""),46064.91805555555)</f>
        <v>46064.91806</v>
      </c>
      <c r="H7328" s="238">
        <f>IFERROR(__xludf.DUMMYFUNCTION("""COMPUTED_VALUE"""),46065.29166666667)</f>
        <v>46065.29167</v>
      </c>
      <c r="J7328" s="239">
        <v>538.0000000144355</v>
      </c>
    </row>
    <row r="7329">
      <c r="A7329" s="234"/>
      <c r="B7329" s="238" t="str">
        <f>IFERROR(__xludf.DUMMYFUNCTION("""COMPUTED_VALUE"""),"SoC_PE_Jaboatão dos Guararapes")</f>
        <v>SoC_PE_Jaboatão dos Guararapes</v>
      </c>
      <c r="C7329" s="238" t="str">
        <f>IFERROR(__xludf.DUMMYFUNCTION("""COMPUTED_VALUE"""),"SOC-PE2")</f>
        <v>SOC-PE2</v>
      </c>
      <c r="D7329" s="234">
        <f>IFERROR(__xludf.DUMMYFUNCTION("""COMPUTED_VALUE"""),99.0)</f>
        <v>99</v>
      </c>
      <c r="E7329" s="237" t="str">
        <f>IFERROR(__xludf.DUMMYFUNCTION("""COMPUTED_VALUE"""),"LT0Q2B01YNDI1")</f>
        <v>LT0Q2B01YNDI1</v>
      </c>
      <c r="F7329" s="238" t="str">
        <f>IFERROR(__xludf.DUMMYFUNCTION("""COMPUTED_VALUE"""),"TCQ1E84,GBW9B82")</f>
        <v>TCQ1E84,GBW9B82</v>
      </c>
      <c r="G7329" s="238">
        <f>IFERROR(__xludf.DUMMYFUNCTION("""COMPUTED_VALUE"""),46064.91805555555)</f>
        <v>46064.91806</v>
      </c>
      <c r="H7329" s="238">
        <f>IFERROR(__xludf.DUMMYFUNCTION("""COMPUTED_VALUE"""),46065.29166666667)</f>
        <v>46065.29167</v>
      </c>
      <c r="J7329" s="239">
        <v>538.0000000144355</v>
      </c>
    </row>
    <row r="7330">
      <c r="A7330" s="234"/>
      <c r="B7330" s="238" t="str">
        <f>IFERROR(__xludf.DUMMYFUNCTION("""COMPUTED_VALUE"""),"SoC_PE_Jaboatão dos Guararapes")</f>
        <v>SoC_PE_Jaboatão dos Guararapes</v>
      </c>
      <c r="C7330" s="238" t="str">
        <f>IFERROR(__xludf.DUMMYFUNCTION("""COMPUTED_VALUE"""),"SOC-PE2")</f>
        <v>SOC-PE2</v>
      </c>
      <c r="D7330" s="234">
        <f>IFERROR(__xludf.DUMMYFUNCTION("""COMPUTED_VALUE"""),98.0)</f>
        <v>98</v>
      </c>
      <c r="E7330" s="237" t="str">
        <f>IFERROR(__xludf.DUMMYFUNCTION("""COMPUTED_VALUE"""),"LT0Q2B01YNDK2")</f>
        <v>LT0Q2B01YNDK2</v>
      </c>
      <c r="F7330" s="238" t="str">
        <f>IFERROR(__xludf.DUMMYFUNCTION("""COMPUTED_VALUE"""),"CNI5D19,IMM4A27")</f>
        <v>CNI5D19,IMM4A27</v>
      </c>
      <c r="G7330" s="238">
        <f>IFERROR(__xludf.DUMMYFUNCTION("""COMPUTED_VALUE"""),46064.91805555555)</f>
        <v>46064.91806</v>
      </c>
      <c r="H7330" s="238">
        <f>IFERROR(__xludf.DUMMYFUNCTION("""COMPUTED_VALUE"""),46065.29166666667)</f>
        <v>46065.29167</v>
      </c>
      <c r="J7330" s="239">
        <v>538.0000000144355</v>
      </c>
    </row>
    <row r="7331">
      <c r="A7331" s="234"/>
      <c r="B7331" s="238" t="str">
        <f>IFERROR(__xludf.DUMMYFUNCTION("""COMPUTED_VALUE"""),"SoC_RS_Gravataí_02")</f>
        <v>SoC_RS_Gravataí_02</v>
      </c>
      <c r="C7331" s="238" t="str">
        <f>IFERROR(__xludf.DUMMYFUNCTION("""COMPUTED_VALUE"""),"SOC-RS2")</f>
        <v>SOC-RS2</v>
      </c>
      <c r="D7331" s="234">
        <f>IFERROR(__xludf.DUMMYFUNCTION("""COMPUTED_VALUE"""),93.0)</f>
        <v>93</v>
      </c>
      <c r="E7331" s="237" t="str">
        <f>IFERROR(__xludf.DUMMYFUNCTION("""COMPUTED_VALUE"""),"LT0Q2B01YNSN1")</f>
        <v>LT0Q2B01YNSN1</v>
      </c>
      <c r="F7331" s="238" t="str">
        <f>IFERROR(__xludf.DUMMYFUNCTION("""COMPUTED_VALUE"""),"RDT2G53,JCA4G81")</f>
        <v>RDT2G53,JCA4G81</v>
      </c>
      <c r="G7331" s="238">
        <f>IFERROR(__xludf.DUMMYFUNCTION("""COMPUTED_VALUE"""),46064.91805555555)</f>
        <v>46064.91806</v>
      </c>
      <c r="H7331" s="238">
        <f>IFERROR(__xludf.DUMMYFUNCTION("""COMPUTED_VALUE"""),46065.29166666667)</f>
        <v>46065.29167</v>
      </c>
      <c r="J7331" s="239">
        <v>538.0000000144355</v>
      </c>
    </row>
    <row r="7332">
      <c r="A7332" s="234"/>
      <c r="B7332" s="238" t="str">
        <f>IFERROR(__xludf.DUMMYFUNCTION("""COMPUTED_VALUE"""),"SoC_RS_Gravataí_02")</f>
        <v>SoC_RS_Gravataí_02</v>
      </c>
      <c r="C7332" s="238" t="str">
        <f>IFERROR(__xludf.DUMMYFUNCTION("""COMPUTED_VALUE"""),"SOC-RS2")</f>
        <v>SOC-RS2</v>
      </c>
      <c r="D7332" s="234">
        <f>IFERROR(__xludf.DUMMYFUNCTION("""COMPUTED_VALUE"""),93.0)</f>
        <v>93</v>
      </c>
      <c r="E7332" s="237" t="str">
        <f>IFERROR(__xludf.DUMMYFUNCTION("""COMPUTED_VALUE"""),"LT0Q2B01YNSP2")</f>
        <v>LT0Q2B01YNSP2</v>
      </c>
      <c r="F7332" s="238" t="str">
        <f>IFERROR(__xludf.DUMMYFUNCTION("""COMPUTED_VALUE"""),"HJF7C38,CLK7A64")</f>
        <v>HJF7C38,CLK7A64</v>
      </c>
      <c r="G7332" s="238">
        <f>IFERROR(__xludf.DUMMYFUNCTION("""COMPUTED_VALUE"""),46064.91805555555)</f>
        <v>46064.91806</v>
      </c>
      <c r="H7332" s="238">
        <f>IFERROR(__xludf.DUMMYFUNCTION("""COMPUTED_VALUE"""),46065.29166666667)</f>
        <v>46065.29167</v>
      </c>
      <c r="J7332" s="239">
        <v>538.0000000144355</v>
      </c>
    </row>
    <row r="7333">
      <c r="A7333" s="234"/>
      <c r="B7333" s="238" t="str">
        <f>IFERROR(__xludf.DUMMYFUNCTION("""COMPUTED_VALUE"""),"SoC_SP_Cravinhos")</f>
        <v>SoC_SP_Cravinhos</v>
      </c>
      <c r="C7333" s="238" t="str">
        <f>IFERROR(__xludf.DUMMYFUNCTION("""COMPUTED_VALUE"""),"SOC-SP5")</f>
        <v>SOC-SP5</v>
      </c>
      <c r="D7333" s="234">
        <f>IFERROR(__xludf.DUMMYFUNCTION("""COMPUTED_VALUE"""),95.0)</f>
        <v>95</v>
      </c>
      <c r="E7333" s="237" t="str">
        <f>IFERROR(__xludf.DUMMYFUNCTION("""COMPUTED_VALUE"""),"LT0Q2B01YIVL1")</f>
        <v>LT0Q2B01YIVL1</v>
      </c>
      <c r="F7333" s="238" t="str">
        <f>IFERROR(__xludf.DUMMYFUNCTION("""COMPUTED_VALUE"""),"EFV3J07,FNB4150")</f>
        <v>EFV3J07,FNB4150</v>
      </c>
      <c r="G7333" s="238">
        <f>IFERROR(__xludf.DUMMYFUNCTION("""COMPUTED_VALUE"""),46064.91805555555)</f>
        <v>46064.91806</v>
      </c>
      <c r="H7333" s="238">
        <f>IFERROR(__xludf.DUMMYFUNCTION("""COMPUTED_VALUE"""),46065.29166666667)</f>
        <v>46065.29167</v>
      </c>
      <c r="J7333" s="239">
        <v>537.0000000111759</v>
      </c>
    </row>
    <row r="7334">
      <c r="A7334" s="234"/>
      <c r="B7334" s="238" t="str">
        <f>IFERROR(__xludf.DUMMYFUNCTION("""COMPUTED_VALUE"""),"SoC_RJ_Duque de Caxias")</f>
        <v>SoC_RJ_Duque de Caxias</v>
      </c>
      <c r="C7334" s="238" t="str">
        <f>IFERROR(__xludf.DUMMYFUNCTION("""COMPUTED_VALUE"""),"SOC-RJ2")</f>
        <v>SOC-RJ2</v>
      </c>
      <c r="D7334" s="234">
        <f>IFERROR(__xludf.DUMMYFUNCTION("""COMPUTED_VALUE"""),96.0)</f>
        <v>96</v>
      </c>
      <c r="E7334" s="237" t="str">
        <f>IFERROR(__xludf.DUMMYFUNCTION("""COMPUTED_VALUE"""),"LT0Q2B01YKMQ1")</f>
        <v>LT0Q2B01YKMQ1</v>
      </c>
      <c r="F7334" s="238" t="str">
        <f>IFERROR(__xludf.DUMMYFUNCTION("""COMPUTED_VALUE"""),"GIT4F78,FPN2E98")</f>
        <v>GIT4F78,FPN2E98</v>
      </c>
      <c r="G7334" s="238">
        <f>IFERROR(__xludf.DUMMYFUNCTION("""COMPUTED_VALUE"""),46064.91875)</f>
        <v>46064.91875</v>
      </c>
      <c r="H7334" s="238">
        <f>IFERROR(__xludf.DUMMYFUNCTION("""COMPUTED_VALUE"""),46065.29166666667)</f>
        <v>46065.29167</v>
      </c>
      <c r="J7334" s="239">
        <v>537.0000000111759</v>
      </c>
    </row>
    <row r="7335">
      <c r="A7335" s="234"/>
      <c r="B7335" s="238" t="str">
        <f>IFERROR(__xludf.DUMMYFUNCTION("""COMPUTED_VALUE"""),"SoC_RJ_Duque de Caxias")</f>
        <v>SoC_RJ_Duque de Caxias</v>
      </c>
      <c r="C7335" s="238" t="str">
        <f>IFERROR(__xludf.DUMMYFUNCTION("""COMPUTED_VALUE"""),"SOC-RJ2")</f>
        <v>SOC-RJ2</v>
      </c>
      <c r="D7335" s="234">
        <f>IFERROR(__xludf.DUMMYFUNCTION("""COMPUTED_VALUE"""),99.0)</f>
        <v>99</v>
      </c>
      <c r="E7335" s="237" t="str">
        <f>IFERROR(__xludf.DUMMYFUNCTION("""COMPUTED_VALUE"""),"LT0Q2B01YKMS2")</f>
        <v>LT0Q2B01YKMS2</v>
      </c>
      <c r="F7335" s="238" t="str">
        <f>IFERROR(__xludf.DUMMYFUNCTION("""COMPUTED_VALUE"""),"EJW5F77,MQF1293")</f>
        <v>EJW5F77,MQF1293</v>
      </c>
      <c r="G7335" s="238">
        <f>IFERROR(__xludf.DUMMYFUNCTION("""COMPUTED_VALUE"""),46064.91875)</f>
        <v>46064.91875</v>
      </c>
      <c r="H7335" s="238">
        <f>IFERROR(__xludf.DUMMYFUNCTION("""COMPUTED_VALUE"""),46065.29166666667)</f>
        <v>46065.29167</v>
      </c>
      <c r="J7335" s="239">
        <v>537.0000000111759</v>
      </c>
    </row>
    <row r="7336">
      <c r="A7336" s="234"/>
      <c r="B7336" s="238" t="str">
        <f>IFERROR(__xludf.DUMMYFUNCTION("""COMPUTED_VALUE"""),"SoC_RJ_Duque de Caxias")</f>
        <v>SoC_RJ_Duque de Caxias</v>
      </c>
      <c r="C7336" s="238" t="str">
        <f>IFERROR(__xludf.DUMMYFUNCTION("""COMPUTED_VALUE"""),"SOC-RJ2")</f>
        <v>SOC-RJ2</v>
      </c>
      <c r="D7336" s="234">
        <f>IFERROR(__xludf.DUMMYFUNCTION("""COMPUTED_VALUE"""),97.0)</f>
        <v>97</v>
      </c>
      <c r="E7336" s="237" t="str">
        <f>IFERROR(__xludf.DUMMYFUNCTION("""COMPUTED_VALUE"""),"LT0Q2B01YKMW4")</f>
        <v>LT0Q2B01YKMW4</v>
      </c>
      <c r="F7336" s="238" t="str">
        <f>IFERROR(__xludf.DUMMYFUNCTION("""COMPUTED_VALUE"""),"GHM9D29,RKW3H97")</f>
        <v>GHM9D29,RKW3H97</v>
      </c>
      <c r="G7336" s="238">
        <f>IFERROR(__xludf.DUMMYFUNCTION("""COMPUTED_VALUE"""),46064.91875)</f>
        <v>46064.91875</v>
      </c>
      <c r="H7336" s="238">
        <f>IFERROR(__xludf.DUMMYFUNCTION("""COMPUTED_VALUE"""),46065.29166666667)</f>
        <v>46065.29167</v>
      </c>
      <c r="J7336" s="239">
        <v>537.0000000111759</v>
      </c>
    </row>
    <row r="7337">
      <c r="A7337" s="234"/>
      <c r="B7337" s="238" t="str">
        <f>IFERROR(__xludf.DUMMYFUNCTION("""COMPUTED_VALUE"""),"SoC_SP_Cravinhos")</f>
        <v>SoC_SP_Cravinhos</v>
      </c>
      <c r="C7337" s="238" t="str">
        <f>IFERROR(__xludf.DUMMYFUNCTION("""COMPUTED_VALUE"""),"SOC-SP5")</f>
        <v>SOC-SP5</v>
      </c>
      <c r="D7337" s="234">
        <f>IFERROR(__xludf.DUMMYFUNCTION("""COMPUTED_VALUE"""),94.0)</f>
        <v>94</v>
      </c>
      <c r="E7337" s="237" t="str">
        <f>IFERROR(__xludf.DUMMYFUNCTION("""COMPUTED_VALUE"""),"LT0Q2B01YF841")</f>
        <v>LT0Q2B01YF841</v>
      </c>
      <c r="F7337" s="238" t="str">
        <f>IFERROR(__xludf.DUMMYFUNCTION("""COMPUTED_VALUE"""),"ESU5I07,EZL9D52")</f>
        <v>ESU5I07,EZL9D52</v>
      </c>
      <c r="G7337" s="238">
        <f>IFERROR(__xludf.DUMMYFUNCTION("""COMPUTED_VALUE"""),46064.91875)</f>
        <v>46064.91875</v>
      </c>
      <c r="H7337" s="238">
        <f>IFERROR(__xludf.DUMMYFUNCTION("""COMPUTED_VALUE"""),46065.29166666667)</f>
        <v>46065.29167</v>
      </c>
      <c r="J7337" s="239">
        <v>536.0000000079162</v>
      </c>
    </row>
    <row r="7338">
      <c r="A7338" s="234"/>
      <c r="B7338" s="238" t="str">
        <f>IFERROR(__xludf.DUMMYFUNCTION("""COMPUTED_VALUE"""),"SoC_MG_Betim")</f>
        <v>SoC_MG_Betim</v>
      </c>
      <c r="C7338" s="238" t="str">
        <f>IFERROR(__xludf.DUMMYFUNCTION("""COMPUTED_VALUE"""),"SOC-MG2")</f>
        <v>SOC-MG2</v>
      </c>
      <c r="D7338" s="234">
        <f>IFERROR(__xludf.DUMMYFUNCTION("""COMPUTED_VALUE"""),91.0)</f>
        <v>91</v>
      </c>
      <c r="E7338" s="237" t="str">
        <f>IFERROR(__xludf.DUMMYFUNCTION("""COMPUTED_VALUE"""),"LT0Q2B01YITV1")</f>
        <v>LT0Q2B01YITV1</v>
      </c>
      <c r="F7338" s="238" t="str">
        <f>IFERROR(__xludf.DUMMYFUNCTION("""COMPUTED_VALUE"""),"SWP1G25,GBX4F42")</f>
        <v>SWP1G25,GBX4F42</v>
      </c>
      <c r="G7338" s="238">
        <f>IFERROR(__xludf.DUMMYFUNCTION("""COMPUTED_VALUE"""),46064.919444444444)</f>
        <v>46064.91944</v>
      </c>
      <c r="H7338" s="238">
        <f>IFERROR(__xludf.DUMMYFUNCTION("""COMPUTED_VALUE"""),46065.29166666667)</f>
        <v>46065.29167</v>
      </c>
      <c r="J7338" s="239">
        <v>536.0000000079162</v>
      </c>
    </row>
    <row r="7339">
      <c r="A7339" s="234"/>
      <c r="B7339" s="238" t="str">
        <f>IFERROR(__xludf.DUMMYFUNCTION("""COMPUTED_VALUE"""),"SoC_MG_Betim")</f>
        <v>SoC_MG_Betim</v>
      </c>
      <c r="C7339" s="238" t="str">
        <f>IFERROR(__xludf.DUMMYFUNCTION("""COMPUTED_VALUE"""),"SOC-MG2")</f>
        <v>SOC-MG2</v>
      </c>
      <c r="D7339" s="234">
        <f>IFERROR(__xludf.DUMMYFUNCTION("""COMPUTED_VALUE"""),90.0)</f>
        <v>90</v>
      </c>
      <c r="E7339" s="237" t="str">
        <f>IFERROR(__xludf.DUMMYFUNCTION("""COMPUTED_VALUE"""),"LT0Q2B01YITZ3")</f>
        <v>LT0Q2B01YITZ3</v>
      </c>
      <c r="F7339" s="238" t="str">
        <f>IFERROR(__xludf.DUMMYFUNCTION("""COMPUTED_VALUE"""),"CUR8I80,EOD1A69")</f>
        <v>CUR8I80,EOD1A69</v>
      </c>
      <c r="G7339" s="238">
        <f>IFERROR(__xludf.DUMMYFUNCTION("""COMPUTED_VALUE"""),46064.919444444444)</f>
        <v>46064.91944</v>
      </c>
      <c r="H7339" s="238">
        <f>IFERROR(__xludf.DUMMYFUNCTION("""COMPUTED_VALUE"""),46065.29166666667)</f>
        <v>46065.29167</v>
      </c>
      <c r="J7339" s="239">
        <v>535.0000000046566</v>
      </c>
    </row>
    <row r="7340">
      <c r="A7340" s="234"/>
      <c r="B7340" s="238" t="str">
        <f>IFERROR(__xludf.DUMMYFUNCTION("""COMPUTED_VALUE"""),"SoC_MG_Betim")</f>
        <v>SoC_MG_Betim</v>
      </c>
      <c r="C7340" s="238" t="str">
        <f>IFERROR(__xludf.DUMMYFUNCTION("""COMPUTED_VALUE"""),"SOC-MG2")</f>
        <v>SOC-MG2</v>
      </c>
      <c r="D7340" s="234">
        <f>IFERROR(__xludf.DUMMYFUNCTION("""COMPUTED_VALUE"""),91.0)</f>
        <v>91</v>
      </c>
      <c r="E7340" s="237" t="str">
        <f>IFERROR(__xludf.DUMMYFUNCTION("""COMPUTED_VALUE"""),"LT0Q2B01YF7X1")</f>
        <v>LT0Q2B01YF7X1</v>
      </c>
      <c r="F7340" s="238" t="str">
        <f>IFERROR(__xludf.DUMMYFUNCTION("""COMPUTED_VALUE"""),"RFC7I57,TEV1A97")</f>
        <v>RFC7I57,TEV1A97</v>
      </c>
      <c r="G7340" s="238">
        <f>IFERROR(__xludf.DUMMYFUNCTION("""COMPUTED_VALUE"""),46064.92013888889)</f>
        <v>46064.92014</v>
      </c>
      <c r="H7340" s="238">
        <f>IFERROR(__xludf.DUMMYFUNCTION("""COMPUTED_VALUE"""),46065.29166666667)</f>
        <v>46065.29167</v>
      </c>
      <c r="J7340" s="239">
        <v>120.00000001396984</v>
      </c>
    </row>
    <row r="7341">
      <c r="A7341" s="234"/>
      <c r="B7341" s="238" t="str">
        <f>IFERROR(__xludf.DUMMYFUNCTION("""COMPUTED_VALUE"""),"LM Hub_SP_Barueri_01")</f>
        <v>LM Hub_SP_Barueri_01</v>
      </c>
      <c r="C7341" s="238" t="str">
        <f>IFERROR(__xludf.DUMMYFUNCTION("""COMPUTED_VALUE"""),"HUB-LSP-81")</f>
        <v>HUB-LSP-81</v>
      </c>
      <c r="D7341" s="234">
        <f>IFERROR(__xludf.DUMMYFUNCTION("""COMPUTED_VALUE"""),23.0)</f>
        <v>23</v>
      </c>
      <c r="E7341" s="237" t="str">
        <f>IFERROR(__xludf.DUMMYFUNCTION("""COMPUTED_VALUE"""),"LT0Q2C01YN681")</f>
        <v>LT0Q2C01YN681</v>
      </c>
      <c r="F7341" s="238" t="str">
        <f>IFERROR(__xludf.DUMMYFUNCTION("""COMPUTED_VALUE"""),"GDQ4B07")</f>
        <v>GDQ4B07</v>
      </c>
      <c r="G7341" s="238">
        <f>IFERROR(__xludf.DUMMYFUNCTION("""COMPUTED_VALUE"""),46065.20833333333)</f>
        <v>46065.20833</v>
      </c>
      <c r="H7341" s="238">
        <f>IFERROR(__xludf.DUMMYFUNCTION("""COMPUTED_VALUE"""),46065.29166666667)</f>
        <v>46065.29167</v>
      </c>
      <c r="J7341" s="239">
        <v>120.00000001396984</v>
      </c>
    </row>
    <row r="7342">
      <c r="A7342" s="234"/>
      <c r="B7342" s="238" t="str">
        <f>IFERROR(__xludf.DUMMYFUNCTION("""COMPUTED_VALUE"""),"LM Hub_SP_Piracicaba")</f>
        <v>LM Hub_SP_Piracicaba</v>
      </c>
      <c r="C7342" s="238" t="str">
        <f>IFERROR(__xludf.DUMMYFUNCTION("""COMPUTED_VALUE"""),"HUB-LSP-62")</f>
        <v>HUB-LSP-62</v>
      </c>
      <c r="D7342" s="234"/>
      <c r="E7342" s="237" t="str">
        <f>IFERROR(__xludf.DUMMYFUNCTION("""COMPUTED_VALUE"""),"LT0Q2C01YPQ61")</f>
        <v>LT0Q2C01YPQ61</v>
      </c>
      <c r="F7342" s="238" t="str">
        <f>IFERROR(__xludf.DUMMYFUNCTION("""COMPUTED_VALUE"""),"EOF4D32")</f>
        <v>EOF4D32</v>
      </c>
      <c r="G7342" s="238">
        <f>IFERROR(__xludf.DUMMYFUNCTION("""COMPUTED_VALUE"""),46065.20833333333)</f>
        <v>46065.20833</v>
      </c>
      <c r="H7342" s="238">
        <f>IFERROR(__xludf.DUMMYFUNCTION("""COMPUTED_VALUE"""),46065.29166666667)</f>
        <v>46065.29167</v>
      </c>
      <c r="J7342" s="239">
        <v>120.00000001396984</v>
      </c>
    </row>
    <row r="7343">
      <c r="A7343" s="234"/>
      <c r="B7343" s="238" t="str">
        <f>IFERROR(__xludf.DUMMYFUNCTION("""COMPUTED_VALUE"""),"LM Hub_SP_Santos_PraiaGrande_02")</f>
        <v>LM Hub_SP_Santos_PraiaGrande_02</v>
      </c>
      <c r="C7343" s="238" t="str">
        <f>IFERROR(__xludf.DUMMYFUNCTION("""COMPUTED_VALUE"""),"HUB-LSP-63")</f>
        <v>HUB-LSP-63</v>
      </c>
      <c r="D7343" s="234">
        <f>IFERROR(__xludf.DUMMYFUNCTION("""COMPUTED_VALUE"""),16.0)</f>
        <v>16</v>
      </c>
      <c r="E7343" s="237" t="str">
        <f>IFERROR(__xludf.DUMMYFUNCTION("""COMPUTED_VALUE"""),"LT0Q2C01YK1E1")</f>
        <v>LT0Q2C01YK1E1</v>
      </c>
      <c r="F7343" s="238" t="str">
        <f>IFERROR(__xludf.DUMMYFUNCTION("""COMPUTED_VALUE"""),"EJE6981,FCW8D21")</f>
        <v>EJE6981,FCW8D21</v>
      </c>
      <c r="G7343" s="238">
        <f>IFERROR(__xludf.DUMMYFUNCTION("""COMPUTED_VALUE"""),46065.20833333333)</f>
        <v>46065.20833</v>
      </c>
      <c r="H7343" s="238">
        <f>IFERROR(__xludf.DUMMYFUNCTION("""COMPUTED_VALUE"""),46065.29166666667)</f>
        <v>46065.29167</v>
      </c>
      <c r="J7343" s="239">
        <v>119.99999999301508</v>
      </c>
    </row>
    <row r="7344">
      <c r="A7344" s="234"/>
      <c r="B7344" s="238" t="str">
        <f>IFERROR(__xludf.DUMMYFUNCTION("""COMPUTED_VALUE"""),"LM Hub_SP_Guarujá")</f>
        <v>LM Hub_SP_Guarujá</v>
      </c>
      <c r="C7344" s="238" t="str">
        <f>IFERROR(__xludf.DUMMYFUNCTION("""COMPUTED_VALUE"""),"HUB-LSP-06")</f>
        <v>HUB-LSP-06</v>
      </c>
      <c r="D7344" s="234">
        <f>IFERROR(__xludf.DUMMYFUNCTION("""COMPUTED_VALUE"""),37.0)</f>
        <v>37</v>
      </c>
      <c r="E7344" s="237" t="str">
        <f>IFERROR(__xludf.DUMMYFUNCTION("""COMPUTED_VALUE"""),"LT0Q2C01YK0U1")</f>
        <v>LT0Q2C01YK0U1</v>
      </c>
      <c r="F7344" s="238" t="str">
        <f>IFERROR(__xludf.DUMMYFUNCTION("""COMPUTED_VALUE"""),"UFB1B50")</f>
        <v>UFB1B50</v>
      </c>
      <c r="G7344" s="238">
        <f>IFERROR(__xludf.DUMMYFUNCTION("""COMPUTED_VALUE"""),46065.22916666667)</f>
        <v>46065.22917</v>
      </c>
      <c r="H7344" s="238">
        <f>IFERROR(__xludf.DUMMYFUNCTION("""COMPUTED_VALUE"""),46065.3125)</f>
        <v>46065.3125</v>
      </c>
      <c r="J7344" s="239">
        <v>119.99999999301508</v>
      </c>
    </row>
    <row r="7345">
      <c r="A7345" s="234"/>
      <c r="B7345" s="238" t="str">
        <f>IFERROR(__xludf.DUMMYFUNCTION("""COMPUTED_VALUE"""),"LM Hub_SP_Itapevi")</f>
        <v>LM Hub_SP_Itapevi</v>
      </c>
      <c r="C7345" s="238" t="str">
        <f>IFERROR(__xludf.DUMMYFUNCTION("""COMPUTED_VALUE"""),"HUB-LSP-41")</f>
        <v>HUB-LSP-41</v>
      </c>
      <c r="D7345" s="234">
        <f>IFERROR(__xludf.DUMMYFUNCTION("""COMPUTED_VALUE"""),18.0)</f>
        <v>18</v>
      </c>
      <c r="E7345" s="237" t="str">
        <f>IFERROR(__xludf.DUMMYFUNCTION("""COMPUTED_VALUE"""),"LT0Q2C01YF8S1")</f>
        <v>LT0Q2C01YF8S1</v>
      </c>
      <c r="F7345" s="238" t="str">
        <f>IFERROR(__xludf.DUMMYFUNCTION("""COMPUTED_VALUE"""),"FYQ5533")</f>
        <v>FYQ5533</v>
      </c>
      <c r="G7345" s="238">
        <f>IFERROR(__xludf.DUMMYFUNCTION("""COMPUTED_VALUE"""),46065.22916666667)</f>
        <v>46065.22917</v>
      </c>
      <c r="H7345" s="238">
        <f>IFERROR(__xludf.DUMMYFUNCTION("""COMPUTED_VALUE"""),46065.3125)</f>
        <v>46065.3125</v>
      </c>
      <c r="J7345" s="239">
        <v>119.99999999301508</v>
      </c>
    </row>
    <row r="7346">
      <c r="A7346" s="234"/>
      <c r="B7346" s="238" t="str">
        <f>IFERROR(__xludf.DUMMYFUNCTION("""COMPUTED_VALUE"""),"LM Hub_SP_Santos_Praia Grande")</f>
        <v>LM Hub_SP_Santos_Praia Grande</v>
      </c>
      <c r="C7346" s="238" t="str">
        <f>IFERROR(__xludf.DUMMYFUNCTION("""COMPUTED_VALUE"""),"HUB-LSP-09")</f>
        <v>HUB-LSP-09</v>
      </c>
      <c r="D7346" s="234">
        <f>IFERROR(__xludf.DUMMYFUNCTION("""COMPUTED_VALUE"""),21.0)</f>
        <v>21</v>
      </c>
      <c r="E7346" s="237" t="str">
        <f>IFERROR(__xludf.DUMMYFUNCTION("""COMPUTED_VALUE"""),"LT0Q2C01YK0Z1")</f>
        <v>LT0Q2C01YK0Z1</v>
      </c>
      <c r="F7346" s="238" t="str">
        <f>IFERROR(__xludf.DUMMYFUNCTION("""COMPUTED_VALUE"""),"SXK6C10")</f>
        <v>SXK6C10</v>
      </c>
      <c r="G7346" s="238">
        <f>IFERROR(__xludf.DUMMYFUNCTION("""COMPUTED_VALUE"""),46065.22916666667)</f>
        <v>46065.22917</v>
      </c>
      <c r="H7346" s="238">
        <f>IFERROR(__xludf.DUMMYFUNCTION("""COMPUTED_VALUE"""),46065.3125)</f>
        <v>46065.3125</v>
      </c>
      <c r="J7346" s="239">
        <v>119.99999999301508</v>
      </c>
    </row>
    <row r="7347">
      <c r="A7347" s="234"/>
      <c r="B7347" s="238" t="str">
        <f>IFERROR(__xludf.DUMMYFUNCTION("""COMPUTED_VALUE"""),"LM Hub_SP_São Paulo_Mooca")</f>
        <v>LM Hub_SP_São Paulo_Mooca</v>
      </c>
      <c r="C7347" s="238" t="str">
        <f>IFERROR(__xludf.DUMMYFUNCTION("""COMPUTED_VALUE"""),"HUB-LSP-13")</f>
        <v>HUB-LSP-13</v>
      </c>
      <c r="D7347" s="234">
        <f>IFERROR(__xludf.DUMMYFUNCTION("""COMPUTED_VALUE"""),32.0)</f>
        <v>32</v>
      </c>
      <c r="E7347" s="237" t="str">
        <f>IFERROR(__xludf.DUMMYFUNCTION("""COMPUTED_VALUE"""),"LT0Q2C01YFHR1")</f>
        <v>LT0Q2C01YFHR1</v>
      </c>
      <c r="F7347" s="238" t="str">
        <f>IFERROR(__xludf.DUMMYFUNCTION("""COMPUTED_VALUE"""),"FGI1F79")</f>
        <v>FGI1F79</v>
      </c>
      <c r="G7347" s="238">
        <f>IFERROR(__xludf.DUMMYFUNCTION("""COMPUTED_VALUE"""),46065.22916666667)</f>
        <v>46065.22917</v>
      </c>
      <c r="H7347" s="238">
        <f>IFERROR(__xludf.DUMMYFUNCTION("""COMPUTED_VALUE"""),46065.3125)</f>
        <v>46065.3125</v>
      </c>
      <c r="J7347" s="239">
        <v>119.00000000023283</v>
      </c>
    </row>
    <row r="7348">
      <c r="A7348" s="234"/>
      <c r="B7348" s="238" t="str">
        <f>IFERROR(__xludf.DUMMYFUNCTION("""COMPUTED_VALUE"""),"LM Hub_SP_Várzea Paulista")</f>
        <v>LM Hub_SP_Várzea Paulista</v>
      </c>
      <c r="C7348" s="238" t="str">
        <f>IFERROR(__xludf.DUMMYFUNCTION("""COMPUTED_VALUE"""),"HUB-LSP-20")</f>
        <v>HUB-LSP-20</v>
      </c>
      <c r="D7348" s="234">
        <f>IFERROR(__xludf.DUMMYFUNCTION("""COMPUTED_VALUE"""),19.0)</f>
        <v>19</v>
      </c>
      <c r="E7348" s="237" t="str">
        <f>IFERROR(__xludf.DUMMYFUNCTION("""COMPUTED_VALUE"""),"LT0Q2C01YF9O1")</f>
        <v>LT0Q2C01YF9O1</v>
      </c>
      <c r="F7348" s="238" t="str">
        <f>IFERROR(__xludf.DUMMYFUNCTION("""COMPUTED_VALUE"""),"DVT7F98,MFI5G72")</f>
        <v>DVT7F98,MFI5G72</v>
      </c>
      <c r="G7348" s="238">
        <f>IFERROR(__xludf.DUMMYFUNCTION("""COMPUTED_VALUE"""),46065.22986111111)</f>
        <v>46065.22986</v>
      </c>
      <c r="H7348" s="238">
        <f>IFERROR(__xludf.DUMMYFUNCTION("""COMPUTED_VALUE"""),46065.3125)</f>
        <v>46065.3125</v>
      </c>
      <c r="J7348" s="239">
        <v>480.00000001396984</v>
      </c>
    </row>
    <row r="7349">
      <c r="A7349" s="234"/>
      <c r="B7349" s="238" t="str">
        <f>IFERROR(__xludf.DUMMYFUNCTION("""COMPUTED_VALUE"""),"SoC_MG_Betim")</f>
        <v>SoC_MG_Betim</v>
      </c>
      <c r="C7349" s="238" t="str">
        <f>IFERROR(__xludf.DUMMYFUNCTION("""COMPUTED_VALUE"""),"SOC-MG2")</f>
        <v>SOC-MG2</v>
      </c>
      <c r="D7349" s="234">
        <f>IFERROR(__xludf.DUMMYFUNCTION("""COMPUTED_VALUE"""),12.0)</f>
        <v>12</v>
      </c>
      <c r="E7349" s="237" t="str">
        <f>IFERROR(__xludf.DUMMYFUNCTION("""COMPUTED_VALUE"""),"LT1Q2B01YV5T1")</f>
        <v>LT1Q2B01YV5T1</v>
      </c>
      <c r="F7349" s="238" t="str">
        <f>IFERROR(__xludf.DUMMYFUNCTION("""COMPUTED_VALUE"""),"EWJ5C13,CUE9610")</f>
        <v>EWJ5C13,CUE9610</v>
      </c>
      <c r="G7349" s="238">
        <f>IFERROR(__xludf.DUMMYFUNCTION("""COMPUTED_VALUE"""),46065.08333333333)</f>
        <v>46065.08333</v>
      </c>
      <c r="H7349" s="238">
        <f>IFERROR(__xludf.DUMMYFUNCTION("""COMPUTED_VALUE"""),46065.41666666667)</f>
        <v>46065.41667</v>
      </c>
      <c r="J7349" s="239">
        <v>360.0</v>
      </c>
    </row>
    <row r="7350">
      <c r="A7350" s="234"/>
      <c r="B7350" s="238" t="str">
        <f>IFERROR(__xludf.DUMMYFUNCTION("""COMPUTED_VALUE"""),"SoC_PE_Jaboatão dos Guararapes")</f>
        <v>SoC_PE_Jaboatão dos Guararapes</v>
      </c>
      <c r="C7350" s="238" t="str">
        <f>IFERROR(__xludf.DUMMYFUNCTION("""COMPUTED_VALUE"""),"SOC-PE2")</f>
        <v>SOC-PE2</v>
      </c>
      <c r="D7350" s="234">
        <f>IFERROR(__xludf.DUMMYFUNCTION("""COMPUTED_VALUE"""),98.0)</f>
        <v>98</v>
      </c>
      <c r="E7350" s="237" t="str">
        <f>IFERROR(__xludf.DUMMYFUNCTION("""COMPUTED_VALUE"""),"LT1Q2B01YUPJ1")</f>
        <v>LT1Q2B01YUPJ1</v>
      </c>
      <c r="F7350" s="238" t="str">
        <f>IFERROR(__xludf.DUMMYFUNCTION("""COMPUTED_VALUE"""),"JUX4E58,KRK8A33")</f>
        <v>JUX4E58,KRK8A33</v>
      </c>
      <c r="G7350" s="238">
        <f>IFERROR(__xludf.DUMMYFUNCTION("""COMPUTED_VALUE"""),46065.16666666667)</f>
        <v>46065.16667</v>
      </c>
      <c r="H7350" s="238">
        <f>IFERROR(__xludf.DUMMYFUNCTION("""COMPUTED_VALUE"""),46065.41666666667)</f>
        <v>46065.41667</v>
      </c>
      <c r="J7350" s="239">
        <v>356.00000000791624</v>
      </c>
    </row>
    <row r="7351">
      <c r="A7351" s="234"/>
      <c r="B7351" s="238" t="str">
        <f>IFERROR(__xludf.DUMMYFUNCTION("""COMPUTED_VALUE"""),"SoC_MG_Betim")</f>
        <v>SoC_MG_Betim</v>
      </c>
      <c r="C7351" s="238" t="str">
        <f>IFERROR(__xludf.DUMMYFUNCTION("""COMPUTED_VALUE"""),"SOC-MG2")</f>
        <v>SOC-MG2</v>
      </c>
      <c r="D7351" s="234">
        <f>IFERROR(__xludf.DUMMYFUNCTION("""COMPUTED_VALUE"""),90.0)</f>
        <v>90</v>
      </c>
      <c r="E7351" s="237" t="str">
        <f>IFERROR(__xludf.DUMMYFUNCTION("""COMPUTED_VALUE"""),"LT0Q2B01YIU14")</f>
        <v>LT0Q2B01YIU14</v>
      </c>
      <c r="F7351" s="238" t="str">
        <f>IFERROR(__xludf.DUMMYFUNCTION("""COMPUTED_VALUE"""),"SVD8C95,SWW6E22")</f>
        <v>SVD8C95,SWW6E22</v>
      </c>
      <c r="G7351" s="238">
        <f>IFERROR(__xludf.DUMMYFUNCTION("""COMPUTED_VALUE"""),46065.169444444444)</f>
        <v>46065.16944</v>
      </c>
      <c r="H7351" s="238">
        <f>IFERROR(__xludf.DUMMYFUNCTION("""COMPUTED_VALUE"""),46065.41666666667)</f>
        <v>46065.41667</v>
      </c>
      <c r="J7351" s="239">
        <v>540.0</v>
      </c>
    </row>
    <row r="7352">
      <c r="A7352" s="234"/>
      <c r="B7352" s="238" t="str">
        <f>IFERROR(__xludf.DUMMYFUNCTION("""COMPUTED_VALUE"""),"SoC_RJ_Duque de Caxias")</f>
        <v>SoC_RJ_Duque de Caxias</v>
      </c>
      <c r="C7352" s="238" t="str">
        <f>IFERROR(__xludf.DUMMYFUNCTION("""COMPUTED_VALUE"""),"SOC-RJ2")</f>
        <v>SOC-RJ2</v>
      </c>
      <c r="D7352" s="234">
        <f>IFERROR(__xludf.DUMMYFUNCTION("""COMPUTED_VALUE"""),96.0)</f>
        <v>96</v>
      </c>
      <c r="E7352" s="237" t="str">
        <f>IFERROR(__xludf.DUMMYFUNCTION("""COMPUTED_VALUE"""),"LT0Q2B01YKMH2")</f>
        <v>LT0Q2B01YKMH2</v>
      </c>
      <c r="F7352" s="238" t="str">
        <f>IFERROR(__xludf.DUMMYFUNCTION("""COMPUTED_VALUE"""),"LMZ8E48,FZI5J64")</f>
        <v>LMZ8E48,FZI5J64</v>
      </c>
      <c r="G7352" s="238">
        <f>IFERROR(__xludf.DUMMYFUNCTION("""COMPUTED_VALUE"""),46065.08333333333)</f>
        <v>46065.08333</v>
      </c>
      <c r="H7352" s="238">
        <f>IFERROR(__xludf.DUMMYFUNCTION("""COMPUTED_VALUE"""),46065.45833333333)</f>
        <v>46065.45833</v>
      </c>
      <c r="J7352" s="239">
        <v>537.9999999934807</v>
      </c>
    </row>
    <row r="7353">
      <c r="A7353" s="234"/>
      <c r="B7353" s="238" t="str">
        <f>IFERROR(__xludf.DUMMYFUNCTION("""COMPUTED_VALUE"""),"SoC_GO_Goiânia_02")</f>
        <v>SoC_GO_Goiânia_02</v>
      </c>
      <c r="C7353" s="238" t="str">
        <f>IFERROR(__xludf.DUMMYFUNCTION("""COMPUTED_VALUE"""),"SOC-GO2")</f>
        <v>SOC-GO2</v>
      </c>
      <c r="D7353" s="234">
        <f>IFERROR(__xludf.DUMMYFUNCTION("""COMPUTED_VALUE"""),87.0)</f>
        <v>87</v>
      </c>
      <c r="E7353" s="237" t="str">
        <f>IFERROR(__xludf.DUMMYFUNCTION("""COMPUTED_VALUE"""),"LT0Q2B01YNR03")</f>
        <v>LT0Q2B01YNR03</v>
      </c>
      <c r="F7353" s="238" t="str">
        <f>IFERROR(__xludf.DUMMYFUNCTION("""COMPUTED_VALUE"""),"FDB7I17,MBC2284")</f>
        <v>FDB7I17,MBC2284</v>
      </c>
      <c r="G7353" s="238">
        <f>IFERROR(__xludf.DUMMYFUNCTION("""COMPUTED_VALUE"""),46065.08472222222)</f>
        <v>46065.08472</v>
      </c>
      <c r="H7353" s="238">
        <f>IFERROR(__xludf.DUMMYFUNCTION("""COMPUTED_VALUE"""),46065.45833333333)</f>
        <v>46065.45833</v>
      </c>
      <c r="J7353" s="239">
        <v>599.0000000037253</v>
      </c>
    </row>
    <row r="7354">
      <c r="A7354" s="234"/>
      <c r="B7354" s="238" t="str">
        <f>IFERROR(__xludf.DUMMYFUNCTION("""COMPUTED_VALUE"""),"SoC_BA_Simoes Filho")</f>
        <v>SoC_BA_Simoes Filho</v>
      </c>
      <c r="C7354" s="238" t="str">
        <f>IFERROR(__xludf.DUMMYFUNCTION("""COMPUTED_VALUE"""),"SOC-BA2")</f>
        <v>SOC-BA2</v>
      </c>
      <c r="D7354" s="234">
        <f>IFERROR(__xludf.DUMMYFUNCTION("""COMPUTED_VALUE"""),88.0)</f>
        <v>88</v>
      </c>
      <c r="E7354" s="237" t="str">
        <f>IFERROR(__xludf.DUMMYFUNCTION("""COMPUTED_VALUE"""),"LT0Q2B01YNGF1")</f>
        <v>LT0Q2B01YNGF1</v>
      </c>
      <c r="F7354" s="238" t="str">
        <f>IFERROR(__xludf.DUMMYFUNCTION("""COMPUTED_VALUE"""),"ATP6G11,TMI1F84")</f>
        <v>ATP6G11,TMI1F84</v>
      </c>
      <c r="G7354" s="238">
        <f>IFERROR(__xludf.DUMMYFUNCTION("""COMPUTED_VALUE"""),46065.084027777775)</f>
        <v>46065.08403</v>
      </c>
      <c r="H7354" s="238">
        <f>IFERROR(__xludf.DUMMYFUNCTION("""COMPUTED_VALUE"""),46065.5)</f>
        <v>46065.5</v>
      </c>
      <c r="J7354" s="239">
        <v>540.0</v>
      </c>
    </row>
    <row r="7355">
      <c r="A7355" s="234"/>
      <c r="B7355" s="238" t="str">
        <f>IFERROR(__xludf.DUMMYFUNCTION("""COMPUTED_VALUE"""),"SoC_RJ_Duque de Caxias")</f>
        <v>SoC_RJ_Duque de Caxias</v>
      </c>
      <c r="C7355" s="238" t="str">
        <f>IFERROR(__xludf.DUMMYFUNCTION("""COMPUTED_VALUE"""),"SOC-RJ2")</f>
        <v>SOC-RJ2</v>
      </c>
      <c r="D7355" s="234">
        <f>IFERROR(__xludf.DUMMYFUNCTION("""COMPUTED_VALUE"""),14.0)</f>
        <v>14</v>
      </c>
      <c r="E7355" s="237" t="str">
        <f>IFERROR(__xludf.DUMMYFUNCTION("""COMPUTED_VALUE"""),"LT0Q2B01YKMU3")</f>
        <v>LT0Q2B01YKMU3</v>
      </c>
      <c r="F7355" s="238" t="str">
        <f>IFERROR(__xludf.DUMMYFUNCTION("""COMPUTED_VALUE"""),"FST5E90,FFW3E68")</f>
        <v>FST5E90,FFW3E68</v>
      </c>
      <c r="G7355" s="238">
        <f>IFERROR(__xludf.DUMMYFUNCTION("""COMPUTED_VALUE"""),46065.125)</f>
        <v>46065.125</v>
      </c>
      <c r="H7355" s="238">
        <f>IFERROR(__xludf.DUMMYFUNCTION("""COMPUTED_VALUE"""),46065.5)</f>
        <v>46065.5</v>
      </c>
      <c r="J7355" s="239">
        <v>598.0000000004657</v>
      </c>
    </row>
    <row r="7356">
      <c r="A7356" s="234"/>
      <c r="B7356" s="238" t="str">
        <f>IFERROR(__xludf.DUMMYFUNCTION("""COMPUTED_VALUE"""),"SoC_GO_Goiânia_02")</f>
        <v>SoC_GO_Goiânia_02</v>
      </c>
      <c r="C7356" s="238" t="str">
        <f>IFERROR(__xludf.DUMMYFUNCTION("""COMPUTED_VALUE"""),"SOC-GO2")</f>
        <v>SOC-GO2</v>
      </c>
      <c r="D7356" s="234">
        <f>IFERROR(__xludf.DUMMYFUNCTION("""COMPUTED_VALUE"""),87.0)</f>
        <v>87</v>
      </c>
      <c r="E7356" s="237" t="str">
        <f>IFERROR(__xludf.DUMMYFUNCTION("""COMPUTED_VALUE"""),"LT0Q2C01YNQ82")</f>
        <v>LT0Q2C01YNQ82</v>
      </c>
      <c r="F7356" s="238" t="str">
        <f>IFERROR(__xludf.DUMMYFUNCTION("""COMPUTED_VALUE"""),"SXL6I30,EML6C31")</f>
        <v>SXL6I30,EML6C31</v>
      </c>
      <c r="G7356" s="238">
        <f>IFERROR(__xludf.DUMMYFUNCTION("""COMPUTED_VALUE"""),46065.25138888889)</f>
        <v>46065.25139</v>
      </c>
      <c r="H7356" s="238">
        <f>IFERROR(__xludf.DUMMYFUNCTION("""COMPUTED_VALUE"""),46065.66666666667)</f>
        <v>46065.66667</v>
      </c>
      <c r="J7356" s="239">
        <v>119.99999999301508</v>
      </c>
    </row>
    <row r="7357">
      <c r="A7357" s="234"/>
      <c r="B7357" s="238" t="str">
        <f>IFERROR(__xludf.DUMMYFUNCTION("""COMPUTED_VALUE"""),"SoC_RJ_Duque de Caxias")</f>
        <v>SoC_RJ_Duque de Caxias</v>
      </c>
      <c r="C7357" s="238" t="str">
        <f>IFERROR(__xludf.DUMMYFUNCTION("""COMPUTED_VALUE"""),"SOC-RJ2")</f>
        <v>SOC-RJ2</v>
      </c>
      <c r="D7357" s="234">
        <f>IFERROR(__xludf.DUMMYFUNCTION("""COMPUTED_VALUE"""),97.0)</f>
        <v>97</v>
      </c>
      <c r="E7357" s="237" t="str">
        <f>IFERROR(__xludf.DUMMYFUNCTION("""COMPUTED_VALUE"""),"LT1Q2C01YVOC1")</f>
        <v>LT1Q2C01YVOC1</v>
      </c>
      <c r="F7357" s="238" t="str">
        <f>IFERROR(__xludf.DUMMYFUNCTION("""COMPUTED_VALUE"""),"LUR6D59,SUL8E73")</f>
        <v>LUR6D59,SUL8E73</v>
      </c>
      <c r="G7357" s="238">
        <f>IFERROR(__xludf.DUMMYFUNCTION("""COMPUTED_VALUE"""),46065.16666666667)</f>
        <v>46065.16667</v>
      </c>
      <c r="H7357" s="238">
        <f>IFERROR(__xludf.DUMMYFUNCTION("""COMPUTED_VALUE"""),46065.25)</f>
        <v>46065.25</v>
      </c>
      <c r="J7357" s="239">
        <v>599.0000000037253</v>
      </c>
    </row>
    <row r="7358">
      <c r="A7358" s="234"/>
      <c r="B7358" s="238" t="str">
        <f>IFERROR(__xludf.DUMMYFUNCTION("""COMPUTED_VALUE"""),"SoC_PE_Jaboatão dos Guararapes")</f>
        <v>SoC_PE_Jaboatão dos Guararapes</v>
      </c>
      <c r="C7358" s="238" t="str">
        <f>IFERROR(__xludf.DUMMYFUNCTION("""COMPUTED_VALUE"""),"SOC-PE2")</f>
        <v>SOC-PE2</v>
      </c>
      <c r="D7358" s="234">
        <f>IFERROR(__xludf.DUMMYFUNCTION("""COMPUTED_VALUE"""),98.0)</f>
        <v>98</v>
      </c>
      <c r="E7358" s="237" t="str">
        <f>IFERROR(__xludf.DUMMYFUNCTION("""COMPUTED_VALUE"""),"LT0Q2C01YND31")</f>
        <v>LT0Q2C01YND31</v>
      </c>
      <c r="F7358" s="238" t="str">
        <f>IFERROR(__xludf.DUMMYFUNCTION("""COMPUTED_VALUE"""),"EWJ3E39,FJP5G25")</f>
        <v>EWJ3E39,FJP5G25</v>
      </c>
      <c r="G7358" s="238">
        <f>IFERROR(__xludf.DUMMYFUNCTION("""COMPUTED_VALUE"""),46065.25069444445)</f>
        <v>46065.25069</v>
      </c>
      <c r="H7358" s="238">
        <f>IFERROR(__xludf.DUMMYFUNCTION("""COMPUTED_VALUE"""),46065.66666666667)</f>
        <v>46065.66667</v>
      </c>
      <c r="J7358" s="239">
        <v>120.00000000349246</v>
      </c>
    </row>
    <row r="7359">
      <c r="A7359" s="234"/>
      <c r="B7359" s="238" t="str">
        <f>IFERROR(__xludf.DUMMYFUNCTION("""COMPUTED_VALUE"""),"SoC_PR_Curitiba")</f>
        <v>SoC_PR_Curitiba</v>
      </c>
      <c r="C7359" s="238" t="str">
        <f>IFERROR(__xludf.DUMMYFUNCTION("""COMPUTED_VALUE"""),"SOC-PR1")</f>
        <v>SOC-PR1</v>
      </c>
      <c r="D7359" s="234">
        <f>IFERROR(__xludf.DUMMYFUNCTION("""COMPUTED_VALUE"""),42.0)</f>
        <v>42</v>
      </c>
      <c r="E7359" s="237" t="str">
        <f>IFERROR(__xludf.DUMMYFUNCTION("""COMPUTED_VALUE"""),"LT1Q2C01YVPP1")</f>
        <v>LT1Q2C01YVPP1</v>
      </c>
      <c r="F7359" s="238" t="str">
        <f>IFERROR(__xludf.DUMMYFUNCTION("""COMPUTED_VALUE"""),"MLH4G14,LYT5E35")</f>
        <v>MLH4G14,LYT5E35</v>
      </c>
      <c r="G7359" s="238">
        <f>IFERROR(__xludf.DUMMYFUNCTION("""COMPUTED_VALUE"""),46065.22222222222)</f>
        <v>46065.22222</v>
      </c>
      <c r="H7359" s="238">
        <f>IFERROR(__xludf.DUMMYFUNCTION("""COMPUTED_VALUE"""),46065.305555555555)</f>
        <v>46065.30556</v>
      </c>
      <c r="J7359" s="239">
        <v>598.0000000004657</v>
      </c>
    </row>
    <row r="7360">
      <c r="A7360" s="234"/>
      <c r="B7360" s="238" t="str">
        <f>IFERROR(__xludf.DUMMYFUNCTION("""COMPUTED_VALUE"""),"SoC_SP_Cravinhos")</f>
        <v>SoC_SP_Cravinhos</v>
      </c>
      <c r="C7360" s="238" t="str">
        <f>IFERROR(__xludf.DUMMYFUNCTION("""COMPUTED_VALUE"""),"SOC-SP5")</f>
        <v>SOC-SP5</v>
      </c>
      <c r="D7360" s="234">
        <f>IFERROR(__xludf.DUMMYFUNCTION("""COMPUTED_VALUE"""),94.0)</f>
        <v>94</v>
      </c>
      <c r="E7360" s="237" t="str">
        <f>IFERROR(__xludf.DUMMYFUNCTION("""COMPUTED_VALUE"""),"LT0Q2C01YIUY1")</f>
        <v>LT0Q2C01YIUY1</v>
      </c>
      <c r="F7360" s="238" t="str">
        <f>IFERROR(__xludf.DUMMYFUNCTION("""COMPUTED_VALUE"""),"SUY4J08,TLT6E40")</f>
        <v>SUY4J08,TLT6E40</v>
      </c>
      <c r="G7360" s="238">
        <f>IFERROR(__xludf.DUMMYFUNCTION("""COMPUTED_VALUE"""),46065.33472222222)</f>
        <v>46065.33472</v>
      </c>
      <c r="H7360" s="238">
        <f>IFERROR(__xludf.DUMMYFUNCTION("""COMPUTED_VALUE"""),46065.75)</f>
        <v>46065.75</v>
      </c>
      <c r="J7360" s="239">
        <v>540.0</v>
      </c>
    </row>
    <row r="7361">
      <c r="A7361" s="234"/>
      <c r="B7361" s="238" t="str">
        <f>IFERROR(__xludf.DUMMYFUNCTION("""COMPUTED_VALUE"""),"SoC_SC_Itajaí")</f>
        <v>SoC_SC_Itajaí</v>
      </c>
      <c r="C7361" s="238" t="str">
        <f>IFERROR(__xludf.DUMMYFUNCTION("""COMPUTED_VALUE"""),"SOC-SC1")</f>
        <v>SOC-SC1</v>
      </c>
      <c r="D7361" s="234">
        <f>IFERROR(__xludf.DUMMYFUNCTION("""COMPUTED_VALUE"""),100.0)</f>
        <v>100</v>
      </c>
      <c r="E7361" s="237" t="str">
        <f>IFERROR(__xludf.DUMMYFUNCTION("""COMPUTED_VALUE"""),"LT0Q2C01YMN21")</f>
        <v>LT0Q2C01YMN21</v>
      </c>
      <c r="F7361" s="238" t="str">
        <f>IFERROR(__xludf.DUMMYFUNCTION("""COMPUTED_VALUE"""),"RYK0B55,SXA2D29")</f>
        <v>RYK0B55,SXA2D29</v>
      </c>
      <c r="G7361" s="238">
        <f>IFERROR(__xludf.DUMMYFUNCTION("""COMPUTED_VALUE"""),46065.58333333333)</f>
        <v>46065.58333</v>
      </c>
      <c r="H7361" s="238">
        <f>IFERROR(__xludf.DUMMYFUNCTION("""COMPUTED_VALUE"""),46065.95833333333)</f>
        <v>46065.95833</v>
      </c>
      <c r="J7361" s="239">
        <v>538.9999999967404</v>
      </c>
    </row>
    <row r="7362">
      <c r="A7362" s="234"/>
      <c r="B7362" s="238" t="str">
        <f>IFERROR(__xludf.DUMMYFUNCTION("""COMPUTED_VALUE"""),"SoC_SP_Cravinhos")</f>
        <v>SoC_SP_Cravinhos</v>
      </c>
      <c r="C7362" s="238" t="str">
        <f>IFERROR(__xludf.DUMMYFUNCTION("""COMPUTED_VALUE"""),"SOC-SP5")</f>
        <v>SOC-SP5</v>
      </c>
      <c r="D7362" s="234">
        <f>IFERROR(__xludf.DUMMYFUNCTION("""COMPUTED_VALUE"""),95.0)</f>
        <v>95</v>
      </c>
      <c r="E7362" s="237" t="str">
        <f>IFERROR(__xludf.DUMMYFUNCTION("""COMPUTED_VALUE"""),"LT0Q2C01YIV62")</f>
        <v>LT0Q2C01YIV62</v>
      </c>
      <c r="F7362" s="238" t="str">
        <f>IFERROR(__xludf.DUMMYFUNCTION("""COMPUTED_VALUE"""),"OKG0D60,ESU5J89")</f>
        <v>OKG0D60,ESU5J89</v>
      </c>
      <c r="G7362" s="238">
        <f>IFERROR(__xludf.DUMMYFUNCTION("""COMPUTED_VALUE"""),46065.584027777775)</f>
        <v>46065.58403</v>
      </c>
      <c r="H7362" s="238">
        <f>IFERROR(__xludf.DUMMYFUNCTION("""COMPUTED_VALUE"""),46065.95833333333)</f>
        <v>46065.95833</v>
      </c>
      <c r="J7362" s="239">
        <v>538.9999999967404</v>
      </c>
    </row>
    <row r="7363">
      <c r="A7363" s="234"/>
      <c r="B7363" s="238" t="str">
        <f>IFERROR(__xludf.DUMMYFUNCTION("""COMPUTED_VALUE"""),"SoC_PE_Jaboatão dos Guararapes")</f>
        <v>SoC_PE_Jaboatão dos Guararapes</v>
      </c>
      <c r="C7363" s="238" t="str">
        <f>IFERROR(__xludf.DUMMYFUNCTION("""COMPUTED_VALUE"""),"SOC-PE2")</f>
        <v>SOC-PE2</v>
      </c>
      <c r="D7363" s="234">
        <f>IFERROR(__xludf.DUMMYFUNCTION("""COMPUTED_VALUE"""),99.0)</f>
        <v>99</v>
      </c>
      <c r="E7363" s="237" t="str">
        <f>IFERROR(__xludf.DUMMYFUNCTION("""COMPUTED_VALUE"""),"LT0Q2C01YNDF2")</f>
        <v>LT0Q2C01YNDF2</v>
      </c>
      <c r="F7363" s="238" t="str">
        <f>IFERROR(__xludf.DUMMYFUNCTION("""COMPUTED_VALUE"""),"TPN1B67,TPQ3F40")</f>
        <v>TPN1B67,TPQ3F40</v>
      </c>
      <c r="G7363" s="238">
        <f>IFERROR(__xludf.DUMMYFUNCTION("""COMPUTED_VALUE"""),46065.584027777775)</f>
        <v>46065.58403</v>
      </c>
      <c r="H7363" s="238">
        <f>IFERROR(__xludf.DUMMYFUNCTION("""COMPUTED_VALUE"""),46065.95833333333)</f>
        <v>46065.95833</v>
      </c>
      <c r="J7363" s="239">
        <v>538.9999999967404</v>
      </c>
    </row>
    <row r="7364">
      <c r="A7364" s="234"/>
      <c r="B7364" s="238" t="str">
        <f>IFERROR(__xludf.DUMMYFUNCTION("""COMPUTED_VALUE"""),"SoC_GO_Goiânia_02")</f>
        <v>SoC_GO_Goiânia_02</v>
      </c>
      <c r="C7364" s="238" t="str">
        <f>IFERROR(__xludf.DUMMYFUNCTION("""COMPUTED_VALUE"""),"SOC-GO2")</f>
        <v>SOC-GO2</v>
      </c>
      <c r="D7364" s="234">
        <f>IFERROR(__xludf.DUMMYFUNCTION("""COMPUTED_VALUE"""),86.0)</f>
        <v>86</v>
      </c>
      <c r="E7364" s="237" t="str">
        <f>IFERROR(__xludf.DUMMYFUNCTION("""COMPUTED_VALUE"""),"LT0Q2C01YNQN2")</f>
        <v>LT0Q2C01YNQN2</v>
      </c>
      <c r="F7364" s="238" t="str">
        <f>IFERROR(__xludf.DUMMYFUNCTION("""COMPUTED_VALUE"""),"EMT1I92,SWE2J93")</f>
        <v>EMT1I92,SWE2J93</v>
      </c>
      <c r="G7364" s="238">
        <f>IFERROR(__xludf.DUMMYFUNCTION("""COMPUTED_VALUE"""),46065.584027777775)</f>
        <v>46065.58403</v>
      </c>
      <c r="H7364" s="238">
        <f>IFERROR(__xludf.DUMMYFUNCTION("""COMPUTED_VALUE"""),46065.95833333333)</f>
        <v>46065.95833</v>
      </c>
      <c r="J7364" s="239">
        <v>535.9999999869615</v>
      </c>
    </row>
    <row r="7365">
      <c r="A7365" s="234"/>
      <c r="B7365" s="238" t="str">
        <f>IFERROR(__xludf.DUMMYFUNCTION("""COMPUTED_VALUE"""),"SoC_RJ_Duque de Caxias")</f>
        <v>SoC_RJ_Duque de Caxias</v>
      </c>
      <c r="C7365" s="238" t="str">
        <f>IFERROR(__xludf.DUMMYFUNCTION("""COMPUTED_VALUE"""),"SOC-RJ2")</f>
        <v>SOC-RJ2</v>
      </c>
      <c r="D7365" s="234">
        <f>IFERROR(__xludf.DUMMYFUNCTION("""COMPUTED_VALUE"""),96.0)</f>
        <v>96</v>
      </c>
      <c r="E7365" s="237" t="str">
        <f>IFERROR(__xludf.DUMMYFUNCTION("""COMPUTED_VALUE"""),"LT0Q2C01YFMV1")</f>
        <v>LT0Q2C01YFMV1</v>
      </c>
      <c r="F7365" s="238" t="str">
        <f>IFERROR(__xludf.DUMMYFUNCTION("""COMPUTED_VALUE"""),"KXM4B70,LQL5I80")</f>
        <v>KXM4B70,LQL5I80</v>
      </c>
      <c r="G7365" s="238">
        <f>IFERROR(__xludf.DUMMYFUNCTION("""COMPUTED_VALUE"""),46065.586111111115)</f>
        <v>46065.58611</v>
      </c>
      <c r="H7365" s="238">
        <f>IFERROR(__xludf.DUMMYFUNCTION("""COMPUTED_VALUE"""),46065.95833333333)</f>
        <v>46065.95833</v>
      </c>
      <c r="J7365" s="239">
        <v>360.0</v>
      </c>
    </row>
    <row r="7366">
      <c r="A7366" s="234"/>
      <c r="B7366" s="238" t="str">
        <f>IFERROR(__xludf.DUMMYFUNCTION("""COMPUTED_VALUE"""),"SoC_SP_Louveira")</f>
        <v>SoC_SP_Louveira</v>
      </c>
      <c r="C7366" s="238" t="str">
        <f>IFERROR(__xludf.DUMMYFUNCTION("""COMPUTED_VALUE"""),"SOC-SP7")</f>
        <v>SOC-SP7</v>
      </c>
      <c r="D7366" s="234"/>
      <c r="E7366" s="237" t="str">
        <f>IFERROR(__xludf.DUMMYFUNCTION("""COMPUTED_VALUE"""),"LT1Q2C01YVC71")</f>
        <v>LT1Q2C01YVC71</v>
      </c>
      <c r="F7366" s="238" t="str">
        <f>IFERROR(__xludf.DUMMYFUNCTION("""COMPUTED_VALUE"""),"MSI5B58,GHP3437")</f>
        <v>MSI5B58,GHP3437</v>
      </c>
      <c r="G7366" s="238">
        <f>IFERROR(__xludf.DUMMYFUNCTION("""COMPUTED_VALUE"""),46065.70833333333)</f>
        <v>46065.70833</v>
      </c>
      <c r="H7366" s="238">
        <f>IFERROR(__xludf.DUMMYFUNCTION("""COMPUTED_VALUE"""),46065.95833333333)</f>
        <v>46065.95833</v>
      </c>
      <c r="J7366" s="239">
        <v>120.00000001396984</v>
      </c>
    </row>
    <row r="7367">
      <c r="A7367" s="234"/>
      <c r="B7367" s="238" t="str">
        <f>IFERROR(__xludf.DUMMYFUNCTION("""COMPUTED_VALUE"""),"LM Hub_SP_São Paulo_Lapa")</f>
        <v>LM Hub_SP_São Paulo_Lapa</v>
      </c>
      <c r="C7367" s="238" t="str">
        <f>IFERROR(__xludf.DUMMYFUNCTION("""COMPUTED_VALUE"""),"HUB-LSP-15")</f>
        <v>HUB-LSP-15</v>
      </c>
      <c r="D7367" s="234">
        <f>IFERROR(__xludf.DUMMYFUNCTION("""COMPUTED_VALUE"""),16.0)</f>
        <v>16</v>
      </c>
      <c r="E7367" s="237" t="str">
        <f>IFERROR(__xludf.DUMMYFUNCTION("""COMPUTED_VALUE"""),"LT0Q2C01YIX01")</f>
        <v>LT0Q2C01YIX01</v>
      </c>
      <c r="F7367" s="238" t="str">
        <f>IFERROR(__xludf.DUMMYFUNCTION("""COMPUTED_VALUE"""),"QPV1A02,ELQ6F04")</f>
        <v>QPV1A02,ELQ6F04</v>
      </c>
      <c r="G7367" s="238">
        <f>IFERROR(__xludf.DUMMYFUNCTION("""COMPUTED_VALUE"""),46065.89583333333)</f>
        <v>46065.89583</v>
      </c>
      <c r="H7367" s="238">
        <f>IFERROR(__xludf.DUMMYFUNCTION("""COMPUTED_VALUE"""),46065.97916666667)</f>
        <v>46065.97917</v>
      </c>
      <c r="J7367" s="239">
        <v>118.00000000745058</v>
      </c>
    </row>
    <row r="7368">
      <c r="A7368" s="234"/>
      <c r="B7368" s="238" t="str">
        <f>IFERROR(__xludf.DUMMYFUNCTION("""COMPUTED_VALUE"""),"LM Hub_SP_Jurubatuba")</f>
        <v>LM Hub_SP_Jurubatuba</v>
      </c>
      <c r="C7368" s="238" t="str">
        <f>IFERROR(__xludf.DUMMYFUNCTION("""COMPUTED_VALUE"""),"HUB-LSP-16")</f>
        <v>HUB-LSP-16</v>
      </c>
      <c r="D7368" s="234">
        <f>IFERROR(__xludf.DUMMYFUNCTION("""COMPUTED_VALUE"""),25.0)</f>
        <v>25</v>
      </c>
      <c r="E7368" s="237" t="str">
        <f>IFERROR(__xludf.DUMMYFUNCTION("""COMPUTED_VALUE"""),"LT0Q2C01YIX81")</f>
        <v>LT0Q2C01YIX81</v>
      </c>
      <c r="F7368" s="238" t="str">
        <f>IFERROR(__xludf.DUMMYFUNCTION("""COMPUTED_VALUE"""),"IUK6F70")</f>
        <v>IUK6F70</v>
      </c>
      <c r="G7368" s="238">
        <f>IFERROR(__xludf.DUMMYFUNCTION("""COMPUTED_VALUE"""),46065.89722222222)</f>
        <v>46065.89722</v>
      </c>
      <c r="H7368" s="238">
        <f>IFERROR(__xludf.DUMMYFUNCTION("""COMPUTED_VALUE"""),46065.97916666667)</f>
        <v>46065.97917</v>
      </c>
      <c r="J7368" s="239">
        <v>117.9999999969732</v>
      </c>
    </row>
    <row r="7369">
      <c r="A7369" s="234"/>
      <c r="B7369" s="238" t="str">
        <f>IFERROR(__xludf.DUMMYFUNCTION("""COMPUTED_VALUE"""),"LM Hub_SP_Guarujá")</f>
        <v>LM Hub_SP_Guarujá</v>
      </c>
      <c r="C7369" s="238" t="str">
        <f>IFERROR(__xludf.DUMMYFUNCTION("""COMPUTED_VALUE"""),"HUB-LSP-06")</f>
        <v>HUB-LSP-06</v>
      </c>
      <c r="D7369" s="234">
        <f>IFERROR(__xludf.DUMMYFUNCTION("""COMPUTED_VALUE"""),33.0)</f>
        <v>33</v>
      </c>
      <c r="E7369" s="237" t="str">
        <f>IFERROR(__xludf.DUMMYFUNCTION("""COMPUTED_VALUE"""),"LT0Q2C01YF981")</f>
        <v>LT0Q2C01YF981</v>
      </c>
      <c r="F7369" s="238" t="str">
        <f>IFERROR(__xludf.DUMMYFUNCTION("""COMPUTED_VALUE"""),"EJZ8E20")</f>
        <v>EJZ8E20</v>
      </c>
      <c r="G7369" s="238">
        <f>IFERROR(__xludf.DUMMYFUNCTION("""COMPUTED_VALUE"""),46065.91736111111)</f>
        <v>46065.91736</v>
      </c>
      <c r="H7369" s="238">
        <f>IFERROR(__xludf.DUMMYFUNCTION("""COMPUTED_VALUE"""),46065.99930555555)</f>
        <v>46065.99931</v>
      </c>
      <c r="J7369" s="239">
        <v>540.0</v>
      </c>
    </row>
    <row r="7370">
      <c r="A7370" s="234"/>
      <c r="B7370" s="238" t="str">
        <f>IFERROR(__xludf.DUMMYFUNCTION("""COMPUTED_VALUE"""),"SoC_MG_Betim")</f>
        <v>SoC_MG_Betim</v>
      </c>
      <c r="C7370" s="238" t="str">
        <f>IFERROR(__xludf.DUMMYFUNCTION("""COMPUTED_VALUE"""),"SOC-MG2")</f>
        <v>SOC-MG2</v>
      </c>
      <c r="D7370" s="234">
        <f>IFERROR(__xludf.DUMMYFUNCTION("""COMPUTED_VALUE"""),90.0)</f>
        <v>90</v>
      </c>
      <c r="E7370" s="237" t="str">
        <f>IFERROR(__xludf.DUMMYFUNCTION("""COMPUTED_VALUE"""),"LT0Q2C01YITN4")</f>
        <v>LT0Q2C01YITN4</v>
      </c>
      <c r="F7370" s="238" t="str">
        <f>IFERROR(__xludf.DUMMYFUNCTION("""COMPUTED_VALUE"""),"FUR8D94,UDF4J25")</f>
        <v>FUR8D94,UDF4J25</v>
      </c>
      <c r="G7370" s="238">
        <f>IFERROR(__xludf.DUMMYFUNCTION("""COMPUTED_VALUE"""),46065.625)</f>
        <v>46065.625</v>
      </c>
      <c r="H7370" s="238">
        <f>IFERROR(__xludf.DUMMYFUNCTION("""COMPUTED_VALUE"""),46066.0)</f>
        <v>46066</v>
      </c>
      <c r="J7370" s="239">
        <v>119.99999999301508</v>
      </c>
    </row>
    <row r="7371">
      <c r="A7371" s="234"/>
      <c r="B7371" s="238" t="str">
        <f>IFERROR(__xludf.DUMMYFUNCTION("""COMPUTED_VALUE"""),"LM Hub_SP_Itapevi")</f>
        <v>LM Hub_SP_Itapevi</v>
      </c>
      <c r="C7371" s="238" t="str">
        <f>IFERROR(__xludf.DUMMYFUNCTION("""COMPUTED_VALUE"""),"HUB-LSP-41")</f>
        <v>HUB-LSP-41</v>
      </c>
      <c r="D7371" s="234">
        <f>IFERROR(__xludf.DUMMYFUNCTION("""COMPUTED_VALUE"""),20.0)</f>
        <v>20</v>
      </c>
      <c r="E7371" s="237" t="str">
        <f>IFERROR(__xludf.DUMMYFUNCTION("""COMPUTED_VALUE"""),"LT0Q2C01YIXR1")</f>
        <v>LT0Q2C01YIXR1</v>
      </c>
      <c r="F7371" s="238" t="str">
        <f>IFERROR(__xludf.DUMMYFUNCTION("""COMPUTED_VALUE"""),"BCS4J31,DJB0J76")</f>
        <v>BCS4J31,DJB0J76</v>
      </c>
      <c r="G7371" s="238">
        <f>IFERROR(__xludf.DUMMYFUNCTION("""COMPUTED_VALUE"""),46065.91666666667)</f>
        <v>46065.91667</v>
      </c>
      <c r="H7371" s="238">
        <f>IFERROR(__xludf.DUMMYFUNCTION("""COMPUTED_VALUE"""),46066.0)</f>
        <v>46066</v>
      </c>
      <c r="J7371" s="239">
        <v>119.99999999301508</v>
      </c>
    </row>
    <row r="7372">
      <c r="A7372" s="234"/>
      <c r="B7372" s="238" t="str">
        <f>IFERROR(__xludf.DUMMYFUNCTION("""COMPUTED_VALUE"""),"LM Hub_SP_Osasco_02")</f>
        <v>LM Hub_SP_Osasco_02</v>
      </c>
      <c r="C7372" s="238" t="str">
        <f>IFERROR(__xludf.DUMMYFUNCTION("""COMPUTED_VALUE"""),"HUB-LSP-60")</f>
        <v>HUB-LSP-60</v>
      </c>
      <c r="D7372" s="234">
        <f>IFERROR(__xludf.DUMMYFUNCTION("""COMPUTED_VALUE"""),26.0)</f>
        <v>26</v>
      </c>
      <c r="E7372" s="237" t="str">
        <f>IFERROR(__xludf.DUMMYFUNCTION("""COMPUTED_VALUE"""),"LT0Q2C01YIXY1")</f>
        <v>LT0Q2C01YIXY1</v>
      </c>
      <c r="F7372" s="238" t="str">
        <f>IFERROR(__xludf.DUMMYFUNCTION("""COMPUTED_VALUE"""),"GEU7E10,ELW6J74")</f>
        <v>GEU7E10,ELW6J74</v>
      </c>
      <c r="G7372" s="238">
        <f>IFERROR(__xludf.DUMMYFUNCTION("""COMPUTED_VALUE"""),46065.91666666667)</f>
        <v>46065.91667</v>
      </c>
      <c r="H7372" s="238">
        <f>IFERROR(__xludf.DUMMYFUNCTION("""COMPUTED_VALUE"""),46066.0)</f>
        <v>46066</v>
      </c>
      <c r="J7372" s="239">
        <v>119.99999999301508</v>
      </c>
    </row>
    <row r="7373">
      <c r="A7373" s="234"/>
      <c r="B7373" s="238" t="str">
        <f>IFERROR(__xludf.DUMMYFUNCTION("""COMPUTED_VALUE"""),"LM Hub_SP_Guarulhos")</f>
        <v>LM Hub_SP_Guarulhos</v>
      </c>
      <c r="C7373" s="238" t="str">
        <f>IFERROR(__xludf.DUMMYFUNCTION("""COMPUTED_VALUE"""),"HUB-LSP-77")</f>
        <v>HUB-LSP-77</v>
      </c>
      <c r="D7373" s="234">
        <f>IFERROR(__xludf.DUMMYFUNCTION("""COMPUTED_VALUE"""),14.0)</f>
        <v>14</v>
      </c>
      <c r="E7373" s="237" t="str">
        <f>IFERROR(__xludf.DUMMYFUNCTION("""COMPUTED_VALUE"""),"LT0Q2C01YJL51")</f>
        <v>LT0Q2C01YJL51</v>
      </c>
      <c r="F7373" s="238" t="str">
        <f>IFERROR(__xludf.DUMMYFUNCTION("""COMPUTED_VALUE"""),"IQS6G33,NOJ3B38")</f>
        <v>IQS6G33,NOJ3B38</v>
      </c>
      <c r="G7373" s="238">
        <f>IFERROR(__xludf.DUMMYFUNCTION("""COMPUTED_VALUE"""),46065.91666666667)</f>
        <v>46065.91667</v>
      </c>
      <c r="H7373" s="238">
        <f>IFERROR(__xludf.DUMMYFUNCTION("""COMPUTED_VALUE"""),46066.0)</f>
        <v>46066</v>
      </c>
      <c r="J7373" s="239">
        <v>119.99999999301508</v>
      </c>
    </row>
    <row r="7374">
      <c r="A7374" s="234"/>
      <c r="B7374" s="238" t="str">
        <f>IFERROR(__xludf.DUMMYFUNCTION("""COMPUTED_VALUE"""),"LM Hub_SP_São José do Rio P")</f>
        <v>LM Hub_SP_São José do Rio P</v>
      </c>
      <c r="C7374" s="238" t="str">
        <f>IFERROR(__xludf.DUMMYFUNCTION("""COMPUTED_VALUE"""),"HUB-LSP-27")</f>
        <v>HUB-LSP-27</v>
      </c>
      <c r="D7374" s="234">
        <f>IFERROR(__xludf.DUMMYFUNCTION("""COMPUTED_VALUE"""),113.0)</f>
        <v>113</v>
      </c>
      <c r="E7374" s="237" t="str">
        <f>IFERROR(__xludf.DUMMYFUNCTION("""COMPUTED_VALUE"""),"LT0Q2C01YM6N1")</f>
        <v>LT0Q2C01YM6N1</v>
      </c>
      <c r="F7374" s="238" t="str">
        <f>IFERROR(__xludf.DUMMYFUNCTION("""COMPUTED_VALUE"""),"OPD8413")</f>
        <v>OPD8413</v>
      </c>
      <c r="G7374" s="238">
        <f>IFERROR(__xludf.DUMMYFUNCTION("""COMPUTED_VALUE"""),46065.91666666667)</f>
        <v>46065.91667</v>
      </c>
      <c r="H7374" s="238">
        <f>IFERROR(__xludf.DUMMYFUNCTION("""COMPUTED_VALUE"""),46066.0)</f>
        <v>46066</v>
      </c>
      <c r="J7374" s="239">
        <v>119.99999999301508</v>
      </c>
    </row>
    <row r="7375">
      <c r="A7375" s="234"/>
      <c r="B7375" s="238" t="str">
        <f>IFERROR(__xludf.DUMMYFUNCTION("""COMPUTED_VALUE"""),"LM Hub_SP_Barueri_01")</f>
        <v>LM Hub_SP_Barueri_01</v>
      </c>
      <c r="C7375" s="238" t="str">
        <f>IFERROR(__xludf.DUMMYFUNCTION("""COMPUTED_VALUE"""),"HUB-LSP-81")</f>
        <v>HUB-LSP-81</v>
      </c>
      <c r="D7375" s="234">
        <f>IFERROR(__xludf.DUMMYFUNCTION("""COMPUTED_VALUE"""),21.0)</f>
        <v>21</v>
      </c>
      <c r="E7375" s="237" t="str">
        <f>IFERROR(__xludf.DUMMYFUNCTION("""COMPUTED_VALUE"""),"LT0Q2C01YN6F1")</f>
        <v>LT0Q2C01YN6F1</v>
      </c>
      <c r="F7375" s="238" t="str">
        <f>IFERROR(__xludf.DUMMYFUNCTION("""COMPUTED_VALUE"""),"SUQ5C99,TLD5B82")</f>
        <v>SUQ5C99,TLD5B82</v>
      </c>
      <c r="G7375" s="238">
        <f>IFERROR(__xludf.DUMMYFUNCTION("""COMPUTED_VALUE"""),46065.91666666667)</f>
        <v>46065.91667</v>
      </c>
      <c r="H7375" s="238">
        <f>IFERROR(__xludf.DUMMYFUNCTION("""COMPUTED_VALUE"""),46066.0)</f>
        <v>46066</v>
      </c>
      <c r="J7375" s="239">
        <v>119.99999999301508</v>
      </c>
    </row>
    <row r="7376">
      <c r="A7376" s="234"/>
      <c r="B7376" s="238" t="str">
        <f>IFERROR(__xludf.DUMMYFUNCTION("""COMPUTED_VALUE"""),"LM Hub_RS_Porto Alegre_Floresta")</f>
        <v>LM Hub_RS_Porto Alegre_Floresta</v>
      </c>
      <c r="C7376" s="238" t="str">
        <f>IFERROR(__xludf.DUMMYFUNCTION("""COMPUTED_VALUE"""),"HUB-LRS-03")</f>
        <v>HUB-LRS-03</v>
      </c>
      <c r="D7376" s="234">
        <f>IFERROR(__xludf.DUMMYFUNCTION("""COMPUTED_VALUE"""),115.0)</f>
        <v>115</v>
      </c>
      <c r="E7376" s="237" t="str">
        <f>IFERROR(__xludf.DUMMYFUNCTION("""COMPUTED_VALUE"""),"LT0Q2C01YO701")</f>
        <v>LT0Q2C01YO701</v>
      </c>
      <c r="F7376" s="238" t="str">
        <f>IFERROR(__xludf.DUMMYFUNCTION("""COMPUTED_VALUE"""),"QJO3D10")</f>
        <v>QJO3D10</v>
      </c>
      <c r="G7376" s="238">
        <f>IFERROR(__xludf.DUMMYFUNCTION("""COMPUTED_VALUE"""),46065.91666666667)</f>
        <v>46065.91667</v>
      </c>
      <c r="H7376" s="238">
        <f>IFERROR(__xludf.DUMMYFUNCTION("""COMPUTED_VALUE"""),46066.0)</f>
        <v>46066</v>
      </c>
      <c r="J7376" s="239">
        <v>119.99999999301508</v>
      </c>
    </row>
    <row r="7377">
      <c r="A7377" s="234"/>
      <c r="B7377" s="238" t="str">
        <f>IFERROR(__xludf.DUMMYFUNCTION("""COMPUTED_VALUE"""),"LM Hub_SP_Jardim Adriana")</f>
        <v>LM Hub_SP_Jardim Adriana</v>
      </c>
      <c r="C7377" s="238" t="str">
        <f>IFERROR(__xludf.DUMMYFUNCTION("""COMPUTED_VALUE"""),"HUB-LSP-12")</f>
        <v>HUB-LSP-12</v>
      </c>
      <c r="D7377" s="234">
        <f>IFERROR(__xludf.DUMMYFUNCTION("""COMPUTED_VALUE"""),17.0)</f>
        <v>17</v>
      </c>
      <c r="E7377" s="237" t="str">
        <f>IFERROR(__xludf.DUMMYFUNCTION("""COMPUTED_VALUE"""),"LT0Q2C01YIWQ1")</f>
        <v>LT0Q2C01YIWQ1</v>
      </c>
      <c r="F7377" s="238" t="str">
        <f>IFERROR(__xludf.DUMMYFUNCTION("""COMPUTED_VALUE"""),"GCS0J70")</f>
        <v>GCS0J70</v>
      </c>
      <c r="G7377" s="238">
        <f>IFERROR(__xludf.DUMMYFUNCTION("""COMPUTED_VALUE"""),46065.9375)</f>
        <v>46065.9375</v>
      </c>
      <c r="H7377" s="238">
        <f>IFERROR(__xludf.DUMMYFUNCTION("""COMPUTED_VALUE"""),46066.02083333333)</f>
        <v>46066.02083</v>
      </c>
      <c r="J7377" s="239">
        <v>119.99999999301508</v>
      </c>
    </row>
    <row r="7378">
      <c r="A7378" s="234"/>
      <c r="B7378" s="238" t="str">
        <f>IFERROR(__xludf.DUMMYFUNCTION("""COMPUTED_VALUE"""),"LM Hub_SP_São Paulo_Carandiru")</f>
        <v>LM Hub_SP_São Paulo_Carandiru</v>
      </c>
      <c r="C7378" s="238" t="str">
        <f>IFERROR(__xludf.DUMMYFUNCTION("""COMPUTED_VALUE"""),"HUB-LSP-18")</f>
        <v>HUB-LSP-18</v>
      </c>
      <c r="D7378" s="234">
        <f>IFERROR(__xludf.DUMMYFUNCTION("""COMPUTED_VALUE"""),49.0)</f>
        <v>49</v>
      </c>
      <c r="E7378" s="237" t="str">
        <f>IFERROR(__xludf.DUMMYFUNCTION("""COMPUTED_VALUE"""),"LT0Q2C01YIXD1")</f>
        <v>LT0Q2C01YIXD1</v>
      </c>
      <c r="F7378" s="238" t="str">
        <f>IFERROR(__xludf.DUMMYFUNCTION("""COMPUTED_VALUE"""),"AXH9D10")</f>
        <v>AXH9D10</v>
      </c>
      <c r="G7378" s="238">
        <f>IFERROR(__xludf.DUMMYFUNCTION("""COMPUTED_VALUE"""),46065.9375)</f>
        <v>46065.9375</v>
      </c>
      <c r="H7378" s="238">
        <f>IFERROR(__xludf.DUMMYFUNCTION("""COMPUTED_VALUE"""),46066.02083333333)</f>
        <v>46066.02083</v>
      </c>
      <c r="J7378" s="239">
        <v>119.99999999301508</v>
      </c>
    </row>
    <row r="7379">
      <c r="A7379" s="234"/>
      <c r="B7379" s="238" t="str">
        <f>IFERROR(__xludf.DUMMYFUNCTION("""COMPUTED_VALUE"""),"LM Hub_SP_Suzano_Baruel")</f>
        <v>LM Hub_SP_Suzano_Baruel</v>
      </c>
      <c r="C7379" s="238" t="str">
        <f>IFERROR(__xludf.DUMMYFUNCTION("""COMPUTED_VALUE"""),"HUB-LSP-97")</f>
        <v>HUB-LSP-97</v>
      </c>
      <c r="D7379" s="234">
        <f>IFERROR(__xludf.DUMMYFUNCTION("""COMPUTED_VALUE"""),19.0)</f>
        <v>19</v>
      </c>
      <c r="E7379" s="237" t="str">
        <f>IFERROR(__xludf.DUMMYFUNCTION("""COMPUTED_VALUE"""),"LT0Q2C01YOSJ1")</f>
        <v>LT0Q2C01YOSJ1</v>
      </c>
      <c r="F7379" s="238" t="str">
        <f>IFERROR(__xludf.DUMMYFUNCTION("""COMPUTED_VALUE"""),"ODE7J96,UGA3J73")</f>
        <v>ODE7J96,UGA3J73</v>
      </c>
      <c r="G7379" s="238">
        <f>IFERROR(__xludf.DUMMYFUNCTION("""COMPUTED_VALUE"""),46065.9375)</f>
        <v>46065.9375</v>
      </c>
      <c r="H7379" s="238">
        <f>IFERROR(__xludf.DUMMYFUNCTION("""COMPUTED_VALUE"""),46066.02083333333)</f>
        <v>46066.02083</v>
      </c>
      <c r="J7379" s="239">
        <v>119.99999999301508</v>
      </c>
    </row>
    <row r="7380">
      <c r="A7380" s="234"/>
      <c r="B7380" s="238" t="str">
        <f>IFERROR(__xludf.DUMMYFUNCTION("""COMPUTED_VALUE"""),"LM Hub_SP_Piracicaba")</f>
        <v>LM Hub_SP_Piracicaba</v>
      </c>
      <c r="C7380" s="238" t="str">
        <f>IFERROR(__xludf.DUMMYFUNCTION("""COMPUTED_VALUE"""),"HUB-LSP-62")</f>
        <v>HUB-LSP-62</v>
      </c>
      <c r="D7380" s="234">
        <f>IFERROR(__xludf.DUMMYFUNCTION("""COMPUTED_VALUE"""),18.0)</f>
        <v>18</v>
      </c>
      <c r="E7380" s="237" t="str">
        <f>IFERROR(__xludf.DUMMYFUNCTION("""COMPUTED_VALUE"""),"LT0Q2C01YPQE1")</f>
        <v>LT0Q2C01YPQE1</v>
      </c>
      <c r="F7380" s="238" t="str">
        <f>IFERROR(__xludf.DUMMYFUNCTION("""COMPUTED_VALUE"""),"EGB0G74,BKO8351")</f>
        <v>EGB0G74,BKO8351</v>
      </c>
      <c r="G7380" s="238">
        <f>IFERROR(__xludf.DUMMYFUNCTION("""COMPUTED_VALUE"""),46065.9375)</f>
        <v>46065.9375</v>
      </c>
      <c r="H7380" s="238">
        <f>IFERROR(__xludf.DUMMYFUNCTION("""COMPUTED_VALUE"""),46066.02083333333)</f>
        <v>46066.02083</v>
      </c>
      <c r="J7380" s="239">
        <v>118.99999998975545</v>
      </c>
    </row>
    <row r="7381">
      <c r="A7381" s="234"/>
      <c r="B7381" s="238" t="str">
        <f>IFERROR(__xludf.DUMMYFUNCTION("""COMPUTED_VALUE"""),"LM Hub_SP_VilaGuilherme")</f>
        <v>LM Hub_SP_VilaGuilherme</v>
      </c>
      <c r="C7381" s="238" t="str">
        <f>IFERROR(__xludf.DUMMYFUNCTION("""COMPUTED_VALUE"""),"HUB-LSP-68")</f>
        <v>HUB-LSP-68</v>
      </c>
      <c r="D7381" s="234">
        <f>IFERROR(__xludf.DUMMYFUNCTION("""COMPUTED_VALUE"""),34.0)</f>
        <v>34</v>
      </c>
      <c r="E7381" s="237" t="str">
        <f>IFERROR(__xludf.DUMMYFUNCTION("""COMPUTED_VALUE"""),"LT0Q2C01YF8X1")</f>
        <v>LT0Q2C01YF8X1</v>
      </c>
      <c r="F7381" s="234" t="str">
        <f>IFERROR(__xludf.DUMMYFUNCTION("""COMPUTED_VALUE"""),"HFD4H27")</f>
        <v>HFD4H27</v>
      </c>
      <c r="G7381" s="238">
        <f>IFERROR(__xludf.DUMMYFUNCTION("""COMPUTED_VALUE"""),46065.93819444445)</f>
        <v>46065.93819</v>
      </c>
      <c r="H7381" s="238">
        <f>IFERROR(__xludf.DUMMYFUNCTION("""COMPUTED_VALUE"""),46066.02083333333)</f>
        <v>46066.02083</v>
      </c>
      <c r="J7381" s="239">
        <v>118.99999998975545</v>
      </c>
    </row>
    <row r="7382">
      <c r="A7382" s="234"/>
      <c r="B7382" s="238" t="str">
        <f>IFERROR(__xludf.DUMMYFUNCTION("""COMPUTED_VALUE"""),"LM Hub_SP_Parque Novo Mundo")</f>
        <v>LM Hub_SP_Parque Novo Mundo</v>
      </c>
      <c r="C7382" s="238" t="str">
        <f>IFERROR(__xludf.DUMMYFUNCTION("""COMPUTED_VALUE"""),"HUB-LSP-89")</f>
        <v>HUB-LSP-89</v>
      </c>
      <c r="D7382" s="234">
        <f>IFERROR(__xludf.DUMMYFUNCTION("""COMPUTED_VALUE"""),24.0)</f>
        <v>24</v>
      </c>
      <c r="E7382" s="237" t="str">
        <f>IFERROR(__xludf.DUMMYFUNCTION("""COMPUTED_VALUE"""),"LT0Q2C01YFG61")</f>
        <v>LT0Q2C01YFG61</v>
      </c>
      <c r="F7382" s="238" t="str">
        <f>IFERROR(__xludf.DUMMYFUNCTION("""COMPUTED_VALUE"""),"FNK8E47,FAM1829")</f>
        <v>FNK8E47,FAM1829</v>
      </c>
      <c r="G7382" s="238">
        <f>IFERROR(__xludf.DUMMYFUNCTION("""COMPUTED_VALUE"""),46065.93819444445)</f>
        <v>46065.93819</v>
      </c>
      <c r="H7382" s="238">
        <f>IFERROR(__xludf.DUMMYFUNCTION("""COMPUTED_VALUE"""),46066.02083333333)</f>
        <v>46066.02083</v>
      </c>
      <c r="J7382" s="239">
        <v>118.99999998975545</v>
      </c>
    </row>
    <row r="7383">
      <c r="A7383" s="234"/>
      <c r="B7383" s="238" t="str">
        <f>IFERROR(__xludf.DUMMYFUNCTION("""COMPUTED_VALUE"""),"LM Hub_SP_Sorocaba_Região Norte")</f>
        <v>LM Hub_SP_Sorocaba_Região Norte</v>
      </c>
      <c r="C7383" s="238" t="str">
        <f>IFERROR(__xludf.DUMMYFUNCTION("""COMPUTED_VALUE"""),"HUB-LSP-10")</f>
        <v>HUB-LSP-10</v>
      </c>
      <c r="D7383" s="234">
        <f>IFERROR(__xludf.DUMMYFUNCTION("""COMPUTED_VALUE"""),28.0)</f>
        <v>28</v>
      </c>
      <c r="E7383" s="237" t="str">
        <f>IFERROR(__xludf.DUMMYFUNCTION("""COMPUTED_VALUE"""),"LT0Q2C01YJ0B1")</f>
        <v>LT0Q2C01YJ0B1</v>
      </c>
      <c r="F7383" s="238" t="str">
        <f>IFERROR(__xludf.DUMMYFUNCTION("""COMPUTED_VALUE"""),"UAV9I85,UGU0I83")</f>
        <v>UAV9I85,UGU0I83</v>
      </c>
      <c r="G7383" s="238">
        <f>IFERROR(__xludf.DUMMYFUNCTION("""COMPUTED_VALUE"""),46065.93819444445)</f>
        <v>46065.93819</v>
      </c>
      <c r="H7383" s="238">
        <f>IFERROR(__xludf.DUMMYFUNCTION("""COMPUTED_VALUE"""),46066.02083333333)</f>
        <v>46066.02083</v>
      </c>
      <c r="J7383" s="239">
        <v>540.0</v>
      </c>
    </row>
    <row r="7384">
      <c r="A7384" s="234"/>
      <c r="B7384" s="238" t="str">
        <f>IFERROR(__xludf.DUMMYFUNCTION("""COMPUTED_VALUE"""),"SoC_PE_Jaboatão dos Guararapes")</f>
        <v>SoC_PE_Jaboatão dos Guararapes</v>
      </c>
      <c r="C7384" s="238" t="str">
        <f>IFERROR(__xludf.DUMMYFUNCTION("""COMPUTED_VALUE"""),"SOC-PE2")</f>
        <v>SOC-PE2</v>
      </c>
      <c r="D7384" s="234">
        <f>IFERROR(__xludf.DUMMYFUNCTION("""COMPUTED_VALUE"""),98.0)</f>
        <v>98</v>
      </c>
      <c r="E7384" s="237" t="str">
        <f>IFERROR(__xludf.DUMMYFUNCTION("""COMPUTED_VALUE"""),"LT1Q2C01YVUV1")</f>
        <v>LT1Q2C01YVUV1</v>
      </c>
      <c r="F7384" s="238" t="str">
        <f>IFERROR(__xludf.DUMMYFUNCTION("""COMPUTED_VALUE"""),"QRH6I11,GBB1H19")</f>
        <v>QRH6I11,GBB1H19</v>
      </c>
      <c r="G7384" s="238">
        <f>IFERROR(__xludf.DUMMYFUNCTION("""COMPUTED_VALUE"""),46065.66666666667)</f>
        <v>46065.66667</v>
      </c>
      <c r="H7384" s="238">
        <f>IFERROR(__xludf.DUMMYFUNCTION("""COMPUTED_VALUE"""),46066.04166666667)</f>
        <v>46066.04167</v>
      </c>
      <c r="J7384" s="239">
        <v>540.0</v>
      </c>
    </row>
    <row r="7385">
      <c r="A7385" s="234"/>
      <c r="B7385" s="238" t="str">
        <f>IFERROR(__xludf.DUMMYFUNCTION("""COMPUTED_VALUE"""),"SoC_BA_Simoes Filho")</f>
        <v>SoC_BA_Simoes Filho</v>
      </c>
      <c r="C7385" s="238" t="str">
        <f>IFERROR(__xludf.DUMMYFUNCTION("""COMPUTED_VALUE"""),"SOC-BA2")</f>
        <v>SOC-BA2</v>
      </c>
      <c r="D7385" s="234">
        <f>IFERROR(__xludf.DUMMYFUNCTION("""COMPUTED_VALUE"""),89.0)</f>
        <v>89</v>
      </c>
      <c r="E7385" s="237" t="str">
        <f>IFERROR(__xludf.DUMMYFUNCTION("""COMPUTED_VALUE"""),"LT1Q2C01YVUZ1")</f>
        <v>LT1Q2C01YVUZ1</v>
      </c>
      <c r="F7385" s="238" t="str">
        <f>IFERROR(__xludf.DUMMYFUNCTION("""COMPUTED_VALUE"""),"FXT1D22,SHH0J80")</f>
        <v>FXT1D22,SHH0J80</v>
      </c>
      <c r="G7385" s="238">
        <f>IFERROR(__xludf.DUMMYFUNCTION("""COMPUTED_VALUE"""),46065.66666666667)</f>
        <v>46065.66667</v>
      </c>
      <c r="H7385" s="238">
        <f>IFERROR(__xludf.DUMMYFUNCTION("""COMPUTED_VALUE"""),46066.04166666667)</f>
        <v>46066.04167</v>
      </c>
      <c r="J7385" s="239">
        <v>120.00000001396984</v>
      </c>
    </row>
    <row r="7386">
      <c r="A7386" s="234"/>
      <c r="B7386" s="238" t="str">
        <f>IFERROR(__xludf.DUMMYFUNCTION("""COMPUTED_VALUE"""),"LM Hub_SP_Mogi Mirim")</f>
        <v>LM Hub_SP_Mogi Mirim</v>
      </c>
      <c r="C7386" s="238" t="str">
        <f>IFERROR(__xludf.DUMMYFUNCTION("""COMPUTED_VALUE"""),"HUB-LSP-37")</f>
        <v>HUB-LSP-37</v>
      </c>
      <c r="D7386" s="234">
        <f>IFERROR(__xludf.DUMMYFUNCTION("""COMPUTED_VALUE"""),23.0)</f>
        <v>23</v>
      </c>
      <c r="E7386" s="237" t="str">
        <f>IFERROR(__xludf.DUMMYFUNCTION("""COMPUTED_VALUE"""),"LT0Q2C01YJ1H1")</f>
        <v>LT0Q2C01YJ1H1</v>
      </c>
      <c r="F7386" s="238" t="str">
        <f>IFERROR(__xludf.DUMMYFUNCTION("""COMPUTED_VALUE"""),"FLN0H65,FTJ9A92")</f>
        <v>FLN0H65,FTJ9A92</v>
      </c>
      <c r="G7386" s="238">
        <f>IFERROR(__xludf.DUMMYFUNCTION("""COMPUTED_VALUE"""),46065.95833333333)</f>
        <v>46065.95833</v>
      </c>
      <c r="H7386" s="238">
        <f>IFERROR(__xludf.DUMMYFUNCTION("""COMPUTED_VALUE"""),46066.04166666667)</f>
        <v>46066.04167</v>
      </c>
      <c r="J7386" s="239">
        <v>120.00000001396984</v>
      </c>
    </row>
    <row r="7387">
      <c r="A7387" s="234"/>
      <c r="B7387" s="238" t="str">
        <f>IFERROR(__xludf.DUMMYFUNCTION("""COMPUTED_VALUE"""),"LM Hub_RJ_Nova Iguaçu")</f>
        <v>LM Hub_RJ_Nova Iguaçu</v>
      </c>
      <c r="C7387" s="238" t="str">
        <f>IFERROR(__xludf.DUMMYFUNCTION("""COMPUTED_VALUE"""),"HUB-LRJ-27")</f>
        <v>HUB-LRJ-27</v>
      </c>
      <c r="D7387" s="234">
        <f>IFERROR(__xludf.DUMMYFUNCTION("""COMPUTED_VALUE"""),110.0)</f>
        <v>110</v>
      </c>
      <c r="E7387" s="237" t="str">
        <f>IFERROR(__xludf.DUMMYFUNCTION("""COMPUTED_VALUE"""),"LT0Q2C01YNMJ1")</f>
        <v>LT0Q2C01YNMJ1</v>
      </c>
      <c r="F7387" s="238" t="str">
        <f>IFERROR(__xludf.DUMMYFUNCTION("""COMPUTED_VALUE"""),"TVA2J65")</f>
        <v>TVA2J65</v>
      </c>
      <c r="G7387" s="238">
        <f>IFERROR(__xludf.DUMMYFUNCTION("""COMPUTED_VALUE"""),46065.95833333333)</f>
        <v>46065.95833</v>
      </c>
      <c r="H7387" s="238">
        <f>IFERROR(__xludf.DUMMYFUNCTION("""COMPUTED_VALUE"""),46066.04166666667)</f>
        <v>46066.04167</v>
      </c>
      <c r="J7387" s="239">
        <v>120.00000001396984</v>
      </c>
    </row>
    <row r="7388">
      <c r="A7388" s="234"/>
      <c r="B7388" s="238" t="str">
        <f>IFERROR(__xludf.DUMMYFUNCTION("""COMPUTED_VALUE"""),"LM Hub_RJ_São João do Meriti")</f>
        <v>LM Hub_RJ_São João do Meriti</v>
      </c>
      <c r="C7388" s="238" t="str">
        <f>IFERROR(__xludf.DUMMYFUNCTION("""COMPUTED_VALUE"""),"HUB-LRJ-01")</f>
        <v>HUB-LRJ-01</v>
      </c>
      <c r="D7388" s="234">
        <f>IFERROR(__xludf.DUMMYFUNCTION("""COMPUTED_VALUE"""),117.0)</f>
        <v>117</v>
      </c>
      <c r="E7388" s="237" t="str">
        <f>IFERROR(__xludf.DUMMYFUNCTION("""COMPUTED_VALUE"""),"LT0Q2C01YNNH1")</f>
        <v>LT0Q2C01YNNH1</v>
      </c>
      <c r="F7388" s="238" t="str">
        <f>IFERROR(__xludf.DUMMYFUNCTION("""COMPUTED_VALUE"""),"UDI0A98")</f>
        <v>UDI0A98</v>
      </c>
      <c r="G7388" s="238">
        <f>IFERROR(__xludf.DUMMYFUNCTION("""COMPUTED_VALUE"""),46065.95833333333)</f>
        <v>46065.95833</v>
      </c>
      <c r="H7388" s="238">
        <f>IFERROR(__xludf.DUMMYFUNCTION("""COMPUTED_VALUE"""),46066.04166666667)</f>
        <v>46066.04167</v>
      </c>
      <c r="J7388" s="239">
        <v>119.99999999301508</v>
      </c>
    </row>
    <row r="7389">
      <c r="A7389" s="234"/>
      <c r="B7389" s="238" t="str">
        <f>IFERROR(__xludf.DUMMYFUNCTION("""COMPUTED_VALUE"""),"LM Hub_SP_Araraquara")</f>
        <v>LM Hub_SP_Araraquara</v>
      </c>
      <c r="C7389" s="238" t="str">
        <f>IFERROR(__xludf.DUMMYFUNCTION("""COMPUTED_VALUE"""),"HUB-LSP-29")</f>
        <v>HUB-LSP-29</v>
      </c>
      <c r="D7389" s="234">
        <f>IFERROR(__xludf.DUMMYFUNCTION("""COMPUTED_VALUE"""),22.0)</f>
        <v>22</v>
      </c>
      <c r="E7389" s="237" t="str">
        <f>IFERROR(__xludf.DUMMYFUNCTION("""COMPUTED_VALUE"""),"LT0Q2C01YJ1N1")</f>
        <v>LT0Q2C01YJ1N1</v>
      </c>
      <c r="F7389" s="238" t="str">
        <f>IFERROR(__xludf.DUMMYFUNCTION("""COMPUTED_VALUE"""),"ISQ7F01,ANM9G89")</f>
        <v>ISQ7F01,ANM9G89</v>
      </c>
      <c r="G7389" s="238">
        <f>IFERROR(__xludf.DUMMYFUNCTION("""COMPUTED_VALUE"""),46065.97916666667)</f>
        <v>46065.97917</v>
      </c>
      <c r="H7389" s="238">
        <f>IFERROR(__xludf.DUMMYFUNCTION("""COMPUTED_VALUE"""),46066.0625)</f>
        <v>46066.0625</v>
      </c>
      <c r="J7389" s="239">
        <v>119.99999999301508</v>
      </c>
    </row>
    <row r="7390">
      <c r="A7390" s="234"/>
      <c r="B7390" s="238" t="str">
        <f>IFERROR(__xludf.DUMMYFUNCTION("""COMPUTED_VALUE"""),"LM Hub_SP_Várzea Paulista")</f>
        <v>LM Hub_SP_Várzea Paulista</v>
      </c>
      <c r="C7390" s="238" t="str">
        <f>IFERROR(__xludf.DUMMYFUNCTION("""COMPUTED_VALUE"""),"HUB-LSP-20")</f>
        <v>HUB-LSP-20</v>
      </c>
      <c r="D7390" s="234">
        <f>IFERROR(__xludf.DUMMYFUNCTION("""COMPUTED_VALUE"""),15.0)</f>
        <v>15</v>
      </c>
      <c r="E7390" s="237" t="str">
        <f>IFERROR(__xludf.DUMMYFUNCTION("""COMPUTED_VALUE"""),"LT0Q2C01YJ231")</f>
        <v>LT0Q2C01YJ231</v>
      </c>
      <c r="F7390" s="238" t="str">
        <f>IFERROR(__xludf.DUMMYFUNCTION("""COMPUTED_VALUE"""),"RJG8E37,FCG5D30")</f>
        <v>RJG8E37,FCG5D30</v>
      </c>
      <c r="G7390" s="238">
        <f>IFERROR(__xludf.DUMMYFUNCTION("""COMPUTED_VALUE"""),46065.97916666667)</f>
        <v>46065.97917</v>
      </c>
      <c r="H7390" s="238">
        <f>IFERROR(__xludf.DUMMYFUNCTION("""COMPUTED_VALUE"""),46066.0625)</f>
        <v>46066.0625</v>
      </c>
      <c r="J7390" s="239">
        <v>119.99999999301508</v>
      </c>
    </row>
    <row r="7391">
      <c r="A7391" s="234"/>
      <c r="B7391" s="238" t="str">
        <f>IFERROR(__xludf.DUMMYFUNCTION("""COMPUTED_VALUE"""),"LM Hub_SP_Atibaia_Ponte_Alta")</f>
        <v>LM Hub_SP_Atibaia_Ponte_Alta</v>
      </c>
      <c r="C7391" s="238" t="str">
        <f>IFERROR(__xludf.DUMMYFUNCTION("""COMPUTED_VALUE"""),"HUB-LSP-87")</f>
        <v>HUB-LSP-87</v>
      </c>
      <c r="D7391" s="234">
        <f>IFERROR(__xludf.DUMMYFUNCTION("""COMPUTED_VALUE"""),29.0)</f>
        <v>29</v>
      </c>
      <c r="E7391" s="237" t="str">
        <f>IFERROR(__xludf.DUMMYFUNCTION("""COMPUTED_VALUE"""),"LT0Q2C01YM2I1")</f>
        <v>LT0Q2C01YM2I1</v>
      </c>
      <c r="F7391" s="238" t="str">
        <f>IFERROR(__xludf.DUMMYFUNCTION("""COMPUTED_VALUE"""),"FVE2A86,SSX3G22")</f>
        <v>FVE2A86,SSX3G22</v>
      </c>
      <c r="G7391" s="238">
        <f>IFERROR(__xludf.DUMMYFUNCTION("""COMPUTED_VALUE"""),46065.97916666667)</f>
        <v>46065.97917</v>
      </c>
      <c r="H7391" s="238">
        <f>IFERROR(__xludf.DUMMYFUNCTION("""COMPUTED_VALUE"""),46066.0625)</f>
        <v>46066.0625</v>
      </c>
      <c r="J7391" s="239">
        <v>119.99999999301508</v>
      </c>
    </row>
    <row r="7392">
      <c r="A7392" s="234"/>
      <c r="B7392" s="238" t="str">
        <f>IFERROR(__xludf.DUMMYFUNCTION("""COMPUTED_VALUE"""),"SoC_PR_Curitiba")</f>
        <v>SoC_PR_Curitiba</v>
      </c>
      <c r="C7392" s="238" t="str">
        <f>IFERROR(__xludf.DUMMYFUNCTION("""COMPUTED_VALUE"""),"SOC-PR1")</f>
        <v>SOC-PR1</v>
      </c>
      <c r="D7392" s="234">
        <f>IFERROR(__xludf.DUMMYFUNCTION("""COMPUTED_VALUE"""),41.0)</f>
        <v>41</v>
      </c>
      <c r="E7392" s="237" t="str">
        <f>IFERROR(__xludf.DUMMYFUNCTION("""COMPUTED_VALUE"""),"LT0Q2D01YIU91")</f>
        <v>LT0Q2D01YIU91</v>
      </c>
      <c r="F7392" s="238" t="str">
        <f>IFERROR(__xludf.DUMMYFUNCTION("""COMPUTED_VALUE"""),"MFB3494,EWJ0611")</f>
        <v>MFB3494,EWJ0611</v>
      </c>
      <c r="G7392" s="238">
        <f>IFERROR(__xludf.DUMMYFUNCTION("""COMPUTED_VALUE"""),46066.0)</f>
        <v>46066</v>
      </c>
      <c r="H7392" s="238">
        <f>IFERROR(__xludf.DUMMYFUNCTION("""COMPUTED_VALUE"""),46066.08333333333)</f>
        <v>46066.08333</v>
      </c>
      <c r="J7392" s="239">
        <v>119.99999999301508</v>
      </c>
    </row>
    <row r="7393">
      <c r="A7393" s="234"/>
      <c r="B7393" s="238" t="str">
        <f>IFERROR(__xludf.DUMMYFUNCTION("""COMPUTED_VALUE"""),"SoC_SP_Louveira")</f>
        <v>SoC_SP_Louveira</v>
      </c>
      <c r="C7393" s="238" t="str">
        <f>IFERROR(__xludf.DUMMYFUNCTION("""COMPUTED_VALUE"""),"SOC-SP7")</f>
        <v>SOC-SP7</v>
      </c>
      <c r="D7393" s="234"/>
      <c r="E7393" s="237" t="str">
        <f>IFERROR(__xludf.DUMMYFUNCTION("""COMPUTED_VALUE"""),"LT0Q2D01YIVU1")</f>
        <v>LT0Q2D01YIVU1</v>
      </c>
      <c r="F7393" s="238" t="str">
        <f>IFERROR(__xludf.DUMMYFUNCTION("""COMPUTED_VALUE"""),"GDL9D12,GJM4992")</f>
        <v>GDL9D12,GJM4992</v>
      </c>
      <c r="G7393" s="238">
        <f>IFERROR(__xludf.DUMMYFUNCTION("""COMPUTED_VALUE"""),46066.0)</f>
        <v>46066</v>
      </c>
      <c r="H7393" s="238">
        <f>IFERROR(__xludf.DUMMYFUNCTION("""COMPUTED_VALUE"""),46066.08333333333)</f>
        <v>46066.08333</v>
      </c>
      <c r="J7393" s="239">
        <v>119.99999999301508</v>
      </c>
    </row>
    <row r="7394">
      <c r="A7394" s="234"/>
      <c r="B7394" s="238" t="str">
        <f>IFERROR(__xludf.DUMMYFUNCTION("""COMPUTED_VALUE"""),"LM Hub_SP_Tatuí")</f>
        <v>LM Hub_SP_Tatuí</v>
      </c>
      <c r="C7394" s="238" t="str">
        <f>IFERROR(__xludf.DUMMYFUNCTION("""COMPUTED_VALUE"""),"HUB-LSP-51")</f>
        <v>HUB-LSP-51</v>
      </c>
      <c r="D7394" s="234">
        <f>IFERROR(__xludf.DUMMYFUNCTION("""COMPUTED_VALUE"""),35.0)</f>
        <v>35</v>
      </c>
      <c r="E7394" s="237" t="str">
        <f>IFERROR(__xludf.DUMMYFUNCTION("""COMPUTED_VALUE"""),"LT0Q2D01YIYO1")</f>
        <v>LT0Q2D01YIYO1</v>
      </c>
      <c r="F7394" s="238" t="str">
        <f>IFERROR(__xludf.DUMMYFUNCTION("""COMPUTED_VALUE"""),"SUK7E04,GBX1009")</f>
        <v>SUK7E04,GBX1009</v>
      </c>
      <c r="G7394" s="238">
        <f>IFERROR(__xludf.DUMMYFUNCTION("""COMPUTED_VALUE"""),46066.0)</f>
        <v>46066</v>
      </c>
      <c r="H7394" s="238">
        <f>IFERROR(__xludf.DUMMYFUNCTION("""COMPUTED_VALUE"""),46066.08333333333)</f>
        <v>46066.08333</v>
      </c>
      <c r="J7394" s="239">
        <v>119.99999999301508</v>
      </c>
    </row>
    <row r="7395">
      <c r="A7395" s="234"/>
      <c r="B7395" s="238" t="str">
        <f>IFERROR(__xludf.DUMMYFUNCTION("""COMPUTED_VALUE"""),"LM Hub_RJ_Ilha do Governador")</f>
        <v>LM Hub_RJ_Ilha do Governador</v>
      </c>
      <c r="C7395" s="238" t="str">
        <f>IFERROR(__xludf.DUMMYFUNCTION("""COMPUTED_VALUE"""),"HUB-LRJ-32")</f>
        <v>HUB-LRJ-32</v>
      </c>
      <c r="D7395" s="234">
        <f>IFERROR(__xludf.DUMMYFUNCTION("""COMPUTED_VALUE"""),113.0)</f>
        <v>113</v>
      </c>
      <c r="E7395" s="237" t="str">
        <f>IFERROR(__xludf.DUMMYFUNCTION("""COMPUTED_VALUE"""),"LT0Q2D01YNMZ1")</f>
        <v>LT0Q2D01YNMZ1</v>
      </c>
      <c r="F7395" s="238" t="str">
        <f>IFERROR(__xludf.DUMMYFUNCTION("""COMPUTED_VALUE"""),"FLG8F16")</f>
        <v>FLG8F16</v>
      </c>
      <c r="G7395" s="238">
        <f>IFERROR(__xludf.DUMMYFUNCTION("""COMPUTED_VALUE"""),46066.0)</f>
        <v>46066</v>
      </c>
      <c r="H7395" s="238">
        <f>IFERROR(__xludf.DUMMYFUNCTION("""COMPUTED_VALUE"""),46066.08333333333)</f>
        <v>46066.08333</v>
      </c>
      <c r="J7395" s="239">
        <v>120.00000001396984</v>
      </c>
    </row>
    <row r="7396">
      <c r="A7396" s="234"/>
      <c r="B7396" s="238" t="str">
        <f>IFERROR(__xludf.DUMMYFUNCTION("""COMPUTED_VALUE"""),"LM Hub_MG_Varginha_Fausto")</f>
        <v>LM Hub_MG_Varginha_Fausto</v>
      </c>
      <c r="C7396" s="238" t="str">
        <f>IFERROR(__xludf.DUMMYFUNCTION("""COMPUTED_VALUE"""),"HUB-LMG-45")</f>
        <v>HUB-LMG-45</v>
      </c>
      <c r="D7396" s="234">
        <f>IFERROR(__xludf.DUMMYFUNCTION("""COMPUTED_VALUE"""),114.0)</f>
        <v>114</v>
      </c>
      <c r="E7396" s="237" t="str">
        <f>IFERROR(__xludf.DUMMYFUNCTION("""COMPUTED_VALUE"""),"LT0Q2D01YN5X1")</f>
        <v>LT0Q2D01YN5X1</v>
      </c>
      <c r="F7396" s="238" t="str">
        <f>IFERROR(__xludf.DUMMYFUNCTION("""COMPUTED_VALUE"""),"GGT7B46")</f>
        <v>GGT7B46</v>
      </c>
      <c r="G7396" s="238">
        <f>IFERROR(__xludf.DUMMYFUNCTION("""COMPUTED_VALUE"""),46066.02083333333)</f>
        <v>46066.02083</v>
      </c>
      <c r="H7396" s="238">
        <f>IFERROR(__xludf.DUMMYFUNCTION("""COMPUTED_VALUE"""),46066.10416666667)</f>
        <v>46066.10417</v>
      </c>
      <c r="J7396" s="239">
        <v>540.0</v>
      </c>
    </row>
    <row r="7397">
      <c r="A7397" s="234"/>
      <c r="B7397" s="238" t="str">
        <f>IFERROR(__xludf.DUMMYFUNCTION("""COMPUTED_VALUE"""),"SoC_MG_Betim")</f>
        <v>SoC_MG_Betim</v>
      </c>
      <c r="C7397" s="238" t="str">
        <f>IFERROR(__xludf.DUMMYFUNCTION("""COMPUTED_VALUE"""),"SOC-MG2")</f>
        <v>SOC-MG2</v>
      </c>
      <c r="D7397" s="234">
        <f>IFERROR(__xludf.DUMMYFUNCTION("""COMPUTED_VALUE"""),91.0)</f>
        <v>91</v>
      </c>
      <c r="E7397" s="237" t="str">
        <f>IFERROR(__xludf.DUMMYFUNCTION("""COMPUTED_VALUE"""),"LT0Q2C01YITI1")</f>
        <v>LT0Q2C01YITI1</v>
      </c>
      <c r="F7397" s="238" t="str">
        <f>IFERROR(__xludf.DUMMYFUNCTION("""COMPUTED_VALUE"""),"FCV3J24,TLS7G35")</f>
        <v>FCV3J24,TLS7G35</v>
      </c>
      <c r="G7397" s="238">
        <f>IFERROR(__xludf.DUMMYFUNCTION("""COMPUTED_VALUE"""),46065.75)</f>
        <v>46065.75</v>
      </c>
      <c r="H7397" s="238">
        <f>IFERROR(__xludf.DUMMYFUNCTION("""COMPUTED_VALUE"""),46066.125)</f>
        <v>46066.125</v>
      </c>
      <c r="J7397" s="239">
        <v>120.00000001396984</v>
      </c>
    </row>
    <row r="7398">
      <c r="A7398" s="234"/>
      <c r="B7398" s="238" t="str">
        <f>IFERROR(__xludf.DUMMYFUNCTION("""COMPUTED_VALUE"""),"SoC_SP_Santana")</f>
        <v>SoC_SP_Santana</v>
      </c>
      <c r="C7398" s="238" t="str">
        <f>IFERROR(__xludf.DUMMYFUNCTION("""COMPUTED_VALUE"""),"SOC-SP2")</f>
        <v>SOC-SP2</v>
      </c>
      <c r="D7398" s="234">
        <f>IFERROR(__xludf.DUMMYFUNCTION("""COMPUTED_VALUE"""),28.0)</f>
        <v>28</v>
      </c>
      <c r="E7398" s="237" t="str">
        <f>IFERROR(__xludf.DUMMYFUNCTION("""COMPUTED_VALUE"""),"LT0Q2D01YFDJ1")</f>
        <v>LT0Q2D01YFDJ1</v>
      </c>
      <c r="F7398" s="238" t="str">
        <f>IFERROR(__xludf.DUMMYFUNCTION("""COMPUTED_VALUE"""),"ARS3312,MEK3E28")</f>
        <v>ARS3312,MEK3E28</v>
      </c>
      <c r="G7398" s="238">
        <f>IFERROR(__xludf.DUMMYFUNCTION("""COMPUTED_VALUE"""),46066.08333333333)</f>
        <v>46066.08333</v>
      </c>
      <c r="H7398" s="238">
        <f>IFERROR(__xludf.DUMMYFUNCTION("""COMPUTED_VALUE"""),46066.16666666667)</f>
        <v>46066.16667</v>
      </c>
      <c r="J7398" s="239">
        <v>120.00000001396984</v>
      </c>
    </row>
    <row r="7399">
      <c r="A7399" s="234"/>
      <c r="B7399" s="238" t="str">
        <f>IFERROR(__xludf.DUMMYFUNCTION("""COMPUTED_VALUE"""),"SoC_PE_Jaboatão dos Guararapes")</f>
        <v>SoC_PE_Jaboatão dos Guararapes</v>
      </c>
      <c r="C7399" s="238" t="str">
        <f>IFERROR(__xludf.DUMMYFUNCTION("""COMPUTED_VALUE"""),"SOC-PE2")</f>
        <v>SOC-PE2</v>
      </c>
      <c r="D7399" s="234"/>
      <c r="E7399" s="237" t="str">
        <f>IFERROR(__xludf.DUMMYFUNCTION("""COMPUTED_VALUE"""),"LT1Q2D01YVUY1")</f>
        <v>LT1Q2D01YVUY1</v>
      </c>
      <c r="F7399" s="238" t="str">
        <f>IFERROR(__xludf.DUMMYFUNCTION("""COMPUTED_VALUE"""),"OKZ7J90,OLT9D98")</f>
        <v>OKZ7J90,OLT9D98</v>
      </c>
      <c r="G7399" s="238">
        <f>IFERROR(__xludf.DUMMYFUNCTION("""COMPUTED_VALUE"""),46066.08333333333)</f>
        <v>46066.08333</v>
      </c>
      <c r="H7399" s="238">
        <f>IFERROR(__xludf.DUMMYFUNCTION("""COMPUTED_VALUE"""),46066.16666666667)</f>
        <v>46066.16667</v>
      </c>
      <c r="J7399" s="239">
        <v>119.99999999301508</v>
      </c>
    </row>
    <row r="7400">
      <c r="A7400" s="234"/>
      <c r="B7400" s="238" t="str">
        <f>IFERROR(__xludf.DUMMYFUNCTION("""COMPUTED_VALUE"""),"LM Hub_SP_Itapetininga")</f>
        <v>LM Hub_SP_Itapetininga</v>
      </c>
      <c r="C7400" s="238" t="str">
        <f>IFERROR(__xludf.DUMMYFUNCTION("""COMPUTED_VALUE"""),"HUB-LSP-53")</f>
        <v>HUB-LSP-53</v>
      </c>
      <c r="D7400" s="234">
        <f>IFERROR(__xludf.DUMMYFUNCTION("""COMPUTED_VALUE"""),37.0)</f>
        <v>37</v>
      </c>
      <c r="E7400" s="237" t="str">
        <f>IFERROR(__xludf.DUMMYFUNCTION("""COMPUTED_VALUE"""),"LT0Q2D01YIYI1")</f>
        <v>LT0Q2D01YIYI1</v>
      </c>
      <c r="F7400" s="238" t="str">
        <f>IFERROR(__xludf.DUMMYFUNCTION("""COMPUTED_VALUE"""),"FLO1G76")</f>
        <v>FLO1G76</v>
      </c>
      <c r="G7400" s="238">
        <f>IFERROR(__xludf.DUMMYFUNCTION("""COMPUTED_VALUE"""),46066.10416666667)</f>
        <v>46066.10417</v>
      </c>
      <c r="H7400" s="238">
        <f>IFERROR(__xludf.DUMMYFUNCTION("""COMPUTED_VALUE"""),46066.1875)</f>
        <v>46066.1875</v>
      </c>
      <c r="J7400" s="239">
        <v>119.99999999301508</v>
      </c>
    </row>
    <row r="7401">
      <c r="A7401" s="234"/>
      <c r="B7401" s="238" t="str">
        <f>IFERROR(__xludf.DUMMYFUNCTION("""COMPUTED_VALUE"""),"LM Hub_SP_São Carlos")</f>
        <v>LM Hub_SP_São Carlos</v>
      </c>
      <c r="C7401" s="238" t="str">
        <f>IFERROR(__xludf.DUMMYFUNCTION("""COMPUTED_VALUE"""),"HUB-LSP-31")</f>
        <v>HUB-LSP-31</v>
      </c>
      <c r="D7401" s="234">
        <f>IFERROR(__xludf.DUMMYFUNCTION("""COMPUTED_VALUE"""),32.0)</f>
        <v>32</v>
      </c>
      <c r="E7401" s="237" t="str">
        <f>IFERROR(__xludf.DUMMYFUNCTION("""COMPUTED_VALUE"""),"LT0Q2D01YJ0Z1")</f>
        <v>LT0Q2D01YJ0Z1</v>
      </c>
      <c r="F7401" s="238" t="str">
        <f>IFERROR(__xludf.DUMMYFUNCTION("""COMPUTED_VALUE"""),"OMS0F06")</f>
        <v>OMS0F06</v>
      </c>
      <c r="G7401" s="238">
        <f>IFERROR(__xludf.DUMMYFUNCTION("""COMPUTED_VALUE"""),46066.10416666667)</f>
        <v>46066.10417</v>
      </c>
      <c r="H7401" s="238">
        <f>IFERROR(__xludf.DUMMYFUNCTION("""COMPUTED_VALUE"""),46066.1875)</f>
        <v>46066.1875</v>
      </c>
      <c r="J7401" s="239">
        <v>119.99999999301508</v>
      </c>
    </row>
    <row r="7402">
      <c r="A7402" s="234"/>
      <c r="B7402" s="238" t="str">
        <f>IFERROR(__xludf.DUMMYFUNCTION("""COMPUTED_VALUE"""),"LM Hub_SP_Campinas_PqCidade")</f>
        <v>LM Hub_SP_Campinas_PqCidade</v>
      </c>
      <c r="C7402" s="238" t="str">
        <f>IFERROR(__xludf.DUMMYFUNCTION("""COMPUTED_VALUE"""),"HUB-LSP-105")</f>
        <v>HUB-LSP-105</v>
      </c>
      <c r="D7402" s="234">
        <f>IFERROR(__xludf.DUMMYFUNCTION("""COMPUTED_VALUE"""),116.0)</f>
        <v>116</v>
      </c>
      <c r="E7402" s="237" t="str">
        <f>IFERROR(__xludf.DUMMYFUNCTION("""COMPUTED_VALUE"""),"LT0Q2D01YPX51")</f>
        <v>LT0Q2D01YPX51</v>
      </c>
      <c r="F7402" s="238" t="str">
        <f>IFERROR(__xludf.DUMMYFUNCTION("""COMPUTED_VALUE"""),"GCJ6G71")</f>
        <v>GCJ6G71</v>
      </c>
      <c r="G7402" s="238">
        <f>IFERROR(__xludf.DUMMYFUNCTION("""COMPUTED_VALUE"""),46066.10416666667)</f>
        <v>46066.10417</v>
      </c>
      <c r="H7402" s="238">
        <f>IFERROR(__xludf.DUMMYFUNCTION("""COMPUTED_VALUE"""),46066.1875)</f>
        <v>46066.1875</v>
      </c>
      <c r="J7402" s="239">
        <v>540.0</v>
      </c>
    </row>
    <row r="7403">
      <c r="A7403" s="234"/>
      <c r="B7403" s="238" t="str">
        <f>IFERROR(__xludf.DUMMYFUNCTION("""COMPUTED_VALUE"""),"SoC_RS_Gravataí_02")</f>
        <v>SoC_RS_Gravataí_02</v>
      </c>
      <c r="C7403" s="238" t="str">
        <f>IFERROR(__xludf.DUMMYFUNCTION("""COMPUTED_VALUE"""),"SOC-RS2")</f>
        <v>SOC-RS2</v>
      </c>
      <c r="D7403" s="234">
        <f>IFERROR(__xludf.DUMMYFUNCTION("""COMPUTED_VALUE"""),93.0)</f>
        <v>93</v>
      </c>
      <c r="E7403" s="237" t="str">
        <f>IFERROR(__xludf.DUMMYFUNCTION("""COMPUTED_VALUE"""),"LT1Q2C01YVV21")</f>
        <v>LT1Q2C01YVV21</v>
      </c>
      <c r="F7403" s="238" t="str">
        <f>IFERROR(__xludf.DUMMYFUNCTION("""COMPUTED_VALUE"""),"FMM3I25,IWT9A98")</f>
        <v>FMM3I25,IWT9A98</v>
      </c>
      <c r="G7403" s="238">
        <f>IFERROR(__xludf.DUMMYFUNCTION("""COMPUTED_VALUE"""),46065.83333333333)</f>
        <v>46065.83333</v>
      </c>
      <c r="H7403" s="238">
        <f>IFERROR(__xludf.DUMMYFUNCTION("""COMPUTED_VALUE"""),46066.20833333333)</f>
        <v>46066.20833</v>
      </c>
      <c r="J7403" s="239">
        <v>538.9999999967404</v>
      </c>
    </row>
    <row r="7404">
      <c r="A7404" s="234"/>
      <c r="B7404" s="238" t="str">
        <f>IFERROR(__xludf.DUMMYFUNCTION("""COMPUTED_VALUE"""),"SoC_SC_Itajaí")</f>
        <v>SoC_SC_Itajaí</v>
      </c>
      <c r="C7404" s="238" t="str">
        <f>IFERROR(__xludf.DUMMYFUNCTION("""COMPUTED_VALUE"""),"SOC-SC1")</f>
        <v>SOC-SC1</v>
      </c>
      <c r="D7404" s="234">
        <f>IFERROR(__xludf.DUMMYFUNCTION("""COMPUTED_VALUE"""),101.0)</f>
        <v>101</v>
      </c>
      <c r="E7404" s="237" t="str">
        <f>IFERROR(__xludf.DUMMYFUNCTION("""COMPUTED_VALUE"""),"LT0Q2C01YMNI2")</f>
        <v>LT0Q2C01YMNI2</v>
      </c>
      <c r="F7404" s="238" t="str">
        <f>IFERROR(__xludf.DUMMYFUNCTION("""COMPUTED_VALUE"""),"FDK4E91,TAX4D15")</f>
        <v>FDK4E91,TAX4D15</v>
      </c>
      <c r="G7404" s="238">
        <f>IFERROR(__xludf.DUMMYFUNCTION("""COMPUTED_VALUE"""),46065.834027777775)</f>
        <v>46065.83403</v>
      </c>
      <c r="H7404" s="238">
        <f>IFERROR(__xludf.DUMMYFUNCTION("""COMPUTED_VALUE"""),46066.20833333333)</f>
        <v>46066.20833</v>
      </c>
      <c r="J7404" s="239">
        <v>538.9999999967404</v>
      </c>
    </row>
    <row r="7405">
      <c r="A7405" s="234"/>
      <c r="B7405" s="238" t="str">
        <f>IFERROR(__xludf.DUMMYFUNCTION("""COMPUTED_VALUE"""),"SoC_BA_Simoes Filho")</f>
        <v>SoC_BA_Simoes Filho</v>
      </c>
      <c r="C7405" s="238" t="str">
        <f>IFERROR(__xludf.DUMMYFUNCTION("""COMPUTED_VALUE"""),"SOC-BA2")</f>
        <v>SOC-BA2</v>
      </c>
      <c r="D7405" s="234">
        <f>IFERROR(__xludf.DUMMYFUNCTION("""COMPUTED_VALUE"""),89.0)</f>
        <v>89</v>
      </c>
      <c r="E7405" s="237" t="str">
        <f>IFERROR(__xludf.DUMMYFUNCTION("""COMPUTED_VALUE"""),"LT0Q2C01YNGI1")</f>
        <v>LT0Q2C01YNGI1</v>
      </c>
      <c r="F7405" s="238" t="str">
        <f>IFERROR(__xludf.DUMMYFUNCTION("""COMPUTED_VALUE"""),"GDC9C54,TXR0J02")</f>
        <v>GDC9C54,TXR0J02</v>
      </c>
      <c r="G7405" s="238">
        <f>IFERROR(__xludf.DUMMYFUNCTION("""COMPUTED_VALUE"""),46065.834027777775)</f>
        <v>46065.83403</v>
      </c>
      <c r="H7405" s="238">
        <f>IFERROR(__xludf.DUMMYFUNCTION("""COMPUTED_VALUE"""),46066.20833333333)</f>
        <v>46066.20833</v>
      </c>
      <c r="J7405" s="239">
        <v>537.9999999934807</v>
      </c>
    </row>
    <row r="7406">
      <c r="A7406" s="234"/>
      <c r="B7406" s="238" t="str">
        <f>IFERROR(__xludf.DUMMYFUNCTION("""COMPUTED_VALUE"""),"SoC_PE_Jaboatão dos Guararapes")</f>
        <v>SoC_PE_Jaboatão dos Guararapes</v>
      </c>
      <c r="C7406" s="238" t="str">
        <f>IFERROR(__xludf.DUMMYFUNCTION("""COMPUTED_VALUE"""),"SOC-PE2")</f>
        <v>SOC-PE2</v>
      </c>
      <c r="D7406" s="234"/>
      <c r="E7406" s="237" t="str">
        <f>IFERROR(__xludf.DUMMYFUNCTION("""COMPUTED_VALUE"""),"LT0Q2C01YNDM1")</f>
        <v>LT0Q2C01YNDM1</v>
      </c>
      <c r="F7406" s="238" t="str">
        <f>IFERROR(__xludf.DUMMYFUNCTION("""COMPUTED_VALUE"""),"NVH1D28,MCK9963")</f>
        <v>NVH1D28,MCK9963</v>
      </c>
      <c r="G7406" s="238">
        <f>IFERROR(__xludf.DUMMYFUNCTION("""COMPUTED_VALUE"""),46065.83472222222)</f>
        <v>46065.83472</v>
      </c>
      <c r="H7406" s="238">
        <f>IFERROR(__xludf.DUMMYFUNCTION("""COMPUTED_VALUE"""),46066.20833333333)</f>
        <v>46066.20833</v>
      </c>
      <c r="J7406" s="239">
        <v>536.9999999902211</v>
      </c>
    </row>
    <row r="7407">
      <c r="A7407" s="234"/>
      <c r="B7407" s="238" t="str">
        <f>IFERROR(__xludf.DUMMYFUNCTION("""COMPUTED_VALUE"""),"SoC_SP_Cravinhos")</f>
        <v>SoC_SP_Cravinhos</v>
      </c>
      <c r="C7407" s="238" t="str">
        <f>IFERROR(__xludf.DUMMYFUNCTION("""COMPUTED_VALUE"""),"SOC-SP5")</f>
        <v>SOC-SP5</v>
      </c>
      <c r="D7407" s="234" t="str">
        <f>IFERROR(__xludf.DUMMYFUNCTION("""COMPUTED_VALUE"""),"94/16")</f>
        <v>94/16</v>
      </c>
      <c r="E7407" s="237" t="str">
        <f>IFERROR(__xludf.DUMMYFUNCTION("""COMPUTED_VALUE"""),"LT0Q2C01YF851")</f>
        <v>LT0Q2C01YF851</v>
      </c>
      <c r="F7407" s="238" t="str">
        <f>IFERROR(__xludf.DUMMYFUNCTION("""COMPUTED_VALUE"""),"GAT4G22,EKH7222")</f>
        <v>GAT4G22,EKH7222</v>
      </c>
      <c r="G7407" s="238">
        <f>IFERROR(__xludf.DUMMYFUNCTION("""COMPUTED_VALUE"""),46065.83541666667)</f>
        <v>46065.83542</v>
      </c>
      <c r="H7407" s="238">
        <f>IFERROR(__xludf.DUMMYFUNCTION("""COMPUTED_VALUE"""),46066.20833333333)</f>
        <v>46066.20833</v>
      </c>
      <c r="J7407" s="239">
        <v>536.9999999902211</v>
      </c>
    </row>
    <row r="7408">
      <c r="A7408" s="234"/>
      <c r="B7408" s="238" t="str">
        <f>IFERROR(__xludf.DUMMYFUNCTION("""COMPUTED_VALUE"""),"SoC_RJ_Duque de Caxias")</f>
        <v>SoC_RJ_Duque de Caxias</v>
      </c>
      <c r="C7408" s="238" t="str">
        <f>IFERROR(__xludf.DUMMYFUNCTION("""COMPUTED_VALUE"""),"SOC-RJ2")</f>
        <v>SOC-RJ2</v>
      </c>
      <c r="D7408" s="234" t="str">
        <f>IFERROR(__xludf.DUMMYFUNCTION("""COMPUTED_VALUE"""),"96/97")</f>
        <v>96/97</v>
      </c>
      <c r="E7408" s="237" t="str">
        <f>IFERROR(__xludf.DUMMYFUNCTION("""COMPUTED_VALUE"""),"LT0Q2C01YKMV3")</f>
        <v>LT0Q2C01YKMV3</v>
      </c>
      <c r="F7408" s="238" t="str">
        <f>IFERROR(__xludf.DUMMYFUNCTION("""COMPUTED_VALUE"""),"EPU5C78,TIV0I78")</f>
        <v>EPU5C78,TIV0I78</v>
      </c>
      <c r="G7408" s="238">
        <f>IFERROR(__xludf.DUMMYFUNCTION("""COMPUTED_VALUE"""),46065.83541666667)</f>
        <v>46065.83542</v>
      </c>
      <c r="H7408" s="238">
        <f>IFERROR(__xludf.DUMMYFUNCTION("""COMPUTED_VALUE"""),46066.20833333333)</f>
        <v>46066.20833</v>
      </c>
      <c r="J7408" s="239">
        <v>119.99999999301508</v>
      </c>
    </row>
    <row r="7409">
      <c r="A7409" s="234"/>
      <c r="B7409" s="238" t="str">
        <f>IFERROR(__xludf.DUMMYFUNCTION("""COMPUTED_VALUE"""),"SoC_PR_Curitiba")</f>
        <v>SoC_PR_Curitiba</v>
      </c>
      <c r="C7409" s="238" t="str">
        <f>IFERROR(__xludf.DUMMYFUNCTION("""COMPUTED_VALUE"""),"SOC-PR1")</f>
        <v>SOC-PR1</v>
      </c>
      <c r="D7409" s="234">
        <f>IFERROR(__xludf.DUMMYFUNCTION("""COMPUTED_VALUE"""),44.0)</f>
        <v>44</v>
      </c>
      <c r="E7409" s="237" t="str">
        <f>IFERROR(__xludf.DUMMYFUNCTION("""COMPUTED_VALUE"""),"LT0Q2D01YIUD1")</f>
        <v>LT0Q2D01YIUD1</v>
      </c>
      <c r="F7409" s="238" t="str">
        <f>IFERROR(__xludf.DUMMYFUNCTION("""COMPUTED_VALUE"""),"CUC1I14,BEY5C17")</f>
        <v>CUC1I14,BEY5C17</v>
      </c>
      <c r="G7409" s="238">
        <f>IFERROR(__xludf.DUMMYFUNCTION("""COMPUTED_VALUE"""),46066.125)</f>
        <v>46066.125</v>
      </c>
      <c r="H7409" s="238">
        <f>IFERROR(__xludf.DUMMYFUNCTION("""COMPUTED_VALUE"""),46066.20833333333)</f>
        <v>46066.20833</v>
      </c>
      <c r="J7409" s="239">
        <v>119.99999999301508</v>
      </c>
    </row>
    <row r="7410">
      <c r="A7410" s="234"/>
      <c r="B7410" s="238" t="str">
        <f>IFERROR(__xludf.DUMMYFUNCTION("""COMPUTED_VALUE"""),"LM Hub_SP_Itapeva")</f>
        <v>LM Hub_SP_Itapeva</v>
      </c>
      <c r="C7410" s="238" t="str">
        <f>IFERROR(__xludf.DUMMYFUNCTION("""COMPUTED_VALUE"""),"HUB-LSP-39")</f>
        <v>HUB-LSP-39</v>
      </c>
      <c r="D7410" s="234">
        <f>IFERROR(__xludf.DUMMYFUNCTION("""COMPUTED_VALUE"""),34.0)</f>
        <v>34</v>
      </c>
      <c r="E7410" s="237" t="str">
        <f>IFERROR(__xludf.DUMMYFUNCTION("""COMPUTED_VALUE"""),"LT0Q2D01YIYV1")</f>
        <v>LT0Q2D01YIYV1</v>
      </c>
      <c r="F7410" s="238" t="str">
        <f>IFERROR(__xludf.DUMMYFUNCTION("""COMPUTED_VALUE"""),"FCT0F31")</f>
        <v>FCT0F31</v>
      </c>
      <c r="G7410" s="238">
        <f>IFERROR(__xludf.DUMMYFUNCTION("""COMPUTED_VALUE"""),46066.125)</f>
        <v>46066.125</v>
      </c>
      <c r="H7410" s="238">
        <f>IFERROR(__xludf.DUMMYFUNCTION("""COMPUTED_VALUE"""),46066.20833333333)</f>
        <v>46066.20833</v>
      </c>
      <c r="J7410" s="239">
        <v>119.99999999301508</v>
      </c>
    </row>
    <row r="7411">
      <c r="A7411" s="234"/>
      <c r="B7411" s="238" t="str">
        <f>IFERROR(__xludf.DUMMYFUNCTION("""COMPUTED_VALUE"""),"LM Hub_SP_Limeira_Campo Belo")</f>
        <v>LM Hub_SP_Limeira_Campo Belo</v>
      </c>
      <c r="C7411" s="238" t="str">
        <f>IFERROR(__xludf.DUMMYFUNCTION("""COMPUTED_VALUE"""),"HUB-LSP-24")</f>
        <v>HUB-LSP-24</v>
      </c>
      <c r="D7411" s="234">
        <f>IFERROR(__xludf.DUMMYFUNCTION("""COMPUTED_VALUE"""),35.0)</f>
        <v>35</v>
      </c>
      <c r="E7411" s="237" t="str">
        <f>IFERROR(__xludf.DUMMYFUNCTION("""COMPUTED_VALUE"""),"LT0Q2D01YJ0G1")</f>
        <v>LT0Q2D01YJ0G1</v>
      </c>
      <c r="F7411" s="238" t="str">
        <f>IFERROR(__xludf.DUMMYFUNCTION("""COMPUTED_VALUE"""),"GFT5J70,GBH5G53")</f>
        <v>GFT5J70,GBH5G53</v>
      </c>
      <c r="G7411" s="238">
        <f>IFERROR(__xludf.DUMMYFUNCTION("""COMPUTED_VALUE"""),46066.125)</f>
        <v>46066.125</v>
      </c>
      <c r="H7411" s="238">
        <f>IFERROR(__xludf.DUMMYFUNCTION("""COMPUTED_VALUE"""),46066.20833333333)</f>
        <v>46066.20833</v>
      </c>
      <c r="J7411" s="239">
        <v>119.99999999301508</v>
      </c>
    </row>
    <row r="7412">
      <c r="A7412" s="234"/>
      <c r="B7412" s="238" t="str">
        <f>IFERROR(__xludf.DUMMYFUNCTION("""COMPUTED_VALUE"""),"LM Hub_SP_Sumaré_Nova Veneza_1")</f>
        <v>LM Hub_SP_Sumaré_Nova Veneza_1</v>
      </c>
      <c r="C7412" s="238" t="str">
        <f>IFERROR(__xludf.DUMMYFUNCTION("""COMPUTED_VALUE"""),"HUB-LSP-88")</f>
        <v>HUB-LSP-88</v>
      </c>
      <c r="D7412" s="234">
        <f>IFERROR(__xludf.DUMMYFUNCTION("""COMPUTED_VALUE"""),29.0)</f>
        <v>29</v>
      </c>
      <c r="E7412" s="237" t="str">
        <f>IFERROR(__xludf.DUMMYFUNCTION("""COMPUTED_VALUE"""),"LT0Q2D01YN1Q1")</f>
        <v>LT0Q2D01YN1Q1</v>
      </c>
      <c r="F7412" s="238" t="str">
        <f>IFERROR(__xludf.DUMMYFUNCTION("""COMPUTED_VALUE"""),"DCU8E76,FMR2224")</f>
        <v>DCU8E76,FMR2224</v>
      </c>
      <c r="G7412" s="238">
        <f>IFERROR(__xludf.DUMMYFUNCTION("""COMPUTED_VALUE"""),46066.125)</f>
        <v>46066.125</v>
      </c>
      <c r="H7412" s="238">
        <f>IFERROR(__xludf.DUMMYFUNCTION("""COMPUTED_VALUE"""),46066.20833333333)</f>
        <v>46066.20833</v>
      </c>
      <c r="J7412" s="239">
        <v>118.99999998975545</v>
      </c>
    </row>
    <row r="7413">
      <c r="A7413" s="234"/>
      <c r="B7413" s="238" t="str">
        <f>IFERROR(__xludf.DUMMYFUNCTION("""COMPUTED_VALUE"""),"SoC_SP_Guarulhos")</f>
        <v>SoC_SP_Guarulhos</v>
      </c>
      <c r="C7413" s="238" t="str">
        <f>IFERROR(__xludf.DUMMYFUNCTION("""COMPUTED_VALUE"""),"SOC-SP6")</f>
        <v>SOC-SP6</v>
      </c>
      <c r="D7413" s="234">
        <f>IFERROR(__xludf.DUMMYFUNCTION("""COMPUTED_VALUE"""),45.0)</f>
        <v>45</v>
      </c>
      <c r="E7413" s="237" t="str">
        <f>IFERROR(__xludf.DUMMYFUNCTION("""COMPUTED_VALUE"""),"LT0Q2D01YJTO1")</f>
        <v>LT0Q2D01YJTO1</v>
      </c>
      <c r="F7413" s="238" t="str">
        <f>IFERROR(__xludf.DUMMYFUNCTION("""COMPUTED_VALUE"""),"IZQ5I76,AVB1G48")</f>
        <v>IZQ5I76,AVB1G48</v>
      </c>
      <c r="G7413" s="238">
        <f>IFERROR(__xludf.DUMMYFUNCTION("""COMPUTED_VALUE"""),46066.12569444445)</f>
        <v>46066.12569</v>
      </c>
      <c r="H7413" s="238">
        <f>IFERROR(__xludf.DUMMYFUNCTION("""COMPUTED_VALUE"""),46066.20833333333)</f>
        <v>46066.20833</v>
      </c>
      <c r="J7413" s="239">
        <v>120.00000001396984</v>
      </c>
    </row>
    <row r="7414">
      <c r="A7414" s="234"/>
      <c r="B7414" s="238" t="str">
        <f>IFERROR(__xludf.DUMMYFUNCTION("""COMPUTED_VALUE"""),"LM Hub_SP_Mogi Mirim")</f>
        <v>LM Hub_SP_Mogi Mirim</v>
      </c>
      <c r="C7414" s="238" t="str">
        <f>IFERROR(__xludf.DUMMYFUNCTION("""COMPUTED_VALUE"""),"HUB-LSP-37")</f>
        <v>HUB-LSP-37</v>
      </c>
      <c r="D7414" s="234">
        <f>IFERROR(__xludf.DUMMYFUNCTION("""COMPUTED_VALUE"""),26.0)</f>
        <v>26</v>
      </c>
      <c r="E7414" s="237" t="str">
        <f>IFERROR(__xludf.DUMMYFUNCTION("""COMPUTED_VALUE"""),"LT0Q2D01YJ1B1")</f>
        <v>LT0Q2D01YJ1B1</v>
      </c>
      <c r="F7414" s="238" t="str">
        <f>IFERROR(__xludf.DUMMYFUNCTION("""COMPUTED_VALUE"""),"GHB5H18,FZB6G45")</f>
        <v>GHB5H18,FZB6G45</v>
      </c>
      <c r="G7414" s="238">
        <f>IFERROR(__xludf.DUMMYFUNCTION("""COMPUTED_VALUE"""),46066.14583333333)</f>
        <v>46066.14583</v>
      </c>
      <c r="H7414" s="238">
        <f>IFERROR(__xludf.DUMMYFUNCTION("""COMPUTED_VALUE"""),46066.22916666667)</f>
        <v>46066.22917</v>
      </c>
      <c r="J7414" s="239">
        <v>119.99999999301508</v>
      </c>
    </row>
    <row r="7415">
      <c r="A7415" s="234"/>
      <c r="B7415" s="238" t="str">
        <f>IFERROR(__xludf.DUMMYFUNCTION("""COMPUTED_VALUE"""),"LM Hub_SP_Guaratinguetá")</f>
        <v>LM Hub_SP_Guaratinguetá</v>
      </c>
      <c r="C7415" s="238" t="str">
        <f>IFERROR(__xludf.DUMMYFUNCTION("""COMPUTED_VALUE"""),"HUB-LSP-33")</f>
        <v>HUB-LSP-33</v>
      </c>
      <c r="D7415" s="234">
        <f>IFERROR(__xludf.DUMMYFUNCTION("""COMPUTED_VALUE"""),21.0)</f>
        <v>21</v>
      </c>
      <c r="E7415" s="237" t="str">
        <f>IFERROR(__xludf.DUMMYFUNCTION("""COMPUTED_VALUE"""),"LT0Q2D01YIZD1")</f>
        <v>LT0Q2D01YIZD1</v>
      </c>
      <c r="F7415" s="238" t="str">
        <f>IFERROR(__xludf.DUMMYFUNCTION("""COMPUTED_VALUE"""),"STT8D25,RXL7I59")</f>
        <v>STT8D25,RXL7I59</v>
      </c>
      <c r="G7415" s="238">
        <f>IFERROR(__xludf.DUMMYFUNCTION("""COMPUTED_VALUE"""),46066.16666666667)</f>
        <v>46066.16667</v>
      </c>
      <c r="H7415" s="238">
        <f>IFERROR(__xludf.DUMMYFUNCTION("""COMPUTED_VALUE"""),46066.25)</f>
        <v>46066.25</v>
      </c>
      <c r="J7415" s="239">
        <v>119.99999999301508</v>
      </c>
    </row>
    <row r="7416">
      <c r="A7416" s="234"/>
      <c r="B7416" s="238" t="str">
        <f>IFERROR(__xludf.DUMMYFUNCTION("""COMPUTED_VALUE"""),"LM Hub_SP_São José dos Campos")</f>
        <v>LM Hub_SP_São José dos Campos</v>
      </c>
      <c r="C7416" s="238" t="str">
        <f>IFERROR(__xludf.DUMMYFUNCTION("""COMPUTED_VALUE"""),"HUB-LSP-04")</f>
        <v>HUB-LSP-04</v>
      </c>
      <c r="D7416" s="234">
        <f>IFERROR(__xludf.DUMMYFUNCTION("""COMPUTED_VALUE"""),18.0)</f>
        <v>18</v>
      </c>
      <c r="E7416" s="237" t="str">
        <f>IFERROR(__xludf.DUMMYFUNCTION("""COMPUTED_VALUE"""),"LT0Q2D01YK151")</f>
        <v>LT0Q2D01YK151</v>
      </c>
      <c r="F7416" s="238" t="str">
        <f>IFERROR(__xludf.DUMMYFUNCTION("""COMPUTED_VALUE"""),"TBX6D09")</f>
        <v>TBX6D09</v>
      </c>
      <c r="G7416" s="238">
        <f>IFERROR(__xludf.DUMMYFUNCTION("""COMPUTED_VALUE"""),46066.16666666667)</f>
        <v>46066.16667</v>
      </c>
      <c r="H7416" s="238">
        <f>IFERROR(__xludf.DUMMYFUNCTION("""COMPUTED_VALUE"""),46066.25)</f>
        <v>46066.25</v>
      </c>
      <c r="J7416" s="239">
        <v>119.99999999301508</v>
      </c>
    </row>
    <row r="7417">
      <c r="A7417" s="234"/>
      <c r="B7417" s="238" t="str">
        <f>IFERROR(__xludf.DUMMYFUNCTION("""COMPUTED_VALUE"""),"LM Hub_SP_Registro")</f>
        <v>LM Hub_SP_Registro</v>
      </c>
      <c r="C7417" s="238" t="str">
        <f>IFERROR(__xludf.DUMMYFUNCTION("""COMPUTED_VALUE"""),"HUB-LSP-40")</f>
        <v>HUB-LSP-40</v>
      </c>
      <c r="D7417" s="234">
        <f>IFERROR(__xludf.DUMMYFUNCTION("""COMPUTED_VALUE"""),32.0)</f>
        <v>32</v>
      </c>
      <c r="E7417" s="237" t="str">
        <f>IFERROR(__xludf.DUMMYFUNCTION("""COMPUTED_VALUE"""),"LT0Q2D01YPPC1")</f>
        <v>LT0Q2D01YPPC1</v>
      </c>
      <c r="F7417" s="238" t="str">
        <f>IFERROR(__xludf.DUMMYFUNCTION("""COMPUTED_VALUE"""),"FFI1F03")</f>
        <v>FFI1F03</v>
      </c>
      <c r="G7417" s="238">
        <f>IFERROR(__xludf.DUMMYFUNCTION("""COMPUTED_VALUE"""),46066.16666666667)</f>
        <v>46066.16667</v>
      </c>
      <c r="H7417" s="238">
        <f>IFERROR(__xludf.DUMMYFUNCTION("""COMPUTED_VALUE"""),46066.25)</f>
        <v>46066.25</v>
      </c>
      <c r="J7417" s="239">
        <v>119.99999999301508</v>
      </c>
    </row>
    <row r="7418">
      <c r="A7418" s="234"/>
      <c r="B7418" s="238" t="str">
        <f>IFERROR(__xludf.DUMMYFUNCTION("""COMPUTED_VALUE"""),"SoC_SP_Louveira")</f>
        <v>SoC_SP_Louveira</v>
      </c>
      <c r="C7418" s="238" t="str">
        <f>IFERROR(__xludf.DUMMYFUNCTION("""COMPUTED_VALUE"""),"SOC-SP7")</f>
        <v>SOC-SP7</v>
      </c>
      <c r="D7418" s="234">
        <f>IFERROR(__xludf.DUMMYFUNCTION("""COMPUTED_VALUE"""),39.0)</f>
        <v>39</v>
      </c>
      <c r="E7418" s="237" t="str">
        <f>IFERROR(__xludf.DUMMYFUNCTION("""COMPUTED_VALUE"""),"LT0Q2D01YIVZ1")</f>
        <v>LT0Q2D01YIVZ1</v>
      </c>
      <c r="F7418" s="238" t="str">
        <f>IFERROR(__xludf.DUMMYFUNCTION("""COMPUTED_VALUE"""),"GDL9D12,GJM4992")</f>
        <v>GDL9D12,GJM4992</v>
      </c>
      <c r="G7418" s="238">
        <f>IFERROR(__xludf.DUMMYFUNCTION("""COMPUTED_VALUE"""),46066.16666666667)</f>
        <v>46066.16667</v>
      </c>
      <c r="H7418" s="238">
        <f>IFERROR(__xludf.DUMMYFUNCTION("""COMPUTED_VALUE"""),46066.25)</f>
        <v>46066.25</v>
      </c>
      <c r="J7418" s="239">
        <v>119.99999999301508</v>
      </c>
    </row>
    <row r="7419">
      <c r="A7419" s="234"/>
      <c r="B7419" s="238" t="str">
        <f>IFERROR(__xludf.DUMMYFUNCTION("""COMPUTED_VALUE"""),"LM Hub_SP_Taubaté")</f>
        <v>LM Hub_SP_Taubaté</v>
      </c>
      <c r="C7419" s="238" t="str">
        <f>IFERROR(__xludf.DUMMYFUNCTION("""COMPUTED_VALUE"""),"HUB-LSP-08")</f>
        <v>HUB-LSP-08</v>
      </c>
      <c r="D7419" s="234">
        <f>IFERROR(__xludf.DUMMYFUNCTION("""COMPUTED_VALUE"""),33.0)</f>
        <v>33</v>
      </c>
      <c r="E7419" s="237" t="str">
        <f>IFERROR(__xludf.DUMMYFUNCTION("""COMPUTED_VALUE"""),"LT0Q2D01YIZO1")</f>
        <v>LT0Q2D01YIZO1</v>
      </c>
      <c r="F7419" s="238" t="str">
        <f>IFERROR(__xludf.DUMMYFUNCTION("""COMPUTED_VALUE"""),"FQS1E78")</f>
        <v>FQS1E78</v>
      </c>
      <c r="G7419" s="238">
        <f>IFERROR(__xludf.DUMMYFUNCTION("""COMPUTED_VALUE"""),46066.1875)</f>
        <v>46066.1875</v>
      </c>
      <c r="H7419" s="238">
        <f>IFERROR(__xludf.DUMMYFUNCTION("""COMPUTED_VALUE"""),46066.27083333333)</f>
        <v>46066.27083</v>
      </c>
      <c r="J7419" s="239">
        <v>119.99999999301508</v>
      </c>
    </row>
    <row r="7420">
      <c r="A7420" s="234"/>
      <c r="B7420" s="238" t="str">
        <f>IFERROR(__xludf.DUMMYFUNCTION("""COMPUTED_VALUE"""),"LM Hub_SP_Atibaia_Ponte_Alta")</f>
        <v>LM Hub_SP_Atibaia_Ponte_Alta</v>
      </c>
      <c r="C7420" s="238" t="str">
        <f>IFERROR(__xludf.DUMMYFUNCTION("""COMPUTED_VALUE"""),"HUB-LSP-87")</f>
        <v>HUB-LSP-87</v>
      </c>
      <c r="D7420" s="234">
        <f>IFERROR(__xludf.DUMMYFUNCTION("""COMPUTED_VALUE"""),24.0)</f>
        <v>24</v>
      </c>
      <c r="E7420" s="237" t="str">
        <f>IFERROR(__xludf.DUMMYFUNCTION("""COMPUTED_VALUE"""),"LT0Q2D01YM2C1")</f>
        <v>LT0Q2D01YM2C1</v>
      </c>
      <c r="F7420" s="238" t="str">
        <f>IFERROR(__xludf.DUMMYFUNCTION("""COMPUTED_VALUE"""),"TBX6C27")</f>
        <v>TBX6C27</v>
      </c>
      <c r="G7420" s="238">
        <f>IFERROR(__xludf.DUMMYFUNCTION("""COMPUTED_VALUE"""),46066.1875)</f>
        <v>46066.1875</v>
      </c>
      <c r="H7420" s="238">
        <f>IFERROR(__xludf.DUMMYFUNCTION("""COMPUTED_VALUE"""),46066.27083333333)</f>
        <v>46066.27083</v>
      </c>
      <c r="J7420" s="239">
        <v>118.99999998975545</v>
      </c>
    </row>
    <row r="7421">
      <c r="A7421" s="234"/>
      <c r="B7421" s="238" t="str">
        <f>IFERROR(__xludf.DUMMYFUNCTION("""COMPUTED_VALUE"""),"LM Hub_SP_Sorocaba_Região Norte")</f>
        <v>LM Hub_SP_Sorocaba_Região Norte</v>
      </c>
      <c r="C7421" s="238" t="str">
        <f>IFERROR(__xludf.DUMMYFUNCTION("""COMPUTED_VALUE"""),"HUB-LSP-10")</f>
        <v>HUB-LSP-10</v>
      </c>
      <c r="D7421" s="234">
        <f>IFERROR(__xludf.DUMMYFUNCTION("""COMPUTED_VALUE"""),25.0)</f>
        <v>25</v>
      </c>
      <c r="E7421" s="237" t="str">
        <f>IFERROR(__xludf.DUMMYFUNCTION("""COMPUTED_VALUE"""),"LT0Q2D01YJ041")</f>
        <v>LT0Q2D01YJ041</v>
      </c>
      <c r="F7421" s="238" t="str">
        <f>IFERROR(__xludf.DUMMYFUNCTION("""COMPUTED_VALUE"""),"UAX1H38,UGQ4G38")</f>
        <v>UAX1H38,UGQ4G38</v>
      </c>
      <c r="G7421" s="238">
        <f>IFERROR(__xludf.DUMMYFUNCTION("""COMPUTED_VALUE"""),46066.18819444445)</f>
        <v>46066.18819</v>
      </c>
      <c r="H7421" s="238">
        <f>IFERROR(__xludf.DUMMYFUNCTION("""COMPUTED_VALUE"""),46066.27083333333)</f>
        <v>46066.27083</v>
      </c>
      <c r="J7421" s="239">
        <v>120.00000001396984</v>
      </c>
    </row>
    <row r="7422">
      <c r="A7422" s="234"/>
      <c r="B7422" s="238" t="str">
        <f>IFERROR(__xludf.DUMMYFUNCTION("""COMPUTED_VALUE"""),"LM Hub_SP_Jundiaí")</f>
        <v>LM Hub_SP_Jundiaí</v>
      </c>
      <c r="C7422" s="238" t="str">
        <f>IFERROR(__xludf.DUMMYFUNCTION("""COMPUTED_VALUE"""),"HUB-LSP-100")</f>
        <v>HUB-LSP-100</v>
      </c>
      <c r="D7422" s="234">
        <f>IFERROR(__xludf.DUMMYFUNCTION("""COMPUTED_VALUE"""),15.0)</f>
        <v>15</v>
      </c>
      <c r="E7422" s="237" t="str">
        <f>IFERROR(__xludf.DUMMYFUNCTION("""COMPUTED_VALUE"""),"LT0Q2D01YOGT1")</f>
        <v>LT0Q2D01YOGT1</v>
      </c>
      <c r="F7422" s="238" t="str">
        <f>IFERROR(__xludf.DUMMYFUNCTION("""COMPUTED_VALUE"""),"CUF0G72,FXA8D98")</f>
        <v>CUF0G72,FXA8D98</v>
      </c>
      <c r="G7422" s="238">
        <f>IFERROR(__xludf.DUMMYFUNCTION("""COMPUTED_VALUE"""),46066.20833333333)</f>
        <v>46066.20833</v>
      </c>
      <c r="H7422" s="238">
        <f>IFERROR(__xludf.DUMMYFUNCTION("""COMPUTED_VALUE"""),46066.29166666667)</f>
        <v>46066.29167</v>
      </c>
      <c r="J7422" s="239">
        <v>540.0</v>
      </c>
    </row>
    <row r="7423">
      <c r="A7423" s="234"/>
      <c r="B7423" s="238" t="str">
        <f>IFERROR(__xludf.DUMMYFUNCTION("""COMPUTED_VALUE"""),"SoC_BA_Simoes Filho")</f>
        <v>SoC_BA_Simoes Filho</v>
      </c>
      <c r="C7423" s="238" t="str">
        <f>IFERROR(__xludf.DUMMYFUNCTION("""COMPUTED_VALUE"""),"SOC-BA2")</f>
        <v>SOC-BA2</v>
      </c>
      <c r="D7423" s="234">
        <f>IFERROR(__xludf.DUMMYFUNCTION("""COMPUTED_VALUE"""),89.0)</f>
        <v>89</v>
      </c>
      <c r="E7423" s="237" t="str">
        <f>IFERROR(__xludf.DUMMYFUNCTION("""COMPUTED_VALUE"""),"LT1Q2C01YVV61")</f>
        <v>LT1Q2C01YVV61</v>
      </c>
      <c r="F7423" s="238" t="str">
        <f>IFERROR(__xludf.DUMMYFUNCTION("""COMPUTED_VALUE"""),"TDS9G74,TEB5C98")</f>
        <v>TDS9G74,TEB5C98</v>
      </c>
      <c r="G7423" s="238">
        <f>IFERROR(__xludf.DUMMYFUNCTION("""COMPUTED_VALUE"""),46065.91666666667)</f>
        <v>46065.91667</v>
      </c>
      <c r="H7423" s="238">
        <f>IFERROR(__xludf.DUMMYFUNCTION("""COMPUTED_VALUE"""),46066.29166666667)</f>
        <v>46066.29167</v>
      </c>
      <c r="J7423" s="239">
        <v>540.0</v>
      </c>
    </row>
    <row r="7424">
      <c r="A7424" s="234"/>
      <c r="B7424" s="238" t="str">
        <f>IFERROR(__xludf.DUMMYFUNCTION("""COMPUTED_VALUE"""),"SoC_RS_Gravataí_02")</f>
        <v>SoC_RS_Gravataí_02</v>
      </c>
      <c r="C7424" s="238" t="str">
        <f>IFERROR(__xludf.DUMMYFUNCTION("""COMPUTED_VALUE"""),"SOC-RS2")</f>
        <v>SOC-RS2</v>
      </c>
      <c r="D7424" s="234">
        <f>IFERROR(__xludf.DUMMYFUNCTION("""COMPUTED_VALUE"""),92.0)</f>
        <v>92</v>
      </c>
      <c r="E7424" s="237" t="str">
        <f>IFERROR(__xludf.DUMMYFUNCTION("""COMPUTED_VALUE"""),"LT1Q2C01YVV71")</f>
        <v>LT1Q2C01YVV71</v>
      </c>
      <c r="F7424" s="238" t="str">
        <f>IFERROR(__xludf.DUMMYFUNCTION("""COMPUTED_VALUE"""),"FLN7A59,BQU9H62")</f>
        <v>FLN7A59,BQU9H62</v>
      </c>
      <c r="G7424" s="238">
        <f>IFERROR(__xludf.DUMMYFUNCTION("""COMPUTED_VALUE"""),46065.91666666667)</f>
        <v>46065.91667</v>
      </c>
      <c r="H7424" s="238">
        <f>IFERROR(__xludf.DUMMYFUNCTION("""COMPUTED_VALUE"""),46066.29166666667)</f>
        <v>46066.29167</v>
      </c>
      <c r="J7424" s="239">
        <v>539.0000000072177</v>
      </c>
    </row>
    <row r="7425">
      <c r="A7425" s="234"/>
      <c r="B7425" s="238" t="str">
        <f>IFERROR(__xludf.DUMMYFUNCTION("""COMPUTED_VALUE"""),"SoC_SP_Cravinhos")</f>
        <v>SoC_SP_Cravinhos</v>
      </c>
      <c r="C7425" s="238" t="str">
        <f>IFERROR(__xludf.DUMMYFUNCTION("""COMPUTED_VALUE"""),"SOC-SP5")</f>
        <v>SOC-SP5</v>
      </c>
      <c r="D7425" s="234">
        <f>IFERROR(__xludf.DUMMYFUNCTION("""COMPUTED_VALUE"""),94.0)</f>
        <v>94</v>
      </c>
      <c r="E7425" s="237" t="str">
        <f>IFERROR(__xludf.DUMMYFUNCTION("""COMPUTED_VALUE"""),"LT0Q2C01YIVJ1")</f>
        <v>LT0Q2C01YIVJ1</v>
      </c>
      <c r="F7425" s="238" t="str">
        <f>IFERROR(__xludf.DUMMYFUNCTION("""COMPUTED_VALUE"""),"DPB8E27,BES1E91")</f>
        <v>DPB8E27,BES1E91</v>
      </c>
      <c r="G7425" s="238">
        <f>IFERROR(__xludf.DUMMYFUNCTION("""COMPUTED_VALUE"""),46065.91736111111)</f>
        <v>46065.91736</v>
      </c>
      <c r="H7425" s="238">
        <f>IFERROR(__xludf.DUMMYFUNCTION("""COMPUTED_VALUE"""),46066.29166666667)</f>
        <v>46066.29167</v>
      </c>
      <c r="J7425" s="239">
        <v>539.0000000072177</v>
      </c>
    </row>
    <row r="7426">
      <c r="A7426" s="234"/>
      <c r="B7426" s="238" t="str">
        <f>IFERROR(__xludf.DUMMYFUNCTION("""COMPUTED_VALUE"""),"SoC_SC_Itajaí")</f>
        <v>SoC_SC_Itajaí</v>
      </c>
      <c r="C7426" s="238" t="str">
        <f>IFERROR(__xludf.DUMMYFUNCTION("""COMPUTED_VALUE"""),"SOC-SC1")</f>
        <v>SOC-SC1</v>
      </c>
      <c r="D7426" s="234">
        <f>IFERROR(__xludf.DUMMYFUNCTION("""COMPUTED_VALUE"""),100.0)</f>
        <v>100</v>
      </c>
      <c r="E7426" s="237" t="str">
        <f>IFERROR(__xludf.DUMMYFUNCTION("""COMPUTED_VALUE"""),"LT0Q2C01YMNG1")</f>
        <v>LT0Q2C01YMNG1</v>
      </c>
      <c r="F7426" s="238" t="str">
        <f>IFERROR(__xludf.DUMMYFUNCTION("""COMPUTED_VALUE"""),"TEN2J29,TMC9J02")</f>
        <v>TEN2J29,TMC9J02</v>
      </c>
      <c r="G7426" s="238">
        <f>IFERROR(__xludf.DUMMYFUNCTION("""COMPUTED_VALUE"""),46065.91736111111)</f>
        <v>46065.91736</v>
      </c>
      <c r="H7426" s="238">
        <f>IFERROR(__xludf.DUMMYFUNCTION("""COMPUTED_VALUE"""),46066.29166666667)</f>
        <v>46066.29167</v>
      </c>
      <c r="J7426" s="239">
        <v>538.0000000144355</v>
      </c>
    </row>
    <row r="7427">
      <c r="A7427" s="234"/>
      <c r="B7427" s="238" t="str">
        <f>IFERROR(__xludf.DUMMYFUNCTION("""COMPUTED_VALUE"""),"SoC_PE_Jaboatão dos Guararapes")</f>
        <v>SoC_PE_Jaboatão dos Guararapes</v>
      </c>
      <c r="C7427" s="238" t="str">
        <f>IFERROR(__xludf.DUMMYFUNCTION("""COMPUTED_VALUE"""),"SOC-PE2")</f>
        <v>SOC-PE2</v>
      </c>
      <c r="D7427" s="234">
        <f>IFERROR(__xludf.DUMMYFUNCTION("""COMPUTED_VALUE"""),99.0)</f>
        <v>99</v>
      </c>
      <c r="E7427" s="237" t="str">
        <f>IFERROR(__xludf.DUMMYFUNCTION("""COMPUTED_VALUE"""),"LT0Q2C01YNDO2")</f>
        <v>LT0Q2C01YNDO2</v>
      </c>
      <c r="F7427" s="238" t="str">
        <f>IFERROR(__xludf.DUMMYFUNCTION("""COMPUTED_VALUE"""),"QJZ0I42,SXI0G18")</f>
        <v>QJZ0I42,SXI0G18</v>
      </c>
      <c r="G7427" s="238">
        <f>IFERROR(__xludf.DUMMYFUNCTION("""COMPUTED_VALUE"""),46065.91805555555)</f>
        <v>46065.91806</v>
      </c>
      <c r="H7427" s="238">
        <f>IFERROR(__xludf.DUMMYFUNCTION("""COMPUTED_VALUE"""),46066.29166666667)</f>
        <v>46066.29167</v>
      </c>
      <c r="J7427" s="239">
        <v>537.0000000111759</v>
      </c>
    </row>
    <row r="7428">
      <c r="A7428" s="234"/>
      <c r="B7428" s="238" t="str">
        <f>IFERROR(__xludf.DUMMYFUNCTION("""COMPUTED_VALUE"""),"SoC_RJ_Duque de Caxias")</f>
        <v>SoC_RJ_Duque de Caxias</v>
      </c>
      <c r="C7428" s="238" t="str">
        <f>IFERROR(__xludf.DUMMYFUNCTION("""COMPUTED_VALUE"""),"SOC-RJ2")</f>
        <v>SOC-RJ2</v>
      </c>
      <c r="D7428" s="234">
        <f>IFERROR(__xludf.DUMMYFUNCTION("""COMPUTED_VALUE"""),97.0)</f>
        <v>97</v>
      </c>
      <c r="E7428" s="237" t="str">
        <f>IFERROR(__xludf.DUMMYFUNCTION("""COMPUTED_VALUE"""),"LT0Q2C01YKMR1")</f>
        <v>LT0Q2C01YKMR1</v>
      </c>
      <c r="F7428" s="238" t="str">
        <f>IFERROR(__xludf.DUMMYFUNCTION("""COMPUTED_VALUE"""),"FPB6H47,FWG8C04")</f>
        <v>FPB6H47,FWG8C04</v>
      </c>
      <c r="G7428" s="238">
        <f>IFERROR(__xludf.DUMMYFUNCTION("""COMPUTED_VALUE"""),46065.91875)</f>
        <v>46065.91875</v>
      </c>
      <c r="H7428" s="238">
        <f>IFERROR(__xludf.DUMMYFUNCTION("""COMPUTED_VALUE"""),46066.29166666667)</f>
        <v>46066.29167</v>
      </c>
      <c r="J7428" s="239">
        <v>535.0000000046566</v>
      </c>
    </row>
    <row r="7429">
      <c r="A7429" s="234"/>
      <c r="B7429" s="238" t="str">
        <f>IFERROR(__xludf.DUMMYFUNCTION("""COMPUTED_VALUE"""),"SoC_MG_Betim")</f>
        <v>SoC_MG_Betim</v>
      </c>
      <c r="C7429" s="238" t="str">
        <f>IFERROR(__xludf.DUMMYFUNCTION("""COMPUTED_VALUE"""),"SOC-MG2")</f>
        <v>SOC-MG2</v>
      </c>
      <c r="D7429" s="234">
        <f>IFERROR(__xludf.DUMMYFUNCTION("""COMPUTED_VALUE"""),91.0)</f>
        <v>91</v>
      </c>
      <c r="E7429" s="237" t="str">
        <f>IFERROR(__xludf.DUMMYFUNCTION("""COMPUTED_VALUE"""),"LT0Q2C01YF7Z1")</f>
        <v>LT0Q2C01YF7Z1</v>
      </c>
      <c r="F7429" s="238" t="str">
        <f>IFERROR(__xludf.DUMMYFUNCTION("""COMPUTED_VALUE"""),"IUX9B48,DBC5I18")</f>
        <v>IUX9B48,DBC5I18</v>
      </c>
      <c r="G7429" s="238">
        <f>IFERROR(__xludf.DUMMYFUNCTION("""COMPUTED_VALUE"""),46065.92013888889)</f>
        <v>46065.92014</v>
      </c>
      <c r="H7429" s="238">
        <f>IFERROR(__xludf.DUMMYFUNCTION("""COMPUTED_VALUE"""),46066.29166666667)</f>
        <v>46066.29167</v>
      </c>
      <c r="J7429" s="239">
        <v>120.00000001396984</v>
      </c>
    </row>
    <row r="7430">
      <c r="A7430" s="234"/>
      <c r="B7430" s="238" t="str">
        <f>IFERROR(__xludf.DUMMYFUNCTION("""COMPUTED_VALUE"""),"LM Hub_SP_Santos_PraiaGrande_02")</f>
        <v>LM Hub_SP_Santos_PraiaGrande_02</v>
      </c>
      <c r="C7430" s="238" t="str">
        <f>IFERROR(__xludf.DUMMYFUNCTION("""COMPUTED_VALUE"""),"HUB-LSP-63")</f>
        <v>HUB-LSP-63</v>
      </c>
      <c r="D7430" s="234">
        <f>IFERROR(__xludf.DUMMYFUNCTION("""COMPUTED_VALUE"""),17.0)</f>
        <v>17</v>
      </c>
      <c r="E7430" s="237" t="str">
        <f>IFERROR(__xludf.DUMMYFUNCTION("""COMPUTED_VALUE"""),"LT0Q2D01YK1F1")</f>
        <v>LT0Q2D01YK1F1</v>
      </c>
      <c r="F7430" s="238" t="str">
        <f>IFERROR(__xludf.DUMMYFUNCTION("""COMPUTED_VALUE"""),"EWW3I72,FWI5675")</f>
        <v>EWW3I72,FWI5675</v>
      </c>
      <c r="G7430" s="238">
        <f>IFERROR(__xludf.DUMMYFUNCTION("""COMPUTED_VALUE"""),46066.20833333333)</f>
        <v>46066.20833</v>
      </c>
      <c r="H7430" s="238">
        <f>IFERROR(__xludf.DUMMYFUNCTION("""COMPUTED_VALUE"""),46066.29166666667)</f>
        <v>46066.29167</v>
      </c>
      <c r="J7430" s="239">
        <v>120.00000001396984</v>
      </c>
    </row>
    <row r="7431">
      <c r="A7431" s="234"/>
      <c r="B7431" s="238" t="str">
        <f>IFERROR(__xludf.DUMMYFUNCTION("""COMPUTED_VALUE"""),"LM Hub_SP_Barueri_01")</f>
        <v>LM Hub_SP_Barueri_01</v>
      </c>
      <c r="C7431" s="238" t="str">
        <f>IFERROR(__xludf.DUMMYFUNCTION("""COMPUTED_VALUE"""),"HUB-LSP-81")</f>
        <v>HUB-LSP-81</v>
      </c>
      <c r="D7431" s="234">
        <f>IFERROR(__xludf.DUMMYFUNCTION("""COMPUTED_VALUE"""),23.0)</f>
        <v>23</v>
      </c>
      <c r="E7431" s="237" t="str">
        <f>IFERROR(__xludf.DUMMYFUNCTION("""COMPUTED_VALUE"""),"LT0Q2D01YN691")</f>
        <v>LT0Q2D01YN691</v>
      </c>
      <c r="F7431" s="238" t="str">
        <f>IFERROR(__xludf.DUMMYFUNCTION("""COMPUTED_VALUE"""),"SUQ5C99")</f>
        <v>SUQ5C99</v>
      </c>
      <c r="G7431" s="238">
        <f>IFERROR(__xludf.DUMMYFUNCTION("""COMPUTED_VALUE"""),46066.20833333333)</f>
        <v>46066.20833</v>
      </c>
      <c r="H7431" s="238">
        <f>IFERROR(__xludf.DUMMYFUNCTION("""COMPUTED_VALUE"""),46066.29166666667)</f>
        <v>46066.29167</v>
      </c>
      <c r="J7431" s="239">
        <v>120.00000001396984</v>
      </c>
    </row>
    <row r="7432">
      <c r="A7432" s="234"/>
      <c r="B7432" s="238" t="str">
        <f>IFERROR(__xludf.DUMMYFUNCTION("""COMPUTED_VALUE"""),"LM Hub_SP_Piracicaba")</f>
        <v>LM Hub_SP_Piracicaba</v>
      </c>
      <c r="C7432" s="238" t="str">
        <f>IFERROR(__xludf.DUMMYFUNCTION("""COMPUTED_VALUE"""),"HUB-LSP-62")</f>
        <v>HUB-LSP-62</v>
      </c>
      <c r="D7432" s="234">
        <f>IFERROR(__xludf.DUMMYFUNCTION("""COMPUTED_VALUE"""),27.0)</f>
        <v>27</v>
      </c>
      <c r="E7432" s="237" t="str">
        <f>IFERROR(__xludf.DUMMYFUNCTION("""COMPUTED_VALUE"""),"LT0Q2D01YPQ71")</f>
        <v>LT0Q2D01YPQ71</v>
      </c>
      <c r="F7432" s="238" t="str">
        <f>IFERROR(__xludf.DUMMYFUNCTION("""COMPUTED_VALUE"""),"OMY3I62")</f>
        <v>OMY3I62</v>
      </c>
      <c r="G7432" s="238">
        <f>IFERROR(__xludf.DUMMYFUNCTION("""COMPUTED_VALUE"""),46066.20833333333)</f>
        <v>46066.20833</v>
      </c>
      <c r="H7432" s="238">
        <f>IFERROR(__xludf.DUMMYFUNCTION("""COMPUTED_VALUE"""),46066.29166666667)</f>
        <v>46066.29167</v>
      </c>
      <c r="J7432" s="239">
        <v>119.99999999301508</v>
      </c>
    </row>
    <row r="7433">
      <c r="A7433" s="234"/>
      <c r="B7433" s="238" t="str">
        <f>IFERROR(__xludf.DUMMYFUNCTION("""COMPUTED_VALUE"""),"LM Hub_SP_Itapevi")</f>
        <v>LM Hub_SP_Itapevi</v>
      </c>
      <c r="C7433" s="238" t="str">
        <f>IFERROR(__xludf.DUMMYFUNCTION("""COMPUTED_VALUE"""),"HUB-LSP-41")</f>
        <v>HUB-LSP-41</v>
      </c>
      <c r="D7433" s="234">
        <f>IFERROR(__xludf.DUMMYFUNCTION("""COMPUTED_VALUE"""),14.0)</f>
        <v>14</v>
      </c>
      <c r="E7433" s="237" t="str">
        <f>IFERROR(__xludf.DUMMYFUNCTION("""COMPUTED_VALUE"""),"LT0Q2D01YF8T1")</f>
        <v>LT0Q2D01YF8T1</v>
      </c>
      <c r="F7433" s="238" t="str">
        <f>IFERROR(__xludf.DUMMYFUNCTION("""COMPUTED_VALUE"""),"FYQ5533")</f>
        <v>FYQ5533</v>
      </c>
      <c r="G7433" s="238">
        <f>IFERROR(__xludf.DUMMYFUNCTION("""COMPUTED_VALUE"""),46066.22916666667)</f>
        <v>46066.22917</v>
      </c>
      <c r="H7433" s="238">
        <f>IFERROR(__xludf.DUMMYFUNCTION("""COMPUTED_VALUE"""),46066.3125)</f>
        <v>46066.3125</v>
      </c>
      <c r="J7433" s="239">
        <v>119.99999999301508</v>
      </c>
    </row>
    <row r="7434">
      <c r="A7434" s="234"/>
      <c r="B7434" s="238" t="str">
        <f>IFERROR(__xludf.DUMMYFUNCTION("""COMPUTED_VALUE"""),"LM Hub_SP_São Paulo_Mooca")</f>
        <v>LM Hub_SP_São Paulo_Mooca</v>
      </c>
      <c r="C7434" s="238" t="str">
        <f>IFERROR(__xludf.DUMMYFUNCTION("""COMPUTED_VALUE"""),"HUB-LSP-13")</f>
        <v>HUB-LSP-13</v>
      </c>
      <c r="D7434" s="234">
        <f>IFERROR(__xludf.DUMMYFUNCTION("""COMPUTED_VALUE"""),37.0)</f>
        <v>37</v>
      </c>
      <c r="E7434" s="237" t="str">
        <f>IFERROR(__xludf.DUMMYFUNCTION("""COMPUTED_VALUE"""),"LT0Q2D01YFHS1")</f>
        <v>LT0Q2D01YFHS1</v>
      </c>
      <c r="F7434" s="238" t="str">
        <f>IFERROR(__xludf.DUMMYFUNCTION("""COMPUTED_VALUE"""),"FGI1F79")</f>
        <v>FGI1F79</v>
      </c>
      <c r="G7434" s="238">
        <f>IFERROR(__xludf.DUMMYFUNCTION("""COMPUTED_VALUE"""),46066.22916666667)</f>
        <v>46066.22917</v>
      </c>
      <c r="H7434" s="238">
        <f>IFERROR(__xludf.DUMMYFUNCTION("""COMPUTED_VALUE"""),46066.3125)</f>
        <v>46066.3125</v>
      </c>
      <c r="J7434" s="239">
        <v>119.99999999301508</v>
      </c>
    </row>
    <row r="7435">
      <c r="A7435" s="234"/>
      <c r="B7435" s="238" t="str">
        <f>IFERROR(__xludf.DUMMYFUNCTION("""COMPUTED_VALUE"""),"LM Hub_SP_Guarujá")</f>
        <v>LM Hub_SP_Guarujá</v>
      </c>
      <c r="C7435" s="238" t="str">
        <f>IFERROR(__xludf.DUMMYFUNCTION("""COMPUTED_VALUE"""),"HUB-LSP-06")</f>
        <v>HUB-LSP-06</v>
      </c>
      <c r="D7435" s="234"/>
      <c r="E7435" s="237" t="str">
        <f>IFERROR(__xludf.DUMMYFUNCTION("""COMPUTED_VALUE"""),"LT0Q2D01YK0V1")</f>
        <v>LT0Q2D01YK0V1</v>
      </c>
      <c r="F7435" s="238" t="str">
        <f>IFERROR(__xludf.DUMMYFUNCTION("""COMPUTED_VALUE"""),"RRA1C26")</f>
        <v>RRA1C26</v>
      </c>
      <c r="G7435" s="238">
        <f>IFERROR(__xludf.DUMMYFUNCTION("""COMPUTED_VALUE"""),46066.22916666667)</f>
        <v>46066.22917</v>
      </c>
      <c r="H7435" s="238">
        <f>IFERROR(__xludf.DUMMYFUNCTION("""COMPUTED_VALUE"""),46066.3125)</f>
        <v>46066.3125</v>
      </c>
      <c r="J7435" s="239">
        <v>119.99999999301508</v>
      </c>
    </row>
    <row r="7436">
      <c r="A7436" s="234"/>
      <c r="B7436" s="238" t="str">
        <f>IFERROR(__xludf.DUMMYFUNCTION("""COMPUTED_VALUE"""),"LM Hub_SP_Santos_Praia Grande")</f>
        <v>LM Hub_SP_Santos_Praia Grande</v>
      </c>
      <c r="C7436" s="238" t="str">
        <f>IFERROR(__xludf.DUMMYFUNCTION("""COMPUTED_VALUE"""),"HUB-LSP-09")</f>
        <v>HUB-LSP-09</v>
      </c>
      <c r="D7436" s="234">
        <f>IFERROR(__xludf.DUMMYFUNCTION("""COMPUTED_VALUE"""),13.0)</f>
        <v>13</v>
      </c>
      <c r="E7436" s="237" t="str">
        <f>IFERROR(__xludf.DUMMYFUNCTION("""COMPUTED_VALUE"""),"LT0Q2D01YK101")</f>
        <v>LT0Q2D01YK101</v>
      </c>
      <c r="F7436" s="238" t="str">
        <f>IFERROR(__xludf.DUMMYFUNCTION("""COMPUTED_VALUE"""),"GJK2F83")</f>
        <v>GJK2F83</v>
      </c>
      <c r="G7436" s="238">
        <f>IFERROR(__xludf.DUMMYFUNCTION("""COMPUTED_VALUE"""),46066.22916666667)</f>
        <v>46066.22917</v>
      </c>
      <c r="H7436" s="238">
        <f>IFERROR(__xludf.DUMMYFUNCTION("""COMPUTED_VALUE"""),46066.3125)</f>
        <v>46066.3125</v>
      </c>
      <c r="J7436" s="239">
        <v>119.00000000023283</v>
      </c>
    </row>
    <row r="7437">
      <c r="A7437" s="234"/>
      <c r="B7437" s="238" t="str">
        <f>IFERROR(__xludf.DUMMYFUNCTION("""COMPUTED_VALUE"""),"LM Hub_SP_Várzea Paulista")</f>
        <v>LM Hub_SP_Várzea Paulista</v>
      </c>
      <c r="C7437" s="238" t="str">
        <f>IFERROR(__xludf.DUMMYFUNCTION("""COMPUTED_VALUE"""),"HUB-LSP-20")</f>
        <v>HUB-LSP-20</v>
      </c>
      <c r="D7437" s="234">
        <f>IFERROR(__xludf.DUMMYFUNCTION("""COMPUTED_VALUE"""),19.0)</f>
        <v>19</v>
      </c>
      <c r="E7437" s="237" t="str">
        <f>IFERROR(__xludf.DUMMYFUNCTION("""COMPUTED_VALUE"""),"LT0Q2D01YF9P1")</f>
        <v>LT0Q2D01YF9P1</v>
      </c>
      <c r="F7437" s="238" t="str">
        <f>IFERROR(__xludf.DUMMYFUNCTION("""COMPUTED_VALUE"""),"DVT7F98,MFI5G72")</f>
        <v>DVT7F98,MFI5G72</v>
      </c>
      <c r="G7437" s="238">
        <f>IFERROR(__xludf.DUMMYFUNCTION("""COMPUTED_VALUE"""),46066.22986111111)</f>
        <v>46066.22986</v>
      </c>
      <c r="H7437" s="238">
        <f>IFERROR(__xludf.DUMMYFUNCTION("""COMPUTED_VALUE"""),46066.3125)</f>
        <v>46066.3125</v>
      </c>
      <c r="J7437" s="239">
        <v>119.99999999301508</v>
      </c>
    </row>
    <row r="7438">
      <c r="A7438" s="234"/>
      <c r="B7438" s="238" t="str">
        <f>IFERROR(__xludf.DUMMYFUNCTION("""COMPUTED_VALUE"""),"LM Hub_SP_Artur Alvim")</f>
        <v>LM Hub_SP_Artur Alvim</v>
      </c>
      <c r="C7438" s="238" t="str">
        <f>IFERROR(__xludf.DUMMYFUNCTION("""COMPUTED_VALUE"""),"HUB-LSP-07")</f>
        <v>HUB-LSP-07</v>
      </c>
      <c r="D7438" s="234"/>
      <c r="E7438" s="237" t="str">
        <f>IFERROR(__xludf.DUMMYFUNCTION("""COMPUTED_VALUE"""),"LT0Q2D01YJZR1")</f>
        <v>LT0Q2D01YJZR1</v>
      </c>
      <c r="F7438" s="238" t="str">
        <f>IFERROR(__xludf.DUMMYFUNCTION("""COMPUTED_VALUE"""),"DAJ3E28")</f>
        <v>DAJ3E28</v>
      </c>
      <c r="G7438" s="238">
        <f>IFERROR(__xludf.DUMMYFUNCTION("""COMPUTED_VALUE"""),46066.25)</f>
        <v>46066.25</v>
      </c>
      <c r="H7438" s="238">
        <f>IFERROR(__xludf.DUMMYFUNCTION("""COMPUTED_VALUE"""),46066.33333333333)</f>
        <v>46066.33333</v>
      </c>
      <c r="J7438" s="239">
        <v>119.99999999301508</v>
      </c>
    </row>
    <row r="7439">
      <c r="A7439" s="234"/>
      <c r="B7439" s="238" t="str">
        <f>IFERROR(__xludf.DUMMYFUNCTION("""COMPUTED_VALUE"""),"LM Hub_SP_Jardim Adriana")</f>
        <v>LM Hub_SP_Jardim Adriana</v>
      </c>
      <c r="C7439" s="238" t="str">
        <f>IFERROR(__xludf.DUMMYFUNCTION("""COMPUTED_VALUE"""),"HUB-LSP-12")</f>
        <v>HUB-LSP-12</v>
      </c>
      <c r="D7439" s="234"/>
      <c r="E7439" s="237" t="str">
        <f>IFERROR(__xludf.DUMMYFUNCTION("""COMPUTED_VALUE"""),"LT0Q2D01YJZW1")</f>
        <v>LT0Q2D01YJZW1</v>
      </c>
      <c r="F7439" s="238" t="str">
        <f>IFERROR(__xludf.DUMMYFUNCTION("""COMPUTED_VALUE"""),"GCS0J70")</f>
        <v>GCS0J70</v>
      </c>
      <c r="G7439" s="238">
        <f>IFERROR(__xludf.DUMMYFUNCTION("""COMPUTED_VALUE"""),46066.25)</f>
        <v>46066.25</v>
      </c>
      <c r="H7439" s="238">
        <f>IFERROR(__xludf.DUMMYFUNCTION("""COMPUTED_VALUE"""),46066.33333333333)</f>
        <v>46066.33333</v>
      </c>
      <c r="J7439" s="239">
        <v>119.99999999301508</v>
      </c>
    </row>
    <row r="7440">
      <c r="A7440" s="234"/>
      <c r="B7440" s="238" t="str">
        <f>IFERROR(__xludf.DUMMYFUNCTION("""COMPUTED_VALUE"""),"LM Hub_SP_São Paulo_Lapa")</f>
        <v>LM Hub_SP_São Paulo_Lapa</v>
      </c>
      <c r="C7440" s="238" t="str">
        <f>IFERROR(__xludf.DUMMYFUNCTION("""COMPUTED_VALUE"""),"HUB-LSP-15")</f>
        <v>HUB-LSP-15</v>
      </c>
      <c r="D7440" s="234">
        <f>IFERROR(__xludf.DUMMYFUNCTION("""COMPUTED_VALUE"""),22.0)</f>
        <v>22</v>
      </c>
      <c r="E7440" s="237" t="str">
        <f>IFERROR(__xludf.DUMMYFUNCTION("""COMPUTED_VALUE"""),"LT0Q2D01YK011")</f>
        <v>LT0Q2D01YK011</v>
      </c>
      <c r="F7440" s="238" t="str">
        <f>IFERROR(__xludf.DUMMYFUNCTION("""COMPUTED_VALUE"""),"GBC7H76")</f>
        <v>GBC7H76</v>
      </c>
      <c r="G7440" s="238">
        <f>IFERROR(__xludf.DUMMYFUNCTION("""COMPUTED_VALUE"""),46066.25)</f>
        <v>46066.25</v>
      </c>
      <c r="H7440" s="238">
        <f>IFERROR(__xludf.DUMMYFUNCTION("""COMPUTED_VALUE"""),46066.33333333333)</f>
        <v>46066.33333</v>
      </c>
      <c r="J7440" s="239">
        <v>119.99999999301508</v>
      </c>
    </row>
    <row r="7441">
      <c r="A7441" s="234"/>
      <c r="B7441" s="238" t="str">
        <f>IFERROR(__xludf.DUMMYFUNCTION("""COMPUTED_VALUE"""),"LM Hub_SP_Jurubatuba")</f>
        <v>LM Hub_SP_Jurubatuba</v>
      </c>
      <c r="C7441" s="238" t="str">
        <f>IFERROR(__xludf.DUMMYFUNCTION("""COMPUTED_VALUE"""),"HUB-LSP-16")</f>
        <v>HUB-LSP-16</v>
      </c>
      <c r="D7441" s="234"/>
      <c r="E7441" s="237" t="str">
        <f>IFERROR(__xludf.DUMMYFUNCTION("""COMPUTED_VALUE"""),"LT0Q2D01YK061")</f>
        <v>LT0Q2D01YK061</v>
      </c>
      <c r="F7441" s="238" t="str">
        <f>IFERROR(__xludf.DUMMYFUNCTION("""COMPUTED_VALUE"""),"EFY1G61,CUG9G47")</f>
        <v>EFY1G61,CUG9G47</v>
      </c>
      <c r="G7441" s="238">
        <f>IFERROR(__xludf.DUMMYFUNCTION("""COMPUTED_VALUE"""),46066.25)</f>
        <v>46066.25</v>
      </c>
      <c r="H7441" s="238">
        <f>IFERROR(__xludf.DUMMYFUNCTION("""COMPUTED_VALUE"""),46066.33333333333)</f>
        <v>46066.33333</v>
      </c>
      <c r="J7441" s="239">
        <v>119.99999999301508</v>
      </c>
    </row>
    <row r="7442">
      <c r="A7442" s="234"/>
      <c r="B7442" s="238" t="str">
        <f>IFERROR(__xludf.DUMMYFUNCTION("""COMPUTED_VALUE"""),"LM Hub_SP_Osasco_02")</f>
        <v>LM Hub_SP_Osasco_02</v>
      </c>
      <c r="C7442" s="238" t="str">
        <f>IFERROR(__xludf.DUMMYFUNCTION("""COMPUTED_VALUE"""),"HUB-LSP-60")</f>
        <v>HUB-LSP-60</v>
      </c>
      <c r="D7442" s="234">
        <f>IFERROR(__xludf.DUMMYFUNCTION("""COMPUTED_VALUE"""),28.0)</f>
        <v>28</v>
      </c>
      <c r="E7442" s="237" t="str">
        <f>IFERROR(__xludf.DUMMYFUNCTION("""COMPUTED_VALUE"""),"LT0Q2D01YK0G1")</f>
        <v>LT0Q2D01YK0G1</v>
      </c>
      <c r="F7442" s="238" t="str">
        <f>IFERROR(__xludf.DUMMYFUNCTION("""COMPUTED_VALUE"""),"FEU6H63")</f>
        <v>FEU6H63</v>
      </c>
      <c r="G7442" s="238">
        <f>IFERROR(__xludf.DUMMYFUNCTION("""COMPUTED_VALUE"""),46066.25)</f>
        <v>46066.25</v>
      </c>
      <c r="H7442" s="238">
        <f>IFERROR(__xludf.DUMMYFUNCTION("""COMPUTED_VALUE"""),46066.33333333333)</f>
        <v>46066.33333</v>
      </c>
      <c r="J7442" s="239">
        <v>119.99999999301508</v>
      </c>
    </row>
    <row r="7443">
      <c r="A7443" s="234"/>
      <c r="B7443" s="238" t="str">
        <f>IFERROR(__xludf.DUMMYFUNCTION("""COMPUTED_VALUE"""),"LM Hub_SP_VilaGuilherme")</f>
        <v>LM Hub_SP_VilaGuilherme</v>
      </c>
      <c r="C7443" s="238" t="str">
        <f>IFERROR(__xludf.DUMMYFUNCTION("""COMPUTED_VALUE"""),"HUB-LSP-68")</f>
        <v>HUB-LSP-68</v>
      </c>
      <c r="D7443" s="234"/>
      <c r="E7443" s="237" t="str">
        <f>IFERROR(__xludf.DUMMYFUNCTION("""COMPUTED_VALUE"""),"LT0Q2D01YK0L1")</f>
        <v>LT0Q2D01YK0L1</v>
      </c>
      <c r="F7443" s="238" t="str">
        <f>IFERROR(__xludf.DUMMYFUNCTION("""COMPUTED_VALUE"""),"FEQ5G38")</f>
        <v>FEQ5G38</v>
      </c>
      <c r="G7443" s="238">
        <f>IFERROR(__xludf.DUMMYFUNCTION("""COMPUTED_VALUE"""),46066.25)</f>
        <v>46066.25</v>
      </c>
      <c r="H7443" s="238">
        <f>IFERROR(__xludf.DUMMYFUNCTION("""COMPUTED_VALUE"""),46066.33333333333)</f>
        <v>46066.33333</v>
      </c>
      <c r="J7443" s="239">
        <v>119.99999999301508</v>
      </c>
    </row>
    <row r="7444">
      <c r="A7444" s="234"/>
      <c r="B7444" s="238" t="str">
        <f>IFERROR(__xludf.DUMMYFUNCTION("""COMPUTED_VALUE"""),"LM Hub_SP_Itaqua_Zimba")</f>
        <v>LM Hub_SP_Itaqua_Zimba</v>
      </c>
      <c r="C7444" s="238" t="str">
        <f>IFERROR(__xludf.DUMMYFUNCTION("""COMPUTED_VALUE"""),"HUB-LSP-74")</f>
        <v>HUB-LSP-74</v>
      </c>
      <c r="D7444" s="234">
        <f>IFERROR(__xludf.DUMMYFUNCTION("""COMPUTED_VALUE"""),12.0)</f>
        <v>12</v>
      </c>
      <c r="E7444" s="237" t="str">
        <f>IFERROR(__xludf.DUMMYFUNCTION("""COMPUTED_VALUE"""),"LT0Q2D01YK0Q1")</f>
        <v>LT0Q2D01YK0Q1</v>
      </c>
      <c r="F7444" s="238" t="str">
        <f>IFERROR(__xludf.DUMMYFUNCTION("""COMPUTED_VALUE"""),"MKH1B47")</f>
        <v>MKH1B47</v>
      </c>
      <c r="G7444" s="238">
        <f>IFERROR(__xludf.DUMMYFUNCTION("""COMPUTED_VALUE"""),46066.25)</f>
        <v>46066.25</v>
      </c>
      <c r="H7444" s="238">
        <f>IFERROR(__xludf.DUMMYFUNCTION("""COMPUTED_VALUE"""),46066.33333333333)</f>
        <v>46066.33333</v>
      </c>
      <c r="J7444" s="239">
        <v>119.99999999301508</v>
      </c>
    </row>
    <row r="7445">
      <c r="A7445" s="234"/>
      <c r="B7445" s="238" t="str">
        <f>IFERROR(__xludf.DUMMYFUNCTION("""COMPUTED_VALUE"""),"LM Hub_SP_Guarulhos")</f>
        <v>LM Hub_SP_Guarulhos</v>
      </c>
      <c r="C7445" s="238" t="str">
        <f>IFERROR(__xludf.DUMMYFUNCTION("""COMPUTED_VALUE"""),"HUB-LSP-77")</f>
        <v>HUB-LSP-77</v>
      </c>
      <c r="D7445" s="234"/>
      <c r="E7445" s="237" t="str">
        <f>IFERROR(__xludf.DUMMYFUNCTION("""COMPUTED_VALUE"""),"LT0Q2D01YK1A1")</f>
        <v>LT0Q2D01YK1A1</v>
      </c>
      <c r="F7445" s="238" t="str">
        <f>IFERROR(__xludf.DUMMYFUNCTION("""COMPUTED_VALUE"""),"CUE1J71")</f>
        <v>CUE1J71</v>
      </c>
      <c r="G7445" s="238">
        <f>IFERROR(__xludf.DUMMYFUNCTION("""COMPUTED_VALUE"""),46066.25)</f>
        <v>46066.25</v>
      </c>
      <c r="H7445" s="238">
        <f>IFERROR(__xludf.DUMMYFUNCTION("""COMPUTED_VALUE"""),46066.33333333333)</f>
        <v>46066.33333</v>
      </c>
      <c r="J7445" s="239">
        <v>119.99999999301508</v>
      </c>
    </row>
    <row r="7446">
      <c r="A7446" s="234"/>
      <c r="B7446" s="238" t="str">
        <f>IFERROR(__xludf.DUMMYFUNCTION("""COMPUTED_VALUE"""),"LM Hub_SP_Embu das Artes")</f>
        <v>LM Hub_SP_Embu das Artes</v>
      </c>
      <c r="C7446" s="238" t="str">
        <f>IFERROR(__xludf.DUMMYFUNCTION("""COMPUTED_VALUE"""),"HUB-LSP-36")</f>
        <v>HUB-LSP-36</v>
      </c>
      <c r="D7446" s="234">
        <f>IFERROR(__xludf.DUMMYFUNCTION("""COMPUTED_VALUE"""),34.0)</f>
        <v>34</v>
      </c>
      <c r="E7446" s="237" t="str">
        <f>IFERROR(__xludf.DUMMYFUNCTION("""COMPUTED_VALUE"""),"LT0Q2D01YK1K1")</f>
        <v>LT0Q2D01YK1K1</v>
      </c>
      <c r="F7446" s="238" t="str">
        <f>IFERROR(__xludf.DUMMYFUNCTION("""COMPUTED_VALUE"""),"UFL4C38")</f>
        <v>UFL4C38</v>
      </c>
      <c r="G7446" s="238">
        <f>IFERROR(__xludf.DUMMYFUNCTION("""COMPUTED_VALUE"""),46066.25)</f>
        <v>46066.25</v>
      </c>
      <c r="H7446" s="238">
        <f>IFERROR(__xludf.DUMMYFUNCTION("""COMPUTED_VALUE"""),46066.33333333333)</f>
        <v>46066.33333</v>
      </c>
      <c r="J7446" s="239">
        <v>120.00000001396984</v>
      </c>
    </row>
    <row r="7447">
      <c r="A7447" s="234"/>
      <c r="B7447" s="238" t="str">
        <f>IFERROR(__xludf.DUMMYFUNCTION("""COMPUTED_VALUE"""),"LM Hub_SP_São Bernardo do Campo")</f>
        <v>LM Hub_SP_São Bernardo do Campo</v>
      </c>
      <c r="C7447" s="238" t="str">
        <f>IFERROR(__xludf.DUMMYFUNCTION("""COMPUTED_VALUE"""),"HUB-LSP-79")</f>
        <v>HUB-LSP-79</v>
      </c>
      <c r="D7447" s="234">
        <f>IFERROR(__xludf.DUMMYFUNCTION("""COMPUTED_VALUE"""),41.0)</f>
        <v>41</v>
      </c>
      <c r="E7447" s="237" t="str">
        <f>IFERROR(__xludf.DUMMYFUNCTION("""COMPUTED_VALUE"""),"LT0Q2D01YJIG1")</f>
        <v>LT0Q2D01YJIG1</v>
      </c>
      <c r="F7447" s="238" t="str">
        <f>IFERROR(__xludf.DUMMYFUNCTION("""COMPUTED_VALUE"""),"DVT5D28")</f>
        <v>DVT5D28</v>
      </c>
      <c r="G7447" s="238">
        <f>IFERROR(__xludf.DUMMYFUNCTION("""COMPUTED_VALUE"""),46066.27083333333)</f>
        <v>46066.27083</v>
      </c>
      <c r="H7447" s="238">
        <f>IFERROR(__xludf.DUMMYFUNCTION("""COMPUTED_VALUE"""),46066.35416666667)</f>
        <v>46066.35417</v>
      </c>
      <c r="J7447" s="239">
        <v>120.00000001396984</v>
      </c>
    </row>
    <row r="7448">
      <c r="A7448" s="234"/>
      <c r="B7448" s="238" t="str">
        <f>IFERROR(__xludf.DUMMYFUNCTION("""COMPUTED_VALUE"""),"LM Hub_SP_Parque Novo Mundo")</f>
        <v>LM Hub_SP_Parque Novo Mundo</v>
      </c>
      <c r="C7448" s="238" t="str">
        <f>IFERROR(__xludf.DUMMYFUNCTION("""COMPUTED_VALUE"""),"HUB-LSP-89")</f>
        <v>HUB-LSP-89</v>
      </c>
      <c r="D7448" s="234">
        <f>IFERROR(__xludf.DUMMYFUNCTION("""COMPUTED_VALUE"""),9.0)</f>
        <v>9</v>
      </c>
      <c r="E7448" s="237" t="str">
        <f>IFERROR(__xludf.DUMMYFUNCTION("""COMPUTED_VALUE"""),"LT0Q2D01YJRL1")</f>
        <v>LT0Q2D01YJRL1</v>
      </c>
      <c r="F7448" s="238" t="str">
        <f>IFERROR(__xludf.DUMMYFUNCTION("""COMPUTED_VALUE"""),"GIQ1C13")</f>
        <v>GIQ1C13</v>
      </c>
      <c r="G7448" s="238">
        <f>IFERROR(__xludf.DUMMYFUNCTION("""COMPUTED_VALUE"""),46066.27083333333)</f>
        <v>46066.27083</v>
      </c>
      <c r="H7448" s="238">
        <f>IFERROR(__xludf.DUMMYFUNCTION("""COMPUTED_VALUE"""),46066.35416666667)</f>
        <v>46066.35417</v>
      </c>
      <c r="J7448" s="239">
        <v>60.00000000698492</v>
      </c>
    </row>
    <row r="7449">
      <c r="A7449" s="234"/>
      <c r="B7449" s="238" t="str">
        <f>IFERROR(__xludf.DUMMYFUNCTION("""COMPUTED_VALUE"""),"LM Hub_SP_Mauá")</f>
        <v>LM Hub_SP_Mauá</v>
      </c>
      <c r="C7449" s="238" t="str">
        <f>IFERROR(__xludf.DUMMYFUNCTION("""COMPUTED_VALUE"""),"HUB-LSP-64")</f>
        <v>HUB-LSP-64</v>
      </c>
      <c r="D7449" s="234">
        <f>IFERROR(__xludf.DUMMYFUNCTION("""COMPUTED_VALUE"""),35.0)</f>
        <v>35</v>
      </c>
      <c r="E7449" s="237" t="str">
        <f>IFERROR(__xludf.DUMMYFUNCTION("""COMPUTED_VALUE"""),"LT0Q2D01YFHX1")</f>
        <v>LT0Q2D01YFHX1</v>
      </c>
      <c r="F7449" s="238" t="str">
        <f>IFERROR(__xludf.DUMMYFUNCTION("""COMPUTED_VALUE"""),"PQV0E87")</f>
        <v>PQV0E87</v>
      </c>
      <c r="G7449" s="238">
        <f>IFERROR(__xludf.DUMMYFUNCTION("""COMPUTED_VALUE"""),46066.3125)</f>
        <v>46066.3125</v>
      </c>
      <c r="H7449" s="238">
        <f>IFERROR(__xludf.DUMMYFUNCTION("""COMPUTED_VALUE"""),46066.35416666667)</f>
        <v>46066.35417</v>
      </c>
      <c r="J7449" s="239">
        <v>540.0</v>
      </c>
    </row>
    <row r="7450">
      <c r="A7450" s="234"/>
      <c r="B7450" s="238" t="str">
        <f>IFERROR(__xludf.DUMMYFUNCTION("""COMPUTED_VALUE"""),"SoC_MG_Betim")</f>
        <v>SoC_MG_Betim</v>
      </c>
      <c r="C7450" s="238" t="str">
        <f>IFERROR(__xludf.DUMMYFUNCTION("""COMPUTED_VALUE"""),"SOC-MG2")</f>
        <v>SOC-MG2</v>
      </c>
      <c r="D7450" s="234">
        <f>IFERROR(__xludf.DUMMYFUNCTION("""COMPUTED_VALUE"""),90.0)</f>
        <v>90</v>
      </c>
      <c r="E7450" s="237" t="str">
        <f>IFERROR(__xludf.DUMMYFUNCTION("""COMPUTED_VALUE"""),"LT0Q2C01YIU63")</f>
        <v>LT0Q2C01YIU63</v>
      </c>
      <c r="F7450" s="238" t="str">
        <f>IFERROR(__xludf.DUMMYFUNCTION("""COMPUTED_VALUE"""),"SWU9B89,RBC5B90")</f>
        <v>SWU9B89,RBC5B90</v>
      </c>
      <c r="G7450" s="238">
        <f>IFERROR(__xludf.DUMMYFUNCTION("""COMPUTED_VALUE"""),46066.0)</f>
        <v>46066</v>
      </c>
      <c r="H7450" s="238">
        <f>IFERROR(__xludf.DUMMYFUNCTION("""COMPUTED_VALUE"""),46066.375)</f>
        <v>46066.375</v>
      </c>
      <c r="J7450" s="239">
        <v>479.9999999930151</v>
      </c>
    </row>
    <row r="7451">
      <c r="A7451" s="234"/>
      <c r="B7451" s="238" t="str">
        <f>IFERROR(__xludf.DUMMYFUNCTION("""COMPUTED_VALUE"""),"SoC_MG_Betim")</f>
        <v>SoC_MG_Betim</v>
      </c>
      <c r="C7451" s="238" t="str">
        <f>IFERROR(__xludf.DUMMYFUNCTION("""COMPUTED_VALUE"""),"SOC-MG2")</f>
        <v>SOC-MG2</v>
      </c>
      <c r="D7451" s="234">
        <f>IFERROR(__xludf.DUMMYFUNCTION("""COMPUTED_VALUE"""),91.0)</f>
        <v>91</v>
      </c>
      <c r="E7451" s="237" t="str">
        <f>IFERROR(__xludf.DUMMYFUNCTION("""COMPUTED_VALUE"""),"LT0Q2C01YIU84")</f>
        <v>LT0Q2C01YIU84</v>
      </c>
      <c r="F7451" s="238" t="str">
        <f>IFERROR(__xludf.DUMMYFUNCTION("""COMPUTED_VALUE"""),"STN3D74,SPU0C31")</f>
        <v>STN3D74,SPU0C31</v>
      </c>
      <c r="G7451" s="238">
        <f>IFERROR(__xludf.DUMMYFUNCTION("""COMPUTED_VALUE"""),46066.04166666667)</f>
        <v>46066.04167</v>
      </c>
      <c r="H7451" s="238">
        <f>IFERROR(__xludf.DUMMYFUNCTION("""COMPUTED_VALUE"""),46066.375)</f>
        <v>46066.375</v>
      </c>
      <c r="J7451" s="239">
        <v>540.0</v>
      </c>
    </row>
    <row r="7452">
      <c r="A7452" s="234"/>
      <c r="B7452" s="238" t="str">
        <f>IFERROR(__xludf.DUMMYFUNCTION("""COMPUTED_VALUE"""),"SoC_PE_Jaboatão dos Guararapes")</f>
        <v>SoC_PE_Jaboatão dos Guararapes</v>
      </c>
      <c r="C7452" s="238" t="str">
        <f>IFERROR(__xludf.DUMMYFUNCTION("""COMPUTED_VALUE"""),"SOC-PE2")</f>
        <v>SOC-PE2</v>
      </c>
      <c r="D7452" s="234">
        <f>IFERROR(__xludf.DUMMYFUNCTION("""COMPUTED_VALUE"""),98.0)</f>
        <v>98</v>
      </c>
      <c r="E7452" s="237" t="str">
        <f>IFERROR(__xludf.DUMMYFUNCTION("""COMPUTED_VALUE"""),"LT1Q2C01YVUW1")</f>
        <v>LT1Q2C01YVUW1</v>
      </c>
      <c r="F7452" s="238" t="str">
        <f>IFERROR(__xludf.DUMMYFUNCTION("""COMPUTED_VALUE"""),"NKP1I30,HWG2962")</f>
        <v>NKP1I30,HWG2962</v>
      </c>
      <c r="G7452" s="238">
        <f>IFERROR(__xludf.DUMMYFUNCTION("""COMPUTED_VALUE"""),46066.0)</f>
        <v>46066</v>
      </c>
      <c r="H7452" s="238">
        <f>IFERROR(__xludf.DUMMYFUNCTION("""COMPUTED_VALUE"""),46066.375)</f>
        <v>46066.375</v>
      </c>
      <c r="J7452" s="239">
        <v>540.0</v>
      </c>
    </row>
    <row r="7453">
      <c r="A7453" s="234"/>
      <c r="B7453" s="238" t="str">
        <f>IFERROR(__xludf.DUMMYFUNCTION("""COMPUTED_VALUE"""),"SoC_BA_Simoes Filho")</f>
        <v>SoC_BA_Simoes Filho</v>
      </c>
      <c r="C7453" s="238" t="str">
        <f>IFERROR(__xludf.DUMMYFUNCTION("""COMPUTED_VALUE"""),"SOC-BA2")</f>
        <v>SOC-BA2</v>
      </c>
      <c r="D7453" s="234">
        <f>IFERROR(__xludf.DUMMYFUNCTION("""COMPUTED_VALUE"""),88.0)</f>
        <v>88</v>
      </c>
      <c r="E7453" s="237" t="str">
        <f>IFERROR(__xludf.DUMMYFUNCTION("""COMPUTED_VALUE"""),"LT1Q2C01YVV01")</f>
        <v>LT1Q2C01YVV01</v>
      </c>
      <c r="F7453" s="238" t="str">
        <f>IFERROR(__xludf.DUMMYFUNCTION("""COMPUTED_VALUE"""),"FYN5H29,GAH2J06")</f>
        <v>FYN5H29,GAH2J06</v>
      </c>
      <c r="G7453" s="238">
        <f>IFERROR(__xludf.DUMMYFUNCTION("""COMPUTED_VALUE"""),46066.0)</f>
        <v>46066</v>
      </c>
      <c r="H7453" s="238">
        <f>IFERROR(__xludf.DUMMYFUNCTION("""COMPUTED_VALUE"""),46066.375)</f>
        <v>46066.375</v>
      </c>
      <c r="J7453" s="239">
        <v>420.0000000069849</v>
      </c>
    </row>
    <row r="7454">
      <c r="A7454" s="234"/>
      <c r="B7454" s="238" t="str">
        <f>IFERROR(__xludf.DUMMYFUNCTION("""COMPUTED_VALUE"""),"SoC_SP_Cravinhos")</f>
        <v>SoC_SP_Cravinhos</v>
      </c>
      <c r="C7454" s="238" t="str">
        <f>IFERROR(__xludf.DUMMYFUNCTION("""COMPUTED_VALUE"""),"SOC-SP5")</f>
        <v>SOC-SP5</v>
      </c>
      <c r="D7454" s="234">
        <f>IFERROR(__xludf.DUMMYFUNCTION("""COMPUTED_VALUE"""),95.0)</f>
        <v>95</v>
      </c>
      <c r="E7454" s="237" t="str">
        <f>IFERROR(__xludf.DUMMYFUNCTION("""COMPUTED_VALUE"""),"LT1Q2C01YVC81")</f>
        <v>LT1Q2C01YVC81</v>
      </c>
      <c r="F7454" s="238" t="str">
        <f>IFERROR(__xludf.DUMMYFUNCTION("""COMPUTED_VALUE"""),"RUK3E00,TBC7C64")</f>
        <v>RUK3E00,TBC7C64</v>
      </c>
      <c r="G7454" s="238">
        <f>IFERROR(__xludf.DUMMYFUNCTION("""COMPUTED_VALUE"""),46066.08333333333)</f>
        <v>46066.08333</v>
      </c>
      <c r="H7454" s="238">
        <f>IFERROR(__xludf.DUMMYFUNCTION("""COMPUTED_VALUE"""),46066.375)</f>
        <v>46066.375</v>
      </c>
      <c r="J7454" s="239">
        <v>419.0000000037253</v>
      </c>
    </row>
    <row r="7455">
      <c r="A7455" s="234"/>
      <c r="B7455" s="238" t="str">
        <f>IFERROR(__xludf.DUMMYFUNCTION("""COMPUTED_VALUE"""),"SoC_BA_Simoes Filho")</f>
        <v>SoC_BA_Simoes Filho</v>
      </c>
      <c r="C7455" s="238" t="str">
        <f>IFERROR(__xludf.DUMMYFUNCTION("""COMPUTED_VALUE"""),"SOC-BA2")</f>
        <v>SOC-BA2</v>
      </c>
      <c r="D7455" s="234"/>
      <c r="E7455" s="237" t="str">
        <f>IFERROR(__xludf.DUMMYFUNCTION("""COMPUTED_VALUE"""),"LT0Q2C01YNGK2")</f>
        <v>LT0Q2C01YNGK2</v>
      </c>
      <c r="F7455" s="238" t="str">
        <f>IFERROR(__xludf.DUMMYFUNCTION("""COMPUTED_VALUE"""),"PLS5H85,SJM4B71")</f>
        <v>PLS5H85,SJM4B71</v>
      </c>
      <c r="G7455" s="238">
        <f>IFERROR(__xludf.DUMMYFUNCTION("""COMPUTED_VALUE"""),46066.084027777775)</f>
        <v>46066.08403</v>
      </c>
      <c r="H7455" s="238">
        <f>IFERROR(__xludf.DUMMYFUNCTION("""COMPUTED_VALUE"""),46066.375)</f>
        <v>46066.375</v>
      </c>
      <c r="J7455" s="239">
        <v>419.0000000037253</v>
      </c>
    </row>
    <row r="7456">
      <c r="A7456" s="234"/>
      <c r="B7456" s="238" t="str">
        <f>IFERROR(__xludf.DUMMYFUNCTION("""COMPUTED_VALUE"""),"SoC_GO_Goiânia_02")</f>
        <v>SoC_GO_Goiânia_02</v>
      </c>
      <c r="C7456" s="238" t="str">
        <f>IFERROR(__xludf.DUMMYFUNCTION("""COMPUTED_VALUE"""),"SOC-GO2")</f>
        <v>SOC-GO2</v>
      </c>
      <c r="D7456" s="234">
        <f>IFERROR(__xludf.DUMMYFUNCTION("""COMPUTED_VALUE"""),87.0)</f>
        <v>87</v>
      </c>
      <c r="E7456" s="237" t="str">
        <f>IFERROR(__xludf.DUMMYFUNCTION("""COMPUTED_VALUE"""),"LT0Q2C01YNQO1")</f>
        <v>LT0Q2C01YNQO1</v>
      </c>
      <c r="F7456" s="238" t="str">
        <f>IFERROR(__xludf.DUMMYFUNCTION("""COMPUTED_VALUE"""),"EML1J23,QSO6G65")</f>
        <v>EML1J23,QSO6G65</v>
      </c>
      <c r="G7456" s="238">
        <f>IFERROR(__xludf.DUMMYFUNCTION("""COMPUTED_VALUE"""),46066.084027777775)</f>
        <v>46066.08403</v>
      </c>
      <c r="H7456" s="238">
        <f>IFERROR(__xludf.DUMMYFUNCTION("""COMPUTED_VALUE"""),46066.375)</f>
        <v>46066.375</v>
      </c>
      <c r="J7456" s="239">
        <v>539.0000000072177</v>
      </c>
    </row>
    <row r="7457">
      <c r="A7457" s="234"/>
      <c r="B7457" s="238" t="str">
        <f>IFERROR(__xludf.DUMMYFUNCTION("""COMPUTED_VALUE"""),"SoC_GO_Goiânia_02")</f>
        <v>SoC_GO_Goiânia_02</v>
      </c>
      <c r="C7457" s="238" t="str">
        <f>IFERROR(__xludf.DUMMYFUNCTION("""COMPUTED_VALUE"""),"SOC-GO2")</f>
        <v>SOC-GO2</v>
      </c>
      <c r="D7457" s="234">
        <f>IFERROR(__xludf.DUMMYFUNCTION("""COMPUTED_VALUE"""),86.0)</f>
        <v>86</v>
      </c>
      <c r="E7457" s="237" t="str">
        <f>IFERROR(__xludf.DUMMYFUNCTION("""COMPUTED_VALUE"""),"LT0Q2C01YNQQ2")</f>
        <v>LT0Q2C01YNQQ2</v>
      </c>
      <c r="F7457" s="238" t="str">
        <f>IFERROR(__xludf.DUMMYFUNCTION("""COMPUTED_VALUE"""),"GBR5I66,GEY7D91")</f>
        <v>GBR5I66,GEY7D91</v>
      </c>
      <c r="G7457" s="238">
        <f>IFERROR(__xludf.DUMMYFUNCTION("""COMPUTED_VALUE"""),46066.04236111111)</f>
        <v>46066.04236</v>
      </c>
      <c r="H7457" s="238">
        <f>IFERROR(__xludf.DUMMYFUNCTION("""COMPUTED_VALUE"""),46066.41666666667)</f>
        <v>46066.41667</v>
      </c>
      <c r="J7457" s="239">
        <v>119.99999999301508</v>
      </c>
    </row>
    <row r="7458">
      <c r="A7458" s="234"/>
      <c r="B7458" s="238" t="str">
        <f>IFERROR(__xludf.DUMMYFUNCTION("""COMPUTED_VALUE"""),"LM Hub_MG_Belo Horizonte_02")</f>
        <v>LM Hub_MG_Belo Horizonte_02</v>
      </c>
      <c r="C7458" s="238" t="str">
        <f>IFERROR(__xludf.DUMMYFUNCTION("""COMPUTED_VALUE"""),"HUB-LMG-50")</f>
        <v>HUB-LMG-50</v>
      </c>
      <c r="D7458" s="234"/>
      <c r="E7458" s="237" t="str">
        <f>IFERROR(__xludf.DUMMYFUNCTION("""COMPUTED_VALUE"""),"LT0Q2D01YM7O1")</f>
        <v>LT0Q2D01YM7O1</v>
      </c>
      <c r="F7458" s="238" t="str">
        <f>IFERROR(__xludf.DUMMYFUNCTION("""COMPUTED_VALUE"""),"UDW5E79,TLL6F35")</f>
        <v>UDW5E79,TLL6F35</v>
      </c>
      <c r="G7458" s="238">
        <f>IFERROR(__xludf.DUMMYFUNCTION("""COMPUTED_VALUE"""),46066.35416666667)</f>
        <v>46066.35417</v>
      </c>
      <c r="H7458" s="238">
        <f>IFERROR(__xludf.DUMMYFUNCTION("""COMPUTED_VALUE"""),46066.4375)</f>
        <v>46066.4375</v>
      </c>
      <c r="J7458" s="239">
        <v>540.0</v>
      </c>
    </row>
    <row r="7459">
      <c r="A7459" s="234"/>
      <c r="B7459" s="238" t="str">
        <f>IFERROR(__xludf.DUMMYFUNCTION("""COMPUTED_VALUE"""),"SoC_MG_Betim")</f>
        <v>SoC_MG_Betim</v>
      </c>
      <c r="C7459" s="238" t="str">
        <f>IFERROR(__xludf.DUMMYFUNCTION("""COMPUTED_VALUE"""),"SOC-MG2")</f>
        <v>SOC-MG2</v>
      </c>
      <c r="D7459" s="234">
        <f>IFERROR(__xludf.DUMMYFUNCTION("""COMPUTED_VALUE"""),90.0)</f>
        <v>90</v>
      </c>
      <c r="E7459" s="237" t="str">
        <f>IFERROR(__xludf.DUMMYFUNCTION("""COMPUTED_VALUE"""),"LT0Q2C01YITP5")</f>
        <v>LT0Q2C01YITP5</v>
      </c>
      <c r="F7459" s="238" t="str">
        <f>IFERROR(__xludf.DUMMYFUNCTION("""COMPUTED_VALUE"""),"FJK3B27,FXO3A21")</f>
        <v>FJK3B27,FXO3A21</v>
      </c>
      <c r="G7459" s="238">
        <f>IFERROR(__xludf.DUMMYFUNCTION("""COMPUTED_VALUE"""),46066.08333333333)</f>
        <v>46066.08333</v>
      </c>
      <c r="H7459" s="238">
        <f>IFERROR(__xludf.DUMMYFUNCTION("""COMPUTED_VALUE"""),46066.45833333333)</f>
        <v>46066.45833</v>
      </c>
      <c r="J7459" s="239">
        <v>540.0</v>
      </c>
    </row>
    <row r="7460">
      <c r="A7460" s="234"/>
      <c r="B7460" s="238" t="str">
        <f>IFERROR(__xludf.DUMMYFUNCTION("""COMPUTED_VALUE"""),"SoC_MG_Betim")</f>
        <v>SoC_MG_Betim</v>
      </c>
      <c r="C7460" s="238" t="str">
        <f>IFERROR(__xludf.DUMMYFUNCTION("""COMPUTED_VALUE"""),"SOC-MG2")</f>
        <v>SOC-MG2</v>
      </c>
      <c r="D7460" s="234">
        <f>IFERROR(__xludf.DUMMYFUNCTION("""COMPUTED_VALUE"""),91.0)</f>
        <v>91</v>
      </c>
      <c r="E7460" s="237" t="str">
        <f>IFERROR(__xludf.DUMMYFUNCTION("""COMPUTED_VALUE"""),"LT0Q2C01YIU42")</f>
        <v>LT0Q2C01YIU42</v>
      </c>
      <c r="F7460" s="238" t="str">
        <f>IFERROR(__xludf.DUMMYFUNCTION("""COMPUTED_VALUE"""),"STO4D24,SWG3F74")</f>
        <v>STO4D24,SWG3F74</v>
      </c>
      <c r="G7460" s="238">
        <f>IFERROR(__xludf.DUMMYFUNCTION("""COMPUTED_VALUE"""),46066.08333333333)</f>
        <v>46066.08333</v>
      </c>
      <c r="H7460" s="238">
        <f>IFERROR(__xludf.DUMMYFUNCTION("""COMPUTED_VALUE"""),46066.45833333333)</f>
        <v>46066.45833</v>
      </c>
      <c r="J7460" s="239">
        <v>509.99999998603016</v>
      </c>
    </row>
    <row r="7461">
      <c r="A7461" s="234"/>
      <c r="B7461" s="238" t="str">
        <f>IFERROR(__xludf.DUMMYFUNCTION("""COMPUTED_VALUE"""),"SoC_RJ_Duque de Caxias")</f>
        <v>SoC_RJ_Duque de Caxias</v>
      </c>
      <c r="C7461" s="238" t="str">
        <f>IFERROR(__xludf.DUMMYFUNCTION("""COMPUTED_VALUE"""),"SOC-RJ2")</f>
        <v>SOC-RJ2</v>
      </c>
      <c r="D7461" s="234">
        <f>IFERROR(__xludf.DUMMYFUNCTION("""COMPUTED_VALUE"""),96.0)</f>
        <v>96</v>
      </c>
      <c r="E7461" s="237" t="str">
        <f>IFERROR(__xludf.DUMMYFUNCTION("""COMPUTED_VALUE"""),"LT0Q2C01YKMT2")</f>
        <v>LT0Q2C01YKMT2</v>
      </c>
      <c r="F7461" s="238" t="str">
        <f>IFERROR(__xludf.DUMMYFUNCTION("""COMPUTED_VALUE"""),"UDR9D90,GFK1D06")</f>
        <v>UDR9D90,GFK1D06</v>
      </c>
      <c r="G7461" s="238">
        <f>IFERROR(__xludf.DUMMYFUNCTION("""COMPUTED_VALUE"""),46066.10416666667)</f>
        <v>46066.10417</v>
      </c>
      <c r="H7461" s="238">
        <f>IFERROR(__xludf.DUMMYFUNCTION("""COMPUTED_VALUE"""),46066.45833333333)</f>
        <v>46066.45833</v>
      </c>
      <c r="J7461" s="239">
        <v>540.0</v>
      </c>
    </row>
    <row r="7462">
      <c r="A7462" s="234"/>
      <c r="B7462" s="238" t="str">
        <f>IFERROR(__xludf.DUMMYFUNCTION("""COMPUTED_VALUE"""),"SoC_RS_Gravataí_02")</f>
        <v>SoC_RS_Gravataí_02</v>
      </c>
      <c r="C7462" s="238" t="str">
        <f>IFERROR(__xludf.DUMMYFUNCTION("""COMPUTED_VALUE"""),"SOC-RS2")</f>
        <v>SOC-RS2</v>
      </c>
      <c r="D7462" s="234">
        <f>IFERROR(__xludf.DUMMYFUNCTION("""COMPUTED_VALUE"""),93.0)</f>
        <v>93</v>
      </c>
      <c r="E7462" s="237" t="str">
        <f>IFERROR(__xludf.DUMMYFUNCTION("""COMPUTED_VALUE"""),"LT0Q2C01YNSR1")</f>
        <v>LT0Q2C01YNSR1</v>
      </c>
      <c r="F7462" s="238" t="str">
        <f>IFERROR(__xludf.DUMMYFUNCTION("""COMPUTED_VALUE"""),"TQS0C16,JCW3H67")</f>
        <v>TQS0C16,JCW3H67</v>
      </c>
      <c r="G7462" s="238">
        <f>IFERROR(__xludf.DUMMYFUNCTION("""COMPUTED_VALUE"""),46066.08333333333)</f>
        <v>46066.08333</v>
      </c>
      <c r="H7462" s="238">
        <f>IFERROR(__xludf.DUMMYFUNCTION("""COMPUTED_VALUE"""),46066.45833333333)</f>
        <v>46066.45833</v>
      </c>
      <c r="J7462" s="239">
        <v>598.0000000004657</v>
      </c>
    </row>
    <row r="7463">
      <c r="A7463" s="234"/>
      <c r="B7463" s="238" t="str">
        <f>IFERROR(__xludf.DUMMYFUNCTION("""COMPUTED_VALUE"""),"SoC_GO_Goiânia_02")</f>
        <v>SoC_GO_Goiânia_02</v>
      </c>
      <c r="C7463" s="238" t="str">
        <f>IFERROR(__xludf.DUMMYFUNCTION("""COMPUTED_VALUE"""),"SOC-GO2")</f>
        <v>SOC-GO2</v>
      </c>
      <c r="D7463" s="234">
        <f>IFERROR(__xludf.DUMMYFUNCTION("""COMPUTED_VALUE"""),87.0)</f>
        <v>87</v>
      </c>
      <c r="E7463" s="237" t="str">
        <f>IFERROR(__xludf.DUMMYFUNCTION("""COMPUTED_VALUE"""),"LT0Q2D01YNQ71")</f>
        <v>LT0Q2D01YNQ71</v>
      </c>
      <c r="F7463" s="238" t="str">
        <f>IFERROR(__xludf.DUMMYFUNCTION("""COMPUTED_VALUE"""),"PXQ9H26,ALW0C69")</f>
        <v>PXQ9H26,ALW0C69</v>
      </c>
      <c r="G7463" s="238">
        <f>IFERROR(__xludf.DUMMYFUNCTION("""COMPUTED_VALUE"""),46066.25138888889)</f>
        <v>46066.25139</v>
      </c>
      <c r="H7463" s="238">
        <f>IFERROR(__xludf.DUMMYFUNCTION("""COMPUTED_VALUE"""),46066.66666666667)</f>
        <v>46066.66667</v>
      </c>
      <c r="J7463" s="239">
        <v>119.99999999301508</v>
      </c>
    </row>
    <row r="7464">
      <c r="A7464" s="234"/>
      <c r="B7464" s="238" t="str">
        <f>IFERROR(__xludf.DUMMYFUNCTION("""COMPUTED_VALUE"""),"LM Hub_SP_Osasco_02")</f>
        <v>LM Hub_SP_Osasco_02</v>
      </c>
      <c r="C7464" s="238" t="str">
        <f>IFERROR(__xludf.DUMMYFUNCTION("""COMPUTED_VALUE"""),"HUB-LSP-60")</f>
        <v>HUB-LSP-60</v>
      </c>
      <c r="D7464" s="234">
        <f>IFERROR(__xludf.DUMMYFUNCTION("""COMPUTED_VALUE"""),28.0)</f>
        <v>28</v>
      </c>
      <c r="E7464" s="237" t="str">
        <f>IFERROR(__xludf.DUMMYFUNCTION("""COMPUTED_VALUE"""),"LT0Q2D01YK0G1")</f>
        <v>LT0Q2D01YK0G1</v>
      </c>
      <c r="F7464" s="238" t="str">
        <f>IFERROR(__xludf.DUMMYFUNCTION("""COMPUTED_VALUE"""),"FEU6H63")</f>
        <v>FEU6H63</v>
      </c>
      <c r="G7464" s="238">
        <f>IFERROR(__xludf.DUMMYFUNCTION("""COMPUTED_VALUE"""),46066.25)</f>
        <v>46066.25</v>
      </c>
      <c r="H7464" s="238">
        <f>IFERROR(__xludf.DUMMYFUNCTION("""COMPUTED_VALUE"""),46066.33333333333)</f>
        <v>46066.33333</v>
      </c>
      <c r="J7464" s="239">
        <v>600.0000000069849</v>
      </c>
    </row>
    <row r="7465">
      <c r="A7465" s="234"/>
      <c r="B7465" s="238" t="str">
        <f>IFERROR(__xludf.DUMMYFUNCTION("""COMPUTED_VALUE"""),"SoC_SC_Itajaí")</f>
        <v>SoC_SC_Itajaí</v>
      </c>
      <c r="C7465" s="238" t="str">
        <f>IFERROR(__xludf.DUMMYFUNCTION("""COMPUTED_VALUE"""),"SOC-SC1")</f>
        <v>SOC-SC1</v>
      </c>
      <c r="D7465" s="234">
        <f>IFERROR(__xludf.DUMMYFUNCTION("""COMPUTED_VALUE"""),100.0)</f>
        <v>100</v>
      </c>
      <c r="E7465" s="237" t="str">
        <f>IFERROR(__xludf.DUMMYFUNCTION("""COMPUTED_VALUE"""),"LT0Q2D01YMMX1")</f>
        <v>LT0Q2D01YMMX1</v>
      </c>
      <c r="F7465" s="238" t="str">
        <f>IFERROR(__xludf.DUMMYFUNCTION("""COMPUTED_VALUE"""),"TPM6I53,TPP5I27")</f>
        <v>TPM6I53,TPP5I27</v>
      </c>
      <c r="G7465" s="238">
        <f>IFERROR(__xludf.DUMMYFUNCTION("""COMPUTED_VALUE"""),46066.25)</f>
        <v>46066.25</v>
      </c>
      <c r="H7465" s="238">
        <f>IFERROR(__xludf.DUMMYFUNCTION("""COMPUTED_VALUE"""),46066.66666666667)</f>
        <v>46066.66667</v>
      </c>
      <c r="J7465" s="239">
        <v>119.99999999301508</v>
      </c>
    </row>
    <row r="7466">
      <c r="A7466" s="234"/>
      <c r="B7466" s="238" t="str">
        <f>IFERROR(__xludf.DUMMYFUNCTION("""COMPUTED_VALUE"""),"LM Hub_SP_Embu das Artes_02")</f>
        <v>LM Hub_SP_Embu das Artes_02</v>
      </c>
      <c r="C7466" s="238" t="str">
        <f>IFERROR(__xludf.DUMMYFUNCTION("""COMPUTED_VALUE"""),"HUB-LSP-96")</f>
        <v>HUB-LSP-96</v>
      </c>
      <c r="D7466" s="234">
        <f>IFERROR(__xludf.DUMMYFUNCTION("""COMPUTED_VALUE"""),16.0)</f>
        <v>16</v>
      </c>
      <c r="E7466" s="237" t="str">
        <f>IFERROR(__xludf.DUMMYFUNCTION("""COMPUTED_VALUE"""),"LT0Q2D01YLWB1")</f>
        <v>LT0Q2D01YLWB1</v>
      </c>
      <c r="F7466" s="238" t="str">
        <f>IFERROR(__xludf.DUMMYFUNCTION("""COMPUTED_VALUE"""),"FUF6H46")</f>
        <v>FUF6H46</v>
      </c>
      <c r="G7466" s="238">
        <f>IFERROR(__xludf.DUMMYFUNCTION("""COMPUTED_VALUE"""),46066.29166666667)</f>
        <v>46066.29167</v>
      </c>
      <c r="H7466" s="238">
        <f>IFERROR(__xludf.DUMMYFUNCTION("""COMPUTED_VALUE"""),46066.375)</f>
        <v>46066.375</v>
      </c>
      <c r="J7466" s="239">
        <v>120.00000001396984</v>
      </c>
    </row>
    <row r="7467">
      <c r="A7467" s="234"/>
      <c r="B7467" s="238" t="str">
        <f>IFERROR(__xludf.DUMMYFUNCTION("""COMPUTED_VALUE"""),"LM Hub_SP_São José dos Campos")</f>
        <v>LM Hub_SP_São José dos Campos</v>
      </c>
      <c r="C7467" s="238" t="str">
        <f>IFERROR(__xludf.DUMMYFUNCTION("""COMPUTED_VALUE"""),"HUB-LSP-04")</f>
        <v>HUB-LSP-04</v>
      </c>
      <c r="D7467" s="234">
        <f>IFERROR(__xludf.DUMMYFUNCTION("""COMPUTED_VALUE"""),13.0)</f>
        <v>13</v>
      </c>
      <c r="E7467" s="237" t="str">
        <f>IFERROR(__xludf.DUMMYFUNCTION("""COMPUTED_VALUE"""),"LT0Q2D01YF9L1")</f>
        <v>LT0Q2D01YF9L1</v>
      </c>
      <c r="F7467" s="238" t="str">
        <f>IFERROR(__xludf.DUMMYFUNCTION("""COMPUTED_VALUE"""),"UDY3C40")</f>
        <v>UDY3C40</v>
      </c>
      <c r="G7467" s="238">
        <f>IFERROR(__xludf.DUMMYFUNCTION("""COMPUTED_VALUE"""),46066.89583333333)</f>
        <v>46066.89583</v>
      </c>
      <c r="H7467" s="238">
        <f>IFERROR(__xludf.DUMMYFUNCTION("""COMPUTED_VALUE"""),46066.97916666667)</f>
        <v>46066.97917</v>
      </c>
      <c r="J7467" s="239">
        <v>120.00000001396984</v>
      </c>
    </row>
    <row r="7468">
      <c r="A7468" s="234"/>
      <c r="B7468" s="238" t="str">
        <f>IFERROR(__xludf.DUMMYFUNCTION("""COMPUTED_VALUE"""),"LM Hub_SP_Itaqua_Zimba")</f>
        <v>LM Hub_SP_Itaqua_Zimba</v>
      </c>
      <c r="C7468" s="238" t="str">
        <f>IFERROR(__xludf.DUMMYFUNCTION("""COMPUTED_VALUE"""),"HUB-LSP-74")</f>
        <v>HUB-LSP-74</v>
      </c>
      <c r="D7468" s="234">
        <f>IFERROR(__xludf.DUMMYFUNCTION("""COMPUTED_VALUE"""),14.0)</f>
        <v>14</v>
      </c>
      <c r="E7468" s="237" t="str">
        <f>IFERROR(__xludf.DUMMYFUNCTION("""COMPUTED_VALUE"""),"LT0Q2D01YIYD1")</f>
        <v>LT0Q2D01YIYD1</v>
      </c>
      <c r="F7468" s="238" t="str">
        <f>IFERROR(__xludf.DUMMYFUNCTION("""COMPUTED_VALUE"""),"FGL3B43,FQB3D75")</f>
        <v>FGL3B43,FQB3D75</v>
      </c>
      <c r="G7468" s="238">
        <f>IFERROR(__xludf.DUMMYFUNCTION("""COMPUTED_VALUE"""),46066.89583333333)</f>
        <v>46066.89583</v>
      </c>
      <c r="H7468" s="238">
        <f>IFERROR(__xludf.DUMMYFUNCTION("""COMPUTED_VALUE"""),46066.97916666667)</f>
        <v>46066.97917</v>
      </c>
      <c r="J7468" s="239">
        <v>120.00000001396984</v>
      </c>
    </row>
    <row r="7469">
      <c r="A7469" s="234"/>
      <c r="B7469" s="238" t="str">
        <f>IFERROR(__xludf.DUMMYFUNCTION("""COMPUTED_VALUE"""),"LM Hub_SP_Santos_Praia Grande")</f>
        <v>LM Hub_SP_Santos_Praia Grande</v>
      </c>
      <c r="C7469" s="238" t="str">
        <f>IFERROR(__xludf.DUMMYFUNCTION("""COMPUTED_VALUE"""),"HUB-LSP-09")</f>
        <v>HUB-LSP-09</v>
      </c>
      <c r="D7469" s="234">
        <f>IFERROR(__xludf.DUMMYFUNCTION("""COMPUTED_VALUE"""),12.0)</f>
        <v>12</v>
      </c>
      <c r="E7469" s="237" t="str">
        <f>IFERROR(__xludf.DUMMYFUNCTION("""COMPUTED_VALUE"""),"LT0Q2D01YJ001")</f>
        <v>LT0Q2D01YJ001</v>
      </c>
      <c r="F7469" s="238" t="str">
        <f>IFERROR(__xludf.DUMMYFUNCTION("""COMPUTED_VALUE"""),"SXK6C10")</f>
        <v>SXK6C10</v>
      </c>
      <c r="G7469" s="238">
        <f>IFERROR(__xludf.DUMMYFUNCTION("""COMPUTED_VALUE"""),46066.89583333333)</f>
        <v>46066.89583</v>
      </c>
      <c r="H7469" s="238">
        <f>IFERROR(__xludf.DUMMYFUNCTION("""COMPUTED_VALUE"""),46066.97916666667)</f>
        <v>46066.97917</v>
      </c>
      <c r="J7469" s="239">
        <v>118.99999998975545</v>
      </c>
    </row>
    <row r="7470">
      <c r="A7470" s="234"/>
      <c r="B7470" s="238" t="str">
        <f>IFERROR(__xludf.DUMMYFUNCTION("""COMPUTED_VALUE"""),"LM Hub_SP_Guarujá")</f>
        <v>LM Hub_SP_Guarujá</v>
      </c>
      <c r="C7470" s="238" t="str">
        <f>IFERROR(__xludf.DUMMYFUNCTION("""COMPUTED_VALUE"""),"HUB-LSP-06")</f>
        <v>HUB-LSP-06</v>
      </c>
      <c r="D7470" s="234">
        <f>IFERROR(__xludf.DUMMYFUNCTION("""COMPUTED_VALUE"""),32.0)</f>
        <v>32</v>
      </c>
      <c r="E7470" s="237" t="str">
        <f>IFERROR(__xludf.DUMMYFUNCTION("""COMPUTED_VALUE"""),"LT0Q2D01YIZ81")</f>
        <v>LT0Q2D01YIZ81</v>
      </c>
      <c r="F7470" s="238" t="str">
        <f>IFERROR(__xludf.DUMMYFUNCTION("""COMPUTED_VALUE"""),"UFB1B50")</f>
        <v>UFB1B50</v>
      </c>
      <c r="G7470" s="238">
        <f>IFERROR(__xludf.DUMMYFUNCTION("""COMPUTED_VALUE"""),46066.91666666667)</f>
        <v>46066.91667</v>
      </c>
      <c r="H7470" s="238">
        <f>IFERROR(__xludf.DUMMYFUNCTION("""COMPUTED_VALUE"""),46066.99930555555)</f>
        <v>46066.99931</v>
      </c>
      <c r="J7470" s="239">
        <v>119.99999999301508</v>
      </c>
    </row>
    <row r="7471">
      <c r="A7471" s="234"/>
      <c r="B7471" s="238" t="str">
        <f>IFERROR(__xludf.DUMMYFUNCTION("""COMPUTED_VALUE"""),"LM Hub_SP_Artur Alvim")</f>
        <v>LM Hub_SP_Artur Alvim</v>
      </c>
      <c r="C7471" s="238" t="str">
        <f>IFERROR(__xludf.DUMMYFUNCTION("""COMPUTED_VALUE"""),"HUB-LSP-07")</f>
        <v>HUB-LSP-07</v>
      </c>
      <c r="D7471" s="234">
        <f>IFERROR(__xludf.DUMMYFUNCTION("""COMPUTED_VALUE"""),26.0)</f>
        <v>26</v>
      </c>
      <c r="E7471" s="237" t="str">
        <f>IFERROR(__xludf.DUMMYFUNCTION("""COMPUTED_VALUE"""),"LT0Q2D01YIWF1")</f>
        <v>LT0Q2D01YIWF1</v>
      </c>
      <c r="F7471" s="238" t="str">
        <f>IFERROR(__xludf.DUMMYFUNCTION("""COMPUTED_VALUE"""),"EGK6F67,NGX1F13")</f>
        <v>EGK6F67,NGX1F13</v>
      </c>
      <c r="G7471" s="238">
        <f>IFERROR(__xludf.DUMMYFUNCTION("""COMPUTED_VALUE"""),46066.91666666667)</f>
        <v>46066.91667</v>
      </c>
      <c r="H7471" s="238">
        <f>IFERROR(__xludf.DUMMYFUNCTION("""COMPUTED_VALUE"""),46067.0)</f>
        <v>46067</v>
      </c>
      <c r="J7471" s="239">
        <v>119.99999999301508</v>
      </c>
    </row>
    <row r="7472">
      <c r="A7472" s="234"/>
      <c r="B7472" s="238" t="str">
        <f>IFERROR(__xludf.DUMMYFUNCTION("""COMPUTED_VALUE"""),"LM Hub_SP_Itapevi")</f>
        <v>LM Hub_SP_Itapevi</v>
      </c>
      <c r="C7472" s="238" t="str">
        <f>IFERROR(__xludf.DUMMYFUNCTION("""COMPUTED_VALUE"""),"HUB-LSP-41")</f>
        <v>HUB-LSP-41</v>
      </c>
      <c r="D7472" s="234">
        <f>IFERROR(__xludf.DUMMYFUNCTION("""COMPUTED_VALUE"""),21.0)</f>
        <v>21</v>
      </c>
      <c r="E7472" s="237" t="str">
        <f>IFERROR(__xludf.DUMMYFUNCTION("""COMPUTED_VALUE"""),"LT0Q2D01YIXS1")</f>
        <v>LT0Q2D01YIXS1</v>
      </c>
      <c r="F7472" s="238" t="str">
        <f>IFERROR(__xludf.DUMMYFUNCTION("""COMPUTED_VALUE"""),"BCS4J31,DJB0J76")</f>
        <v>BCS4J31,DJB0J76</v>
      </c>
      <c r="G7472" s="238">
        <f>IFERROR(__xludf.DUMMYFUNCTION("""COMPUTED_VALUE"""),46066.91666666667)</f>
        <v>46066.91667</v>
      </c>
      <c r="H7472" s="238">
        <f>IFERROR(__xludf.DUMMYFUNCTION("""COMPUTED_VALUE"""),46067.0)</f>
        <v>46067</v>
      </c>
      <c r="J7472" s="239">
        <v>119.99999999301508</v>
      </c>
    </row>
    <row r="7473">
      <c r="A7473" s="234"/>
      <c r="B7473" s="238" t="str">
        <f>IFERROR(__xludf.DUMMYFUNCTION("""COMPUTED_VALUE"""),"LM Hub_SP_Osasco_02")</f>
        <v>LM Hub_SP_Osasco_02</v>
      </c>
      <c r="C7473" s="238" t="str">
        <f>IFERROR(__xludf.DUMMYFUNCTION("""COMPUTED_VALUE"""),"HUB-LSP-60")</f>
        <v>HUB-LSP-60</v>
      </c>
      <c r="D7473" s="234">
        <f>IFERROR(__xludf.DUMMYFUNCTION("""COMPUTED_VALUE"""),27.0)</f>
        <v>27</v>
      </c>
      <c r="E7473" s="237" t="str">
        <f>IFERROR(__xludf.DUMMYFUNCTION("""COMPUTED_VALUE"""),"LT0Q2D01YIXZ1")</f>
        <v>LT0Q2D01YIXZ1</v>
      </c>
      <c r="F7473" s="238" t="str">
        <f>IFERROR(__xludf.DUMMYFUNCTION("""COMPUTED_VALUE"""),"GEU7E10,ELW6J74")</f>
        <v>GEU7E10,ELW6J74</v>
      </c>
      <c r="G7473" s="238">
        <f>IFERROR(__xludf.DUMMYFUNCTION("""COMPUTED_VALUE"""),46066.91666666667)</f>
        <v>46066.91667</v>
      </c>
      <c r="H7473" s="238">
        <f>IFERROR(__xludf.DUMMYFUNCTION("""COMPUTED_VALUE"""),46067.0)</f>
        <v>46067</v>
      </c>
      <c r="J7473" s="239">
        <v>119.99999999301508</v>
      </c>
    </row>
    <row r="7474">
      <c r="A7474" s="234"/>
      <c r="B7474" s="238" t="str">
        <f>IFERROR(__xludf.DUMMYFUNCTION("""COMPUTED_VALUE"""),"LM Hub_SP_Mauá")</f>
        <v>LM Hub_SP_Mauá</v>
      </c>
      <c r="C7474" s="238" t="str">
        <f>IFERROR(__xludf.DUMMYFUNCTION("""COMPUTED_VALUE"""),"HUB-LSP-64")</f>
        <v>HUB-LSP-64</v>
      </c>
      <c r="D7474" s="234">
        <f>IFERROR(__xludf.DUMMYFUNCTION("""COMPUTED_VALUE"""),36.0)</f>
        <v>36</v>
      </c>
      <c r="E7474" s="237" t="str">
        <f>IFERROR(__xludf.DUMMYFUNCTION("""COMPUTED_VALUE"""),"LT0Q2D01YIY61")</f>
        <v>LT0Q2D01YIY61</v>
      </c>
      <c r="F7474" s="238" t="str">
        <f>IFERROR(__xludf.DUMMYFUNCTION("""COMPUTED_VALUE"""),"FQF6B98,DTA7802")</f>
        <v>FQF6B98,DTA7802</v>
      </c>
      <c r="G7474" s="238">
        <f>IFERROR(__xludf.DUMMYFUNCTION("""COMPUTED_VALUE"""),46066.91666666667)</f>
        <v>46066.91667</v>
      </c>
      <c r="H7474" s="238">
        <f>IFERROR(__xludf.DUMMYFUNCTION("""COMPUTED_VALUE"""),46067.0)</f>
        <v>46067</v>
      </c>
      <c r="J7474" s="239">
        <v>119.99999999301508</v>
      </c>
    </row>
    <row r="7475">
      <c r="A7475" s="234"/>
      <c r="B7475" s="238" t="str">
        <f>IFERROR(__xludf.DUMMYFUNCTION("""COMPUTED_VALUE"""),"LM Hub_SP_Guarulhos")</f>
        <v>LM Hub_SP_Guarulhos</v>
      </c>
      <c r="C7475" s="238" t="str">
        <f>IFERROR(__xludf.DUMMYFUNCTION("""COMPUTED_VALUE"""),"HUB-LSP-77")</f>
        <v>HUB-LSP-77</v>
      </c>
      <c r="D7475" s="234">
        <f>IFERROR(__xludf.DUMMYFUNCTION("""COMPUTED_VALUE"""),19.0)</f>
        <v>19</v>
      </c>
      <c r="E7475" s="237" t="str">
        <f>IFERROR(__xludf.DUMMYFUNCTION("""COMPUTED_VALUE"""),"LT0Q2D01YJL61")</f>
        <v>LT0Q2D01YJL61</v>
      </c>
      <c r="F7475" s="238" t="str">
        <f>IFERROR(__xludf.DUMMYFUNCTION("""COMPUTED_VALUE"""),"MFO5E94,JXB0B94")</f>
        <v>MFO5E94,JXB0B94</v>
      </c>
      <c r="G7475" s="238">
        <f>IFERROR(__xludf.DUMMYFUNCTION("""COMPUTED_VALUE"""),46066.91666666667)</f>
        <v>46066.91667</v>
      </c>
      <c r="H7475" s="238">
        <f>IFERROR(__xludf.DUMMYFUNCTION("""COMPUTED_VALUE"""),46067.0)</f>
        <v>46067</v>
      </c>
      <c r="J7475" s="239">
        <v>119.99999999301508</v>
      </c>
    </row>
    <row r="7476">
      <c r="A7476" s="234"/>
      <c r="B7476" s="238" t="str">
        <f>IFERROR(__xludf.DUMMYFUNCTION("""COMPUTED_VALUE"""),"LM Hub_SP_São José do Rio P")</f>
        <v>LM Hub_SP_São José do Rio P</v>
      </c>
      <c r="C7476" s="238" t="str">
        <f>IFERROR(__xludf.DUMMYFUNCTION("""COMPUTED_VALUE"""),"HUB-LSP-27")</f>
        <v>HUB-LSP-27</v>
      </c>
      <c r="D7476" s="234">
        <f>IFERROR(__xludf.DUMMYFUNCTION("""COMPUTED_VALUE"""),117.0)</f>
        <v>117</v>
      </c>
      <c r="E7476" s="237" t="str">
        <f>IFERROR(__xludf.DUMMYFUNCTION("""COMPUTED_VALUE"""),"LT0Q2D01YM6O1")</f>
        <v>LT0Q2D01YM6O1</v>
      </c>
      <c r="F7476" s="238" t="str">
        <f>IFERROR(__xludf.DUMMYFUNCTION("""COMPUTED_VALUE"""),"FPF7962")</f>
        <v>FPF7962</v>
      </c>
      <c r="G7476" s="238">
        <f>IFERROR(__xludf.DUMMYFUNCTION("""COMPUTED_VALUE"""),46066.91666666667)</f>
        <v>46066.91667</v>
      </c>
      <c r="H7476" s="238">
        <f>IFERROR(__xludf.DUMMYFUNCTION("""COMPUTED_VALUE"""),46067.0)</f>
        <v>46067</v>
      </c>
      <c r="J7476" s="239">
        <v>119.99999999301508</v>
      </c>
    </row>
    <row r="7477">
      <c r="A7477" s="234"/>
      <c r="B7477" s="238" t="str">
        <f>IFERROR(__xludf.DUMMYFUNCTION("""COMPUTED_VALUE"""),"LM Hub_SP_Barueri_01")</f>
        <v>LM Hub_SP_Barueri_01</v>
      </c>
      <c r="C7477" s="238" t="str">
        <f>IFERROR(__xludf.DUMMYFUNCTION("""COMPUTED_VALUE"""),"HUB-LSP-81")</f>
        <v>HUB-LSP-81</v>
      </c>
      <c r="D7477" s="234">
        <f>IFERROR(__xludf.DUMMYFUNCTION("""COMPUTED_VALUE"""),24.0)</f>
        <v>24</v>
      </c>
      <c r="E7477" s="237" t="str">
        <f>IFERROR(__xludf.DUMMYFUNCTION("""COMPUTED_VALUE"""),"LT0Q2D01YN6G1")</f>
        <v>LT0Q2D01YN6G1</v>
      </c>
      <c r="F7477" s="238" t="str">
        <f>IFERROR(__xludf.DUMMYFUNCTION("""COMPUTED_VALUE"""),"SUQ5C99,TLD5B82")</f>
        <v>SUQ5C99,TLD5B82</v>
      </c>
      <c r="G7477" s="238">
        <f>IFERROR(__xludf.DUMMYFUNCTION("""COMPUTED_VALUE"""),46066.91666666667)</f>
        <v>46066.91667</v>
      </c>
      <c r="H7477" s="238">
        <f>IFERROR(__xludf.DUMMYFUNCTION("""COMPUTED_VALUE"""),46067.0)</f>
        <v>46067</v>
      </c>
      <c r="J7477" s="239">
        <v>119.99999999301508</v>
      </c>
    </row>
    <row r="7478">
      <c r="A7478" s="234"/>
      <c r="B7478" s="238" t="str">
        <f>IFERROR(__xludf.DUMMYFUNCTION("""COMPUTED_VALUE"""),"LM Hub_SP_Jundiaí")</f>
        <v>LM Hub_SP_Jundiaí</v>
      </c>
      <c r="C7478" s="238" t="str">
        <f>IFERROR(__xludf.DUMMYFUNCTION("""COMPUTED_VALUE"""),"HUB-LSP-100")</f>
        <v>HUB-LSP-100</v>
      </c>
      <c r="D7478" s="234">
        <f>IFERROR(__xludf.DUMMYFUNCTION("""COMPUTED_VALUE"""),15.0)</f>
        <v>15</v>
      </c>
      <c r="E7478" s="237" t="str">
        <f>IFERROR(__xludf.DUMMYFUNCTION("""COMPUTED_VALUE"""),"LT0Q2D01YOH11")</f>
        <v>LT0Q2D01YOH11</v>
      </c>
      <c r="F7478" s="238" t="str">
        <f>IFERROR(__xludf.DUMMYFUNCTION("""COMPUTED_VALUE"""),"CUF0G72,FXA8D98")</f>
        <v>CUF0G72,FXA8D98</v>
      </c>
      <c r="G7478" s="238">
        <f>IFERROR(__xludf.DUMMYFUNCTION("""COMPUTED_VALUE"""),46066.91666666667)</f>
        <v>46066.91667</v>
      </c>
      <c r="H7478" s="238">
        <f>IFERROR(__xludf.DUMMYFUNCTION("""COMPUTED_VALUE"""),46067.0)</f>
        <v>46067</v>
      </c>
      <c r="J7478" s="239">
        <v>119.99999999301508</v>
      </c>
    </row>
    <row r="7479">
      <c r="A7479" s="234"/>
      <c r="B7479" s="238" t="str">
        <f>IFERROR(__xludf.DUMMYFUNCTION("""COMPUTED_VALUE"""),"LM Hub_SP_Jardim Adriana")</f>
        <v>LM Hub_SP_Jardim Adriana</v>
      </c>
      <c r="C7479" s="238" t="str">
        <f>IFERROR(__xludf.DUMMYFUNCTION("""COMPUTED_VALUE"""),"HUB-LSP-12")</f>
        <v>HUB-LSP-12</v>
      </c>
      <c r="D7479" s="234">
        <f>IFERROR(__xludf.DUMMYFUNCTION("""COMPUTED_VALUE"""),20.0)</f>
        <v>20</v>
      </c>
      <c r="E7479" s="237" t="str">
        <f>IFERROR(__xludf.DUMMYFUNCTION("""COMPUTED_VALUE"""),"LT0Q2D01YIWR1")</f>
        <v>LT0Q2D01YIWR1</v>
      </c>
      <c r="F7479" s="238" t="str">
        <f>IFERROR(__xludf.DUMMYFUNCTION("""COMPUTED_VALUE"""),"GCS0J70")</f>
        <v>GCS0J70</v>
      </c>
      <c r="G7479" s="238">
        <f>IFERROR(__xludf.DUMMYFUNCTION("""COMPUTED_VALUE"""),46066.9375)</f>
        <v>46066.9375</v>
      </c>
      <c r="H7479" s="238">
        <f>IFERROR(__xludf.DUMMYFUNCTION("""COMPUTED_VALUE"""),46067.02083333333)</f>
        <v>46067.02083</v>
      </c>
      <c r="J7479" s="239">
        <v>119.99999999301508</v>
      </c>
    </row>
    <row r="7480">
      <c r="A7480" s="234"/>
      <c r="B7480" s="238" t="str">
        <f>IFERROR(__xludf.DUMMYFUNCTION("""COMPUTED_VALUE"""),"LM Hub_SP_Suzano_Baruel")</f>
        <v>LM Hub_SP_Suzano_Baruel</v>
      </c>
      <c r="C7480" s="238" t="str">
        <f>IFERROR(__xludf.DUMMYFUNCTION("""COMPUTED_VALUE"""),"HUB-LSP-97")</f>
        <v>HUB-LSP-97</v>
      </c>
      <c r="D7480" s="234">
        <f>IFERROR(__xludf.DUMMYFUNCTION("""COMPUTED_VALUE"""),22.0)</f>
        <v>22</v>
      </c>
      <c r="E7480" s="237" t="str">
        <f>IFERROR(__xludf.DUMMYFUNCTION("""COMPUTED_VALUE"""),"LT0Q2D01YOSK1")</f>
        <v>LT0Q2D01YOSK1</v>
      </c>
      <c r="F7480" s="238" t="str">
        <f>IFERROR(__xludf.DUMMYFUNCTION("""COMPUTED_VALUE"""),"ODE7J96,UGA3J73")</f>
        <v>ODE7J96,UGA3J73</v>
      </c>
      <c r="G7480" s="238">
        <f>IFERROR(__xludf.DUMMYFUNCTION("""COMPUTED_VALUE"""),46066.9375)</f>
        <v>46066.9375</v>
      </c>
      <c r="H7480" s="238">
        <f>IFERROR(__xludf.DUMMYFUNCTION("""COMPUTED_VALUE"""),46067.02083333333)</f>
        <v>46067.02083</v>
      </c>
      <c r="J7480" s="239">
        <v>118.99999998975545</v>
      </c>
    </row>
    <row r="7481">
      <c r="A7481" s="234"/>
      <c r="B7481" s="238" t="str">
        <f>IFERROR(__xludf.DUMMYFUNCTION("""COMPUTED_VALUE"""),"LM Hub_SP_VilaGuilherme")</f>
        <v>LM Hub_SP_VilaGuilherme</v>
      </c>
      <c r="C7481" s="238" t="str">
        <f>IFERROR(__xludf.DUMMYFUNCTION("""COMPUTED_VALUE"""),"HUB-LSP-68")</f>
        <v>HUB-LSP-68</v>
      </c>
      <c r="D7481" s="234">
        <f>IFERROR(__xludf.DUMMYFUNCTION("""COMPUTED_VALUE"""),33.0)</f>
        <v>33</v>
      </c>
      <c r="E7481" s="237" t="str">
        <f>IFERROR(__xludf.DUMMYFUNCTION("""COMPUTED_VALUE"""),"LT0Q2D01YF8Y1")</f>
        <v>LT0Q2D01YF8Y1</v>
      </c>
      <c r="F7481" s="238" t="str">
        <f>IFERROR(__xludf.DUMMYFUNCTION("""COMPUTED_VALUE"""),"HFD4H27,JXG9745")</f>
        <v>HFD4H27,JXG9745</v>
      </c>
      <c r="G7481" s="238">
        <f>IFERROR(__xludf.DUMMYFUNCTION("""COMPUTED_VALUE"""),46066.93819444445)</f>
        <v>46066.93819</v>
      </c>
      <c r="H7481" s="238">
        <f>IFERROR(__xludf.DUMMYFUNCTION("""COMPUTED_VALUE"""),46067.02083333333)</f>
        <v>46067.02083</v>
      </c>
      <c r="J7481" s="239">
        <v>118.99999998975545</v>
      </c>
    </row>
    <row r="7482">
      <c r="A7482" s="234"/>
      <c r="B7482" s="238" t="str">
        <f>IFERROR(__xludf.DUMMYFUNCTION("""COMPUTED_VALUE"""),"LM Hub_SP_Parque Novo Mundo")</f>
        <v>LM Hub_SP_Parque Novo Mundo</v>
      </c>
      <c r="C7482" s="238" t="str">
        <f>IFERROR(__xludf.DUMMYFUNCTION("""COMPUTED_VALUE"""),"HUB-LSP-89")</f>
        <v>HUB-LSP-89</v>
      </c>
      <c r="D7482" s="234">
        <f>IFERROR(__xludf.DUMMYFUNCTION("""COMPUTED_VALUE"""),28.0)</f>
        <v>28</v>
      </c>
      <c r="E7482" s="237" t="str">
        <f>IFERROR(__xludf.DUMMYFUNCTION("""COMPUTED_VALUE"""),"LT0Q2D01YFG71")</f>
        <v>LT0Q2D01YFG71</v>
      </c>
      <c r="F7482" s="238" t="str">
        <f>IFERROR(__xludf.DUMMYFUNCTION("""COMPUTED_VALUE"""),"FNK8E47,FAM1829")</f>
        <v>FNK8E47,FAM1829</v>
      </c>
      <c r="G7482" s="238">
        <f>IFERROR(__xludf.DUMMYFUNCTION("""COMPUTED_VALUE"""),46066.93819444445)</f>
        <v>46066.93819</v>
      </c>
      <c r="H7482" s="238">
        <f>IFERROR(__xludf.DUMMYFUNCTION("""COMPUTED_VALUE"""),46067.02083333333)</f>
        <v>46067.02083</v>
      </c>
      <c r="J7482" s="239">
        <v>118.99999998975545</v>
      </c>
    </row>
    <row r="7483">
      <c r="A7483" s="234"/>
      <c r="B7483" s="238" t="str">
        <f>IFERROR(__xludf.DUMMYFUNCTION("""COMPUTED_VALUE"""),"LM Hub_SP_Sorocaba_Região Norte")</f>
        <v>LM Hub_SP_Sorocaba_Região Norte</v>
      </c>
      <c r="C7483" s="238" t="str">
        <f>IFERROR(__xludf.DUMMYFUNCTION("""COMPUTED_VALUE"""),"HUB-LSP-10")</f>
        <v>HUB-LSP-10</v>
      </c>
      <c r="D7483" s="234">
        <f>IFERROR(__xludf.DUMMYFUNCTION("""COMPUTED_VALUE"""),25.0)</f>
        <v>25</v>
      </c>
      <c r="E7483" s="237" t="str">
        <f>IFERROR(__xludf.DUMMYFUNCTION("""COMPUTED_VALUE"""),"LT0Q2D01YJ0C1")</f>
        <v>LT0Q2D01YJ0C1</v>
      </c>
      <c r="F7483" s="238" t="str">
        <f>IFERROR(__xludf.DUMMYFUNCTION("""COMPUTED_VALUE"""),"UAV9I85,UGU0I83")</f>
        <v>UAV9I85,UGU0I83</v>
      </c>
      <c r="G7483" s="238">
        <f>IFERROR(__xludf.DUMMYFUNCTION("""COMPUTED_VALUE"""),46066.93819444445)</f>
        <v>46066.93819</v>
      </c>
      <c r="H7483" s="238">
        <f>IFERROR(__xludf.DUMMYFUNCTION("""COMPUTED_VALUE"""),46067.02083333333)</f>
        <v>46067.02083</v>
      </c>
      <c r="J7483" s="239">
        <v>120.00000001396984</v>
      </c>
    </row>
    <row r="7484">
      <c r="A7484" s="234"/>
      <c r="B7484" s="238" t="str">
        <f>IFERROR(__xludf.DUMMYFUNCTION("""COMPUTED_VALUE"""),"LM Hub_SP_Mogi Mirim")</f>
        <v>LM Hub_SP_Mogi Mirim</v>
      </c>
      <c r="C7484" s="238" t="str">
        <f>IFERROR(__xludf.DUMMYFUNCTION("""COMPUTED_VALUE"""),"HUB-LSP-37")</f>
        <v>HUB-LSP-37</v>
      </c>
      <c r="D7484" s="234">
        <f>IFERROR(__xludf.DUMMYFUNCTION("""COMPUTED_VALUE"""),23.0)</f>
        <v>23</v>
      </c>
      <c r="E7484" s="237" t="str">
        <f>IFERROR(__xludf.DUMMYFUNCTION("""COMPUTED_VALUE"""),"LT0Q2D01YJ1I1")</f>
        <v>LT0Q2D01YJ1I1</v>
      </c>
      <c r="F7484" s="238" t="str">
        <f>IFERROR(__xludf.DUMMYFUNCTION("""COMPUTED_VALUE"""),"TME3B67,RXK1F70")</f>
        <v>TME3B67,RXK1F70</v>
      </c>
      <c r="G7484" s="238">
        <f>IFERROR(__xludf.DUMMYFUNCTION("""COMPUTED_VALUE"""),46066.95833333333)</f>
        <v>46066.95833</v>
      </c>
      <c r="H7484" s="238">
        <f>IFERROR(__xludf.DUMMYFUNCTION("""COMPUTED_VALUE"""),46067.04166666667)</f>
        <v>46067.04167</v>
      </c>
      <c r="J7484" s="239">
        <v>120.00000001396984</v>
      </c>
    </row>
    <row r="7485">
      <c r="A7485" s="234"/>
      <c r="B7485" s="238" t="str">
        <f>IFERROR(__xludf.DUMMYFUNCTION("""COMPUTED_VALUE"""),"LM Hub_RJ_Nova Iguaçu")</f>
        <v>LM Hub_RJ_Nova Iguaçu</v>
      </c>
      <c r="C7485" s="238" t="str">
        <f>IFERROR(__xludf.DUMMYFUNCTION("""COMPUTED_VALUE"""),"HUB-LRJ-27")</f>
        <v>HUB-LRJ-27</v>
      </c>
      <c r="D7485" s="234">
        <f>IFERROR(__xludf.DUMMYFUNCTION("""COMPUTED_VALUE"""),110.0)</f>
        <v>110</v>
      </c>
      <c r="E7485" s="237" t="str">
        <f>IFERROR(__xludf.DUMMYFUNCTION("""COMPUTED_VALUE"""),"LT0Q2D01YNMK1")</f>
        <v>LT0Q2D01YNMK1</v>
      </c>
      <c r="F7485" s="238" t="str">
        <f>IFERROR(__xludf.DUMMYFUNCTION("""COMPUTED_VALUE"""),"TAX7E40")</f>
        <v>TAX7E40</v>
      </c>
      <c r="G7485" s="238">
        <f>IFERROR(__xludf.DUMMYFUNCTION("""COMPUTED_VALUE"""),46066.95833333333)</f>
        <v>46066.95833</v>
      </c>
      <c r="H7485" s="238">
        <f>IFERROR(__xludf.DUMMYFUNCTION("""COMPUTED_VALUE"""),46067.04166666667)</f>
        <v>46067.04167</v>
      </c>
      <c r="J7485" s="239">
        <v>119.00000001071021</v>
      </c>
    </row>
    <row r="7486">
      <c r="A7486" s="234"/>
      <c r="B7486" s="238" t="str">
        <f>IFERROR(__xludf.DUMMYFUNCTION("""COMPUTED_VALUE"""),"LM Hub_RJ_São João do Meriti")</f>
        <v>LM Hub_RJ_São João do Meriti</v>
      </c>
      <c r="C7486" s="238" t="str">
        <f>IFERROR(__xludf.DUMMYFUNCTION("""COMPUTED_VALUE"""),"HUB-LRJ-01")</f>
        <v>HUB-LRJ-01</v>
      </c>
      <c r="D7486" s="234">
        <f>IFERROR(__xludf.DUMMYFUNCTION("""COMPUTED_VALUE"""),116.0)</f>
        <v>116</v>
      </c>
      <c r="E7486" s="237" t="str">
        <f>IFERROR(__xludf.DUMMYFUNCTION("""COMPUTED_VALUE"""),"LT0Q2D01YGG41")</f>
        <v>LT0Q2D01YGG41</v>
      </c>
      <c r="F7486" s="238" t="str">
        <f>IFERROR(__xludf.DUMMYFUNCTION("""COMPUTED_VALUE"""),"FDP1C98")</f>
        <v>FDP1C98</v>
      </c>
      <c r="G7486" s="238">
        <f>IFERROR(__xludf.DUMMYFUNCTION("""COMPUTED_VALUE"""),46066.959027777775)</f>
        <v>46066.95903</v>
      </c>
      <c r="H7486" s="238">
        <f>IFERROR(__xludf.DUMMYFUNCTION("""COMPUTED_VALUE"""),46067.04166666667)</f>
        <v>46067.04167</v>
      </c>
      <c r="J7486" s="239">
        <v>119.99999999301508</v>
      </c>
    </row>
    <row r="7487">
      <c r="A7487" s="234"/>
      <c r="B7487" s="238" t="str">
        <f>IFERROR(__xludf.DUMMYFUNCTION("""COMPUTED_VALUE"""),"LM Hub_SP_Araraquara")</f>
        <v>LM Hub_SP_Araraquara</v>
      </c>
      <c r="C7487" s="238" t="str">
        <f>IFERROR(__xludf.DUMMYFUNCTION("""COMPUTED_VALUE"""),"HUB-LSP-29")</f>
        <v>HUB-LSP-29</v>
      </c>
      <c r="D7487" s="234">
        <f>IFERROR(__xludf.DUMMYFUNCTION("""COMPUTED_VALUE"""),17.0)</f>
        <v>17</v>
      </c>
      <c r="E7487" s="237" t="str">
        <f>IFERROR(__xludf.DUMMYFUNCTION("""COMPUTED_VALUE"""),"LT0Q2D01YJ1O1")</f>
        <v>LT0Q2D01YJ1O1</v>
      </c>
      <c r="F7487" s="238" t="str">
        <f>IFERROR(__xludf.DUMMYFUNCTION("""COMPUTED_VALUE"""),"ISQ7F01,ANM9G89")</f>
        <v>ISQ7F01,ANM9G89</v>
      </c>
      <c r="G7487" s="238">
        <f>IFERROR(__xludf.DUMMYFUNCTION("""COMPUTED_VALUE"""),46066.97916666667)</f>
        <v>46066.97917</v>
      </c>
      <c r="H7487" s="238">
        <f>IFERROR(__xludf.DUMMYFUNCTION("""COMPUTED_VALUE"""),46067.0625)</f>
        <v>46067.0625</v>
      </c>
      <c r="J7487" s="239">
        <v>119.99999999301508</v>
      </c>
    </row>
    <row r="7488">
      <c r="A7488" s="234"/>
      <c r="B7488" s="238" t="str">
        <f>IFERROR(__xludf.DUMMYFUNCTION("""COMPUTED_VALUE"""),"LM Hub_SP_Várzea Paulista")</f>
        <v>LM Hub_SP_Várzea Paulista</v>
      </c>
      <c r="C7488" s="238" t="str">
        <f>IFERROR(__xludf.DUMMYFUNCTION("""COMPUTED_VALUE"""),"HUB-LSP-20")</f>
        <v>HUB-LSP-20</v>
      </c>
      <c r="D7488" s="234">
        <f>IFERROR(__xludf.DUMMYFUNCTION("""COMPUTED_VALUE"""),18.0)</f>
        <v>18</v>
      </c>
      <c r="E7488" s="237" t="str">
        <f>IFERROR(__xludf.DUMMYFUNCTION("""COMPUTED_VALUE"""),"LT0Q2D01YJ241")</f>
        <v>LT0Q2D01YJ241</v>
      </c>
      <c r="F7488" s="238" t="str">
        <f>IFERROR(__xludf.DUMMYFUNCTION("""COMPUTED_VALUE"""),"RBG0F94,UGJ8A38")</f>
        <v>RBG0F94,UGJ8A38</v>
      </c>
      <c r="G7488" s="238">
        <f>IFERROR(__xludf.DUMMYFUNCTION("""COMPUTED_VALUE"""),46066.97916666667)</f>
        <v>46066.97917</v>
      </c>
      <c r="H7488" s="238">
        <f>IFERROR(__xludf.DUMMYFUNCTION("""COMPUTED_VALUE"""),46067.0625)</f>
        <v>46067.0625</v>
      </c>
      <c r="J7488" s="239">
        <v>119.99999999301508</v>
      </c>
    </row>
    <row r="7489">
      <c r="A7489" s="234"/>
      <c r="B7489" s="238" t="str">
        <f>IFERROR(__xludf.DUMMYFUNCTION("""COMPUTED_VALUE"""),"LM Hub_SP_Atibaia_Ponte_Alta")</f>
        <v>LM Hub_SP_Atibaia_Ponte_Alta</v>
      </c>
      <c r="C7489" s="238" t="str">
        <f>IFERROR(__xludf.DUMMYFUNCTION("""COMPUTED_VALUE"""),"HUB-LSP-87")</f>
        <v>HUB-LSP-87</v>
      </c>
      <c r="D7489" s="234">
        <f>IFERROR(__xludf.DUMMYFUNCTION("""COMPUTED_VALUE"""),29.0)</f>
        <v>29</v>
      </c>
      <c r="E7489" s="237" t="str">
        <f>IFERROR(__xludf.DUMMYFUNCTION("""COMPUTED_VALUE"""),"LT0Q2D01YM2J1")</f>
        <v>LT0Q2D01YM2J1</v>
      </c>
      <c r="F7489" s="238" t="str">
        <f>IFERROR(__xludf.DUMMYFUNCTION("""COMPUTED_VALUE"""),"ECU7G16,GEI4F33")</f>
        <v>ECU7G16,GEI4F33</v>
      </c>
      <c r="G7489" s="238">
        <f>IFERROR(__xludf.DUMMYFUNCTION("""COMPUTED_VALUE"""),46066.97916666667)</f>
        <v>46066.97917</v>
      </c>
      <c r="H7489" s="238">
        <f>IFERROR(__xludf.DUMMYFUNCTION("""COMPUTED_VALUE"""),46067.0625)</f>
        <v>46067.0625</v>
      </c>
      <c r="J7489" s="239">
        <v>540.0</v>
      </c>
    </row>
    <row r="7490">
      <c r="A7490" s="234"/>
      <c r="B7490" s="238" t="str">
        <f>IFERROR(__xludf.DUMMYFUNCTION("""COMPUTED_VALUE"""),"SoC_RJ_Duque de Caxias")</f>
        <v>SoC_RJ_Duque de Caxias</v>
      </c>
      <c r="C7490" s="238" t="str">
        <f>IFERROR(__xludf.DUMMYFUNCTION("""COMPUTED_VALUE"""),"SOC-RJ2")</f>
        <v>SOC-RJ2</v>
      </c>
      <c r="D7490" s="234"/>
      <c r="E7490" s="237" t="str">
        <f>IFERROR(__xludf.DUMMYFUNCTION("""COMPUTED_VALUE"""),"LT1Q2D01YWM81")</f>
        <v>LT1Q2D01YWM81</v>
      </c>
      <c r="F7490" s="238" t="str">
        <f>IFERROR(__xludf.DUMMYFUNCTION("""COMPUTED_VALUE"""),"EJZ8E39,ECM8D30")</f>
        <v>EJZ8E39,ECM8D30</v>
      </c>
      <c r="G7490" s="238">
        <f>IFERROR(__xludf.DUMMYFUNCTION("""COMPUTED_VALUE"""),46066.58333333333)</f>
        <v>46066.58333</v>
      </c>
      <c r="H7490" s="238">
        <f>IFERROR(__xludf.DUMMYFUNCTION("""COMPUTED_VALUE"""),46066.95833333333)</f>
        <v>46066.95833</v>
      </c>
      <c r="J7490" s="239">
        <v>540.0</v>
      </c>
    </row>
    <row r="7491">
      <c r="A7491" s="234"/>
      <c r="B7491" s="238" t="str">
        <f>IFERROR(__xludf.DUMMYFUNCTION("""COMPUTED_VALUE"""),"SoC_GO_Goiânia_02")</f>
        <v>SoC_GO_Goiânia_02</v>
      </c>
      <c r="C7491" s="238" t="str">
        <f>IFERROR(__xludf.DUMMYFUNCTION("""COMPUTED_VALUE"""),"SOC-GO2")</f>
        <v>SOC-GO2</v>
      </c>
      <c r="D7491" s="234">
        <f>IFERROR(__xludf.DUMMYFUNCTION("""COMPUTED_VALUE"""),86.0)</f>
        <v>86</v>
      </c>
      <c r="E7491" s="237" t="str">
        <f>IFERROR(__xludf.DUMMYFUNCTION("""COMPUTED_VALUE"""),"LT1Q2D01YWRT1")</f>
        <v>LT1Q2D01YWRT1</v>
      </c>
      <c r="F7491" s="238" t="str">
        <f>IFERROR(__xludf.DUMMYFUNCTION("""COMPUTED_VALUE"""),"DPB6G11,BSF5F35")</f>
        <v>DPB6G11,BSF5F35</v>
      </c>
      <c r="G7491" s="238">
        <f>IFERROR(__xludf.DUMMYFUNCTION("""COMPUTED_VALUE"""),46066.70833333333)</f>
        <v>46066.70833</v>
      </c>
      <c r="H7491" s="238">
        <f>IFERROR(__xludf.DUMMYFUNCTION("""COMPUTED_VALUE"""),46067.08333333333)</f>
        <v>46067.08333</v>
      </c>
      <c r="J7491" s="239">
        <v>540.0</v>
      </c>
    </row>
    <row r="7492">
      <c r="A7492" s="234"/>
      <c r="B7492" s="238" t="str">
        <f>IFERROR(__xludf.DUMMYFUNCTION("""COMPUTED_VALUE"""),"SoC_MG_Betim")</f>
        <v>SoC_MG_Betim</v>
      </c>
      <c r="C7492" s="238" t="str">
        <f>IFERROR(__xludf.DUMMYFUNCTION("""COMPUTED_VALUE"""),"SOC-MG2")</f>
        <v>SOC-MG2</v>
      </c>
      <c r="D7492" s="234"/>
      <c r="E7492" s="237" t="str">
        <f>IFERROR(__xludf.DUMMYFUNCTION("""COMPUTED_VALUE"""),"LT0Q2D01YIT21")</f>
        <v>LT0Q2D01YIT21</v>
      </c>
      <c r="F7492" s="238" t="str">
        <f>IFERROR(__xludf.DUMMYFUNCTION("""COMPUTED_VALUE"""),"FKB6C94,DVS4C82")</f>
        <v>FKB6C94,DVS4C82</v>
      </c>
      <c r="G7492" s="238">
        <f>IFERROR(__xludf.DUMMYFUNCTION("""COMPUTED_VALUE"""),46066.70833333333)</f>
        <v>46066.70833</v>
      </c>
      <c r="H7492" s="238">
        <f>IFERROR(__xludf.DUMMYFUNCTION("""COMPUTED_VALUE"""),46067.08333333333)</f>
        <v>46067.08333</v>
      </c>
      <c r="J7492" s="239">
        <v>119.99999999301508</v>
      </c>
    </row>
    <row r="7493">
      <c r="A7493" s="234"/>
      <c r="B7493" s="238" t="str">
        <f>IFERROR(__xludf.DUMMYFUNCTION("""COMPUTED_VALUE"""),"LM Hub_RJ_Ilha do Governador")</f>
        <v>LM Hub_RJ_Ilha do Governador</v>
      </c>
      <c r="C7493" s="238" t="str">
        <f>IFERROR(__xludf.DUMMYFUNCTION("""COMPUTED_VALUE"""),"HUB-LRJ-32")</f>
        <v>HUB-LRJ-32</v>
      </c>
      <c r="D7493" s="234">
        <f>IFERROR(__xludf.DUMMYFUNCTION("""COMPUTED_VALUE"""),113.0)</f>
        <v>113</v>
      </c>
      <c r="E7493" s="237" t="str">
        <f>IFERROR(__xludf.DUMMYFUNCTION("""COMPUTED_VALUE"""),"LT0Q2E01YNN01")</f>
        <v>LT0Q2E01YNN01</v>
      </c>
      <c r="F7493" s="238" t="str">
        <f>IFERROR(__xludf.DUMMYFUNCTION("""COMPUTED_VALUE"""),"FVU3J50")</f>
        <v>FVU3J50</v>
      </c>
      <c r="G7493" s="238">
        <f>IFERROR(__xludf.DUMMYFUNCTION("""COMPUTED_VALUE"""),46067.0)</f>
        <v>46067</v>
      </c>
      <c r="H7493" s="238">
        <f>IFERROR(__xludf.DUMMYFUNCTION("""COMPUTED_VALUE"""),46067.08333333333)</f>
        <v>46067.08333</v>
      </c>
      <c r="J7493" s="239">
        <v>119.99999999301508</v>
      </c>
    </row>
    <row r="7494">
      <c r="A7494" s="234"/>
      <c r="B7494" s="238" t="str">
        <f>IFERROR(__xludf.DUMMYFUNCTION("""COMPUTED_VALUE"""),"LM Hub_SP_Tatuí")</f>
        <v>LM Hub_SP_Tatuí</v>
      </c>
      <c r="C7494" s="238" t="str">
        <f>IFERROR(__xludf.DUMMYFUNCTION("""COMPUTED_VALUE"""),"HUB-LSP-51")</f>
        <v>HUB-LSP-51</v>
      </c>
      <c r="D7494" s="234">
        <f>IFERROR(__xludf.DUMMYFUNCTION("""COMPUTED_VALUE"""),35.0)</f>
        <v>35</v>
      </c>
      <c r="E7494" s="237" t="str">
        <f>IFERROR(__xludf.DUMMYFUNCTION("""COMPUTED_VALUE"""),"LT0Q2E01YIYP1")</f>
        <v>LT0Q2E01YIYP1</v>
      </c>
      <c r="F7494" s="238" t="str">
        <f>IFERROR(__xludf.DUMMYFUNCTION("""COMPUTED_VALUE"""),"SUK7E04,GBX1009")</f>
        <v>SUK7E04,GBX1009</v>
      </c>
      <c r="G7494" s="238">
        <f>IFERROR(__xludf.DUMMYFUNCTION("""COMPUTED_VALUE"""),46067.0)</f>
        <v>46067</v>
      </c>
      <c r="H7494" s="238">
        <f>IFERROR(__xludf.DUMMYFUNCTION("""COMPUTED_VALUE"""),46067.08333333333)</f>
        <v>46067.08333</v>
      </c>
      <c r="J7494" s="239">
        <v>119.99999999301508</v>
      </c>
    </row>
    <row r="7495">
      <c r="A7495" s="234"/>
      <c r="B7495" s="238" t="str">
        <f>IFERROR(__xludf.DUMMYFUNCTION("""COMPUTED_VALUE"""),"SoC_PR_Curitiba")</f>
        <v>SoC_PR_Curitiba</v>
      </c>
      <c r="C7495" s="238" t="str">
        <f>IFERROR(__xludf.DUMMYFUNCTION("""COMPUTED_VALUE"""),"SOC-PR1")</f>
        <v>SOC-PR1</v>
      </c>
      <c r="D7495" s="234">
        <f>IFERROR(__xludf.DUMMYFUNCTION("""COMPUTED_VALUE"""),41.0)</f>
        <v>41</v>
      </c>
      <c r="E7495" s="237" t="str">
        <f>IFERROR(__xludf.DUMMYFUNCTION("""COMPUTED_VALUE"""),"LT0Q2E01YIUA1")</f>
        <v>LT0Q2E01YIUA1</v>
      </c>
      <c r="F7495" s="238" t="str">
        <f>IFERROR(__xludf.DUMMYFUNCTION("""COMPUTED_VALUE"""),"IRC5441,EWJ1238")</f>
        <v>IRC5441,EWJ1238</v>
      </c>
      <c r="G7495" s="238">
        <f>IFERROR(__xludf.DUMMYFUNCTION("""COMPUTED_VALUE"""),46067.0)</f>
        <v>46067</v>
      </c>
      <c r="H7495" s="238">
        <f>IFERROR(__xludf.DUMMYFUNCTION("""COMPUTED_VALUE"""),46067.08333333333)</f>
        <v>46067.08333</v>
      </c>
      <c r="J7495" s="239">
        <v>119.99999999301508</v>
      </c>
    </row>
    <row r="7496">
      <c r="A7496" s="234"/>
      <c r="B7496" s="238" t="str">
        <f>IFERROR(__xludf.DUMMYFUNCTION("""COMPUTED_VALUE"""),"SoC_SP_Louveira")</f>
        <v>SoC_SP_Louveira</v>
      </c>
      <c r="C7496" s="238" t="str">
        <f>IFERROR(__xludf.DUMMYFUNCTION("""COMPUTED_VALUE"""),"SOC-SP7")</f>
        <v>SOC-SP7</v>
      </c>
      <c r="D7496" s="234">
        <f>IFERROR(__xludf.DUMMYFUNCTION("""COMPUTED_VALUE"""),38.0)</f>
        <v>38</v>
      </c>
      <c r="E7496" s="237" t="str">
        <f>IFERROR(__xludf.DUMMYFUNCTION("""COMPUTED_VALUE"""),"LT0Q2E01YIVV1")</f>
        <v>LT0Q2E01YIVV1</v>
      </c>
      <c r="F7496" s="238" t="str">
        <f>IFERROR(__xludf.DUMMYFUNCTION("""COMPUTED_VALUE"""),"GDL9D12,GJM4992")</f>
        <v>GDL9D12,GJM4992</v>
      </c>
      <c r="G7496" s="238">
        <f>IFERROR(__xludf.DUMMYFUNCTION("""COMPUTED_VALUE"""),46067.0)</f>
        <v>46067</v>
      </c>
      <c r="H7496" s="238">
        <f>IFERROR(__xludf.DUMMYFUNCTION("""COMPUTED_VALUE"""),46067.08333333333)</f>
        <v>46067.08333</v>
      </c>
      <c r="J7496" s="239">
        <v>120.00000001396984</v>
      </c>
    </row>
    <row r="7497">
      <c r="A7497" s="234"/>
      <c r="B7497" s="238" t="str">
        <f>IFERROR(__xludf.DUMMYFUNCTION("""COMPUTED_VALUE"""),"LM Hub_MG_Varginha_Fausto")</f>
        <v>LM Hub_MG_Varginha_Fausto</v>
      </c>
      <c r="C7497" s="238" t="str">
        <f>IFERROR(__xludf.DUMMYFUNCTION("""COMPUTED_VALUE"""),"HUB-LMG-45")</f>
        <v>HUB-LMG-45</v>
      </c>
      <c r="D7497" s="234">
        <f>IFERROR(__xludf.DUMMYFUNCTION("""COMPUTED_VALUE"""),115.0)</f>
        <v>115</v>
      </c>
      <c r="E7497" s="237" t="str">
        <f>IFERROR(__xludf.DUMMYFUNCTION("""COMPUTED_VALUE"""),"LT0Q2E01YN5Y1")</f>
        <v>LT0Q2E01YN5Y1</v>
      </c>
      <c r="F7497" s="238" t="str">
        <f>IFERROR(__xludf.DUMMYFUNCTION("""COMPUTED_VALUE"""),"GGT7B46")</f>
        <v>GGT7B46</v>
      </c>
      <c r="G7497" s="238">
        <f>IFERROR(__xludf.DUMMYFUNCTION("""COMPUTED_VALUE"""),46067.02083333333)</f>
        <v>46067.02083</v>
      </c>
      <c r="H7497" s="238">
        <f>IFERROR(__xludf.DUMMYFUNCTION("""COMPUTED_VALUE"""),46067.10416666667)</f>
        <v>46067.10417</v>
      </c>
      <c r="J7497" s="239">
        <v>540.0</v>
      </c>
    </row>
    <row r="7498">
      <c r="A7498" s="234"/>
      <c r="B7498" s="238" t="str">
        <f>IFERROR(__xludf.DUMMYFUNCTION("""COMPUTED_VALUE"""),"SoC_BA_Simoes Filho")</f>
        <v>SoC_BA_Simoes Filho</v>
      </c>
      <c r="C7498" s="238" t="str">
        <f>IFERROR(__xludf.DUMMYFUNCTION("""COMPUTED_VALUE"""),"SOC-BA2")</f>
        <v>SOC-BA2</v>
      </c>
      <c r="D7498" s="234">
        <f>IFERROR(__xludf.DUMMYFUNCTION("""COMPUTED_VALUE"""),89.0)</f>
        <v>89</v>
      </c>
      <c r="E7498" s="237" t="str">
        <f>IFERROR(__xludf.DUMMYFUNCTION("""COMPUTED_VALUE"""),"LT0Q2D01YNG71")</f>
        <v>LT0Q2D01YNG71</v>
      </c>
      <c r="F7498" s="238" t="str">
        <f>IFERROR(__xludf.DUMMYFUNCTION("""COMPUTED_VALUE"""),"PLS5H85,SJM4B71")</f>
        <v>PLS5H85,SJM4B71</v>
      </c>
      <c r="G7498" s="238">
        <f>IFERROR(__xludf.DUMMYFUNCTION("""COMPUTED_VALUE"""),46066.75)</f>
        <v>46066.75</v>
      </c>
      <c r="H7498" s="238">
        <f>IFERROR(__xludf.DUMMYFUNCTION("""COMPUTED_VALUE"""),46067.125)</f>
        <v>46067.125</v>
      </c>
      <c r="J7498" s="239">
        <v>120.00000001396984</v>
      </c>
    </row>
    <row r="7499">
      <c r="A7499" s="234"/>
      <c r="B7499" s="238" t="str">
        <f>IFERROR(__xludf.DUMMYFUNCTION("""COMPUTED_VALUE"""),"SoC_BA_Simoes Filho")</f>
        <v>SoC_BA_Simoes Filho</v>
      </c>
      <c r="C7499" s="238" t="str">
        <f>IFERROR(__xludf.DUMMYFUNCTION("""COMPUTED_VALUE"""),"SOC-BA2")</f>
        <v>SOC-BA2</v>
      </c>
      <c r="D7499" s="234"/>
      <c r="E7499" s="237" t="str">
        <f>IFERROR(__xludf.DUMMYFUNCTION("""COMPUTED_VALUE"""),"LT1Q2E01YWRE1")</f>
        <v>LT1Q2E01YWRE1</v>
      </c>
      <c r="F7499" s="238" t="str">
        <f>IFERROR(__xludf.DUMMYFUNCTION("""COMPUTED_VALUE"""),"PVI7E63,TYD4J10")</f>
        <v>PVI7E63,TYD4J10</v>
      </c>
      <c r="G7499" s="238">
        <f>IFERROR(__xludf.DUMMYFUNCTION("""COMPUTED_VALUE"""),46067.08333333333)</f>
        <v>46067.08333</v>
      </c>
      <c r="H7499" s="238">
        <f>IFERROR(__xludf.DUMMYFUNCTION("""COMPUTED_VALUE"""),46067.16666666667)</f>
        <v>46067.16667</v>
      </c>
      <c r="J7499" s="239">
        <v>120.00000001396984</v>
      </c>
    </row>
    <row r="7500">
      <c r="A7500" s="234"/>
      <c r="B7500" s="238" t="str">
        <f>IFERROR(__xludf.DUMMYFUNCTION("""COMPUTED_VALUE"""),"SoC_PE_Jaboatão dos Guararapes")</f>
        <v>SoC_PE_Jaboatão dos Guararapes</v>
      </c>
      <c r="C7500" s="238" t="str">
        <f>IFERROR(__xludf.DUMMYFUNCTION("""COMPUTED_VALUE"""),"SOC-PE2")</f>
        <v>SOC-PE2</v>
      </c>
      <c r="D7500" s="234"/>
      <c r="E7500" s="237" t="str">
        <f>IFERROR(__xludf.DUMMYFUNCTION("""COMPUTED_VALUE"""),"LT1Q2D01YWBN1")</f>
        <v>LT1Q2D01YWBN1</v>
      </c>
      <c r="F7500" s="238" t="str">
        <f>IFERROR(__xludf.DUMMYFUNCTION("""COMPUTED_VALUE"""),"DTA8D40,IPY0129")</f>
        <v>DTA8D40,IPY0129</v>
      </c>
      <c r="G7500" s="238">
        <f>IFERROR(__xludf.DUMMYFUNCTION("""COMPUTED_VALUE"""),46067.08333333333)</f>
        <v>46067.08333</v>
      </c>
      <c r="H7500" s="238">
        <f>IFERROR(__xludf.DUMMYFUNCTION("""COMPUTED_VALUE"""),46067.16666666667)</f>
        <v>46067.16667</v>
      </c>
      <c r="J7500" s="239">
        <v>119.00000001071021</v>
      </c>
    </row>
    <row r="7501">
      <c r="A7501" s="234"/>
      <c r="B7501" s="238" t="str">
        <f>IFERROR(__xludf.DUMMYFUNCTION("""COMPUTED_VALUE"""),"SoC_SP_Santana")</f>
        <v>SoC_SP_Santana</v>
      </c>
      <c r="C7501" s="238" t="str">
        <f>IFERROR(__xludf.DUMMYFUNCTION("""COMPUTED_VALUE"""),"SOC-SP2")</f>
        <v>SOC-SP2</v>
      </c>
      <c r="D7501" s="234">
        <f>IFERROR(__xludf.DUMMYFUNCTION("""COMPUTED_VALUE"""),38.0)</f>
        <v>38</v>
      </c>
      <c r="E7501" s="237" t="str">
        <f>IFERROR(__xludf.DUMMYFUNCTION("""COMPUTED_VALUE"""),"LT0Q2E01YJEA1")</f>
        <v>LT0Q2E01YJEA1</v>
      </c>
      <c r="F7501" s="238" t="str">
        <f>IFERROR(__xludf.DUMMYFUNCTION("""COMPUTED_VALUE"""),"NDW2C40,PBW7C19")</f>
        <v>NDW2C40,PBW7C19</v>
      </c>
      <c r="G7501" s="238">
        <f>IFERROR(__xludf.DUMMYFUNCTION("""COMPUTED_VALUE"""),46067.084027777775)</f>
        <v>46067.08403</v>
      </c>
      <c r="H7501" s="238">
        <f>IFERROR(__xludf.DUMMYFUNCTION("""COMPUTED_VALUE"""),46067.16666666667)</f>
        <v>46067.16667</v>
      </c>
      <c r="J7501" s="239">
        <v>119.99999999301508</v>
      </c>
    </row>
    <row r="7502">
      <c r="A7502" s="234"/>
      <c r="B7502" s="238" t="str">
        <f>IFERROR(__xludf.DUMMYFUNCTION("""COMPUTED_VALUE"""),"LM Hub_SP_Campinas_PqCidade")</f>
        <v>LM Hub_SP_Campinas_PqCidade</v>
      </c>
      <c r="C7502" s="238" t="str">
        <f>IFERROR(__xludf.DUMMYFUNCTION("""COMPUTED_VALUE"""),"HUB-LSP-105")</f>
        <v>HUB-LSP-105</v>
      </c>
      <c r="D7502" s="234">
        <f>IFERROR(__xludf.DUMMYFUNCTION("""COMPUTED_VALUE"""),114.0)</f>
        <v>114</v>
      </c>
      <c r="E7502" s="237" t="str">
        <f>IFERROR(__xludf.DUMMYFUNCTION("""COMPUTED_VALUE"""),"LT0Q2E01YPX61")</f>
        <v>LT0Q2E01YPX61</v>
      </c>
      <c r="F7502" s="238" t="str">
        <f>IFERROR(__xludf.DUMMYFUNCTION("""COMPUTED_VALUE"""),"GCJ6G71")</f>
        <v>GCJ6G71</v>
      </c>
      <c r="G7502" s="238">
        <f>IFERROR(__xludf.DUMMYFUNCTION("""COMPUTED_VALUE"""),46067.10416666667)</f>
        <v>46067.10417</v>
      </c>
      <c r="H7502" s="238">
        <f>IFERROR(__xludf.DUMMYFUNCTION("""COMPUTED_VALUE"""),46067.1875)</f>
        <v>46067.1875</v>
      </c>
      <c r="J7502" s="239">
        <v>119.99999999301508</v>
      </c>
    </row>
    <row r="7503">
      <c r="A7503" s="234"/>
      <c r="B7503" s="238" t="str">
        <f>IFERROR(__xludf.DUMMYFUNCTION("""COMPUTED_VALUE"""),"LM Hub_SP_Itapetininga")</f>
        <v>LM Hub_SP_Itapetininga</v>
      </c>
      <c r="C7503" s="238" t="str">
        <f>IFERROR(__xludf.DUMMYFUNCTION("""COMPUTED_VALUE"""),"HUB-LSP-53")</f>
        <v>HUB-LSP-53</v>
      </c>
      <c r="D7503" s="234">
        <f>IFERROR(__xludf.DUMMYFUNCTION("""COMPUTED_VALUE"""),34.0)</f>
        <v>34</v>
      </c>
      <c r="E7503" s="237" t="str">
        <f>IFERROR(__xludf.DUMMYFUNCTION("""COMPUTED_VALUE"""),"LT0Q2E01YIYJ1")</f>
        <v>LT0Q2E01YIYJ1</v>
      </c>
      <c r="F7503" s="238" t="str">
        <f>IFERROR(__xludf.DUMMYFUNCTION("""COMPUTED_VALUE"""),"FLO1G76")</f>
        <v>FLO1G76</v>
      </c>
      <c r="G7503" s="238">
        <f>IFERROR(__xludf.DUMMYFUNCTION("""COMPUTED_VALUE"""),46067.10416666667)</f>
        <v>46067.10417</v>
      </c>
      <c r="H7503" s="238">
        <f>IFERROR(__xludf.DUMMYFUNCTION("""COMPUTED_VALUE"""),46067.1875)</f>
        <v>46067.1875</v>
      </c>
      <c r="J7503" s="239">
        <v>119.99999999301508</v>
      </c>
    </row>
    <row r="7504">
      <c r="A7504" s="234"/>
      <c r="B7504" s="238" t="str">
        <f>IFERROR(__xludf.DUMMYFUNCTION("""COMPUTED_VALUE"""),"LM Hub_SP_São Carlos")</f>
        <v>LM Hub_SP_São Carlos</v>
      </c>
      <c r="C7504" s="238" t="str">
        <f>IFERROR(__xludf.DUMMYFUNCTION("""COMPUTED_VALUE"""),"HUB-LSP-31")</f>
        <v>HUB-LSP-31</v>
      </c>
      <c r="D7504" s="234">
        <f>IFERROR(__xludf.DUMMYFUNCTION("""COMPUTED_VALUE"""),32.0)</f>
        <v>32</v>
      </c>
      <c r="E7504" s="237" t="str">
        <f>IFERROR(__xludf.DUMMYFUNCTION("""COMPUTED_VALUE"""),"LT0Q2E01YJ101")</f>
        <v>LT0Q2E01YJ101</v>
      </c>
      <c r="F7504" s="238" t="str">
        <f>IFERROR(__xludf.DUMMYFUNCTION("""COMPUTED_VALUE"""),"OMS0F06")</f>
        <v>OMS0F06</v>
      </c>
      <c r="G7504" s="238">
        <f>IFERROR(__xludf.DUMMYFUNCTION("""COMPUTED_VALUE"""),46067.10416666667)</f>
        <v>46067.10417</v>
      </c>
      <c r="H7504" s="238">
        <f>IFERROR(__xludf.DUMMYFUNCTION("""COMPUTED_VALUE"""),46067.1875)</f>
        <v>46067.1875</v>
      </c>
      <c r="J7504" s="239">
        <v>540.0</v>
      </c>
    </row>
    <row r="7505">
      <c r="A7505" s="234"/>
      <c r="B7505" s="238" t="str">
        <f>IFERROR(__xludf.DUMMYFUNCTION("""COMPUTED_VALUE"""),"SoC_BA_Simoes Filho")</f>
        <v>SoC_BA_Simoes Filho</v>
      </c>
      <c r="C7505" s="238" t="str">
        <f>IFERROR(__xludf.DUMMYFUNCTION("""COMPUTED_VALUE"""),"SOC-BA2")</f>
        <v>SOC-BA2</v>
      </c>
      <c r="D7505" s="234">
        <f>IFERROR(__xludf.DUMMYFUNCTION("""COMPUTED_VALUE"""),88.0)</f>
        <v>88</v>
      </c>
      <c r="E7505" s="237" t="str">
        <f>IFERROR(__xludf.DUMMYFUNCTION("""COMPUTED_VALUE"""),"LT1Q2D01YWRD1")</f>
        <v>LT1Q2D01YWRD1</v>
      </c>
      <c r="F7505" s="238" t="str">
        <f>IFERROR(__xludf.DUMMYFUNCTION("""COMPUTED_VALUE"""),"OLE4A35,EHU9G34")</f>
        <v>OLE4A35,EHU9G34</v>
      </c>
      <c r="G7505" s="238">
        <f>IFERROR(__xludf.DUMMYFUNCTION("""COMPUTED_VALUE"""),46066.83333333333)</f>
        <v>46066.83333</v>
      </c>
      <c r="H7505" s="238">
        <f>IFERROR(__xludf.DUMMYFUNCTION("""COMPUTED_VALUE"""),46067.20833333333)</f>
        <v>46067.20833</v>
      </c>
      <c r="J7505" s="239">
        <v>540.0</v>
      </c>
    </row>
    <row r="7506">
      <c r="A7506" s="234"/>
      <c r="B7506" s="238" t="str">
        <f>IFERROR(__xludf.DUMMYFUNCTION("""COMPUTED_VALUE"""),"SoC_PE_Jaboatão dos Guararapes")</f>
        <v>SoC_PE_Jaboatão dos Guararapes</v>
      </c>
      <c r="C7506" s="238" t="str">
        <f>IFERROR(__xludf.DUMMYFUNCTION("""COMPUTED_VALUE"""),"SOC-PE2")</f>
        <v>SOC-PE2</v>
      </c>
      <c r="D7506" s="234">
        <f>IFERROR(__xludf.DUMMYFUNCTION("""COMPUTED_VALUE"""),99.0)</f>
        <v>99</v>
      </c>
      <c r="E7506" s="237" t="str">
        <f>IFERROR(__xludf.DUMMYFUNCTION("""COMPUTED_VALUE"""),"LT1Q2D01YWRA1")</f>
        <v>LT1Q2D01YWRA1</v>
      </c>
      <c r="F7506" s="238" t="str">
        <f>IFERROR(__xludf.DUMMYFUNCTION("""COMPUTED_VALUE"""),"NVH1D28,MCK9963")</f>
        <v>NVH1D28,MCK9963</v>
      </c>
      <c r="G7506" s="238">
        <f>IFERROR(__xludf.DUMMYFUNCTION("""COMPUTED_VALUE"""),46066.83333333333)</f>
        <v>46066.83333</v>
      </c>
      <c r="H7506" s="238">
        <f>IFERROR(__xludf.DUMMYFUNCTION("""COMPUTED_VALUE"""),46067.20833333333)</f>
        <v>46067.20833</v>
      </c>
      <c r="J7506" s="239">
        <v>538.9999999967404</v>
      </c>
    </row>
    <row r="7507">
      <c r="A7507" s="234"/>
      <c r="B7507" s="238" t="str">
        <f>IFERROR(__xludf.DUMMYFUNCTION("""COMPUTED_VALUE"""),"SoC_BA_Simoes Filho")</f>
        <v>SoC_BA_Simoes Filho</v>
      </c>
      <c r="C7507" s="238" t="str">
        <f>IFERROR(__xludf.DUMMYFUNCTION("""COMPUTED_VALUE"""),"SOC-BA2")</f>
        <v>SOC-BA2</v>
      </c>
      <c r="D7507" s="234"/>
      <c r="E7507" s="237" t="str">
        <f>IFERROR(__xludf.DUMMYFUNCTION("""COMPUTED_VALUE"""),"LT0Q2D01YNGJ1")</f>
        <v>LT0Q2D01YNGJ1</v>
      </c>
      <c r="F7507" s="238" t="str">
        <f>IFERROR(__xludf.DUMMYFUNCTION("""COMPUTED_VALUE"""),"DJE8H61,EWJ1B30")</f>
        <v>DJE8H61,EWJ1B30</v>
      </c>
      <c r="G7507" s="238">
        <f>IFERROR(__xludf.DUMMYFUNCTION("""COMPUTED_VALUE"""),46066.834027777775)</f>
        <v>46066.83403</v>
      </c>
      <c r="H7507" s="238">
        <f>IFERROR(__xludf.DUMMYFUNCTION("""COMPUTED_VALUE"""),46067.20833333333)</f>
        <v>46067.20833</v>
      </c>
      <c r="J7507" s="239">
        <v>538.9999999967404</v>
      </c>
    </row>
    <row r="7508">
      <c r="A7508" s="234"/>
      <c r="B7508" s="238" t="str">
        <f>IFERROR(__xludf.DUMMYFUNCTION("""COMPUTED_VALUE"""),"SoC_GO_Goiânia_02")</f>
        <v>SoC_GO_Goiânia_02</v>
      </c>
      <c r="C7508" s="238" t="str">
        <f>IFERROR(__xludf.DUMMYFUNCTION("""COMPUTED_VALUE"""),"SOC-GO2")</f>
        <v>SOC-GO2</v>
      </c>
      <c r="D7508" s="234">
        <f>IFERROR(__xludf.DUMMYFUNCTION("""COMPUTED_VALUE"""),87.0)</f>
        <v>87</v>
      </c>
      <c r="E7508" s="237" t="str">
        <f>IFERROR(__xludf.DUMMYFUNCTION("""COMPUTED_VALUE"""),"LT0Q2D01YNQR1")</f>
        <v>LT0Q2D01YNQR1</v>
      </c>
      <c r="F7508" s="238" t="str">
        <f>IFERROR(__xludf.DUMMYFUNCTION("""COMPUTED_VALUE"""),"FVJ4C52,FKH0E62")</f>
        <v>FVJ4C52,FKH0E62</v>
      </c>
      <c r="G7508" s="238">
        <f>IFERROR(__xludf.DUMMYFUNCTION("""COMPUTED_VALUE"""),46066.834027777775)</f>
        <v>46066.83403</v>
      </c>
      <c r="H7508" s="238">
        <f>IFERROR(__xludf.DUMMYFUNCTION("""COMPUTED_VALUE"""),46067.20833333333)</f>
        <v>46067.20833</v>
      </c>
      <c r="J7508" s="239">
        <v>538.9999999967404</v>
      </c>
    </row>
    <row r="7509">
      <c r="A7509" s="234"/>
      <c r="B7509" s="238" t="str">
        <f>IFERROR(__xludf.DUMMYFUNCTION("""COMPUTED_VALUE"""),"SoC_RJ_Duque de Caxias")</f>
        <v>SoC_RJ_Duque de Caxias</v>
      </c>
      <c r="C7509" s="238" t="str">
        <f>IFERROR(__xludf.DUMMYFUNCTION("""COMPUTED_VALUE"""),"SOC-RJ2")</f>
        <v>SOC-RJ2</v>
      </c>
      <c r="D7509" s="234"/>
      <c r="E7509" s="237" t="str">
        <f>IFERROR(__xludf.DUMMYFUNCTION("""COMPUTED_VALUE"""),"LT0Q2D01YKMO2")</f>
        <v>LT0Q2D01YKMO2</v>
      </c>
      <c r="F7509" s="238" t="str">
        <f>IFERROR(__xludf.DUMMYFUNCTION("""COMPUTED_VALUE"""),"EJZ8E39,ECM8D30")</f>
        <v>EJZ8E39,ECM8D30</v>
      </c>
      <c r="G7509" s="238">
        <f>IFERROR(__xludf.DUMMYFUNCTION("""COMPUTED_VALUE"""),46066.834027777775)</f>
        <v>46066.83403</v>
      </c>
      <c r="H7509" s="238">
        <f>IFERROR(__xludf.DUMMYFUNCTION("""COMPUTED_VALUE"""),46067.20833333333)</f>
        <v>46067.20833</v>
      </c>
      <c r="J7509" s="239">
        <v>537.9999999934807</v>
      </c>
    </row>
    <row r="7510">
      <c r="A7510" s="234"/>
      <c r="B7510" s="238" t="str">
        <f>IFERROR(__xludf.DUMMYFUNCTION("""COMPUTED_VALUE"""),"SoC_PE_Jaboatão dos Guararapes")</f>
        <v>SoC_PE_Jaboatão dos Guararapes</v>
      </c>
      <c r="C7510" s="238" t="str">
        <f>IFERROR(__xludf.DUMMYFUNCTION("""COMPUTED_VALUE"""),"SOC-PE2")</f>
        <v>SOC-PE2</v>
      </c>
      <c r="D7510" s="234">
        <f>IFERROR(__xludf.DUMMYFUNCTION("""COMPUTED_VALUE"""),98.0)</f>
        <v>98</v>
      </c>
      <c r="E7510" s="237" t="str">
        <f>IFERROR(__xludf.DUMMYFUNCTION("""COMPUTED_VALUE"""),"LT0Q2D01YNDN1")</f>
        <v>LT0Q2D01YNDN1</v>
      </c>
      <c r="F7510" s="238" t="str">
        <f>IFERROR(__xludf.DUMMYFUNCTION("""COMPUTED_VALUE"""),"KWR1H16,DBC7E33")</f>
        <v>KWR1H16,DBC7E33</v>
      </c>
      <c r="G7510" s="238">
        <f>IFERROR(__xludf.DUMMYFUNCTION("""COMPUTED_VALUE"""),46066.83472222222)</f>
        <v>46066.83472</v>
      </c>
      <c r="H7510" s="238">
        <f>IFERROR(__xludf.DUMMYFUNCTION("""COMPUTED_VALUE"""),46067.20833333333)</f>
        <v>46067.20833</v>
      </c>
      <c r="J7510" s="239">
        <v>537.9999999934807</v>
      </c>
    </row>
    <row r="7511">
      <c r="A7511" s="234"/>
      <c r="B7511" s="238" t="str">
        <f>IFERROR(__xludf.DUMMYFUNCTION("""COMPUTED_VALUE"""),"SoC_SP_Cravinhos")</f>
        <v>SoC_SP_Cravinhos</v>
      </c>
      <c r="C7511" s="238" t="str">
        <f>IFERROR(__xludf.DUMMYFUNCTION("""COMPUTED_VALUE"""),"SOC-SP5")</f>
        <v>SOC-SP5</v>
      </c>
      <c r="D7511" s="234">
        <f>IFERROR(__xludf.DUMMYFUNCTION("""COMPUTED_VALUE"""),94.0)</f>
        <v>94</v>
      </c>
      <c r="E7511" s="237" t="str">
        <f>IFERROR(__xludf.DUMMYFUNCTION("""COMPUTED_VALUE"""),"LT0Q2D01YIVO2")</f>
        <v>LT0Q2D01YIVO2</v>
      </c>
      <c r="F7511" s="238" t="str">
        <f>IFERROR(__xludf.DUMMYFUNCTION("""COMPUTED_VALUE"""),"QJB4F97,SUC0B59")</f>
        <v>QJB4F97,SUC0B59</v>
      </c>
      <c r="G7511" s="238">
        <f>IFERROR(__xludf.DUMMYFUNCTION("""COMPUTED_VALUE"""),46066.83472222222)</f>
        <v>46066.83472</v>
      </c>
      <c r="H7511" s="238">
        <f>IFERROR(__xludf.DUMMYFUNCTION("""COMPUTED_VALUE"""),46067.20833333333)</f>
        <v>46067.20833</v>
      </c>
      <c r="J7511" s="239">
        <v>419.99999998603016</v>
      </c>
    </row>
    <row r="7512">
      <c r="A7512" s="234"/>
      <c r="B7512" s="238" t="str">
        <f>IFERROR(__xludf.DUMMYFUNCTION("""COMPUTED_VALUE"""),"SoC_RJ_Duque de Caxias")</f>
        <v>SoC_RJ_Duque de Caxias</v>
      </c>
      <c r="C7512" s="238" t="str">
        <f>IFERROR(__xludf.DUMMYFUNCTION("""COMPUTED_VALUE"""),"SOC-RJ2")</f>
        <v>SOC-RJ2</v>
      </c>
      <c r="D7512" s="234">
        <f>IFERROR(__xludf.DUMMYFUNCTION("""COMPUTED_VALUE"""),97.0)</f>
        <v>97</v>
      </c>
      <c r="E7512" s="237" t="str">
        <f>IFERROR(__xludf.DUMMYFUNCTION("""COMPUTED_VALUE"""),"LT1Q2D01YWBM1")</f>
        <v>LT1Q2D01YWBM1</v>
      </c>
      <c r="F7512" s="238" t="str">
        <f>IFERROR(__xludf.DUMMYFUNCTION("""COMPUTED_VALUE"""),"EWJ0F90,LVB1J28")</f>
        <v>EWJ0F90,LVB1J28</v>
      </c>
      <c r="G7512" s="238">
        <f>IFERROR(__xludf.DUMMYFUNCTION("""COMPUTED_VALUE"""),46066.91666666667)</f>
        <v>46066.91667</v>
      </c>
      <c r="H7512" s="238">
        <f>IFERROR(__xludf.DUMMYFUNCTION("""COMPUTED_VALUE"""),46067.20833333333)</f>
        <v>46067.20833</v>
      </c>
      <c r="J7512" s="239">
        <v>119.99999999301508</v>
      </c>
    </row>
    <row r="7513">
      <c r="A7513" s="234"/>
      <c r="B7513" s="238" t="str">
        <f>IFERROR(__xludf.DUMMYFUNCTION("""COMPUTED_VALUE"""),"LM Hub_SP_Itapeva")</f>
        <v>LM Hub_SP_Itapeva</v>
      </c>
      <c r="C7513" s="238" t="str">
        <f>IFERROR(__xludf.DUMMYFUNCTION("""COMPUTED_VALUE"""),"HUB-LSP-39")</f>
        <v>HUB-LSP-39</v>
      </c>
      <c r="D7513" s="234">
        <f>IFERROR(__xludf.DUMMYFUNCTION("""COMPUTED_VALUE"""),33.0)</f>
        <v>33</v>
      </c>
      <c r="E7513" s="237" t="str">
        <f>IFERROR(__xludf.DUMMYFUNCTION("""COMPUTED_VALUE"""),"LT0Q2E01YIYW1")</f>
        <v>LT0Q2E01YIYW1</v>
      </c>
      <c r="F7513" s="238" t="str">
        <f>IFERROR(__xludf.DUMMYFUNCTION("""COMPUTED_VALUE"""),"FCT0F31")</f>
        <v>FCT0F31</v>
      </c>
      <c r="G7513" s="238">
        <f>IFERROR(__xludf.DUMMYFUNCTION("""COMPUTED_VALUE"""),46067.125)</f>
        <v>46067.125</v>
      </c>
      <c r="H7513" s="238">
        <f>IFERROR(__xludf.DUMMYFUNCTION("""COMPUTED_VALUE"""),46067.20833333333)</f>
        <v>46067.20833</v>
      </c>
      <c r="J7513" s="239">
        <v>119.99999999301508</v>
      </c>
    </row>
    <row r="7514">
      <c r="A7514" s="234"/>
      <c r="B7514" s="238" t="str">
        <f>IFERROR(__xludf.DUMMYFUNCTION("""COMPUTED_VALUE"""),"LM Hub_SP_Limeira_Campo Belo")</f>
        <v>LM Hub_SP_Limeira_Campo Belo</v>
      </c>
      <c r="C7514" s="238" t="str">
        <f>IFERROR(__xludf.DUMMYFUNCTION("""COMPUTED_VALUE"""),"HUB-LSP-24")</f>
        <v>HUB-LSP-24</v>
      </c>
      <c r="D7514" s="234">
        <f>IFERROR(__xludf.DUMMYFUNCTION("""COMPUTED_VALUE"""),37.0)</f>
        <v>37</v>
      </c>
      <c r="E7514" s="237" t="str">
        <f>IFERROR(__xludf.DUMMYFUNCTION("""COMPUTED_VALUE"""),"LT0Q2E01YJ0H1")</f>
        <v>LT0Q2E01YJ0H1</v>
      </c>
      <c r="F7514" s="238" t="str">
        <f>IFERROR(__xludf.DUMMYFUNCTION("""COMPUTED_VALUE"""),"GFT5J70,GBH5G53")</f>
        <v>GFT5J70,GBH5G53</v>
      </c>
      <c r="G7514" s="238">
        <f>IFERROR(__xludf.DUMMYFUNCTION("""COMPUTED_VALUE"""),46067.125)</f>
        <v>46067.125</v>
      </c>
      <c r="H7514" s="238">
        <f>IFERROR(__xludf.DUMMYFUNCTION("""COMPUTED_VALUE"""),46067.20833333333)</f>
        <v>46067.20833</v>
      </c>
      <c r="J7514" s="239">
        <v>119.99999999301508</v>
      </c>
    </row>
    <row r="7515">
      <c r="A7515" s="234"/>
      <c r="B7515" s="238" t="str">
        <f>IFERROR(__xludf.DUMMYFUNCTION("""COMPUTED_VALUE"""),"LM Hub_SP_Sumaré_Nova Veneza_1")</f>
        <v>LM Hub_SP_Sumaré_Nova Veneza_1</v>
      </c>
      <c r="C7515" s="238" t="str">
        <f>IFERROR(__xludf.DUMMYFUNCTION("""COMPUTED_VALUE"""),"HUB-LSP-88")</f>
        <v>HUB-LSP-88</v>
      </c>
      <c r="D7515" s="234">
        <f>IFERROR(__xludf.DUMMYFUNCTION("""COMPUTED_VALUE"""),27.0)</f>
        <v>27</v>
      </c>
      <c r="E7515" s="237" t="str">
        <f>IFERROR(__xludf.DUMMYFUNCTION("""COMPUTED_VALUE"""),"LT0Q2E01YN1R1")</f>
        <v>LT0Q2E01YN1R1</v>
      </c>
      <c r="F7515" s="238" t="str">
        <f>IFERROR(__xludf.DUMMYFUNCTION("""COMPUTED_VALUE"""),"DCU8E76,FMR2224")</f>
        <v>DCU8E76,FMR2224</v>
      </c>
      <c r="G7515" s="238">
        <f>IFERROR(__xludf.DUMMYFUNCTION("""COMPUTED_VALUE"""),46067.125)</f>
        <v>46067.125</v>
      </c>
      <c r="H7515" s="238">
        <f>IFERROR(__xludf.DUMMYFUNCTION("""COMPUTED_VALUE"""),46067.20833333333)</f>
        <v>46067.20833</v>
      </c>
      <c r="J7515" s="239">
        <v>119.99999999301508</v>
      </c>
    </row>
    <row r="7516">
      <c r="A7516" s="234"/>
      <c r="B7516" s="238" t="str">
        <f>IFERROR(__xludf.DUMMYFUNCTION("""COMPUTED_VALUE"""),"SoC_PR_Curitiba")</f>
        <v>SoC_PR_Curitiba</v>
      </c>
      <c r="C7516" s="238" t="str">
        <f>IFERROR(__xludf.DUMMYFUNCTION("""COMPUTED_VALUE"""),"SOC-PR1")</f>
        <v>SOC-PR1</v>
      </c>
      <c r="D7516" s="234">
        <f>IFERROR(__xludf.DUMMYFUNCTION("""COMPUTED_VALUE"""),41.0)</f>
        <v>41</v>
      </c>
      <c r="E7516" s="237" t="str">
        <f>IFERROR(__xludf.DUMMYFUNCTION("""COMPUTED_VALUE"""),"LT0Q2E01YIUF1")</f>
        <v>LT0Q2E01YIUF1</v>
      </c>
      <c r="F7516" s="238" t="str">
        <f>IFERROR(__xludf.DUMMYFUNCTION("""COMPUTED_VALUE"""),"FQJ8B01,UGV7H67")</f>
        <v>FQJ8B01,UGV7H67</v>
      </c>
      <c r="G7516" s="238">
        <f>IFERROR(__xludf.DUMMYFUNCTION("""COMPUTED_VALUE"""),46067.125)</f>
        <v>46067.125</v>
      </c>
      <c r="H7516" s="238">
        <f>IFERROR(__xludf.DUMMYFUNCTION("""COMPUTED_VALUE"""),46067.20833333333)</f>
        <v>46067.20833</v>
      </c>
      <c r="J7516" s="239">
        <v>119.99999999301508</v>
      </c>
    </row>
    <row r="7517">
      <c r="A7517" s="234"/>
      <c r="B7517" s="238" t="str">
        <f>IFERROR(__xludf.DUMMYFUNCTION("""COMPUTED_VALUE"""),"SoC_SP_Louveira")</f>
        <v>SoC_SP_Louveira</v>
      </c>
      <c r="C7517" s="238" t="str">
        <f>IFERROR(__xludf.DUMMYFUNCTION("""COMPUTED_VALUE"""),"SOC-SP7")</f>
        <v>SOC-SP7</v>
      </c>
      <c r="D7517" s="234">
        <f>IFERROR(__xludf.DUMMYFUNCTION("""COMPUTED_VALUE"""),39.0)</f>
        <v>39</v>
      </c>
      <c r="E7517" s="237" t="str">
        <f>IFERROR(__xludf.DUMMYFUNCTION("""COMPUTED_VALUE"""),"LT0Q2E01YIW01")</f>
        <v>LT0Q2E01YIW01</v>
      </c>
      <c r="F7517" s="238" t="str">
        <f>IFERROR(__xludf.DUMMYFUNCTION("""COMPUTED_VALUE"""),"BZR7D35,EQU7J14")</f>
        <v>BZR7D35,EQU7J14</v>
      </c>
      <c r="G7517" s="238">
        <f>IFERROR(__xludf.DUMMYFUNCTION("""COMPUTED_VALUE"""),46067.125)</f>
        <v>46067.125</v>
      </c>
      <c r="H7517" s="238">
        <f>IFERROR(__xludf.DUMMYFUNCTION("""COMPUTED_VALUE"""),46067.20833333333)</f>
        <v>46067.20833</v>
      </c>
      <c r="J7517" s="239">
        <v>118.99999998975545</v>
      </c>
    </row>
    <row r="7518">
      <c r="A7518" s="234"/>
      <c r="B7518" s="238" t="str">
        <f>IFERROR(__xludf.DUMMYFUNCTION("""COMPUTED_VALUE"""),"SoC_SP_Guarulhos")</f>
        <v>SoC_SP_Guarulhos</v>
      </c>
      <c r="C7518" s="238" t="str">
        <f>IFERROR(__xludf.DUMMYFUNCTION("""COMPUTED_VALUE"""),"SOC-SP6")</f>
        <v>SOC-SP6</v>
      </c>
      <c r="D7518" s="234">
        <f>IFERROR(__xludf.DUMMYFUNCTION("""COMPUTED_VALUE"""),45.0)</f>
        <v>45</v>
      </c>
      <c r="E7518" s="237" t="str">
        <f>IFERROR(__xludf.DUMMYFUNCTION("""COMPUTED_VALUE"""),"LT0Q2E01YJTP1")</f>
        <v>LT0Q2E01YJTP1</v>
      </c>
      <c r="F7518" s="238" t="str">
        <f>IFERROR(__xludf.DUMMYFUNCTION("""COMPUTED_VALUE"""),"OWD5C95,JQI2B04")</f>
        <v>OWD5C95,JQI2B04</v>
      </c>
      <c r="G7518" s="238">
        <f>IFERROR(__xludf.DUMMYFUNCTION("""COMPUTED_VALUE"""),46067.12569444445)</f>
        <v>46067.12569</v>
      </c>
      <c r="H7518" s="238">
        <f>IFERROR(__xludf.DUMMYFUNCTION("""COMPUTED_VALUE"""),46067.20833333333)</f>
        <v>46067.20833</v>
      </c>
      <c r="J7518" s="239">
        <v>120.00000001396984</v>
      </c>
    </row>
    <row r="7519">
      <c r="A7519" s="234"/>
      <c r="B7519" s="238" t="str">
        <f>IFERROR(__xludf.DUMMYFUNCTION("""COMPUTED_VALUE"""),"LM Hub_SP_Mogi Mirim")</f>
        <v>LM Hub_SP_Mogi Mirim</v>
      </c>
      <c r="C7519" s="238" t="str">
        <f>IFERROR(__xludf.DUMMYFUNCTION("""COMPUTED_VALUE"""),"HUB-LSP-37")</f>
        <v>HUB-LSP-37</v>
      </c>
      <c r="D7519" s="234">
        <f>IFERROR(__xludf.DUMMYFUNCTION("""COMPUTED_VALUE"""),25.0)</f>
        <v>25</v>
      </c>
      <c r="E7519" s="237" t="str">
        <f>IFERROR(__xludf.DUMMYFUNCTION("""COMPUTED_VALUE"""),"LT0Q2E01YJ1C1")</f>
        <v>LT0Q2E01YJ1C1</v>
      </c>
      <c r="F7519" s="238" t="str">
        <f>IFERROR(__xludf.DUMMYFUNCTION("""COMPUTED_VALUE"""),"GHB5H18,FZB6G45")</f>
        <v>GHB5H18,FZB6G45</v>
      </c>
      <c r="G7519" s="238">
        <f>IFERROR(__xludf.DUMMYFUNCTION("""COMPUTED_VALUE"""),46067.14583333333)</f>
        <v>46067.14583</v>
      </c>
      <c r="H7519" s="238">
        <f>IFERROR(__xludf.DUMMYFUNCTION("""COMPUTED_VALUE"""),46067.22916666667)</f>
        <v>46067.22917</v>
      </c>
      <c r="J7519" s="239">
        <v>540.0</v>
      </c>
    </row>
    <row r="7520">
      <c r="A7520" s="234"/>
      <c r="B7520" s="238" t="str">
        <f>IFERROR(__xludf.DUMMYFUNCTION("""COMPUTED_VALUE"""),"SoC_RS_Gravataí_02")</f>
        <v>SoC_RS_Gravataí_02</v>
      </c>
      <c r="C7520" s="238" t="str">
        <f>IFERROR(__xludf.DUMMYFUNCTION("""COMPUTED_VALUE"""),"SOC-RS2")</f>
        <v>SOC-RS2</v>
      </c>
      <c r="D7520" s="234">
        <f>IFERROR(__xludf.DUMMYFUNCTION("""COMPUTED_VALUE"""),92.0)</f>
        <v>92</v>
      </c>
      <c r="E7520" s="237" t="str">
        <f>IFERROR(__xludf.DUMMYFUNCTION("""COMPUTED_VALUE"""),"LT1Q2D01YWRF1")</f>
        <v>LT1Q2D01YWRF1</v>
      </c>
      <c r="F7520" s="238" t="str">
        <f>IFERROR(__xludf.DUMMYFUNCTION("""COMPUTED_VALUE"""),"EEK3G45,CVN6C81")</f>
        <v>EEK3G45,CVN6C81</v>
      </c>
      <c r="G7520" s="238">
        <f>IFERROR(__xludf.DUMMYFUNCTION("""COMPUTED_VALUE"""),46066.875)</f>
        <v>46066.875</v>
      </c>
      <c r="H7520" s="238">
        <f>IFERROR(__xludf.DUMMYFUNCTION("""COMPUTED_VALUE"""),46067.25)</f>
        <v>46067.25</v>
      </c>
      <c r="J7520" s="239">
        <v>119.99999999301508</v>
      </c>
    </row>
    <row r="7521">
      <c r="A7521" s="234"/>
      <c r="B7521" s="238" t="str">
        <f>IFERROR(__xludf.DUMMYFUNCTION("""COMPUTED_VALUE"""),"LM Hub_SP_Guaratinguetá")</f>
        <v>LM Hub_SP_Guaratinguetá</v>
      </c>
      <c r="C7521" s="238" t="str">
        <f>IFERROR(__xludf.DUMMYFUNCTION("""COMPUTED_VALUE"""),"HUB-LSP-33")</f>
        <v>HUB-LSP-33</v>
      </c>
      <c r="D7521" s="234">
        <f>IFERROR(__xludf.DUMMYFUNCTION("""COMPUTED_VALUE"""),15.0)</f>
        <v>15</v>
      </c>
      <c r="E7521" s="237" t="str">
        <f>IFERROR(__xludf.DUMMYFUNCTION("""COMPUTED_VALUE"""),"LT0Q2E01YIZE1")</f>
        <v>LT0Q2E01YIZE1</v>
      </c>
      <c r="F7521" s="238" t="str">
        <f>IFERROR(__xludf.DUMMYFUNCTION("""COMPUTED_VALUE"""),"SWQ6D05,SWG3J97")</f>
        <v>SWQ6D05,SWG3J97</v>
      </c>
      <c r="G7521" s="238">
        <f>IFERROR(__xludf.DUMMYFUNCTION("""COMPUTED_VALUE"""),46067.16666666667)</f>
        <v>46067.16667</v>
      </c>
      <c r="H7521" s="238">
        <f>IFERROR(__xludf.DUMMYFUNCTION("""COMPUTED_VALUE"""),46067.25)</f>
        <v>46067.25</v>
      </c>
      <c r="J7521" s="239">
        <v>119.99999999301508</v>
      </c>
    </row>
    <row r="7522">
      <c r="A7522" s="234"/>
      <c r="B7522" s="238" t="str">
        <f>IFERROR(__xludf.DUMMYFUNCTION("""COMPUTED_VALUE"""),"LM Hub_SP_Registro")</f>
        <v>LM Hub_SP_Registro</v>
      </c>
      <c r="C7522" s="238" t="str">
        <f>IFERROR(__xludf.DUMMYFUNCTION("""COMPUTED_VALUE"""),"HUB-LSP-40")</f>
        <v>HUB-LSP-40</v>
      </c>
      <c r="D7522" s="234">
        <f>IFERROR(__xludf.DUMMYFUNCTION("""COMPUTED_VALUE"""),29.0)</f>
        <v>29</v>
      </c>
      <c r="E7522" s="237" t="str">
        <f>IFERROR(__xludf.DUMMYFUNCTION("""COMPUTED_VALUE"""),"LT0Q2E01YPPD1")</f>
        <v>LT0Q2E01YPPD1</v>
      </c>
      <c r="F7522" s="238" t="str">
        <f>IFERROR(__xludf.DUMMYFUNCTION("""COMPUTED_VALUE"""),"JAY9I70")</f>
        <v>JAY9I70</v>
      </c>
      <c r="G7522" s="238">
        <f>IFERROR(__xludf.DUMMYFUNCTION("""COMPUTED_VALUE"""),46067.16666666667)</f>
        <v>46067.16667</v>
      </c>
      <c r="H7522" s="238">
        <f>IFERROR(__xludf.DUMMYFUNCTION("""COMPUTED_VALUE"""),46067.25)</f>
        <v>46067.25</v>
      </c>
      <c r="J7522" s="239">
        <v>119.99999999301508</v>
      </c>
    </row>
    <row r="7523">
      <c r="A7523" s="234"/>
      <c r="B7523" s="238" t="str">
        <f>IFERROR(__xludf.DUMMYFUNCTION("""COMPUTED_VALUE"""),"LM Hub_SP_São José dos Campos")</f>
        <v>LM Hub_SP_São José dos Campos</v>
      </c>
      <c r="C7523" s="238" t="str">
        <f>IFERROR(__xludf.DUMMYFUNCTION("""COMPUTED_VALUE"""),"HUB-LSP-04")</f>
        <v>HUB-LSP-04</v>
      </c>
      <c r="D7523" s="234">
        <f>IFERROR(__xludf.DUMMYFUNCTION("""COMPUTED_VALUE"""),18.0)</f>
        <v>18</v>
      </c>
      <c r="E7523" s="237" t="str">
        <f>IFERROR(__xludf.DUMMYFUNCTION("""COMPUTED_VALUE"""),"LT0Q2E01YK161")</f>
        <v>LT0Q2E01YK161</v>
      </c>
      <c r="F7523" s="238" t="str">
        <f>IFERROR(__xludf.DUMMYFUNCTION("""COMPUTED_VALUE"""),"DBM1893")</f>
        <v>DBM1893</v>
      </c>
      <c r="G7523" s="238">
        <f>IFERROR(__xludf.DUMMYFUNCTION("""COMPUTED_VALUE"""),46067.16666666667)</f>
        <v>46067.16667</v>
      </c>
      <c r="H7523" s="238">
        <f>IFERROR(__xludf.DUMMYFUNCTION("""COMPUTED_VALUE"""),46067.25)</f>
        <v>46067.25</v>
      </c>
      <c r="J7523" s="239">
        <v>119.99999999301508</v>
      </c>
    </row>
    <row r="7524">
      <c r="A7524" s="234"/>
      <c r="B7524" s="238" t="str">
        <f>IFERROR(__xludf.DUMMYFUNCTION("""COMPUTED_VALUE"""),"SoC_PE_Jaboatão dos Guararapes")</f>
        <v>SoC_PE_Jaboatão dos Guararapes</v>
      </c>
      <c r="C7524" s="238" t="str">
        <f>IFERROR(__xludf.DUMMYFUNCTION("""COMPUTED_VALUE"""),"SOC-PE2")</f>
        <v>SOC-PE2</v>
      </c>
      <c r="D7524" s="234"/>
      <c r="E7524" s="237" t="str">
        <f>IFERROR(__xludf.DUMMYFUNCTION("""COMPUTED_VALUE"""),"LT1Q2E01YWRC1")</f>
        <v>LT1Q2E01YWRC1</v>
      </c>
      <c r="F7524" s="238" t="str">
        <f>IFERROR(__xludf.DUMMYFUNCTION("""COMPUTED_VALUE"""),"RHR6I03,UEO3C03")</f>
        <v>RHR6I03,UEO3C03</v>
      </c>
      <c r="G7524" s="238">
        <f>IFERROR(__xludf.DUMMYFUNCTION("""COMPUTED_VALUE"""),46067.16666666667)</f>
        <v>46067.16667</v>
      </c>
      <c r="H7524" s="238">
        <f>IFERROR(__xludf.DUMMYFUNCTION("""COMPUTED_VALUE"""),46067.25)</f>
        <v>46067.25</v>
      </c>
      <c r="J7524" s="239">
        <v>119.99999999301508</v>
      </c>
    </row>
    <row r="7525">
      <c r="A7525" s="234"/>
      <c r="B7525" s="238" t="str">
        <f>IFERROR(__xludf.DUMMYFUNCTION("""COMPUTED_VALUE"""),"LM Hub_SP_Atibaia_Ponte_Alta")</f>
        <v>LM Hub_SP_Atibaia_Ponte_Alta</v>
      </c>
      <c r="C7525" s="238" t="str">
        <f>IFERROR(__xludf.DUMMYFUNCTION("""COMPUTED_VALUE"""),"HUB-LSP-87")</f>
        <v>HUB-LSP-87</v>
      </c>
      <c r="D7525" s="234">
        <f>IFERROR(__xludf.DUMMYFUNCTION("""COMPUTED_VALUE"""),40.0)</f>
        <v>40</v>
      </c>
      <c r="E7525" s="237" t="str">
        <f>IFERROR(__xludf.DUMMYFUNCTION("""COMPUTED_VALUE"""),"LT0Q2E01YM2D1")</f>
        <v>LT0Q2E01YM2D1</v>
      </c>
      <c r="F7525" s="238" t="str">
        <f>IFERROR(__xludf.DUMMYFUNCTION("""COMPUTED_VALUE"""),"GER5J27")</f>
        <v>GER5J27</v>
      </c>
      <c r="G7525" s="238">
        <f>IFERROR(__xludf.DUMMYFUNCTION("""COMPUTED_VALUE"""),46067.1875)</f>
        <v>46067.1875</v>
      </c>
      <c r="H7525" s="238">
        <f>IFERROR(__xludf.DUMMYFUNCTION("""COMPUTED_VALUE"""),46067.27083333333)</f>
        <v>46067.27083</v>
      </c>
      <c r="J7525" s="239">
        <v>119.99999999301508</v>
      </c>
    </row>
    <row r="7526">
      <c r="A7526" s="234"/>
      <c r="B7526" s="238" t="str">
        <f>IFERROR(__xludf.DUMMYFUNCTION("""COMPUTED_VALUE"""),"LM Hub_SP_Taubaté")</f>
        <v>LM Hub_SP_Taubaté</v>
      </c>
      <c r="C7526" s="238" t="str">
        <f>IFERROR(__xludf.DUMMYFUNCTION("""COMPUTED_VALUE"""),"HUB-LSP-08")</f>
        <v>HUB-LSP-08</v>
      </c>
      <c r="D7526" s="234">
        <f>IFERROR(__xludf.DUMMYFUNCTION("""COMPUTED_VALUE"""),36.0)</f>
        <v>36</v>
      </c>
      <c r="E7526" s="237" t="str">
        <f>IFERROR(__xludf.DUMMYFUNCTION("""COMPUTED_VALUE"""),"LT0Q2E01YIZP1")</f>
        <v>LT0Q2E01YIZP1</v>
      </c>
      <c r="F7526" s="238" t="str">
        <f>IFERROR(__xludf.DUMMYFUNCTION("""COMPUTED_VALUE"""),"FQS1E78")</f>
        <v>FQS1E78</v>
      </c>
      <c r="G7526" s="238">
        <f>IFERROR(__xludf.DUMMYFUNCTION("""COMPUTED_VALUE"""),46067.1875)</f>
        <v>46067.1875</v>
      </c>
      <c r="H7526" s="238">
        <f>IFERROR(__xludf.DUMMYFUNCTION("""COMPUTED_VALUE"""),46067.27083333333)</f>
        <v>46067.27083</v>
      </c>
      <c r="J7526" s="239">
        <v>118.99999998975545</v>
      </c>
    </row>
    <row r="7527">
      <c r="A7527" s="234"/>
      <c r="B7527" s="238" t="str">
        <f>IFERROR(__xludf.DUMMYFUNCTION("""COMPUTED_VALUE"""),"LM Hub_SP_Sorocaba_Região Norte")</f>
        <v>LM Hub_SP_Sorocaba_Região Norte</v>
      </c>
      <c r="C7527" s="238" t="str">
        <f>IFERROR(__xludf.DUMMYFUNCTION("""COMPUTED_VALUE"""),"HUB-LSP-10")</f>
        <v>HUB-LSP-10</v>
      </c>
      <c r="D7527" s="234">
        <f>IFERROR(__xludf.DUMMYFUNCTION("""COMPUTED_VALUE"""),26.0)</f>
        <v>26</v>
      </c>
      <c r="E7527" s="237" t="str">
        <f>IFERROR(__xludf.DUMMYFUNCTION("""COMPUTED_VALUE"""),"LT0Q2E01YJ051")</f>
        <v>LT0Q2E01YJ051</v>
      </c>
      <c r="F7527" s="238" t="str">
        <f>IFERROR(__xludf.DUMMYFUNCTION("""COMPUTED_VALUE"""),"UAX1H38,UGQ4G38")</f>
        <v>UAX1H38,UGQ4G38</v>
      </c>
      <c r="G7527" s="238">
        <f>IFERROR(__xludf.DUMMYFUNCTION("""COMPUTED_VALUE"""),46067.18819444445)</f>
        <v>46067.18819</v>
      </c>
      <c r="H7527" s="238">
        <f>IFERROR(__xludf.DUMMYFUNCTION("""COMPUTED_VALUE"""),46067.27083333333)</f>
        <v>46067.27083</v>
      </c>
      <c r="J7527" s="239">
        <v>540.0</v>
      </c>
    </row>
    <row r="7528">
      <c r="A7528" s="234"/>
      <c r="B7528" s="238" t="str">
        <f>IFERROR(__xludf.DUMMYFUNCTION("""COMPUTED_VALUE"""),"SoC_BA_Simoes Filho")</f>
        <v>SoC_BA_Simoes Filho</v>
      </c>
      <c r="C7528" s="238" t="str">
        <f>IFERROR(__xludf.DUMMYFUNCTION("""COMPUTED_VALUE"""),"SOC-BA2")</f>
        <v>SOC-BA2</v>
      </c>
      <c r="D7528" s="234">
        <f>IFERROR(__xludf.DUMMYFUNCTION("""COMPUTED_VALUE"""),89.0)</f>
        <v>89</v>
      </c>
      <c r="E7528" s="237" t="str">
        <f>IFERROR(__xludf.DUMMYFUNCTION("""COMPUTED_VALUE"""),"LT1Q2D01YVV11")</f>
        <v>LT1Q2D01YVV11</v>
      </c>
      <c r="F7528" s="238" t="str">
        <f>IFERROR(__xludf.DUMMYFUNCTION("""COMPUTED_VALUE"""),"FJR1G86,TGZ6B79")</f>
        <v>FJR1G86,TGZ6B79</v>
      </c>
      <c r="G7528" s="238">
        <f>IFERROR(__xludf.DUMMYFUNCTION("""COMPUTED_VALUE"""),46066.91666666667)</f>
        <v>46066.91667</v>
      </c>
      <c r="H7528" s="238">
        <f>IFERROR(__xludf.DUMMYFUNCTION("""COMPUTED_VALUE"""),46067.29166666667)</f>
        <v>46067.29167</v>
      </c>
      <c r="J7528" s="239">
        <v>540.0</v>
      </c>
    </row>
    <row r="7529">
      <c r="A7529" s="234"/>
      <c r="B7529" s="238" t="str">
        <f>IFERROR(__xludf.DUMMYFUNCTION("""COMPUTED_VALUE"""),"SoC_MG_Betim")</f>
        <v>SoC_MG_Betim</v>
      </c>
      <c r="C7529" s="238" t="str">
        <f>IFERROR(__xludf.DUMMYFUNCTION("""COMPUTED_VALUE"""),"SOC-MG2")</f>
        <v>SOC-MG2</v>
      </c>
      <c r="D7529" s="234">
        <f>IFERROR(__xludf.DUMMYFUNCTION("""COMPUTED_VALUE"""),91.0)</f>
        <v>91</v>
      </c>
      <c r="E7529" s="237" t="str">
        <f>IFERROR(__xludf.DUMMYFUNCTION("""COMPUTED_VALUE"""),"LT0Q2D01YITM1")</f>
        <v>LT0Q2D01YITM1</v>
      </c>
      <c r="F7529" s="238" t="str">
        <f>IFERROR(__xludf.DUMMYFUNCTION("""COMPUTED_VALUE"""),"SWX1C68,TBC8A43")</f>
        <v>SWX1C68,TBC8A43</v>
      </c>
      <c r="G7529" s="238">
        <f>IFERROR(__xludf.DUMMYFUNCTION("""COMPUTED_VALUE"""),46066.91666666667)</f>
        <v>46066.91667</v>
      </c>
      <c r="H7529" s="238">
        <f>IFERROR(__xludf.DUMMYFUNCTION("""COMPUTED_VALUE"""),46067.29166666667)</f>
        <v>46067.29167</v>
      </c>
      <c r="J7529" s="239">
        <v>540.0</v>
      </c>
    </row>
    <row r="7530">
      <c r="A7530" s="234"/>
      <c r="B7530" s="238" t="str">
        <f>IFERROR(__xludf.DUMMYFUNCTION("""COMPUTED_VALUE"""),"SoC_RJ_Duque de Caxias")</f>
        <v>SoC_RJ_Duque de Caxias</v>
      </c>
      <c r="C7530" s="238" t="str">
        <f>IFERROR(__xludf.DUMMYFUNCTION("""COMPUTED_VALUE"""),"SOC-RJ2")</f>
        <v>SOC-RJ2</v>
      </c>
      <c r="D7530" s="234">
        <f>IFERROR(__xludf.DUMMYFUNCTION("""COMPUTED_VALUE"""),96.0)</f>
        <v>96</v>
      </c>
      <c r="E7530" s="237" t="str">
        <f>IFERROR(__xludf.DUMMYFUNCTION("""COMPUTED_VALUE"""),"LT0Q2D01YFMW1")</f>
        <v>LT0Q2D01YFMW1</v>
      </c>
      <c r="F7530" s="238" t="str">
        <f>IFERROR(__xludf.DUMMYFUNCTION("""COMPUTED_VALUE"""),"LUR6D59,SUL8E73")</f>
        <v>LUR6D59,SUL8E73</v>
      </c>
      <c r="G7530" s="238">
        <f>IFERROR(__xludf.DUMMYFUNCTION("""COMPUTED_VALUE"""),46066.91666666667)</f>
        <v>46066.91667</v>
      </c>
      <c r="H7530" s="238">
        <f>IFERROR(__xludf.DUMMYFUNCTION("""COMPUTED_VALUE"""),46067.29166666667)</f>
        <v>46067.29167</v>
      </c>
      <c r="J7530" s="239">
        <v>540.0</v>
      </c>
    </row>
    <row r="7531">
      <c r="A7531" s="234"/>
      <c r="B7531" s="238" t="str">
        <f>IFERROR(__xludf.DUMMYFUNCTION("""COMPUTED_VALUE"""),"SoC_RS_Gravataí_02")</f>
        <v>SoC_RS_Gravataí_02</v>
      </c>
      <c r="C7531" s="238" t="str">
        <f>IFERROR(__xludf.DUMMYFUNCTION("""COMPUTED_VALUE"""),"SOC-RS2")</f>
        <v>SOC-RS2</v>
      </c>
      <c r="D7531" s="234">
        <f>IFERROR(__xludf.DUMMYFUNCTION("""COMPUTED_VALUE"""),93.0)</f>
        <v>93</v>
      </c>
      <c r="E7531" s="237" t="str">
        <f>IFERROR(__xludf.DUMMYFUNCTION("""COMPUTED_VALUE"""),"LT0Q2D01YNSL1")</f>
        <v>LT0Q2D01YNSL1</v>
      </c>
      <c r="F7531" s="238" t="str">
        <f>IFERROR(__xludf.DUMMYFUNCTION("""COMPUTED_VALUE"""),"IPJ5821,IPB7F20")</f>
        <v>IPJ5821,IPB7F20</v>
      </c>
      <c r="G7531" s="238">
        <f>IFERROR(__xludf.DUMMYFUNCTION("""COMPUTED_VALUE"""),46066.91666666667)</f>
        <v>46066.91667</v>
      </c>
      <c r="H7531" s="238">
        <f>IFERROR(__xludf.DUMMYFUNCTION("""COMPUTED_VALUE"""),46067.29166666667)</f>
        <v>46067.29167</v>
      </c>
      <c r="J7531" s="239">
        <v>540.0</v>
      </c>
    </row>
    <row r="7532">
      <c r="A7532" s="234"/>
      <c r="B7532" s="238" t="str">
        <f>IFERROR(__xludf.DUMMYFUNCTION("""COMPUTED_VALUE"""),"SoC_SC_Itajaí")</f>
        <v>SoC_SC_Itajaí</v>
      </c>
      <c r="C7532" s="238" t="str">
        <f>IFERROR(__xludf.DUMMYFUNCTION("""COMPUTED_VALUE"""),"SOC-SC1")</f>
        <v>SOC-SC1</v>
      </c>
      <c r="D7532" s="234">
        <f>IFERROR(__xludf.DUMMYFUNCTION("""COMPUTED_VALUE"""),100.0)</f>
        <v>100</v>
      </c>
      <c r="E7532" s="237" t="str">
        <f>IFERROR(__xludf.DUMMYFUNCTION("""COMPUTED_VALUE"""),"LT0Q2D01YMNA1")</f>
        <v>LT0Q2D01YMNA1</v>
      </c>
      <c r="F7532" s="238" t="str">
        <f>IFERROR(__xludf.DUMMYFUNCTION("""COMPUTED_VALUE"""),"RYV5F80,SXU5J57")</f>
        <v>RYV5F80,SXU5J57</v>
      </c>
      <c r="G7532" s="238">
        <f>IFERROR(__xludf.DUMMYFUNCTION("""COMPUTED_VALUE"""),46066.91666666667)</f>
        <v>46066.91667</v>
      </c>
      <c r="H7532" s="238">
        <f>IFERROR(__xludf.DUMMYFUNCTION("""COMPUTED_VALUE"""),46067.29166666667)</f>
        <v>46067.29167</v>
      </c>
      <c r="J7532" s="239">
        <v>539.0000000072177</v>
      </c>
    </row>
    <row r="7533">
      <c r="A7533" s="234"/>
      <c r="B7533" s="238" t="str">
        <f>IFERROR(__xludf.DUMMYFUNCTION("""COMPUTED_VALUE"""),"SoC_GO_Goiânia_02")</f>
        <v>SoC_GO_Goiânia_02</v>
      </c>
      <c r="C7533" s="238" t="str">
        <f>IFERROR(__xludf.DUMMYFUNCTION("""COMPUTED_VALUE"""),"SOC-GO2")</f>
        <v>SOC-GO2</v>
      </c>
      <c r="D7533" s="234">
        <f>IFERROR(__xludf.DUMMYFUNCTION("""COMPUTED_VALUE"""),87.0)</f>
        <v>87</v>
      </c>
      <c r="E7533" s="237" t="str">
        <f>IFERROR(__xludf.DUMMYFUNCTION("""COMPUTED_VALUE"""),"LT0Q2D01YNQT2")</f>
        <v>LT0Q2D01YNQT2</v>
      </c>
      <c r="F7533" s="238" t="str">
        <f>IFERROR(__xludf.DUMMYFUNCTION("""COMPUTED_VALUE"""),"DRF7600,DPL9306")</f>
        <v>DRF7600,DPL9306</v>
      </c>
      <c r="G7533" s="238">
        <f>IFERROR(__xludf.DUMMYFUNCTION("""COMPUTED_VALUE"""),46066.91736111111)</f>
        <v>46066.91736</v>
      </c>
      <c r="H7533" s="238">
        <f>IFERROR(__xludf.DUMMYFUNCTION("""COMPUTED_VALUE"""),46067.29166666667)</f>
        <v>46067.29167</v>
      </c>
      <c r="J7533" s="239">
        <v>539.0000000072177</v>
      </c>
    </row>
    <row r="7534">
      <c r="A7534" s="234"/>
      <c r="B7534" s="238" t="str">
        <f>IFERROR(__xludf.DUMMYFUNCTION("""COMPUTED_VALUE"""),"SoC_RJ_Duque de Caxias")</f>
        <v>SoC_RJ_Duque de Caxias</v>
      </c>
      <c r="C7534" s="238" t="str">
        <f>IFERROR(__xludf.DUMMYFUNCTION("""COMPUTED_VALUE"""),"SOC-RJ2")</f>
        <v>SOC-RJ2</v>
      </c>
      <c r="D7534" s="234" t="str">
        <f>IFERROR(__xludf.DUMMYFUNCTION("""COMPUTED_VALUE"""),"97/12")</f>
        <v>97/12</v>
      </c>
      <c r="E7534" s="237" t="str">
        <f>IFERROR(__xludf.DUMMYFUNCTION("""COMPUTED_VALUE"""),"LT0Q2D01YKML1")</f>
        <v>LT0Q2D01YKML1</v>
      </c>
      <c r="F7534" s="238" t="str">
        <f>IFERROR(__xludf.DUMMYFUNCTION("""COMPUTED_VALUE"""),"FFD7D29,JQT3I39")</f>
        <v>FFD7D29,JQT3I39</v>
      </c>
      <c r="G7534" s="238">
        <f>IFERROR(__xludf.DUMMYFUNCTION("""COMPUTED_VALUE"""),46066.91736111111)</f>
        <v>46066.91736</v>
      </c>
      <c r="H7534" s="238">
        <f>IFERROR(__xludf.DUMMYFUNCTION("""COMPUTED_VALUE"""),46067.29166666667)</f>
        <v>46067.29167</v>
      </c>
      <c r="J7534" s="239">
        <v>538.0000000144355</v>
      </c>
    </row>
    <row r="7535">
      <c r="A7535" s="234"/>
      <c r="B7535" s="238" t="str">
        <f>IFERROR(__xludf.DUMMYFUNCTION("""COMPUTED_VALUE"""),"SoC_PE_Jaboatão dos Guararapes")</f>
        <v>SoC_PE_Jaboatão dos Guararapes</v>
      </c>
      <c r="C7535" s="238" t="str">
        <f>IFERROR(__xludf.DUMMYFUNCTION("""COMPUTED_VALUE"""),"SOC-PE2")</f>
        <v>SOC-PE2</v>
      </c>
      <c r="D7535" s="234">
        <f>IFERROR(__xludf.DUMMYFUNCTION("""COMPUTED_VALUE"""),98.0)</f>
        <v>98</v>
      </c>
      <c r="E7535" s="237" t="str">
        <f>IFERROR(__xludf.DUMMYFUNCTION("""COMPUTED_VALUE"""),"LT0Q2D01YNDP2")</f>
        <v>LT0Q2D01YNDP2</v>
      </c>
      <c r="F7535" s="238" t="str">
        <f>IFERROR(__xludf.DUMMYFUNCTION("""COMPUTED_VALUE"""),"EFW0B82,DTE8859")</f>
        <v>EFW0B82,DTE8859</v>
      </c>
      <c r="G7535" s="238">
        <f>IFERROR(__xludf.DUMMYFUNCTION("""COMPUTED_VALUE"""),46066.91805555555)</f>
        <v>46066.91806</v>
      </c>
      <c r="H7535" s="238">
        <f>IFERROR(__xludf.DUMMYFUNCTION("""COMPUTED_VALUE"""),46067.29166666667)</f>
        <v>46067.29167</v>
      </c>
      <c r="J7535" s="239">
        <v>538.0000000144355</v>
      </c>
    </row>
    <row r="7536">
      <c r="A7536" s="234"/>
      <c r="B7536" s="238" t="str">
        <f>IFERROR(__xludf.DUMMYFUNCTION("""COMPUTED_VALUE"""),"SoC_SP_Cravinhos")</f>
        <v>SoC_SP_Cravinhos</v>
      </c>
      <c r="C7536" s="238" t="str">
        <f>IFERROR(__xludf.DUMMYFUNCTION("""COMPUTED_VALUE"""),"SOC-SP5")</f>
        <v>SOC-SP5</v>
      </c>
      <c r="D7536" s="234"/>
      <c r="E7536" s="237" t="str">
        <f>IFERROR(__xludf.DUMMYFUNCTION("""COMPUTED_VALUE"""),"LT0Q2D01YIVM1")</f>
        <v>LT0Q2D01YIVM1</v>
      </c>
      <c r="F7536" s="238" t="str">
        <f>IFERROR(__xludf.DUMMYFUNCTION("""COMPUTED_VALUE"""),"EFV3J07,FNB4150")</f>
        <v>EFV3J07,FNB4150</v>
      </c>
      <c r="G7536" s="238">
        <f>IFERROR(__xludf.DUMMYFUNCTION("""COMPUTED_VALUE"""),46066.91805555555)</f>
        <v>46066.91806</v>
      </c>
      <c r="H7536" s="238">
        <f>IFERROR(__xludf.DUMMYFUNCTION("""COMPUTED_VALUE"""),46067.29166666667)</f>
        <v>46067.29167</v>
      </c>
      <c r="J7536" s="239">
        <v>120.00000001396984</v>
      </c>
    </row>
    <row r="7537">
      <c r="A7537" s="234"/>
      <c r="B7537" s="238" t="str">
        <f>IFERROR(__xludf.DUMMYFUNCTION("""COMPUTED_VALUE"""),"LM Hub_SP_Barueri_01")</f>
        <v>LM Hub_SP_Barueri_01</v>
      </c>
      <c r="C7537" s="238" t="str">
        <f>IFERROR(__xludf.DUMMYFUNCTION("""COMPUTED_VALUE"""),"HUB-LSP-81")</f>
        <v>HUB-LSP-81</v>
      </c>
      <c r="D7537" s="234">
        <f>IFERROR(__xludf.DUMMYFUNCTION("""COMPUTED_VALUE"""),28.0)</f>
        <v>28</v>
      </c>
      <c r="E7537" s="237" t="str">
        <f>IFERROR(__xludf.DUMMYFUNCTION("""COMPUTED_VALUE"""),"LT0Q2E01YN6A1")</f>
        <v>LT0Q2E01YN6A1</v>
      </c>
      <c r="F7537" s="238" t="str">
        <f>IFERROR(__xludf.DUMMYFUNCTION("""COMPUTED_VALUE"""),"SUQ5C99")</f>
        <v>SUQ5C99</v>
      </c>
      <c r="G7537" s="238">
        <f>IFERROR(__xludf.DUMMYFUNCTION("""COMPUTED_VALUE"""),46067.20833333333)</f>
        <v>46067.20833</v>
      </c>
      <c r="H7537" s="238">
        <f>IFERROR(__xludf.DUMMYFUNCTION("""COMPUTED_VALUE"""),46067.29166666667)</f>
        <v>46067.29167</v>
      </c>
      <c r="J7537" s="239">
        <v>120.00000001396984</v>
      </c>
    </row>
    <row r="7538">
      <c r="A7538" s="234"/>
      <c r="B7538" s="238" t="str">
        <f>IFERROR(__xludf.DUMMYFUNCTION("""COMPUTED_VALUE"""),"LM Hub_SP_Jundiaí")</f>
        <v>LM Hub_SP_Jundiaí</v>
      </c>
      <c r="C7538" s="238" t="str">
        <f>IFERROR(__xludf.DUMMYFUNCTION("""COMPUTED_VALUE"""),"HUB-LSP-100")</f>
        <v>HUB-LSP-100</v>
      </c>
      <c r="D7538" s="234">
        <f>IFERROR(__xludf.DUMMYFUNCTION("""COMPUTED_VALUE"""),13.0)</f>
        <v>13</v>
      </c>
      <c r="E7538" s="237" t="str">
        <f>IFERROR(__xludf.DUMMYFUNCTION("""COMPUTED_VALUE"""),"LT0Q2E01YOGU1")</f>
        <v>LT0Q2E01YOGU1</v>
      </c>
      <c r="F7538" s="238" t="str">
        <f>IFERROR(__xludf.DUMMYFUNCTION("""COMPUTED_VALUE"""),"TJM6F18,DPR1F59")</f>
        <v>TJM6F18,DPR1F59</v>
      </c>
      <c r="G7538" s="238">
        <f>IFERROR(__xludf.DUMMYFUNCTION("""COMPUTED_VALUE"""),46067.20833333333)</f>
        <v>46067.20833</v>
      </c>
      <c r="H7538" s="238">
        <f>IFERROR(__xludf.DUMMYFUNCTION("""COMPUTED_VALUE"""),46067.29166666667)</f>
        <v>46067.29167</v>
      </c>
      <c r="J7538" s="239">
        <v>120.00000001396984</v>
      </c>
    </row>
    <row r="7539">
      <c r="A7539" s="234"/>
      <c r="B7539" s="238" t="str">
        <f>IFERROR(__xludf.DUMMYFUNCTION("""COMPUTED_VALUE"""),"LM Hub_SP_Piracicaba")</f>
        <v>LM Hub_SP_Piracicaba</v>
      </c>
      <c r="C7539" s="238" t="str">
        <f>IFERROR(__xludf.DUMMYFUNCTION("""COMPUTED_VALUE"""),"HUB-LSP-62")</f>
        <v>HUB-LSP-62</v>
      </c>
      <c r="D7539" s="234">
        <f>IFERROR(__xludf.DUMMYFUNCTION("""COMPUTED_VALUE"""),24.0)</f>
        <v>24</v>
      </c>
      <c r="E7539" s="237" t="str">
        <f>IFERROR(__xludf.DUMMYFUNCTION("""COMPUTED_VALUE"""),"LT0Q2E01YPQ81")</f>
        <v>LT0Q2E01YPQ81</v>
      </c>
      <c r="F7539" s="238" t="str">
        <f>IFERROR(__xludf.DUMMYFUNCTION("""COMPUTED_VALUE"""),"OMY3I62")</f>
        <v>OMY3I62</v>
      </c>
      <c r="G7539" s="238">
        <f>IFERROR(__xludf.DUMMYFUNCTION("""COMPUTED_VALUE"""),46067.20833333333)</f>
        <v>46067.20833</v>
      </c>
      <c r="H7539" s="238">
        <f>IFERROR(__xludf.DUMMYFUNCTION("""COMPUTED_VALUE"""),46067.29166666667)</f>
        <v>46067.29167</v>
      </c>
      <c r="J7539" s="239">
        <v>120.00000001396984</v>
      </c>
    </row>
    <row r="7540">
      <c r="A7540" s="234"/>
      <c r="B7540" s="238" t="str">
        <f>IFERROR(__xludf.DUMMYFUNCTION("""COMPUTED_VALUE"""),"LM Hub_SP_Santos_PraiaGrande_02")</f>
        <v>LM Hub_SP_Santos_PraiaGrande_02</v>
      </c>
      <c r="C7540" s="238" t="str">
        <f>IFERROR(__xludf.DUMMYFUNCTION("""COMPUTED_VALUE"""),"HUB-LSP-63")</f>
        <v>HUB-LSP-63</v>
      </c>
      <c r="D7540" s="234">
        <f>IFERROR(__xludf.DUMMYFUNCTION("""COMPUTED_VALUE"""),16.0)</f>
        <v>16</v>
      </c>
      <c r="E7540" s="237" t="str">
        <f>IFERROR(__xludf.DUMMYFUNCTION("""COMPUTED_VALUE"""),"LT0Q2E01YK1G1")</f>
        <v>LT0Q2E01YK1G1</v>
      </c>
      <c r="F7540" s="238" t="str">
        <f>IFERROR(__xludf.DUMMYFUNCTION("""COMPUTED_VALUE"""),"STX4C00,GFC3C86")</f>
        <v>STX4C00,GFC3C86</v>
      </c>
      <c r="G7540" s="238">
        <f>IFERROR(__xludf.DUMMYFUNCTION("""COMPUTED_VALUE"""),46067.20833333333)</f>
        <v>46067.20833</v>
      </c>
      <c r="H7540" s="238">
        <f>IFERROR(__xludf.DUMMYFUNCTION("""COMPUTED_VALUE"""),46067.29166666667)</f>
        <v>46067.29167</v>
      </c>
      <c r="J7540" s="239">
        <v>119.99999999301508</v>
      </c>
    </row>
    <row r="7541">
      <c r="A7541" s="234"/>
      <c r="B7541" s="238" t="str">
        <f>IFERROR(__xludf.DUMMYFUNCTION("""COMPUTED_VALUE"""),"LM Hub_SP_Guarujá")</f>
        <v>LM Hub_SP_Guarujá</v>
      </c>
      <c r="C7541" s="238" t="str">
        <f>IFERROR(__xludf.DUMMYFUNCTION("""COMPUTED_VALUE"""),"HUB-LSP-06")</f>
        <v>HUB-LSP-06</v>
      </c>
      <c r="D7541" s="234">
        <f>IFERROR(__xludf.DUMMYFUNCTION("""COMPUTED_VALUE"""),35.0)</f>
        <v>35</v>
      </c>
      <c r="E7541" s="237" t="str">
        <f>IFERROR(__xludf.DUMMYFUNCTION("""COMPUTED_VALUE"""),"LT0Q2E01YK0W1")</f>
        <v>LT0Q2E01YK0W1</v>
      </c>
      <c r="F7541" s="238" t="str">
        <f>IFERROR(__xludf.DUMMYFUNCTION("""COMPUTED_VALUE"""),"UFB1B50")</f>
        <v>UFB1B50</v>
      </c>
      <c r="G7541" s="238">
        <f>IFERROR(__xludf.DUMMYFUNCTION("""COMPUTED_VALUE"""),46067.22916666667)</f>
        <v>46067.22917</v>
      </c>
      <c r="H7541" s="238">
        <f>IFERROR(__xludf.DUMMYFUNCTION("""COMPUTED_VALUE"""),46067.3125)</f>
        <v>46067.3125</v>
      </c>
      <c r="J7541" s="239">
        <v>119.99999999301508</v>
      </c>
    </row>
    <row r="7542">
      <c r="A7542" s="234"/>
      <c r="B7542" s="238" t="str">
        <f>IFERROR(__xludf.DUMMYFUNCTION("""COMPUTED_VALUE"""),"LM Hub_SP_Itapevi")</f>
        <v>LM Hub_SP_Itapevi</v>
      </c>
      <c r="C7542" s="238" t="str">
        <f>IFERROR(__xludf.DUMMYFUNCTION("""COMPUTED_VALUE"""),"HUB-LSP-41")</f>
        <v>HUB-LSP-41</v>
      </c>
      <c r="D7542" s="234">
        <f>IFERROR(__xludf.DUMMYFUNCTION("""COMPUTED_VALUE"""),34.0)</f>
        <v>34</v>
      </c>
      <c r="E7542" s="237" t="str">
        <f>IFERROR(__xludf.DUMMYFUNCTION("""COMPUTED_VALUE"""),"LT0Q2E01YF8U1")</f>
        <v>LT0Q2E01YF8U1</v>
      </c>
      <c r="F7542" s="238" t="str">
        <f>IFERROR(__xludf.DUMMYFUNCTION("""COMPUTED_VALUE"""),"FYQ5533")</f>
        <v>FYQ5533</v>
      </c>
      <c r="G7542" s="238">
        <f>IFERROR(__xludf.DUMMYFUNCTION("""COMPUTED_VALUE"""),46067.22916666667)</f>
        <v>46067.22917</v>
      </c>
      <c r="H7542" s="238">
        <f>IFERROR(__xludf.DUMMYFUNCTION("""COMPUTED_VALUE"""),46067.3125)</f>
        <v>46067.3125</v>
      </c>
      <c r="J7542" s="239">
        <v>119.99999999301508</v>
      </c>
    </row>
    <row r="7543">
      <c r="A7543" s="234"/>
      <c r="B7543" s="238" t="str">
        <f>IFERROR(__xludf.DUMMYFUNCTION("""COMPUTED_VALUE"""),"LM Hub_SP_Santos_Praia Grande")</f>
        <v>LM Hub_SP_Santos_Praia Grande</v>
      </c>
      <c r="C7543" s="238" t="str">
        <f>IFERROR(__xludf.DUMMYFUNCTION("""COMPUTED_VALUE"""),"HUB-LSP-09")</f>
        <v>HUB-LSP-09</v>
      </c>
      <c r="D7543" s="234">
        <f>IFERROR(__xludf.DUMMYFUNCTION("""COMPUTED_VALUE"""),14.0)</f>
        <v>14</v>
      </c>
      <c r="E7543" s="237" t="str">
        <f>IFERROR(__xludf.DUMMYFUNCTION("""COMPUTED_VALUE"""),"LT0Q2E01YK111")</f>
        <v>LT0Q2E01YK111</v>
      </c>
      <c r="F7543" s="238" t="str">
        <f>IFERROR(__xludf.DUMMYFUNCTION("""COMPUTED_VALUE"""),"GJK2F83")</f>
        <v>GJK2F83</v>
      </c>
      <c r="G7543" s="238">
        <f>IFERROR(__xludf.DUMMYFUNCTION("""COMPUTED_VALUE"""),46067.22916666667)</f>
        <v>46067.22917</v>
      </c>
      <c r="H7543" s="238">
        <f>IFERROR(__xludf.DUMMYFUNCTION("""COMPUTED_VALUE"""),46067.3125)</f>
        <v>46067.3125</v>
      </c>
      <c r="J7543" s="239">
        <v>119.99999999301508</v>
      </c>
    </row>
    <row r="7544">
      <c r="A7544" s="234"/>
      <c r="B7544" s="238" t="str">
        <f>IFERROR(__xludf.DUMMYFUNCTION("""COMPUTED_VALUE"""),"LM Hub_SP_São Paulo_Mooca")</f>
        <v>LM Hub_SP_São Paulo_Mooca</v>
      </c>
      <c r="C7544" s="238" t="str">
        <f>IFERROR(__xludf.DUMMYFUNCTION("""COMPUTED_VALUE"""),"HUB-LSP-13")</f>
        <v>HUB-LSP-13</v>
      </c>
      <c r="D7544" s="234">
        <f>IFERROR(__xludf.DUMMYFUNCTION("""COMPUTED_VALUE"""),27.0)</f>
        <v>27</v>
      </c>
      <c r="E7544" s="237" t="str">
        <f>IFERROR(__xludf.DUMMYFUNCTION("""COMPUTED_VALUE"""),"LT0Q2E01YFHT1")</f>
        <v>LT0Q2E01YFHT1</v>
      </c>
      <c r="F7544" s="238" t="str">
        <f>IFERROR(__xludf.DUMMYFUNCTION("""COMPUTED_VALUE"""),"FGI1F79")</f>
        <v>FGI1F79</v>
      </c>
      <c r="G7544" s="238">
        <f>IFERROR(__xludf.DUMMYFUNCTION("""COMPUTED_VALUE"""),46067.22916666667)</f>
        <v>46067.22917</v>
      </c>
      <c r="H7544" s="238">
        <f>IFERROR(__xludf.DUMMYFUNCTION("""COMPUTED_VALUE"""),46067.3125)</f>
        <v>46067.3125</v>
      </c>
      <c r="J7544" s="239">
        <v>119.99999999301508</v>
      </c>
    </row>
    <row r="7545">
      <c r="A7545" s="234"/>
      <c r="B7545" s="238" t="str">
        <f>IFERROR(__xludf.DUMMYFUNCTION("""COMPUTED_VALUE"""),"LM Hub_SP_Várzea Paulista")</f>
        <v>LM Hub_SP_Várzea Paulista</v>
      </c>
      <c r="C7545" s="238" t="str">
        <f>IFERROR(__xludf.DUMMYFUNCTION("""COMPUTED_VALUE"""),"HUB-LSP-20")</f>
        <v>HUB-LSP-20</v>
      </c>
      <c r="D7545" s="234">
        <f>IFERROR(__xludf.DUMMYFUNCTION("""COMPUTED_VALUE"""),17.0)</f>
        <v>17</v>
      </c>
      <c r="E7545" s="237" t="str">
        <f>IFERROR(__xludf.DUMMYFUNCTION("""COMPUTED_VALUE"""),"LT0Q2E01YJ1T1")</f>
        <v>LT0Q2E01YJ1T1</v>
      </c>
      <c r="F7545" s="238" t="str">
        <f>IFERROR(__xludf.DUMMYFUNCTION("""COMPUTED_VALUE"""),"IZQ5I76,AVB1G48")</f>
        <v>IZQ5I76,AVB1G48</v>
      </c>
      <c r="G7545" s="238">
        <f>IFERROR(__xludf.DUMMYFUNCTION("""COMPUTED_VALUE"""),46067.22916666667)</f>
        <v>46067.22917</v>
      </c>
      <c r="H7545" s="238">
        <f>IFERROR(__xludf.DUMMYFUNCTION("""COMPUTED_VALUE"""),46067.3125)</f>
        <v>46067.3125</v>
      </c>
      <c r="J7545" s="239">
        <v>239.99999998603016</v>
      </c>
    </row>
    <row r="7546">
      <c r="A7546" s="234"/>
      <c r="B7546" s="238" t="str">
        <f>IFERROR(__xludf.DUMMYFUNCTION("""COMPUTED_VALUE"""),"SoC_SC_Itajaí")</f>
        <v>SoC_SC_Itajaí</v>
      </c>
      <c r="C7546" s="238" t="str">
        <f>IFERROR(__xludf.DUMMYFUNCTION("""COMPUTED_VALUE"""),"SOC-SC1")</f>
        <v>SOC-SC1</v>
      </c>
      <c r="D7546" s="234"/>
      <c r="E7546" s="237" t="str">
        <f>IFERROR(__xludf.DUMMYFUNCTION("""COMPUTED_VALUE"""),"LT1Q2E01YWRS1")</f>
        <v>LT1Q2E01YWRS1</v>
      </c>
      <c r="F7546" s="238" t="str">
        <f>IFERROR(__xludf.DUMMYFUNCTION("""COMPUTED_VALUE"""),"SXL6I40,ETM7J94")</f>
        <v>SXL6I40,ETM7J94</v>
      </c>
      <c r="G7546" s="238">
        <f>IFERROR(__xludf.DUMMYFUNCTION("""COMPUTED_VALUE"""),46067.16666666667)</f>
        <v>46067.16667</v>
      </c>
      <c r="H7546" s="238">
        <f>IFERROR(__xludf.DUMMYFUNCTION("""COMPUTED_VALUE"""),46067.33333333333)</f>
        <v>46067.33333</v>
      </c>
      <c r="J7546" s="239">
        <v>119.99999999301508</v>
      </c>
    </row>
    <row r="7547">
      <c r="A7547" s="234"/>
      <c r="B7547" s="238" t="str">
        <f>IFERROR(__xludf.DUMMYFUNCTION("""COMPUTED_VALUE"""),"LM Hub_SP_Artur Alvim")</f>
        <v>LM Hub_SP_Artur Alvim</v>
      </c>
      <c r="C7547" s="238" t="str">
        <f>IFERROR(__xludf.DUMMYFUNCTION("""COMPUTED_VALUE"""),"HUB-LSP-07")</f>
        <v>HUB-LSP-07</v>
      </c>
      <c r="D7547" s="234">
        <f>IFERROR(__xludf.DUMMYFUNCTION("""COMPUTED_VALUE"""),19.0)</f>
        <v>19</v>
      </c>
      <c r="E7547" s="237" t="str">
        <f>IFERROR(__xludf.DUMMYFUNCTION("""COMPUTED_VALUE"""),"LT0Q2E01YJZS1")</f>
        <v>LT0Q2E01YJZS1</v>
      </c>
      <c r="F7547" s="238" t="str">
        <f>IFERROR(__xludf.DUMMYFUNCTION("""COMPUTED_VALUE"""),"DAJ3E28")</f>
        <v>DAJ3E28</v>
      </c>
      <c r="G7547" s="238">
        <f>IFERROR(__xludf.DUMMYFUNCTION("""COMPUTED_VALUE"""),46067.25)</f>
        <v>46067.25</v>
      </c>
      <c r="H7547" s="238">
        <f>IFERROR(__xludf.DUMMYFUNCTION("""COMPUTED_VALUE"""),46067.33333333333)</f>
        <v>46067.33333</v>
      </c>
      <c r="J7547" s="239">
        <v>119.99999999301508</v>
      </c>
    </row>
    <row r="7548">
      <c r="A7548" s="234"/>
      <c r="B7548" s="238" t="str">
        <f>IFERROR(__xludf.DUMMYFUNCTION("""COMPUTED_VALUE"""),"LM Hub_SP_Embu das Artes")</f>
        <v>LM Hub_SP_Embu das Artes</v>
      </c>
      <c r="C7548" s="238" t="str">
        <f>IFERROR(__xludf.DUMMYFUNCTION("""COMPUTED_VALUE"""),"HUB-LSP-36")</f>
        <v>HUB-LSP-36</v>
      </c>
      <c r="D7548" s="234">
        <f>IFERROR(__xludf.DUMMYFUNCTION("""COMPUTED_VALUE"""),25.0)</f>
        <v>25</v>
      </c>
      <c r="E7548" s="237" t="str">
        <f>IFERROR(__xludf.DUMMYFUNCTION("""COMPUTED_VALUE"""),"LT0Q2E01YK1L1")</f>
        <v>LT0Q2E01YK1L1</v>
      </c>
      <c r="F7548" s="238" t="str">
        <f>IFERROR(__xludf.DUMMYFUNCTION("""COMPUTED_VALUE"""),"UFL4C38")</f>
        <v>UFL4C38</v>
      </c>
      <c r="G7548" s="238">
        <f>IFERROR(__xludf.DUMMYFUNCTION("""COMPUTED_VALUE"""),46067.25)</f>
        <v>46067.25</v>
      </c>
      <c r="H7548" s="238">
        <f>IFERROR(__xludf.DUMMYFUNCTION("""COMPUTED_VALUE"""),46067.33333333333)</f>
        <v>46067.33333</v>
      </c>
      <c r="J7548" s="239">
        <v>119.99999999301508</v>
      </c>
    </row>
    <row r="7549">
      <c r="A7549" s="234"/>
      <c r="B7549" s="238" t="str">
        <f>IFERROR(__xludf.DUMMYFUNCTION("""COMPUTED_VALUE"""),"LM Hub_SP_Guarulhos")</f>
        <v>LM Hub_SP_Guarulhos</v>
      </c>
      <c r="C7549" s="238" t="str">
        <f>IFERROR(__xludf.DUMMYFUNCTION("""COMPUTED_VALUE"""),"HUB-LSP-77")</f>
        <v>HUB-LSP-77</v>
      </c>
      <c r="D7549" s="234">
        <f>IFERROR(__xludf.DUMMYFUNCTION("""COMPUTED_VALUE"""),22.0)</f>
        <v>22</v>
      </c>
      <c r="E7549" s="237" t="str">
        <f>IFERROR(__xludf.DUMMYFUNCTION("""COMPUTED_VALUE"""),"LT0Q2E01YK1B1")</f>
        <v>LT0Q2E01YK1B1</v>
      </c>
      <c r="F7549" s="238" t="str">
        <f>IFERROR(__xludf.DUMMYFUNCTION("""COMPUTED_VALUE"""),"BTR1B85")</f>
        <v>BTR1B85</v>
      </c>
      <c r="G7549" s="238">
        <f>IFERROR(__xludf.DUMMYFUNCTION("""COMPUTED_VALUE"""),46067.25)</f>
        <v>46067.25</v>
      </c>
      <c r="H7549" s="238">
        <f>IFERROR(__xludf.DUMMYFUNCTION("""COMPUTED_VALUE"""),46067.33333333333)</f>
        <v>46067.33333</v>
      </c>
      <c r="J7549" s="239">
        <v>119.99999999301508</v>
      </c>
    </row>
    <row r="7550">
      <c r="A7550" s="234"/>
      <c r="B7550" s="238" t="str">
        <f>IFERROR(__xludf.DUMMYFUNCTION("""COMPUTED_VALUE"""),"LM Hub_SP_Itaqua_Zimba")</f>
        <v>LM Hub_SP_Itaqua_Zimba</v>
      </c>
      <c r="C7550" s="238" t="str">
        <f>IFERROR(__xludf.DUMMYFUNCTION("""COMPUTED_VALUE"""),"HUB-LSP-74")</f>
        <v>HUB-LSP-74</v>
      </c>
      <c r="D7550" s="234"/>
      <c r="E7550" s="237" t="str">
        <f>IFERROR(__xludf.DUMMYFUNCTION("""COMPUTED_VALUE"""),"LT0Q2E01YK0R1")</f>
        <v>LT0Q2E01YK0R1</v>
      </c>
      <c r="F7550" s="238" t="str">
        <f>IFERROR(__xludf.DUMMYFUNCTION("""COMPUTED_VALUE"""),"MKH1B47")</f>
        <v>MKH1B47</v>
      </c>
      <c r="G7550" s="238">
        <f>IFERROR(__xludf.DUMMYFUNCTION("""COMPUTED_VALUE"""),46067.25)</f>
        <v>46067.25</v>
      </c>
      <c r="H7550" s="238">
        <f>IFERROR(__xludf.DUMMYFUNCTION("""COMPUTED_VALUE"""),46067.33333333333)</f>
        <v>46067.33333</v>
      </c>
      <c r="J7550" s="239">
        <v>119.99999999301508</v>
      </c>
    </row>
    <row r="7551">
      <c r="A7551" s="234"/>
      <c r="B7551" s="238" t="str">
        <f>IFERROR(__xludf.DUMMYFUNCTION("""COMPUTED_VALUE"""),"LM Hub_SP_Jardim Adriana")</f>
        <v>LM Hub_SP_Jardim Adriana</v>
      </c>
      <c r="C7551" s="238" t="str">
        <f>IFERROR(__xludf.DUMMYFUNCTION("""COMPUTED_VALUE"""),"HUB-LSP-12")</f>
        <v>HUB-LSP-12</v>
      </c>
      <c r="D7551" s="234">
        <f>IFERROR(__xludf.DUMMYFUNCTION("""COMPUTED_VALUE"""),9.0)</f>
        <v>9</v>
      </c>
      <c r="E7551" s="237" t="str">
        <f>IFERROR(__xludf.DUMMYFUNCTION("""COMPUTED_VALUE"""),"LT0Q2E01YJZX1")</f>
        <v>LT0Q2E01YJZX1</v>
      </c>
      <c r="F7551" s="238" t="str">
        <f>IFERROR(__xludf.DUMMYFUNCTION("""COMPUTED_VALUE"""),"GCS0J70")</f>
        <v>GCS0J70</v>
      </c>
      <c r="G7551" s="238">
        <f>IFERROR(__xludf.DUMMYFUNCTION("""COMPUTED_VALUE"""),46067.25)</f>
        <v>46067.25</v>
      </c>
      <c r="H7551" s="238">
        <f>IFERROR(__xludf.DUMMYFUNCTION("""COMPUTED_VALUE"""),46067.33333333333)</f>
        <v>46067.33333</v>
      </c>
      <c r="J7551" s="239">
        <v>119.99999999301508</v>
      </c>
    </row>
    <row r="7552">
      <c r="A7552" s="234"/>
      <c r="B7552" s="238" t="str">
        <f>IFERROR(__xludf.DUMMYFUNCTION("""COMPUTED_VALUE"""),"LM Hub_SP_Jurubatuba")</f>
        <v>LM Hub_SP_Jurubatuba</v>
      </c>
      <c r="C7552" s="238" t="str">
        <f>IFERROR(__xludf.DUMMYFUNCTION("""COMPUTED_VALUE"""),"HUB-LSP-16")</f>
        <v>HUB-LSP-16</v>
      </c>
      <c r="D7552" s="234"/>
      <c r="E7552" s="237" t="str">
        <f>IFERROR(__xludf.DUMMYFUNCTION("""COMPUTED_VALUE"""),"LT0Q2E01YK071")</f>
        <v>LT0Q2E01YK071</v>
      </c>
      <c r="F7552" s="238" t="str">
        <f>IFERROR(__xludf.DUMMYFUNCTION("""COMPUTED_VALUE"""),"EFY1G61,CUG9G47")</f>
        <v>EFY1G61,CUG9G47</v>
      </c>
      <c r="G7552" s="238">
        <f>IFERROR(__xludf.DUMMYFUNCTION("""COMPUTED_VALUE"""),46067.25)</f>
        <v>46067.25</v>
      </c>
      <c r="H7552" s="238">
        <f>IFERROR(__xludf.DUMMYFUNCTION("""COMPUTED_VALUE"""),46067.33333333333)</f>
        <v>46067.33333</v>
      </c>
      <c r="J7552" s="239">
        <v>119.99999999301508</v>
      </c>
    </row>
    <row r="7553">
      <c r="A7553" s="234"/>
      <c r="B7553" s="238" t="str">
        <f>IFERROR(__xludf.DUMMYFUNCTION("""COMPUTED_VALUE"""),"LM Hub_SP_Osasco_02")</f>
        <v>LM Hub_SP_Osasco_02</v>
      </c>
      <c r="C7553" s="238" t="str">
        <f>IFERROR(__xludf.DUMMYFUNCTION("""COMPUTED_VALUE"""),"HUB-LSP-60")</f>
        <v>HUB-LSP-60</v>
      </c>
      <c r="D7553" s="234">
        <f>IFERROR(__xludf.DUMMYFUNCTION("""COMPUTED_VALUE"""),23.0)</f>
        <v>23</v>
      </c>
      <c r="E7553" s="237" t="str">
        <f>IFERROR(__xludf.DUMMYFUNCTION("""COMPUTED_VALUE"""),"LT0Q2E01YK0H1")</f>
        <v>LT0Q2E01YK0H1</v>
      </c>
      <c r="F7553" s="238" t="str">
        <f>IFERROR(__xludf.DUMMYFUNCTION("""COMPUTED_VALUE"""),"FEU6H63")</f>
        <v>FEU6H63</v>
      </c>
      <c r="G7553" s="238">
        <f>IFERROR(__xludf.DUMMYFUNCTION("""COMPUTED_VALUE"""),46067.25)</f>
        <v>46067.25</v>
      </c>
      <c r="H7553" s="238">
        <f>IFERROR(__xludf.DUMMYFUNCTION("""COMPUTED_VALUE"""),46067.33333333333)</f>
        <v>46067.33333</v>
      </c>
      <c r="J7553" s="239">
        <v>119.99999999301508</v>
      </c>
    </row>
    <row r="7554">
      <c r="A7554" s="234"/>
      <c r="B7554" s="238" t="str">
        <f>IFERROR(__xludf.DUMMYFUNCTION("""COMPUTED_VALUE"""),"LM Hub_SP_São Paulo_Lapa")</f>
        <v>LM Hub_SP_São Paulo_Lapa</v>
      </c>
      <c r="C7554" s="238" t="str">
        <f>IFERROR(__xludf.DUMMYFUNCTION("""COMPUTED_VALUE"""),"HUB-LSP-15")</f>
        <v>HUB-LSP-15</v>
      </c>
      <c r="D7554" s="234">
        <f>IFERROR(__xludf.DUMMYFUNCTION("""COMPUTED_VALUE"""),21.0)</f>
        <v>21</v>
      </c>
      <c r="E7554" s="237" t="str">
        <f>IFERROR(__xludf.DUMMYFUNCTION("""COMPUTED_VALUE"""),"LT0Q2E01YK021")</f>
        <v>LT0Q2E01YK021</v>
      </c>
      <c r="F7554" s="238" t="str">
        <f>IFERROR(__xludf.DUMMYFUNCTION("""COMPUTED_VALUE"""),"GBC7H76")</f>
        <v>GBC7H76</v>
      </c>
      <c r="G7554" s="238">
        <f>IFERROR(__xludf.DUMMYFUNCTION("""COMPUTED_VALUE"""),46067.25)</f>
        <v>46067.25</v>
      </c>
      <c r="H7554" s="238">
        <f>IFERROR(__xludf.DUMMYFUNCTION("""COMPUTED_VALUE"""),46067.33333333333)</f>
        <v>46067.33333</v>
      </c>
      <c r="J7554" s="239">
        <v>119.99999999301508</v>
      </c>
    </row>
    <row r="7555">
      <c r="A7555" s="234"/>
      <c r="B7555" s="238" t="str">
        <f>IFERROR(__xludf.DUMMYFUNCTION("""COMPUTED_VALUE"""),"LM Hub_SP_VilaGuilherme")</f>
        <v>LM Hub_SP_VilaGuilherme</v>
      </c>
      <c r="C7555" s="238" t="str">
        <f>IFERROR(__xludf.DUMMYFUNCTION("""COMPUTED_VALUE"""),"HUB-LSP-68")</f>
        <v>HUB-LSP-68</v>
      </c>
      <c r="D7555" s="234">
        <f>IFERROR(__xludf.DUMMYFUNCTION("""COMPUTED_VALUE"""),32.0)</f>
        <v>32</v>
      </c>
      <c r="E7555" s="237" t="str">
        <f>IFERROR(__xludf.DUMMYFUNCTION("""COMPUTED_VALUE"""),"LT0Q2E01YK0M1")</f>
        <v>LT0Q2E01YK0M1</v>
      </c>
      <c r="F7555" s="238" t="str">
        <f>IFERROR(__xludf.DUMMYFUNCTION("""COMPUTED_VALUE"""),"FEQ5G38")</f>
        <v>FEQ5G38</v>
      </c>
      <c r="G7555" s="238">
        <f>IFERROR(__xludf.DUMMYFUNCTION("""COMPUTED_VALUE"""),46067.25)</f>
        <v>46067.25</v>
      </c>
      <c r="H7555" s="238">
        <f>IFERROR(__xludf.DUMMYFUNCTION("""COMPUTED_VALUE"""),46067.33333333333)</f>
        <v>46067.33333</v>
      </c>
      <c r="J7555" s="239">
        <v>120.00000001396984</v>
      </c>
    </row>
    <row r="7556">
      <c r="A7556" s="234"/>
      <c r="B7556" s="238" t="str">
        <f>IFERROR(__xludf.DUMMYFUNCTION("""COMPUTED_VALUE"""),"LM Hub_SP_Parque Novo Mundo")</f>
        <v>LM Hub_SP_Parque Novo Mundo</v>
      </c>
      <c r="C7556" s="238" t="str">
        <f>IFERROR(__xludf.DUMMYFUNCTION("""COMPUTED_VALUE"""),"HUB-LSP-89")</f>
        <v>HUB-LSP-89</v>
      </c>
      <c r="D7556" s="234"/>
      <c r="E7556" s="237" t="str">
        <f>IFERROR(__xludf.DUMMYFUNCTION("""COMPUTED_VALUE"""),"LT0Q2E01YJRM1")</f>
        <v>LT0Q2E01YJRM1</v>
      </c>
      <c r="F7556" s="238" t="str">
        <f>IFERROR(__xludf.DUMMYFUNCTION("""COMPUTED_VALUE"""),"GIQ1C13")</f>
        <v>GIQ1C13</v>
      </c>
      <c r="G7556" s="238">
        <f>IFERROR(__xludf.DUMMYFUNCTION("""COMPUTED_VALUE"""),46067.27083333333)</f>
        <v>46067.27083</v>
      </c>
      <c r="H7556" s="238">
        <f>IFERROR(__xludf.DUMMYFUNCTION("""COMPUTED_VALUE"""),46067.35416666667)</f>
        <v>46067.35417</v>
      </c>
      <c r="J7556" s="239">
        <v>120.00000001396984</v>
      </c>
    </row>
    <row r="7557">
      <c r="A7557" s="234"/>
      <c r="B7557" s="238" t="str">
        <f>IFERROR(__xludf.DUMMYFUNCTION("""COMPUTED_VALUE"""),"LM Hub_SP_São Bernardo do Campo")</f>
        <v>LM Hub_SP_São Bernardo do Campo</v>
      </c>
      <c r="C7557" s="238" t="str">
        <f>IFERROR(__xludf.DUMMYFUNCTION("""COMPUTED_VALUE"""),"HUB-LSP-79")</f>
        <v>HUB-LSP-79</v>
      </c>
      <c r="D7557" s="234"/>
      <c r="E7557" s="237" t="str">
        <f>IFERROR(__xludf.DUMMYFUNCTION("""COMPUTED_VALUE"""),"LT0Q2E01YJIH1")</f>
        <v>LT0Q2E01YJIH1</v>
      </c>
      <c r="F7557" s="238" t="str">
        <f>IFERROR(__xludf.DUMMYFUNCTION("""COMPUTED_VALUE"""),"DVT5D28")</f>
        <v>DVT5D28</v>
      </c>
      <c r="G7557" s="238">
        <f>IFERROR(__xludf.DUMMYFUNCTION("""COMPUTED_VALUE"""),46067.27083333333)</f>
        <v>46067.27083</v>
      </c>
      <c r="H7557" s="238">
        <f>IFERROR(__xludf.DUMMYFUNCTION("""COMPUTED_VALUE"""),46067.35416666667)</f>
        <v>46067.35417</v>
      </c>
      <c r="J7557" s="239">
        <v>540.0</v>
      </c>
    </row>
    <row r="7558">
      <c r="A7558" s="234"/>
      <c r="B7558" s="238" t="str">
        <f>IFERROR(__xludf.DUMMYFUNCTION("""COMPUTED_VALUE"""),"SoC_RS_Gravataí_02")</f>
        <v>SoC_RS_Gravataí_02</v>
      </c>
      <c r="C7558" s="238" t="str">
        <f>IFERROR(__xludf.DUMMYFUNCTION("""COMPUTED_VALUE"""),"SOC-RS2")</f>
        <v>SOC-RS2</v>
      </c>
      <c r="D7558" s="234">
        <f>IFERROR(__xludf.DUMMYFUNCTION("""COMPUTED_VALUE"""),93.0)</f>
        <v>93</v>
      </c>
      <c r="E7558" s="237" t="str">
        <f>IFERROR(__xludf.DUMMYFUNCTION("""COMPUTED_VALUE"""),"LT1Q2D01YWRG1")</f>
        <v>LT1Q2D01YWRG1</v>
      </c>
      <c r="F7558" s="238" t="str">
        <f>IFERROR(__xludf.DUMMYFUNCTION("""COMPUTED_VALUE"""),"JBN3I80,IXM5C07")</f>
        <v>JBN3I80,IXM5C07</v>
      </c>
      <c r="G7558" s="238">
        <f>IFERROR(__xludf.DUMMYFUNCTION("""COMPUTED_VALUE"""),46067.0)</f>
        <v>46067</v>
      </c>
      <c r="H7558" s="238">
        <f>IFERROR(__xludf.DUMMYFUNCTION("""COMPUTED_VALUE"""),46067.375)</f>
        <v>46067.375</v>
      </c>
      <c r="J7558" s="239">
        <v>538.9999999967404</v>
      </c>
    </row>
    <row r="7559">
      <c r="A7559" s="234"/>
      <c r="B7559" s="238" t="str">
        <f>IFERROR(__xludf.DUMMYFUNCTION("""COMPUTED_VALUE"""),"SoC_MG_Betim")</f>
        <v>SoC_MG_Betim</v>
      </c>
      <c r="C7559" s="238" t="str">
        <f>IFERROR(__xludf.DUMMYFUNCTION("""COMPUTED_VALUE"""),"SOC-MG2")</f>
        <v>SOC-MG2</v>
      </c>
      <c r="D7559" s="234">
        <f>IFERROR(__xludf.DUMMYFUNCTION("""COMPUTED_VALUE"""),91.0)</f>
        <v>91</v>
      </c>
      <c r="E7559" s="237" t="str">
        <f>IFERROR(__xludf.DUMMYFUNCTION("""COMPUTED_VALUE"""),"LT0Q2D01YF813")</f>
        <v>LT0Q2D01YF813</v>
      </c>
      <c r="F7559" s="238" t="str">
        <f>IFERROR(__xludf.DUMMYFUNCTION("""COMPUTED_VALUE"""),"HIJ7H48,SWB2B64")</f>
        <v>HIJ7H48,SWB2B64</v>
      </c>
      <c r="G7559" s="238">
        <f>IFERROR(__xludf.DUMMYFUNCTION("""COMPUTED_VALUE"""),46067.00069444445)</f>
        <v>46067.00069</v>
      </c>
      <c r="H7559" s="238">
        <f>IFERROR(__xludf.DUMMYFUNCTION("""COMPUTED_VALUE"""),46067.375)</f>
        <v>46067.375</v>
      </c>
      <c r="J7559" s="239">
        <v>359.00000000721775</v>
      </c>
    </row>
    <row r="7560">
      <c r="A7560" s="234"/>
      <c r="B7560" s="238" t="str">
        <f>IFERROR(__xludf.DUMMYFUNCTION("""COMPUTED_VALUE"""),"SoC_MG_Betim")</f>
        <v>SoC_MG_Betim</v>
      </c>
      <c r="C7560" s="238" t="str">
        <f>IFERROR(__xludf.DUMMYFUNCTION("""COMPUTED_VALUE"""),"SOC-MG2")</f>
        <v>SOC-MG2</v>
      </c>
      <c r="D7560" s="234">
        <f>IFERROR(__xludf.DUMMYFUNCTION("""COMPUTED_VALUE"""),90.0)</f>
        <v>90</v>
      </c>
      <c r="E7560" s="237" t="str">
        <f>IFERROR(__xludf.DUMMYFUNCTION("""COMPUTED_VALUE"""),"LT0Q2D01YF7W1")</f>
        <v>LT0Q2D01YF7W1</v>
      </c>
      <c r="F7560" s="238" t="str">
        <f>IFERROR(__xludf.DUMMYFUNCTION("""COMPUTED_VALUE"""),"HBG0F08,FWO5H10")</f>
        <v>HBG0F08,FWO5H10</v>
      </c>
      <c r="G7560" s="238">
        <f>IFERROR(__xludf.DUMMYFUNCTION("""COMPUTED_VALUE"""),46067.16736111111)</f>
        <v>46067.16736</v>
      </c>
      <c r="H7560" s="238">
        <f>IFERROR(__xludf.DUMMYFUNCTION("""COMPUTED_VALUE"""),46067.41666666667)</f>
        <v>46067.41667</v>
      </c>
      <c r="J7560" s="239">
        <v>540.0</v>
      </c>
    </row>
    <row r="7561">
      <c r="A7561" s="234"/>
      <c r="B7561" s="238" t="str">
        <f>IFERROR(__xludf.DUMMYFUNCTION("""COMPUTED_VALUE"""),"SoC_GO_Goiânia_02")</f>
        <v>SoC_GO_Goiânia_02</v>
      </c>
      <c r="C7561" s="238" t="str">
        <f>IFERROR(__xludf.DUMMYFUNCTION("""COMPUTED_VALUE"""),"SOC-GO2")</f>
        <v>SOC-GO2</v>
      </c>
      <c r="D7561" s="234">
        <f>IFERROR(__xludf.DUMMYFUNCTION("""COMPUTED_VALUE"""),87.0)</f>
        <v>87</v>
      </c>
      <c r="E7561" s="237" t="str">
        <f>IFERROR(__xludf.DUMMYFUNCTION("""COMPUTED_VALUE"""),"LT1Q2D01YWRU1")</f>
        <v>LT1Q2D01YWRU1</v>
      </c>
      <c r="F7561" s="238" t="str">
        <f>IFERROR(__xludf.DUMMYFUNCTION("""COMPUTED_VALUE"""),"GIY3G36,RBA1D31")</f>
        <v>GIY3G36,RBA1D31</v>
      </c>
      <c r="G7561" s="238">
        <f>IFERROR(__xludf.DUMMYFUNCTION("""COMPUTED_VALUE"""),46067.08333333333)</f>
        <v>46067.08333</v>
      </c>
      <c r="H7561" s="238">
        <f>IFERROR(__xludf.DUMMYFUNCTION("""COMPUTED_VALUE"""),46067.45833333333)</f>
        <v>46067.45833</v>
      </c>
      <c r="J7561" s="239">
        <v>540.0</v>
      </c>
    </row>
    <row r="7562">
      <c r="A7562" s="234"/>
      <c r="B7562" s="238" t="str">
        <f>IFERROR(__xludf.DUMMYFUNCTION("""COMPUTED_VALUE"""),"SoC_PE_Jaboatão dos Guararapes")</f>
        <v>SoC_PE_Jaboatão dos Guararapes</v>
      </c>
      <c r="C7562" s="238" t="str">
        <f>IFERROR(__xludf.DUMMYFUNCTION("""COMPUTED_VALUE"""),"SOC-PE2")</f>
        <v>SOC-PE2</v>
      </c>
      <c r="D7562" s="234">
        <f>IFERROR(__xludf.DUMMYFUNCTION("""COMPUTED_VALUE"""),99.0)</f>
        <v>99</v>
      </c>
      <c r="E7562" s="237" t="str">
        <f>IFERROR(__xludf.DUMMYFUNCTION("""COMPUTED_VALUE"""),"LT1Q2D01YWRB1")</f>
        <v>LT1Q2D01YWRB1</v>
      </c>
      <c r="F7562" s="238" t="str">
        <f>IFERROR(__xludf.DUMMYFUNCTION("""COMPUTED_VALUE"""),"OKZ7J90,OLT9D98")</f>
        <v>OKZ7J90,OLT9D98</v>
      </c>
      <c r="G7562" s="238">
        <f>IFERROR(__xludf.DUMMYFUNCTION("""COMPUTED_VALUE"""),46067.08333333333)</f>
        <v>46067.08333</v>
      </c>
      <c r="H7562" s="238">
        <f>IFERROR(__xludf.DUMMYFUNCTION("""COMPUTED_VALUE"""),46067.45833333333)</f>
        <v>46067.45833</v>
      </c>
      <c r="J7562" s="239">
        <v>538.9999999967404</v>
      </c>
    </row>
    <row r="7563">
      <c r="A7563" s="234"/>
      <c r="B7563" s="238" t="str">
        <f>IFERROR(__xludf.DUMMYFUNCTION("""COMPUTED_VALUE"""),"SoC_BA_Simoes Filho")</f>
        <v>SoC_BA_Simoes Filho</v>
      </c>
      <c r="C7563" s="238" t="str">
        <f>IFERROR(__xludf.DUMMYFUNCTION("""COMPUTED_VALUE"""),"SOC-BA2")</f>
        <v>SOC-BA2</v>
      </c>
      <c r="D7563" s="234"/>
      <c r="E7563" s="237" t="str">
        <f>IFERROR(__xludf.DUMMYFUNCTION("""COMPUTED_VALUE"""),"LT0Q2D01YNGL2")</f>
        <v>LT0Q2D01YNGL2</v>
      </c>
      <c r="F7563" s="238" t="str">
        <f>IFERROR(__xludf.DUMMYFUNCTION("""COMPUTED_VALUE"""),"SFY4I17,SKP4I07")</f>
        <v>SFY4I17,SKP4I07</v>
      </c>
      <c r="G7563" s="238">
        <f>IFERROR(__xludf.DUMMYFUNCTION("""COMPUTED_VALUE"""),46067.084027777775)</f>
        <v>46067.08403</v>
      </c>
      <c r="H7563" s="238">
        <f>IFERROR(__xludf.DUMMYFUNCTION("""COMPUTED_VALUE"""),46067.45833333333)</f>
        <v>46067.45833</v>
      </c>
      <c r="J7563" s="239">
        <v>598.0000000004657</v>
      </c>
    </row>
    <row r="7564">
      <c r="A7564" s="234"/>
      <c r="B7564" s="238" t="str">
        <f>IFERROR(__xludf.DUMMYFUNCTION("""COMPUTED_VALUE"""),"SoC_SP_Cravinhos")</f>
        <v>SoC_SP_Cravinhos</v>
      </c>
      <c r="C7564" s="238" t="str">
        <f>IFERROR(__xludf.DUMMYFUNCTION("""COMPUTED_VALUE"""),"SOC-SP5")</f>
        <v>SOC-SP5</v>
      </c>
      <c r="D7564" s="234">
        <f>IFERROR(__xludf.DUMMYFUNCTION("""COMPUTED_VALUE"""),95.0)</f>
        <v>95</v>
      </c>
      <c r="E7564" s="237" t="str">
        <f>IFERROR(__xludf.DUMMYFUNCTION("""COMPUTED_VALUE"""),"LT0Q2E01YIV22")</f>
        <v>LT0Q2E01YIV22</v>
      </c>
      <c r="F7564" s="238" t="str">
        <f>IFERROR(__xludf.DUMMYFUNCTION("""COMPUTED_VALUE"""),"FQS9C14,FSC8D71")</f>
        <v>FQS9C14,FSC8D71</v>
      </c>
      <c r="G7564" s="238">
        <f>IFERROR(__xludf.DUMMYFUNCTION("""COMPUTED_VALUE"""),46067.25138888889)</f>
        <v>46067.25139</v>
      </c>
      <c r="H7564" s="238">
        <f>IFERROR(__xludf.DUMMYFUNCTION("""COMPUTED_VALUE"""),46067.66666666667)</f>
        <v>46067.66667</v>
      </c>
      <c r="J7564" s="239" t="s">
        <v>6330</v>
      </c>
    </row>
    <row r="7565">
      <c r="A7565" s="234"/>
      <c r="B7565" s="238" t="str">
        <f>IFERROR(__xludf.DUMMYFUNCTION("""COMPUTED_VALUE"""),"-")</f>
        <v>-</v>
      </c>
      <c r="C7565" s="238" t="str">
        <f>IFERROR(__xludf.DUMMYFUNCTION("""COMPUTED_VALUE"""),"-")</f>
        <v>-</v>
      </c>
      <c r="D7565" s="234"/>
      <c r="E7565" s="237"/>
      <c r="F7565" s="238" t="str">
        <f>IFERROR(__xludf.DUMMYFUNCTION("""COMPUTED_VALUE"""),"-")</f>
        <v>-</v>
      </c>
      <c r="G7565" s="238" t="str">
        <f>IFERROR(__xludf.DUMMYFUNCTION("""COMPUTED_VALUE"""),"-")</f>
        <v>-</v>
      </c>
      <c r="H7565" s="238" t="str">
        <f>IFERROR(__xludf.DUMMYFUNCTION("""COMPUTED_VALUE"""),"-")</f>
        <v>-</v>
      </c>
      <c r="J7565" s="239" t="s">
        <v>6330</v>
      </c>
    </row>
    <row r="7566">
      <c r="A7566" s="234"/>
      <c r="B7566" s="238" t="str">
        <f>IFERROR(__xludf.DUMMYFUNCTION("""COMPUTED_VALUE"""),"-")</f>
        <v>-</v>
      </c>
      <c r="C7566" s="238" t="str">
        <f>IFERROR(__xludf.DUMMYFUNCTION("""COMPUTED_VALUE"""),"-")</f>
        <v>-</v>
      </c>
      <c r="D7566" s="234"/>
      <c r="E7566" s="237"/>
      <c r="F7566" s="238" t="str">
        <f>IFERROR(__xludf.DUMMYFUNCTION("""COMPUTED_VALUE"""),"-")</f>
        <v>-</v>
      </c>
      <c r="G7566" s="238" t="str">
        <f>IFERROR(__xludf.DUMMYFUNCTION("""COMPUTED_VALUE"""),"-")</f>
        <v>-</v>
      </c>
      <c r="H7566" s="238" t="str">
        <f>IFERROR(__xludf.DUMMYFUNCTION("""COMPUTED_VALUE"""),"-")</f>
        <v>-</v>
      </c>
      <c r="J7566" s="239" t="s">
        <v>6330</v>
      </c>
    </row>
    <row r="7567">
      <c r="A7567" s="234"/>
      <c r="B7567" s="238" t="str">
        <f>IFERROR(__xludf.DUMMYFUNCTION("""COMPUTED_VALUE"""),"-")</f>
        <v>-</v>
      </c>
      <c r="C7567" s="238" t="str">
        <f>IFERROR(__xludf.DUMMYFUNCTION("""COMPUTED_VALUE"""),"-")</f>
        <v>-</v>
      </c>
      <c r="D7567" s="234"/>
      <c r="E7567" s="237"/>
      <c r="F7567" s="238" t="str">
        <f>IFERROR(__xludf.DUMMYFUNCTION("""COMPUTED_VALUE"""),"-")</f>
        <v>-</v>
      </c>
      <c r="G7567" s="238" t="str">
        <f>IFERROR(__xludf.DUMMYFUNCTION("""COMPUTED_VALUE"""),"-")</f>
        <v>-</v>
      </c>
      <c r="H7567" s="238" t="str">
        <f>IFERROR(__xludf.DUMMYFUNCTION("""COMPUTED_VALUE"""),"-")</f>
        <v>-</v>
      </c>
      <c r="J7567" s="239" t="s">
        <v>6330</v>
      </c>
    </row>
    <row r="7568">
      <c r="A7568" s="234"/>
      <c r="B7568" s="238" t="str">
        <f>IFERROR(__xludf.DUMMYFUNCTION("""COMPUTED_VALUE"""),"-")</f>
        <v>-</v>
      </c>
      <c r="C7568" s="238" t="str">
        <f>IFERROR(__xludf.DUMMYFUNCTION("""COMPUTED_VALUE"""),"-")</f>
        <v>-</v>
      </c>
      <c r="D7568" s="234"/>
      <c r="E7568" s="237"/>
      <c r="F7568" s="238" t="str">
        <f>IFERROR(__xludf.DUMMYFUNCTION("""COMPUTED_VALUE"""),"-")</f>
        <v>-</v>
      </c>
      <c r="G7568" s="238" t="str">
        <f>IFERROR(__xludf.DUMMYFUNCTION("""COMPUTED_VALUE"""),"-")</f>
        <v>-</v>
      </c>
      <c r="H7568" s="238" t="str">
        <f>IFERROR(__xludf.DUMMYFUNCTION("""COMPUTED_VALUE"""),"-")</f>
        <v>-</v>
      </c>
      <c r="J7568" s="239" t="s">
        <v>6330</v>
      </c>
    </row>
    <row r="7569">
      <c r="A7569" s="234"/>
      <c r="B7569" s="238" t="str">
        <f>IFERROR(__xludf.DUMMYFUNCTION("""COMPUTED_VALUE"""),"-")</f>
        <v>-</v>
      </c>
      <c r="C7569" s="238" t="str">
        <f>IFERROR(__xludf.DUMMYFUNCTION("""COMPUTED_VALUE"""),"-")</f>
        <v>-</v>
      </c>
      <c r="D7569" s="234"/>
      <c r="E7569" s="237"/>
      <c r="F7569" s="238" t="str">
        <f>IFERROR(__xludf.DUMMYFUNCTION("""COMPUTED_VALUE"""),"-")</f>
        <v>-</v>
      </c>
      <c r="G7569" s="238" t="str">
        <f>IFERROR(__xludf.DUMMYFUNCTION("""COMPUTED_VALUE"""),"-")</f>
        <v>-</v>
      </c>
      <c r="H7569" s="238" t="str">
        <f>IFERROR(__xludf.DUMMYFUNCTION("""COMPUTED_VALUE"""),"-")</f>
        <v>-</v>
      </c>
      <c r="J7569" s="239" t="s">
        <v>6330</v>
      </c>
    </row>
    <row r="7570">
      <c r="A7570" s="234"/>
      <c r="B7570" s="238" t="str">
        <f>IFERROR(__xludf.DUMMYFUNCTION("""COMPUTED_VALUE"""),"-")</f>
        <v>-</v>
      </c>
      <c r="C7570" s="238" t="str">
        <f>IFERROR(__xludf.DUMMYFUNCTION("""COMPUTED_VALUE"""),"-")</f>
        <v>-</v>
      </c>
      <c r="D7570" s="234"/>
      <c r="E7570" s="237"/>
      <c r="F7570" s="238" t="str">
        <f>IFERROR(__xludf.DUMMYFUNCTION("""COMPUTED_VALUE"""),"-")</f>
        <v>-</v>
      </c>
      <c r="G7570" s="238" t="str">
        <f>IFERROR(__xludf.DUMMYFUNCTION("""COMPUTED_VALUE"""),"-")</f>
        <v>-</v>
      </c>
      <c r="H7570" s="238" t="str">
        <f>IFERROR(__xludf.DUMMYFUNCTION("""COMPUTED_VALUE"""),"-")</f>
        <v>-</v>
      </c>
      <c r="J7570" s="239" t="s">
        <v>6330</v>
      </c>
    </row>
    <row r="7571">
      <c r="A7571" s="234"/>
      <c r="B7571" s="238" t="str">
        <f>IFERROR(__xludf.DUMMYFUNCTION("""COMPUTED_VALUE"""),"-")</f>
        <v>-</v>
      </c>
      <c r="C7571" s="238" t="str">
        <f>IFERROR(__xludf.DUMMYFUNCTION("""COMPUTED_VALUE"""),"-")</f>
        <v>-</v>
      </c>
      <c r="D7571" s="234"/>
      <c r="E7571" s="237"/>
      <c r="F7571" s="238" t="str">
        <f>IFERROR(__xludf.DUMMYFUNCTION("""COMPUTED_VALUE"""),"-")</f>
        <v>-</v>
      </c>
      <c r="G7571" s="238" t="str">
        <f>IFERROR(__xludf.DUMMYFUNCTION("""COMPUTED_VALUE"""),"-")</f>
        <v>-</v>
      </c>
      <c r="H7571" s="238" t="str">
        <f>IFERROR(__xludf.DUMMYFUNCTION("""COMPUTED_VALUE"""),"-")</f>
        <v>-</v>
      </c>
      <c r="J7571" s="239" t="s">
        <v>6330</v>
      </c>
    </row>
    <row r="7572">
      <c r="A7572" s="234"/>
      <c r="B7572" s="238" t="str">
        <f>IFERROR(__xludf.DUMMYFUNCTION("""COMPUTED_VALUE"""),"-")</f>
        <v>-</v>
      </c>
      <c r="C7572" s="238" t="str">
        <f>IFERROR(__xludf.DUMMYFUNCTION("""COMPUTED_VALUE"""),"-")</f>
        <v>-</v>
      </c>
      <c r="D7572" s="234"/>
      <c r="E7572" s="237"/>
      <c r="F7572" s="238" t="str">
        <f>IFERROR(__xludf.DUMMYFUNCTION("""COMPUTED_VALUE"""),"-")</f>
        <v>-</v>
      </c>
      <c r="G7572" s="238" t="str">
        <f>IFERROR(__xludf.DUMMYFUNCTION("""COMPUTED_VALUE"""),"-")</f>
        <v>-</v>
      </c>
      <c r="H7572" s="238" t="str">
        <f>IFERROR(__xludf.DUMMYFUNCTION("""COMPUTED_VALUE"""),"-")</f>
        <v>-</v>
      </c>
      <c r="J7572" s="239" t="s">
        <v>6330</v>
      </c>
    </row>
    <row r="7573">
      <c r="A7573" s="234"/>
      <c r="B7573" s="238" t="str">
        <f>IFERROR(__xludf.DUMMYFUNCTION("""COMPUTED_VALUE"""),"-")</f>
        <v>-</v>
      </c>
      <c r="C7573" s="238" t="str">
        <f>IFERROR(__xludf.DUMMYFUNCTION("""COMPUTED_VALUE"""),"-")</f>
        <v>-</v>
      </c>
      <c r="D7573" s="234"/>
      <c r="E7573" s="237"/>
      <c r="F7573" s="238" t="str">
        <f>IFERROR(__xludf.DUMMYFUNCTION("""COMPUTED_VALUE"""),"-")</f>
        <v>-</v>
      </c>
      <c r="G7573" s="238" t="str">
        <f>IFERROR(__xludf.DUMMYFUNCTION("""COMPUTED_VALUE"""),"-")</f>
        <v>-</v>
      </c>
      <c r="H7573" s="238" t="str">
        <f>IFERROR(__xludf.DUMMYFUNCTION("""COMPUTED_VALUE"""),"-")</f>
        <v>-</v>
      </c>
      <c r="J7573" s="239" t="s">
        <v>6330</v>
      </c>
    </row>
    <row r="7574">
      <c r="A7574" s="234"/>
      <c r="B7574" s="238" t="str">
        <f>IFERROR(__xludf.DUMMYFUNCTION("""COMPUTED_VALUE"""),"-")</f>
        <v>-</v>
      </c>
      <c r="C7574" s="238" t="str">
        <f>IFERROR(__xludf.DUMMYFUNCTION("""COMPUTED_VALUE"""),"-")</f>
        <v>-</v>
      </c>
      <c r="D7574" s="234"/>
      <c r="E7574" s="237"/>
      <c r="F7574" s="238" t="str">
        <f>IFERROR(__xludf.DUMMYFUNCTION("""COMPUTED_VALUE"""),"-")</f>
        <v>-</v>
      </c>
      <c r="G7574" s="238" t="str">
        <f>IFERROR(__xludf.DUMMYFUNCTION("""COMPUTED_VALUE"""),"-")</f>
        <v>-</v>
      </c>
      <c r="H7574" s="238" t="str">
        <f>IFERROR(__xludf.DUMMYFUNCTION("""COMPUTED_VALUE"""),"-")</f>
        <v>-</v>
      </c>
      <c r="J7574" s="239" t="s">
        <v>6330</v>
      </c>
    </row>
    <row r="7575">
      <c r="A7575" s="234"/>
      <c r="B7575" s="238" t="str">
        <f>IFERROR(__xludf.DUMMYFUNCTION("""COMPUTED_VALUE"""),"-")</f>
        <v>-</v>
      </c>
      <c r="C7575" s="238" t="str">
        <f>IFERROR(__xludf.DUMMYFUNCTION("""COMPUTED_VALUE"""),"-")</f>
        <v>-</v>
      </c>
      <c r="D7575" s="234"/>
      <c r="E7575" s="237"/>
      <c r="F7575" s="238" t="str">
        <f>IFERROR(__xludf.DUMMYFUNCTION("""COMPUTED_VALUE"""),"-")</f>
        <v>-</v>
      </c>
      <c r="G7575" s="238" t="str">
        <f>IFERROR(__xludf.DUMMYFUNCTION("""COMPUTED_VALUE"""),"-")</f>
        <v>-</v>
      </c>
      <c r="H7575" s="238" t="str">
        <f>IFERROR(__xludf.DUMMYFUNCTION("""COMPUTED_VALUE"""),"-")</f>
        <v>-</v>
      </c>
      <c r="J7575" s="239" t="s">
        <v>6330</v>
      </c>
    </row>
    <row r="7576">
      <c r="A7576" s="234"/>
      <c r="B7576" s="238" t="str">
        <f>IFERROR(__xludf.DUMMYFUNCTION("""COMPUTED_VALUE"""),"-")</f>
        <v>-</v>
      </c>
      <c r="C7576" s="238" t="str">
        <f>IFERROR(__xludf.DUMMYFUNCTION("""COMPUTED_VALUE"""),"-")</f>
        <v>-</v>
      </c>
      <c r="D7576" s="234"/>
      <c r="E7576" s="237"/>
      <c r="F7576" s="238" t="str">
        <f>IFERROR(__xludf.DUMMYFUNCTION("""COMPUTED_VALUE"""),"-")</f>
        <v>-</v>
      </c>
      <c r="G7576" s="238" t="str">
        <f>IFERROR(__xludf.DUMMYFUNCTION("""COMPUTED_VALUE"""),"-")</f>
        <v>-</v>
      </c>
      <c r="H7576" s="238" t="str">
        <f>IFERROR(__xludf.DUMMYFUNCTION("""COMPUTED_VALUE"""),"-")</f>
        <v>-</v>
      </c>
      <c r="J7576" s="239" t="s">
        <v>6330</v>
      </c>
    </row>
    <row r="7577">
      <c r="A7577" s="234"/>
      <c r="B7577" s="238" t="str">
        <f>IFERROR(__xludf.DUMMYFUNCTION("""COMPUTED_VALUE"""),"-")</f>
        <v>-</v>
      </c>
      <c r="C7577" s="238" t="str">
        <f>IFERROR(__xludf.DUMMYFUNCTION("""COMPUTED_VALUE"""),"-")</f>
        <v>-</v>
      </c>
      <c r="D7577" s="234"/>
      <c r="E7577" s="237"/>
      <c r="F7577" s="238" t="str">
        <f>IFERROR(__xludf.DUMMYFUNCTION("""COMPUTED_VALUE"""),"-")</f>
        <v>-</v>
      </c>
      <c r="G7577" s="238" t="str">
        <f>IFERROR(__xludf.DUMMYFUNCTION("""COMPUTED_VALUE"""),"-")</f>
        <v>-</v>
      </c>
      <c r="H7577" s="238" t="str">
        <f>IFERROR(__xludf.DUMMYFUNCTION("""COMPUTED_VALUE"""),"-")</f>
        <v>-</v>
      </c>
      <c r="J7577" s="239" t="s">
        <v>6330</v>
      </c>
    </row>
    <row r="7578">
      <c r="A7578" s="234"/>
      <c r="B7578" s="238" t="str">
        <f>IFERROR(__xludf.DUMMYFUNCTION("""COMPUTED_VALUE"""),"-")</f>
        <v>-</v>
      </c>
      <c r="C7578" s="238" t="str">
        <f>IFERROR(__xludf.DUMMYFUNCTION("""COMPUTED_VALUE"""),"-")</f>
        <v>-</v>
      </c>
      <c r="D7578" s="234"/>
      <c r="E7578" s="237"/>
      <c r="F7578" s="238" t="str">
        <f>IFERROR(__xludf.DUMMYFUNCTION("""COMPUTED_VALUE"""),"-")</f>
        <v>-</v>
      </c>
      <c r="G7578" s="238" t="str">
        <f>IFERROR(__xludf.DUMMYFUNCTION("""COMPUTED_VALUE"""),"-")</f>
        <v>-</v>
      </c>
      <c r="H7578" s="238" t="str">
        <f>IFERROR(__xludf.DUMMYFUNCTION("""COMPUTED_VALUE"""),"-")</f>
        <v>-</v>
      </c>
      <c r="J7578" s="239" t="s">
        <v>6330</v>
      </c>
    </row>
    <row r="7579">
      <c r="A7579" s="234"/>
      <c r="B7579" s="238" t="str">
        <f>IFERROR(__xludf.DUMMYFUNCTION("""COMPUTED_VALUE"""),"-")</f>
        <v>-</v>
      </c>
      <c r="C7579" s="238" t="str">
        <f>IFERROR(__xludf.DUMMYFUNCTION("""COMPUTED_VALUE"""),"-")</f>
        <v>-</v>
      </c>
      <c r="D7579" s="234"/>
      <c r="E7579" s="237"/>
      <c r="F7579" s="238" t="str">
        <f>IFERROR(__xludf.DUMMYFUNCTION("""COMPUTED_VALUE"""),"-")</f>
        <v>-</v>
      </c>
      <c r="G7579" s="238" t="str">
        <f>IFERROR(__xludf.DUMMYFUNCTION("""COMPUTED_VALUE"""),"-")</f>
        <v>-</v>
      </c>
      <c r="H7579" s="238" t="str">
        <f>IFERROR(__xludf.DUMMYFUNCTION("""COMPUTED_VALUE"""),"-")</f>
        <v>-</v>
      </c>
      <c r="J7579" s="239" t="s">
        <v>6330</v>
      </c>
    </row>
    <row r="7580">
      <c r="A7580" s="234"/>
      <c r="B7580" s="238" t="str">
        <f>IFERROR(__xludf.DUMMYFUNCTION("""COMPUTED_VALUE"""),"-")</f>
        <v>-</v>
      </c>
      <c r="C7580" s="238" t="str">
        <f>IFERROR(__xludf.DUMMYFUNCTION("""COMPUTED_VALUE"""),"-")</f>
        <v>-</v>
      </c>
      <c r="D7580" s="234"/>
      <c r="E7580" s="237"/>
      <c r="F7580" s="238" t="str">
        <f>IFERROR(__xludf.DUMMYFUNCTION("""COMPUTED_VALUE"""),"-")</f>
        <v>-</v>
      </c>
      <c r="G7580" s="238" t="str">
        <f>IFERROR(__xludf.DUMMYFUNCTION("""COMPUTED_VALUE"""),"-")</f>
        <v>-</v>
      </c>
      <c r="H7580" s="238" t="str">
        <f>IFERROR(__xludf.DUMMYFUNCTION("""COMPUTED_VALUE"""),"-")</f>
        <v>-</v>
      </c>
      <c r="J7580" s="239" t="s">
        <v>6330</v>
      </c>
    </row>
    <row r="7581">
      <c r="A7581" s="234"/>
      <c r="B7581" s="238" t="str">
        <f>IFERROR(__xludf.DUMMYFUNCTION("""COMPUTED_VALUE"""),"-")</f>
        <v>-</v>
      </c>
      <c r="C7581" s="238" t="str">
        <f>IFERROR(__xludf.DUMMYFUNCTION("""COMPUTED_VALUE"""),"-")</f>
        <v>-</v>
      </c>
      <c r="D7581" s="234"/>
      <c r="E7581" s="237"/>
      <c r="F7581" s="238" t="str">
        <f>IFERROR(__xludf.DUMMYFUNCTION("""COMPUTED_VALUE"""),"-")</f>
        <v>-</v>
      </c>
      <c r="G7581" s="238" t="str">
        <f>IFERROR(__xludf.DUMMYFUNCTION("""COMPUTED_VALUE"""),"-")</f>
        <v>-</v>
      </c>
      <c r="H7581" s="238" t="str">
        <f>IFERROR(__xludf.DUMMYFUNCTION("""COMPUTED_VALUE"""),"-")</f>
        <v>-</v>
      </c>
      <c r="J7581" s="239" t="s">
        <v>6330</v>
      </c>
    </row>
    <row r="7582">
      <c r="A7582" s="234"/>
      <c r="B7582" s="238" t="str">
        <f>IFERROR(__xludf.DUMMYFUNCTION("""COMPUTED_VALUE"""),"-")</f>
        <v>-</v>
      </c>
      <c r="C7582" s="238" t="str">
        <f>IFERROR(__xludf.DUMMYFUNCTION("""COMPUTED_VALUE"""),"-")</f>
        <v>-</v>
      </c>
      <c r="D7582" s="234"/>
      <c r="E7582" s="237"/>
      <c r="F7582" s="238" t="str">
        <f>IFERROR(__xludf.DUMMYFUNCTION("""COMPUTED_VALUE"""),"-")</f>
        <v>-</v>
      </c>
      <c r="G7582" s="238" t="str">
        <f>IFERROR(__xludf.DUMMYFUNCTION("""COMPUTED_VALUE"""),"-")</f>
        <v>-</v>
      </c>
      <c r="H7582" s="238" t="str">
        <f>IFERROR(__xludf.DUMMYFUNCTION("""COMPUTED_VALUE"""),"-")</f>
        <v>-</v>
      </c>
      <c r="J7582" s="239" t="s">
        <v>6330</v>
      </c>
    </row>
    <row r="7583">
      <c r="A7583" s="234"/>
      <c r="B7583" s="238" t="str">
        <f>IFERROR(__xludf.DUMMYFUNCTION("""COMPUTED_VALUE"""),"-")</f>
        <v>-</v>
      </c>
      <c r="C7583" s="238" t="str">
        <f>IFERROR(__xludf.DUMMYFUNCTION("""COMPUTED_VALUE"""),"-")</f>
        <v>-</v>
      </c>
      <c r="D7583" s="234"/>
      <c r="E7583" s="237"/>
      <c r="F7583" s="238" t="str">
        <f>IFERROR(__xludf.DUMMYFUNCTION("""COMPUTED_VALUE"""),"-")</f>
        <v>-</v>
      </c>
      <c r="G7583" s="238" t="str">
        <f>IFERROR(__xludf.DUMMYFUNCTION("""COMPUTED_VALUE"""),"-")</f>
        <v>-</v>
      </c>
      <c r="H7583" s="238" t="str">
        <f>IFERROR(__xludf.DUMMYFUNCTION("""COMPUTED_VALUE"""),"-")</f>
        <v>-</v>
      </c>
      <c r="J7583" s="239" t="s">
        <v>6330</v>
      </c>
    </row>
    <row r="7584">
      <c r="A7584" s="234"/>
      <c r="B7584" s="238" t="str">
        <f>IFERROR(__xludf.DUMMYFUNCTION("""COMPUTED_VALUE"""),"-")</f>
        <v>-</v>
      </c>
      <c r="C7584" s="238" t="str">
        <f>IFERROR(__xludf.DUMMYFUNCTION("""COMPUTED_VALUE"""),"-")</f>
        <v>-</v>
      </c>
      <c r="D7584" s="234"/>
      <c r="E7584" s="237"/>
      <c r="F7584" s="238" t="str">
        <f>IFERROR(__xludf.DUMMYFUNCTION("""COMPUTED_VALUE"""),"-")</f>
        <v>-</v>
      </c>
      <c r="G7584" s="238" t="str">
        <f>IFERROR(__xludf.DUMMYFUNCTION("""COMPUTED_VALUE"""),"-")</f>
        <v>-</v>
      </c>
      <c r="H7584" s="238" t="str">
        <f>IFERROR(__xludf.DUMMYFUNCTION("""COMPUTED_VALUE"""),"-")</f>
        <v>-</v>
      </c>
      <c r="J7584" s="239" t="s">
        <v>6330</v>
      </c>
    </row>
    <row r="7585">
      <c r="A7585" s="234"/>
      <c r="B7585" s="238" t="str">
        <f>IFERROR(__xludf.DUMMYFUNCTION("""COMPUTED_VALUE"""),"-")</f>
        <v>-</v>
      </c>
      <c r="C7585" s="238" t="str">
        <f>IFERROR(__xludf.DUMMYFUNCTION("""COMPUTED_VALUE"""),"-")</f>
        <v>-</v>
      </c>
      <c r="D7585" s="234"/>
      <c r="E7585" s="237"/>
      <c r="F7585" s="238" t="str">
        <f>IFERROR(__xludf.DUMMYFUNCTION("""COMPUTED_VALUE"""),"-")</f>
        <v>-</v>
      </c>
      <c r="G7585" s="238" t="str">
        <f>IFERROR(__xludf.DUMMYFUNCTION("""COMPUTED_VALUE"""),"-")</f>
        <v>-</v>
      </c>
      <c r="H7585" s="238" t="str">
        <f>IFERROR(__xludf.DUMMYFUNCTION("""COMPUTED_VALUE"""),"-")</f>
        <v>-</v>
      </c>
      <c r="J7585" s="239" t="s">
        <v>6330</v>
      </c>
    </row>
    <row r="7586">
      <c r="A7586" s="234"/>
      <c r="B7586" s="238" t="str">
        <f>IFERROR(__xludf.DUMMYFUNCTION("""COMPUTED_VALUE"""),"-")</f>
        <v>-</v>
      </c>
      <c r="C7586" s="238" t="str">
        <f>IFERROR(__xludf.DUMMYFUNCTION("""COMPUTED_VALUE"""),"-")</f>
        <v>-</v>
      </c>
      <c r="D7586" s="234"/>
      <c r="E7586" s="237"/>
      <c r="F7586" s="238" t="str">
        <f>IFERROR(__xludf.DUMMYFUNCTION("""COMPUTED_VALUE"""),"-")</f>
        <v>-</v>
      </c>
      <c r="G7586" s="238" t="str">
        <f>IFERROR(__xludf.DUMMYFUNCTION("""COMPUTED_VALUE"""),"-")</f>
        <v>-</v>
      </c>
      <c r="H7586" s="238" t="str">
        <f>IFERROR(__xludf.DUMMYFUNCTION("""COMPUTED_VALUE"""),"-")</f>
        <v>-</v>
      </c>
      <c r="J7586" s="239" t="s">
        <v>6330</v>
      </c>
    </row>
    <row r="7587">
      <c r="A7587" s="234"/>
      <c r="B7587" s="238" t="str">
        <f>IFERROR(__xludf.DUMMYFUNCTION("""COMPUTED_VALUE"""),"-")</f>
        <v>-</v>
      </c>
      <c r="C7587" s="238" t="str">
        <f>IFERROR(__xludf.DUMMYFUNCTION("""COMPUTED_VALUE"""),"-")</f>
        <v>-</v>
      </c>
      <c r="D7587" s="234"/>
      <c r="E7587" s="237"/>
      <c r="F7587" s="238" t="str">
        <f>IFERROR(__xludf.DUMMYFUNCTION("""COMPUTED_VALUE"""),"-")</f>
        <v>-</v>
      </c>
      <c r="G7587" s="238" t="str">
        <f>IFERROR(__xludf.DUMMYFUNCTION("""COMPUTED_VALUE"""),"-")</f>
        <v>-</v>
      </c>
      <c r="H7587" s="238" t="str">
        <f>IFERROR(__xludf.DUMMYFUNCTION("""COMPUTED_VALUE"""),"-")</f>
        <v>-</v>
      </c>
      <c r="J7587" s="239" t="s">
        <v>6330</v>
      </c>
    </row>
    <row r="7588">
      <c r="A7588" s="234"/>
      <c r="B7588" s="238" t="str">
        <f>IFERROR(__xludf.DUMMYFUNCTION("""COMPUTED_VALUE"""),"-")</f>
        <v>-</v>
      </c>
      <c r="C7588" s="238" t="str">
        <f>IFERROR(__xludf.DUMMYFUNCTION("""COMPUTED_VALUE"""),"-")</f>
        <v>-</v>
      </c>
      <c r="D7588" s="234"/>
      <c r="E7588" s="237"/>
      <c r="F7588" s="238" t="str">
        <f>IFERROR(__xludf.DUMMYFUNCTION("""COMPUTED_VALUE"""),"-")</f>
        <v>-</v>
      </c>
      <c r="G7588" s="238" t="str">
        <f>IFERROR(__xludf.DUMMYFUNCTION("""COMPUTED_VALUE"""),"-")</f>
        <v>-</v>
      </c>
      <c r="H7588" s="238" t="str">
        <f>IFERROR(__xludf.DUMMYFUNCTION("""COMPUTED_VALUE"""),"-")</f>
        <v>-</v>
      </c>
      <c r="J7588" s="239" t="s">
        <v>6330</v>
      </c>
    </row>
    <row r="7589">
      <c r="A7589" s="234"/>
      <c r="B7589" s="238" t="str">
        <f>IFERROR(__xludf.DUMMYFUNCTION("""COMPUTED_VALUE"""),"-")</f>
        <v>-</v>
      </c>
      <c r="C7589" s="238" t="str">
        <f>IFERROR(__xludf.DUMMYFUNCTION("""COMPUTED_VALUE"""),"-")</f>
        <v>-</v>
      </c>
      <c r="D7589" s="234"/>
      <c r="E7589" s="237"/>
      <c r="F7589" s="238" t="str">
        <f>IFERROR(__xludf.DUMMYFUNCTION("""COMPUTED_VALUE"""),"-")</f>
        <v>-</v>
      </c>
      <c r="G7589" s="238" t="str">
        <f>IFERROR(__xludf.DUMMYFUNCTION("""COMPUTED_VALUE"""),"-")</f>
        <v>-</v>
      </c>
      <c r="H7589" s="238" t="str">
        <f>IFERROR(__xludf.DUMMYFUNCTION("""COMPUTED_VALUE"""),"-")</f>
        <v>-</v>
      </c>
      <c r="J7589" s="239" t="s">
        <v>6330</v>
      </c>
    </row>
    <row r="7590">
      <c r="A7590" s="234"/>
      <c r="B7590" s="238" t="str">
        <f>IFERROR(__xludf.DUMMYFUNCTION("""COMPUTED_VALUE"""),"-")</f>
        <v>-</v>
      </c>
      <c r="C7590" s="238" t="str">
        <f>IFERROR(__xludf.DUMMYFUNCTION("""COMPUTED_VALUE"""),"-")</f>
        <v>-</v>
      </c>
      <c r="D7590" s="234"/>
      <c r="E7590" s="237"/>
      <c r="F7590" s="238" t="str">
        <f>IFERROR(__xludf.DUMMYFUNCTION("""COMPUTED_VALUE"""),"-")</f>
        <v>-</v>
      </c>
      <c r="G7590" s="238" t="str">
        <f>IFERROR(__xludf.DUMMYFUNCTION("""COMPUTED_VALUE"""),"-")</f>
        <v>-</v>
      </c>
      <c r="H7590" s="238" t="str">
        <f>IFERROR(__xludf.DUMMYFUNCTION("""COMPUTED_VALUE"""),"-")</f>
        <v>-</v>
      </c>
      <c r="J7590" s="239" t="s">
        <v>6330</v>
      </c>
    </row>
    <row r="7591">
      <c r="A7591" s="234"/>
      <c r="B7591" s="238" t="str">
        <f>IFERROR(__xludf.DUMMYFUNCTION("""COMPUTED_VALUE"""),"-")</f>
        <v>-</v>
      </c>
      <c r="C7591" s="238" t="str">
        <f>IFERROR(__xludf.DUMMYFUNCTION("""COMPUTED_VALUE"""),"-")</f>
        <v>-</v>
      </c>
      <c r="D7591" s="234"/>
      <c r="E7591" s="237"/>
      <c r="F7591" s="238" t="str">
        <f>IFERROR(__xludf.DUMMYFUNCTION("""COMPUTED_VALUE"""),"-")</f>
        <v>-</v>
      </c>
      <c r="G7591" s="238" t="str">
        <f>IFERROR(__xludf.DUMMYFUNCTION("""COMPUTED_VALUE"""),"-")</f>
        <v>-</v>
      </c>
      <c r="H7591" s="238" t="str">
        <f>IFERROR(__xludf.DUMMYFUNCTION("""COMPUTED_VALUE"""),"-")</f>
        <v>-</v>
      </c>
      <c r="J7591" s="239" t="s">
        <v>6330</v>
      </c>
    </row>
    <row r="7592">
      <c r="A7592" s="234"/>
      <c r="B7592" s="238" t="str">
        <f>IFERROR(__xludf.DUMMYFUNCTION("""COMPUTED_VALUE"""),"-")</f>
        <v>-</v>
      </c>
      <c r="C7592" s="238" t="str">
        <f>IFERROR(__xludf.DUMMYFUNCTION("""COMPUTED_VALUE"""),"-")</f>
        <v>-</v>
      </c>
      <c r="D7592" s="234"/>
      <c r="E7592" s="237"/>
      <c r="F7592" s="238" t="str">
        <f>IFERROR(__xludf.DUMMYFUNCTION("""COMPUTED_VALUE"""),"-")</f>
        <v>-</v>
      </c>
      <c r="G7592" s="238" t="str">
        <f>IFERROR(__xludf.DUMMYFUNCTION("""COMPUTED_VALUE"""),"-")</f>
        <v>-</v>
      </c>
      <c r="H7592" s="238" t="str">
        <f>IFERROR(__xludf.DUMMYFUNCTION("""COMPUTED_VALUE"""),"-")</f>
        <v>-</v>
      </c>
      <c r="J7592" s="239" t="s">
        <v>6330</v>
      </c>
    </row>
    <row r="7593">
      <c r="A7593" s="234"/>
      <c r="B7593" s="238" t="str">
        <f>IFERROR(__xludf.DUMMYFUNCTION("""COMPUTED_VALUE"""),"-")</f>
        <v>-</v>
      </c>
      <c r="C7593" s="238" t="str">
        <f>IFERROR(__xludf.DUMMYFUNCTION("""COMPUTED_VALUE"""),"-")</f>
        <v>-</v>
      </c>
      <c r="D7593" s="234"/>
      <c r="E7593" s="237"/>
      <c r="F7593" s="238" t="str">
        <f>IFERROR(__xludf.DUMMYFUNCTION("""COMPUTED_VALUE"""),"-")</f>
        <v>-</v>
      </c>
      <c r="G7593" s="238" t="str">
        <f>IFERROR(__xludf.DUMMYFUNCTION("""COMPUTED_VALUE"""),"-")</f>
        <v>-</v>
      </c>
      <c r="H7593" s="238" t="str">
        <f>IFERROR(__xludf.DUMMYFUNCTION("""COMPUTED_VALUE"""),"-")</f>
        <v>-</v>
      </c>
      <c r="J7593" s="239" t="s">
        <v>6330</v>
      </c>
    </row>
    <row r="7594">
      <c r="A7594" s="234"/>
      <c r="B7594" s="238" t="str">
        <f>IFERROR(__xludf.DUMMYFUNCTION("""COMPUTED_VALUE"""),"-")</f>
        <v>-</v>
      </c>
      <c r="C7594" s="238" t="str">
        <f>IFERROR(__xludf.DUMMYFUNCTION("""COMPUTED_VALUE"""),"-")</f>
        <v>-</v>
      </c>
      <c r="D7594" s="234"/>
      <c r="E7594" s="237"/>
      <c r="F7594" s="238" t="str">
        <f>IFERROR(__xludf.DUMMYFUNCTION("""COMPUTED_VALUE"""),"-")</f>
        <v>-</v>
      </c>
      <c r="G7594" s="238" t="str">
        <f>IFERROR(__xludf.DUMMYFUNCTION("""COMPUTED_VALUE"""),"-")</f>
        <v>-</v>
      </c>
      <c r="H7594" s="238" t="str">
        <f>IFERROR(__xludf.DUMMYFUNCTION("""COMPUTED_VALUE"""),"-")</f>
        <v>-</v>
      </c>
      <c r="J7594" s="239" t="s">
        <v>6330</v>
      </c>
    </row>
    <row r="7595">
      <c r="A7595" s="234"/>
      <c r="B7595" s="238" t="str">
        <f>IFERROR(__xludf.DUMMYFUNCTION("""COMPUTED_VALUE"""),"-")</f>
        <v>-</v>
      </c>
      <c r="C7595" s="238" t="str">
        <f>IFERROR(__xludf.DUMMYFUNCTION("""COMPUTED_VALUE"""),"-")</f>
        <v>-</v>
      </c>
      <c r="D7595" s="234"/>
      <c r="E7595" s="237"/>
      <c r="F7595" s="238" t="str">
        <f>IFERROR(__xludf.DUMMYFUNCTION("""COMPUTED_VALUE"""),"-")</f>
        <v>-</v>
      </c>
      <c r="G7595" s="238" t="str">
        <f>IFERROR(__xludf.DUMMYFUNCTION("""COMPUTED_VALUE"""),"-")</f>
        <v>-</v>
      </c>
      <c r="H7595" s="238" t="str">
        <f>IFERROR(__xludf.DUMMYFUNCTION("""COMPUTED_VALUE"""),"-")</f>
        <v>-</v>
      </c>
      <c r="J7595" s="239" t="s">
        <v>6330</v>
      </c>
    </row>
    <row r="7596">
      <c r="A7596" s="234"/>
      <c r="B7596" s="238" t="str">
        <f>IFERROR(__xludf.DUMMYFUNCTION("""COMPUTED_VALUE"""),"-")</f>
        <v>-</v>
      </c>
      <c r="C7596" s="238" t="str">
        <f>IFERROR(__xludf.DUMMYFUNCTION("""COMPUTED_VALUE"""),"-")</f>
        <v>-</v>
      </c>
      <c r="D7596" s="234"/>
      <c r="E7596" s="237"/>
      <c r="F7596" s="238" t="str">
        <f>IFERROR(__xludf.DUMMYFUNCTION("""COMPUTED_VALUE"""),"-")</f>
        <v>-</v>
      </c>
      <c r="G7596" s="238" t="str">
        <f>IFERROR(__xludf.DUMMYFUNCTION("""COMPUTED_VALUE"""),"-")</f>
        <v>-</v>
      </c>
      <c r="H7596" s="238" t="str">
        <f>IFERROR(__xludf.DUMMYFUNCTION("""COMPUTED_VALUE"""),"-")</f>
        <v>-</v>
      </c>
      <c r="J7596" s="239" t="s">
        <v>6330</v>
      </c>
    </row>
    <row r="7597">
      <c r="A7597" s="234"/>
      <c r="B7597" s="238" t="str">
        <f>IFERROR(__xludf.DUMMYFUNCTION("""COMPUTED_VALUE"""),"-")</f>
        <v>-</v>
      </c>
      <c r="C7597" s="238" t="str">
        <f>IFERROR(__xludf.DUMMYFUNCTION("""COMPUTED_VALUE"""),"-")</f>
        <v>-</v>
      </c>
      <c r="D7597" s="234"/>
      <c r="E7597" s="237"/>
      <c r="F7597" s="238" t="str">
        <f>IFERROR(__xludf.DUMMYFUNCTION("""COMPUTED_VALUE"""),"-")</f>
        <v>-</v>
      </c>
      <c r="G7597" s="238" t="str">
        <f>IFERROR(__xludf.DUMMYFUNCTION("""COMPUTED_VALUE"""),"-")</f>
        <v>-</v>
      </c>
      <c r="H7597" s="238" t="str">
        <f>IFERROR(__xludf.DUMMYFUNCTION("""COMPUTED_VALUE"""),"-")</f>
        <v>-</v>
      </c>
      <c r="J7597" s="239" t="s">
        <v>6330</v>
      </c>
    </row>
    <row r="7598">
      <c r="A7598" s="234"/>
      <c r="B7598" s="238" t="str">
        <f>IFERROR(__xludf.DUMMYFUNCTION("""COMPUTED_VALUE"""),"-")</f>
        <v>-</v>
      </c>
      <c r="C7598" s="238" t="str">
        <f>IFERROR(__xludf.DUMMYFUNCTION("""COMPUTED_VALUE"""),"-")</f>
        <v>-</v>
      </c>
      <c r="D7598" s="234"/>
      <c r="E7598" s="237"/>
      <c r="F7598" s="238" t="str">
        <f>IFERROR(__xludf.DUMMYFUNCTION("""COMPUTED_VALUE"""),"-")</f>
        <v>-</v>
      </c>
      <c r="G7598" s="238" t="str">
        <f>IFERROR(__xludf.DUMMYFUNCTION("""COMPUTED_VALUE"""),"-")</f>
        <v>-</v>
      </c>
      <c r="H7598" s="238" t="str">
        <f>IFERROR(__xludf.DUMMYFUNCTION("""COMPUTED_VALUE"""),"-")</f>
        <v>-</v>
      </c>
      <c r="J7598" s="239" t="s">
        <v>6330</v>
      </c>
    </row>
    <row r="7599">
      <c r="A7599" s="234"/>
      <c r="B7599" s="238" t="str">
        <f>IFERROR(__xludf.DUMMYFUNCTION("""COMPUTED_VALUE"""),"-")</f>
        <v>-</v>
      </c>
      <c r="C7599" s="238" t="str">
        <f>IFERROR(__xludf.DUMMYFUNCTION("""COMPUTED_VALUE"""),"-")</f>
        <v>-</v>
      </c>
      <c r="D7599" s="234"/>
      <c r="E7599" s="237"/>
      <c r="F7599" s="238" t="str">
        <f>IFERROR(__xludf.DUMMYFUNCTION("""COMPUTED_VALUE"""),"-")</f>
        <v>-</v>
      </c>
      <c r="G7599" s="238" t="str">
        <f>IFERROR(__xludf.DUMMYFUNCTION("""COMPUTED_VALUE"""),"-")</f>
        <v>-</v>
      </c>
      <c r="H7599" s="238" t="str">
        <f>IFERROR(__xludf.DUMMYFUNCTION("""COMPUTED_VALUE"""),"-")</f>
        <v>-</v>
      </c>
      <c r="J7599" s="239" t="s">
        <v>6330</v>
      </c>
    </row>
    <row r="7600">
      <c r="A7600" s="234"/>
      <c r="B7600" s="238" t="str">
        <f>IFERROR(__xludf.DUMMYFUNCTION("""COMPUTED_VALUE"""),"-")</f>
        <v>-</v>
      </c>
      <c r="C7600" s="238" t="str">
        <f>IFERROR(__xludf.DUMMYFUNCTION("""COMPUTED_VALUE"""),"-")</f>
        <v>-</v>
      </c>
      <c r="D7600" s="234"/>
      <c r="E7600" s="237"/>
      <c r="F7600" s="238" t="str">
        <f>IFERROR(__xludf.DUMMYFUNCTION("""COMPUTED_VALUE"""),"-")</f>
        <v>-</v>
      </c>
      <c r="G7600" s="238" t="str">
        <f>IFERROR(__xludf.DUMMYFUNCTION("""COMPUTED_VALUE"""),"-")</f>
        <v>-</v>
      </c>
      <c r="H7600" s="238" t="str">
        <f>IFERROR(__xludf.DUMMYFUNCTION("""COMPUTED_VALUE"""),"-")</f>
        <v>-</v>
      </c>
      <c r="J7600" s="239" t="s">
        <v>6330</v>
      </c>
    </row>
    <row r="7601">
      <c r="A7601" s="234"/>
      <c r="B7601" s="238" t="str">
        <f>IFERROR(__xludf.DUMMYFUNCTION("""COMPUTED_VALUE"""),"-")</f>
        <v>-</v>
      </c>
      <c r="C7601" s="238" t="str">
        <f>IFERROR(__xludf.DUMMYFUNCTION("""COMPUTED_VALUE"""),"-")</f>
        <v>-</v>
      </c>
      <c r="D7601" s="234"/>
      <c r="E7601" s="237"/>
      <c r="F7601" s="238" t="str">
        <f>IFERROR(__xludf.DUMMYFUNCTION("""COMPUTED_VALUE"""),"-")</f>
        <v>-</v>
      </c>
      <c r="G7601" s="238" t="str">
        <f>IFERROR(__xludf.DUMMYFUNCTION("""COMPUTED_VALUE"""),"-")</f>
        <v>-</v>
      </c>
      <c r="H7601" s="238" t="str">
        <f>IFERROR(__xludf.DUMMYFUNCTION("""COMPUTED_VALUE"""),"-")</f>
        <v>-</v>
      </c>
      <c r="J7601" s="239" t="s">
        <v>6330</v>
      </c>
    </row>
    <row r="7602">
      <c r="A7602" s="234"/>
      <c r="B7602" s="238" t="str">
        <f>IFERROR(__xludf.DUMMYFUNCTION("""COMPUTED_VALUE"""),"-")</f>
        <v>-</v>
      </c>
      <c r="C7602" s="238" t="str">
        <f>IFERROR(__xludf.DUMMYFUNCTION("""COMPUTED_VALUE"""),"-")</f>
        <v>-</v>
      </c>
      <c r="D7602" s="234"/>
      <c r="E7602" s="237"/>
      <c r="F7602" s="238" t="str">
        <f>IFERROR(__xludf.DUMMYFUNCTION("""COMPUTED_VALUE"""),"-")</f>
        <v>-</v>
      </c>
      <c r="G7602" s="238" t="str">
        <f>IFERROR(__xludf.DUMMYFUNCTION("""COMPUTED_VALUE"""),"-")</f>
        <v>-</v>
      </c>
      <c r="H7602" s="238" t="str">
        <f>IFERROR(__xludf.DUMMYFUNCTION("""COMPUTED_VALUE"""),"-")</f>
        <v>-</v>
      </c>
      <c r="J7602" s="239" t="s">
        <v>6330</v>
      </c>
    </row>
    <row r="7603">
      <c r="A7603" s="234"/>
      <c r="B7603" s="238" t="str">
        <f>IFERROR(__xludf.DUMMYFUNCTION("""COMPUTED_VALUE"""),"-")</f>
        <v>-</v>
      </c>
      <c r="C7603" s="238" t="str">
        <f>IFERROR(__xludf.DUMMYFUNCTION("""COMPUTED_VALUE"""),"-")</f>
        <v>-</v>
      </c>
      <c r="D7603" s="234"/>
      <c r="E7603" s="237"/>
      <c r="F7603" s="238" t="str">
        <f>IFERROR(__xludf.DUMMYFUNCTION("""COMPUTED_VALUE"""),"-")</f>
        <v>-</v>
      </c>
      <c r="G7603" s="238" t="str">
        <f>IFERROR(__xludf.DUMMYFUNCTION("""COMPUTED_VALUE"""),"-")</f>
        <v>-</v>
      </c>
      <c r="H7603" s="238" t="str">
        <f>IFERROR(__xludf.DUMMYFUNCTION("""COMPUTED_VALUE"""),"-")</f>
        <v>-</v>
      </c>
      <c r="J7603" s="239" t="s">
        <v>6330</v>
      </c>
    </row>
    <row r="7604">
      <c r="A7604" s="234"/>
      <c r="B7604" s="238" t="str">
        <f>IFERROR(__xludf.DUMMYFUNCTION("""COMPUTED_VALUE"""),"-")</f>
        <v>-</v>
      </c>
      <c r="C7604" s="238" t="str">
        <f>IFERROR(__xludf.DUMMYFUNCTION("""COMPUTED_VALUE"""),"-")</f>
        <v>-</v>
      </c>
      <c r="D7604" s="234"/>
      <c r="E7604" s="237"/>
      <c r="F7604" s="238" t="str">
        <f>IFERROR(__xludf.DUMMYFUNCTION("""COMPUTED_VALUE"""),"-")</f>
        <v>-</v>
      </c>
      <c r="G7604" s="238" t="str">
        <f>IFERROR(__xludf.DUMMYFUNCTION("""COMPUTED_VALUE"""),"-")</f>
        <v>-</v>
      </c>
      <c r="H7604" s="238" t="str">
        <f>IFERROR(__xludf.DUMMYFUNCTION("""COMPUTED_VALUE"""),"-")</f>
        <v>-</v>
      </c>
      <c r="J7604" s="239" t="s">
        <v>6330</v>
      </c>
    </row>
    <row r="7605">
      <c r="A7605" s="234"/>
      <c r="B7605" s="238" t="str">
        <f>IFERROR(__xludf.DUMMYFUNCTION("""COMPUTED_VALUE"""),"-")</f>
        <v>-</v>
      </c>
      <c r="C7605" s="238" t="str">
        <f>IFERROR(__xludf.DUMMYFUNCTION("""COMPUTED_VALUE"""),"-")</f>
        <v>-</v>
      </c>
      <c r="D7605" s="234"/>
      <c r="E7605" s="237"/>
      <c r="F7605" s="238" t="str">
        <f>IFERROR(__xludf.DUMMYFUNCTION("""COMPUTED_VALUE"""),"-")</f>
        <v>-</v>
      </c>
      <c r="G7605" s="238" t="str">
        <f>IFERROR(__xludf.DUMMYFUNCTION("""COMPUTED_VALUE"""),"-")</f>
        <v>-</v>
      </c>
      <c r="H7605" s="238" t="str">
        <f>IFERROR(__xludf.DUMMYFUNCTION("""COMPUTED_VALUE"""),"-")</f>
        <v>-</v>
      </c>
      <c r="J7605" s="239" t="s">
        <v>6330</v>
      </c>
    </row>
    <row r="7606">
      <c r="A7606" s="234"/>
      <c r="B7606" s="238" t="str">
        <f>IFERROR(__xludf.DUMMYFUNCTION("""COMPUTED_VALUE"""),"-")</f>
        <v>-</v>
      </c>
      <c r="C7606" s="238" t="str">
        <f>IFERROR(__xludf.DUMMYFUNCTION("""COMPUTED_VALUE"""),"-")</f>
        <v>-</v>
      </c>
      <c r="D7606" s="234"/>
      <c r="E7606" s="237"/>
      <c r="F7606" s="238" t="str">
        <f>IFERROR(__xludf.DUMMYFUNCTION("""COMPUTED_VALUE"""),"-")</f>
        <v>-</v>
      </c>
      <c r="G7606" s="238" t="str">
        <f>IFERROR(__xludf.DUMMYFUNCTION("""COMPUTED_VALUE"""),"-")</f>
        <v>-</v>
      </c>
      <c r="H7606" s="238" t="str">
        <f>IFERROR(__xludf.DUMMYFUNCTION("""COMPUTED_VALUE"""),"-")</f>
        <v>-</v>
      </c>
      <c r="J7606" s="239" t="s">
        <v>6330</v>
      </c>
    </row>
    <row r="7607">
      <c r="A7607" s="234"/>
      <c r="B7607" s="238" t="str">
        <f>IFERROR(__xludf.DUMMYFUNCTION("""COMPUTED_VALUE"""),"-")</f>
        <v>-</v>
      </c>
      <c r="C7607" s="238" t="str">
        <f>IFERROR(__xludf.DUMMYFUNCTION("""COMPUTED_VALUE"""),"-")</f>
        <v>-</v>
      </c>
      <c r="D7607" s="234"/>
      <c r="E7607" s="237"/>
      <c r="F7607" s="238" t="str">
        <f>IFERROR(__xludf.DUMMYFUNCTION("""COMPUTED_VALUE"""),"-")</f>
        <v>-</v>
      </c>
      <c r="G7607" s="238" t="str">
        <f>IFERROR(__xludf.DUMMYFUNCTION("""COMPUTED_VALUE"""),"-")</f>
        <v>-</v>
      </c>
      <c r="H7607" s="238" t="str">
        <f>IFERROR(__xludf.DUMMYFUNCTION("""COMPUTED_VALUE"""),"-")</f>
        <v>-</v>
      </c>
      <c r="J7607" s="239" t="s">
        <v>6330</v>
      </c>
    </row>
    <row r="7608">
      <c r="A7608" s="234"/>
      <c r="B7608" s="238" t="str">
        <f>IFERROR(__xludf.DUMMYFUNCTION("""COMPUTED_VALUE"""),"-")</f>
        <v>-</v>
      </c>
      <c r="C7608" s="238" t="str">
        <f>IFERROR(__xludf.DUMMYFUNCTION("""COMPUTED_VALUE"""),"-")</f>
        <v>-</v>
      </c>
      <c r="D7608" s="234"/>
      <c r="E7608" s="237"/>
      <c r="F7608" s="238" t="str">
        <f>IFERROR(__xludf.DUMMYFUNCTION("""COMPUTED_VALUE"""),"-")</f>
        <v>-</v>
      </c>
      <c r="G7608" s="238" t="str">
        <f>IFERROR(__xludf.DUMMYFUNCTION("""COMPUTED_VALUE"""),"-")</f>
        <v>-</v>
      </c>
      <c r="H7608" s="238" t="str">
        <f>IFERROR(__xludf.DUMMYFUNCTION("""COMPUTED_VALUE"""),"-")</f>
        <v>-</v>
      </c>
      <c r="J7608" s="239" t="s">
        <v>6330</v>
      </c>
    </row>
    <row r="7609">
      <c r="A7609" s="234"/>
      <c r="B7609" s="238" t="str">
        <f>IFERROR(__xludf.DUMMYFUNCTION("""COMPUTED_VALUE"""),"-")</f>
        <v>-</v>
      </c>
      <c r="C7609" s="238" t="str">
        <f>IFERROR(__xludf.DUMMYFUNCTION("""COMPUTED_VALUE"""),"-")</f>
        <v>-</v>
      </c>
      <c r="D7609" s="234"/>
      <c r="E7609" s="237"/>
      <c r="F7609" s="238" t="str">
        <f>IFERROR(__xludf.DUMMYFUNCTION("""COMPUTED_VALUE"""),"-")</f>
        <v>-</v>
      </c>
      <c r="G7609" s="238" t="str">
        <f>IFERROR(__xludf.DUMMYFUNCTION("""COMPUTED_VALUE"""),"-")</f>
        <v>-</v>
      </c>
      <c r="H7609" s="238" t="str">
        <f>IFERROR(__xludf.DUMMYFUNCTION("""COMPUTED_VALUE"""),"-")</f>
        <v>-</v>
      </c>
      <c r="J7609" s="239" t="s">
        <v>6330</v>
      </c>
    </row>
    <row r="7610">
      <c r="A7610" s="234"/>
      <c r="B7610" s="238" t="str">
        <f>IFERROR(__xludf.DUMMYFUNCTION("""COMPUTED_VALUE"""),"-")</f>
        <v>-</v>
      </c>
      <c r="C7610" s="238" t="str">
        <f>IFERROR(__xludf.DUMMYFUNCTION("""COMPUTED_VALUE"""),"-")</f>
        <v>-</v>
      </c>
      <c r="D7610" s="234"/>
      <c r="E7610" s="237"/>
      <c r="F7610" s="238" t="str">
        <f>IFERROR(__xludf.DUMMYFUNCTION("""COMPUTED_VALUE"""),"-")</f>
        <v>-</v>
      </c>
      <c r="G7610" s="238" t="str">
        <f>IFERROR(__xludf.DUMMYFUNCTION("""COMPUTED_VALUE"""),"-")</f>
        <v>-</v>
      </c>
      <c r="H7610" s="238" t="str">
        <f>IFERROR(__xludf.DUMMYFUNCTION("""COMPUTED_VALUE"""),"-")</f>
        <v>-</v>
      </c>
      <c r="J7610" s="239" t="s">
        <v>6330</v>
      </c>
    </row>
    <row r="7611">
      <c r="A7611" s="234"/>
      <c r="B7611" s="238" t="str">
        <f>IFERROR(__xludf.DUMMYFUNCTION("""COMPUTED_VALUE"""),"-")</f>
        <v>-</v>
      </c>
      <c r="C7611" s="238" t="str">
        <f>IFERROR(__xludf.DUMMYFUNCTION("""COMPUTED_VALUE"""),"-")</f>
        <v>-</v>
      </c>
      <c r="D7611" s="234"/>
      <c r="E7611" s="237"/>
      <c r="F7611" s="238" t="str">
        <f>IFERROR(__xludf.DUMMYFUNCTION("""COMPUTED_VALUE"""),"-")</f>
        <v>-</v>
      </c>
      <c r="G7611" s="238" t="str">
        <f>IFERROR(__xludf.DUMMYFUNCTION("""COMPUTED_VALUE"""),"-")</f>
        <v>-</v>
      </c>
      <c r="H7611" s="238" t="str">
        <f>IFERROR(__xludf.DUMMYFUNCTION("""COMPUTED_VALUE"""),"-")</f>
        <v>-</v>
      </c>
      <c r="J7611" s="239" t="s">
        <v>6330</v>
      </c>
    </row>
    <row r="7612">
      <c r="A7612" s="234"/>
      <c r="B7612" s="238" t="str">
        <f>IFERROR(__xludf.DUMMYFUNCTION("""COMPUTED_VALUE"""),"-")</f>
        <v>-</v>
      </c>
      <c r="C7612" s="238" t="str">
        <f>IFERROR(__xludf.DUMMYFUNCTION("""COMPUTED_VALUE"""),"-")</f>
        <v>-</v>
      </c>
      <c r="D7612" s="234"/>
      <c r="E7612" s="237"/>
      <c r="F7612" s="238" t="str">
        <f>IFERROR(__xludf.DUMMYFUNCTION("""COMPUTED_VALUE"""),"-")</f>
        <v>-</v>
      </c>
      <c r="G7612" s="238" t="str">
        <f>IFERROR(__xludf.DUMMYFUNCTION("""COMPUTED_VALUE"""),"-")</f>
        <v>-</v>
      </c>
      <c r="H7612" s="238" t="str">
        <f>IFERROR(__xludf.DUMMYFUNCTION("""COMPUTED_VALUE"""),"-")</f>
        <v>-</v>
      </c>
      <c r="J7612" s="239" t="s">
        <v>6330</v>
      </c>
    </row>
    <row r="7613">
      <c r="A7613" s="234"/>
      <c r="B7613" s="238" t="str">
        <f>IFERROR(__xludf.DUMMYFUNCTION("""COMPUTED_VALUE"""),"-")</f>
        <v>-</v>
      </c>
      <c r="C7613" s="238" t="str">
        <f>IFERROR(__xludf.DUMMYFUNCTION("""COMPUTED_VALUE"""),"-")</f>
        <v>-</v>
      </c>
      <c r="D7613" s="234"/>
      <c r="E7613" s="237"/>
      <c r="F7613" s="238" t="str">
        <f>IFERROR(__xludf.DUMMYFUNCTION("""COMPUTED_VALUE"""),"-")</f>
        <v>-</v>
      </c>
      <c r="G7613" s="238" t="str">
        <f>IFERROR(__xludf.DUMMYFUNCTION("""COMPUTED_VALUE"""),"-")</f>
        <v>-</v>
      </c>
      <c r="H7613" s="238" t="str">
        <f>IFERROR(__xludf.DUMMYFUNCTION("""COMPUTED_VALUE"""),"-")</f>
        <v>-</v>
      </c>
      <c r="J7613" s="239" t="s">
        <v>6330</v>
      </c>
    </row>
    <row r="7614">
      <c r="A7614" s="234"/>
      <c r="B7614" s="238" t="str">
        <f>IFERROR(__xludf.DUMMYFUNCTION("""COMPUTED_VALUE"""),"-")</f>
        <v>-</v>
      </c>
      <c r="C7614" s="238" t="str">
        <f>IFERROR(__xludf.DUMMYFUNCTION("""COMPUTED_VALUE"""),"-")</f>
        <v>-</v>
      </c>
      <c r="D7614" s="234"/>
      <c r="E7614" s="237"/>
      <c r="F7614" s="238" t="str">
        <f>IFERROR(__xludf.DUMMYFUNCTION("""COMPUTED_VALUE"""),"-")</f>
        <v>-</v>
      </c>
      <c r="G7614" s="238" t="str">
        <f>IFERROR(__xludf.DUMMYFUNCTION("""COMPUTED_VALUE"""),"-")</f>
        <v>-</v>
      </c>
      <c r="H7614" s="238" t="str">
        <f>IFERROR(__xludf.DUMMYFUNCTION("""COMPUTED_VALUE"""),"-")</f>
        <v>-</v>
      </c>
      <c r="J7614" s="239" t="s">
        <v>6330</v>
      </c>
    </row>
    <row r="7615">
      <c r="A7615" s="234"/>
      <c r="B7615" s="238" t="str">
        <f>IFERROR(__xludf.DUMMYFUNCTION("""COMPUTED_VALUE"""),"-")</f>
        <v>-</v>
      </c>
      <c r="C7615" s="238" t="str">
        <f>IFERROR(__xludf.DUMMYFUNCTION("""COMPUTED_VALUE"""),"-")</f>
        <v>-</v>
      </c>
      <c r="D7615" s="234"/>
      <c r="E7615" s="237"/>
      <c r="F7615" s="238" t="str">
        <f>IFERROR(__xludf.DUMMYFUNCTION("""COMPUTED_VALUE"""),"-")</f>
        <v>-</v>
      </c>
      <c r="G7615" s="238" t="str">
        <f>IFERROR(__xludf.DUMMYFUNCTION("""COMPUTED_VALUE"""),"-")</f>
        <v>-</v>
      </c>
      <c r="H7615" s="238" t="str">
        <f>IFERROR(__xludf.DUMMYFUNCTION("""COMPUTED_VALUE"""),"-")</f>
        <v>-</v>
      </c>
      <c r="J7615" s="239" t="s">
        <v>6330</v>
      </c>
    </row>
    <row r="7616">
      <c r="A7616" s="234"/>
      <c r="B7616" s="238" t="str">
        <f>IFERROR(__xludf.DUMMYFUNCTION("""COMPUTED_VALUE"""),"-")</f>
        <v>-</v>
      </c>
      <c r="C7616" s="238" t="str">
        <f>IFERROR(__xludf.DUMMYFUNCTION("""COMPUTED_VALUE"""),"-")</f>
        <v>-</v>
      </c>
      <c r="D7616" s="234"/>
      <c r="E7616" s="237"/>
      <c r="F7616" s="238" t="str">
        <f>IFERROR(__xludf.DUMMYFUNCTION("""COMPUTED_VALUE"""),"-")</f>
        <v>-</v>
      </c>
      <c r="G7616" s="238" t="str">
        <f>IFERROR(__xludf.DUMMYFUNCTION("""COMPUTED_VALUE"""),"-")</f>
        <v>-</v>
      </c>
      <c r="H7616" s="238" t="str">
        <f>IFERROR(__xludf.DUMMYFUNCTION("""COMPUTED_VALUE"""),"-")</f>
        <v>-</v>
      </c>
      <c r="J7616" s="239" t="s">
        <v>6330</v>
      </c>
    </row>
    <row r="7617">
      <c r="A7617" s="234"/>
      <c r="B7617" s="238" t="str">
        <f>IFERROR(__xludf.DUMMYFUNCTION("""COMPUTED_VALUE"""),"-")</f>
        <v>-</v>
      </c>
      <c r="C7617" s="238" t="str">
        <f>IFERROR(__xludf.DUMMYFUNCTION("""COMPUTED_VALUE"""),"-")</f>
        <v>-</v>
      </c>
      <c r="D7617" s="234"/>
      <c r="E7617" s="237"/>
      <c r="F7617" s="238" t="str">
        <f>IFERROR(__xludf.DUMMYFUNCTION("""COMPUTED_VALUE"""),"-")</f>
        <v>-</v>
      </c>
      <c r="G7617" s="238" t="str">
        <f>IFERROR(__xludf.DUMMYFUNCTION("""COMPUTED_VALUE"""),"-")</f>
        <v>-</v>
      </c>
      <c r="H7617" s="238" t="str">
        <f>IFERROR(__xludf.DUMMYFUNCTION("""COMPUTED_VALUE"""),"-")</f>
        <v>-</v>
      </c>
      <c r="J7617" s="239" t="s">
        <v>6330</v>
      </c>
    </row>
    <row r="7618">
      <c r="A7618" s="234"/>
      <c r="B7618" s="238" t="str">
        <f>IFERROR(__xludf.DUMMYFUNCTION("""COMPUTED_VALUE"""),"-")</f>
        <v>-</v>
      </c>
      <c r="C7618" s="238" t="str">
        <f>IFERROR(__xludf.DUMMYFUNCTION("""COMPUTED_VALUE"""),"-")</f>
        <v>-</v>
      </c>
      <c r="D7618" s="234"/>
      <c r="E7618" s="237"/>
      <c r="F7618" s="238" t="str">
        <f>IFERROR(__xludf.DUMMYFUNCTION("""COMPUTED_VALUE"""),"-")</f>
        <v>-</v>
      </c>
      <c r="G7618" s="238" t="str">
        <f>IFERROR(__xludf.DUMMYFUNCTION("""COMPUTED_VALUE"""),"-")</f>
        <v>-</v>
      </c>
      <c r="H7618" s="238" t="str">
        <f>IFERROR(__xludf.DUMMYFUNCTION("""COMPUTED_VALUE"""),"-")</f>
        <v>-</v>
      </c>
      <c r="J7618" s="239" t="s">
        <v>6330</v>
      </c>
    </row>
    <row r="7619">
      <c r="A7619" s="234"/>
      <c r="B7619" s="238" t="str">
        <f>IFERROR(__xludf.DUMMYFUNCTION("""COMPUTED_VALUE"""),"-")</f>
        <v>-</v>
      </c>
      <c r="C7619" s="238" t="str">
        <f>IFERROR(__xludf.DUMMYFUNCTION("""COMPUTED_VALUE"""),"-")</f>
        <v>-</v>
      </c>
      <c r="D7619" s="234"/>
      <c r="E7619" s="237"/>
      <c r="F7619" s="238" t="str">
        <f>IFERROR(__xludf.DUMMYFUNCTION("""COMPUTED_VALUE"""),"-")</f>
        <v>-</v>
      </c>
      <c r="G7619" s="238" t="str">
        <f>IFERROR(__xludf.DUMMYFUNCTION("""COMPUTED_VALUE"""),"-")</f>
        <v>-</v>
      </c>
      <c r="H7619" s="238" t="str">
        <f>IFERROR(__xludf.DUMMYFUNCTION("""COMPUTED_VALUE"""),"-")</f>
        <v>-</v>
      </c>
      <c r="J7619" s="239" t="s">
        <v>6330</v>
      </c>
    </row>
    <row r="7620">
      <c r="A7620" s="234"/>
      <c r="B7620" s="238" t="str">
        <f>IFERROR(__xludf.DUMMYFUNCTION("""COMPUTED_VALUE"""),"-")</f>
        <v>-</v>
      </c>
      <c r="C7620" s="238" t="str">
        <f>IFERROR(__xludf.DUMMYFUNCTION("""COMPUTED_VALUE"""),"-")</f>
        <v>-</v>
      </c>
      <c r="D7620" s="234"/>
      <c r="E7620" s="237"/>
      <c r="F7620" s="238" t="str">
        <f>IFERROR(__xludf.DUMMYFUNCTION("""COMPUTED_VALUE"""),"-")</f>
        <v>-</v>
      </c>
      <c r="G7620" s="238" t="str">
        <f>IFERROR(__xludf.DUMMYFUNCTION("""COMPUTED_VALUE"""),"-")</f>
        <v>-</v>
      </c>
      <c r="H7620" s="238" t="str">
        <f>IFERROR(__xludf.DUMMYFUNCTION("""COMPUTED_VALUE"""),"-")</f>
        <v>-</v>
      </c>
      <c r="J7620" s="239" t="s">
        <v>6330</v>
      </c>
    </row>
    <row r="7621">
      <c r="A7621" s="234"/>
      <c r="B7621" s="238" t="str">
        <f>IFERROR(__xludf.DUMMYFUNCTION("""COMPUTED_VALUE"""),"-")</f>
        <v>-</v>
      </c>
      <c r="C7621" s="238" t="str">
        <f>IFERROR(__xludf.DUMMYFUNCTION("""COMPUTED_VALUE"""),"-")</f>
        <v>-</v>
      </c>
      <c r="D7621" s="234"/>
      <c r="E7621" s="237"/>
      <c r="F7621" s="238" t="str">
        <f>IFERROR(__xludf.DUMMYFUNCTION("""COMPUTED_VALUE"""),"-")</f>
        <v>-</v>
      </c>
      <c r="G7621" s="238" t="str">
        <f>IFERROR(__xludf.DUMMYFUNCTION("""COMPUTED_VALUE"""),"-")</f>
        <v>-</v>
      </c>
      <c r="H7621" s="238" t="str">
        <f>IFERROR(__xludf.DUMMYFUNCTION("""COMPUTED_VALUE"""),"-")</f>
        <v>-</v>
      </c>
      <c r="J7621" s="239" t="s">
        <v>6330</v>
      </c>
    </row>
    <row r="7622">
      <c r="A7622" s="234"/>
      <c r="B7622" s="238" t="str">
        <f>IFERROR(__xludf.DUMMYFUNCTION("""COMPUTED_VALUE"""),"-")</f>
        <v>-</v>
      </c>
      <c r="C7622" s="238" t="str">
        <f>IFERROR(__xludf.DUMMYFUNCTION("""COMPUTED_VALUE"""),"-")</f>
        <v>-</v>
      </c>
      <c r="D7622" s="234"/>
      <c r="E7622" s="237"/>
      <c r="F7622" s="238" t="str">
        <f>IFERROR(__xludf.DUMMYFUNCTION("""COMPUTED_VALUE"""),"-")</f>
        <v>-</v>
      </c>
      <c r="G7622" s="238" t="str">
        <f>IFERROR(__xludf.DUMMYFUNCTION("""COMPUTED_VALUE"""),"-")</f>
        <v>-</v>
      </c>
      <c r="H7622" s="238" t="str">
        <f>IFERROR(__xludf.DUMMYFUNCTION("""COMPUTED_VALUE"""),"-")</f>
        <v>-</v>
      </c>
      <c r="J7622" s="239" t="s">
        <v>6330</v>
      </c>
    </row>
    <row r="7623">
      <c r="A7623" s="234"/>
      <c r="B7623" s="238" t="str">
        <f>IFERROR(__xludf.DUMMYFUNCTION("""COMPUTED_VALUE"""),"-")</f>
        <v>-</v>
      </c>
      <c r="C7623" s="238" t="str">
        <f>IFERROR(__xludf.DUMMYFUNCTION("""COMPUTED_VALUE"""),"-")</f>
        <v>-</v>
      </c>
      <c r="D7623" s="234"/>
      <c r="E7623" s="237"/>
      <c r="F7623" s="238" t="str">
        <f>IFERROR(__xludf.DUMMYFUNCTION("""COMPUTED_VALUE"""),"-")</f>
        <v>-</v>
      </c>
      <c r="G7623" s="238" t="str">
        <f>IFERROR(__xludf.DUMMYFUNCTION("""COMPUTED_VALUE"""),"-")</f>
        <v>-</v>
      </c>
      <c r="H7623" s="238" t="str">
        <f>IFERROR(__xludf.DUMMYFUNCTION("""COMPUTED_VALUE"""),"-")</f>
        <v>-</v>
      </c>
      <c r="J7623" s="239" t="s">
        <v>6330</v>
      </c>
    </row>
    <row r="7624">
      <c r="A7624" s="234"/>
      <c r="B7624" s="238" t="str">
        <f>IFERROR(__xludf.DUMMYFUNCTION("""COMPUTED_VALUE"""),"-")</f>
        <v>-</v>
      </c>
      <c r="C7624" s="238" t="str">
        <f>IFERROR(__xludf.DUMMYFUNCTION("""COMPUTED_VALUE"""),"-")</f>
        <v>-</v>
      </c>
      <c r="D7624" s="234"/>
      <c r="E7624" s="237"/>
      <c r="F7624" s="238" t="str">
        <f>IFERROR(__xludf.DUMMYFUNCTION("""COMPUTED_VALUE"""),"-")</f>
        <v>-</v>
      </c>
      <c r="G7624" s="238" t="str">
        <f>IFERROR(__xludf.DUMMYFUNCTION("""COMPUTED_VALUE"""),"-")</f>
        <v>-</v>
      </c>
      <c r="H7624" s="238" t="str">
        <f>IFERROR(__xludf.DUMMYFUNCTION("""COMPUTED_VALUE"""),"-")</f>
        <v>-</v>
      </c>
      <c r="J7624" s="239" t="s">
        <v>6330</v>
      </c>
    </row>
    <row r="7625">
      <c r="A7625" s="234"/>
      <c r="B7625" s="238" t="str">
        <f>IFERROR(__xludf.DUMMYFUNCTION("""COMPUTED_VALUE"""),"-")</f>
        <v>-</v>
      </c>
      <c r="C7625" s="238" t="str">
        <f>IFERROR(__xludf.DUMMYFUNCTION("""COMPUTED_VALUE"""),"-")</f>
        <v>-</v>
      </c>
      <c r="D7625" s="234"/>
      <c r="E7625" s="237"/>
      <c r="F7625" s="238" t="str">
        <f>IFERROR(__xludf.DUMMYFUNCTION("""COMPUTED_VALUE"""),"-")</f>
        <v>-</v>
      </c>
      <c r="G7625" s="238" t="str">
        <f>IFERROR(__xludf.DUMMYFUNCTION("""COMPUTED_VALUE"""),"-")</f>
        <v>-</v>
      </c>
      <c r="H7625" s="238" t="str">
        <f>IFERROR(__xludf.DUMMYFUNCTION("""COMPUTED_VALUE"""),"-")</f>
        <v>-</v>
      </c>
      <c r="J7625" s="239" t="s">
        <v>6330</v>
      </c>
    </row>
    <row r="7626">
      <c r="A7626" s="234"/>
      <c r="B7626" s="238" t="str">
        <f>IFERROR(__xludf.DUMMYFUNCTION("""COMPUTED_VALUE"""),"-")</f>
        <v>-</v>
      </c>
      <c r="C7626" s="238" t="str">
        <f>IFERROR(__xludf.DUMMYFUNCTION("""COMPUTED_VALUE"""),"-")</f>
        <v>-</v>
      </c>
      <c r="D7626" s="234"/>
      <c r="E7626" s="237"/>
      <c r="F7626" s="238" t="str">
        <f>IFERROR(__xludf.DUMMYFUNCTION("""COMPUTED_VALUE"""),"-")</f>
        <v>-</v>
      </c>
      <c r="G7626" s="238" t="str">
        <f>IFERROR(__xludf.DUMMYFUNCTION("""COMPUTED_VALUE"""),"-")</f>
        <v>-</v>
      </c>
      <c r="H7626" s="238" t="str">
        <f>IFERROR(__xludf.DUMMYFUNCTION("""COMPUTED_VALUE"""),"-")</f>
        <v>-</v>
      </c>
      <c r="J7626" s="239" t="s">
        <v>6330</v>
      </c>
    </row>
    <row r="7627">
      <c r="A7627" s="234"/>
      <c r="B7627" s="238" t="str">
        <f>IFERROR(__xludf.DUMMYFUNCTION("""COMPUTED_VALUE"""),"-")</f>
        <v>-</v>
      </c>
      <c r="C7627" s="238" t="str">
        <f>IFERROR(__xludf.DUMMYFUNCTION("""COMPUTED_VALUE"""),"-")</f>
        <v>-</v>
      </c>
      <c r="D7627" s="234"/>
      <c r="E7627" s="237"/>
      <c r="F7627" s="238" t="str">
        <f>IFERROR(__xludf.DUMMYFUNCTION("""COMPUTED_VALUE"""),"-")</f>
        <v>-</v>
      </c>
      <c r="G7627" s="238" t="str">
        <f>IFERROR(__xludf.DUMMYFUNCTION("""COMPUTED_VALUE"""),"-")</f>
        <v>-</v>
      </c>
      <c r="H7627" s="238" t="str">
        <f>IFERROR(__xludf.DUMMYFUNCTION("""COMPUTED_VALUE"""),"-")</f>
        <v>-</v>
      </c>
      <c r="J7627" s="239" t="s">
        <v>6330</v>
      </c>
    </row>
    <row r="7628">
      <c r="A7628" s="234"/>
      <c r="B7628" s="238" t="str">
        <f>IFERROR(__xludf.DUMMYFUNCTION("""COMPUTED_VALUE"""),"-")</f>
        <v>-</v>
      </c>
      <c r="C7628" s="238" t="str">
        <f>IFERROR(__xludf.DUMMYFUNCTION("""COMPUTED_VALUE"""),"-")</f>
        <v>-</v>
      </c>
      <c r="D7628" s="234"/>
      <c r="E7628" s="237"/>
      <c r="F7628" s="238" t="str">
        <f>IFERROR(__xludf.DUMMYFUNCTION("""COMPUTED_VALUE"""),"-")</f>
        <v>-</v>
      </c>
      <c r="G7628" s="238" t="str">
        <f>IFERROR(__xludf.DUMMYFUNCTION("""COMPUTED_VALUE"""),"-")</f>
        <v>-</v>
      </c>
      <c r="H7628" s="238" t="str">
        <f>IFERROR(__xludf.DUMMYFUNCTION("""COMPUTED_VALUE"""),"-")</f>
        <v>-</v>
      </c>
      <c r="J7628" s="239" t="s">
        <v>6330</v>
      </c>
    </row>
    <row r="7629">
      <c r="A7629" s="234"/>
      <c r="B7629" s="238" t="str">
        <f>IFERROR(__xludf.DUMMYFUNCTION("""COMPUTED_VALUE"""),"-")</f>
        <v>-</v>
      </c>
      <c r="C7629" s="238" t="str">
        <f>IFERROR(__xludf.DUMMYFUNCTION("""COMPUTED_VALUE"""),"-")</f>
        <v>-</v>
      </c>
      <c r="D7629" s="234"/>
      <c r="E7629" s="237"/>
      <c r="F7629" s="238" t="str">
        <f>IFERROR(__xludf.DUMMYFUNCTION("""COMPUTED_VALUE"""),"-")</f>
        <v>-</v>
      </c>
      <c r="G7629" s="238" t="str">
        <f>IFERROR(__xludf.DUMMYFUNCTION("""COMPUTED_VALUE"""),"-")</f>
        <v>-</v>
      </c>
      <c r="H7629" s="238" t="str">
        <f>IFERROR(__xludf.DUMMYFUNCTION("""COMPUTED_VALUE"""),"-")</f>
        <v>-</v>
      </c>
      <c r="J7629" s="239" t="s">
        <v>6330</v>
      </c>
    </row>
    <row r="7630">
      <c r="A7630" s="234"/>
      <c r="B7630" s="238" t="str">
        <f>IFERROR(__xludf.DUMMYFUNCTION("""COMPUTED_VALUE"""),"-")</f>
        <v>-</v>
      </c>
      <c r="C7630" s="238" t="str">
        <f>IFERROR(__xludf.DUMMYFUNCTION("""COMPUTED_VALUE"""),"-")</f>
        <v>-</v>
      </c>
      <c r="D7630" s="234"/>
      <c r="E7630" s="237"/>
      <c r="F7630" s="238" t="str">
        <f>IFERROR(__xludf.DUMMYFUNCTION("""COMPUTED_VALUE"""),"-")</f>
        <v>-</v>
      </c>
      <c r="G7630" s="238" t="str">
        <f>IFERROR(__xludf.DUMMYFUNCTION("""COMPUTED_VALUE"""),"-")</f>
        <v>-</v>
      </c>
      <c r="H7630" s="238" t="str">
        <f>IFERROR(__xludf.DUMMYFUNCTION("""COMPUTED_VALUE"""),"-")</f>
        <v>-</v>
      </c>
      <c r="J7630" s="239" t="s">
        <v>6330</v>
      </c>
    </row>
    <row r="7631">
      <c r="A7631" s="234"/>
      <c r="B7631" s="238" t="str">
        <f>IFERROR(__xludf.DUMMYFUNCTION("""COMPUTED_VALUE"""),"-")</f>
        <v>-</v>
      </c>
      <c r="C7631" s="238" t="str">
        <f>IFERROR(__xludf.DUMMYFUNCTION("""COMPUTED_VALUE"""),"-")</f>
        <v>-</v>
      </c>
      <c r="D7631" s="234"/>
      <c r="E7631" s="237"/>
      <c r="F7631" s="238" t="str">
        <f>IFERROR(__xludf.DUMMYFUNCTION("""COMPUTED_VALUE"""),"-")</f>
        <v>-</v>
      </c>
      <c r="G7631" s="238" t="str">
        <f>IFERROR(__xludf.DUMMYFUNCTION("""COMPUTED_VALUE"""),"-")</f>
        <v>-</v>
      </c>
      <c r="H7631" s="238" t="str">
        <f>IFERROR(__xludf.DUMMYFUNCTION("""COMPUTED_VALUE"""),"-")</f>
        <v>-</v>
      </c>
      <c r="J7631" s="239" t="s">
        <v>6330</v>
      </c>
    </row>
    <row r="7632">
      <c r="A7632" s="234"/>
      <c r="B7632" s="238" t="str">
        <f>IFERROR(__xludf.DUMMYFUNCTION("""COMPUTED_VALUE"""),"-")</f>
        <v>-</v>
      </c>
      <c r="C7632" s="238" t="str">
        <f>IFERROR(__xludf.DUMMYFUNCTION("""COMPUTED_VALUE"""),"-")</f>
        <v>-</v>
      </c>
      <c r="D7632" s="234"/>
      <c r="E7632" s="237"/>
      <c r="F7632" s="238" t="str">
        <f>IFERROR(__xludf.DUMMYFUNCTION("""COMPUTED_VALUE"""),"-")</f>
        <v>-</v>
      </c>
      <c r="G7632" s="238" t="str">
        <f>IFERROR(__xludf.DUMMYFUNCTION("""COMPUTED_VALUE"""),"-")</f>
        <v>-</v>
      </c>
      <c r="H7632" s="238" t="str">
        <f>IFERROR(__xludf.DUMMYFUNCTION("""COMPUTED_VALUE"""),"-")</f>
        <v>-</v>
      </c>
      <c r="J7632" s="239" t="s">
        <v>6330</v>
      </c>
    </row>
    <row r="7633">
      <c r="A7633" s="234"/>
      <c r="B7633" s="238" t="str">
        <f>IFERROR(__xludf.DUMMYFUNCTION("""COMPUTED_VALUE"""),"-")</f>
        <v>-</v>
      </c>
      <c r="C7633" s="238" t="str">
        <f>IFERROR(__xludf.DUMMYFUNCTION("""COMPUTED_VALUE"""),"-")</f>
        <v>-</v>
      </c>
      <c r="D7633" s="234"/>
      <c r="E7633" s="237"/>
      <c r="F7633" s="238" t="str">
        <f>IFERROR(__xludf.DUMMYFUNCTION("""COMPUTED_VALUE"""),"-")</f>
        <v>-</v>
      </c>
      <c r="G7633" s="238" t="str">
        <f>IFERROR(__xludf.DUMMYFUNCTION("""COMPUTED_VALUE"""),"-")</f>
        <v>-</v>
      </c>
      <c r="H7633" s="238" t="str">
        <f>IFERROR(__xludf.DUMMYFUNCTION("""COMPUTED_VALUE"""),"-")</f>
        <v>-</v>
      </c>
      <c r="J7633" s="239" t="s">
        <v>6330</v>
      </c>
    </row>
    <row r="7634">
      <c r="A7634" s="234"/>
      <c r="B7634" s="238" t="str">
        <f>IFERROR(__xludf.DUMMYFUNCTION("""COMPUTED_VALUE"""),"-")</f>
        <v>-</v>
      </c>
      <c r="C7634" s="238" t="str">
        <f>IFERROR(__xludf.DUMMYFUNCTION("""COMPUTED_VALUE"""),"-")</f>
        <v>-</v>
      </c>
      <c r="D7634" s="234"/>
      <c r="E7634" s="237"/>
      <c r="F7634" s="238" t="str">
        <f>IFERROR(__xludf.DUMMYFUNCTION("""COMPUTED_VALUE"""),"-")</f>
        <v>-</v>
      </c>
      <c r="G7634" s="238" t="str">
        <f>IFERROR(__xludf.DUMMYFUNCTION("""COMPUTED_VALUE"""),"-")</f>
        <v>-</v>
      </c>
      <c r="H7634" s="238" t="str">
        <f>IFERROR(__xludf.DUMMYFUNCTION("""COMPUTED_VALUE"""),"-")</f>
        <v>-</v>
      </c>
      <c r="J7634" s="239" t="s">
        <v>6330</v>
      </c>
    </row>
    <row r="7635">
      <c r="A7635" s="234"/>
      <c r="B7635" s="238" t="str">
        <f>IFERROR(__xludf.DUMMYFUNCTION("""COMPUTED_VALUE"""),"-")</f>
        <v>-</v>
      </c>
      <c r="C7635" s="238" t="str">
        <f>IFERROR(__xludf.DUMMYFUNCTION("""COMPUTED_VALUE"""),"-")</f>
        <v>-</v>
      </c>
      <c r="D7635" s="234"/>
      <c r="E7635" s="237"/>
      <c r="F7635" s="238" t="str">
        <f>IFERROR(__xludf.DUMMYFUNCTION("""COMPUTED_VALUE"""),"-")</f>
        <v>-</v>
      </c>
      <c r="G7635" s="238" t="str">
        <f>IFERROR(__xludf.DUMMYFUNCTION("""COMPUTED_VALUE"""),"-")</f>
        <v>-</v>
      </c>
      <c r="H7635" s="238" t="str">
        <f>IFERROR(__xludf.DUMMYFUNCTION("""COMPUTED_VALUE"""),"-")</f>
        <v>-</v>
      </c>
      <c r="J7635" s="239" t="s">
        <v>6330</v>
      </c>
    </row>
    <row r="7636">
      <c r="A7636" s="234"/>
      <c r="B7636" s="238" t="str">
        <f>IFERROR(__xludf.DUMMYFUNCTION("""COMPUTED_VALUE"""),"-")</f>
        <v>-</v>
      </c>
      <c r="C7636" s="238" t="str">
        <f>IFERROR(__xludf.DUMMYFUNCTION("""COMPUTED_VALUE"""),"-")</f>
        <v>-</v>
      </c>
      <c r="D7636" s="234"/>
      <c r="E7636" s="237"/>
      <c r="F7636" s="238" t="str">
        <f>IFERROR(__xludf.DUMMYFUNCTION("""COMPUTED_VALUE"""),"-")</f>
        <v>-</v>
      </c>
      <c r="G7636" s="238" t="str">
        <f>IFERROR(__xludf.DUMMYFUNCTION("""COMPUTED_VALUE"""),"-")</f>
        <v>-</v>
      </c>
      <c r="H7636" s="238" t="str">
        <f>IFERROR(__xludf.DUMMYFUNCTION("""COMPUTED_VALUE"""),"-")</f>
        <v>-</v>
      </c>
      <c r="J7636" s="239" t="s">
        <v>6330</v>
      </c>
    </row>
    <row r="7637">
      <c r="A7637" s="234"/>
      <c r="B7637" s="238" t="str">
        <f>IFERROR(__xludf.DUMMYFUNCTION("""COMPUTED_VALUE"""),"-")</f>
        <v>-</v>
      </c>
      <c r="C7637" s="238" t="str">
        <f>IFERROR(__xludf.DUMMYFUNCTION("""COMPUTED_VALUE"""),"-")</f>
        <v>-</v>
      </c>
      <c r="D7637" s="234"/>
      <c r="E7637" s="237"/>
      <c r="F7637" s="238" t="str">
        <f>IFERROR(__xludf.DUMMYFUNCTION("""COMPUTED_VALUE"""),"-")</f>
        <v>-</v>
      </c>
      <c r="G7637" s="238" t="str">
        <f>IFERROR(__xludf.DUMMYFUNCTION("""COMPUTED_VALUE"""),"-")</f>
        <v>-</v>
      </c>
      <c r="H7637" s="238" t="str">
        <f>IFERROR(__xludf.DUMMYFUNCTION("""COMPUTED_VALUE"""),"-")</f>
        <v>-</v>
      </c>
      <c r="J7637" s="239" t="s">
        <v>6330</v>
      </c>
    </row>
    <row r="7638">
      <c r="A7638" s="234"/>
      <c r="B7638" s="238" t="str">
        <f>IFERROR(__xludf.DUMMYFUNCTION("""COMPUTED_VALUE"""),"-")</f>
        <v>-</v>
      </c>
      <c r="C7638" s="238" t="str">
        <f>IFERROR(__xludf.DUMMYFUNCTION("""COMPUTED_VALUE"""),"-")</f>
        <v>-</v>
      </c>
      <c r="D7638" s="234"/>
      <c r="E7638" s="237"/>
      <c r="F7638" s="238" t="str">
        <f>IFERROR(__xludf.DUMMYFUNCTION("""COMPUTED_VALUE"""),"-")</f>
        <v>-</v>
      </c>
      <c r="G7638" s="238" t="str">
        <f>IFERROR(__xludf.DUMMYFUNCTION("""COMPUTED_VALUE"""),"-")</f>
        <v>-</v>
      </c>
      <c r="H7638" s="238" t="str">
        <f>IFERROR(__xludf.DUMMYFUNCTION("""COMPUTED_VALUE"""),"-")</f>
        <v>-</v>
      </c>
      <c r="J7638" s="239" t="s">
        <v>6330</v>
      </c>
    </row>
    <row r="7639">
      <c r="A7639" s="234"/>
      <c r="B7639" s="238" t="str">
        <f>IFERROR(__xludf.DUMMYFUNCTION("""COMPUTED_VALUE"""),"-")</f>
        <v>-</v>
      </c>
      <c r="C7639" s="238" t="str">
        <f>IFERROR(__xludf.DUMMYFUNCTION("""COMPUTED_VALUE"""),"-")</f>
        <v>-</v>
      </c>
      <c r="D7639" s="234"/>
      <c r="E7639" s="237"/>
      <c r="F7639" s="238" t="str">
        <f>IFERROR(__xludf.DUMMYFUNCTION("""COMPUTED_VALUE"""),"-")</f>
        <v>-</v>
      </c>
      <c r="G7639" s="238" t="str">
        <f>IFERROR(__xludf.DUMMYFUNCTION("""COMPUTED_VALUE"""),"-")</f>
        <v>-</v>
      </c>
      <c r="H7639" s="238" t="str">
        <f>IFERROR(__xludf.DUMMYFUNCTION("""COMPUTED_VALUE"""),"-")</f>
        <v>-</v>
      </c>
      <c r="J7639" s="239" t="s">
        <v>6330</v>
      </c>
    </row>
    <row r="7640">
      <c r="A7640" s="234"/>
      <c r="B7640" s="238" t="str">
        <f>IFERROR(__xludf.DUMMYFUNCTION("""COMPUTED_VALUE"""),"-")</f>
        <v>-</v>
      </c>
      <c r="C7640" s="238" t="str">
        <f>IFERROR(__xludf.DUMMYFUNCTION("""COMPUTED_VALUE"""),"-")</f>
        <v>-</v>
      </c>
      <c r="D7640" s="234"/>
      <c r="E7640" s="237"/>
      <c r="F7640" s="238" t="str">
        <f>IFERROR(__xludf.DUMMYFUNCTION("""COMPUTED_VALUE"""),"-")</f>
        <v>-</v>
      </c>
      <c r="G7640" s="238" t="str">
        <f>IFERROR(__xludf.DUMMYFUNCTION("""COMPUTED_VALUE"""),"-")</f>
        <v>-</v>
      </c>
      <c r="H7640" s="238" t="str">
        <f>IFERROR(__xludf.DUMMYFUNCTION("""COMPUTED_VALUE"""),"-")</f>
        <v>-</v>
      </c>
      <c r="J7640" s="239" t="s">
        <v>6330</v>
      </c>
    </row>
    <row r="7641">
      <c r="A7641" s="234"/>
      <c r="B7641" s="238" t="str">
        <f>IFERROR(__xludf.DUMMYFUNCTION("""COMPUTED_VALUE"""),"-")</f>
        <v>-</v>
      </c>
      <c r="C7641" s="238" t="str">
        <f>IFERROR(__xludf.DUMMYFUNCTION("""COMPUTED_VALUE"""),"-")</f>
        <v>-</v>
      </c>
      <c r="D7641" s="234"/>
      <c r="E7641" s="237"/>
      <c r="F7641" s="238" t="str">
        <f>IFERROR(__xludf.DUMMYFUNCTION("""COMPUTED_VALUE"""),"-")</f>
        <v>-</v>
      </c>
      <c r="G7641" s="238" t="str">
        <f>IFERROR(__xludf.DUMMYFUNCTION("""COMPUTED_VALUE"""),"-")</f>
        <v>-</v>
      </c>
      <c r="H7641" s="238" t="str">
        <f>IFERROR(__xludf.DUMMYFUNCTION("""COMPUTED_VALUE"""),"-")</f>
        <v>-</v>
      </c>
      <c r="J7641" s="239" t="s">
        <v>6330</v>
      </c>
    </row>
    <row r="7642">
      <c r="A7642" s="234"/>
      <c r="B7642" s="238" t="str">
        <f>IFERROR(__xludf.DUMMYFUNCTION("""COMPUTED_VALUE"""),"-")</f>
        <v>-</v>
      </c>
      <c r="C7642" s="238" t="str">
        <f>IFERROR(__xludf.DUMMYFUNCTION("""COMPUTED_VALUE"""),"-")</f>
        <v>-</v>
      </c>
      <c r="D7642" s="234"/>
      <c r="E7642" s="237"/>
      <c r="F7642" s="238" t="str">
        <f>IFERROR(__xludf.DUMMYFUNCTION("""COMPUTED_VALUE"""),"-")</f>
        <v>-</v>
      </c>
      <c r="G7642" s="238" t="str">
        <f>IFERROR(__xludf.DUMMYFUNCTION("""COMPUTED_VALUE"""),"-")</f>
        <v>-</v>
      </c>
      <c r="H7642" s="238" t="str">
        <f>IFERROR(__xludf.DUMMYFUNCTION("""COMPUTED_VALUE"""),"-")</f>
        <v>-</v>
      </c>
      <c r="J7642" s="239" t="s">
        <v>6330</v>
      </c>
    </row>
    <row r="7643">
      <c r="A7643" s="234"/>
      <c r="B7643" s="238" t="str">
        <f>IFERROR(__xludf.DUMMYFUNCTION("""COMPUTED_VALUE"""),"-")</f>
        <v>-</v>
      </c>
      <c r="C7643" s="238" t="str">
        <f>IFERROR(__xludf.DUMMYFUNCTION("""COMPUTED_VALUE"""),"-")</f>
        <v>-</v>
      </c>
      <c r="D7643" s="234"/>
      <c r="E7643" s="237"/>
      <c r="F7643" s="238" t="str">
        <f>IFERROR(__xludf.DUMMYFUNCTION("""COMPUTED_VALUE"""),"-")</f>
        <v>-</v>
      </c>
      <c r="G7643" s="238" t="str">
        <f>IFERROR(__xludf.DUMMYFUNCTION("""COMPUTED_VALUE"""),"-")</f>
        <v>-</v>
      </c>
      <c r="H7643" s="238" t="str">
        <f>IFERROR(__xludf.DUMMYFUNCTION("""COMPUTED_VALUE"""),"-")</f>
        <v>-</v>
      </c>
      <c r="J7643" s="239" t="s">
        <v>6330</v>
      </c>
    </row>
    <row r="7644">
      <c r="A7644" s="234"/>
      <c r="B7644" s="238" t="str">
        <f>IFERROR(__xludf.DUMMYFUNCTION("""COMPUTED_VALUE"""),"-")</f>
        <v>-</v>
      </c>
      <c r="C7644" s="238" t="str">
        <f>IFERROR(__xludf.DUMMYFUNCTION("""COMPUTED_VALUE"""),"-")</f>
        <v>-</v>
      </c>
      <c r="D7644" s="234"/>
      <c r="E7644" s="237"/>
      <c r="F7644" s="238" t="str">
        <f>IFERROR(__xludf.DUMMYFUNCTION("""COMPUTED_VALUE"""),"-")</f>
        <v>-</v>
      </c>
      <c r="G7644" s="238" t="str">
        <f>IFERROR(__xludf.DUMMYFUNCTION("""COMPUTED_VALUE"""),"-")</f>
        <v>-</v>
      </c>
      <c r="H7644" s="238" t="str">
        <f>IFERROR(__xludf.DUMMYFUNCTION("""COMPUTED_VALUE"""),"-")</f>
        <v>-</v>
      </c>
      <c r="J7644" s="239" t="s">
        <v>6330</v>
      </c>
    </row>
    <row r="7645">
      <c r="A7645" s="234"/>
      <c r="B7645" s="238" t="str">
        <f>IFERROR(__xludf.DUMMYFUNCTION("""COMPUTED_VALUE"""),"-")</f>
        <v>-</v>
      </c>
      <c r="C7645" s="238" t="str">
        <f>IFERROR(__xludf.DUMMYFUNCTION("""COMPUTED_VALUE"""),"-")</f>
        <v>-</v>
      </c>
      <c r="D7645" s="234"/>
      <c r="E7645" s="237"/>
      <c r="F7645" s="238" t="str">
        <f>IFERROR(__xludf.DUMMYFUNCTION("""COMPUTED_VALUE"""),"-")</f>
        <v>-</v>
      </c>
      <c r="G7645" s="238" t="str">
        <f>IFERROR(__xludf.DUMMYFUNCTION("""COMPUTED_VALUE"""),"-")</f>
        <v>-</v>
      </c>
      <c r="H7645" s="238" t="str">
        <f>IFERROR(__xludf.DUMMYFUNCTION("""COMPUTED_VALUE"""),"-")</f>
        <v>-</v>
      </c>
      <c r="J7645" s="239" t="s">
        <v>6330</v>
      </c>
    </row>
    <row r="7646">
      <c r="A7646" s="234"/>
      <c r="B7646" s="238" t="str">
        <f>IFERROR(__xludf.DUMMYFUNCTION("""COMPUTED_VALUE"""),"-")</f>
        <v>-</v>
      </c>
      <c r="C7646" s="238" t="str">
        <f>IFERROR(__xludf.DUMMYFUNCTION("""COMPUTED_VALUE"""),"-")</f>
        <v>-</v>
      </c>
      <c r="D7646" s="234"/>
      <c r="E7646" s="237"/>
      <c r="F7646" s="238" t="str">
        <f>IFERROR(__xludf.DUMMYFUNCTION("""COMPUTED_VALUE"""),"-")</f>
        <v>-</v>
      </c>
      <c r="G7646" s="238" t="str">
        <f>IFERROR(__xludf.DUMMYFUNCTION("""COMPUTED_VALUE"""),"-")</f>
        <v>-</v>
      </c>
      <c r="H7646" s="238" t="str">
        <f>IFERROR(__xludf.DUMMYFUNCTION("""COMPUTED_VALUE"""),"-")</f>
        <v>-</v>
      </c>
      <c r="J7646" s="239" t="s">
        <v>6330</v>
      </c>
    </row>
    <row r="7647">
      <c r="A7647" s="234"/>
      <c r="B7647" s="238" t="str">
        <f>IFERROR(__xludf.DUMMYFUNCTION("""COMPUTED_VALUE"""),"-")</f>
        <v>-</v>
      </c>
      <c r="C7647" s="238" t="str">
        <f>IFERROR(__xludf.DUMMYFUNCTION("""COMPUTED_VALUE"""),"-")</f>
        <v>-</v>
      </c>
      <c r="D7647" s="234"/>
      <c r="E7647" s="237"/>
      <c r="F7647" s="238" t="str">
        <f>IFERROR(__xludf.DUMMYFUNCTION("""COMPUTED_VALUE"""),"-")</f>
        <v>-</v>
      </c>
      <c r="G7647" s="238" t="str">
        <f>IFERROR(__xludf.DUMMYFUNCTION("""COMPUTED_VALUE"""),"-")</f>
        <v>-</v>
      </c>
      <c r="H7647" s="238" t="str">
        <f>IFERROR(__xludf.DUMMYFUNCTION("""COMPUTED_VALUE"""),"-")</f>
        <v>-</v>
      </c>
      <c r="J7647" s="239" t="s">
        <v>6330</v>
      </c>
    </row>
    <row r="7648">
      <c r="A7648" s="234"/>
      <c r="B7648" s="238" t="str">
        <f>IFERROR(__xludf.DUMMYFUNCTION("""COMPUTED_VALUE"""),"-")</f>
        <v>-</v>
      </c>
      <c r="C7648" s="238" t="str">
        <f>IFERROR(__xludf.DUMMYFUNCTION("""COMPUTED_VALUE"""),"-")</f>
        <v>-</v>
      </c>
      <c r="D7648" s="234"/>
      <c r="E7648" s="237"/>
      <c r="F7648" s="238" t="str">
        <f>IFERROR(__xludf.DUMMYFUNCTION("""COMPUTED_VALUE"""),"-")</f>
        <v>-</v>
      </c>
      <c r="G7648" s="238" t="str">
        <f>IFERROR(__xludf.DUMMYFUNCTION("""COMPUTED_VALUE"""),"-")</f>
        <v>-</v>
      </c>
      <c r="H7648" s="238" t="str">
        <f>IFERROR(__xludf.DUMMYFUNCTION("""COMPUTED_VALUE"""),"-")</f>
        <v>-</v>
      </c>
      <c r="J7648" s="239" t="s">
        <v>6330</v>
      </c>
    </row>
    <row r="7649">
      <c r="A7649" s="234"/>
      <c r="B7649" s="238" t="str">
        <f>IFERROR(__xludf.DUMMYFUNCTION("""COMPUTED_VALUE"""),"-")</f>
        <v>-</v>
      </c>
      <c r="C7649" s="238" t="str">
        <f>IFERROR(__xludf.DUMMYFUNCTION("""COMPUTED_VALUE"""),"-")</f>
        <v>-</v>
      </c>
      <c r="D7649" s="234"/>
      <c r="E7649" s="237"/>
      <c r="F7649" s="238" t="str">
        <f>IFERROR(__xludf.DUMMYFUNCTION("""COMPUTED_VALUE"""),"-")</f>
        <v>-</v>
      </c>
      <c r="G7649" s="238" t="str">
        <f>IFERROR(__xludf.DUMMYFUNCTION("""COMPUTED_VALUE"""),"-")</f>
        <v>-</v>
      </c>
      <c r="H7649" s="238" t="str">
        <f>IFERROR(__xludf.DUMMYFUNCTION("""COMPUTED_VALUE"""),"-")</f>
        <v>-</v>
      </c>
      <c r="J7649" s="239" t="s">
        <v>6330</v>
      </c>
    </row>
    <row r="7650">
      <c r="A7650" s="234"/>
      <c r="B7650" s="238" t="str">
        <f>IFERROR(__xludf.DUMMYFUNCTION("""COMPUTED_VALUE"""),"-")</f>
        <v>-</v>
      </c>
      <c r="C7650" s="238" t="str">
        <f>IFERROR(__xludf.DUMMYFUNCTION("""COMPUTED_VALUE"""),"-")</f>
        <v>-</v>
      </c>
      <c r="D7650" s="234"/>
      <c r="E7650" s="237"/>
      <c r="F7650" s="238" t="str">
        <f>IFERROR(__xludf.DUMMYFUNCTION("""COMPUTED_VALUE"""),"-")</f>
        <v>-</v>
      </c>
      <c r="G7650" s="238" t="str">
        <f>IFERROR(__xludf.DUMMYFUNCTION("""COMPUTED_VALUE"""),"-")</f>
        <v>-</v>
      </c>
      <c r="H7650" s="238" t="str">
        <f>IFERROR(__xludf.DUMMYFUNCTION("""COMPUTED_VALUE"""),"-")</f>
        <v>-</v>
      </c>
      <c r="J7650" s="239" t="s">
        <v>6330</v>
      </c>
    </row>
    <row r="7651">
      <c r="A7651" s="234"/>
      <c r="B7651" s="238" t="str">
        <f>IFERROR(__xludf.DUMMYFUNCTION("""COMPUTED_VALUE"""),"-")</f>
        <v>-</v>
      </c>
      <c r="C7651" s="238" t="str">
        <f>IFERROR(__xludf.DUMMYFUNCTION("""COMPUTED_VALUE"""),"-")</f>
        <v>-</v>
      </c>
      <c r="D7651" s="234"/>
      <c r="E7651" s="237"/>
      <c r="F7651" s="238" t="str">
        <f>IFERROR(__xludf.DUMMYFUNCTION("""COMPUTED_VALUE"""),"-")</f>
        <v>-</v>
      </c>
      <c r="G7651" s="238" t="str">
        <f>IFERROR(__xludf.DUMMYFUNCTION("""COMPUTED_VALUE"""),"-")</f>
        <v>-</v>
      </c>
      <c r="H7651" s="238" t="str">
        <f>IFERROR(__xludf.DUMMYFUNCTION("""COMPUTED_VALUE"""),"-")</f>
        <v>-</v>
      </c>
      <c r="J7651" s="239" t="s">
        <v>6330</v>
      </c>
    </row>
    <row r="7652">
      <c r="A7652" s="234"/>
      <c r="B7652" s="238" t="str">
        <f>IFERROR(__xludf.DUMMYFUNCTION("""COMPUTED_VALUE"""),"-")</f>
        <v>-</v>
      </c>
      <c r="C7652" s="238" t="str">
        <f>IFERROR(__xludf.DUMMYFUNCTION("""COMPUTED_VALUE"""),"-")</f>
        <v>-</v>
      </c>
      <c r="D7652" s="234"/>
      <c r="E7652" s="237"/>
      <c r="F7652" s="238" t="str">
        <f>IFERROR(__xludf.DUMMYFUNCTION("""COMPUTED_VALUE"""),"-")</f>
        <v>-</v>
      </c>
      <c r="G7652" s="238" t="str">
        <f>IFERROR(__xludf.DUMMYFUNCTION("""COMPUTED_VALUE"""),"-")</f>
        <v>-</v>
      </c>
      <c r="H7652" s="238" t="str">
        <f>IFERROR(__xludf.DUMMYFUNCTION("""COMPUTED_VALUE"""),"-")</f>
        <v>-</v>
      </c>
      <c r="J7652" s="239" t="s">
        <v>6330</v>
      </c>
    </row>
    <row r="7653">
      <c r="A7653" s="234"/>
      <c r="B7653" s="238" t="str">
        <f>IFERROR(__xludf.DUMMYFUNCTION("""COMPUTED_VALUE"""),"-")</f>
        <v>-</v>
      </c>
      <c r="C7653" s="238" t="str">
        <f>IFERROR(__xludf.DUMMYFUNCTION("""COMPUTED_VALUE"""),"-")</f>
        <v>-</v>
      </c>
      <c r="D7653" s="234"/>
      <c r="E7653" s="237"/>
      <c r="F7653" s="238" t="str">
        <f>IFERROR(__xludf.DUMMYFUNCTION("""COMPUTED_VALUE"""),"-")</f>
        <v>-</v>
      </c>
      <c r="G7653" s="238" t="str">
        <f>IFERROR(__xludf.DUMMYFUNCTION("""COMPUTED_VALUE"""),"-")</f>
        <v>-</v>
      </c>
      <c r="H7653" s="238" t="str">
        <f>IFERROR(__xludf.DUMMYFUNCTION("""COMPUTED_VALUE"""),"-")</f>
        <v>-</v>
      </c>
      <c r="J7653" s="239" t="s">
        <v>6330</v>
      </c>
    </row>
    <row r="7654">
      <c r="A7654" s="234"/>
      <c r="B7654" s="238" t="str">
        <f>IFERROR(__xludf.DUMMYFUNCTION("""COMPUTED_VALUE"""),"-")</f>
        <v>-</v>
      </c>
      <c r="C7654" s="238" t="str">
        <f>IFERROR(__xludf.DUMMYFUNCTION("""COMPUTED_VALUE"""),"-")</f>
        <v>-</v>
      </c>
      <c r="D7654" s="234"/>
      <c r="E7654" s="237"/>
      <c r="F7654" s="238" t="str">
        <f>IFERROR(__xludf.DUMMYFUNCTION("""COMPUTED_VALUE"""),"-")</f>
        <v>-</v>
      </c>
      <c r="G7654" s="238" t="str">
        <f>IFERROR(__xludf.DUMMYFUNCTION("""COMPUTED_VALUE"""),"-")</f>
        <v>-</v>
      </c>
      <c r="H7654" s="238" t="str">
        <f>IFERROR(__xludf.DUMMYFUNCTION("""COMPUTED_VALUE"""),"-")</f>
        <v>-</v>
      </c>
      <c r="J7654" s="239" t="s">
        <v>6330</v>
      </c>
    </row>
    <row r="7655">
      <c r="A7655" s="234"/>
      <c r="B7655" s="238" t="str">
        <f>IFERROR(__xludf.DUMMYFUNCTION("""COMPUTED_VALUE"""),"-")</f>
        <v>-</v>
      </c>
      <c r="C7655" s="238" t="str">
        <f>IFERROR(__xludf.DUMMYFUNCTION("""COMPUTED_VALUE"""),"-")</f>
        <v>-</v>
      </c>
      <c r="D7655" s="234"/>
      <c r="E7655" s="237"/>
      <c r="F7655" s="238" t="str">
        <f>IFERROR(__xludf.DUMMYFUNCTION("""COMPUTED_VALUE"""),"-")</f>
        <v>-</v>
      </c>
      <c r="G7655" s="238" t="str">
        <f>IFERROR(__xludf.DUMMYFUNCTION("""COMPUTED_VALUE"""),"-")</f>
        <v>-</v>
      </c>
      <c r="H7655" s="238" t="str">
        <f>IFERROR(__xludf.DUMMYFUNCTION("""COMPUTED_VALUE"""),"-")</f>
        <v>-</v>
      </c>
      <c r="J7655" s="239" t="s">
        <v>6330</v>
      </c>
    </row>
    <row r="7656">
      <c r="A7656" s="234"/>
      <c r="B7656" s="238" t="str">
        <f>IFERROR(__xludf.DUMMYFUNCTION("""COMPUTED_VALUE"""),"-")</f>
        <v>-</v>
      </c>
      <c r="C7656" s="238" t="str">
        <f>IFERROR(__xludf.DUMMYFUNCTION("""COMPUTED_VALUE"""),"-")</f>
        <v>-</v>
      </c>
      <c r="D7656" s="234"/>
      <c r="E7656" s="237"/>
      <c r="F7656" s="238" t="str">
        <f>IFERROR(__xludf.DUMMYFUNCTION("""COMPUTED_VALUE"""),"-")</f>
        <v>-</v>
      </c>
      <c r="G7656" s="238" t="str">
        <f>IFERROR(__xludf.DUMMYFUNCTION("""COMPUTED_VALUE"""),"-")</f>
        <v>-</v>
      </c>
      <c r="H7656" s="238" t="str">
        <f>IFERROR(__xludf.DUMMYFUNCTION("""COMPUTED_VALUE"""),"-")</f>
        <v>-</v>
      </c>
      <c r="J7656" s="239" t="s">
        <v>6330</v>
      </c>
    </row>
    <row r="7657">
      <c r="A7657" s="234"/>
      <c r="B7657" s="238" t="str">
        <f>IFERROR(__xludf.DUMMYFUNCTION("""COMPUTED_VALUE"""),"-")</f>
        <v>-</v>
      </c>
      <c r="C7657" s="238" t="str">
        <f>IFERROR(__xludf.DUMMYFUNCTION("""COMPUTED_VALUE"""),"-")</f>
        <v>-</v>
      </c>
      <c r="D7657" s="234"/>
      <c r="E7657" s="237"/>
      <c r="F7657" s="238" t="str">
        <f>IFERROR(__xludf.DUMMYFUNCTION("""COMPUTED_VALUE"""),"-")</f>
        <v>-</v>
      </c>
      <c r="G7657" s="238" t="str">
        <f>IFERROR(__xludf.DUMMYFUNCTION("""COMPUTED_VALUE"""),"-")</f>
        <v>-</v>
      </c>
      <c r="H7657" s="238" t="str">
        <f>IFERROR(__xludf.DUMMYFUNCTION("""COMPUTED_VALUE"""),"-")</f>
        <v>-</v>
      </c>
      <c r="J7657" s="239" t="s">
        <v>6330</v>
      </c>
    </row>
    <row r="7658">
      <c r="A7658" s="234"/>
      <c r="B7658" s="238" t="str">
        <f>IFERROR(__xludf.DUMMYFUNCTION("""COMPUTED_VALUE"""),"-")</f>
        <v>-</v>
      </c>
      <c r="C7658" s="238" t="str">
        <f>IFERROR(__xludf.DUMMYFUNCTION("""COMPUTED_VALUE"""),"-")</f>
        <v>-</v>
      </c>
      <c r="D7658" s="234"/>
      <c r="E7658" s="237"/>
      <c r="F7658" s="238" t="str">
        <f>IFERROR(__xludf.DUMMYFUNCTION("""COMPUTED_VALUE"""),"-")</f>
        <v>-</v>
      </c>
      <c r="G7658" s="238" t="str">
        <f>IFERROR(__xludf.DUMMYFUNCTION("""COMPUTED_VALUE"""),"-")</f>
        <v>-</v>
      </c>
      <c r="H7658" s="238" t="str">
        <f>IFERROR(__xludf.DUMMYFUNCTION("""COMPUTED_VALUE"""),"-")</f>
        <v>-</v>
      </c>
      <c r="J7658" s="239" t="s">
        <v>6330</v>
      </c>
    </row>
    <row r="7659">
      <c r="A7659" s="234"/>
      <c r="B7659" s="238" t="str">
        <f>IFERROR(__xludf.DUMMYFUNCTION("""COMPUTED_VALUE"""),"-")</f>
        <v>-</v>
      </c>
      <c r="C7659" s="238" t="str">
        <f>IFERROR(__xludf.DUMMYFUNCTION("""COMPUTED_VALUE"""),"-")</f>
        <v>-</v>
      </c>
      <c r="D7659" s="234"/>
      <c r="E7659" s="237"/>
      <c r="F7659" s="238" t="str">
        <f>IFERROR(__xludf.DUMMYFUNCTION("""COMPUTED_VALUE"""),"-")</f>
        <v>-</v>
      </c>
      <c r="G7659" s="238" t="str">
        <f>IFERROR(__xludf.DUMMYFUNCTION("""COMPUTED_VALUE"""),"-")</f>
        <v>-</v>
      </c>
      <c r="H7659" s="238" t="str">
        <f>IFERROR(__xludf.DUMMYFUNCTION("""COMPUTED_VALUE"""),"-")</f>
        <v>-</v>
      </c>
      <c r="J7659" s="239" t="s">
        <v>6330</v>
      </c>
    </row>
    <row r="7660">
      <c r="A7660" s="234"/>
      <c r="B7660" s="238" t="str">
        <f>IFERROR(__xludf.DUMMYFUNCTION("""COMPUTED_VALUE"""),"-")</f>
        <v>-</v>
      </c>
      <c r="C7660" s="238" t="str">
        <f>IFERROR(__xludf.DUMMYFUNCTION("""COMPUTED_VALUE"""),"-")</f>
        <v>-</v>
      </c>
      <c r="D7660" s="234"/>
      <c r="E7660" s="237"/>
      <c r="F7660" s="238" t="str">
        <f>IFERROR(__xludf.DUMMYFUNCTION("""COMPUTED_VALUE"""),"-")</f>
        <v>-</v>
      </c>
      <c r="G7660" s="238" t="str">
        <f>IFERROR(__xludf.DUMMYFUNCTION("""COMPUTED_VALUE"""),"-")</f>
        <v>-</v>
      </c>
      <c r="H7660" s="238" t="str">
        <f>IFERROR(__xludf.DUMMYFUNCTION("""COMPUTED_VALUE"""),"-")</f>
        <v>-</v>
      </c>
      <c r="J7660" s="239" t="s">
        <v>6330</v>
      </c>
    </row>
    <row r="7661">
      <c r="A7661" s="234"/>
      <c r="B7661" s="238" t="str">
        <f>IFERROR(__xludf.DUMMYFUNCTION("""COMPUTED_VALUE"""),"-")</f>
        <v>-</v>
      </c>
      <c r="C7661" s="238" t="str">
        <f>IFERROR(__xludf.DUMMYFUNCTION("""COMPUTED_VALUE"""),"-")</f>
        <v>-</v>
      </c>
      <c r="D7661" s="234"/>
      <c r="E7661" s="237"/>
      <c r="F7661" s="238" t="str">
        <f>IFERROR(__xludf.DUMMYFUNCTION("""COMPUTED_VALUE"""),"-")</f>
        <v>-</v>
      </c>
      <c r="G7661" s="238" t="str">
        <f>IFERROR(__xludf.DUMMYFUNCTION("""COMPUTED_VALUE"""),"-")</f>
        <v>-</v>
      </c>
      <c r="H7661" s="238" t="str">
        <f>IFERROR(__xludf.DUMMYFUNCTION("""COMPUTED_VALUE"""),"-")</f>
        <v>-</v>
      </c>
      <c r="J7661" s="239" t="s">
        <v>6330</v>
      </c>
    </row>
    <row r="7662">
      <c r="A7662" s="234"/>
      <c r="B7662" s="238" t="str">
        <f>IFERROR(__xludf.DUMMYFUNCTION("""COMPUTED_VALUE"""),"-")</f>
        <v>-</v>
      </c>
      <c r="C7662" s="238" t="str">
        <f>IFERROR(__xludf.DUMMYFUNCTION("""COMPUTED_VALUE"""),"-")</f>
        <v>-</v>
      </c>
      <c r="D7662" s="234"/>
      <c r="E7662" s="237"/>
      <c r="F7662" s="238" t="str">
        <f>IFERROR(__xludf.DUMMYFUNCTION("""COMPUTED_VALUE"""),"-")</f>
        <v>-</v>
      </c>
      <c r="G7662" s="238" t="str">
        <f>IFERROR(__xludf.DUMMYFUNCTION("""COMPUTED_VALUE"""),"-")</f>
        <v>-</v>
      </c>
      <c r="H7662" s="238" t="str">
        <f>IFERROR(__xludf.DUMMYFUNCTION("""COMPUTED_VALUE"""),"-")</f>
        <v>-</v>
      </c>
      <c r="J7662" s="239" t="s">
        <v>6330</v>
      </c>
    </row>
    <row r="7663">
      <c r="A7663" s="234"/>
      <c r="B7663" s="238" t="str">
        <f>IFERROR(__xludf.DUMMYFUNCTION("""COMPUTED_VALUE"""),"-")</f>
        <v>-</v>
      </c>
      <c r="C7663" s="238" t="str">
        <f>IFERROR(__xludf.DUMMYFUNCTION("""COMPUTED_VALUE"""),"-")</f>
        <v>-</v>
      </c>
      <c r="D7663" s="234"/>
      <c r="E7663" s="237"/>
      <c r="F7663" s="238" t="str">
        <f>IFERROR(__xludf.DUMMYFUNCTION("""COMPUTED_VALUE"""),"-")</f>
        <v>-</v>
      </c>
      <c r="G7663" s="238" t="str">
        <f>IFERROR(__xludf.DUMMYFUNCTION("""COMPUTED_VALUE"""),"-")</f>
        <v>-</v>
      </c>
      <c r="H7663" s="238" t="str">
        <f>IFERROR(__xludf.DUMMYFUNCTION("""COMPUTED_VALUE"""),"-")</f>
        <v>-</v>
      </c>
      <c r="J7663" s="239" t="s">
        <v>6330</v>
      </c>
    </row>
    <row r="7664">
      <c r="A7664" s="234"/>
      <c r="B7664" s="238" t="str">
        <f>IFERROR(__xludf.DUMMYFUNCTION("""COMPUTED_VALUE"""),"-")</f>
        <v>-</v>
      </c>
      <c r="C7664" s="238" t="str">
        <f>IFERROR(__xludf.DUMMYFUNCTION("""COMPUTED_VALUE"""),"-")</f>
        <v>-</v>
      </c>
      <c r="D7664" s="234"/>
      <c r="E7664" s="237"/>
      <c r="F7664" s="238" t="str">
        <f>IFERROR(__xludf.DUMMYFUNCTION("""COMPUTED_VALUE"""),"-")</f>
        <v>-</v>
      </c>
      <c r="G7664" s="238" t="str">
        <f>IFERROR(__xludf.DUMMYFUNCTION("""COMPUTED_VALUE"""),"-")</f>
        <v>-</v>
      </c>
      <c r="H7664" s="238" t="str">
        <f>IFERROR(__xludf.DUMMYFUNCTION("""COMPUTED_VALUE"""),"-")</f>
        <v>-</v>
      </c>
      <c r="J7664" s="239" t="s">
        <v>6330</v>
      </c>
    </row>
    <row r="7665">
      <c r="A7665" s="234"/>
      <c r="B7665" s="238" t="str">
        <f>IFERROR(__xludf.DUMMYFUNCTION("""COMPUTED_VALUE"""),"-")</f>
        <v>-</v>
      </c>
      <c r="C7665" s="238" t="str">
        <f>IFERROR(__xludf.DUMMYFUNCTION("""COMPUTED_VALUE"""),"-")</f>
        <v>-</v>
      </c>
      <c r="D7665" s="234"/>
      <c r="E7665" s="237"/>
      <c r="F7665" s="238" t="str">
        <f>IFERROR(__xludf.DUMMYFUNCTION("""COMPUTED_VALUE"""),"-")</f>
        <v>-</v>
      </c>
      <c r="G7665" s="238" t="str">
        <f>IFERROR(__xludf.DUMMYFUNCTION("""COMPUTED_VALUE"""),"-")</f>
        <v>-</v>
      </c>
      <c r="H7665" s="238" t="str">
        <f>IFERROR(__xludf.DUMMYFUNCTION("""COMPUTED_VALUE"""),"-")</f>
        <v>-</v>
      </c>
      <c r="J7665" s="239" t="s">
        <v>6330</v>
      </c>
    </row>
    <row r="7666">
      <c r="A7666" s="234"/>
      <c r="B7666" s="238" t="str">
        <f>IFERROR(__xludf.DUMMYFUNCTION("""COMPUTED_VALUE"""),"-")</f>
        <v>-</v>
      </c>
      <c r="C7666" s="238" t="str">
        <f>IFERROR(__xludf.DUMMYFUNCTION("""COMPUTED_VALUE"""),"-")</f>
        <v>-</v>
      </c>
      <c r="D7666" s="234"/>
      <c r="E7666" s="237"/>
      <c r="F7666" s="238" t="str">
        <f>IFERROR(__xludf.DUMMYFUNCTION("""COMPUTED_VALUE"""),"-")</f>
        <v>-</v>
      </c>
      <c r="G7666" s="238" t="str">
        <f>IFERROR(__xludf.DUMMYFUNCTION("""COMPUTED_VALUE"""),"-")</f>
        <v>-</v>
      </c>
      <c r="H7666" s="238" t="str">
        <f>IFERROR(__xludf.DUMMYFUNCTION("""COMPUTED_VALUE"""),"-")</f>
        <v>-</v>
      </c>
      <c r="J7666" s="239" t="s">
        <v>6330</v>
      </c>
    </row>
    <row r="7667">
      <c r="A7667" s="234"/>
      <c r="B7667" s="238" t="str">
        <f>IFERROR(__xludf.DUMMYFUNCTION("""COMPUTED_VALUE"""),"-")</f>
        <v>-</v>
      </c>
      <c r="C7667" s="238" t="str">
        <f>IFERROR(__xludf.DUMMYFUNCTION("""COMPUTED_VALUE"""),"-")</f>
        <v>-</v>
      </c>
      <c r="D7667" s="234"/>
      <c r="E7667" s="237"/>
      <c r="F7667" s="238" t="str">
        <f>IFERROR(__xludf.DUMMYFUNCTION("""COMPUTED_VALUE"""),"-")</f>
        <v>-</v>
      </c>
      <c r="G7667" s="238" t="str">
        <f>IFERROR(__xludf.DUMMYFUNCTION("""COMPUTED_VALUE"""),"-")</f>
        <v>-</v>
      </c>
      <c r="H7667" s="238" t="str">
        <f>IFERROR(__xludf.DUMMYFUNCTION("""COMPUTED_VALUE"""),"-")</f>
        <v>-</v>
      </c>
      <c r="J7667" s="239" t="s">
        <v>6330</v>
      </c>
    </row>
    <row r="7668">
      <c r="A7668" s="234"/>
      <c r="B7668" s="238" t="str">
        <f>IFERROR(__xludf.DUMMYFUNCTION("""COMPUTED_VALUE"""),"-")</f>
        <v>-</v>
      </c>
      <c r="C7668" s="238" t="str">
        <f>IFERROR(__xludf.DUMMYFUNCTION("""COMPUTED_VALUE"""),"-")</f>
        <v>-</v>
      </c>
      <c r="D7668" s="234"/>
      <c r="E7668" s="237"/>
      <c r="F7668" s="238" t="str">
        <f>IFERROR(__xludf.DUMMYFUNCTION("""COMPUTED_VALUE"""),"-")</f>
        <v>-</v>
      </c>
      <c r="G7668" s="238" t="str">
        <f>IFERROR(__xludf.DUMMYFUNCTION("""COMPUTED_VALUE"""),"-")</f>
        <v>-</v>
      </c>
      <c r="H7668" s="238" t="str">
        <f>IFERROR(__xludf.DUMMYFUNCTION("""COMPUTED_VALUE"""),"-")</f>
        <v>-</v>
      </c>
      <c r="J7668" s="239" t="s">
        <v>6330</v>
      </c>
    </row>
    <row r="7669">
      <c r="A7669" s="234"/>
      <c r="B7669" s="238" t="str">
        <f>IFERROR(__xludf.DUMMYFUNCTION("""COMPUTED_VALUE"""),"-")</f>
        <v>-</v>
      </c>
      <c r="C7669" s="238" t="str">
        <f>IFERROR(__xludf.DUMMYFUNCTION("""COMPUTED_VALUE"""),"-")</f>
        <v>-</v>
      </c>
      <c r="D7669" s="234"/>
      <c r="E7669" s="237"/>
      <c r="F7669" s="238" t="str">
        <f>IFERROR(__xludf.DUMMYFUNCTION("""COMPUTED_VALUE"""),"-")</f>
        <v>-</v>
      </c>
      <c r="G7669" s="238" t="str">
        <f>IFERROR(__xludf.DUMMYFUNCTION("""COMPUTED_VALUE"""),"-")</f>
        <v>-</v>
      </c>
      <c r="H7669" s="238" t="str">
        <f>IFERROR(__xludf.DUMMYFUNCTION("""COMPUTED_VALUE"""),"-")</f>
        <v>-</v>
      </c>
      <c r="J7669" s="239" t="s">
        <v>6330</v>
      </c>
    </row>
    <row r="7670">
      <c r="A7670" s="234"/>
      <c r="B7670" s="238" t="str">
        <f>IFERROR(__xludf.DUMMYFUNCTION("""COMPUTED_VALUE"""),"-")</f>
        <v>-</v>
      </c>
      <c r="C7670" s="238" t="str">
        <f>IFERROR(__xludf.DUMMYFUNCTION("""COMPUTED_VALUE"""),"-")</f>
        <v>-</v>
      </c>
      <c r="D7670" s="234"/>
      <c r="E7670" s="237"/>
      <c r="F7670" s="238" t="str">
        <f>IFERROR(__xludf.DUMMYFUNCTION("""COMPUTED_VALUE"""),"-")</f>
        <v>-</v>
      </c>
      <c r="G7670" s="238" t="str">
        <f>IFERROR(__xludf.DUMMYFUNCTION("""COMPUTED_VALUE"""),"-")</f>
        <v>-</v>
      </c>
      <c r="H7670" s="238" t="str">
        <f>IFERROR(__xludf.DUMMYFUNCTION("""COMPUTED_VALUE"""),"-")</f>
        <v>-</v>
      </c>
      <c r="J7670" s="239" t="s">
        <v>6330</v>
      </c>
    </row>
    <row r="7671">
      <c r="A7671" s="234"/>
      <c r="B7671" s="238" t="str">
        <f>IFERROR(__xludf.DUMMYFUNCTION("""COMPUTED_VALUE"""),"-")</f>
        <v>-</v>
      </c>
      <c r="C7671" s="238" t="str">
        <f>IFERROR(__xludf.DUMMYFUNCTION("""COMPUTED_VALUE"""),"-")</f>
        <v>-</v>
      </c>
      <c r="D7671" s="234"/>
      <c r="E7671" s="237"/>
      <c r="F7671" s="238" t="str">
        <f>IFERROR(__xludf.DUMMYFUNCTION("""COMPUTED_VALUE"""),"-")</f>
        <v>-</v>
      </c>
      <c r="G7671" s="238" t="str">
        <f>IFERROR(__xludf.DUMMYFUNCTION("""COMPUTED_VALUE"""),"-")</f>
        <v>-</v>
      </c>
      <c r="H7671" s="238" t="str">
        <f>IFERROR(__xludf.DUMMYFUNCTION("""COMPUTED_VALUE"""),"-")</f>
        <v>-</v>
      </c>
      <c r="J7671" s="239" t="s">
        <v>6330</v>
      </c>
    </row>
    <row r="7672">
      <c r="A7672" s="234"/>
      <c r="B7672" s="238" t="str">
        <f>IFERROR(__xludf.DUMMYFUNCTION("""COMPUTED_VALUE"""),"-")</f>
        <v>-</v>
      </c>
      <c r="C7672" s="238" t="str">
        <f>IFERROR(__xludf.DUMMYFUNCTION("""COMPUTED_VALUE"""),"-")</f>
        <v>-</v>
      </c>
      <c r="D7672" s="234"/>
      <c r="E7672" s="237"/>
      <c r="F7672" s="238" t="str">
        <f>IFERROR(__xludf.DUMMYFUNCTION("""COMPUTED_VALUE"""),"-")</f>
        <v>-</v>
      </c>
      <c r="G7672" s="238" t="str">
        <f>IFERROR(__xludf.DUMMYFUNCTION("""COMPUTED_VALUE"""),"-")</f>
        <v>-</v>
      </c>
      <c r="H7672" s="238" t="str">
        <f>IFERROR(__xludf.DUMMYFUNCTION("""COMPUTED_VALUE"""),"-")</f>
        <v>-</v>
      </c>
      <c r="J7672" s="239" t="s">
        <v>6330</v>
      </c>
    </row>
    <row r="7673">
      <c r="A7673" s="234"/>
      <c r="B7673" s="238" t="str">
        <f>IFERROR(__xludf.DUMMYFUNCTION("""COMPUTED_VALUE"""),"-")</f>
        <v>-</v>
      </c>
      <c r="C7673" s="238" t="str">
        <f>IFERROR(__xludf.DUMMYFUNCTION("""COMPUTED_VALUE"""),"-")</f>
        <v>-</v>
      </c>
      <c r="D7673" s="234"/>
      <c r="E7673" s="237"/>
      <c r="F7673" s="238" t="str">
        <f>IFERROR(__xludf.DUMMYFUNCTION("""COMPUTED_VALUE"""),"-")</f>
        <v>-</v>
      </c>
      <c r="G7673" s="238" t="str">
        <f>IFERROR(__xludf.DUMMYFUNCTION("""COMPUTED_VALUE"""),"-")</f>
        <v>-</v>
      </c>
      <c r="H7673" s="238" t="str">
        <f>IFERROR(__xludf.DUMMYFUNCTION("""COMPUTED_VALUE"""),"-")</f>
        <v>-</v>
      </c>
      <c r="J7673" s="239" t="s">
        <v>6330</v>
      </c>
    </row>
    <row r="7674">
      <c r="A7674" s="234"/>
      <c r="B7674" s="238" t="str">
        <f>IFERROR(__xludf.DUMMYFUNCTION("""COMPUTED_VALUE"""),"-")</f>
        <v>-</v>
      </c>
      <c r="C7674" s="238" t="str">
        <f>IFERROR(__xludf.DUMMYFUNCTION("""COMPUTED_VALUE"""),"-")</f>
        <v>-</v>
      </c>
      <c r="D7674" s="234"/>
      <c r="E7674" s="237"/>
      <c r="F7674" s="238" t="str">
        <f>IFERROR(__xludf.DUMMYFUNCTION("""COMPUTED_VALUE"""),"-")</f>
        <v>-</v>
      </c>
      <c r="G7674" s="238" t="str">
        <f>IFERROR(__xludf.DUMMYFUNCTION("""COMPUTED_VALUE"""),"-")</f>
        <v>-</v>
      </c>
      <c r="H7674" s="238" t="str">
        <f>IFERROR(__xludf.DUMMYFUNCTION("""COMPUTED_VALUE"""),"-")</f>
        <v>-</v>
      </c>
      <c r="J7674" s="239" t="s">
        <v>6330</v>
      </c>
    </row>
    <row r="7675">
      <c r="A7675" s="234"/>
      <c r="B7675" s="238" t="str">
        <f>IFERROR(__xludf.DUMMYFUNCTION("""COMPUTED_VALUE"""),"-")</f>
        <v>-</v>
      </c>
      <c r="C7675" s="238" t="str">
        <f>IFERROR(__xludf.DUMMYFUNCTION("""COMPUTED_VALUE"""),"-")</f>
        <v>-</v>
      </c>
      <c r="D7675" s="234"/>
      <c r="E7675" s="237"/>
      <c r="F7675" s="238" t="str">
        <f>IFERROR(__xludf.DUMMYFUNCTION("""COMPUTED_VALUE"""),"-")</f>
        <v>-</v>
      </c>
      <c r="G7675" s="238" t="str">
        <f>IFERROR(__xludf.DUMMYFUNCTION("""COMPUTED_VALUE"""),"-")</f>
        <v>-</v>
      </c>
      <c r="H7675" s="238" t="str">
        <f>IFERROR(__xludf.DUMMYFUNCTION("""COMPUTED_VALUE"""),"-")</f>
        <v>-</v>
      </c>
      <c r="J7675" s="239" t="s">
        <v>6330</v>
      </c>
    </row>
    <row r="7676">
      <c r="A7676" s="234"/>
      <c r="B7676" s="238" t="str">
        <f>IFERROR(__xludf.DUMMYFUNCTION("""COMPUTED_VALUE"""),"-")</f>
        <v>-</v>
      </c>
      <c r="C7676" s="238" t="str">
        <f>IFERROR(__xludf.DUMMYFUNCTION("""COMPUTED_VALUE"""),"-")</f>
        <v>-</v>
      </c>
      <c r="D7676" s="234"/>
      <c r="E7676" s="237"/>
      <c r="F7676" s="238" t="str">
        <f>IFERROR(__xludf.DUMMYFUNCTION("""COMPUTED_VALUE"""),"-")</f>
        <v>-</v>
      </c>
      <c r="G7676" s="238" t="str">
        <f>IFERROR(__xludf.DUMMYFUNCTION("""COMPUTED_VALUE"""),"-")</f>
        <v>-</v>
      </c>
      <c r="H7676" s="238" t="str">
        <f>IFERROR(__xludf.DUMMYFUNCTION("""COMPUTED_VALUE"""),"-")</f>
        <v>-</v>
      </c>
      <c r="J7676" s="239" t="s">
        <v>6330</v>
      </c>
    </row>
    <row r="7677">
      <c r="A7677" s="234"/>
      <c r="B7677" s="238" t="str">
        <f>IFERROR(__xludf.DUMMYFUNCTION("""COMPUTED_VALUE"""),"-")</f>
        <v>-</v>
      </c>
      <c r="C7677" s="238" t="str">
        <f>IFERROR(__xludf.DUMMYFUNCTION("""COMPUTED_VALUE"""),"-")</f>
        <v>-</v>
      </c>
      <c r="D7677" s="234"/>
      <c r="E7677" s="237"/>
      <c r="F7677" s="238" t="str">
        <f>IFERROR(__xludf.DUMMYFUNCTION("""COMPUTED_VALUE"""),"-")</f>
        <v>-</v>
      </c>
      <c r="G7677" s="238" t="str">
        <f>IFERROR(__xludf.DUMMYFUNCTION("""COMPUTED_VALUE"""),"-")</f>
        <v>-</v>
      </c>
      <c r="H7677" s="238" t="str">
        <f>IFERROR(__xludf.DUMMYFUNCTION("""COMPUTED_VALUE"""),"-")</f>
        <v>-</v>
      </c>
      <c r="J7677" s="239" t="s">
        <v>6330</v>
      </c>
    </row>
    <row r="7678">
      <c r="A7678" s="234"/>
      <c r="B7678" s="238" t="str">
        <f>IFERROR(__xludf.DUMMYFUNCTION("""COMPUTED_VALUE"""),"-")</f>
        <v>-</v>
      </c>
      <c r="C7678" s="238" t="str">
        <f>IFERROR(__xludf.DUMMYFUNCTION("""COMPUTED_VALUE"""),"-")</f>
        <v>-</v>
      </c>
      <c r="D7678" s="234"/>
      <c r="E7678" s="237"/>
      <c r="F7678" s="238" t="str">
        <f>IFERROR(__xludf.DUMMYFUNCTION("""COMPUTED_VALUE"""),"-")</f>
        <v>-</v>
      </c>
      <c r="G7678" s="238" t="str">
        <f>IFERROR(__xludf.DUMMYFUNCTION("""COMPUTED_VALUE"""),"-")</f>
        <v>-</v>
      </c>
      <c r="H7678" s="238" t="str">
        <f>IFERROR(__xludf.DUMMYFUNCTION("""COMPUTED_VALUE"""),"-")</f>
        <v>-</v>
      </c>
      <c r="J7678" s="239" t="s">
        <v>6330</v>
      </c>
    </row>
    <row r="7679">
      <c r="A7679" s="234"/>
      <c r="B7679" s="238" t="str">
        <f>IFERROR(__xludf.DUMMYFUNCTION("""COMPUTED_VALUE"""),"-")</f>
        <v>-</v>
      </c>
      <c r="C7679" s="238" t="str">
        <f>IFERROR(__xludf.DUMMYFUNCTION("""COMPUTED_VALUE"""),"-")</f>
        <v>-</v>
      </c>
      <c r="D7679" s="234"/>
      <c r="E7679" s="237"/>
      <c r="F7679" s="238" t="str">
        <f>IFERROR(__xludf.DUMMYFUNCTION("""COMPUTED_VALUE"""),"-")</f>
        <v>-</v>
      </c>
      <c r="G7679" s="238" t="str">
        <f>IFERROR(__xludf.DUMMYFUNCTION("""COMPUTED_VALUE"""),"-")</f>
        <v>-</v>
      </c>
      <c r="H7679" s="238" t="str">
        <f>IFERROR(__xludf.DUMMYFUNCTION("""COMPUTED_VALUE"""),"-")</f>
        <v>-</v>
      </c>
      <c r="J7679" s="239" t="s">
        <v>6330</v>
      </c>
    </row>
    <row r="7680">
      <c r="A7680" s="234"/>
      <c r="B7680" s="238" t="str">
        <f>IFERROR(__xludf.DUMMYFUNCTION("""COMPUTED_VALUE"""),"-")</f>
        <v>-</v>
      </c>
      <c r="C7680" s="238" t="str">
        <f>IFERROR(__xludf.DUMMYFUNCTION("""COMPUTED_VALUE"""),"-")</f>
        <v>-</v>
      </c>
      <c r="D7680" s="234"/>
      <c r="E7680" s="237"/>
      <c r="F7680" s="238" t="str">
        <f>IFERROR(__xludf.DUMMYFUNCTION("""COMPUTED_VALUE"""),"-")</f>
        <v>-</v>
      </c>
      <c r="G7680" s="238" t="str">
        <f>IFERROR(__xludf.DUMMYFUNCTION("""COMPUTED_VALUE"""),"-")</f>
        <v>-</v>
      </c>
      <c r="H7680" s="238" t="str">
        <f>IFERROR(__xludf.DUMMYFUNCTION("""COMPUTED_VALUE"""),"-")</f>
        <v>-</v>
      </c>
      <c r="J7680" s="239" t="s">
        <v>6330</v>
      </c>
    </row>
    <row r="7681">
      <c r="A7681" s="234"/>
      <c r="B7681" s="238" t="str">
        <f>IFERROR(__xludf.DUMMYFUNCTION("""COMPUTED_VALUE"""),"-")</f>
        <v>-</v>
      </c>
      <c r="C7681" s="238" t="str">
        <f>IFERROR(__xludf.DUMMYFUNCTION("""COMPUTED_VALUE"""),"-")</f>
        <v>-</v>
      </c>
      <c r="D7681" s="234"/>
      <c r="E7681" s="237"/>
      <c r="F7681" s="238" t="str">
        <f>IFERROR(__xludf.DUMMYFUNCTION("""COMPUTED_VALUE"""),"-")</f>
        <v>-</v>
      </c>
      <c r="G7681" s="238" t="str">
        <f>IFERROR(__xludf.DUMMYFUNCTION("""COMPUTED_VALUE"""),"-")</f>
        <v>-</v>
      </c>
      <c r="H7681" s="238" t="str">
        <f>IFERROR(__xludf.DUMMYFUNCTION("""COMPUTED_VALUE"""),"-")</f>
        <v>-</v>
      </c>
      <c r="J7681" s="239" t="s">
        <v>6330</v>
      </c>
    </row>
    <row r="7682">
      <c r="A7682" s="234"/>
      <c r="B7682" s="238" t="str">
        <f>IFERROR(__xludf.DUMMYFUNCTION("""COMPUTED_VALUE"""),"-")</f>
        <v>-</v>
      </c>
      <c r="C7682" s="238" t="str">
        <f>IFERROR(__xludf.DUMMYFUNCTION("""COMPUTED_VALUE"""),"-")</f>
        <v>-</v>
      </c>
      <c r="D7682" s="234"/>
      <c r="E7682" s="237"/>
      <c r="F7682" s="238" t="str">
        <f>IFERROR(__xludf.DUMMYFUNCTION("""COMPUTED_VALUE"""),"-")</f>
        <v>-</v>
      </c>
      <c r="G7682" s="238" t="str">
        <f>IFERROR(__xludf.DUMMYFUNCTION("""COMPUTED_VALUE"""),"-")</f>
        <v>-</v>
      </c>
      <c r="H7682" s="238" t="str">
        <f>IFERROR(__xludf.DUMMYFUNCTION("""COMPUTED_VALUE"""),"-")</f>
        <v>-</v>
      </c>
      <c r="J7682" s="239" t="s">
        <v>6330</v>
      </c>
    </row>
    <row r="7683">
      <c r="A7683" s="234"/>
      <c r="B7683" s="238" t="str">
        <f>IFERROR(__xludf.DUMMYFUNCTION("""COMPUTED_VALUE"""),"-")</f>
        <v>-</v>
      </c>
      <c r="C7683" s="238" t="str">
        <f>IFERROR(__xludf.DUMMYFUNCTION("""COMPUTED_VALUE"""),"-")</f>
        <v>-</v>
      </c>
      <c r="D7683" s="234"/>
      <c r="E7683" s="237"/>
      <c r="F7683" s="238" t="str">
        <f>IFERROR(__xludf.DUMMYFUNCTION("""COMPUTED_VALUE"""),"-")</f>
        <v>-</v>
      </c>
      <c r="G7683" s="238" t="str">
        <f>IFERROR(__xludf.DUMMYFUNCTION("""COMPUTED_VALUE"""),"-")</f>
        <v>-</v>
      </c>
      <c r="H7683" s="238" t="str">
        <f>IFERROR(__xludf.DUMMYFUNCTION("""COMPUTED_VALUE"""),"-")</f>
        <v>-</v>
      </c>
      <c r="J7683" s="239" t="s">
        <v>6330</v>
      </c>
    </row>
    <row r="7684">
      <c r="A7684" s="234"/>
      <c r="B7684" s="238" t="str">
        <f>IFERROR(__xludf.DUMMYFUNCTION("""COMPUTED_VALUE"""),"-")</f>
        <v>-</v>
      </c>
      <c r="C7684" s="238" t="str">
        <f>IFERROR(__xludf.DUMMYFUNCTION("""COMPUTED_VALUE"""),"-")</f>
        <v>-</v>
      </c>
      <c r="D7684" s="234"/>
      <c r="E7684" s="237"/>
      <c r="F7684" s="238" t="str">
        <f>IFERROR(__xludf.DUMMYFUNCTION("""COMPUTED_VALUE"""),"-")</f>
        <v>-</v>
      </c>
      <c r="G7684" s="238" t="str">
        <f>IFERROR(__xludf.DUMMYFUNCTION("""COMPUTED_VALUE"""),"-")</f>
        <v>-</v>
      </c>
      <c r="H7684" s="238" t="str">
        <f>IFERROR(__xludf.DUMMYFUNCTION("""COMPUTED_VALUE"""),"-")</f>
        <v>-</v>
      </c>
      <c r="J7684" s="239" t="s">
        <v>6330</v>
      </c>
    </row>
    <row r="7685">
      <c r="A7685" s="234"/>
      <c r="B7685" s="238" t="str">
        <f>IFERROR(__xludf.DUMMYFUNCTION("""COMPUTED_VALUE"""),"-")</f>
        <v>-</v>
      </c>
      <c r="C7685" s="238" t="str">
        <f>IFERROR(__xludf.DUMMYFUNCTION("""COMPUTED_VALUE"""),"-")</f>
        <v>-</v>
      </c>
      <c r="D7685" s="234"/>
      <c r="E7685" s="237"/>
      <c r="F7685" s="238" t="str">
        <f>IFERROR(__xludf.DUMMYFUNCTION("""COMPUTED_VALUE"""),"-")</f>
        <v>-</v>
      </c>
      <c r="G7685" s="238" t="str">
        <f>IFERROR(__xludf.DUMMYFUNCTION("""COMPUTED_VALUE"""),"-")</f>
        <v>-</v>
      </c>
      <c r="H7685" s="238" t="str">
        <f>IFERROR(__xludf.DUMMYFUNCTION("""COMPUTED_VALUE"""),"-")</f>
        <v>-</v>
      </c>
      <c r="J7685" s="239" t="s">
        <v>6330</v>
      </c>
    </row>
    <row r="7686">
      <c r="A7686" s="234"/>
      <c r="B7686" s="238" t="str">
        <f>IFERROR(__xludf.DUMMYFUNCTION("""COMPUTED_VALUE"""),"-")</f>
        <v>-</v>
      </c>
      <c r="C7686" s="238" t="str">
        <f>IFERROR(__xludf.DUMMYFUNCTION("""COMPUTED_VALUE"""),"-")</f>
        <v>-</v>
      </c>
      <c r="D7686" s="234"/>
      <c r="E7686" s="237"/>
      <c r="F7686" s="238" t="str">
        <f>IFERROR(__xludf.DUMMYFUNCTION("""COMPUTED_VALUE"""),"-")</f>
        <v>-</v>
      </c>
      <c r="G7686" s="238" t="str">
        <f>IFERROR(__xludf.DUMMYFUNCTION("""COMPUTED_VALUE"""),"-")</f>
        <v>-</v>
      </c>
      <c r="H7686" s="238" t="str">
        <f>IFERROR(__xludf.DUMMYFUNCTION("""COMPUTED_VALUE"""),"-")</f>
        <v>-</v>
      </c>
      <c r="J7686" s="239" t="s">
        <v>6330</v>
      </c>
    </row>
    <row r="7687">
      <c r="A7687" s="234"/>
      <c r="B7687" s="238" t="str">
        <f>IFERROR(__xludf.DUMMYFUNCTION("""COMPUTED_VALUE"""),"-")</f>
        <v>-</v>
      </c>
      <c r="C7687" s="238" t="str">
        <f>IFERROR(__xludf.DUMMYFUNCTION("""COMPUTED_VALUE"""),"-")</f>
        <v>-</v>
      </c>
      <c r="D7687" s="234"/>
      <c r="E7687" s="237"/>
      <c r="F7687" s="238" t="str">
        <f>IFERROR(__xludf.DUMMYFUNCTION("""COMPUTED_VALUE"""),"-")</f>
        <v>-</v>
      </c>
      <c r="G7687" s="238" t="str">
        <f>IFERROR(__xludf.DUMMYFUNCTION("""COMPUTED_VALUE"""),"-")</f>
        <v>-</v>
      </c>
      <c r="H7687" s="238" t="str">
        <f>IFERROR(__xludf.DUMMYFUNCTION("""COMPUTED_VALUE"""),"-")</f>
        <v>-</v>
      </c>
      <c r="J7687" s="239" t="s">
        <v>6330</v>
      </c>
    </row>
    <row r="7688">
      <c r="A7688" s="234"/>
      <c r="B7688" s="238" t="str">
        <f>IFERROR(__xludf.DUMMYFUNCTION("""COMPUTED_VALUE"""),"-")</f>
        <v>-</v>
      </c>
      <c r="C7688" s="238" t="str">
        <f>IFERROR(__xludf.DUMMYFUNCTION("""COMPUTED_VALUE"""),"-")</f>
        <v>-</v>
      </c>
      <c r="D7688" s="234"/>
      <c r="E7688" s="237"/>
      <c r="F7688" s="238" t="str">
        <f>IFERROR(__xludf.DUMMYFUNCTION("""COMPUTED_VALUE"""),"-")</f>
        <v>-</v>
      </c>
      <c r="G7688" s="238" t="str">
        <f>IFERROR(__xludf.DUMMYFUNCTION("""COMPUTED_VALUE"""),"-")</f>
        <v>-</v>
      </c>
      <c r="H7688" s="238" t="str">
        <f>IFERROR(__xludf.DUMMYFUNCTION("""COMPUTED_VALUE"""),"-")</f>
        <v>-</v>
      </c>
      <c r="J7688" s="239" t="s">
        <v>6330</v>
      </c>
    </row>
    <row r="7689">
      <c r="A7689" s="234"/>
      <c r="B7689" s="238" t="str">
        <f>IFERROR(__xludf.DUMMYFUNCTION("""COMPUTED_VALUE"""),"-")</f>
        <v>-</v>
      </c>
      <c r="C7689" s="238" t="str">
        <f>IFERROR(__xludf.DUMMYFUNCTION("""COMPUTED_VALUE"""),"-")</f>
        <v>-</v>
      </c>
      <c r="D7689" s="234"/>
      <c r="E7689" s="237"/>
      <c r="F7689" s="238" t="str">
        <f>IFERROR(__xludf.DUMMYFUNCTION("""COMPUTED_VALUE"""),"-")</f>
        <v>-</v>
      </c>
      <c r="G7689" s="238" t="str">
        <f>IFERROR(__xludf.DUMMYFUNCTION("""COMPUTED_VALUE"""),"-")</f>
        <v>-</v>
      </c>
      <c r="H7689" s="238" t="str">
        <f>IFERROR(__xludf.DUMMYFUNCTION("""COMPUTED_VALUE"""),"-")</f>
        <v>-</v>
      </c>
      <c r="J7689" s="239" t="s">
        <v>6330</v>
      </c>
    </row>
    <row r="7690">
      <c r="A7690" s="234"/>
      <c r="B7690" s="238" t="str">
        <f>IFERROR(__xludf.DUMMYFUNCTION("""COMPUTED_VALUE"""),"-")</f>
        <v>-</v>
      </c>
      <c r="C7690" s="238" t="str">
        <f>IFERROR(__xludf.DUMMYFUNCTION("""COMPUTED_VALUE"""),"-")</f>
        <v>-</v>
      </c>
      <c r="D7690" s="234"/>
      <c r="E7690" s="237"/>
      <c r="F7690" s="238" t="str">
        <f>IFERROR(__xludf.DUMMYFUNCTION("""COMPUTED_VALUE"""),"-")</f>
        <v>-</v>
      </c>
      <c r="G7690" s="238" t="str">
        <f>IFERROR(__xludf.DUMMYFUNCTION("""COMPUTED_VALUE"""),"-")</f>
        <v>-</v>
      </c>
      <c r="H7690" s="238" t="str">
        <f>IFERROR(__xludf.DUMMYFUNCTION("""COMPUTED_VALUE"""),"-")</f>
        <v>-</v>
      </c>
      <c r="J7690" s="239" t="s">
        <v>6330</v>
      </c>
    </row>
    <row r="7691">
      <c r="A7691" s="234"/>
      <c r="B7691" s="238" t="str">
        <f>IFERROR(__xludf.DUMMYFUNCTION("""COMPUTED_VALUE"""),"-")</f>
        <v>-</v>
      </c>
      <c r="C7691" s="238" t="str">
        <f>IFERROR(__xludf.DUMMYFUNCTION("""COMPUTED_VALUE"""),"-")</f>
        <v>-</v>
      </c>
      <c r="D7691" s="234"/>
      <c r="E7691" s="237"/>
      <c r="F7691" s="238" t="str">
        <f>IFERROR(__xludf.DUMMYFUNCTION("""COMPUTED_VALUE"""),"-")</f>
        <v>-</v>
      </c>
      <c r="G7691" s="238" t="str">
        <f>IFERROR(__xludf.DUMMYFUNCTION("""COMPUTED_VALUE"""),"-")</f>
        <v>-</v>
      </c>
      <c r="H7691" s="238" t="str">
        <f>IFERROR(__xludf.DUMMYFUNCTION("""COMPUTED_VALUE"""),"-")</f>
        <v>-</v>
      </c>
      <c r="J7691" s="239" t="s">
        <v>6330</v>
      </c>
    </row>
    <row r="7692">
      <c r="A7692" s="234"/>
      <c r="B7692" s="238" t="str">
        <f>IFERROR(__xludf.DUMMYFUNCTION("""COMPUTED_VALUE"""),"-")</f>
        <v>-</v>
      </c>
      <c r="C7692" s="238" t="str">
        <f>IFERROR(__xludf.DUMMYFUNCTION("""COMPUTED_VALUE"""),"-")</f>
        <v>-</v>
      </c>
      <c r="D7692" s="234"/>
      <c r="E7692" s="237"/>
      <c r="F7692" s="238" t="str">
        <f>IFERROR(__xludf.DUMMYFUNCTION("""COMPUTED_VALUE"""),"-")</f>
        <v>-</v>
      </c>
      <c r="G7692" s="238" t="str">
        <f>IFERROR(__xludf.DUMMYFUNCTION("""COMPUTED_VALUE"""),"-")</f>
        <v>-</v>
      </c>
      <c r="H7692" s="238" t="str">
        <f>IFERROR(__xludf.DUMMYFUNCTION("""COMPUTED_VALUE"""),"-")</f>
        <v>-</v>
      </c>
      <c r="J7692" s="239" t="s">
        <v>6330</v>
      </c>
    </row>
    <row r="7693">
      <c r="A7693" s="234"/>
      <c r="B7693" s="238" t="str">
        <f>IFERROR(__xludf.DUMMYFUNCTION("""COMPUTED_VALUE"""),"-")</f>
        <v>-</v>
      </c>
      <c r="C7693" s="238" t="str">
        <f>IFERROR(__xludf.DUMMYFUNCTION("""COMPUTED_VALUE"""),"-")</f>
        <v>-</v>
      </c>
      <c r="D7693" s="234"/>
      <c r="E7693" s="237"/>
      <c r="F7693" s="238" t="str">
        <f>IFERROR(__xludf.DUMMYFUNCTION("""COMPUTED_VALUE"""),"-")</f>
        <v>-</v>
      </c>
      <c r="G7693" s="238" t="str">
        <f>IFERROR(__xludf.DUMMYFUNCTION("""COMPUTED_VALUE"""),"-")</f>
        <v>-</v>
      </c>
      <c r="H7693" s="238" t="str">
        <f>IFERROR(__xludf.DUMMYFUNCTION("""COMPUTED_VALUE"""),"-")</f>
        <v>-</v>
      </c>
      <c r="J7693" s="239" t="s">
        <v>6330</v>
      </c>
    </row>
    <row r="7694">
      <c r="A7694" s="234"/>
      <c r="B7694" s="238" t="str">
        <f>IFERROR(__xludf.DUMMYFUNCTION("""COMPUTED_VALUE"""),"-")</f>
        <v>-</v>
      </c>
      <c r="C7694" s="238" t="str">
        <f>IFERROR(__xludf.DUMMYFUNCTION("""COMPUTED_VALUE"""),"-")</f>
        <v>-</v>
      </c>
      <c r="D7694" s="234"/>
      <c r="E7694" s="237"/>
      <c r="F7694" s="238" t="str">
        <f>IFERROR(__xludf.DUMMYFUNCTION("""COMPUTED_VALUE"""),"-")</f>
        <v>-</v>
      </c>
      <c r="G7694" s="238" t="str">
        <f>IFERROR(__xludf.DUMMYFUNCTION("""COMPUTED_VALUE"""),"-")</f>
        <v>-</v>
      </c>
      <c r="H7694" s="238" t="str">
        <f>IFERROR(__xludf.DUMMYFUNCTION("""COMPUTED_VALUE"""),"-")</f>
        <v>-</v>
      </c>
      <c r="J7694" s="239" t="s">
        <v>6330</v>
      </c>
    </row>
    <row r="7695">
      <c r="A7695" s="234"/>
      <c r="B7695" s="238" t="str">
        <f>IFERROR(__xludf.DUMMYFUNCTION("""COMPUTED_VALUE"""),"-")</f>
        <v>-</v>
      </c>
      <c r="C7695" s="238" t="str">
        <f>IFERROR(__xludf.DUMMYFUNCTION("""COMPUTED_VALUE"""),"-")</f>
        <v>-</v>
      </c>
      <c r="D7695" s="234"/>
      <c r="E7695" s="237"/>
      <c r="F7695" s="238" t="str">
        <f>IFERROR(__xludf.DUMMYFUNCTION("""COMPUTED_VALUE"""),"-")</f>
        <v>-</v>
      </c>
      <c r="G7695" s="238" t="str">
        <f>IFERROR(__xludf.DUMMYFUNCTION("""COMPUTED_VALUE"""),"-")</f>
        <v>-</v>
      </c>
      <c r="H7695" s="238" t="str">
        <f>IFERROR(__xludf.DUMMYFUNCTION("""COMPUTED_VALUE"""),"-")</f>
        <v>-</v>
      </c>
      <c r="J7695" s="239" t="s">
        <v>6330</v>
      </c>
    </row>
    <row r="7696">
      <c r="A7696" s="234"/>
      <c r="B7696" s="238" t="str">
        <f>IFERROR(__xludf.DUMMYFUNCTION("""COMPUTED_VALUE"""),"-")</f>
        <v>-</v>
      </c>
      <c r="C7696" s="238" t="str">
        <f>IFERROR(__xludf.DUMMYFUNCTION("""COMPUTED_VALUE"""),"-")</f>
        <v>-</v>
      </c>
      <c r="D7696" s="234"/>
      <c r="E7696" s="237"/>
      <c r="F7696" s="238" t="str">
        <f>IFERROR(__xludf.DUMMYFUNCTION("""COMPUTED_VALUE"""),"-")</f>
        <v>-</v>
      </c>
      <c r="G7696" s="238" t="str">
        <f>IFERROR(__xludf.DUMMYFUNCTION("""COMPUTED_VALUE"""),"-")</f>
        <v>-</v>
      </c>
      <c r="H7696" s="238" t="str">
        <f>IFERROR(__xludf.DUMMYFUNCTION("""COMPUTED_VALUE"""),"-")</f>
        <v>-</v>
      </c>
      <c r="J7696" s="239" t="s">
        <v>6330</v>
      </c>
    </row>
    <row r="7697">
      <c r="A7697" s="234"/>
      <c r="B7697" s="238" t="str">
        <f>IFERROR(__xludf.DUMMYFUNCTION("""COMPUTED_VALUE"""),"-")</f>
        <v>-</v>
      </c>
      <c r="C7697" s="238" t="str">
        <f>IFERROR(__xludf.DUMMYFUNCTION("""COMPUTED_VALUE"""),"-")</f>
        <v>-</v>
      </c>
      <c r="D7697" s="234"/>
      <c r="E7697" s="237"/>
      <c r="F7697" s="238" t="str">
        <f>IFERROR(__xludf.DUMMYFUNCTION("""COMPUTED_VALUE"""),"-")</f>
        <v>-</v>
      </c>
      <c r="G7697" s="238" t="str">
        <f>IFERROR(__xludf.DUMMYFUNCTION("""COMPUTED_VALUE"""),"-")</f>
        <v>-</v>
      </c>
      <c r="H7697" s="238" t="str">
        <f>IFERROR(__xludf.DUMMYFUNCTION("""COMPUTED_VALUE"""),"-")</f>
        <v>-</v>
      </c>
      <c r="J7697" s="239" t="s">
        <v>6330</v>
      </c>
    </row>
    <row r="7698">
      <c r="A7698" s="234"/>
      <c r="B7698" s="238" t="str">
        <f>IFERROR(__xludf.DUMMYFUNCTION("""COMPUTED_VALUE"""),"-")</f>
        <v>-</v>
      </c>
      <c r="C7698" s="238" t="str">
        <f>IFERROR(__xludf.DUMMYFUNCTION("""COMPUTED_VALUE"""),"-")</f>
        <v>-</v>
      </c>
      <c r="D7698" s="234"/>
      <c r="E7698" s="237"/>
      <c r="F7698" s="238" t="str">
        <f>IFERROR(__xludf.DUMMYFUNCTION("""COMPUTED_VALUE"""),"-")</f>
        <v>-</v>
      </c>
      <c r="G7698" s="238" t="str">
        <f>IFERROR(__xludf.DUMMYFUNCTION("""COMPUTED_VALUE"""),"-")</f>
        <v>-</v>
      </c>
      <c r="H7698" s="238" t="str">
        <f>IFERROR(__xludf.DUMMYFUNCTION("""COMPUTED_VALUE"""),"-")</f>
        <v>-</v>
      </c>
      <c r="J7698" s="239" t="s">
        <v>6330</v>
      </c>
    </row>
    <row r="7699">
      <c r="A7699" s="234"/>
      <c r="B7699" s="238" t="str">
        <f>IFERROR(__xludf.DUMMYFUNCTION("""COMPUTED_VALUE"""),"-")</f>
        <v>-</v>
      </c>
      <c r="C7699" s="238" t="str">
        <f>IFERROR(__xludf.DUMMYFUNCTION("""COMPUTED_VALUE"""),"-")</f>
        <v>-</v>
      </c>
      <c r="D7699" s="234"/>
      <c r="E7699" s="237"/>
      <c r="F7699" s="238" t="str">
        <f>IFERROR(__xludf.DUMMYFUNCTION("""COMPUTED_VALUE"""),"-")</f>
        <v>-</v>
      </c>
      <c r="G7699" s="238" t="str">
        <f>IFERROR(__xludf.DUMMYFUNCTION("""COMPUTED_VALUE"""),"-")</f>
        <v>-</v>
      </c>
      <c r="H7699" s="238" t="str">
        <f>IFERROR(__xludf.DUMMYFUNCTION("""COMPUTED_VALUE"""),"-")</f>
        <v>-</v>
      </c>
      <c r="J7699" s="239" t="s">
        <v>6330</v>
      </c>
    </row>
    <row r="7700">
      <c r="A7700" s="234"/>
      <c r="B7700" s="238" t="str">
        <f>IFERROR(__xludf.DUMMYFUNCTION("""COMPUTED_VALUE"""),"-")</f>
        <v>-</v>
      </c>
      <c r="C7700" s="238" t="str">
        <f>IFERROR(__xludf.DUMMYFUNCTION("""COMPUTED_VALUE"""),"-")</f>
        <v>-</v>
      </c>
      <c r="D7700" s="234"/>
      <c r="E7700" s="237"/>
      <c r="F7700" s="238" t="str">
        <f>IFERROR(__xludf.DUMMYFUNCTION("""COMPUTED_VALUE"""),"-")</f>
        <v>-</v>
      </c>
      <c r="G7700" s="238" t="str">
        <f>IFERROR(__xludf.DUMMYFUNCTION("""COMPUTED_VALUE"""),"-")</f>
        <v>-</v>
      </c>
      <c r="H7700" s="238" t="str">
        <f>IFERROR(__xludf.DUMMYFUNCTION("""COMPUTED_VALUE"""),"-")</f>
        <v>-</v>
      </c>
      <c r="J7700" s="239" t="s">
        <v>6330</v>
      </c>
    </row>
    <row r="7701">
      <c r="A7701" s="234"/>
      <c r="B7701" s="238" t="str">
        <f>IFERROR(__xludf.DUMMYFUNCTION("""COMPUTED_VALUE"""),"-")</f>
        <v>-</v>
      </c>
      <c r="C7701" s="238" t="str">
        <f>IFERROR(__xludf.DUMMYFUNCTION("""COMPUTED_VALUE"""),"-")</f>
        <v>-</v>
      </c>
      <c r="D7701" s="234"/>
      <c r="E7701" s="237"/>
      <c r="F7701" s="238" t="str">
        <f>IFERROR(__xludf.DUMMYFUNCTION("""COMPUTED_VALUE"""),"-")</f>
        <v>-</v>
      </c>
      <c r="G7701" s="238" t="str">
        <f>IFERROR(__xludf.DUMMYFUNCTION("""COMPUTED_VALUE"""),"-")</f>
        <v>-</v>
      </c>
      <c r="H7701" s="238" t="str">
        <f>IFERROR(__xludf.DUMMYFUNCTION("""COMPUTED_VALUE"""),"-")</f>
        <v>-</v>
      </c>
      <c r="J7701" s="239" t="s">
        <v>6330</v>
      </c>
    </row>
    <row r="7702">
      <c r="A7702" s="234"/>
      <c r="B7702" s="238" t="str">
        <f>IFERROR(__xludf.DUMMYFUNCTION("""COMPUTED_VALUE"""),"-")</f>
        <v>-</v>
      </c>
      <c r="C7702" s="238" t="str">
        <f>IFERROR(__xludf.DUMMYFUNCTION("""COMPUTED_VALUE"""),"-")</f>
        <v>-</v>
      </c>
      <c r="D7702" s="234"/>
      <c r="E7702" s="237"/>
      <c r="F7702" s="238" t="str">
        <f>IFERROR(__xludf.DUMMYFUNCTION("""COMPUTED_VALUE"""),"-")</f>
        <v>-</v>
      </c>
      <c r="G7702" s="238" t="str">
        <f>IFERROR(__xludf.DUMMYFUNCTION("""COMPUTED_VALUE"""),"-")</f>
        <v>-</v>
      </c>
      <c r="H7702" s="238" t="str">
        <f>IFERROR(__xludf.DUMMYFUNCTION("""COMPUTED_VALUE"""),"-")</f>
        <v>-</v>
      </c>
      <c r="J7702" s="239" t="s">
        <v>6330</v>
      </c>
    </row>
    <row r="7703">
      <c r="A7703" s="234"/>
      <c r="B7703" s="238" t="str">
        <f>IFERROR(__xludf.DUMMYFUNCTION("""COMPUTED_VALUE"""),"-")</f>
        <v>-</v>
      </c>
      <c r="C7703" s="238" t="str">
        <f>IFERROR(__xludf.DUMMYFUNCTION("""COMPUTED_VALUE"""),"-")</f>
        <v>-</v>
      </c>
      <c r="D7703" s="234"/>
      <c r="E7703" s="237"/>
      <c r="F7703" s="238" t="str">
        <f>IFERROR(__xludf.DUMMYFUNCTION("""COMPUTED_VALUE"""),"-")</f>
        <v>-</v>
      </c>
      <c r="G7703" s="238" t="str">
        <f>IFERROR(__xludf.DUMMYFUNCTION("""COMPUTED_VALUE"""),"-")</f>
        <v>-</v>
      </c>
      <c r="H7703" s="238" t="str">
        <f>IFERROR(__xludf.DUMMYFUNCTION("""COMPUTED_VALUE"""),"-")</f>
        <v>-</v>
      </c>
      <c r="J7703" s="239" t="s">
        <v>6330</v>
      </c>
    </row>
    <row r="7704">
      <c r="A7704" s="234"/>
      <c r="B7704" s="238" t="str">
        <f>IFERROR(__xludf.DUMMYFUNCTION("""COMPUTED_VALUE"""),"-")</f>
        <v>-</v>
      </c>
      <c r="C7704" s="238" t="str">
        <f>IFERROR(__xludf.DUMMYFUNCTION("""COMPUTED_VALUE"""),"-")</f>
        <v>-</v>
      </c>
      <c r="D7704" s="234"/>
      <c r="E7704" s="237"/>
      <c r="F7704" s="238" t="str">
        <f>IFERROR(__xludf.DUMMYFUNCTION("""COMPUTED_VALUE"""),"-")</f>
        <v>-</v>
      </c>
      <c r="G7704" s="238" t="str">
        <f>IFERROR(__xludf.DUMMYFUNCTION("""COMPUTED_VALUE"""),"-")</f>
        <v>-</v>
      </c>
      <c r="H7704" s="238" t="str">
        <f>IFERROR(__xludf.DUMMYFUNCTION("""COMPUTED_VALUE"""),"-")</f>
        <v>-</v>
      </c>
      <c r="J7704" s="239" t="s">
        <v>6330</v>
      </c>
    </row>
    <row r="7705">
      <c r="A7705" s="234"/>
      <c r="B7705" s="238" t="str">
        <f>IFERROR(__xludf.DUMMYFUNCTION("""COMPUTED_VALUE"""),"-")</f>
        <v>-</v>
      </c>
      <c r="C7705" s="238" t="str">
        <f>IFERROR(__xludf.DUMMYFUNCTION("""COMPUTED_VALUE"""),"-")</f>
        <v>-</v>
      </c>
      <c r="D7705" s="234"/>
      <c r="E7705" s="237"/>
      <c r="F7705" s="238" t="str">
        <f>IFERROR(__xludf.DUMMYFUNCTION("""COMPUTED_VALUE"""),"-")</f>
        <v>-</v>
      </c>
      <c r="G7705" s="238" t="str">
        <f>IFERROR(__xludf.DUMMYFUNCTION("""COMPUTED_VALUE"""),"-")</f>
        <v>-</v>
      </c>
      <c r="H7705" s="238" t="str">
        <f>IFERROR(__xludf.DUMMYFUNCTION("""COMPUTED_VALUE"""),"-")</f>
        <v>-</v>
      </c>
      <c r="J7705" s="239" t="s">
        <v>6330</v>
      </c>
    </row>
    <row r="7706">
      <c r="A7706" s="234"/>
      <c r="B7706" s="238" t="str">
        <f>IFERROR(__xludf.DUMMYFUNCTION("""COMPUTED_VALUE"""),"-")</f>
        <v>-</v>
      </c>
      <c r="C7706" s="238" t="str">
        <f>IFERROR(__xludf.DUMMYFUNCTION("""COMPUTED_VALUE"""),"-")</f>
        <v>-</v>
      </c>
      <c r="D7706" s="234"/>
      <c r="E7706" s="237"/>
      <c r="F7706" s="238" t="str">
        <f>IFERROR(__xludf.DUMMYFUNCTION("""COMPUTED_VALUE"""),"-")</f>
        <v>-</v>
      </c>
      <c r="G7706" s="238" t="str">
        <f>IFERROR(__xludf.DUMMYFUNCTION("""COMPUTED_VALUE"""),"-")</f>
        <v>-</v>
      </c>
      <c r="H7706" s="238" t="str">
        <f>IFERROR(__xludf.DUMMYFUNCTION("""COMPUTED_VALUE"""),"-")</f>
        <v>-</v>
      </c>
      <c r="J7706" s="239" t="s">
        <v>6330</v>
      </c>
    </row>
    <row r="7707">
      <c r="A7707" s="234"/>
      <c r="B7707" s="238" t="str">
        <f>IFERROR(__xludf.DUMMYFUNCTION("""COMPUTED_VALUE"""),"-")</f>
        <v>-</v>
      </c>
      <c r="C7707" s="238" t="str">
        <f>IFERROR(__xludf.DUMMYFUNCTION("""COMPUTED_VALUE"""),"-")</f>
        <v>-</v>
      </c>
      <c r="D7707" s="234"/>
      <c r="E7707" s="237"/>
      <c r="F7707" s="238" t="str">
        <f>IFERROR(__xludf.DUMMYFUNCTION("""COMPUTED_VALUE"""),"-")</f>
        <v>-</v>
      </c>
      <c r="G7707" s="238" t="str">
        <f>IFERROR(__xludf.DUMMYFUNCTION("""COMPUTED_VALUE"""),"-")</f>
        <v>-</v>
      </c>
      <c r="H7707" s="238" t="str">
        <f>IFERROR(__xludf.DUMMYFUNCTION("""COMPUTED_VALUE"""),"-")</f>
        <v>-</v>
      </c>
      <c r="J7707" s="239" t="s">
        <v>6330</v>
      </c>
    </row>
    <row r="7708">
      <c r="A7708" s="234"/>
      <c r="B7708" s="238" t="str">
        <f>IFERROR(__xludf.DUMMYFUNCTION("""COMPUTED_VALUE"""),"-")</f>
        <v>-</v>
      </c>
      <c r="C7708" s="238" t="str">
        <f>IFERROR(__xludf.DUMMYFUNCTION("""COMPUTED_VALUE"""),"-")</f>
        <v>-</v>
      </c>
      <c r="D7708" s="234"/>
      <c r="E7708" s="237"/>
      <c r="F7708" s="238" t="str">
        <f>IFERROR(__xludf.DUMMYFUNCTION("""COMPUTED_VALUE"""),"-")</f>
        <v>-</v>
      </c>
      <c r="G7708" s="238" t="str">
        <f>IFERROR(__xludf.DUMMYFUNCTION("""COMPUTED_VALUE"""),"-")</f>
        <v>-</v>
      </c>
      <c r="H7708" s="238" t="str">
        <f>IFERROR(__xludf.DUMMYFUNCTION("""COMPUTED_VALUE"""),"-")</f>
        <v>-</v>
      </c>
      <c r="J7708" s="239" t="s">
        <v>6330</v>
      </c>
    </row>
    <row r="7709">
      <c r="A7709" s="234"/>
      <c r="B7709" s="238" t="str">
        <f>IFERROR(__xludf.DUMMYFUNCTION("""COMPUTED_VALUE"""),"-")</f>
        <v>-</v>
      </c>
      <c r="C7709" s="238" t="str">
        <f>IFERROR(__xludf.DUMMYFUNCTION("""COMPUTED_VALUE"""),"-")</f>
        <v>-</v>
      </c>
      <c r="D7709" s="234"/>
      <c r="E7709" s="237"/>
      <c r="F7709" s="238" t="str">
        <f>IFERROR(__xludf.DUMMYFUNCTION("""COMPUTED_VALUE"""),"-")</f>
        <v>-</v>
      </c>
      <c r="G7709" s="238" t="str">
        <f>IFERROR(__xludf.DUMMYFUNCTION("""COMPUTED_VALUE"""),"-")</f>
        <v>-</v>
      </c>
      <c r="H7709" s="238" t="str">
        <f>IFERROR(__xludf.DUMMYFUNCTION("""COMPUTED_VALUE"""),"-")</f>
        <v>-</v>
      </c>
      <c r="J7709" s="239" t="s">
        <v>6330</v>
      </c>
    </row>
    <row r="7710">
      <c r="A7710" s="234"/>
      <c r="B7710" s="238" t="str">
        <f>IFERROR(__xludf.DUMMYFUNCTION("""COMPUTED_VALUE"""),"-")</f>
        <v>-</v>
      </c>
      <c r="C7710" s="238" t="str">
        <f>IFERROR(__xludf.DUMMYFUNCTION("""COMPUTED_VALUE"""),"-")</f>
        <v>-</v>
      </c>
      <c r="D7710" s="234"/>
      <c r="E7710" s="237"/>
      <c r="F7710" s="238" t="str">
        <f>IFERROR(__xludf.DUMMYFUNCTION("""COMPUTED_VALUE"""),"-")</f>
        <v>-</v>
      </c>
      <c r="G7710" s="238" t="str">
        <f>IFERROR(__xludf.DUMMYFUNCTION("""COMPUTED_VALUE"""),"-")</f>
        <v>-</v>
      </c>
      <c r="H7710" s="238" t="str">
        <f>IFERROR(__xludf.DUMMYFUNCTION("""COMPUTED_VALUE"""),"-")</f>
        <v>-</v>
      </c>
      <c r="J7710" s="239" t="s">
        <v>6330</v>
      </c>
    </row>
    <row r="7711">
      <c r="A7711" s="234"/>
      <c r="B7711" s="238" t="str">
        <f>IFERROR(__xludf.DUMMYFUNCTION("""COMPUTED_VALUE"""),"-")</f>
        <v>-</v>
      </c>
      <c r="C7711" s="238" t="str">
        <f>IFERROR(__xludf.DUMMYFUNCTION("""COMPUTED_VALUE"""),"-")</f>
        <v>-</v>
      </c>
      <c r="D7711" s="234"/>
      <c r="E7711" s="237"/>
      <c r="F7711" s="238" t="str">
        <f>IFERROR(__xludf.DUMMYFUNCTION("""COMPUTED_VALUE"""),"-")</f>
        <v>-</v>
      </c>
      <c r="G7711" s="238" t="str">
        <f>IFERROR(__xludf.DUMMYFUNCTION("""COMPUTED_VALUE"""),"-")</f>
        <v>-</v>
      </c>
      <c r="H7711" s="238" t="str">
        <f>IFERROR(__xludf.DUMMYFUNCTION("""COMPUTED_VALUE"""),"-")</f>
        <v>-</v>
      </c>
      <c r="J7711" s="239" t="s">
        <v>6330</v>
      </c>
    </row>
    <row r="7712">
      <c r="A7712" s="234"/>
      <c r="B7712" s="238" t="str">
        <f>IFERROR(__xludf.DUMMYFUNCTION("""COMPUTED_VALUE"""),"-")</f>
        <v>-</v>
      </c>
      <c r="C7712" s="238" t="str">
        <f>IFERROR(__xludf.DUMMYFUNCTION("""COMPUTED_VALUE"""),"-")</f>
        <v>-</v>
      </c>
      <c r="D7712" s="234"/>
      <c r="E7712" s="237"/>
      <c r="F7712" s="238" t="str">
        <f>IFERROR(__xludf.DUMMYFUNCTION("""COMPUTED_VALUE"""),"-")</f>
        <v>-</v>
      </c>
      <c r="G7712" s="238" t="str">
        <f>IFERROR(__xludf.DUMMYFUNCTION("""COMPUTED_VALUE"""),"-")</f>
        <v>-</v>
      </c>
      <c r="H7712" s="238" t="str">
        <f>IFERROR(__xludf.DUMMYFUNCTION("""COMPUTED_VALUE"""),"-")</f>
        <v>-</v>
      </c>
      <c r="J7712" s="239" t="s">
        <v>6330</v>
      </c>
    </row>
    <row r="7713">
      <c r="A7713" s="234"/>
      <c r="B7713" s="238" t="str">
        <f>IFERROR(__xludf.DUMMYFUNCTION("""COMPUTED_VALUE"""),"-")</f>
        <v>-</v>
      </c>
      <c r="C7713" s="238" t="str">
        <f>IFERROR(__xludf.DUMMYFUNCTION("""COMPUTED_VALUE"""),"-")</f>
        <v>-</v>
      </c>
      <c r="D7713" s="234"/>
      <c r="E7713" s="237"/>
      <c r="F7713" s="238" t="str">
        <f>IFERROR(__xludf.DUMMYFUNCTION("""COMPUTED_VALUE"""),"-")</f>
        <v>-</v>
      </c>
      <c r="G7713" s="238" t="str">
        <f>IFERROR(__xludf.DUMMYFUNCTION("""COMPUTED_VALUE"""),"-")</f>
        <v>-</v>
      </c>
      <c r="H7713" s="238" t="str">
        <f>IFERROR(__xludf.DUMMYFUNCTION("""COMPUTED_VALUE"""),"-")</f>
        <v>-</v>
      </c>
      <c r="J7713" s="239" t="s">
        <v>6330</v>
      </c>
    </row>
    <row r="7714">
      <c r="A7714" s="234"/>
      <c r="B7714" s="238" t="str">
        <f>IFERROR(__xludf.DUMMYFUNCTION("""COMPUTED_VALUE"""),"-")</f>
        <v>-</v>
      </c>
      <c r="C7714" s="238" t="str">
        <f>IFERROR(__xludf.DUMMYFUNCTION("""COMPUTED_VALUE"""),"-")</f>
        <v>-</v>
      </c>
      <c r="D7714" s="234"/>
      <c r="E7714" s="237"/>
      <c r="F7714" s="238" t="str">
        <f>IFERROR(__xludf.DUMMYFUNCTION("""COMPUTED_VALUE"""),"-")</f>
        <v>-</v>
      </c>
      <c r="G7714" s="238" t="str">
        <f>IFERROR(__xludf.DUMMYFUNCTION("""COMPUTED_VALUE"""),"-")</f>
        <v>-</v>
      </c>
      <c r="H7714" s="238" t="str">
        <f>IFERROR(__xludf.DUMMYFUNCTION("""COMPUTED_VALUE"""),"-")</f>
        <v>-</v>
      </c>
      <c r="J7714" s="239" t="s">
        <v>6330</v>
      </c>
    </row>
    <row r="7715">
      <c r="A7715" s="234"/>
      <c r="B7715" s="238" t="str">
        <f>IFERROR(__xludf.DUMMYFUNCTION("""COMPUTED_VALUE"""),"-")</f>
        <v>-</v>
      </c>
      <c r="C7715" s="238" t="str">
        <f>IFERROR(__xludf.DUMMYFUNCTION("""COMPUTED_VALUE"""),"-")</f>
        <v>-</v>
      </c>
      <c r="D7715" s="234"/>
      <c r="E7715" s="237"/>
      <c r="F7715" s="238" t="str">
        <f>IFERROR(__xludf.DUMMYFUNCTION("""COMPUTED_VALUE"""),"-")</f>
        <v>-</v>
      </c>
      <c r="G7715" s="238" t="str">
        <f>IFERROR(__xludf.DUMMYFUNCTION("""COMPUTED_VALUE"""),"-")</f>
        <v>-</v>
      </c>
      <c r="H7715" s="238" t="str">
        <f>IFERROR(__xludf.DUMMYFUNCTION("""COMPUTED_VALUE"""),"-")</f>
        <v>-</v>
      </c>
      <c r="J7715" s="239" t="s">
        <v>6330</v>
      </c>
    </row>
    <row r="7716">
      <c r="A7716" s="234"/>
      <c r="B7716" s="238" t="str">
        <f>IFERROR(__xludf.DUMMYFUNCTION("""COMPUTED_VALUE"""),"-")</f>
        <v>-</v>
      </c>
      <c r="C7716" s="238" t="str">
        <f>IFERROR(__xludf.DUMMYFUNCTION("""COMPUTED_VALUE"""),"-")</f>
        <v>-</v>
      </c>
      <c r="D7716" s="234"/>
      <c r="E7716" s="237"/>
      <c r="F7716" s="238" t="str">
        <f>IFERROR(__xludf.DUMMYFUNCTION("""COMPUTED_VALUE"""),"-")</f>
        <v>-</v>
      </c>
      <c r="G7716" s="238" t="str">
        <f>IFERROR(__xludf.DUMMYFUNCTION("""COMPUTED_VALUE"""),"-")</f>
        <v>-</v>
      </c>
      <c r="H7716" s="238" t="str">
        <f>IFERROR(__xludf.DUMMYFUNCTION("""COMPUTED_VALUE"""),"-")</f>
        <v>-</v>
      </c>
      <c r="J7716" s="239" t="s">
        <v>6330</v>
      </c>
    </row>
    <row r="7717">
      <c r="A7717" s="234"/>
      <c r="B7717" s="238" t="str">
        <f>IFERROR(__xludf.DUMMYFUNCTION("""COMPUTED_VALUE"""),"-")</f>
        <v>-</v>
      </c>
      <c r="C7717" s="238" t="str">
        <f>IFERROR(__xludf.DUMMYFUNCTION("""COMPUTED_VALUE"""),"-")</f>
        <v>-</v>
      </c>
      <c r="D7717" s="234"/>
      <c r="E7717" s="237"/>
      <c r="F7717" s="238" t="str">
        <f>IFERROR(__xludf.DUMMYFUNCTION("""COMPUTED_VALUE"""),"-")</f>
        <v>-</v>
      </c>
      <c r="G7717" s="238" t="str">
        <f>IFERROR(__xludf.DUMMYFUNCTION("""COMPUTED_VALUE"""),"-")</f>
        <v>-</v>
      </c>
      <c r="H7717" s="238" t="str">
        <f>IFERROR(__xludf.DUMMYFUNCTION("""COMPUTED_VALUE"""),"-")</f>
        <v>-</v>
      </c>
      <c r="J7717" s="239" t="s">
        <v>6330</v>
      </c>
    </row>
    <row r="7718">
      <c r="A7718" s="234"/>
      <c r="B7718" s="238" t="str">
        <f>IFERROR(__xludf.DUMMYFUNCTION("""COMPUTED_VALUE"""),"-")</f>
        <v>-</v>
      </c>
      <c r="C7718" s="238" t="str">
        <f>IFERROR(__xludf.DUMMYFUNCTION("""COMPUTED_VALUE"""),"-")</f>
        <v>-</v>
      </c>
      <c r="D7718" s="234"/>
      <c r="E7718" s="237"/>
      <c r="F7718" s="238" t="str">
        <f>IFERROR(__xludf.DUMMYFUNCTION("""COMPUTED_VALUE"""),"-")</f>
        <v>-</v>
      </c>
      <c r="G7718" s="238" t="str">
        <f>IFERROR(__xludf.DUMMYFUNCTION("""COMPUTED_VALUE"""),"-")</f>
        <v>-</v>
      </c>
      <c r="H7718" s="238" t="str">
        <f>IFERROR(__xludf.DUMMYFUNCTION("""COMPUTED_VALUE"""),"-")</f>
        <v>-</v>
      </c>
      <c r="J7718" s="239" t="s">
        <v>6330</v>
      </c>
    </row>
    <row r="7719">
      <c r="A7719" s="234"/>
      <c r="B7719" s="238" t="str">
        <f>IFERROR(__xludf.DUMMYFUNCTION("""COMPUTED_VALUE"""),"-")</f>
        <v>-</v>
      </c>
      <c r="C7719" s="238" t="str">
        <f>IFERROR(__xludf.DUMMYFUNCTION("""COMPUTED_VALUE"""),"-")</f>
        <v>-</v>
      </c>
      <c r="D7719" s="234"/>
      <c r="E7719" s="237"/>
      <c r="F7719" s="238" t="str">
        <f>IFERROR(__xludf.DUMMYFUNCTION("""COMPUTED_VALUE"""),"-")</f>
        <v>-</v>
      </c>
      <c r="G7719" s="238" t="str">
        <f>IFERROR(__xludf.DUMMYFUNCTION("""COMPUTED_VALUE"""),"-")</f>
        <v>-</v>
      </c>
      <c r="H7719" s="238" t="str">
        <f>IFERROR(__xludf.DUMMYFUNCTION("""COMPUTED_VALUE"""),"-")</f>
        <v>-</v>
      </c>
      <c r="J7719" s="239" t="s">
        <v>6330</v>
      </c>
    </row>
    <row r="7720">
      <c r="A7720" s="234"/>
      <c r="B7720" s="238" t="str">
        <f>IFERROR(__xludf.DUMMYFUNCTION("""COMPUTED_VALUE"""),"-")</f>
        <v>-</v>
      </c>
      <c r="C7720" s="238" t="str">
        <f>IFERROR(__xludf.DUMMYFUNCTION("""COMPUTED_VALUE"""),"-")</f>
        <v>-</v>
      </c>
      <c r="D7720" s="234"/>
      <c r="E7720" s="237"/>
      <c r="F7720" s="238" t="str">
        <f>IFERROR(__xludf.DUMMYFUNCTION("""COMPUTED_VALUE"""),"-")</f>
        <v>-</v>
      </c>
      <c r="G7720" s="238" t="str">
        <f>IFERROR(__xludf.DUMMYFUNCTION("""COMPUTED_VALUE"""),"-")</f>
        <v>-</v>
      </c>
      <c r="H7720" s="238" t="str">
        <f>IFERROR(__xludf.DUMMYFUNCTION("""COMPUTED_VALUE"""),"-")</f>
        <v>-</v>
      </c>
      <c r="J7720" s="239" t="s">
        <v>6330</v>
      </c>
    </row>
    <row r="7721">
      <c r="A7721" s="234"/>
      <c r="B7721" s="238" t="str">
        <f>IFERROR(__xludf.DUMMYFUNCTION("""COMPUTED_VALUE"""),"-")</f>
        <v>-</v>
      </c>
      <c r="C7721" s="238" t="str">
        <f>IFERROR(__xludf.DUMMYFUNCTION("""COMPUTED_VALUE"""),"-")</f>
        <v>-</v>
      </c>
      <c r="D7721" s="234"/>
      <c r="E7721" s="237"/>
      <c r="F7721" s="238" t="str">
        <f>IFERROR(__xludf.DUMMYFUNCTION("""COMPUTED_VALUE"""),"-")</f>
        <v>-</v>
      </c>
      <c r="G7721" s="238" t="str">
        <f>IFERROR(__xludf.DUMMYFUNCTION("""COMPUTED_VALUE"""),"-")</f>
        <v>-</v>
      </c>
      <c r="H7721" s="238" t="str">
        <f>IFERROR(__xludf.DUMMYFUNCTION("""COMPUTED_VALUE"""),"-")</f>
        <v>-</v>
      </c>
      <c r="J7721" s="239" t="s">
        <v>6330</v>
      </c>
    </row>
    <row r="7722">
      <c r="A7722" s="234"/>
      <c r="B7722" s="238" t="str">
        <f>IFERROR(__xludf.DUMMYFUNCTION("""COMPUTED_VALUE"""),"-")</f>
        <v>-</v>
      </c>
      <c r="C7722" s="238" t="str">
        <f>IFERROR(__xludf.DUMMYFUNCTION("""COMPUTED_VALUE"""),"-")</f>
        <v>-</v>
      </c>
      <c r="D7722" s="234"/>
      <c r="E7722" s="237"/>
      <c r="F7722" s="238" t="str">
        <f>IFERROR(__xludf.DUMMYFUNCTION("""COMPUTED_VALUE"""),"-")</f>
        <v>-</v>
      </c>
      <c r="G7722" s="238" t="str">
        <f>IFERROR(__xludf.DUMMYFUNCTION("""COMPUTED_VALUE"""),"-")</f>
        <v>-</v>
      </c>
      <c r="H7722" s="238" t="str">
        <f>IFERROR(__xludf.DUMMYFUNCTION("""COMPUTED_VALUE"""),"-")</f>
        <v>-</v>
      </c>
      <c r="J7722" s="239" t="s">
        <v>6330</v>
      </c>
    </row>
    <row r="7723">
      <c r="A7723" s="234"/>
      <c r="B7723" s="238" t="str">
        <f>IFERROR(__xludf.DUMMYFUNCTION("""COMPUTED_VALUE"""),"-")</f>
        <v>-</v>
      </c>
      <c r="C7723" s="238" t="str">
        <f>IFERROR(__xludf.DUMMYFUNCTION("""COMPUTED_VALUE"""),"-")</f>
        <v>-</v>
      </c>
      <c r="D7723" s="234"/>
      <c r="E7723" s="237"/>
      <c r="F7723" s="238" t="str">
        <f>IFERROR(__xludf.DUMMYFUNCTION("""COMPUTED_VALUE"""),"-")</f>
        <v>-</v>
      </c>
      <c r="G7723" s="238" t="str">
        <f>IFERROR(__xludf.DUMMYFUNCTION("""COMPUTED_VALUE"""),"-")</f>
        <v>-</v>
      </c>
      <c r="H7723" s="238" t="str">
        <f>IFERROR(__xludf.DUMMYFUNCTION("""COMPUTED_VALUE"""),"-")</f>
        <v>-</v>
      </c>
      <c r="J7723" s="239" t="s">
        <v>6330</v>
      </c>
    </row>
    <row r="7724">
      <c r="A7724" s="234"/>
      <c r="B7724" s="238" t="str">
        <f>IFERROR(__xludf.DUMMYFUNCTION("""COMPUTED_VALUE"""),"-")</f>
        <v>-</v>
      </c>
      <c r="C7724" s="238" t="str">
        <f>IFERROR(__xludf.DUMMYFUNCTION("""COMPUTED_VALUE"""),"-")</f>
        <v>-</v>
      </c>
      <c r="D7724" s="234"/>
      <c r="E7724" s="237"/>
      <c r="F7724" s="238" t="str">
        <f>IFERROR(__xludf.DUMMYFUNCTION("""COMPUTED_VALUE"""),"-")</f>
        <v>-</v>
      </c>
      <c r="G7724" s="238" t="str">
        <f>IFERROR(__xludf.DUMMYFUNCTION("""COMPUTED_VALUE"""),"-")</f>
        <v>-</v>
      </c>
      <c r="H7724" s="238" t="str">
        <f>IFERROR(__xludf.DUMMYFUNCTION("""COMPUTED_VALUE"""),"-")</f>
        <v>-</v>
      </c>
      <c r="J7724" s="239" t="s">
        <v>6330</v>
      </c>
    </row>
    <row r="7725">
      <c r="A7725" s="234"/>
      <c r="B7725" s="238" t="str">
        <f>IFERROR(__xludf.DUMMYFUNCTION("""COMPUTED_VALUE"""),"-")</f>
        <v>-</v>
      </c>
      <c r="C7725" s="238" t="str">
        <f>IFERROR(__xludf.DUMMYFUNCTION("""COMPUTED_VALUE"""),"-")</f>
        <v>-</v>
      </c>
      <c r="D7725" s="234"/>
      <c r="E7725" s="237"/>
      <c r="F7725" s="238" t="str">
        <f>IFERROR(__xludf.DUMMYFUNCTION("""COMPUTED_VALUE"""),"-")</f>
        <v>-</v>
      </c>
      <c r="G7725" s="238" t="str">
        <f>IFERROR(__xludf.DUMMYFUNCTION("""COMPUTED_VALUE"""),"-")</f>
        <v>-</v>
      </c>
      <c r="H7725" s="238" t="str">
        <f>IFERROR(__xludf.DUMMYFUNCTION("""COMPUTED_VALUE"""),"-")</f>
        <v>-</v>
      </c>
      <c r="J7725" s="239" t="s">
        <v>6330</v>
      </c>
    </row>
    <row r="7726">
      <c r="A7726" s="234"/>
      <c r="B7726" s="238" t="str">
        <f>IFERROR(__xludf.DUMMYFUNCTION("""COMPUTED_VALUE"""),"-")</f>
        <v>-</v>
      </c>
      <c r="C7726" s="238" t="str">
        <f>IFERROR(__xludf.DUMMYFUNCTION("""COMPUTED_VALUE"""),"-")</f>
        <v>-</v>
      </c>
      <c r="D7726" s="234"/>
      <c r="E7726" s="237"/>
      <c r="F7726" s="238" t="str">
        <f>IFERROR(__xludf.DUMMYFUNCTION("""COMPUTED_VALUE"""),"-")</f>
        <v>-</v>
      </c>
      <c r="G7726" s="238" t="str">
        <f>IFERROR(__xludf.DUMMYFUNCTION("""COMPUTED_VALUE"""),"-")</f>
        <v>-</v>
      </c>
      <c r="H7726" s="238" t="str">
        <f>IFERROR(__xludf.DUMMYFUNCTION("""COMPUTED_VALUE"""),"-")</f>
        <v>-</v>
      </c>
      <c r="J7726" s="239" t="s">
        <v>6330</v>
      </c>
    </row>
    <row r="7727">
      <c r="A7727" s="234"/>
      <c r="B7727" s="238" t="str">
        <f>IFERROR(__xludf.DUMMYFUNCTION("""COMPUTED_VALUE"""),"-")</f>
        <v>-</v>
      </c>
      <c r="C7727" s="238" t="str">
        <f>IFERROR(__xludf.DUMMYFUNCTION("""COMPUTED_VALUE"""),"-")</f>
        <v>-</v>
      </c>
      <c r="D7727" s="234"/>
      <c r="E7727" s="237"/>
      <c r="F7727" s="238" t="str">
        <f>IFERROR(__xludf.DUMMYFUNCTION("""COMPUTED_VALUE"""),"-")</f>
        <v>-</v>
      </c>
      <c r="G7727" s="238" t="str">
        <f>IFERROR(__xludf.DUMMYFUNCTION("""COMPUTED_VALUE"""),"-")</f>
        <v>-</v>
      </c>
      <c r="H7727" s="238" t="str">
        <f>IFERROR(__xludf.DUMMYFUNCTION("""COMPUTED_VALUE"""),"-")</f>
        <v>-</v>
      </c>
      <c r="J7727" s="239" t="s">
        <v>6330</v>
      </c>
    </row>
    <row r="7728">
      <c r="A7728" s="234"/>
      <c r="B7728" s="238" t="str">
        <f>IFERROR(__xludf.DUMMYFUNCTION("""COMPUTED_VALUE"""),"-")</f>
        <v>-</v>
      </c>
      <c r="C7728" s="238" t="str">
        <f>IFERROR(__xludf.DUMMYFUNCTION("""COMPUTED_VALUE"""),"-")</f>
        <v>-</v>
      </c>
      <c r="D7728" s="234"/>
      <c r="E7728" s="237"/>
      <c r="F7728" s="238" t="str">
        <f>IFERROR(__xludf.DUMMYFUNCTION("""COMPUTED_VALUE"""),"-")</f>
        <v>-</v>
      </c>
      <c r="G7728" s="238" t="str">
        <f>IFERROR(__xludf.DUMMYFUNCTION("""COMPUTED_VALUE"""),"-")</f>
        <v>-</v>
      </c>
      <c r="H7728" s="238" t="str">
        <f>IFERROR(__xludf.DUMMYFUNCTION("""COMPUTED_VALUE"""),"-")</f>
        <v>-</v>
      </c>
      <c r="J7728" s="239" t="s">
        <v>6330</v>
      </c>
    </row>
    <row r="7729">
      <c r="A7729" s="234"/>
      <c r="B7729" s="238" t="str">
        <f>IFERROR(__xludf.DUMMYFUNCTION("""COMPUTED_VALUE"""),"-")</f>
        <v>-</v>
      </c>
      <c r="C7729" s="238" t="str">
        <f>IFERROR(__xludf.DUMMYFUNCTION("""COMPUTED_VALUE"""),"-")</f>
        <v>-</v>
      </c>
      <c r="D7729" s="234"/>
      <c r="E7729" s="237"/>
      <c r="F7729" s="238" t="str">
        <f>IFERROR(__xludf.DUMMYFUNCTION("""COMPUTED_VALUE"""),"-")</f>
        <v>-</v>
      </c>
      <c r="G7729" s="238" t="str">
        <f>IFERROR(__xludf.DUMMYFUNCTION("""COMPUTED_VALUE"""),"-")</f>
        <v>-</v>
      </c>
      <c r="H7729" s="238" t="str">
        <f>IFERROR(__xludf.DUMMYFUNCTION("""COMPUTED_VALUE"""),"-")</f>
        <v>-</v>
      </c>
      <c r="J7729" s="239" t="s">
        <v>6330</v>
      </c>
    </row>
    <row r="7730">
      <c r="A7730" s="234"/>
      <c r="B7730" s="238" t="str">
        <f>IFERROR(__xludf.DUMMYFUNCTION("""COMPUTED_VALUE"""),"-")</f>
        <v>-</v>
      </c>
      <c r="C7730" s="238" t="str">
        <f>IFERROR(__xludf.DUMMYFUNCTION("""COMPUTED_VALUE"""),"-")</f>
        <v>-</v>
      </c>
      <c r="D7730" s="234"/>
      <c r="E7730" s="237"/>
      <c r="F7730" s="238" t="str">
        <f>IFERROR(__xludf.DUMMYFUNCTION("""COMPUTED_VALUE"""),"-")</f>
        <v>-</v>
      </c>
      <c r="G7730" s="238" t="str">
        <f>IFERROR(__xludf.DUMMYFUNCTION("""COMPUTED_VALUE"""),"-")</f>
        <v>-</v>
      </c>
      <c r="H7730" s="238" t="str">
        <f>IFERROR(__xludf.DUMMYFUNCTION("""COMPUTED_VALUE"""),"-")</f>
        <v>-</v>
      </c>
      <c r="J7730" s="239" t="s">
        <v>6330</v>
      </c>
    </row>
    <row r="7731">
      <c r="A7731" s="234"/>
      <c r="B7731" s="238" t="str">
        <f>IFERROR(__xludf.DUMMYFUNCTION("""COMPUTED_VALUE"""),"-")</f>
        <v>-</v>
      </c>
      <c r="C7731" s="238" t="str">
        <f>IFERROR(__xludf.DUMMYFUNCTION("""COMPUTED_VALUE"""),"-")</f>
        <v>-</v>
      </c>
      <c r="D7731" s="234"/>
      <c r="E7731" s="237"/>
      <c r="F7731" s="238" t="str">
        <f>IFERROR(__xludf.DUMMYFUNCTION("""COMPUTED_VALUE"""),"-")</f>
        <v>-</v>
      </c>
      <c r="G7731" s="238" t="str">
        <f>IFERROR(__xludf.DUMMYFUNCTION("""COMPUTED_VALUE"""),"-")</f>
        <v>-</v>
      </c>
      <c r="H7731" s="238" t="str">
        <f>IFERROR(__xludf.DUMMYFUNCTION("""COMPUTED_VALUE"""),"-")</f>
        <v>-</v>
      </c>
      <c r="J7731" s="239" t="s">
        <v>6330</v>
      </c>
    </row>
    <row r="7732">
      <c r="A7732" s="234"/>
      <c r="B7732" s="238" t="str">
        <f>IFERROR(__xludf.DUMMYFUNCTION("""COMPUTED_VALUE"""),"-")</f>
        <v>-</v>
      </c>
      <c r="C7732" s="238" t="str">
        <f>IFERROR(__xludf.DUMMYFUNCTION("""COMPUTED_VALUE"""),"-")</f>
        <v>-</v>
      </c>
      <c r="D7732" s="234"/>
      <c r="E7732" s="237"/>
      <c r="F7732" s="238" t="str">
        <f>IFERROR(__xludf.DUMMYFUNCTION("""COMPUTED_VALUE"""),"-")</f>
        <v>-</v>
      </c>
      <c r="G7732" s="238" t="str">
        <f>IFERROR(__xludf.DUMMYFUNCTION("""COMPUTED_VALUE"""),"-")</f>
        <v>-</v>
      </c>
      <c r="H7732" s="238" t="str">
        <f>IFERROR(__xludf.DUMMYFUNCTION("""COMPUTED_VALUE"""),"-")</f>
        <v>-</v>
      </c>
      <c r="J7732" s="239" t="s">
        <v>6330</v>
      </c>
    </row>
    <row r="7733">
      <c r="A7733" s="234"/>
      <c r="B7733" s="238" t="str">
        <f>IFERROR(__xludf.DUMMYFUNCTION("""COMPUTED_VALUE"""),"-")</f>
        <v>-</v>
      </c>
      <c r="C7733" s="238" t="str">
        <f>IFERROR(__xludf.DUMMYFUNCTION("""COMPUTED_VALUE"""),"-")</f>
        <v>-</v>
      </c>
      <c r="D7733" s="234"/>
      <c r="E7733" s="237"/>
      <c r="F7733" s="238" t="str">
        <f>IFERROR(__xludf.DUMMYFUNCTION("""COMPUTED_VALUE"""),"-")</f>
        <v>-</v>
      </c>
      <c r="G7733" s="238" t="str">
        <f>IFERROR(__xludf.DUMMYFUNCTION("""COMPUTED_VALUE"""),"-")</f>
        <v>-</v>
      </c>
      <c r="H7733" s="238" t="str">
        <f>IFERROR(__xludf.DUMMYFUNCTION("""COMPUTED_VALUE"""),"-")</f>
        <v>-</v>
      </c>
      <c r="J7733" s="239" t="s">
        <v>6330</v>
      </c>
    </row>
    <row r="7734">
      <c r="A7734" s="234"/>
      <c r="B7734" s="238" t="str">
        <f>IFERROR(__xludf.DUMMYFUNCTION("""COMPUTED_VALUE"""),"-")</f>
        <v>-</v>
      </c>
      <c r="C7734" s="238" t="str">
        <f>IFERROR(__xludf.DUMMYFUNCTION("""COMPUTED_VALUE"""),"-")</f>
        <v>-</v>
      </c>
      <c r="D7734" s="234"/>
      <c r="E7734" s="237"/>
      <c r="F7734" s="238" t="str">
        <f>IFERROR(__xludf.DUMMYFUNCTION("""COMPUTED_VALUE"""),"-")</f>
        <v>-</v>
      </c>
      <c r="G7734" s="238" t="str">
        <f>IFERROR(__xludf.DUMMYFUNCTION("""COMPUTED_VALUE"""),"-")</f>
        <v>-</v>
      </c>
      <c r="H7734" s="238" t="str">
        <f>IFERROR(__xludf.DUMMYFUNCTION("""COMPUTED_VALUE"""),"-")</f>
        <v>-</v>
      </c>
      <c r="J7734" s="239" t="s">
        <v>6330</v>
      </c>
    </row>
    <row r="7735">
      <c r="A7735" s="234"/>
      <c r="B7735" s="238" t="str">
        <f>IFERROR(__xludf.DUMMYFUNCTION("""COMPUTED_VALUE"""),"-")</f>
        <v>-</v>
      </c>
      <c r="C7735" s="238" t="str">
        <f>IFERROR(__xludf.DUMMYFUNCTION("""COMPUTED_VALUE"""),"-")</f>
        <v>-</v>
      </c>
      <c r="D7735" s="234"/>
      <c r="E7735" s="237"/>
      <c r="F7735" s="238" t="str">
        <f>IFERROR(__xludf.DUMMYFUNCTION("""COMPUTED_VALUE"""),"-")</f>
        <v>-</v>
      </c>
      <c r="G7735" s="238" t="str">
        <f>IFERROR(__xludf.DUMMYFUNCTION("""COMPUTED_VALUE"""),"-")</f>
        <v>-</v>
      </c>
      <c r="H7735" s="238" t="str">
        <f>IFERROR(__xludf.DUMMYFUNCTION("""COMPUTED_VALUE"""),"-")</f>
        <v>-</v>
      </c>
      <c r="J7735" s="239" t="s">
        <v>6330</v>
      </c>
    </row>
    <row r="7736">
      <c r="A7736" s="234"/>
      <c r="B7736" s="238" t="str">
        <f>IFERROR(__xludf.DUMMYFUNCTION("""COMPUTED_VALUE"""),"-")</f>
        <v>-</v>
      </c>
      <c r="C7736" s="238" t="str">
        <f>IFERROR(__xludf.DUMMYFUNCTION("""COMPUTED_VALUE"""),"-")</f>
        <v>-</v>
      </c>
      <c r="D7736" s="234"/>
      <c r="E7736" s="237"/>
      <c r="F7736" s="238" t="str">
        <f>IFERROR(__xludf.DUMMYFUNCTION("""COMPUTED_VALUE"""),"-")</f>
        <v>-</v>
      </c>
      <c r="G7736" s="238" t="str">
        <f>IFERROR(__xludf.DUMMYFUNCTION("""COMPUTED_VALUE"""),"-")</f>
        <v>-</v>
      </c>
      <c r="H7736" s="238" t="str">
        <f>IFERROR(__xludf.DUMMYFUNCTION("""COMPUTED_VALUE"""),"-")</f>
        <v>-</v>
      </c>
      <c r="J7736" s="239" t="s">
        <v>6330</v>
      </c>
    </row>
    <row r="7737">
      <c r="A7737" s="234"/>
      <c r="B7737" s="238" t="str">
        <f>IFERROR(__xludf.DUMMYFUNCTION("""COMPUTED_VALUE"""),"-")</f>
        <v>-</v>
      </c>
      <c r="C7737" s="238" t="str">
        <f>IFERROR(__xludf.DUMMYFUNCTION("""COMPUTED_VALUE"""),"-")</f>
        <v>-</v>
      </c>
      <c r="D7737" s="234"/>
      <c r="E7737" s="237"/>
      <c r="F7737" s="238" t="str">
        <f>IFERROR(__xludf.DUMMYFUNCTION("""COMPUTED_VALUE"""),"-")</f>
        <v>-</v>
      </c>
      <c r="G7737" s="238" t="str">
        <f>IFERROR(__xludf.DUMMYFUNCTION("""COMPUTED_VALUE"""),"-")</f>
        <v>-</v>
      </c>
      <c r="H7737" s="238" t="str">
        <f>IFERROR(__xludf.DUMMYFUNCTION("""COMPUTED_VALUE"""),"-")</f>
        <v>-</v>
      </c>
      <c r="J7737" s="239" t="s">
        <v>6330</v>
      </c>
    </row>
    <row r="7738">
      <c r="A7738" s="234"/>
      <c r="B7738" s="238" t="str">
        <f>IFERROR(__xludf.DUMMYFUNCTION("""COMPUTED_VALUE"""),"-")</f>
        <v>-</v>
      </c>
      <c r="C7738" s="238" t="str">
        <f>IFERROR(__xludf.DUMMYFUNCTION("""COMPUTED_VALUE"""),"-")</f>
        <v>-</v>
      </c>
      <c r="D7738" s="234"/>
      <c r="E7738" s="237"/>
      <c r="F7738" s="238" t="str">
        <f>IFERROR(__xludf.DUMMYFUNCTION("""COMPUTED_VALUE"""),"-")</f>
        <v>-</v>
      </c>
      <c r="G7738" s="238" t="str">
        <f>IFERROR(__xludf.DUMMYFUNCTION("""COMPUTED_VALUE"""),"-")</f>
        <v>-</v>
      </c>
      <c r="H7738" s="238" t="str">
        <f>IFERROR(__xludf.DUMMYFUNCTION("""COMPUTED_VALUE"""),"-")</f>
        <v>-</v>
      </c>
      <c r="J7738" s="239" t="s">
        <v>6330</v>
      </c>
    </row>
    <row r="7739">
      <c r="A7739" s="234"/>
      <c r="B7739" s="238" t="str">
        <f>IFERROR(__xludf.DUMMYFUNCTION("""COMPUTED_VALUE"""),"-")</f>
        <v>-</v>
      </c>
      <c r="C7739" s="238" t="str">
        <f>IFERROR(__xludf.DUMMYFUNCTION("""COMPUTED_VALUE"""),"-")</f>
        <v>-</v>
      </c>
      <c r="D7739" s="234"/>
      <c r="E7739" s="237"/>
      <c r="F7739" s="238" t="str">
        <f>IFERROR(__xludf.DUMMYFUNCTION("""COMPUTED_VALUE"""),"-")</f>
        <v>-</v>
      </c>
      <c r="G7739" s="238" t="str">
        <f>IFERROR(__xludf.DUMMYFUNCTION("""COMPUTED_VALUE"""),"-")</f>
        <v>-</v>
      </c>
      <c r="H7739" s="238" t="str">
        <f>IFERROR(__xludf.DUMMYFUNCTION("""COMPUTED_VALUE"""),"-")</f>
        <v>-</v>
      </c>
      <c r="J7739" s="239" t="s">
        <v>6330</v>
      </c>
    </row>
    <row r="7740">
      <c r="A7740" s="234"/>
      <c r="B7740" s="238" t="str">
        <f>IFERROR(__xludf.DUMMYFUNCTION("""COMPUTED_VALUE"""),"-")</f>
        <v>-</v>
      </c>
      <c r="C7740" s="238" t="str">
        <f>IFERROR(__xludf.DUMMYFUNCTION("""COMPUTED_VALUE"""),"-")</f>
        <v>-</v>
      </c>
      <c r="D7740" s="234"/>
      <c r="E7740" s="237"/>
      <c r="F7740" s="238" t="str">
        <f>IFERROR(__xludf.DUMMYFUNCTION("""COMPUTED_VALUE"""),"-")</f>
        <v>-</v>
      </c>
      <c r="G7740" s="238" t="str">
        <f>IFERROR(__xludf.DUMMYFUNCTION("""COMPUTED_VALUE"""),"-")</f>
        <v>-</v>
      </c>
      <c r="H7740" s="238" t="str">
        <f>IFERROR(__xludf.DUMMYFUNCTION("""COMPUTED_VALUE"""),"-")</f>
        <v>-</v>
      </c>
      <c r="J7740" s="239" t="s">
        <v>6330</v>
      </c>
    </row>
    <row r="7741">
      <c r="A7741" s="234"/>
      <c r="B7741" s="238" t="str">
        <f>IFERROR(__xludf.DUMMYFUNCTION("""COMPUTED_VALUE"""),"-")</f>
        <v>-</v>
      </c>
      <c r="C7741" s="238" t="str">
        <f>IFERROR(__xludf.DUMMYFUNCTION("""COMPUTED_VALUE"""),"-")</f>
        <v>-</v>
      </c>
      <c r="D7741" s="234"/>
      <c r="E7741" s="237"/>
      <c r="F7741" s="238" t="str">
        <f>IFERROR(__xludf.DUMMYFUNCTION("""COMPUTED_VALUE"""),"-")</f>
        <v>-</v>
      </c>
      <c r="G7741" s="238" t="str">
        <f>IFERROR(__xludf.DUMMYFUNCTION("""COMPUTED_VALUE"""),"-")</f>
        <v>-</v>
      </c>
      <c r="H7741" s="238" t="str">
        <f>IFERROR(__xludf.DUMMYFUNCTION("""COMPUTED_VALUE"""),"-")</f>
        <v>-</v>
      </c>
      <c r="J7741" s="239" t="s">
        <v>6330</v>
      </c>
    </row>
    <row r="7742">
      <c r="A7742" s="234"/>
      <c r="B7742" s="238" t="str">
        <f>IFERROR(__xludf.DUMMYFUNCTION("""COMPUTED_VALUE"""),"-")</f>
        <v>-</v>
      </c>
      <c r="C7742" s="238" t="str">
        <f>IFERROR(__xludf.DUMMYFUNCTION("""COMPUTED_VALUE"""),"-")</f>
        <v>-</v>
      </c>
      <c r="D7742" s="234"/>
      <c r="E7742" s="237"/>
      <c r="F7742" s="238" t="str">
        <f>IFERROR(__xludf.DUMMYFUNCTION("""COMPUTED_VALUE"""),"-")</f>
        <v>-</v>
      </c>
      <c r="G7742" s="238" t="str">
        <f>IFERROR(__xludf.DUMMYFUNCTION("""COMPUTED_VALUE"""),"-")</f>
        <v>-</v>
      </c>
      <c r="H7742" s="238" t="str">
        <f>IFERROR(__xludf.DUMMYFUNCTION("""COMPUTED_VALUE"""),"-")</f>
        <v>-</v>
      </c>
      <c r="J7742" s="239" t="s">
        <v>6330</v>
      </c>
    </row>
    <row r="7743">
      <c r="A7743" s="234"/>
      <c r="B7743" s="238" t="str">
        <f>IFERROR(__xludf.DUMMYFUNCTION("""COMPUTED_VALUE"""),"-")</f>
        <v>-</v>
      </c>
      <c r="C7743" s="238" t="str">
        <f>IFERROR(__xludf.DUMMYFUNCTION("""COMPUTED_VALUE"""),"-")</f>
        <v>-</v>
      </c>
      <c r="D7743" s="234"/>
      <c r="E7743" s="237"/>
      <c r="F7743" s="238" t="str">
        <f>IFERROR(__xludf.DUMMYFUNCTION("""COMPUTED_VALUE"""),"-")</f>
        <v>-</v>
      </c>
      <c r="G7743" s="238" t="str">
        <f>IFERROR(__xludf.DUMMYFUNCTION("""COMPUTED_VALUE"""),"-")</f>
        <v>-</v>
      </c>
      <c r="H7743" s="238" t="str">
        <f>IFERROR(__xludf.DUMMYFUNCTION("""COMPUTED_VALUE"""),"-")</f>
        <v>-</v>
      </c>
      <c r="J7743" s="239" t="s">
        <v>6330</v>
      </c>
    </row>
    <row r="7744">
      <c r="A7744" s="234"/>
      <c r="B7744" s="238" t="str">
        <f>IFERROR(__xludf.DUMMYFUNCTION("""COMPUTED_VALUE"""),"-")</f>
        <v>-</v>
      </c>
      <c r="C7744" s="238" t="str">
        <f>IFERROR(__xludf.DUMMYFUNCTION("""COMPUTED_VALUE"""),"-")</f>
        <v>-</v>
      </c>
      <c r="D7744" s="234"/>
      <c r="E7744" s="237"/>
      <c r="F7744" s="238" t="str">
        <f>IFERROR(__xludf.DUMMYFUNCTION("""COMPUTED_VALUE"""),"-")</f>
        <v>-</v>
      </c>
      <c r="G7744" s="238" t="str">
        <f>IFERROR(__xludf.DUMMYFUNCTION("""COMPUTED_VALUE"""),"-")</f>
        <v>-</v>
      </c>
      <c r="H7744" s="238" t="str">
        <f>IFERROR(__xludf.DUMMYFUNCTION("""COMPUTED_VALUE"""),"-")</f>
        <v>-</v>
      </c>
      <c r="J7744" s="239" t="s">
        <v>6330</v>
      </c>
    </row>
    <row r="7745">
      <c r="A7745" s="234"/>
      <c r="B7745" s="238" t="str">
        <f>IFERROR(__xludf.DUMMYFUNCTION("""COMPUTED_VALUE"""),"-")</f>
        <v>-</v>
      </c>
      <c r="C7745" s="238" t="str">
        <f>IFERROR(__xludf.DUMMYFUNCTION("""COMPUTED_VALUE"""),"-")</f>
        <v>-</v>
      </c>
      <c r="D7745" s="234"/>
      <c r="E7745" s="237"/>
      <c r="F7745" s="238" t="str">
        <f>IFERROR(__xludf.DUMMYFUNCTION("""COMPUTED_VALUE"""),"-")</f>
        <v>-</v>
      </c>
      <c r="G7745" s="238" t="str">
        <f>IFERROR(__xludf.DUMMYFUNCTION("""COMPUTED_VALUE"""),"-")</f>
        <v>-</v>
      </c>
      <c r="H7745" s="238" t="str">
        <f>IFERROR(__xludf.DUMMYFUNCTION("""COMPUTED_VALUE"""),"-")</f>
        <v>-</v>
      </c>
      <c r="J7745" s="239" t="s">
        <v>6330</v>
      </c>
    </row>
    <row r="7746">
      <c r="A7746" s="234"/>
      <c r="B7746" s="238" t="str">
        <f>IFERROR(__xludf.DUMMYFUNCTION("""COMPUTED_VALUE"""),"-")</f>
        <v>-</v>
      </c>
      <c r="C7746" s="238" t="str">
        <f>IFERROR(__xludf.DUMMYFUNCTION("""COMPUTED_VALUE"""),"-")</f>
        <v>-</v>
      </c>
      <c r="D7746" s="234"/>
      <c r="E7746" s="237"/>
      <c r="F7746" s="238" t="str">
        <f>IFERROR(__xludf.DUMMYFUNCTION("""COMPUTED_VALUE"""),"-")</f>
        <v>-</v>
      </c>
      <c r="G7746" s="238" t="str">
        <f>IFERROR(__xludf.DUMMYFUNCTION("""COMPUTED_VALUE"""),"-")</f>
        <v>-</v>
      </c>
      <c r="H7746" s="238" t="str">
        <f>IFERROR(__xludf.DUMMYFUNCTION("""COMPUTED_VALUE"""),"-")</f>
        <v>-</v>
      </c>
      <c r="J7746" s="239" t="s">
        <v>6330</v>
      </c>
    </row>
    <row r="7747">
      <c r="A7747" s="234"/>
      <c r="B7747" s="238" t="str">
        <f>IFERROR(__xludf.DUMMYFUNCTION("""COMPUTED_VALUE"""),"-")</f>
        <v>-</v>
      </c>
      <c r="C7747" s="238" t="str">
        <f>IFERROR(__xludf.DUMMYFUNCTION("""COMPUTED_VALUE"""),"-")</f>
        <v>-</v>
      </c>
      <c r="D7747" s="234"/>
      <c r="E7747" s="237"/>
      <c r="F7747" s="238" t="str">
        <f>IFERROR(__xludf.DUMMYFUNCTION("""COMPUTED_VALUE"""),"-")</f>
        <v>-</v>
      </c>
      <c r="G7747" s="238" t="str">
        <f>IFERROR(__xludf.DUMMYFUNCTION("""COMPUTED_VALUE"""),"-")</f>
        <v>-</v>
      </c>
      <c r="H7747" s="238" t="str">
        <f>IFERROR(__xludf.DUMMYFUNCTION("""COMPUTED_VALUE"""),"-")</f>
        <v>-</v>
      </c>
      <c r="J7747" s="239" t="s">
        <v>6330</v>
      </c>
    </row>
    <row r="7748">
      <c r="A7748" s="234"/>
      <c r="B7748" s="238" t="str">
        <f>IFERROR(__xludf.DUMMYFUNCTION("""COMPUTED_VALUE"""),"-")</f>
        <v>-</v>
      </c>
      <c r="C7748" s="238" t="str">
        <f>IFERROR(__xludf.DUMMYFUNCTION("""COMPUTED_VALUE"""),"-")</f>
        <v>-</v>
      </c>
      <c r="D7748" s="234"/>
      <c r="E7748" s="237"/>
      <c r="F7748" s="238" t="str">
        <f>IFERROR(__xludf.DUMMYFUNCTION("""COMPUTED_VALUE"""),"-")</f>
        <v>-</v>
      </c>
      <c r="G7748" s="238" t="str">
        <f>IFERROR(__xludf.DUMMYFUNCTION("""COMPUTED_VALUE"""),"-")</f>
        <v>-</v>
      </c>
      <c r="H7748" s="238" t="str">
        <f>IFERROR(__xludf.DUMMYFUNCTION("""COMPUTED_VALUE"""),"-")</f>
        <v>-</v>
      </c>
      <c r="J7748" s="239" t="s">
        <v>6330</v>
      </c>
    </row>
    <row r="7749">
      <c r="A7749" s="234"/>
      <c r="B7749" s="238" t="str">
        <f>IFERROR(__xludf.DUMMYFUNCTION("""COMPUTED_VALUE"""),"-")</f>
        <v>-</v>
      </c>
      <c r="C7749" s="238" t="str">
        <f>IFERROR(__xludf.DUMMYFUNCTION("""COMPUTED_VALUE"""),"-")</f>
        <v>-</v>
      </c>
      <c r="D7749" s="234"/>
      <c r="E7749" s="237"/>
      <c r="F7749" s="238" t="str">
        <f>IFERROR(__xludf.DUMMYFUNCTION("""COMPUTED_VALUE"""),"-")</f>
        <v>-</v>
      </c>
      <c r="G7749" s="238" t="str">
        <f>IFERROR(__xludf.DUMMYFUNCTION("""COMPUTED_VALUE"""),"-")</f>
        <v>-</v>
      </c>
      <c r="H7749" s="238" t="str">
        <f>IFERROR(__xludf.DUMMYFUNCTION("""COMPUTED_VALUE"""),"-")</f>
        <v>-</v>
      </c>
      <c r="J7749" s="239" t="s">
        <v>6330</v>
      </c>
    </row>
    <row r="7750">
      <c r="A7750" s="234"/>
      <c r="B7750" s="238" t="str">
        <f>IFERROR(__xludf.DUMMYFUNCTION("""COMPUTED_VALUE"""),"-")</f>
        <v>-</v>
      </c>
      <c r="C7750" s="238" t="str">
        <f>IFERROR(__xludf.DUMMYFUNCTION("""COMPUTED_VALUE"""),"-")</f>
        <v>-</v>
      </c>
      <c r="D7750" s="234"/>
      <c r="E7750" s="237"/>
      <c r="F7750" s="238" t="str">
        <f>IFERROR(__xludf.DUMMYFUNCTION("""COMPUTED_VALUE"""),"-")</f>
        <v>-</v>
      </c>
      <c r="G7750" s="238" t="str">
        <f>IFERROR(__xludf.DUMMYFUNCTION("""COMPUTED_VALUE"""),"-")</f>
        <v>-</v>
      </c>
      <c r="H7750" s="238" t="str">
        <f>IFERROR(__xludf.DUMMYFUNCTION("""COMPUTED_VALUE"""),"-")</f>
        <v>-</v>
      </c>
      <c r="J7750" s="239" t="s">
        <v>6330</v>
      </c>
    </row>
    <row r="7751">
      <c r="A7751" s="234"/>
      <c r="B7751" s="238" t="str">
        <f>IFERROR(__xludf.DUMMYFUNCTION("""COMPUTED_VALUE"""),"-")</f>
        <v>-</v>
      </c>
      <c r="C7751" s="238" t="str">
        <f>IFERROR(__xludf.DUMMYFUNCTION("""COMPUTED_VALUE"""),"-")</f>
        <v>-</v>
      </c>
      <c r="D7751" s="234"/>
      <c r="E7751" s="237"/>
      <c r="F7751" s="238" t="str">
        <f>IFERROR(__xludf.DUMMYFUNCTION("""COMPUTED_VALUE"""),"-")</f>
        <v>-</v>
      </c>
      <c r="G7751" s="238" t="str">
        <f>IFERROR(__xludf.DUMMYFUNCTION("""COMPUTED_VALUE"""),"-")</f>
        <v>-</v>
      </c>
      <c r="H7751" s="238" t="str">
        <f>IFERROR(__xludf.DUMMYFUNCTION("""COMPUTED_VALUE"""),"-")</f>
        <v>-</v>
      </c>
      <c r="J7751" s="239" t="s">
        <v>6330</v>
      </c>
    </row>
    <row r="7752">
      <c r="A7752" s="234"/>
      <c r="B7752" s="238" t="str">
        <f>IFERROR(__xludf.DUMMYFUNCTION("""COMPUTED_VALUE"""),"-")</f>
        <v>-</v>
      </c>
      <c r="C7752" s="238" t="str">
        <f>IFERROR(__xludf.DUMMYFUNCTION("""COMPUTED_VALUE"""),"-")</f>
        <v>-</v>
      </c>
      <c r="D7752" s="234"/>
      <c r="E7752" s="237"/>
      <c r="F7752" s="238" t="str">
        <f>IFERROR(__xludf.DUMMYFUNCTION("""COMPUTED_VALUE"""),"-")</f>
        <v>-</v>
      </c>
      <c r="G7752" s="238" t="str">
        <f>IFERROR(__xludf.DUMMYFUNCTION("""COMPUTED_VALUE"""),"-")</f>
        <v>-</v>
      </c>
      <c r="H7752" s="238" t="str">
        <f>IFERROR(__xludf.DUMMYFUNCTION("""COMPUTED_VALUE"""),"-")</f>
        <v>-</v>
      </c>
      <c r="J7752" s="239" t="s">
        <v>6330</v>
      </c>
    </row>
    <row r="7753">
      <c r="A7753" s="234"/>
      <c r="B7753" s="238" t="str">
        <f>IFERROR(__xludf.DUMMYFUNCTION("""COMPUTED_VALUE"""),"-")</f>
        <v>-</v>
      </c>
      <c r="C7753" s="238" t="str">
        <f>IFERROR(__xludf.DUMMYFUNCTION("""COMPUTED_VALUE"""),"-")</f>
        <v>-</v>
      </c>
      <c r="D7753" s="234"/>
      <c r="E7753" s="237"/>
      <c r="F7753" s="238" t="str">
        <f>IFERROR(__xludf.DUMMYFUNCTION("""COMPUTED_VALUE"""),"-")</f>
        <v>-</v>
      </c>
      <c r="G7753" s="238" t="str">
        <f>IFERROR(__xludf.DUMMYFUNCTION("""COMPUTED_VALUE"""),"-")</f>
        <v>-</v>
      </c>
      <c r="H7753" s="238" t="str">
        <f>IFERROR(__xludf.DUMMYFUNCTION("""COMPUTED_VALUE"""),"-")</f>
        <v>-</v>
      </c>
      <c r="J7753" s="239" t="s">
        <v>6330</v>
      </c>
    </row>
    <row r="7754">
      <c r="A7754" s="234"/>
      <c r="B7754" s="238" t="str">
        <f>IFERROR(__xludf.DUMMYFUNCTION("""COMPUTED_VALUE"""),"-")</f>
        <v>-</v>
      </c>
      <c r="C7754" s="238" t="str">
        <f>IFERROR(__xludf.DUMMYFUNCTION("""COMPUTED_VALUE"""),"-")</f>
        <v>-</v>
      </c>
      <c r="D7754" s="234"/>
      <c r="E7754" s="237"/>
      <c r="F7754" s="238" t="str">
        <f>IFERROR(__xludf.DUMMYFUNCTION("""COMPUTED_VALUE"""),"-")</f>
        <v>-</v>
      </c>
      <c r="G7754" s="238" t="str">
        <f>IFERROR(__xludf.DUMMYFUNCTION("""COMPUTED_VALUE"""),"-")</f>
        <v>-</v>
      </c>
      <c r="H7754" s="238" t="str">
        <f>IFERROR(__xludf.DUMMYFUNCTION("""COMPUTED_VALUE"""),"-")</f>
        <v>-</v>
      </c>
      <c r="J7754" s="239" t="s">
        <v>6330</v>
      </c>
    </row>
    <row r="7755">
      <c r="A7755" s="234"/>
      <c r="B7755" s="238" t="str">
        <f>IFERROR(__xludf.DUMMYFUNCTION("""COMPUTED_VALUE"""),"-")</f>
        <v>-</v>
      </c>
      <c r="C7755" s="238" t="str">
        <f>IFERROR(__xludf.DUMMYFUNCTION("""COMPUTED_VALUE"""),"-")</f>
        <v>-</v>
      </c>
      <c r="D7755" s="234"/>
      <c r="E7755" s="237"/>
      <c r="F7755" s="238" t="str">
        <f>IFERROR(__xludf.DUMMYFUNCTION("""COMPUTED_VALUE"""),"-")</f>
        <v>-</v>
      </c>
      <c r="G7755" s="238" t="str">
        <f>IFERROR(__xludf.DUMMYFUNCTION("""COMPUTED_VALUE"""),"-")</f>
        <v>-</v>
      </c>
      <c r="H7755" s="238" t="str">
        <f>IFERROR(__xludf.DUMMYFUNCTION("""COMPUTED_VALUE"""),"-")</f>
        <v>-</v>
      </c>
      <c r="J7755" s="239" t="s">
        <v>6330</v>
      </c>
    </row>
    <row r="7756">
      <c r="A7756" s="234"/>
      <c r="B7756" s="238" t="str">
        <f>IFERROR(__xludf.DUMMYFUNCTION("""COMPUTED_VALUE"""),"-")</f>
        <v>-</v>
      </c>
      <c r="C7756" s="238" t="str">
        <f>IFERROR(__xludf.DUMMYFUNCTION("""COMPUTED_VALUE"""),"-")</f>
        <v>-</v>
      </c>
      <c r="D7756" s="234"/>
      <c r="E7756" s="237"/>
      <c r="F7756" s="238" t="str">
        <f>IFERROR(__xludf.DUMMYFUNCTION("""COMPUTED_VALUE"""),"-")</f>
        <v>-</v>
      </c>
      <c r="G7756" s="238" t="str">
        <f>IFERROR(__xludf.DUMMYFUNCTION("""COMPUTED_VALUE"""),"-")</f>
        <v>-</v>
      </c>
      <c r="H7756" s="238" t="str">
        <f>IFERROR(__xludf.DUMMYFUNCTION("""COMPUTED_VALUE"""),"-")</f>
        <v>-</v>
      </c>
      <c r="J7756" s="239" t="s">
        <v>6330</v>
      </c>
    </row>
    <row r="7757">
      <c r="A7757" s="234"/>
      <c r="B7757" s="238" t="str">
        <f>IFERROR(__xludf.DUMMYFUNCTION("""COMPUTED_VALUE"""),"-")</f>
        <v>-</v>
      </c>
      <c r="C7757" s="238" t="str">
        <f>IFERROR(__xludf.DUMMYFUNCTION("""COMPUTED_VALUE"""),"-")</f>
        <v>-</v>
      </c>
      <c r="D7757" s="234"/>
      <c r="E7757" s="237"/>
      <c r="F7757" s="238" t="str">
        <f>IFERROR(__xludf.DUMMYFUNCTION("""COMPUTED_VALUE"""),"-")</f>
        <v>-</v>
      </c>
      <c r="G7757" s="238" t="str">
        <f>IFERROR(__xludf.DUMMYFUNCTION("""COMPUTED_VALUE"""),"-")</f>
        <v>-</v>
      </c>
      <c r="H7757" s="238" t="str">
        <f>IFERROR(__xludf.DUMMYFUNCTION("""COMPUTED_VALUE"""),"-")</f>
        <v>-</v>
      </c>
      <c r="J7757" s="239" t="s">
        <v>6330</v>
      </c>
    </row>
    <row r="7758">
      <c r="A7758" s="234"/>
      <c r="B7758" s="238" t="str">
        <f>IFERROR(__xludf.DUMMYFUNCTION("""COMPUTED_VALUE"""),"-")</f>
        <v>-</v>
      </c>
      <c r="C7758" s="238" t="str">
        <f>IFERROR(__xludf.DUMMYFUNCTION("""COMPUTED_VALUE"""),"-")</f>
        <v>-</v>
      </c>
      <c r="D7758" s="234"/>
      <c r="E7758" s="237"/>
      <c r="F7758" s="238" t="str">
        <f>IFERROR(__xludf.DUMMYFUNCTION("""COMPUTED_VALUE"""),"-")</f>
        <v>-</v>
      </c>
      <c r="G7758" s="238" t="str">
        <f>IFERROR(__xludf.DUMMYFUNCTION("""COMPUTED_VALUE"""),"-")</f>
        <v>-</v>
      </c>
      <c r="H7758" s="238" t="str">
        <f>IFERROR(__xludf.DUMMYFUNCTION("""COMPUTED_VALUE"""),"-")</f>
        <v>-</v>
      </c>
      <c r="J7758" s="239" t="s">
        <v>6330</v>
      </c>
    </row>
    <row r="7759">
      <c r="A7759" s="234"/>
      <c r="B7759" s="238" t="str">
        <f>IFERROR(__xludf.DUMMYFUNCTION("""COMPUTED_VALUE"""),"-")</f>
        <v>-</v>
      </c>
      <c r="C7759" s="238" t="str">
        <f>IFERROR(__xludf.DUMMYFUNCTION("""COMPUTED_VALUE"""),"-")</f>
        <v>-</v>
      </c>
      <c r="D7759" s="234"/>
      <c r="E7759" s="237"/>
      <c r="F7759" s="238" t="str">
        <f>IFERROR(__xludf.DUMMYFUNCTION("""COMPUTED_VALUE"""),"-")</f>
        <v>-</v>
      </c>
      <c r="G7759" s="238" t="str">
        <f>IFERROR(__xludf.DUMMYFUNCTION("""COMPUTED_VALUE"""),"-")</f>
        <v>-</v>
      </c>
      <c r="H7759" s="238" t="str">
        <f>IFERROR(__xludf.DUMMYFUNCTION("""COMPUTED_VALUE"""),"-")</f>
        <v>-</v>
      </c>
      <c r="J7759" s="239" t="s">
        <v>6330</v>
      </c>
    </row>
    <row r="7760">
      <c r="A7760" s="234"/>
      <c r="B7760" s="238" t="str">
        <f>IFERROR(__xludf.DUMMYFUNCTION("""COMPUTED_VALUE"""),"-")</f>
        <v>-</v>
      </c>
      <c r="C7760" s="238" t="str">
        <f>IFERROR(__xludf.DUMMYFUNCTION("""COMPUTED_VALUE"""),"-")</f>
        <v>-</v>
      </c>
      <c r="D7760" s="234"/>
      <c r="E7760" s="237"/>
      <c r="F7760" s="238" t="str">
        <f>IFERROR(__xludf.DUMMYFUNCTION("""COMPUTED_VALUE"""),"-")</f>
        <v>-</v>
      </c>
      <c r="G7760" s="238" t="str">
        <f>IFERROR(__xludf.DUMMYFUNCTION("""COMPUTED_VALUE"""),"-")</f>
        <v>-</v>
      </c>
      <c r="H7760" s="238" t="str">
        <f>IFERROR(__xludf.DUMMYFUNCTION("""COMPUTED_VALUE"""),"-")</f>
        <v>-</v>
      </c>
      <c r="J7760" s="239" t="s">
        <v>6330</v>
      </c>
    </row>
    <row r="7761">
      <c r="A7761" s="234"/>
      <c r="B7761" s="238" t="str">
        <f>IFERROR(__xludf.DUMMYFUNCTION("""COMPUTED_VALUE"""),"-")</f>
        <v>-</v>
      </c>
      <c r="C7761" s="238" t="str">
        <f>IFERROR(__xludf.DUMMYFUNCTION("""COMPUTED_VALUE"""),"-")</f>
        <v>-</v>
      </c>
      <c r="D7761" s="234"/>
      <c r="E7761" s="237"/>
      <c r="F7761" s="238" t="str">
        <f>IFERROR(__xludf.DUMMYFUNCTION("""COMPUTED_VALUE"""),"-")</f>
        <v>-</v>
      </c>
      <c r="G7761" s="238" t="str">
        <f>IFERROR(__xludf.DUMMYFUNCTION("""COMPUTED_VALUE"""),"-")</f>
        <v>-</v>
      </c>
      <c r="H7761" s="238" t="str">
        <f>IFERROR(__xludf.DUMMYFUNCTION("""COMPUTED_VALUE"""),"-")</f>
        <v>-</v>
      </c>
      <c r="J7761" s="239" t="s">
        <v>6330</v>
      </c>
    </row>
    <row r="7762">
      <c r="A7762" s="234"/>
      <c r="B7762" s="238" t="str">
        <f>IFERROR(__xludf.DUMMYFUNCTION("""COMPUTED_VALUE"""),"-")</f>
        <v>-</v>
      </c>
      <c r="C7762" s="238" t="str">
        <f>IFERROR(__xludf.DUMMYFUNCTION("""COMPUTED_VALUE"""),"-")</f>
        <v>-</v>
      </c>
      <c r="D7762" s="234"/>
      <c r="E7762" s="237"/>
      <c r="F7762" s="238" t="str">
        <f>IFERROR(__xludf.DUMMYFUNCTION("""COMPUTED_VALUE"""),"-")</f>
        <v>-</v>
      </c>
      <c r="G7762" s="238" t="str">
        <f>IFERROR(__xludf.DUMMYFUNCTION("""COMPUTED_VALUE"""),"-")</f>
        <v>-</v>
      </c>
      <c r="H7762" s="238" t="str">
        <f>IFERROR(__xludf.DUMMYFUNCTION("""COMPUTED_VALUE"""),"-")</f>
        <v>-</v>
      </c>
      <c r="J7762" s="239" t="s">
        <v>6330</v>
      </c>
    </row>
    <row r="7763">
      <c r="A7763" s="234"/>
      <c r="B7763" s="238" t="str">
        <f>IFERROR(__xludf.DUMMYFUNCTION("""COMPUTED_VALUE"""),"-")</f>
        <v>-</v>
      </c>
      <c r="C7763" s="238" t="str">
        <f>IFERROR(__xludf.DUMMYFUNCTION("""COMPUTED_VALUE"""),"-")</f>
        <v>-</v>
      </c>
      <c r="D7763" s="234"/>
      <c r="E7763" s="237"/>
      <c r="F7763" s="238" t="str">
        <f>IFERROR(__xludf.DUMMYFUNCTION("""COMPUTED_VALUE"""),"-")</f>
        <v>-</v>
      </c>
      <c r="G7763" s="238" t="str">
        <f>IFERROR(__xludf.DUMMYFUNCTION("""COMPUTED_VALUE"""),"-")</f>
        <v>-</v>
      </c>
      <c r="H7763" s="238" t="str">
        <f>IFERROR(__xludf.DUMMYFUNCTION("""COMPUTED_VALUE"""),"-")</f>
        <v>-</v>
      </c>
      <c r="J7763" s="239" t="s">
        <v>6330</v>
      </c>
    </row>
    <row r="7764">
      <c r="A7764" s="234"/>
      <c r="B7764" s="238" t="str">
        <f>IFERROR(__xludf.DUMMYFUNCTION("""COMPUTED_VALUE"""),"-")</f>
        <v>-</v>
      </c>
      <c r="C7764" s="238" t="str">
        <f>IFERROR(__xludf.DUMMYFUNCTION("""COMPUTED_VALUE"""),"-")</f>
        <v>-</v>
      </c>
      <c r="D7764" s="234"/>
      <c r="E7764" s="237"/>
      <c r="F7764" s="238" t="str">
        <f>IFERROR(__xludf.DUMMYFUNCTION("""COMPUTED_VALUE"""),"-")</f>
        <v>-</v>
      </c>
      <c r="G7764" s="238" t="str">
        <f>IFERROR(__xludf.DUMMYFUNCTION("""COMPUTED_VALUE"""),"-")</f>
        <v>-</v>
      </c>
      <c r="H7764" s="238" t="str">
        <f>IFERROR(__xludf.DUMMYFUNCTION("""COMPUTED_VALUE"""),"-")</f>
        <v>-</v>
      </c>
      <c r="J7764" s="239" t="s">
        <v>6330</v>
      </c>
    </row>
    <row r="7765">
      <c r="A7765" s="234"/>
      <c r="B7765" s="238" t="str">
        <f>IFERROR(__xludf.DUMMYFUNCTION("""COMPUTED_VALUE"""),"-")</f>
        <v>-</v>
      </c>
      <c r="C7765" s="238" t="str">
        <f>IFERROR(__xludf.DUMMYFUNCTION("""COMPUTED_VALUE"""),"-")</f>
        <v>-</v>
      </c>
      <c r="D7765" s="234"/>
      <c r="E7765" s="237"/>
      <c r="F7765" s="238" t="str">
        <f>IFERROR(__xludf.DUMMYFUNCTION("""COMPUTED_VALUE"""),"-")</f>
        <v>-</v>
      </c>
      <c r="G7765" s="238" t="str">
        <f>IFERROR(__xludf.DUMMYFUNCTION("""COMPUTED_VALUE"""),"-")</f>
        <v>-</v>
      </c>
      <c r="H7765" s="238" t="str">
        <f>IFERROR(__xludf.DUMMYFUNCTION("""COMPUTED_VALUE"""),"-")</f>
        <v>-</v>
      </c>
      <c r="J7765" s="239" t="s">
        <v>6330</v>
      </c>
    </row>
    <row r="7766">
      <c r="A7766" s="234"/>
      <c r="B7766" s="238" t="str">
        <f>IFERROR(__xludf.DUMMYFUNCTION("""COMPUTED_VALUE"""),"-")</f>
        <v>-</v>
      </c>
      <c r="C7766" s="238" t="str">
        <f>IFERROR(__xludf.DUMMYFUNCTION("""COMPUTED_VALUE"""),"-")</f>
        <v>-</v>
      </c>
      <c r="D7766" s="234"/>
      <c r="E7766" s="237"/>
      <c r="F7766" s="238" t="str">
        <f>IFERROR(__xludf.DUMMYFUNCTION("""COMPUTED_VALUE"""),"-")</f>
        <v>-</v>
      </c>
      <c r="G7766" s="238" t="str">
        <f>IFERROR(__xludf.DUMMYFUNCTION("""COMPUTED_VALUE"""),"-")</f>
        <v>-</v>
      </c>
      <c r="H7766" s="238" t="str">
        <f>IFERROR(__xludf.DUMMYFUNCTION("""COMPUTED_VALUE"""),"-")</f>
        <v>-</v>
      </c>
      <c r="J7766" s="239" t="s">
        <v>6330</v>
      </c>
    </row>
    <row r="7767">
      <c r="A7767" s="234"/>
      <c r="B7767" s="238" t="str">
        <f>IFERROR(__xludf.DUMMYFUNCTION("""COMPUTED_VALUE"""),"-")</f>
        <v>-</v>
      </c>
      <c r="C7767" s="238" t="str">
        <f>IFERROR(__xludf.DUMMYFUNCTION("""COMPUTED_VALUE"""),"-")</f>
        <v>-</v>
      </c>
      <c r="D7767" s="234"/>
      <c r="E7767" s="237"/>
      <c r="F7767" s="238" t="str">
        <f>IFERROR(__xludf.DUMMYFUNCTION("""COMPUTED_VALUE"""),"-")</f>
        <v>-</v>
      </c>
      <c r="G7767" s="238" t="str">
        <f>IFERROR(__xludf.DUMMYFUNCTION("""COMPUTED_VALUE"""),"-")</f>
        <v>-</v>
      </c>
      <c r="H7767" s="238" t="str">
        <f>IFERROR(__xludf.DUMMYFUNCTION("""COMPUTED_VALUE"""),"-")</f>
        <v>-</v>
      </c>
      <c r="J7767" s="239" t="s">
        <v>6330</v>
      </c>
    </row>
    <row r="7768">
      <c r="A7768" s="234"/>
      <c r="B7768" s="238" t="str">
        <f>IFERROR(__xludf.DUMMYFUNCTION("""COMPUTED_VALUE"""),"-")</f>
        <v>-</v>
      </c>
      <c r="C7768" s="238" t="str">
        <f>IFERROR(__xludf.DUMMYFUNCTION("""COMPUTED_VALUE"""),"-")</f>
        <v>-</v>
      </c>
      <c r="D7768" s="234"/>
      <c r="E7768" s="237"/>
      <c r="F7768" s="238" t="str">
        <f>IFERROR(__xludf.DUMMYFUNCTION("""COMPUTED_VALUE"""),"-")</f>
        <v>-</v>
      </c>
      <c r="G7768" s="238" t="str">
        <f>IFERROR(__xludf.DUMMYFUNCTION("""COMPUTED_VALUE"""),"-")</f>
        <v>-</v>
      </c>
      <c r="H7768" s="238" t="str">
        <f>IFERROR(__xludf.DUMMYFUNCTION("""COMPUTED_VALUE"""),"-")</f>
        <v>-</v>
      </c>
      <c r="J7768" s="239" t="s">
        <v>6330</v>
      </c>
    </row>
    <row r="7769">
      <c r="A7769" s="234"/>
      <c r="B7769" s="238" t="str">
        <f>IFERROR(__xludf.DUMMYFUNCTION("""COMPUTED_VALUE"""),"-")</f>
        <v>-</v>
      </c>
      <c r="C7769" s="238" t="str">
        <f>IFERROR(__xludf.DUMMYFUNCTION("""COMPUTED_VALUE"""),"-")</f>
        <v>-</v>
      </c>
      <c r="D7769" s="234"/>
      <c r="E7769" s="237"/>
      <c r="F7769" s="238" t="str">
        <f>IFERROR(__xludf.DUMMYFUNCTION("""COMPUTED_VALUE"""),"-")</f>
        <v>-</v>
      </c>
      <c r="G7769" s="238" t="str">
        <f>IFERROR(__xludf.DUMMYFUNCTION("""COMPUTED_VALUE"""),"-")</f>
        <v>-</v>
      </c>
      <c r="H7769" s="238" t="str">
        <f>IFERROR(__xludf.DUMMYFUNCTION("""COMPUTED_VALUE"""),"-")</f>
        <v>-</v>
      </c>
      <c r="J7769" s="239" t="s">
        <v>6330</v>
      </c>
    </row>
    <row r="7770">
      <c r="A7770" s="234"/>
      <c r="B7770" s="238" t="str">
        <f>IFERROR(__xludf.DUMMYFUNCTION("""COMPUTED_VALUE"""),"-")</f>
        <v>-</v>
      </c>
      <c r="C7770" s="238" t="str">
        <f>IFERROR(__xludf.DUMMYFUNCTION("""COMPUTED_VALUE"""),"-")</f>
        <v>-</v>
      </c>
      <c r="D7770" s="234"/>
      <c r="E7770" s="237"/>
      <c r="F7770" s="238" t="str">
        <f>IFERROR(__xludf.DUMMYFUNCTION("""COMPUTED_VALUE"""),"-")</f>
        <v>-</v>
      </c>
      <c r="G7770" s="238" t="str">
        <f>IFERROR(__xludf.DUMMYFUNCTION("""COMPUTED_VALUE"""),"-")</f>
        <v>-</v>
      </c>
      <c r="H7770" s="238" t="str">
        <f>IFERROR(__xludf.DUMMYFUNCTION("""COMPUTED_VALUE"""),"-")</f>
        <v>-</v>
      </c>
      <c r="J7770" s="239" t="s">
        <v>6330</v>
      </c>
    </row>
    <row r="7771">
      <c r="A7771" s="234"/>
      <c r="B7771" s="238" t="str">
        <f>IFERROR(__xludf.DUMMYFUNCTION("""COMPUTED_VALUE"""),"-")</f>
        <v>-</v>
      </c>
      <c r="C7771" s="238" t="str">
        <f>IFERROR(__xludf.DUMMYFUNCTION("""COMPUTED_VALUE"""),"-")</f>
        <v>-</v>
      </c>
      <c r="D7771" s="234"/>
      <c r="E7771" s="237"/>
      <c r="F7771" s="238" t="str">
        <f>IFERROR(__xludf.DUMMYFUNCTION("""COMPUTED_VALUE"""),"-")</f>
        <v>-</v>
      </c>
      <c r="G7771" s="238" t="str">
        <f>IFERROR(__xludf.DUMMYFUNCTION("""COMPUTED_VALUE"""),"-")</f>
        <v>-</v>
      </c>
      <c r="H7771" s="238" t="str">
        <f>IFERROR(__xludf.DUMMYFUNCTION("""COMPUTED_VALUE"""),"-")</f>
        <v>-</v>
      </c>
      <c r="J7771" s="239" t="s">
        <v>6330</v>
      </c>
    </row>
    <row r="7772">
      <c r="A7772" s="234"/>
      <c r="B7772" s="238" t="str">
        <f>IFERROR(__xludf.DUMMYFUNCTION("""COMPUTED_VALUE"""),"-")</f>
        <v>-</v>
      </c>
      <c r="C7772" s="238" t="str">
        <f>IFERROR(__xludf.DUMMYFUNCTION("""COMPUTED_VALUE"""),"-")</f>
        <v>-</v>
      </c>
      <c r="D7772" s="234"/>
      <c r="E7772" s="237"/>
      <c r="F7772" s="238" t="str">
        <f>IFERROR(__xludf.DUMMYFUNCTION("""COMPUTED_VALUE"""),"-")</f>
        <v>-</v>
      </c>
      <c r="G7772" s="238" t="str">
        <f>IFERROR(__xludf.DUMMYFUNCTION("""COMPUTED_VALUE"""),"-")</f>
        <v>-</v>
      </c>
      <c r="H7772" s="238" t="str">
        <f>IFERROR(__xludf.DUMMYFUNCTION("""COMPUTED_VALUE"""),"-")</f>
        <v>-</v>
      </c>
      <c r="J7772" s="239" t="s">
        <v>6330</v>
      </c>
    </row>
    <row r="7773">
      <c r="A7773" s="234"/>
      <c r="B7773" s="238" t="str">
        <f>IFERROR(__xludf.DUMMYFUNCTION("""COMPUTED_VALUE"""),"-")</f>
        <v>-</v>
      </c>
      <c r="C7773" s="238" t="str">
        <f>IFERROR(__xludf.DUMMYFUNCTION("""COMPUTED_VALUE"""),"-")</f>
        <v>-</v>
      </c>
      <c r="D7773" s="234"/>
      <c r="E7773" s="237"/>
      <c r="F7773" s="238" t="str">
        <f>IFERROR(__xludf.DUMMYFUNCTION("""COMPUTED_VALUE"""),"-")</f>
        <v>-</v>
      </c>
      <c r="G7773" s="238" t="str">
        <f>IFERROR(__xludf.DUMMYFUNCTION("""COMPUTED_VALUE"""),"-")</f>
        <v>-</v>
      </c>
      <c r="H7773" s="238" t="str">
        <f>IFERROR(__xludf.DUMMYFUNCTION("""COMPUTED_VALUE"""),"-")</f>
        <v>-</v>
      </c>
      <c r="J7773" s="239" t="s">
        <v>6330</v>
      </c>
    </row>
    <row r="7774">
      <c r="A7774" s="234"/>
      <c r="B7774" s="238" t="str">
        <f>IFERROR(__xludf.DUMMYFUNCTION("""COMPUTED_VALUE"""),"-")</f>
        <v>-</v>
      </c>
      <c r="C7774" s="238" t="str">
        <f>IFERROR(__xludf.DUMMYFUNCTION("""COMPUTED_VALUE"""),"-")</f>
        <v>-</v>
      </c>
      <c r="D7774" s="234"/>
      <c r="E7774" s="237"/>
      <c r="F7774" s="238" t="str">
        <f>IFERROR(__xludf.DUMMYFUNCTION("""COMPUTED_VALUE"""),"-")</f>
        <v>-</v>
      </c>
      <c r="G7774" s="238" t="str">
        <f>IFERROR(__xludf.DUMMYFUNCTION("""COMPUTED_VALUE"""),"-")</f>
        <v>-</v>
      </c>
      <c r="H7774" s="238" t="str">
        <f>IFERROR(__xludf.DUMMYFUNCTION("""COMPUTED_VALUE"""),"-")</f>
        <v>-</v>
      </c>
      <c r="J7774" s="239" t="s">
        <v>6330</v>
      </c>
    </row>
    <row r="7775">
      <c r="A7775" s="234"/>
      <c r="B7775" s="238" t="str">
        <f>IFERROR(__xludf.DUMMYFUNCTION("""COMPUTED_VALUE"""),"-")</f>
        <v>-</v>
      </c>
      <c r="C7775" s="238" t="str">
        <f>IFERROR(__xludf.DUMMYFUNCTION("""COMPUTED_VALUE"""),"-")</f>
        <v>-</v>
      </c>
      <c r="D7775" s="234"/>
      <c r="E7775" s="237"/>
      <c r="F7775" s="238" t="str">
        <f>IFERROR(__xludf.DUMMYFUNCTION("""COMPUTED_VALUE"""),"-")</f>
        <v>-</v>
      </c>
      <c r="G7775" s="238" t="str">
        <f>IFERROR(__xludf.DUMMYFUNCTION("""COMPUTED_VALUE"""),"-")</f>
        <v>-</v>
      </c>
      <c r="H7775" s="238" t="str">
        <f>IFERROR(__xludf.DUMMYFUNCTION("""COMPUTED_VALUE"""),"-")</f>
        <v>-</v>
      </c>
      <c r="J7775" s="239" t="s">
        <v>6330</v>
      </c>
    </row>
    <row r="7776">
      <c r="A7776" s="234"/>
      <c r="B7776" s="238" t="str">
        <f>IFERROR(__xludf.DUMMYFUNCTION("""COMPUTED_VALUE"""),"-")</f>
        <v>-</v>
      </c>
      <c r="C7776" s="238" t="str">
        <f>IFERROR(__xludf.DUMMYFUNCTION("""COMPUTED_VALUE"""),"-")</f>
        <v>-</v>
      </c>
      <c r="D7776" s="234"/>
      <c r="E7776" s="237"/>
      <c r="F7776" s="238" t="str">
        <f>IFERROR(__xludf.DUMMYFUNCTION("""COMPUTED_VALUE"""),"-")</f>
        <v>-</v>
      </c>
      <c r="G7776" s="238" t="str">
        <f>IFERROR(__xludf.DUMMYFUNCTION("""COMPUTED_VALUE"""),"-")</f>
        <v>-</v>
      </c>
      <c r="H7776" s="238" t="str">
        <f>IFERROR(__xludf.DUMMYFUNCTION("""COMPUTED_VALUE"""),"-")</f>
        <v>-</v>
      </c>
      <c r="J7776" s="239" t="s">
        <v>6330</v>
      </c>
    </row>
    <row r="7777">
      <c r="A7777" s="234"/>
      <c r="B7777" s="238" t="str">
        <f>IFERROR(__xludf.DUMMYFUNCTION("""COMPUTED_VALUE"""),"-")</f>
        <v>-</v>
      </c>
      <c r="C7777" s="238" t="str">
        <f>IFERROR(__xludf.DUMMYFUNCTION("""COMPUTED_VALUE"""),"-")</f>
        <v>-</v>
      </c>
      <c r="D7777" s="234"/>
      <c r="E7777" s="237"/>
      <c r="F7777" s="238" t="str">
        <f>IFERROR(__xludf.DUMMYFUNCTION("""COMPUTED_VALUE"""),"-")</f>
        <v>-</v>
      </c>
      <c r="G7777" s="238" t="str">
        <f>IFERROR(__xludf.DUMMYFUNCTION("""COMPUTED_VALUE"""),"-")</f>
        <v>-</v>
      </c>
      <c r="H7777" s="238" t="str">
        <f>IFERROR(__xludf.DUMMYFUNCTION("""COMPUTED_VALUE"""),"-")</f>
        <v>-</v>
      </c>
      <c r="J7777" s="239" t="s">
        <v>6330</v>
      </c>
    </row>
    <row r="7778">
      <c r="A7778" s="234"/>
      <c r="B7778" s="238" t="str">
        <f>IFERROR(__xludf.DUMMYFUNCTION("""COMPUTED_VALUE"""),"-")</f>
        <v>-</v>
      </c>
      <c r="C7778" s="238" t="str">
        <f>IFERROR(__xludf.DUMMYFUNCTION("""COMPUTED_VALUE"""),"-")</f>
        <v>-</v>
      </c>
      <c r="D7778" s="234"/>
      <c r="E7778" s="237"/>
      <c r="F7778" s="238" t="str">
        <f>IFERROR(__xludf.DUMMYFUNCTION("""COMPUTED_VALUE"""),"-")</f>
        <v>-</v>
      </c>
      <c r="G7778" s="238" t="str">
        <f>IFERROR(__xludf.DUMMYFUNCTION("""COMPUTED_VALUE"""),"-")</f>
        <v>-</v>
      </c>
      <c r="H7778" s="238" t="str">
        <f>IFERROR(__xludf.DUMMYFUNCTION("""COMPUTED_VALUE"""),"-")</f>
        <v>-</v>
      </c>
      <c r="J7778" s="239" t="s">
        <v>6330</v>
      </c>
    </row>
    <row r="7779">
      <c r="A7779" s="234"/>
      <c r="B7779" s="238" t="str">
        <f>IFERROR(__xludf.DUMMYFUNCTION("""COMPUTED_VALUE"""),"-")</f>
        <v>-</v>
      </c>
      <c r="C7779" s="238" t="str">
        <f>IFERROR(__xludf.DUMMYFUNCTION("""COMPUTED_VALUE"""),"-")</f>
        <v>-</v>
      </c>
      <c r="D7779" s="234"/>
      <c r="E7779" s="237"/>
      <c r="F7779" s="238" t="str">
        <f>IFERROR(__xludf.DUMMYFUNCTION("""COMPUTED_VALUE"""),"-")</f>
        <v>-</v>
      </c>
      <c r="G7779" s="238" t="str">
        <f>IFERROR(__xludf.DUMMYFUNCTION("""COMPUTED_VALUE"""),"-")</f>
        <v>-</v>
      </c>
      <c r="H7779" s="238" t="str">
        <f>IFERROR(__xludf.DUMMYFUNCTION("""COMPUTED_VALUE"""),"-")</f>
        <v>-</v>
      </c>
      <c r="J7779" s="239" t="s">
        <v>6330</v>
      </c>
    </row>
    <row r="7780">
      <c r="A7780" s="234"/>
      <c r="B7780" s="238" t="str">
        <f>IFERROR(__xludf.DUMMYFUNCTION("""COMPUTED_VALUE"""),"-")</f>
        <v>-</v>
      </c>
      <c r="C7780" s="238" t="str">
        <f>IFERROR(__xludf.DUMMYFUNCTION("""COMPUTED_VALUE"""),"-")</f>
        <v>-</v>
      </c>
      <c r="D7780" s="234"/>
      <c r="E7780" s="237"/>
      <c r="F7780" s="238" t="str">
        <f>IFERROR(__xludf.DUMMYFUNCTION("""COMPUTED_VALUE"""),"-")</f>
        <v>-</v>
      </c>
      <c r="G7780" s="238" t="str">
        <f>IFERROR(__xludf.DUMMYFUNCTION("""COMPUTED_VALUE"""),"-")</f>
        <v>-</v>
      </c>
      <c r="H7780" s="238" t="str">
        <f>IFERROR(__xludf.DUMMYFUNCTION("""COMPUTED_VALUE"""),"-")</f>
        <v>-</v>
      </c>
      <c r="J7780" s="239" t="s">
        <v>6330</v>
      </c>
    </row>
    <row r="7781">
      <c r="A7781" s="234"/>
      <c r="B7781" s="238" t="str">
        <f>IFERROR(__xludf.DUMMYFUNCTION("""COMPUTED_VALUE"""),"-")</f>
        <v>-</v>
      </c>
      <c r="C7781" s="238" t="str">
        <f>IFERROR(__xludf.DUMMYFUNCTION("""COMPUTED_VALUE"""),"-")</f>
        <v>-</v>
      </c>
      <c r="D7781" s="234"/>
      <c r="E7781" s="237"/>
      <c r="F7781" s="238" t="str">
        <f>IFERROR(__xludf.DUMMYFUNCTION("""COMPUTED_VALUE"""),"-")</f>
        <v>-</v>
      </c>
      <c r="G7781" s="238" t="str">
        <f>IFERROR(__xludf.DUMMYFUNCTION("""COMPUTED_VALUE"""),"-")</f>
        <v>-</v>
      </c>
      <c r="H7781" s="238" t="str">
        <f>IFERROR(__xludf.DUMMYFUNCTION("""COMPUTED_VALUE"""),"-")</f>
        <v>-</v>
      </c>
      <c r="J7781" s="239" t="s">
        <v>6330</v>
      </c>
    </row>
    <row r="7782">
      <c r="A7782" s="234"/>
      <c r="B7782" s="238" t="str">
        <f>IFERROR(__xludf.DUMMYFUNCTION("""COMPUTED_VALUE"""),"-")</f>
        <v>-</v>
      </c>
      <c r="C7782" s="238" t="str">
        <f>IFERROR(__xludf.DUMMYFUNCTION("""COMPUTED_VALUE"""),"-")</f>
        <v>-</v>
      </c>
      <c r="D7782" s="234"/>
      <c r="E7782" s="237"/>
      <c r="F7782" s="238" t="str">
        <f>IFERROR(__xludf.DUMMYFUNCTION("""COMPUTED_VALUE"""),"-")</f>
        <v>-</v>
      </c>
      <c r="G7782" s="238" t="str">
        <f>IFERROR(__xludf.DUMMYFUNCTION("""COMPUTED_VALUE"""),"-")</f>
        <v>-</v>
      </c>
      <c r="H7782" s="238" t="str">
        <f>IFERROR(__xludf.DUMMYFUNCTION("""COMPUTED_VALUE"""),"-")</f>
        <v>-</v>
      </c>
      <c r="J7782" s="239" t="s">
        <v>6330</v>
      </c>
    </row>
    <row r="7783">
      <c r="A7783" s="234"/>
      <c r="B7783" s="238" t="str">
        <f>IFERROR(__xludf.DUMMYFUNCTION("""COMPUTED_VALUE"""),"-")</f>
        <v>-</v>
      </c>
      <c r="C7783" s="238" t="str">
        <f>IFERROR(__xludf.DUMMYFUNCTION("""COMPUTED_VALUE"""),"-")</f>
        <v>-</v>
      </c>
      <c r="D7783" s="234"/>
      <c r="E7783" s="237"/>
      <c r="F7783" s="238" t="str">
        <f>IFERROR(__xludf.DUMMYFUNCTION("""COMPUTED_VALUE"""),"-")</f>
        <v>-</v>
      </c>
      <c r="G7783" s="238" t="str">
        <f>IFERROR(__xludf.DUMMYFUNCTION("""COMPUTED_VALUE"""),"-")</f>
        <v>-</v>
      </c>
      <c r="H7783" s="238" t="str">
        <f>IFERROR(__xludf.DUMMYFUNCTION("""COMPUTED_VALUE"""),"-")</f>
        <v>-</v>
      </c>
      <c r="J7783" s="239" t="s">
        <v>6330</v>
      </c>
    </row>
    <row r="7784">
      <c r="A7784" s="234"/>
      <c r="B7784" s="238" t="str">
        <f>IFERROR(__xludf.DUMMYFUNCTION("""COMPUTED_VALUE"""),"-")</f>
        <v>-</v>
      </c>
      <c r="C7784" s="238" t="str">
        <f>IFERROR(__xludf.DUMMYFUNCTION("""COMPUTED_VALUE"""),"-")</f>
        <v>-</v>
      </c>
      <c r="D7784" s="234"/>
      <c r="E7784" s="237"/>
      <c r="F7784" s="238" t="str">
        <f>IFERROR(__xludf.DUMMYFUNCTION("""COMPUTED_VALUE"""),"-")</f>
        <v>-</v>
      </c>
      <c r="G7784" s="238" t="str">
        <f>IFERROR(__xludf.DUMMYFUNCTION("""COMPUTED_VALUE"""),"-")</f>
        <v>-</v>
      </c>
      <c r="H7784" s="238" t="str">
        <f>IFERROR(__xludf.DUMMYFUNCTION("""COMPUTED_VALUE"""),"-")</f>
        <v>-</v>
      </c>
      <c r="J7784" s="239" t="s">
        <v>6330</v>
      </c>
    </row>
    <row r="7785">
      <c r="A7785" s="234"/>
      <c r="B7785" s="238" t="str">
        <f>IFERROR(__xludf.DUMMYFUNCTION("""COMPUTED_VALUE"""),"-")</f>
        <v>-</v>
      </c>
      <c r="C7785" s="238" t="str">
        <f>IFERROR(__xludf.DUMMYFUNCTION("""COMPUTED_VALUE"""),"-")</f>
        <v>-</v>
      </c>
      <c r="D7785" s="234"/>
      <c r="E7785" s="237"/>
      <c r="F7785" s="238" t="str">
        <f>IFERROR(__xludf.DUMMYFUNCTION("""COMPUTED_VALUE"""),"-")</f>
        <v>-</v>
      </c>
      <c r="G7785" s="238" t="str">
        <f>IFERROR(__xludf.DUMMYFUNCTION("""COMPUTED_VALUE"""),"-")</f>
        <v>-</v>
      </c>
      <c r="H7785" s="238" t="str">
        <f>IFERROR(__xludf.DUMMYFUNCTION("""COMPUTED_VALUE"""),"-")</f>
        <v>-</v>
      </c>
      <c r="J7785" s="239" t="s">
        <v>6330</v>
      </c>
    </row>
    <row r="7786">
      <c r="A7786" s="234"/>
      <c r="B7786" s="238" t="str">
        <f>IFERROR(__xludf.DUMMYFUNCTION("""COMPUTED_VALUE"""),"-")</f>
        <v>-</v>
      </c>
      <c r="C7786" s="238" t="str">
        <f>IFERROR(__xludf.DUMMYFUNCTION("""COMPUTED_VALUE"""),"-")</f>
        <v>-</v>
      </c>
      <c r="D7786" s="234"/>
      <c r="E7786" s="237"/>
      <c r="F7786" s="238" t="str">
        <f>IFERROR(__xludf.DUMMYFUNCTION("""COMPUTED_VALUE"""),"-")</f>
        <v>-</v>
      </c>
      <c r="G7786" s="238" t="str">
        <f>IFERROR(__xludf.DUMMYFUNCTION("""COMPUTED_VALUE"""),"-")</f>
        <v>-</v>
      </c>
      <c r="H7786" s="238" t="str">
        <f>IFERROR(__xludf.DUMMYFUNCTION("""COMPUTED_VALUE"""),"-")</f>
        <v>-</v>
      </c>
      <c r="J7786" s="239" t="s">
        <v>6330</v>
      </c>
    </row>
    <row r="7787">
      <c r="A7787" s="234"/>
      <c r="B7787" s="238" t="str">
        <f>IFERROR(__xludf.DUMMYFUNCTION("""COMPUTED_VALUE"""),"-")</f>
        <v>-</v>
      </c>
      <c r="C7787" s="238" t="str">
        <f>IFERROR(__xludf.DUMMYFUNCTION("""COMPUTED_VALUE"""),"-")</f>
        <v>-</v>
      </c>
      <c r="D7787" s="234"/>
      <c r="E7787" s="237"/>
      <c r="F7787" s="238" t="str">
        <f>IFERROR(__xludf.DUMMYFUNCTION("""COMPUTED_VALUE"""),"-")</f>
        <v>-</v>
      </c>
      <c r="G7787" s="238" t="str">
        <f>IFERROR(__xludf.DUMMYFUNCTION("""COMPUTED_VALUE"""),"-")</f>
        <v>-</v>
      </c>
      <c r="H7787" s="238" t="str">
        <f>IFERROR(__xludf.DUMMYFUNCTION("""COMPUTED_VALUE"""),"-")</f>
        <v>-</v>
      </c>
      <c r="J7787" s="239" t="s">
        <v>6330</v>
      </c>
    </row>
    <row r="7788">
      <c r="A7788" s="234"/>
      <c r="B7788" s="238" t="str">
        <f>IFERROR(__xludf.DUMMYFUNCTION("""COMPUTED_VALUE"""),"-")</f>
        <v>-</v>
      </c>
      <c r="C7788" s="238" t="str">
        <f>IFERROR(__xludf.DUMMYFUNCTION("""COMPUTED_VALUE"""),"-")</f>
        <v>-</v>
      </c>
      <c r="D7788" s="234"/>
      <c r="E7788" s="237"/>
      <c r="F7788" s="238" t="str">
        <f>IFERROR(__xludf.DUMMYFUNCTION("""COMPUTED_VALUE"""),"-")</f>
        <v>-</v>
      </c>
      <c r="G7788" s="238" t="str">
        <f>IFERROR(__xludf.DUMMYFUNCTION("""COMPUTED_VALUE"""),"-")</f>
        <v>-</v>
      </c>
      <c r="H7788" s="238" t="str">
        <f>IFERROR(__xludf.DUMMYFUNCTION("""COMPUTED_VALUE"""),"-")</f>
        <v>-</v>
      </c>
      <c r="J7788" s="239" t="s">
        <v>6330</v>
      </c>
    </row>
    <row r="7789">
      <c r="A7789" s="234"/>
      <c r="B7789" s="238" t="str">
        <f>IFERROR(__xludf.DUMMYFUNCTION("""COMPUTED_VALUE"""),"-")</f>
        <v>-</v>
      </c>
      <c r="C7789" s="238" t="str">
        <f>IFERROR(__xludf.DUMMYFUNCTION("""COMPUTED_VALUE"""),"-")</f>
        <v>-</v>
      </c>
      <c r="D7789" s="234"/>
      <c r="E7789" s="237"/>
      <c r="F7789" s="238" t="str">
        <f>IFERROR(__xludf.DUMMYFUNCTION("""COMPUTED_VALUE"""),"-")</f>
        <v>-</v>
      </c>
      <c r="G7789" s="238" t="str">
        <f>IFERROR(__xludf.DUMMYFUNCTION("""COMPUTED_VALUE"""),"-")</f>
        <v>-</v>
      </c>
      <c r="H7789" s="238" t="str">
        <f>IFERROR(__xludf.DUMMYFUNCTION("""COMPUTED_VALUE"""),"-")</f>
        <v>-</v>
      </c>
      <c r="J7789" s="239" t="s">
        <v>6330</v>
      </c>
    </row>
    <row r="7790">
      <c r="A7790" s="234"/>
      <c r="B7790" s="238" t="str">
        <f>IFERROR(__xludf.DUMMYFUNCTION("""COMPUTED_VALUE"""),"-")</f>
        <v>-</v>
      </c>
      <c r="C7790" s="238" t="str">
        <f>IFERROR(__xludf.DUMMYFUNCTION("""COMPUTED_VALUE"""),"-")</f>
        <v>-</v>
      </c>
      <c r="D7790" s="234"/>
      <c r="E7790" s="237"/>
      <c r="F7790" s="238" t="str">
        <f>IFERROR(__xludf.DUMMYFUNCTION("""COMPUTED_VALUE"""),"-")</f>
        <v>-</v>
      </c>
      <c r="G7790" s="238" t="str">
        <f>IFERROR(__xludf.DUMMYFUNCTION("""COMPUTED_VALUE"""),"-")</f>
        <v>-</v>
      </c>
      <c r="H7790" s="238" t="str">
        <f>IFERROR(__xludf.DUMMYFUNCTION("""COMPUTED_VALUE"""),"-")</f>
        <v>-</v>
      </c>
      <c r="J7790" s="239" t="s">
        <v>6330</v>
      </c>
    </row>
    <row r="7791">
      <c r="A7791" s="234"/>
      <c r="B7791" s="238" t="str">
        <f>IFERROR(__xludf.DUMMYFUNCTION("""COMPUTED_VALUE"""),"-")</f>
        <v>-</v>
      </c>
      <c r="C7791" s="238" t="str">
        <f>IFERROR(__xludf.DUMMYFUNCTION("""COMPUTED_VALUE"""),"-")</f>
        <v>-</v>
      </c>
      <c r="D7791" s="234"/>
      <c r="E7791" s="237"/>
      <c r="F7791" s="238" t="str">
        <f>IFERROR(__xludf.DUMMYFUNCTION("""COMPUTED_VALUE"""),"-")</f>
        <v>-</v>
      </c>
      <c r="G7791" s="238" t="str">
        <f>IFERROR(__xludf.DUMMYFUNCTION("""COMPUTED_VALUE"""),"-")</f>
        <v>-</v>
      </c>
      <c r="H7791" s="238" t="str">
        <f>IFERROR(__xludf.DUMMYFUNCTION("""COMPUTED_VALUE"""),"-")</f>
        <v>-</v>
      </c>
      <c r="J7791" s="239" t="s">
        <v>6330</v>
      </c>
    </row>
    <row r="7792">
      <c r="A7792" s="234"/>
      <c r="B7792" s="238" t="str">
        <f>IFERROR(__xludf.DUMMYFUNCTION("""COMPUTED_VALUE"""),"-")</f>
        <v>-</v>
      </c>
      <c r="C7792" s="238" t="str">
        <f>IFERROR(__xludf.DUMMYFUNCTION("""COMPUTED_VALUE"""),"-")</f>
        <v>-</v>
      </c>
      <c r="D7792" s="234"/>
      <c r="E7792" s="237"/>
      <c r="F7792" s="238" t="str">
        <f>IFERROR(__xludf.DUMMYFUNCTION("""COMPUTED_VALUE"""),"-")</f>
        <v>-</v>
      </c>
      <c r="G7792" s="238" t="str">
        <f>IFERROR(__xludf.DUMMYFUNCTION("""COMPUTED_VALUE"""),"-")</f>
        <v>-</v>
      </c>
      <c r="H7792" s="238" t="str">
        <f>IFERROR(__xludf.DUMMYFUNCTION("""COMPUTED_VALUE"""),"-")</f>
        <v>-</v>
      </c>
      <c r="J7792" s="239" t="s">
        <v>6330</v>
      </c>
    </row>
    <row r="7793">
      <c r="A7793" s="234"/>
      <c r="B7793" s="238" t="str">
        <f>IFERROR(__xludf.DUMMYFUNCTION("""COMPUTED_VALUE"""),"-")</f>
        <v>-</v>
      </c>
      <c r="C7793" s="238" t="str">
        <f>IFERROR(__xludf.DUMMYFUNCTION("""COMPUTED_VALUE"""),"-")</f>
        <v>-</v>
      </c>
      <c r="D7793" s="234"/>
      <c r="E7793" s="237"/>
      <c r="F7793" s="238" t="str">
        <f>IFERROR(__xludf.DUMMYFUNCTION("""COMPUTED_VALUE"""),"-")</f>
        <v>-</v>
      </c>
      <c r="G7793" s="238" t="str">
        <f>IFERROR(__xludf.DUMMYFUNCTION("""COMPUTED_VALUE"""),"-")</f>
        <v>-</v>
      </c>
      <c r="H7793" s="238" t="str">
        <f>IFERROR(__xludf.DUMMYFUNCTION("""COMPUTED_VALUE"""),"-")</f>
        <v>-</v>
      </c>
      <c r="J7793" s="239" t="s">
        <v>6330</v>
      </c>
    </row>
    <row r="7794">
      <c r="A7794" s="234"/>
      <c r="B7794" s="238" t="str">
        <f>IFERROR(__xludf.DUMMYFUNCTION("""COMPUTED_VALUE"""),"-")</f>
        <v>-</v>
      </c>
      <c r="C7794" s="238" t="str">
        <f>IFERROR(__xludf.DUMMYFUNCTION("""COMPUTED_VALUE"""),"-")</f>
        <v>-</v>
      </c>
      <c r="D7794" s="234"/>
      <c r="E7794" s="237"/>
      <c r="F7794" s="238" t="str">
        <f>IFERROR(__xludf.DUMMYFUNCTION("""COMPUTED_VALUE"""),"-")</f>
        <v>-</v>
      </c>
      <c r="G7794" s="238" t="str">
        <f>IFERROR(__xludf.DUMMYFUNCTION("""COMPUTED_VALUE"""),"-")</f>
        <v>-</v>
      </c>
      <c r="H7794" s="238" t="str">
        <f>IFERROR(__xludf.DUMMYFUNCTION("""COMPUTED_VALUE"""),"-")</f>
        <v>-</v>
      </c>
      <c r="J7794" s="239" t="s">
        <v>6330</v>
      </c>
    </row>
    <row r="7795">
      <c r="A7795" s="234"/>
      <c r="B7795" s="238" t="str">
        <f>IFERROR(__xludf.DUMMYFUNCTION("""COMPUTED_VALUE"""),"-")</f>
        <v>-</v>
      </c>
      <c r="C7795" s="238" t="str">
        <f>IFERROR(__xludf.DUMMYFUNCTION("""COMPUTED_VALUE"""),"-")</f>
        <v>-</v>
      </c>
      <c r="D7795" s="234"/>
      <c r="E7795" s="237"/>
      <c r="F7795" s="238" t="str">
        <f>IFERROR(__xludf.DUMMYFUNCTION("""COMPUTED_VALUE"""),"-")</f>
        <v>-</v>
      </c>
      <c r="G7795" s="238" t="str">
        <f>IFERROR(__xludf.DUMMYFUNCTION("""COMPUTED_VALUE"""),"-")</f>
        <v>-</v>
      </c>
      <c r="H7795" s="238" t="str">
        <f>IFERROR(__xludf.DUMMYFUNCTION("""COMPUTED_VALUE"""),"-")</f>
        <v>-</v>
      </c>
      <c r="J7795" s="239" t="s">
        <v>6330</v>
      </c>
    </row>
    <row r="7796">
      <c r="A7796" s="234"/>
      <c r="B7796" s="238" t="str">
        <f>IFERROR(__xludf.DUMMYFUNCTION("""COMPUTED_VALUE"""),"-")</f>
        <v>-</v>
      </c>
      <c r="C7796" s="238" t="str">
        <f>IFERROR(__xludf.DUMMYFUNCTION("""COMPUTED_VALUE"""),"-")</f>
        <v>-</v>
      </c>
      <c r="D7796" s="234"/>
      <c r="E7796" s="237"/>
      <c r="F7796" s="238" t="str">
        <f>IFERROR(__xludf.DUMMYFUNCTION("""COMPUTED_VALUE"""),"-")</f>
        <v>-</v>
      </c>
      <c r="G7796" s="238" t="str">
        <f>IFERROR(__xludf.DUMMYFUNCTION("""COMPUTED_VALUE"""),"-")</f>
        <v>-</v>
      </c>
      <c r="H7796" s="238" t="str">
        <f>IFERROR(__xludf.DUMMYFUNCTION("""COMPUTED_VALUE"""),"-")</f>
        <v>-</v>
      </c>
      <c r="J7796" s="239" t="s">
        <v>6330</v>
      </c>
    </row>
    <row r="7797">
      <c r="A7797" s="234"/>
      <c r="B7797" s="238" t="str">
        <f>IFERROR(__xludf.DUMMYFUNCTION("""COMPUTED_VALUE"""),"-")</f>
        <v>-</v>
      </c>
      <c r="C7797" s="238" t="str">
        <f>IFERROR(__xludf.DUMMYFUNCTION("""COMPUTED_VALUE"""),"-")</f>
        <v>-</v>
      </c>
      <c r="D7797" s="234"/>
      <c r="E7797" s="237"/>
      <c r="F7797" s="238" t="str">
        <f>IFERROR(__xludf.DUMMYFUNCTION("""COMPUTED_VALUE"""),"-")</f>
        <v>-</v>
      </c>
      <c r="G7797" s="238" t="str">
        <f>IFERROR(__xludf.DUMMYFUNCTION("""COMPUTED_VALUE"""),"-")</f>
        <v>-</v>
      </c>
      <c r="H7797" s="238" t="str">
        <f>IFERROR(__xludf.DUMMYFUNCTION("""COMPUTED_VALUE"""),"-")</f>
        <v>-</v>
      </c>
      <c r="J7797" s="239" t="s">
        <v>6330</v>
      </c>
    </row>
    <row r="7798">
      <c r="A7798" s="234"/>
      <c r="B7798" s="238" t="str">
        <f>IFERROR(__xludf.DUMMYFUNCTION("""COMPUTED_VALUE"""),"-")</f>
        <v>-</v>
      </c>
      <c r="C7798" s="238" t="str">
        <f>IFERROR(__xludf.DUMMYFUNCTION("""COMPUTED_VALUE"""),"-")</f>
        <v>-</v>
      </c>
      <c r="D7798" s="234"/>
      <c r="E7798" s="237"/>
      <c r="F7798" s="238" t="str">
        <f>IFERROR(__xludf.DUMMYFUNCTION("""COMPUTED_VALUE"""),"-")</f>
        <v>-</v>
      </c>
      <c r="G7798" s="238" t="str">
        <f>IFERROR(__xludf.DUMMYFUNCTION("""COMPUTED_VALUE"""),"-")</f>
        <v>-</v>
      </c>
      <c r="H7798" s="238" t="str">
        <f>IFERROR(__xludf.DUMMYFUNCTION("""COMPUTED_VALUE"""),"-")</f>
        <v>-</v>
      </c>
      <c r="J7798" s="239" t="s">
        <v>6330</v>
      </c>
    </row>
    <row r="7799">
      <c r="A7799" s="234"/>
      <c r="B7799" s="238" t="str">
        <f>IFERROR(__xludf.DUMMYFUNCTION("""COMPUTED_VALUE"""),"-")</f>
        <v>-</v>
      </c>
      <c r="C7799" s="238" t="str">
        <f>IFERROR(__xludf.DUMMYFUNCTION("""COMPUTED_VALUE"""),"-")</f>
        <v>-</v>
      </c>
      <c r="D7799" s="234"/>
      <c r="E7799" s="237"/>
      <c r="F7799" s="238" t="str">
        <f>IFERROR(__xludf.DUMMYFUNCTION("""COMPUTED_VALUE"""),"-")</f>
        <v>-</v>
      </c>
      <c r="G7799" s="238" t="str">
        <f>IFERROR(__xludf.DUMMYFUNCTION("""COMPUTED_VALUE"""),"-")</f>
        <v>-</v>
      </c>
      <c r="H7799" s="238" t="str">
        <f>IFERROR(__xludf.DUMMYFUNCTION("""COMPUTED_VALUE"""),"-")</f>
        <v>-</v>
      </c>
      <c r="J7799" s="239" t="s">
        <v>6330</v>
      </c>
    </row>
    <row r="7800">
      <c r="A7800" s="234"/>
      <c r="B7800" s="238" t="str">
        <f>IFERROR(__xludf.DUMMYFUNCTION("""COMPUTED_VALUE"""),"-")</f>
        <v>-</v>
      </c>
      <c r="C7800" s="238" t="str">
        <f>IFERROR(__xludf.DUMMYFUNCTION("""COMPUTED_VALUE"""),"-")</f>
        <v>-</v>
      </c>
      <c r="D7800" s="234"/>
      <c r="E7800" s="237"/>
      <c r="F7800" s="238" t="str">
        <f>IFERROR(__xludf.DUMMYFUNCTION("""COMPUTED_VALUE"""),"-")</f>
        <v>-</v>
      </c>
      <c r="G7800" s="238" t="str">
        <f>IFERROR(__xludf.DUMMYFUNCTION("""COMPUTED_VALUE"""),"-")</f>
        <v>-</v>
      </c>
      <c r="H7800" s="238" t="str">
        <f>IFERROR(__xludf.DUMMYFUNCTION("""COMPUTED_VALUE"""),"-")</f>
        <v>-</v>
      </c>
      <c r="J7800" s="239" t="s">
        <v>6330</v>
      </c>
    </row>
    <row r="7801">
      <c r="A7801" s="234"/>
      <c r="B7801" s="238" t="str">
        <f>IFERROR(__xludf.DUMMYFUNCTION("""COMPUTED_VALUE"""),"-")</f>
        <v>-</v>
      </c>
      <c r="C7801" s="238" t="str">
        <f>IFERROR(__xludf.DUMMYFUNCTION("""COMPUTED_VALUE"""),"-")</f>
        <v>-</v>
      </c>
      <c r="D7801" s="234"/>
      <c r="E7801" s="237"/>
      <c r="F7801" s="238" t="str">
        <f>IFERROR(__xludf.DUMMYFUNCTION("""COMPUTED_VALUE"""),"-")</f>
        <v>-</v>
      </c>
      <c r="G7801" s="238" t="str">
        <f>IFERROR(__xludf.DUMMYFUNCTION("""COMPUTED_VALUE"""),"-")</f>
        <v>-</v>
      </c>
      <c r="H7801" s="238" t="str">
        <f>IFERROR(__xludf.DUMMYFUNCTION("""COMPUTED_VALUE"""),"-")</f>
        <v>-</v>
      </c>
      <c r="J7801" s="239" t="s">
        <v>6330</v>
      </c>
    </row>
    <row r="7802">
      <c r="A7802" s="234"/>
      <c r="B7802" s="238" t="str">
        <f>IFERROR(__xludf.DUMMYFUNCTION("""COMPUTED_VALUE"""),"-")</f>
        <v>-</v>
      </c>
      <c r="C7802" s="238" t="str">
        <f>IFERROR(__xludf.DUMMYFUNCTION("""COMPUTED_VALUE"""),"-")</f>
        <v>-</v>
      </c>
      <c r="D7802" s="234"/>
      <c r="E7802" s="237"/>
      <c r="F7802" s="238" t="str">
        <f>IFERROR(__xludf.DUMMYFUNCTION("""COMPUTED_VALUE"""),"-")</f>
        <v>-</v>
      </c>
      <c r="G7802" s="238" t="str">
        <f>IFERROR(__xludf.DUMMYFUNCTION("""COMPUTED_VALUE"""),"-")</f>
        <v>-</v>
      </c>
      <c r="H7802" s="238" t="str">
        <f>IFERROR(__xludf.DUMMYFUNCTION("""COMPUTED_VALUE"""),"-")</f>
        <v>-</v>
      </c>
      <c r="J7802" s="239" t="s">
        <v>6330</v>
      </c>
    </row>
    <row r="7803">
      <c r="A7803" s="234"/>
      <c r="B7803" s="238" t="str">
        <f>IFERROR(__xludf.DUMMYFUNCTION("""COMPUTED_VALUE"""),"-")</f>
        <v>-</v>
      </c>
      <c r="C7803" s="238" t="str">
        <f>IFERROR(__xludf.DUMMYFUNCTION("""COMPUTED_VALUE"""),"-")</f>
        <v>-</v>
      </c>
      <c r="D7803" s="234"/>
      <c r="E7803" s="237"/>
      <c r="F7803" s="238" t="str">
        <f>IFERROR(__xludf.DUMMYFUNCTION("""COMPUTED_VALUE"""),"-")</f>
        <v>-</v>
      </c>
      <c r="G7803" s="238" t="str">
        <f>IFERROR(__xludf.DUMMYFUNCTION("""COMPUTED_VALUE"""),"-")</f>
        <v>-</v>
      </c>
      <c r="H7803" s="238" t="str">
        <f>IFERROR(__xludf.DUMMYFUNCTION("""COMPUTED_VALUE"""),"-")</f>
        <v>-</v>
      </c>
      <c r="J7803" s="239" t="s">
        <v>6330</v>
      </c>
    </row>
    <row r="7804">
      <c r="A7804" s="234"/>
      <c r="B7804" s="238" t="str">
        <f>IFERROR(__xludf.DUMMYFUNCTION("""COMPUTED_VALUE"""),"-")</f>
        <v>-</v>
      </c>
      <c r="C7804" s="238" t="str">
        <f>IFERROR(__xludf.DUMMYFUNCTION("""COMPUTED_VALUE"""),"-")</f>
        <v>-</v>
      </c>
      <c r="D7804" s="234"/>
      <c r="E7804" s="237"/>
      <c r="F7804" s="238" t="str">
        <f>IFERROR(__xludf.DUMMYFUNCTION("""COMPUTED_VALUE"""),"-")</f>
        <v>-</v>
      </c>
      <c r="G7804" s="238" t="str">
        <f>IFERROR(__xludf.DUMMYFUNCTION("""COMPUTED_VALUE"""),"-")</f>
        <v>-</v>
      </c>
      <c r="H7804" s="238" t="str">
        <f>IFERROR(__xludf.DUMMYFUNCTION("""COMPUTED_VALUE"""),"-")</f>
        <v>-</v>
      </c>
      <c r="J7804" s="239" t="s">
        <v>6330</v>
      </c>
    </row>
    <row r="7805">
      <c r="A7805" s="234"/>
      <c r="B7805" s="238" t="str">
        <f>IFERROR(__xludf.DUMMYFUNCTION("""COMPUTED_VALUE"""),"-")</f>
        <v>-</v>
      </c>
      <c r="C7805" s="238" t="str">
        <f>IFERROR(__xludf.DUMMYFUNCTION("""COMPUTED_VALUE"""),"-")</f>
        <v>-</v>
      </c>
      <c r="D7805" s="234"/>
      <c r="E7805" s="237"/>
      <c r="F7805" s="238" t="str">
        <f>IFERROR(__xludf.DUMMYFUNCTION("""COMPUTED_VALUE"""),"-")</f>
        <v>-</v>
      </c>
      <c r="G7805" s="238" t="str">
        <f>IFERROR(__xludf.DUMMYFUNCTION("""COMPUTED_VALUE"""),"-")</f>
        <v>-</v>
      </c>
      <c r="H7805" s="238" t="str">
        <f>IFERROR(__xludf.DUMMYFUNCTION("""COMPUTED_VALUE"""),"-")</f>
        <v>-</v>
      </c>
      <c r="J7805" s="239" t="s">
        <v>6330</v>
      </c>
    </row>
    <row r="7806">
      <c r="A7806" s="234"/>
      <c r="B7806" s="238" t="str">
        <f>IFERROR(__xludf.DUMMYFUNCTION("""COMPUTED_VALUE"""),"-")</f>
        <v>-</v>
      </c>
      <c r="C7806" s="238" t="str">
        <f>IFERROR(__xludf.DUMMYFUNCTION("""COMPUTED_VALUE"""),"-")</f>
        <v>-</v>
      </c>
      <c r="D7806" s="234"/>
      <c r="E7806" s="237"/>
      <c r="F7806" s="238" t="str">
        <f>IFERROR(__xludf.DUMMYFUNCTION("""COMPUTED_VALUE"""),"-")</f>
        <v>-</v>
      </c>
      <c r="G7806" s="238" t="str">
        <f>IFERROR(__xludf.DUMMYFUNCTION("""COMPUTED_VALUE"""),"-")</f>
        <v>-</v>
      </c>
      <c r="H7806" s="238" t="str">
        <f>IFERROR(__xludf.DUMMYFUNCTION("""COMPUTED_VALUE"""),"-")</f>
        <v>-</v>
      </c>
      <c r="J7806" s="239" t="s">
        <v>6330</v>
      </c>
    </row>
    <row r="7807">
      <c r="A7807" s="234"/>
      <c r="B7807" s="238" t="str">
        <f>IFERROR(__xludf.DUMMYFUNCTION("""COMPUTED_VALUE"""),"-")</f>
        <v>-</v>
      </c>
      <c r="C7807" s="238" t="str">
        <f>IFERROR(__xludf.DUMMYFUNCTION("""COMPUTED_VALUE"""),"-")</f>
        <v>-</v>
      </c>
      <c r="D7807" s="234"/>
      <c r="E7807" s="237"/>
      <c r="F7807" s="238" t="str">
        <f>IFERROR(__xludf.DUMMYFUNCTION("""COMPUTED_VALUE"""),"-")</f>
        <v>-</v>
      </c>
      <c r="G7807" s="238" t="str">
        <f>IFERROR(__xludf.DUMMYFUNCTION("""COMPUTED_VALUE"""),"-")</f>
        <v>-</v>
      </c>
      <c r="H7807" s="238" t="str">
        <f>IFERROR(__xludf.DUMMYFUNCTION("""COMPUTED_VALUE"""),"-")</f>
        <v>-</v>
      </c>
      <c r="J7807" s="239" t="s">
        <v>6330</v>
      </c>
    </row>
    <row r="7808">
      <c r="A7808" s="234"/>
      <c r="B7808" s="238" t="str">
        <f>IFERROR(__xludf.DUMMYFUNCTION("""COMPUTED_VALUE"""),"-")</f>
        <v>-</v>
      </c>
      <c r="C7808" s="238" t="str">
        <f>IFERROR(__xludf.DUMMYFUNCTION("""COMPUTED_VALUE"""),"-")</f>
        <v>-</v>
      </c>
      <c r="D7808" s="234"/>
      <c r="E7808" s="237"/>
      <c r="F7808" s="238" t="str">
        <f>IFERROR(__xludf.DUMMYFUNCTION("""COMPUTED_VALUE"""),"-")</f>
        <v>-</v>
      </c>
      <c r="G7808" s="238" t="str">
        <f>IFERROR(__xludf.DUMMYFUNCTION("""COMPUTED_VALUE"""),"-")</f>
        <v>-</v>
      </c>
      <c r="H7808" s="238" t="str">
        <f>IFERROR(__xludf.DUMMYFUNCTION("""COMPUTED_VALUE"""),"-")</f>
        <v>-</v>
      </c>
      <c r="J7808" s="239" t="s">
        <v>6330</v>
      </c>
    </row>
    <row r="7809">
      <c r="A7809" s="234"/>
      <c r="B7809" s="238" t="str">
        <f>IFERROR(__xludf.DUMMYFUNCTION("""COMPUTED_VALUE"""),"-")</f>
        <v>-</v>
      </c>
      <c r="C7809" s="238" t="str">
        <f>IFERROR(__xludf.DUMMYFUNCTION("""COMPUTED_VALUE"""),"-")</f>
        <v>-</v>
      </c>
      <c r="D7809" s="234"/>
      <c r="E7809" s="237"/>
      <c r="F7809" s="238" t="str">
        <f>IFERROR(__xludf.DUMMYFUNCTION("""COMPUTED_VALUE"""),"-")</f>
        <v>-</v>
      </c>
      <c r="G7809" s="238" t="str">
        <f>IFERROR(__xludf.DUMMYFUNCTION("""COMPUTED_VALUE"""),"-")</f>
        <v>-</v>
      </c>
      <c r="H7809" s="238" t="str">
        <f>IFERROR(__xludf.DUMMYFUNCTION("""COMPUTED_VALUE"""),"-")</f>
        <v>-</v>
      </c>
      <c r="J7809" s="239" t="s">
        <v>6330</v>
      </c>
    </row>
    <row r="7810">
      <c r="A7810" s="234"/>
      <c r="B7810" s="238" t="str">
        <f>IFERROR(__xludf.DUMMYFUNCTION("""COMPUTED_VALUE"""),"-")</f>
        <v>-</v>
      </c>
      <c r="C7810" s="238" t="str">
        <f>IFERROR(__xludf.DUMMYFUNCTION("""COMPUTED_VALUE"""),"-")</f>
        <v>-</v>
      </c>
      <c r="D7810" s="234"/>
      <c r="E7810" s="237"/>
      <c r="F7810" s="238" t="str">
        <f>IFERROR(__xludf.DUMMYFUNCTION("""COMPUTED_VALUE"""),"-")</f>
        <v>-</v>
      </c>
      <c r="G7810" s="238" t="str">
        <f>IFERROR(__xludf.DUMMYFUNCTION("""COMPUTED_VALUE"""),"-")</f>
        <v>-</v>
      </c>
      <c r="H7810" s="238" t="str">
        <f>IFERROR(__xludf.DUMMYFUNCTION("""COMPUTED_VALUE"""),"-")</f>
        <v>-</v>
      </c>
      <c r="J7810" s="239" t="s">
        <v>6330</v>
      </c>
    </row>
    <row r="7811">
      <c r="A7811" s="234"/>
      <c r="B7811" s="238" t="str">
        <f>IFERROR(__xludf.DUMMYFUNCTION("""COMPUTED_VALUE"""),"-")</f>
        <v>-</v>
      </c>
      <c r="C7811" s="238" t="str">
        <f>IFERROR(__xludf.DUMMYFUNCTION("""COMPUTED_VALUE"""),"-")</f>
        <v>-</v>
      </c>
      <c r="D7811" s="234"/>
      <c r="E7811" s="237"/>
      <c r="F7811" s="238" t="str">
        <f>IFERROR(__xludf.DUMMYFUNCTION("""COMPUTED_VALUE"""),"-")</f>
        <v>-</v>
      </c>
      <c r="G7811" s="238" t="str">
        <f>IFERROR(__xludf.DUMMYFUNCTION("""COMPUTED_VALUE"""),"-")</f>
        <v>-</v>
      </c>
      <c r="H7811" s="238" t="str">
        <f>IFERROR(__xludf.DUMMYFUNCTION("""COMPUTED_VALUE"""),"-")</f>
        <v>-</v>
      </c>
      <c r="J7811" s="239" t="s">
        <v>6330</v>
      </c>
    </row>
    <row r="7812">
      <c r="A7812" s="234"/>
      <c r="B7812" s="238" t="str">
        <f>IFERROR(__xludf.DUMMYFUNCTION("""COMPUTED_VALUE"""),"-")</f>
        <v>-</v>
      </c>
      <c r="C7812" s="238" t="str">
        <f>IFERROR(__xludf.DUMMYFUNCTION("""COMPUTED_VALUE"""),"-")</f>
        <v>-</v>
      </c>
      <c r="D7812" s="234"/>
      <c r="E7812" s="237"/>
      <c r="F7812" s="238" t="str">
        <f>IFERROR(__xludf.DUMMYFUNCTION("""COMPUTED_VALUE"""),"-")</f>
        <v>-</v>
      </c>
      <c r="G7812" s="238" t="str">
        <f>IFERROR(__xludf.DUMMYFUNCTION("""COMPUTED_VALUE"""),"-")</f>
        <v>-</v>
      </c>
      <c r="H7812" s="238" t="str">
        <f>IFERROR(__xludf.DUMMYFUNCTION("""COMPUTED_VALUE"""),"-")</f>
        <v>-</v>
      </c>
      <c r="J7812" s="239" t="s">
        <v>6330</v>
      </c>
    </row>
    <row r="7813">
      <c r="A7813" s="234"/>
      <c r="B7813" s="238" t="str">
        <f>IFERROR(__xludf.DUMMYFUNCTION("""COMPUTED_VALUE"""),"-")</f>
        <v>-</v>
      </c>
      <c r="C7813" s="238" t="str">
        <f>IFERROR(__xludf.DUMMYFUNCTION("""COMPUTED_VALUE"""),"-")</f>
        <v>-</v>
      </c>
      <c r="D7813" s="234"/>
      <c r="E7813" s="237"/>
      <c r="F7813" s="238" t="str">
        <f>IFERROR(__xludf.DUMMYFUNCTION("""COMPUTED_VALUE"""),"-")</f>
        <v>-</v>
      </c>
      <c r="G7813" s="238" t="str">
        <f>IFERROR(__xludf.DUMMYFUNCTION("""COMPUTED_VALUE"""),"-")</f>
        <v>-</v>
      </c>
      <c r="H7813" s="238" t="str">
        <f>IFERROR(__xludf.DUMMYFUNCTION("""COMPUTED_VALUE"""),"-")</f>
        <v>-</v>
      </c>
      <c r="J7813" s="239" t="s">
        <v>6330</v>
      </c>
    </row>
    <row r="7814">
      <c r="A7814" s="234"/>
      <c r="B7814" s="238" t="str">
        <f>IFERROR(__xludf.DUMMYFUNCTION("""COMPUTED_VALUE"""),"-")</f>
        <v>-</v>
      </c>
      <c r="C7814" s="238" t="str">
        <f>IFERROR(__xludf.DUMMYFUNCTION("""COMPUTED_VALUE"""),"-")</f>
        <v>-</v>
      </c>
      <c r="D7814" s="234"/>
      <c r="E7814" s="237"/>
      <c r="F7814" s="238" t="str">
        <f>IFERROR(__xludf.DUMMYFUNCTION("""COMPUTED_VALUE"""),"-")</f>
        <v>-</v>
      </c>
      <c r="G7814" s="238" t="str">
        <f>IFERROR(__xludf.DUMMYFUNCTION("""COMPUTED_VALUE"""),"-")</f>
        <v>-</v>
      </c>
      <c r="H7814" s="238" t="str">
        <f>IFERROR(__xludf.DUMMYFUNCTION("""COMPUTED_VALUE"""),"-")</f>
        <v>-</v>
      </c>
      <c r="J7814" s="239" t="s">
        <v>6330</v>
      </c>
    </row>
    <row r="7815">
      <c r="A7815" s="234"/>
      <c r="B7815" s="238" t="str">
        <f>IFERROR(__xludf.DUMMYFUNCTION("""COMPUTED_VALUE"""),"-")</f>
        <v>-</v>
      </c>
      <c r="C7815" s="238" t="str">
        <f>IFERROR(__xludf.DUMMYFUNCTION("""COMPUTED_VALUE"""),"-")</f>
        <v>-</v>
      </c>
      <c r="D7815" s="234"/>
      <c r="E7815" s="237"/>
      <c r="F7815" s="238" t="str">
        <f>IFERROR(__xludf.DUMMYFUNCTION("""COMPUTED_VALUE"""),"-")</f>
        <v>-</v>
      </c>
      <c r="G7815" s="238" t="str">
        <f>IFERROR(__xludf.DUMMYFUNCTION("""COMPUTED_VALUE"""),"-")</f>
        <v>-</v>
      </c>
      <c r="H7815" s="238" t="str">
        <f>IFERROR(__xludf.DUMMYFUNCTION("""COMPUTED_VALUE"""),"-")</f>
        <v>-</v>
      </c>
      <c r="J7815" s="239" t="s">
        <v>6330</v>
      </c>
    </row>
    <row r="7816">
      <c r="A7816" s="234"/>
      <c r="B7816" s="238" t="str">
        <f>IFERROR(__xludf.DUMMYFUNCTION("""COMPUTED_VALUE"""),"-")</f>
        <v>-</v>
      </c>
      <c r="C7816" s="238" t="str">
        <f>IFERROR(__xludf.DUMMYFUNCTION("""COMPUTED_VALUE"""),"-")</f>
        <v>-</v>
      </c>
      <c r="D7816" s="234"/>
      <c r="E7816" s="237"/>
      <c r="F7816" s="238" t="str">
        <f>IFERROR(__xludf.DUMMYFUNCTION("""COMPUTED_VALUE"""),"-")</f>
        <v>-</v>
      </c>
      <c r="G7816" s="238" t="str">
        <f>IFERROR(__xludf.DUMMYFUNCTION("""COMPUTED_VALUE"""),"-")</f>
        <v>-</v>
      </c>
      <c r="H7816" s="238" t="str">
        <f>IFERROR(__xludf.DUMMYFUNCTION("""COMPUTED_VALUE"""),"-")</f>
        <v>-</v>
      </c>
      <c r="J7816" s="239" t="s">
        <v>6330</v>
      </c>
    </row>
    <row r="7817">
      <c r="A7817" s="234"/>
      <c r="B7817" s="238" t="str">
        <f>IFERROR(__xludf.DUMMYFUNCTION("""COMPUTED_VALUE"""),"-")</f>
        <v>-</v>
      </c>
      <c r="C7817" s="238" t="str">
        <f>IFERROR(__xludf.DUMMYFUNCTION("""COMPUTED_VALUE"""),"-")</f>
        <v>-</v>
      </c>
      <c r="D7817" s="234"/>
      <c r="E7817" s="237"/>
      <c r="F7817" s="238" t="str">
        <f>IFERROR(__xludf.DUMMYFUNCTION("""COMPUTED_VALUE"""),"-")</f>
        <v>-</v>
      </c>
      <c r="G7817" s="238" t="str">
        <f>IFERROR(__xludf.DUMMYFUNCTION("""COMPUTED_VALUE"""),"-")</f>
        <v>-</v>
      </c>
      <c r="H7817" s="238" t="str">
        <f>IFERROR(__xludf.DUMMYFUNCTION("""COMPUTED_VALUE"""),"-")</f>
        <v>-</v>
      </c>
      <c r="J7817" s="239" t="s">
        <v>6330</v>
      </c>
    </row>
    <row r="7818">
      <c r="A7818" s="234"/>
      <c r="B7818" s="238" t="str">
        <f>IFERROR(__xludf.DUMMYFUNCTION("""COMPUTED_VALUE"""),"-")</f>
        <v>-</v>
      </c>
      <c r="C7818" s="238" t="str">
        <f>IFERROR(__xludf.DUMMYFUNCTION("""COMPUTED_VALUE"""),"-")</f>
        <v>-</v>
      </c>
      <c r="D7818" s="234"/>
      <c r="E7818" s="237"/>
      <c r="F7818" s="238" t="str">
        <f>IFERROR(__xludf.DUMMYFUNCTION("""COMPUTED_VALUE"""),"-")</f>
        <v>-</v>
      </c>
      <c r="G7818" s="238" t="str">
        <f>IFERROR(__xludf.DUMMYFUNCTION("""COMPUTED_VALUE"""),"-")</f>
        <v>-</v>
      </c>
      <c r="H7818" s="238" t="str">
        <f>IFERROR(__xludf.DUMMYFUNCTION("""COMPUTED_VALUE"""),"-")</f>
        <v>-</v>
      </c>
      <c r="J7818" s="239" t="s">
        <v>6330</v>
      </c>
    </row>
    <row r="7819">
      <c r="A7819" s="234"/>
      <c r="B7819" s="238" t="str">
        <f>IFERROR(__xludf.DUMMYFUNCTION("""COMPUTED_VALUE"""),"-")</f>
        <v>-</v>
      </c>
      <c r="C7819" s="238" t="str">
        <f>IFERROR(__xludf.DUMMYFUNCTION("""COMPUTED_VALUE"""),"-")</f>
        <v>-</v>
      </c>
      <c r="D7819" s="234"/>
      <c r="E7819" s="237"/>
      <c r="F7819" s="238" t="str">
        <f>IFERROR(__xludf.DUMMYFUNCTION("""COMPUTED_VALUE"""),"-")</f>
        <v>-</v>
      </c>
      <c r="G7819" s="238" t="str">
        <f>IFERROR(__xludf.DUMMYFUNCTION("""COMPUTED_VALUE"""),"-")</f>
        <v>-</v>
      </c>
      <c r="H7819" s="238" t="str">
        <f>IFERROR(__xludf.DUMMYFUNCTION("""COMPUTED_VALUE"""),"-")</f>
        <v>-</v>
      </c>
      <c r="J7819" s="239" t="s">
        <v>6330</v>
      </c>
    </row>
    <row r="7820">
      <c r="A7820" s="234"/>
      <c r="B7820" s="238" t="str">
        <f>IFERROR(__xludf.DUMMYFUNCTION("""COMPUTED_VALUE"""),"-")</f>
        <v>-</v>
      </c>
      <c r="C7820" s="238" t="str">
        <f>IFERROR(__xludf.DUMMYFUNCTION("""COMPUTED_VALUE"""),"-")</f>
        <v>-</v>
      </c>
      <c r="D7820" s="234"/>
      <c r="E7820" s="237"/>
      <c r="F7820" s="238" t="str">
        <f>IFERROR(__xludf.DUMMYFUNCTION("""COMPUTED_VALUE"""),"-")</f>
        <v>-</v>
      </c>
      <c r="G7820" s="238" t="str">
        <f>IFERROR(__xludf.DUMMYFUNCTION("""COMPUTED_VALUE"""),"-")</f>
        <v>-</v>
      </c>
      <c r="H7820" s="238" t="str">
        <f>IFERROR(__xludf.DUMMYFUNCTION("""COMPUTED_VALUE"""),"-")</f>
        <v>-</v>
      </c>
      <c r="J7820" s="239" t="s">
        <v>6330</v>
      </c>
    </row>
    <row r="7821">
      <c r="A7821" s="234"/>
      <c r="B7821" s="238" t="str">
        <f>IFERROR(__xludf.DUMMYFUNCTION("""COMPUTED_VALUE"""),"-")</f>
        <v>-</v>
      </c>
      <c r="C7821" s="238" t="str">
        <f>IFERROR(__xludf.DUMMYFUNCTION("""COMPUTED_VALUE"""),"-")</f>
        <v>-</v>
      </c>
      <c r="D7821" s="234"/>
      <c r="E7821" s="237"/>
      <c r="F7821" s="238" t="str">
        <f>IFERROR(__xludf.DUMMYFUNCTION("""COMPUTED_VALUE"""),"-")</f>
        <v>-</v>
      </c>
      <c r="G7821" s="238" t="str">
        <f>IFERROR(__xludf.DUMMYFUNCTION("""COMPUTED_VALUE"""),"-")</f>
        <v>-</v>
      </c>
      <c r="H7821" s="238" t="str">
        <f>IFERROR(__xludf.DUMMYFUNCTION("""COMPUTED_VALUE"""),"-")</f>
        <v>-</v>
      </c>
      <c r="J7821" s="239" t="s">
        <v>6330</v>
      </c>
    </row>
    <row r="7822">
      <c r="A7822" s="234"/>
      <c r="B7822" s="238" t="str">
        <f>IFERROR(__xludf.DUMMYFUNCTION("""COMPUTED_VALUE"""),"-")</f>
        <v>-</v>
      </c>
      <c r="C7822" s="238" t="str">
        <f>IFERROR(__xludf.DUMMYFUNCTION("""COMPUTED_VALUE"""),"-")</f>
        <v>-</v>
      </c>
      <c r="D7822" s="234"/>
      <c r="E7822" s="237"/>
      <c r="F7822" s="238" t="str">
        <f>IFERROR(__xludf.DUMMYFUNCTION("""COMPUTED_VALUE"""),"-")</f>
        <v>-</v>
      </c>
      <c r="G7822" s="238" t="str">
        <f>IFERROR(__xludf.DUMMYFUNCTION("""COMPUTED_VALUE"""),"-")</f>
        <v>-</v>
      </c>
      <c r="H7822" s="238" t="str">
        <f>IFERROR(__xludf.DUMMYFUNCTION("""COMPUTED_VALUE"""),"-")</f>
        <v>-</v>
      </c>
      <c r="J7822" s="239" t="s">
        <v>6330</v>
      </c>
    </row>
    <row r="7823">
      <c r="A7823" s="234"/>
      <c r="B7823" s="238" t="str">
        <f>IFERROR(__xludf.DUMMYFUNCTION("""COMPUTED_VALUE"""),"-")</f>
        <v>-</v>
      </c>
      <c r="C7823" s="238" t="str">
        <f>IFERROR(__xludf.DUMMYFUNCTION("""COMPUTED_VALUE"""),"-")</f>
        <v>-</v>
      </c>
      <c r="D7823" s="234"/>
      <c r="E7823" s="237"/>
      <c r="F7823" s="238" t="str">
        <f>IFERROR(__xludf.DUMMYFUNCTION("""COMPUTED_VALUE"""),"-")</f>
        <v>-</v>
      </c>
      <c r="G7823" s="238" t="str">
        <f>IFERROR(__xludf.DUMMYFUNCTION("""COMPUTED_VALUE"""),"-")</f>
        <v>-</v>
      </c>
      <c r="H7823" s="238" t="str">
        <f>IFERROR(__xludf.DUMMYFUNCTION("""COMPUTED_VALUE"""),"-")</f>
        <v>-</v>
      </c>
      <c r="J7823" s="239" t="s">
        <v>6330</v>
      </c>
    </row>
    <row r="7824">
      <c r="A7824" s="234"/>
      <c r="B7824" s="238" t="str">
        <f>IFERROR(__xludf.DUMMYFUNCTION("""COMPUTED_VALUE"""),"-")</f>
        <v>-</v>
      </c>
      <c r="C7824" s="238" t="str">
        <f>IFERROR(__xludf.DUMMYFUNCTION("""COMPUTED_VALUE"""),"-")</f>
        <v>-</v>
      </c>
      <c r="D7824" s="234"/>
      <c r="E7824" s="237"/>
      <c r="F7824" s="238" t="str">
        <f>IFERROR(__xludf.DUMMYFUNCTION("""COMPUTED_VALUE"""),"-")</f>
        <v>-</v>
      </c>
      <c r="G7824" s="238" t="str">
        <f>IFERROR(__xludf.DUMMYFUNCTION("""COMPUTED_VALUE"""),"-")</f>
        <v>-</v>
      </c>
      <c r="H7824" s="238" t="str">
        <f>IFERROR(__xludf.DUMMYFUNCTION("""COMPUTED_VALUE"""),"-")</f>
        <v>-</v>
      </c>
      <c r="J7824" s="239" t="s">
        <v>6330</v>
      </c>
    </row>
    <row r="7825">
      <c r="A7825" s="234"/>
      <c r="B7825" s="238" t="str">
        <f>IFERROR(__xludf.DUMMYFUNCTION("""COMPUTED_VALUE"""),"-")</f>
        <v>-</v>
      </c>
      <c r="C7825" s="238" t="str">
        <f>IFERROR(__xludf.DUMMYFUNCTION("""COMPUTED_VALUE"""),"-")</f>
        <v>-</v>
      </c>
      <c r="D7825" s="234"/>
      <c r="E7825" s="237"/>
      <c r="F7825" s="238" t="str">
        <f>IFERROR(__xludf.DUMMYFUNCTION("""COMPUTED_VALUE"""),"-")</f>
        <v>-</v>
      </c>
      <c r="G7825" s="238" t="str">
        <f>IFERROR(__xludf.DUMMYFUNCTION("""COMPUTED_VALUE"""),"-")</f>
        <v>-</v>
      </c>
      <c r="H7825" s="238" t="str">
        <f>IFERROR(__xludf.DUMMYFUNCTION("""COMPUTED_VALUE"""),"-")</f>
        <v>-</v>
      </c>
      <c r="J7825" s="239" t="s">
        <v>6330</v>
      </c>
    </row>
    <row r="7826">
      <c r="A7826" s="234"/>
      <c r="B7826" s="238" t="str">
        <f>IFERROR(__xludf.DUMMYFUNCTION("""COMPUTED_VALUE"""),"-")</f>
        <v>-</v>
      </c>
      <c r="C7826" s="238" t="str">
        <f>IFERROR(__xludf.DUMMYFUNCTION("""COMPUTED_VALUE"""),"-")</f>
        <v>-</v>
      </c>
      <c r="D7826" s="234"/>
      <c r="E7826" s="237"/>
      <c r="F7826" s="238" t="str">
        <f>IFERROR(__xludf.DUMMYFUNCTION("""COMPUTED_VALUE"""),"-")</f>
        <v>-</v>
      </c>
      <c r="G7826" s="238" t="str">
        <f>IFERROR(__xludf.DUMMYFUNCTION("""COMPUTED_VALUE"""),"-")</f>
        <v>-</v>
      </c>
      <c r="H7826" s="238" t="str">
        <f>IFERROR(__xludf.DUMMYFUNCTION("""COMPUTED_VALUE"""),"-")</f>
        <v>-</v>
      </c>
      <c r="J7826" s="239" t="s">
        <v>6330</v>
      </c>
    </row>
    <row r="7827">
      <c r="A7827" s="234"/>
      <c r="B7827" s="238" t="str">
        <f>IFERROR(__xludf.DUMMYFUNCTION("""COMPUTED_VALUE"""),"-")</f>
        <v>-</v>
      </c>
      <c r="C7827" s="238" t="str">
        <f>IFERROR(__xludf.DUMMYFUNCTION("""COMPUTED_VALUE"""),"-")</f>
        <v>-</v>
      </c>
      <c r="D7827" s="234"/>
      <c r="E7827" s="237"/>
      <c r="F7827" s="238" t="str">
        <f>IFERROR(__xludf.DUMMYFUNCTION("""COMPUTED_VALUE"""),"-")</f>
        <v>-</v>
      </c>
      <c r="G7827" s="238" t="str">
        <f>IFERROR(__xludf.DUMMYFUNCTION("""COMPUTED_VALUE"""),"-")</f>
        <v>-</v>
      </c>
      <c r="H7827" s="238" t="str">
        <f>IFERROR(__xludf.DUMMYFUNCTION("""COMPUTED_VALUE"""),"-")</f>
        <v>-</v>
      </c>
      <c r="J7827" s="239" t="s">
        <v>6330</v>
      </c>
    </row>
    <row r="7828">
      <c r="A7828" s="234"/>
      <c r="B7828" s="238" t="str">
        <f>IFERROR(__xludf.DUMMYFUNCTION("""COMPUTED_VALUE"""),"-")</f>
        <v>-</v>
      </c>
      <c r="C7828" s="238" t="str">
        <f>IFERROR(__xludf.DUMMYFUNCTION("""COMPUTED_VALUE"""),"-")</f>
        <v>-</v>
      </c>
      <c r="D7828" s="234"/>
      <c r="E7828" s="237"/>
      <c r="F7828" s="238" t="str">
        <f>IFERROR(__xludf.DUMMYFUNCTION("""COMPUTED_VALUE"""),"-")</f>
        <v>-</v>
      </c>
      <c r="G7828" s="238" t="str">
        <f>IFERROR(__xludf.DUMMYFUNCTION("""COMPUTED_VALUE"""),"-")</f>
        <v>-</v>
      </c>
      <c r="H7828" s="238" t="str">
        <f>IFERROR(__xludf.DUMMYFUNCTION("""COMPUTED_VALUE"""),"-")</f>
        <v>-</v>
      </c>
      <c r="J7828" s="239" t="s">
        <v>6330</v>
      </c>
    </row>
    <row r="7829">
      <c r="A7829" s="234"/>
      <c r="B7829" s="238" t="str">
        <f>IFERROR(__xludf.DUMMYFUNCTION("""COMPUTED_VALUE"""),"-")</f>
        <v>-</v>
      </c>
      <c r="C7829" s="238" t="str">
        <f>IFERROR(__xludf.DUMMYFUNCTION("""COMPUTED_VALUE"""),"-")</f>
        <v>-</v>
      </c>
      <c r="D7829" s="234"/>
      <c r="E7829" s="237"/>
      <c r="F7829" s="238" t="str">
        <f>IFERROR(__xludf.DUMMYFUNCTION("""COMPUTED_VALUE"""),"-")</f>
        <v>-</v>
      </c>
      <c r="G7829" s="238" t="str">
        <f>IFERROR(__xludf.DUMMYFUNCTION("""COMPUTED_VALUE"""),"-")</f>
        <v>-</v>
      </c>
      <c r="H7829" s="238" t="str">
        <f>IFERROR(__xludf.DUMMYFUNCTION("""COMPUTED_VALUE"""),"-")</f>
        <v>-</v>
      </c>
      <c r="J7829" s="239" t="s">
        <v>6330</v>
      </c>
    </row>
    <row r="7830">
      <c r="A7830" s="234"/>
      <c r="B7830" s="238" t="str">
        <f>IFERROR(__xludf.DUMMYFUNCTION("""COMPUTED_VALUE"""),"-")</f>
        <v>-</v>
      </c>
      <c r="C7830" s="238" t="str">
        <f>IFERROR(__xludf.DUMMYFUNCTION("""COMPUTED_VALUE"""),"-")</f>
        <v>-</v>
      </c>
      <c r="D7830" s="234"/>
      <c r="E7830" s="237"/>
      <c r="F7830" s="238" t="str">
        <f>IFERROR(__xludf.DUMMYFUNCTION("""COMPUTED_VALUE"""),"-")</f>
        <v>-</v>
      </c>
      <c r="G7830" s="238" t="str">
        <f>IFERROR(__xludf.DUMMYFUNCTION("""COMPUTED_VALUE"""),"-")</f>
        <v>-</v>
      </c>
      <c r="H7830" s="238" t="str">
        <f>IFERROR(__xludf.DUMMYFUNCTION("""COMPUTED_VALUE"""),"-")</f>
        <v>-</v>
      </c>
      <c r="J7830" s="239" t="s">
        <v>6330</v>
      </c>
    </row>
    <row r="7831">
      <c r="A7831" s="234"/>
      <c r="B7831" s="238" t="str">
        <f>IFERROR(__xludf.DUMMYFUNCTION("""COMPUTED_VALUE"""),"-")</f>
        <v>-</v>
      </c>
      <c r="C7831" s="238" t="str">
        <f>IFERROR(__xludf.DUMMYFUNCTION("""COMPUTED_VALUE"""),"-")</f>
        <v>-</v>
      </c>
      <c r="D7831" s="234"/>
      <c r="E7831" s="237"/>
      <c r="F7831" s="238" t="str">
        <f>IFERROR(__xludf.DUMMYFUNCTION("""COMPUTED_VALUE"""),"-")</f>
        <v>-</v>
      </c>
      <c r="G7831" s="238" t="str">
        <f>IFERROR(__xludf.DUMMYFUNCTION("""COMPUTED_VALUE"""),"-")</f>
        <v>-</v>
      </c>
      <c r="H7831" s="238" t="str">
        <f>IFERROR(__xludf.DUMMYFUNCTION("""COMPUTED_VALUE"""),"-")</f>
        <v>-</v>
      </c>
      <c r="J7831" s="239" t="s">
        <v>6330</v>
      </c>
    </row>
    <row r="7832">
      <c r="A7832" s="234"/>
      <c r="B7832" s="238" t="str">
        <f>IFERROR(__xludf.DUMMYFUNCTION("""COMPUTED_VALUE"""),"-")</f>
        <v>-</v>
      </c>
      <c r="C7832" s="238" t="str">
        <f>IFERROR(__xludf.DUMMYFUNCTION("""COMPUTED_VALUE"""),"-")</f>
        <v>-</v>
      </c>
      <c r="D7832" s="234"/>
      <c r="E7832" s="237"/>
      <c r="F7832" s="238" t="str">
        <f>IFERROR(__xludf.DUMMYFUNCTION("""COMPUTED_VALUE"""),"-")</f>
        <v>-</v>
      </c>
      <c r="G7832" s="238" t="str">
        <f>IFERROR(__xludf.DUMMYFUNCTION("""COMPUTED_VALUE"""),"-")</f>
        <v>-</v>
      </c>
      <c r="H7832" s="238" t="str">
        <f>IFERROR(__xludf.DUMMYFUNCTION("""COMPUTED_VALUE"""),"-")</f>
        <v>-</v>
      </c>
      <c r="J7832" s="239" t="s">
        <v>6330</v>
      </c>
    </row>
    <row r="7833">
      <c r="A7833" s="234"/>
      <c r="B7833" s="238" t="str">
        <f>IFERROR(__xludf.DUMMYFUNCTION("""COMPUTED_VALUE"""),"-")</f>
        <v>-</v>
      </c>
      <c r="C7833" s="238" t="str">
        <f>IFERROR(__xludf.DUMMYFUNCTION("""COMPUTED_VALUE"""),"-")</f>
        <v>-</v>
      </c>
      <c r="D7833" s="234"/>
      <c r="E7833" s="237"/>
      <c r="F7833" s="238" t="str">
        <f>IFERROR(__xludf.DUMMYFUNCTION("""COMPUTED_VALUE"""),"-")</f>
        <v>-</v>
      </c>
      <c r="G7833" s="238" t="str">
        <f>IFERROR(__xludf.DUMMYFUNCTION("""COMPUTED_VALUE"""),"-")</f>
        <v>-</v>
      </c>
      <c r="H7833" s="238" t="str">
        <f>IFERROR(__xludf.DUMMYFUNCTION("""COMPUTED_VALUE"""),"-")</f>
        <v>-</v>
      </c>
      <c r="J7833" s="239" t="s">
        <v>6330</v>
      </c>
    </row>
    <row r="7834">
      <c r="A7834" s="234"/>
      <c r="B7834" s="238" t="str">
        <f>IFERROR(__xludf.DUMMYFUNCTION("""COMPUTED_VALUE"""),"-")</f>
        <v>-</v>
      </c>
      <c r="C7834" s="238" t="str">
        <f>IFERROR(__xludf.DUMMYFUNCTION("""COMPUTED_VALUE"""),"-")</f>
        <v>-</v>
      </c>
      <c r="D7834" s="234"/>
      <c r="E7834" s="237"/>
      <c r="F7834" s="238" t="str">
        <f>IFERROR(__xludf.DUMMYFUNCTION("""COMPUTED_VALUE"""),"-")</f>
        <v>-</v>
      </c>
      <c r="G7834" s="238" t="str">
        <f>IFERROR(__xludf.DUMMYFUNCTION("""COMPUTED_VALUE"""),"-")</f>
        <v>-</v>
      </c>
      <c r="H7834" s="238" t="str">
        <f>IFERROR(__xludf.DUMMYFUNCTION("""COMPUTED_VALUE"""),"-")</f>
        <v>-</v>
      </c>
      <c r="J7834" s="239" t="s">
        <v>6330</v>
      </c>
    </row>
    <row r="7835">
      <c r="A7835" s="234"/>
      <c r="B7835" s="238" t="str">
        <f>IFERROR(__xludf.DUMMYFUNCTION("""COMPUTED_VALUE"""),"-")</f>
        <v>-</v>
      </c>
      <c r="C7835" s="238" t="str">
        <f>IFERROR(__xludf.DUMMYFUNCTION("""COMPUTED_VALUE"""),"-")</f>
        <v>-</v>
      </c>
      <c r="D7835" s="234"/>
      <c r="E7835" s="237"/>
      <c r="F7835" s="238" t="str">
        <f>IFERROR(__xludf.DUMMYFUNCTION("""COMPUTED_VALUE"""),"-")</f>
        <v>-</v>
      </c>
      <c r="G7835" s="238" t="str">
        <f>IFERROR(__xludf.DUMMYFUNCTION("""COMPUTED_VALUE"""),"-")</f>
        <v>-</v>
      </c>
      <c r="H7835" s="238" t="str">
        <f>IFERROR(__xludf.DUMMYFUNCTION("""COMPUTED_VALUE"""),"-")</f>
        <v>-</v>
      </c>
      <c r="J7835" s="239" t="s">
        <v>6330</v>
      </c>
    </row>
    <row r="7836">
      <c r="A7836" s="234"/>
      <c r="B7836" s="238" t="str">
        <f>IFERROR(__xludf.DUMMYFUNCTION("""COMPUTED_VALUE"""),"-")</f>
        <v>-</v>
      </c>
      <c r="C7836" s="238" t="str">
        <f>IFERROR(__xludf.DUMMYFUNCTION("""COMPUTED_VALUE"""),"-")</f>
        <v>-</v>
      </c>
      <c r="D7836" s="234"/>
      <c r="E7836" s="237"/>
      <c r="F7836" s="238" t="str">
        <f>IFERROR(__xludf.DUMMYFUNCTION("""COMPUTED_VALUE"""),"-")</f>
        <v>-</v>
      </c>
      <c r="G7836" s="238" t="str">
        <f>IFERROR(__xludf.DUMMYFUNCTION("""COMPUTED_VALUE"""),"-")</f>
        <v>-</v>
      </c>
      <c r="H7836" s="238" t="str">
        <f>IFERROR(__xludf.DUMMYFUNCTION("""COMPUTED_VALUE"""),"-")</f>
        <v>-</v>
      </c>
      <c r="J7836" s="239" t="s">
        <v>6330</v>
      </c>
    </row>
    <row r="7837">
      <c r="A7837" s="234"/>
      <c r="B7837" s="238" t="str">
        <f>IFERROR(__xludf.DUMMYFUNCTION("""COMPUTED_VALUE"""),"-")</f>
        <v>-</v>
      </c>
      <c r="C7837" s="238" t="str">
        <f>IFERROR(__xludf.DUMMYFUNCTION("""COMPUTED_VALUE"""),"-")</f>
        <v>-</v>
      </c>
      <c r="D7837" s="234"/>
      <c r="E7837" s="237"/>
      <c r="F7837" s="238" t="str">
        <f>IFERROR(__xludf.DUMMYFUNCTION("""COMPUTED_VALUE"""),"-")</f>
        <v>-</v>
      </c>
      <c r="G7837" s="238" t="str">
        <f>IFERROR(__xludf.DUMMYFUNCTION("""COMPUTED_VALUE"""),"-")</f>
        <v>-</v>
      </c>
      <c r="H7837" s="238" t="str">
        <f>IFERROR(__xludf.DUMMYFUNCTION("""COMPUTED_VALUE"""),"-")</f>
        <v>-</v>
      </c>
      <c r="J7837" s="239" t="s">
        <v>6330</v>
      </c>
    </row>
    <row r="7838">
      <c r="A7838" s="234"/>
      <c r="B7838" s="238" t="str">
        <f>IFERROR(__xludf.DUMMYFUNCTION("""COMPUTED_VALUE"""),"-")</f>
        <v>-</v>
      </c>
      <c r="C7838" s="238" t="str">
        <f>IFERROR(__xludf.DUMMYFUNCTION("""COMPUTED_VALUE"""),"-")</f>
        <v>-</v>
      </c>
      <c r="D7838" s="234"/>
      <c r="E7838" s="237"/>
      <c r="F7838" s="238" t="str">
        <f>IFERROR(__xludf.DUMMYFUNCTION("""COMPUTED_VALUE"""),"-")</f>
        <v>-</v>
      </c>
      <c r="G7838" s="238" t="str">
        <f>IFERROR(__xludf.DUMMYFUNCTION("""COMPUTED_VALUE"""),"-")</f>
        <v>-</v>
      </c>
      <c r="H7838" s="238" t="str">
        <f>IFERROR(__xludf.DUMMYFUNCTION("""COMPUTED_VALUE"""),"-")</f>
        <v>-</v>
      </c>
      <c r="J7838" s="239" t="s">
        <v>6330</v>
      </c>
    </row>
    <row r="7839">
      <c r="A7839" s="234"/>
      <c r="B7839" s="238" t="str">
        <f>IFERROR(__xludf.DUMMYFUNCTION("""COMPUTED_VALUE"""),"-")</f>
        <v>-</v>
      </c>
      <c r="C7839" s="238" t="str">
        <f>IFERROR(__xludf.DUMMYFUNCTION("""COMPUTED_VALUE"""),"-")</f>
        <v>-</v>
      </c>
      <c r="D7839" s="234"/>
      <c r="E7839" s="237"/>
      <c r="F7839" s="238" t="str">
        <f>IFERROR(__xludf.DUMMYFUNCTION("""COMPUTED_VALUE"""),"-")</f>
        <v>-</v>
      </c>
      <c r="G7839" s="238" t="str">
        <f>IFERROR(__xludf.DUMMYFUNCTION("""COMPUTED_VALUE"""),"-")</f>
        <v>-</v>
      </c>
      <c r="H7839" s="238" t="str">
        <f>IFERROR(__xludf.DUMMYFUNCTION("""COMPUTED_VALUE"""),"-")</f>
        <v>-</v>
      </c>
      <c r="J7839" s="239" t="s">
        <v>6330</v>
      </c>
    </row>
    <row r="7840">
      <c r="A7840" s="234"/>
      <c r="B7840" s="238" t="str">
        <f>IFERROR(__xludf.DUMMYFUNCTION("""COMPUTED_VALUE"""),"-")</f>
        <v>-</v>
      </c>
      <c r="C7840" s="238" t="str">
        <f>IFERROR(__xludf.DUMMYFUNCTION("""COMPUTED_VALUE"""),"-")</f>
        <v>-</v>
      </c>
      <c r="D7840" s="234"/>
      <c r="E7840" s="237"/>
      <c r="F7840" s="238" t="str">
        <f>IFERROR(__xludf.DUMMYFUNCTION("""COMPUTED_VALUE"""),"-")</f>
        <v>-</v>
      </c>
      <c r="G7840" s="238" t="str">
        <f>IFERROR(__xludf.DUMMYFUNCTION("""COMPUTED_VALUE"""),"-")</f>
        <v>-</v>
      </c>
      <c r="H7840" s="238" t="str">
        <f>IFERROR(__xludf.DUMMYFUNCTION("""COMPUTED_VALUE"""),"-")</f>
        <v>-</v>
      </c>
      <c r="J7840" s="239" t="s">
        <v>6330</v>
      </c>
    </row>
    <row r="7841">
      <c r="A7841" s="234"/>
      <c r="B7841" s="238" t="str">
        <f>IFERROR(__xludf.DUMMYFUNCTION("""COMPUTED_VALUE"""),"-")</f>
        <v>-</v>
      </c>
      <c r="C7841" s="238" t="str">
        <f>IFERROR(__xludf.DUMMYFUNCTION("""COMPUTED_VALUE"""),"-")</f>
        <v>-</v>
      </c>
      <c r="D7841" s="234"/>
      <c r="E7841" s="237"/>
      <c r="F7841" s="238" t="str">
        <f>IFERROR(__xludf.DUMMYFUNCTION("""COMPUTED_VALUE"""),"-")</f>
        <v>-</v>
      </c>
      <c r="G7841" s="238" t="str">
        <f>IFERROR(__xludf.DUMMYFUNCTION("""COMPUTED_VALUE"""),"-")</f>
        <v>-</v>
      </c>
      <c r="H7841" s="238" t="str">
        <f>IFERROR(__xludf.DUMMYFUNCTION("""COMPUTED_VALUE"""),"-")</f>
        <v>-</v>
      </c>
      <c r="J7841" s="239" t="s">
        <v>6330</v>
      </c>
    </row>
    <row r="7842">
      <c r="A7842" s="234"/>
      <c r="B7842" s="238" t="str">
        <f>IFERROR(__xludf.DUMMYFUNCTION("""COMPUTED_VALUE"""),"-")</f>
        <v>-</v>
      </c>
      <c r="C7842" s="238" t="str">
        <f>IFERROR(__xludf.DUMMYFUNCTION("""COMPUTED_VALUE"""),"-")</f>
        <v>-</v>
      </c>
      <c r="D7842" s="234"/>
      <c r="E7842" s="237"/>
      <c r="F7842" s="238" t="str">
        <f>IFERROR(__xludf.DUMMYFUNCTION("""COMPUTED_VALUE"""),"-")</f>
        <v>-</v>
      </c>
      <c r="G7842" s="238" t="str">
        <f>IFERROR(__xludf.DUMMYFUNCTION("""COMPUTED_VALUE"""),"-")</f>
        <v>-</v>
      </c>
      <c r="H7842" s="238" t="str">
        <f>IFERROR(__xludf.DUMMYFUNCTION("""COMPUTED_VALUE"""),"-")</f>
        <v>-</v>
      </c>
      <c r="J7842" s="239" t="s">
        <v>6330</v>
      </c>
    </row>
    <row r="7843">
      <c r="A7843" s="234"/>
      <c r="B7843" s="238" t="str">
        <f>IFERROR(__xludf.DUMMYFUNCTION("""COMPUTED_VALUE"""),"-")</f>
        <v>-</v>
      </c>
      <c r="C7843" s="238" t="str">
        <f>IFERROR(__xludf.DUMMYFUNCTION("""COMPUTED_VALUE"""),"-")</f>
        <v>-</v>
      </c>
      <c r="D7843" s="234"/>
      <c r="E7843" s="237"/>
      <c r="F7843" s="238" t="str">
        <f>IFERROR(__xludf.DUMMYFUNCTION("""COMPUTED_VALUE"""),"-")</f>
        <v>-</v>
      </c>
      <c r="G7843" s="238" t="str">
        <f>IFERROR(__xludf.DUMMYFUNCTION("""COMPUTED_VALUE"""),"-")</f>
        <v>-</v>
      </c>
      <c r="H7843" s="238" t="str">
        <f>IFERROR(__xludf.DUMMYFUNCTION("""COMPUTED_VALUE"""),"-")</f>
        <v>-</v>
      </c>
      <c r="J7843" s="239" t="s">
        <v>6330</v>
      </c>
    </row>
    <row r="7844">
      <c r="A7844" s="234"/>
      <c r="B7844" s="238" t="str">
        <f>IFERROR(__xludf.DUMMYFUNCTION("""COMPUTED_VALUE"""),"-")</f>
        <v>-</v>
      </c>
      <c r="C7844" s="238" t="str">
        <f>IFERROR(__xludf.DUMMYFUNCTION("""COMPUTED_VALUE"""),"-")</f>
        <v>-</v>
      </c>
      <c r="D7844" s="234"/>
      <c r="E7844" s="237"/>
      <c r="F7844" s="238" t="str">
        <f>IFERROR(__xludf.DUMMYFUNCTION("""COMPUTED_VALUE"""),"-")</f>
        <v>-</v>
      </c>
      <c r="G7844" s="238" t="str">
        <f>IFERROR(__xludf.DUMMYFUNCTION("""COMPUTED_VALUE"""),"-")</f>
        <v>-</v>
      </c>
      <c r="H7844" s="238" t="str">
        <f>IFERROR(__xludf.DUMMYFUNCTION("""COMPUTED_VALUE"""),"-")</f>
        <v>-</v>
      </c>
      <c r="J7844" s="239" t="s">
        <v>6330</v>
      </c>
    </row>
    <row r="7845">
      <c r="A7845" s="234"/>
      <c r="B7845" s="238" t="str">
        <f>IFERROR(__xludf.DUMMYFUNCTION("""COMPUTED_VALUE"""),"-")</f>
        <v>-</v>
      </c>
      <c r="C7845" s="238" t="str">
        <f>IFERROR(__xludf.DUMMYFUNCTION("""COMPUTED_VALUE"""),"-")</f>
        <v>-</v>
      </c>
      <c r="D7845" s="234"/>
      <c r="E7845" s="237"/>
      <c r="F7845" s="238" t="str">
        <f>IFERROR(__xludf.DUMMYFUNCTION("""COMPUTED_VALUE"""),"-")</f>
        <v>-</v>
      </c>
      <c r="G7845" s="238" t="str">
        <f>IFERROR(__xludf.DUMMYFUNCTION("""COMPUTED_VALUE"""),"-")</f>
        <v>-</v>
      </c>
      <c r="H7845" s="238" t="str">
        <f>IFERROR(__xludf.DUMMYFUNCTION("""COMPUTED_VALUE"""),"-")</f>
        <v>-</v>
      </c>
      <c r="J7845" s="239" t="s">
        <v>6330</v>
      </c>
    </row>
    <row r="7846">
      <c r="A7846" s="234"/>
      <c r="B7846" s="238" t="str">
        <f>IFERROR(__xludf.DUMMYFUNCTION("""COMPUTED_VALUE"""),"-")</f>
        <v>-</v>
      </c>
      <c r="C7846" s="238" t="str">
        <f>IFERROR(__xludf.DUMMYFUNCTION("""COMPUTED_VALUE"""),"-")</f>
        <v>-</v>
      </c>
      <c r="D7846" s="234"/>
      <c r="E7846" s="237"/>
      <c r="F7846" s="238" t="str">
        <f>IFERROR(__xludf.DUMMYFUNCTION("""COMPUTED_VALUE"""),"-")</f>
        <v>-</v>
      </c>
      <c r="G7846" s="238" t="str">
        <f>IFERROR(__xludf.DUMMYFUNCTION("""COMPUTED_VALUE"""),"-")</f>
        <v>-</v>
      </c>
      <c r="H7846" s="238" t="str">
        <f>IFERROR(__xludf.DUMMYFUNCTION("""COMPUTED_VALUE"""),"-")</f>
        <v>-</v>
      </c>
      <c r="J7846" s="239" t="s">
        <v>6330</v>
      </c>
    </row>
    <row r="7847">
      <c r="A7847" s="234"/>
      <c r="B7847" s="238" t="str">
        <f>IFERROR(__xludf.DUMMYFUNCTION("""COMPUTED_VALUE"""),"-")</f>
        <v>-</v>
      </c>
      <c r="C7847" s="238" t="str">
        <f>IFERROR(__xludf.DUMMYFUNCTION("""COMPUTED_VALUE"""),"-")</f>
        <v>-</v>
      </c>
      <c r="D7847" s="234"/>
      <c r="E7847" s="237"/>
      <c r="F7847" s="238" t="str">
        <f>IFERROR(__xludf.DUMMYFUNCTION("""COMPUTED_VALUE"""),"-")</f>
        <v>-</v>
      </c>
      <c r="G7847" s="238" t="str">
        <f>IFERROR(__xludf.DUMMYFUNCTION("""COMPUTED_VALUE"""),"-")</f>
        <v>-</v>
      </c>
      <c r="H7847" s="238" t="str">
        <f>IFERROR(__xludf.DUMMYFUNCTION("""COMPUTED_VALUE"""),"-")</f>
        <v>-</v>
      </c>
      <c r="J7847" s="239" t="s">
        <v>6330</v>
      </c>
    </row>
    <row r="7848">
      <c r="A7848" s="234"/>
      <c r="B7848" s="238" t="str">
        <f>IFERROR(__xludf.DUMMYFUNCTION("""COMPUTED_VALUE"""),"-")</f>
        <v>-</v>
      </c>
      <c r="C7848" s="238" t="str">
        <f>IFERROR(__xludf.DUMMYFUNCTION("""COMPUTED_VALUE"""),"-")</f>
        <v>-</v>
      </c>
      <c r="D7848" s="234"/>
      <c r="E7848" s="237"/>
      <c r="F7848" s="238" t="str">
        <f>IFERROR(__xludf.DUMMYFUNCTION("""COMPUTED_VALUE"""),"-")</f>
        <v>-</v>
      </c>
      <c r="G7848" s="238" t="str">
        <f>IFERROR(__xludf.DUMMYFUNCTION("""COMPUTED_VALUE"""),"-")</f>
        <v>-</v>
      </c>
      <c r="H7848" s="238" t="str">
        <f>IFERROR(__xludf.DUMMYFUNCTION("""COMPUTED_VALUE"""),"-")</f>
        <v>-</v>
      </c>
      <c r="J7848" s="239" t="s">
        <v>6330</v>
      </c>
    </row>
    <row r="7849">
      <c r="A7849" s="234"/>
      <c r="B7849" s="238" t="str">
        <f>IFERROR(__xludf.DUMMYFUNCTION("""COMPUTED_VALUE"""),"-")</f>
        <v>-</v>
      </c>
      <c r="C7849" s="238" t="str">
        <f>IFERROR(__xludf.DUMMYFUNCTION("""COMPUTED_VALUE"""),"-")</f>
        <v>-</v>
      </c>
      <c r="D7849" s="234"/>
      <c r="E7849" s="237"/>
      <c r="F7849" s="238" t="str">
        <f>IFERROR(__xludf.DUMMYFUNCTION("""COMPUTED_VALUE"""),"-")</f>
        <v>-</v>
      </c>
      <c r="G7849" s="238" t="str">
        <f>IFERROR(__xludf.DUMMYFUNCTION("""COMPUTED_VALUE"""),"-")</f>
        <v>-</v>
      </c>
      <c r="H7849" s="238" t="str">
        <f>IFERROR(__xludf.DUMMYFUNCTION("""COMPUTED_VALUE"""),"-")</f>
        <v>-</v>
      </c>
      <c r="J7849" s="239" t="s">
        <v>6330</v>
      </c>
    </row>
    <row r="7850">
      <c r="A7850" s="234"/>
      <c r="B7850" s="238" t="str">
        <f>IFERROR(__xludf.DUMMYFUNCTION("""COMPUTED_VALUE"""),"-")</f>
        <v>-</v>
      </c>
      <c r="C7850" s="238" t="str">
        <f>IFERROR(__xludf.DUMMYFUNCTION("""COMPUTED_VALUE"""),"-")</f>
        <v>-</v>
      </c>
      <c r="D7850" s="234"/>
      <c r="E7850" s="237"/>
      <c r="F7850" s="238" t="str">
        <f>IFERROR(__xludf.DUMMYFUNCTION("""COMPUTED_VALUE"""),"-")</f>
        <v>-</v>
      </c>
      <c r="G7850" s="238" t="str">
        <f>IFERROR(__xludf.DUMMYFUNCTION("""COMPUTED_VALUE"""),"-")</f>
        <v>-</v>
      </c>
      <c r="H7850" s="238" t="str">
        <f>IFERROR(__xludf.DUMMYFUNCTION("""COMPUTED_VALUE"""),"-")</f>
        <v>-</v>
      </c>
      <c r="J7850" s="239" t="s">
        <v>6330</v>
      </c>
    </row>
    <row r="7851">
      <c r="A7851" s="234"/>
      <c r="B7851" s="238" t="str">
        <f>IFERROR(__xludf.DUMMYFUNCTION("""COMPUTED_VALUE"""),"-")</f>
        <v>-</v>
      </c>
      <c r="C7851" s="238" t="str">
        <f>IFERROR(__xludf.DUMMYFUNCTION("""COMPUTED_VALUE"""),"-")</f>
        <v>-</v>
      </c>
      <c r="D7851" s="234"/>
      <c r="E7851" s="237"/>
      <c r="F7851" s="238" t="str">
        <f>IFERROR(__xludf.DUMMYFUNCTION("""COMPUTED_VALUE"""),"-")</f>
        <v>-</v>
      </c>
      <c r="G7851" s="238" t="str">
        <f>IFERROR(__xludf.DUMMYFUNCTION("""COMPUTED_VALUE"""),"-")</f>
        <v>-</v>
      </c>
      <c r="H7851" s="238" t="str">
        <f>IFERROR(__xludf.DUMMYFUNCTION("""COMPUTED_VALUE"""),"-")</f>
        <v>-</v>
      </c>
      <c r="J7851" s="239" t="s">
        <v>6330</v>
      </c>
    </row>
    <row r="7852">
      <c r="A7852" s="234"/>
      <c r="B7852" s="238" t="str">
        <f>IFERROR(__xludf.DUMMYFUNCTION("""COMPUTED_VALUE"""),"-")</f>
        <v>-</v>
      </c>
      <c r="C7852" s="238" t="str">
        <f>IFERROR(__xludf.DUMMYFUNCTION("""COMPUTED_VALUE"""),"-")</f>
        <v>-</v>
      </c>
      <c r="D7852" s="234"/>
      <c r="E7852" s="237"/>
      <c r="F7852" s="238" t="str">
        <f>IFERROR(__xludf.DUMMYFUNCTION("""COMPUTED_VALUE"""),"-")</f>
        <v>-</v>
      </c>
      <c r="G7852" s="238" t="str">
        <f>IFERROR(__xludf.DUMMYFUNCTION("""COMPUTED_VALUE"""),"-")</f>
        <v>-</v>
      </c>
      <c r="H7852" s="238" t="str">
        <f>IFERROR(__xludf.DUMMYFUNCTION("""COMPUTED_VALUE"""),"-")</f>
        <v>-</v>
      </c>
      <c r="J7852" s="239" t="s">
        <v>6330</v>
      </c>
    </row>
    <row r="7853">
      <c r="A7853" s="234"/>
      <c r="B7853" s="238" t="str">
        <f>IFERROR(__xludf.DUMMYFUNCTION("""COMPUTED_VALUE"""),"-")</f>
        <v>-</v>
      </c>
      <c r="C7853" s="238" t="str">
        <f>IFERROR(__xludf.DUMMYFUNCTION("""COMPUTED_VALUE"""),"-")</f>
        <v>-</v>
      </c>
      <c r="D7853" s="234"/>
      <c r="E7853" s="237"/>
      <c r="F7853" s="238" t="str">
        <f>IFERROR(__xludf.DUMMYFUNCTION("""COMPUTED_VALUE"""),"-")</f>
        <v>-</v>
      </c>
      <c r="G7853" s="238" t="str">
        <f>IFERROR(__xludf.DUMMYFUNCTION("""COMPUTED_VALUE"""),"-")</f>
        <v>-</v>
      </c>
      <c r="H7853" s="238" t="str">
        <f>IFERROR(__xludf.DUMMYFUNCTION("""COMPUTED_VALUE"""),"-")</f>
        <v>-</v>
      </c>
      <c r="J7853" s="239" t="s">
        <v>6330</v>
      </c>
    </row>
    <row r="7854">
      <c r="A7854" s="234"/>
      <c r="B7854" s="238" t="str">
        <f>IFERROR(__xludf.DUMMYFUNCTION("""COMPUTED_VALUE"""),"-")</f>
        <v>-</v>
      </c>
      <c r="C7854" s="238" t="str">
        <f>IFERROR(__xludf.DUMMYFUNCTION("""COMPUTED_VALUE"""),"-")</f>
        <v>-</v>
      </c>
      <c r="D7854" s="234"/>
      <c r="E7854" s="237"/>
      <c r="F7854" s="238" t="str">
        <f>IFERROR(__xludf.DUMMYFUNCTION("""COMPUTED_VALUE"""),"-")</f>
        <v>-</v>
      </c>
      <c r="G7854" s="238" t="str">
        <f>IFERROR(__xludf.DUMMYFUNCTION("""COMPUTED_VALUE"""),"-")</f>
        <v>-</v>
      </c>
      <c r="H7854" s="238" t="str">
        <f>IFERROR(__xludf.DUMMYFUNCTION("""COMPUTED_VALUE"""),"-")</f>
        <v>-</v>
      </c>
      <c r="J7854" s="239" t="s">
        <v>6330</v>
      </c>
    </row>
    <row r="7855">
      <c r="A7855" s="234"/>
      <c r="B7855" s="238" t="str">
        <f>IFERROR(__xludf.DUMMYFUNCTION("""COMPUTED_VALUE"""),"-")</f>
        <v>-</v>
      </c>
      <c r="C7855" s="238" t="str">
        <f>IFERROR(__xludf.DUMMYFUNCTION("""COMPUTED_VALUE"""),"-")</f>
        <v>-</v>
      </c>
      <c r="D7855" s="234"/>
      <c r="E7855" s="237"/>
      <c r="F7855" s="238" t="str">
        <f>IFERROR(__xludf.DUMMYFUNCTION("""COMPUTED_VALUE"""),"-")</f>
        <v>-</v>
      </c>
      <c r="G7855" s="238" t="str">
        <f>IFERROR(__xludf.DUMMYFUNCTION("""COMPUTED_VALUE"""),"-")</f>
        <v>-</v>
      </c>
      <c r="H7855" s="238" t="str">
        <f>IFERROR(__xludf.DUMMYFUNCTION("""COMPUTED_VALUE"""),"-")</f>
        <v>-</v>
      </c>
      <c r="J7855" s="239" t="s">
        <v>6330</v>
      </c>
    </row>
    <row r="7856">
      <c r="A7856" s="234"/>
      <c r="B7856" s="238" t="str">
        <f>IFERROR(__xludf.DUMMYFUNCTION("""COMPUTED_VALUE"""),"-")</f>
        <v>-</v>
      </c>
      <c r="C7856" s="238" t="str">
        <f>IFERROR(__xludf.DUMMYFUNCTION("""COMPUTED_VALUE"""),"-")</f>
        <v>-</v>
      </c>
      <c r="D7856" s="234"/>
      <c r="E7856" s="237"/>
      <c r="F7856" s="238" t="str">
        <f>IFERROR(__xludf.DUMMYFUNCTION("""COMPUTED_VALUE"""),"-")</f>
        <v>-</v>
      </c>
      <c r="G7856" s="238" t="str">
        <f>IFERROR(__xludf.DUMMYFUNCTION("""COMPUTED_VALUE"""),"-")</f>
        <v>-</v>
      </c>
      <c r="H7856" s="238" t="str">
        <f>IFERROR(__xludf.DUMMYFUNCTION("""COMPUTED_VALUE"""),"-")</f>
        <v>-</v>
      </c>
      <c r="J7856" s="239" t="s">
        <v>6330</v>
      </c>
    </row>
    <row r="7857">
      <c r="A7857" s="234"/>
      <c r="B7857" s="238" t="str">
        <f>IFERROR(__xludf.DUMMYFUNCTION("""COMPUTED_VALUE"""),"-")</f>
        <v>-</v>
      </c>
      <c r="C7857" s="238" t="str">
        <f>IFERROR(__xludf.DUMMYFUNCTION("""COMPUTED_VALUE"""),"-")</f>
        <v>-</v>
      </c>
      <c r="D7857" s="234"/>
      <c r="E7857" s="237"/>
      <c r="F7857" s="238" t="str">
        <f>IFERROR(__xludf.DUMMYFUNCTION("""COMPUTED_VALUE"""),"-")</f>
        <v>-</v>
      </c>
      <c r="G7857" s="238" t="str">
        <f>IFERROR(__xludf.DUMMYFUNCTION("""COMPUTED_VALUE"""),"-")</f>
        <v>-</v>
      </c>
      <c r="H7857" s="238" t="str">
        <f>IFERROR(__xludf.DUMMYFUNCTION("""COMPUTED_VALUE"""),"-")</f>
        <v>-</v>
      </c>
      <c r="J7857" s="239" t="s">
        <v>6330</v>
      </c>
    </row>
    <row r="7858">
      <c r="A7858" s="234"/>
      <c r="B7858" s="238" t="str">
        <f>IFERROR(__xludf.DUMMYFUNCTION("""COMPUTED_VALUE"""),"-")</f>
        <v>-</v>
      </c>
      <c r="C7858" s="238" t="str">
        <f>IFERROR(__xludf.DUMMYFUNCTION("""COMPUTED_VALUE"""),"-")</f>
        <v>-</v>
      </c>
      <c r="D7858" s="234"/>
      <c r="E7858" s="237"/>
      <c r="F7858" s="238" t="str">
        <f>IFERROR(__xludf.DUMMYFUNCTION("""COMPUTED_VALUE"""),"-")</f>
        <v>-</v>
      </c>
      <c r="G7858" s="238" t="str">
        <f>IFERROR(__xludf.DUMMYFUNCTION("""COMPUTED_VALUE"""),"-")</f>
        <v>-</v>
      </c>
      <c r="H7858" s="238" t="str">
        <f>IFERROR(__xludf.DUMMYFUNCTION("""COMPUTED_VALUE"""),"-")</f>
        <v>-</v>
      </c>
      <c r="J7858" s="239" t="s">
        <v>6330</v>
      </c>
    </row>
    <row r="7859">
      <c r="A7859" s="234"/>
      <c r="B7859" s="238" t="str">
        <f>IFERROR(__xludf.DUMMYFUNCTION("""COMPUTED_VALUE"""),"-")</f>
        <v>-</v>
      </c>
      <c r="C7859" s="238" t="str">
        <f>IFERROR(__xludf.DUMMYFUNCTION("""COMPUTED_VALUE"""),"-")</f>
        <v>-</v>
      </c>
      <c r="D7859" s="234"/>
      <c r="E7859" s="237"/>
      <c r="F7859" s="238" t="str">
        <f>IFERROR(__xludf.DUMMYFUNCTION("""COMPUTED_VALUE"""),"-")</f>
        <v>-</v>
      </c>
      <c r="G7859" s="238" t="str">
        <f>IFERROR(__xludf.DUMMYFUNCTION("""COMPUTED_VALUE"""),"-")</f>
        <v>-</v>
      </c>
      <c r="H7859" s="238" t="str">
        <f>IFERROR(__xludf.DUMMYFUNCTION("""COMPUTED_VALUE"""),"-")</f>
        <v>-</v>
      </c>
      <c r="J7859" s="239" t="s">
        <v>6330</v>
      </c>
    </row>
    <row r="7860">
      <c r="A7860" s="234"/>
      <c r="B7860" s="238" t="str">
        <f>IFERROR(__xludf.DUMMYFUNCTION("""COMPUTED_VALUE"""),"-")</f>
        <v>-</v>
      </c>
      <c r="C7860" s="238" t="str">
        <f>IFERROR(__xludf.DUMMYFUNCTION("""COMPUTED_VALUE"""),"-")</f>
        <v>-</v>
      </c>
      <c r="D7860" s="234"/>
      <c r="E7860" s="237"/>
      <c r="F7860" s="238" t="str">
        <f>IFERROR(__xludf.DUMMYFUNCTION("""COMPUTED_VALUE"""),"-")</f>
        <v>-</v>
      </c>
      <c r="G7860" s="238" t="str">
        <f>IFERROR(__xludf.DUMMYFUNCTION("""COMPUTED_VALUE"""),"-")</f>
        <v>-</v>
      </c>
      <c r="H7860" s="238" t="str">
        <f>IFERROR(__xludf.DUMMYFUNCTION("""COMPUTED_VALUE"""),"-")</f>
        <v>-</v>
      </c>
      <c r="J7860" s="239" t="s">
        <v>6330</v>
      </c>
    </row>
    <row r="7861">
      <c r="A7861" s="234"/>
      <c r="B7861" s="238" t="str">
        <f>IFERROR(__xludf.DUMMYFUNCTION("""COMPUTED_VALUE"""),"-")</f>
        <v>-</v>
      </c>
      <c r="C7861" s="238" t="str">
        <f>IFERROR(__xludf.DUMMYFUNCTION("""COMPUTED_VALUE"""),"-")</f>
        <v>-</v>
      </c>
      <c r="D7861" s="234"/>
      <c r="E7861" s="237"/>
      <c r="F7861" s="238" t="str">
        <f>IFERROR(__xludf.DUMMYFUNCTION("""COMPUTED_VALUE"""),"-")</f>
        <v>-</v>
      </c>
      <c r="G7861" s="238" t="str">
        <f>IFERROR(__xludf.DUMMYFUNCTION("""COMPUTED_VALUE"""),"-")</f>
        <v>-</v>
      </c>
      <c r="H7861" s="238" t="str">
        <f>IFERROR(__xludf.DUMMYFUNCTION("""COMPUTED_VALUE"""),"-")</f>
        <v>-</v>
      </c>
      <c r="J7861" s="239" t="s">
        <v>6330</v>
      </c>
    </row>
    <row r="7862">
      <c r="A7862" s="234"/>
      <c r="B7862" s="238" t="str">
        <f>IFERROR(__xludf.DUMMYFUNCTION("""COMPUTED_VALUE"""),"-")</f>
        <v>-</v>
      </c>
      <c r="C7862" s="238" t="str">
        <f>IFERROR(__xludf.DUMMYFUNCTION("""COMPUTED_VALUE"""),"-")</f>
        <v>-</v>
      </c>
      <c r="D7862" s="234"/>
      <c r="E7862" s="237"/>
      <c r="F7862" s="238" t="str">
        <f>IFERROR(__xludf.DUMMYFUNCTION("""COMPUTED_VALUE"""),"-")</f>
        <v>-</v>
      </c>
      <c r="G7862" s="238" t="str">
        <f>IFERROR(__xludf.DUMMYFUNCTION("""COMPUTED_VALUE"""),"-")</f>
        <v>-</v>
      </c>
      <c r="H7862" s="238" t="str">
        <f>IFERROR(__xludf.DUMMYFUNCTION("""COMPUTED_VALUE"""),"-")</f>
        <v>-</v>
      </c>
      <c r="J7862" s="239" t="s">
        <v>6330</v>
      </c>
    </row>
    <row r="7863">
      <c r="A7863" s="234"/>
      <c r="B7863" s="238" t="str">
        <f>IFERROR(__xludf.DUMMYFUNCTION("""COMPUTED_VALUE"""),"-")</f>
        <v>-</v>
      </c>
      <c r="C7863" s="238" t="str">
        <f>IFERROR(__xludf.DUMMYFUNCTION("""COMPUTED_VALUE"""),"-")</f>
        <v>-</v>
      </c>
      <c r="D7863" s="234"/>
      <c r="E7863" s="237"/>
      <c r="F7863" s="238" t="str">
        <f>IFERROR(__xludf.DUMMYFUNCTION("""COMPUTED_VALUE"""),"-")</f>
        <v>-</v>
      </c>
      <c r="G7863" s="238" t="str">
        <f>IFERROR(__xludf.DUMMYFUNCTION("""COMPUTED_VALUE"""),"-")</f>
        <v>-</v>
      </c>
      <c r="H7863" s="238" t="str">
        <f>IFERROR(__xludf.DUMMYFUNCTION("""COMPUTED_VALUE"""),"-")</f>
        <v>-</v>
      </c>
      <c r="J7863" s="239" t="s">
        <v>6330</v>
      </c>
    </row>
    <row r="7864">
      <c r="A7864" s="234"/>
      <c r="B7864" s="238" t="str">
        <f>IFERROR(__xludf.DUMMYFUNCTION("""COMPUTED_VALUE"""),"-")</f>
        <v>-</v>
      </c>
      <c r="C7864" s="238" t="str">
        <f>IFERROR(__xludf.DUMMYFUNCTION("""COMPUTED_VALUE"""),"-")</f>
        <v>-</v>
      </c>
      <c r="D7864" s="234"/>
      <c r="E7864" s="237"/>
      <c r="F7864" s="238" t="str">
        <f>IFERROR(__xludf.DUMMYFUNCTION("""COMPUTED_VALUE"""),"-")</f>
        <v>-</v>
      </c>
      <c r="G7864" s="238" t="str">
        <f>IFERROR(__xludf.DUMMYFUNCTION("""COMPUTED_VALUE"""),"-")</f>
        <v>-</v>
      </c>
      <c r="H7864" s="238" t="str">
        <f>IFERROR(__xludf.DUMMYFUNCTION("""COMPUTED_VALUE"""),"-")</f>
        <v>-</v>
      </c>
      <c r="J7864" s="239" t="s">
        <v>6330</v>
      </c>
    </row>
    <row r="7865">
      <c r="A7865" s="234"/>
      <c r="B7865" s="238" t="str">
        <f>IFERROR(__xludf.DUMMYFUNCTION("""COMPUTED_VALUE"""),"-")</f>
        <v>-</v>
      </c>
      <c r="C7865" s="238" t="str">
        <f>IFERROR(__xludf.DUMMYFUNCTION("""COMPUTED_VALUE"""),"-")</f>
        <v>-</v>
      </c>
      <c r="D7865" s="234"/>
      <c r="E7865" s="237"/>
      <c r="F7865" s="238" t="str">
        <f>IFERROR(__xludf.DUMMYFUNCTION("""COMPUTED_VALUE"""),"-")</f>
        <v>-</v>
      </c>
      <c r="G7865" s="238" t="str">
        <f>IFERROR(__xludf.DUMMYFUNCTION("""COMPUTED_VALUE"""),"-")</f>
        <v>-</v>
      </c>
      <c r="H7865" s="238" t="str">
        <f>IFERROR(__xludf.DUMMYFUNCTION("""COMPUTED_VALUE"""),"-")</f>
        <v>-</v>
      </c>
      <c r="J7865" s="239" t="s">
        <v>6330</v>
      </c>
    </row>
    <row r="7866">
      <c r="A7866" s="234"/>
      <c r="B7866" s="238" t="str">
        <f>IFERROR(__xludf.DUMMYFUNCTION("""COMPUTED_VALUE"""),"-")</f>
        <v>-</v>
      </c>
      <c r="C7866" s="238" t="str">
        <f>IFERROR(__xludf.DUMMYFUNCTION("""COMPUTED_VALUE"""),"-")</f>
        <v>-</v>
      </c>
      <c r="D7866" s="234"/>
      <c r="E7866" s="237"/>
      <c r="F7866" s="238" t="str">
        <f>IFERROR(__xludf.DUMMYFUNCTION("""COMPUTED_VALUE"""),"-")</f>
        <v>-</v>
      </c>
      <c r="G7866" s="238" t="str">
        <f>IFERROR(__xludf.DUMMYFUNCTION("""COMPUTED_VALUE"""),"-")</f>
        <v>-</v>
      </c>
      <c r="H7866" s="238" t="str">
        <f>IFERROR(__xludf.DUMMYFUNCTION("""COMPUTED_VALUE"""),"-")</f>
        <v>-</v>
      </c>
      <c r="J7866" s="239" t="s">
        <v>6330</v>
      </c>
    </row>
    <row r="7867">
      <c r="A7867" s="234"/>
      <c r="B7867" s="238" t="str">
        <f>IFERROR(__xludf.DUMMYFUNCTION("""COMPUTED_VALUE"""),"-")</f>
        <v>-</v>
      </c>
      <c r="C7867" s="238" t="str">
        <f>IFERROR(__xludf.DUMMYFUNCTION("""COMPUTED_VALUE"""),"-")</f>
        <v>-</v>
      </c>
      <c r="D7867" s="234"/>
      <c r="E7867" s="237"/>
      <c r="F7867" s="238" t="str">
        <f>IFERROR(__xludf.DUMMYFUNCTION("""COMPUTED_VALUE"""),"-")</f>
        <v>-</v>
      </c>
      <c r="G7867" s="238" t="str">
        <f>IFERROR(__xludf.DUMMYFUNCTION("""COMPUTED_VALUE"""),"-")</f>
        <v>-</v>
      </c>
      <c r="H7867" s="238" t="str">
        <f>IFERROR(__xludf.DUMMYFUNCTION("""COMPUTED_VALUE"""),"-")</f>
        <v>-</v>
      </c>
      <c r="J7867" s="239" t="s">
        <v>6330</v>
      </c>
    </row>
    <row r="7868">
      <c r="A7868" s="234"/>
      <c r="B7868" s="238" t="str">
        <f>IFERROR(__xludf.DUMMYFUNCTION("""COMPUTED_VALUE"""),"-")</f>
        <v>-</v>
      </c>
      <c r="C7868" s="238" t="str">
        <f>IFERROR(__xludf.DUMMYFUNCTION("""COMPUTED_VALUE"""),"-")</f>
        <v>-</v>
      </c>
      <c r="D7868" s="234"/>
      <c r="E7868" s="237"/>
      <c r="F7868" s="238" t="str">
        <f>IFERROR(__xludf.DUMMYFUNCTION("""COMPUTED_VALUE"""),"-")</f>
        <v>-</v>
      </c>
      <c r="G7868" s="238" t="str">
        <f>IFERROR(__xludf.DUMMYFUNCTION("""COMPUTED_VALUE"""),"-")</f>
        <v>-</v>
      </c>
      <c r="H7868" s="238" t="str">
        <f>IFERROR(__xludf.DUMMYFUNCTION("""COMPUTED_VALUE"""),"-")</f>
        <v>-</v>
      </c>
      <c r="J7868" s="239" t="s">
        <v>6330</v>
      </c>
    </row>
    <row r="7869">
      <c r="A7869" s="234"/>
      <c r="B7869" s="238" t="str">
        <f>IFERROR(__xludf.DUMMYFUNCTION("""COMPUTED_VALUE"""),"-")</f>
        <v>-</v>
      </c>
      <c r="C7869" s="238" t="str">
        <f>IFERROR(__xludf.DUMMYFUNCTION("""COMPUTED_VALUE"""),"-")</f>
        <v>-</v>
      </c>
      <c r="D7869" s="234"/>
      <c r="E7869" s="237"/>
      <c r="F7869" s="238" t="str">
        <f>IFERROR(__xludf.DUMMYFUNCTION("""COMPUTED_VALUE"""),"-")</f>
        <v>-</v>
      </c>
      <c r="G7869" s="238" t="str">
        <f>IFERROR(__xludf.DUMMYFUNCTION("""COMPUTED_VALUE"""),"-")</f>
        <v>-</v>
      </c>
      <c r="H7869" s="238" t="str">
        <f>IFERROR(__xludf.DUMMYFUNCTION("""COMPUTED_VALUE"""),"-")</f>
        <v>-</v>
      </c>
      <c r="J7869" s="239" t="s">
        <v>6330</v>
      </c>
    </row>
    <row r="7870">
      <c r="A7870" s="234"/>
      <c r="B7870" s="238" t="str">
        <f>IFERROR(__xludf.DUMMYFUNCTION("""COMPUTED_VALUE"""),"-")</f>
        <v>-</v>
      </c>
      <c r="C7870" s="238" t="str">
        <f>IFERROR(__xludf.DUMMYFUNCTION("""COMPUTED_VALUE"""),"-")</f>
        <v>-</v>
      </c>
      <c r="D7870" s="234"/>
      <c r="E7870" s="237"/>
      <c r="F7870" s="238" t="str">
        <f>IFERROR(__xludf.DUMMYFUNCTION("""COMPUTED_VALUE"""),"-")</f>
        <v>-</v>
      </c>
      <c r="G7870" s="238" t="str">
        <f>IFERROR(__xludf.DUMMYFUNCTION("""COMPUTED_VALUE"""),"-")</f>
        <v>-</v>
      </c>
      <c r="H7870" s="238" t="str">
        <f>IFERROR(__xludf.DUMMYFUNCTION("""COMPUTED_VALUE"""),"-")</f>
        <v>-</v>
      </c>
      <c r="J7870" s="239" t="s">
        <v>6330</v>
      </c>
    </row>
    <row r="7871">
      <c r="A7871" s="234"/>
      <c r="B7871" s="238" t="str">
        <f>IFERROR(__xludf.DUMMYFUNCTION("""COMPUTED_VALUE"""),"-")</f>
        <v>-</v>
      </c>
      <c r="C7871" s="238" t="str">
        <f>IFERROR(__xludf.DUMMYFUNCTION("""COMPUTED_VALUE"""),"-")</f>
        <v>-</v>
      </c>
      <c r="D7871" s="234"/>
      <c r="E7871" s="237"/>
      <c r="F7871" s="238" t="str">
        <f>IFERROR(__xludf.DUMMYFUNCTION("""COMPUTED_VALUE"""),"-")</f>
        <v>-</v>
      </c>
      <c r="G7871" s="238" t="str">
        <f>IFERROR(__xludf.DUMMYFUNCTION("""COMPUTED_VALUE"""),"-")</f>
        <v>-</v>
      </c>
      <c r="H7871" s="238" t="str">
        <f>IFERROR(__xludf.DUMMYFUNCTION("""COMPUTED_VALUE"""),"-")</f>
        <v>-</v>
      </c>
      <c r="J7871" s="239" t="s">
        <v>6330</v>
      </c>
    </row>
    <row r="7872">
      <c r="A7872" s="234"/>
      <c r="B7872" s="238" t="str">
        <f>IFERROR(__xludf.DUMMYFUNCTION("""COMPUTED_VALUE"""),"-")</f>
        <v>-</v>
      </c>
      <c r="C7872" s="238" t="str">
        <f>IFERROR(__xludf.DUMMYFUNCTION("""COMPUTED_VALUE"""),"-")</f>
        <v>-</v>
      </c>
      <c r="D7872" s="234"/>
      <c r="E7872" s="237"/>
      <c r="F7872" s="238" t="str">
        <f>IFERROR(__xludf.DUMMYFUNCTION("""COMPUTED_VALUE"""),"-")</f>
        <v>-</v>
      </c>
      <c r="G7872" s="238" t="str">
        <f>IFERROR(__xludf.DUMMYFUNCTION("""COMPUTED_VALUE"""),"-")</f>
        <v>-</v>
      </c>
      <c r="H7872" s="238" t="str">
        <f>IFERROR(__xludf.DUMMYFUNCTION("""COMPUTED_VALUE"""),"-")</f>
        <v>-</v>
      </c>
      <c r="J7872" s="239" t="s">
        <v>6330</v>
      </c>
    </row>
    <row r="7873">
      <c r="A7873" s="234"/>
      <c r="B7873" s="238" t="str">
        <f>IFERROR(__xludf.DUMMYFUNCTION("""COMPUTED_VALUE"""),"-")</f>
        <v>-</v>
      </c>
      <c r="C7873" s="238" t="str">
        <f>IFERROR(__xludf.DUMMYFUNCTION("""COMPUTED_VALUE"""),"-")</f>
        <v>-</v>
      </c>
      <c r="D7873" s="234"/>
      <c r="E7873" s="237"/>
      <c r="F7873" s="238" t="str">
        <f>IFERROR(__xludf.DUMMYFUNCTION("""COMPUTED_VALUE"""),"-")</f>
        <v>-</v>
      </c>
      <c r="G7873" s="238" t="str">
        <f>IFERROR(__xludf.DUMMYFUNCTION("""COMPUTED_VALUE"""),"-")</f>
        <v>-</v>
      </c>
      <c r="H7873" s="238" t="str">
        <f>IFERROR(__xludf.DUMMYFUNCTION("""COMPUTED_VALUE"""),"-")</f>
        <v>-</v>
      </c>
      <c r="J7873" s="239" t="s">
        <v>6330</v>
      </c>
    </row>
    <row r="7874">
      <c r="A7874" s="234"/>
      <c r="B7874" s="238" t="str">
        <f>IFERROR(__xludf.DUMMYFUNCTION("""COMPUTED_VALUE"""),"-")</f>
        <v>-</v>
      </c>
      <c r="C7874" s="238" t="str">
        <f>IFERROR(__xludf.DUMMYFUNCTION("""COMPUTED_VALUE"""),"-")</f>
        <v>-</v>
      </c>
      <c r="D7874" s="234"/>
      <c r="E7874" s="237"/>
      <c r="F7874" s="238" t="str">
        <f>IFERROR(__xludf.DUMMYFUNCTION("""COMPUTED_VALUE"""),"-")</f>
        <v>-</v>
      </c>
      <c r="G7874" s="238" t="str">
        <f>IFERROR(__xludf.DUMMYFUNCTION("""COMPUTED_VALUE"""),"-")</f>
        <v>-</v>
      </c>
      <c r="H7874" s="238" t="str">
        <f>IFERROR(__xludf.DUMMYFUNCTION("""COMPUTED_VALUE"""),"-")</f>
        <v>-</v>
      </c>
      <c r="J7874" s="239" t="s">
        <v>6330</v>
      </c>
    </row>
    <row r="7875">
      <c r="A7875" s="234"/>
      <c r="B7875" s="238" t="str">
        <f>IFERROR(__xludf.DUMMYFUNCTION("""COMPUTED_VALUE"""),"-")</f>
        <v>-</v>
      </c>
      <c r="C7875" s="238" t="str">
        <f>IFERROR(__xludf.DUMMYFUNCTION("""COMPUTED_VALUE"""),"-")</f>
        <v>-</v>
      </c>
      <c r="D7875" s="234"/>
      <c r="E7875" s="237"/>
      <c r="F7875" s="238" t="str">
        <f>IFERROR(__xludf.DUMMYFUNCTION("""COMPUTED_VALUE"""),"-")</f>
        <v>-</v>
      </c>
      <c r="G7875" s="238" t="str">
        <f>IFERROR(__xludf.DUMMYFUNCTION("""COMPUTED_VALUE"""),"-")</f>
        <v>-</v>
      </c>
      <c r="H7875" s="238" t="str">
        <f>IFERROR(__xludf.DUMMYFUNCTION("""COMPUTED_VALUE"""),"-")</f>
        <v>-</v>
      </c>
      <c r="J7875" s="239" t="s">
        <v>6330</v>
      </c>
    </row>
    <row r="7876">
      <c r="A7876" s="234"/>
      <c r="B7876" s="238" t="str">
        <f>IFERROR(__xludf.DUMMYFUNCTION("""COMPUTED_VALUE"""),"-")</f>
        <v>-</v>
      </c>
      <c r="C7876" s="238" t="str">
        <f>IFERROR(__xludf.DUMMYFUNCTION("""COMPUTED_VALUE"""),"-")</f>
        <v>-</v>
      </c>
      <c r="D7876" s="234"/>
      <c r="E7876" s="237"/>
      <c r="F7876" s="238" t="str">
        <f>IFERROR(__xludf.DUMMYFUNCTION("""COMPUTED_VALUE"""),"-")</f>
        <v>-</v>
      </c>
      <c r="G7876" s="238" t="str">
        <f>IFERROR(__xludf.DUMMYFUNCTION("""COMPUTED_VALUE"""),"-")</f>
        <v>-</v>
      </c>
      <c r="H7876" s="238" t="str">
        <f>IFERROR(__xludf.DUMMYFUNCTION("""COMPUTED_VALUE"""),"-")</f>
        <v>-</v>
      </c>
      <c r="J7876" s="239" t="s">
        <v>6330</v>
      </c>
    </row>
    <row r="7877">
      <c r="A7877" s="234"/>
      <c r="B7877" s="238" t="str">
        <f>IFERROR(__xludf.DUMMYFUNCTION("""COMPUTED_VALUE"""),"-")</f>
        <v>-</v>
      </c>
      <c r="C7877" s="238" t="str">
        <f>IFERROR(__xludf.DUMMYFUNCTION("""COMPUTED_VALUE"""),"-")</f>
        <v>-</v>
      </c>
      <c r="D7877" s="234"/>
      <c r="E7877" s="237"/>
      <c r="F7877" s="238" t="str">
        <f>IFERROR(__xludf.DUMMYFUNCTION("""COMPUTED_VALUE"""),"-")</f>
        <v>-</v>
      </c>
      <c r="G7877" s="238" t="str">
        <f>IFERROR(__xludf.DUMMYFUNCTION("""COMPUTED_VALUE"""),"-")</f>
        <v>-</v>
      </c>
      <c r="H7877" s="238" t="str">
        <f>IFERROR(__xludf.DUMMYFUNCTION("""COMPUTED_VALUE"""),"-")</f>
        <v>-</v>
      </c>
      <c r="J7877" s="239" t="s">
        <v>6330</v>
      </c>
    </row>
    <row r="7878">
      <c r="A7878" s="234"/>
      <c r="B7878" s="238" t="str">
        <f>IFERROR(__xludf.DUMMYFUNCTION("""COMPUTED_VALUE"""),"-")</f>
        <v>-</v>
      </c>
      <c r="C7878" s="238" t="str">
        <f>IFERROR(__xludf.DUMMYFUNCTION("""COMPUTED_VALUE"""),"-")</f>
        <v>-</v>
      </c>
      <c r="D7878" s="234"/>
      <c r="E7878" s="237"/>
      <c r="F7878" s="238" t="str">
        <f>IFERROR(__xludf.DUMMYFUNCTION("""COMPUTED_VALUE"""),"-")</f>
        <v>-</v>
      </c>
      <c r="G7878" s="238" t="str">
        <f>IFERROR(__xludf.DUMMYFUNCTION("""COMPUTED_VALUE"""),"-")</f>
        <v>-</v>
      </c>
      <c r="H7878" s="238" t="str">
        <f>IFERROR(__xludf.DUMMYFUNCTION("""COMPUTED_VALUE"""),"-")</f>
        <v>-</v>
      </c>
      <c r="J7878" s="239" t="s">
        <v>6330</v>
      </c>
    </row>
    <row r="7879">
      <c r="A7879" s="234"/>
      <c r="B7879" s="238" t="str">
        <f>IFERROR(__xludf.DUMMYFUNCTION("""COMPUTED_VALUE"""),"-")</f>
        <v>-</v>
      </c>
      <c r="C7879" s="238" t="str">
        <f>IFERROR(__xludf.DUMMYFUNCTION("""COMPUTED_VALUE"""),"-")</f>
        <v>-</v>
      </c>
      <c r="D7879" s="234"/>
      <c r="E7879" s="237"/>
      <c r="F7879" s="238" t="str">
        <f>IFERROR(__xludf.DUMMYFUNCTION("""COMPUTED_VALUE"""),"-")</f>
        <v>-</v>
      </c>
      <c r="G7879" s="238" t="str">
        <f>IFERROR(__xludf.DUMMYFUNCTION("""COMPUTED_VALUE"""),"-")</f>
        <v>-</v>
      </c>
      <c r="H7879" s="238" t="str">
        <f>IFERROR(__xludf.DUMMYFUNCTION("""COMPUTED_VALUE"""),"-")</f>
        <v>-</v>
      </c>
      <c r="J7879" s="239" t="s">
        <v>6330</v>
      </c>
    </row>
    <row r="7880">
      <c r="A7880" s="234"/>
      <c r="B7880" s="238" t="str">
        <f>IFERROR(__xludf.DUMMYFUNCTION("""COMPUTED_VALUE"""),"-")</f>
        <v>-</v>
      </c>
      <c r="C7880" s="238" t="str">
        <f>IFERROR(__xludf.DUMMYFUNCTION("""COMPUTED_VALUE"""),"-")</f>
        <v>-</v>
      </c>
      <c r="D7880" s="234"/>
      <c r="E7880" s="237"/>
      <c r="F7880" s="238" t="str">
        <f>IFERROR(__xludf.DUMMYFUNCTION("""COMPUTED_VALUE"""),"-")</f>
        <v>-</v>
      </c>
      <c r="G7880" s="238" t="str">
        <f>IFERROR(__xludf.DUMMYFUNCTION("""COMPUTED_VALUE"""),"-")</f>
        <v>-</v>
      </c>
      <c r="H7880" s="238" t="str">
        <f>IFERROR(__xludf.DUMMYFUNCTION("""COMPUTED_VALUE"""),"-")</f>
        <v>-</v>
      </c>
      <c r="J7880" s="239" t="s">
        <v>6330</v>
      </c>
    </row>
    <row r="7881">
      <c r="A7881" s="234"/>
      <c r="B7881" s="238" t="str">
        <f>IFERROR(__xludf.DUMMYFUNCTION("""COMPUTED_VALUE"""),"-")</f>
        <v>-</v>
      </c>
      <c r="C7881" s="238" t="str">
        <f>IFERROR(__xludf.DUMMYFUNCTION("""COMPUTED_VALUE"""),"-")</f>
        <v>-</v>
      </c>
      <c r="D7881" s="234"/>
      <c r="E7881" s="237"/>
      <c r="F7881" s="238" t="str">
        <f>IFERROR(__xludf.DUMMYFUNCTION("""COMPUTED_VALUE"""),"-")</f>
        <v>-</v>
      </c>
      <c r="G7881" s="238" t="str">
        <f>IFERROR(__xludf.DUMMYFUNCTION("""COMPUTED_VALUE"""),"-")</f>
        <v>-</v>
      </c>
      <c r="H7881" s="238" t="str">
        <f>IFERROR(__xludf.DUMMYFUNCTION("""COMPUTED_VALUE"""),"-")</f>
        <v>-</v>
      </c>
      <c r="J7881" s="239" t="s">
        <v>6330</v>
      </c>
    </row>
    <row r="7882">
      <c r="A7882" s="234"/>
      <c r="B7882" s="238" t="str">
        <f>IFERROR(__xludf.DUMMYFUNCTION("""COMPUTED_VALUE"""),"-")</f>
        <v>-</v>
      </c>
      <c r="C7882" s="238" t="str">
        <f>IFERROR(__xludf.DUMMYFUNCTION("""COMPUTED_VALUE"""),"-")</f>
        <v>-</v>
      </c>
      <c r="D7882" s="234"/>
      <c r="E7882" s="237"/>
      <c r="F7882" s="238" t="str">
        <f>IFERROR(__xludf.DUMMYFUNCTION("""COMPUTED_VALUE"""),"-")</f>
        <v>-</v>
      </c>
      <c r="G7882" s="238" t="str">
        <f>IFERROR(__xludf.DUMMYFUNCTION("""COMPUTED_VALUE"""),"-")</f>
        <v>-</v>
      </c>
      <c r="H7882" s="238" t="str">
        <f>IFERROR(__xludf.DUMMYFUNCTION("""COMPUTED_VALUE"""),"-")</f>
        <v>-</v>
      </c>
      <c r="J7882" s="239" t="s">
        <v>6330</v>
      </c>
    </row>
    <row r="7883">
      <c r="A7883" s="234"/>
      <c r="B7883" s="238" t="str">
        <f>IFERROR(__xludf.DUMMYFUNCTION("""COMPUTED_VALUE"""),"-")</f>
        <v>-</v>
      </c>
      <c r="C7883" s="238" t="str">
        <f>IFERROR(__xludf.DUMMYFUNCTION("""COMPUTED_VALUE"""),"-")</f>
        <v>-</v>
      </c>
      <c r="D7883" s="234"/>
      <c r="E7883" s="237"/>
      <c r="F7883" s="238" t="str">
        <f>IFERROR(__xludf.DUMMYFUNCTION("""COMPUTED_VALUE"""),"-")</f>
        <v>-</v>
      </c>
      <c r="G7883" s="238" t="str">
        <f>IFERROR(__xludf.DUMMYFUNCTION("""COMPUTED_VALUE"""),"-")</f>
        <v>-</v>
      </c>
      <c r="H7883" s="238" t="str">
        <f>IFERROR(__xludf.DUMMYFUNCTION("""COMPUTED_VALUE"""),"-")</f>
        <v>-</v>
      </c>
      <c r="J7883" s="239" t="s">
        <v>6330</v>
      </c>
    </row>
    <row r="7884">
      <c r="A7884" s="234"/>
      <c r="B7884" s="238" t="str">
        <f>IFERROR(__xludf.DUMMYFUNCTION("""COMPUTED_VALUE"""),"-")</f>
        <v>-</v>
      </c>
      <c r="C7884" s="238" t="str">
        <f>IFERROR(__xludf.DUMMYFUNCTION("""COMPUTED_VALUE"""),"-")</f>
        <v>-</v>
      </c>
      <c r="D7884" s="234"/>
      <c r="E7884" s="237"/>
      <c r="F7884" s="238" t="str">
        <f>IFERROR(__xludf.DUMMYFUNCTION("""COMPUTED_VALUE"""),"-")</f>
        <v>-</v>
      </c>
      <c r="G7884" s="238" t="str">
        <f>IFERROR(__xludf.DUMMYFUNCTION("""COMPUTED_VALUE"""),"-")</f>
        <v>-</v>
      </c>
      <c r="H7884" s="238" t="str">
        <f>IFERROR(__xludf.DUMMYFUNCTION("""COMPUTED_VALUE"""),"-")</f>
        <v>-</v>
      </c>
      <c r="J7884" s="239" t="s">
        <v>6330</v>
      </c>
    </row>
    <row r="7885">
      <c r="A7885" s="234"/>
      <c r="B7885" s="238" t="str">
        <f>IFERROR(__xludf.DUMMYFUNCTION("""COMPUTED_VALUE"""),"-")</f>
        <v>-</v>
      </c>
      <c r="C7885" s="238" t="str">
        <f>IFERROR(__xludf.DUMMYFUNCTION("""COMPUTED_VALUE"""),"-")</f>
        <v>-</v>
      </c>
      <c r="D7885" s="234"/>
      <c r="E7885" s="237"/>
      <c r="F7885" s="238" t="str">
        <f>IFERROR(__xludf.DUMMYFUNCTION("""COMPUTED_VALUE"""),"-")</f>
        <v>-</v>
      </c>
      <c r="G7885" s="238" t="str">
        <f>IFERROR(__xludf.DUMMYFUNCTION("""COMPUTED_VALUE"""),"-")</f>
        <v>-</v>
      </c>
      <c r="H7885" s="238" t="str">
        <f>IFERROR(__xludf.DUMMYFUNCTION("""COMPUTED_VALUE"""),"-")</f>
        <v>-</v>
      </c>
      <c r="J7885" s="239" t="s">
        <v>6330</v>
      </c>
    </row>
    <row r="7886">
      <c r="A7886" s="234"/>
      <c r="B7886" s="238" t="str">
        <f>IFERROR(__xludf.DUMMYFUNCTION("""COMPUTED_VALUE"""),"-")</f>
        <v>-</v>
      </c>
      <c r="C7886" s="238" t="str">
        <f>IFERROR(__xludf.DUMMYFUNCTION("""COMPUTED_VALUE"""),"-")</f>
        <v>-</v>
      </c>
      <c r="D7886" s="234"/>
      <c r="E7886" s="237"/>
      <c r="F7886" s="238" t="str">
        <f>IFERROR(__xludf.DUMMYFUNCTION("""COMPUTED_VALUE"""),"-")</f>
        <v>-</v>
      </c>
      <c r="G7886" s="238" t="str">
        <f>IFERROR(__xludf.DUMMYFUNCTION("""COMPUTED_VALUE"""),"-")</f>
        <v>-</v>
      </c>
      <c r="H7886" s="238" t="str">
        <f>IFERROR(__xludf.DUMMYFUNCTION("""COMPUTED_VALUE"""),"-")</f>
        <v>-</v>
      </c>
      <c r="J7886" s="239" t="s">
        <v>6330</v>
      </c>
    </row>
    <row r="7887">
      <c r="A7887" s="234"/>
      <c r="B7887" s="238" t="str">
        <f>IFERROR(__xludf.DUMMYFUNCTION("""COMPUTED_VALUE"""),"-")</f>
        <v>-</v>
      </c>
      <c r="C7887" s="238" t="str">
        <f>IFERROR(__xludf.DUMMYFUNCTION("""COMPUTED_VALUE"""),"-")</f>
        <v>-</v>
      </c>
      <c r="D7887" s="234"/>
      <c r="E7887" s="237"/>
      <c r="F7887" s="238" t="str">
        <f>IFERROR(__xludf.DUMMYFUNCTION("""COMPUTED_VALUE"""),"-")</f>
        <v>-</v>
      </c>
      <c r="G7887" s="238" t="str">
        <f>IFERROR(__xludf.DUMMYFUNCTION("""COMPUTED_VALUE"""),"-")</f>
        <v>-</v>
      </c>
      <c r="H7887" s="238" t="str">
        <f>IFERROR(__xludf.DUMMYFUNCTION("""COMPUTED_VALUE"""),"-")</f>
        <v>-</v>
      </c>
      <c r="J7887" s="239" t="s">
        <v>6330</v>
      </c>
    </row>
    <row r="7888">
      <c r="A7888" s="234"/>
      <c r="B7888" s="238" t="str">
        <f>IFERROR(__xludf.DUMMYFUNCTION("""COMPUTED_VALUE"""),"-")</f>
        <v>-</v>
      </c>
      <c r="C7888" s="238" t="str">
        <f>IFERROR(__xludf.DUMMYFUNCTION("""COMPUTED_VALUE"""),"-")</f>
        <v>-</v>
      </c>
      <c r="D7888" s="234"/>
      <c r="E7888" s="237"/>
      <c r="F7888" s="238" t="str">
        <f>IFERROR(__xludf.DUMMYFUNCTION("""COMPUTED_VALUE"""),"-")</f>
        <v>-</v>
      </c>
      <c r="G7888" s="238" t="str">
        <f>IFERROR(__xludf.DUMMYFUNCTION("""COMPUTED_VALUE"""),"-")</f>
        <v>-</v>
      </c>
      <c r="H7888" s="238" t="str">
        <f>IFERROR(__xludf.DUMMYFUNCTION("""COMPUTED_VALUE"""),"-")</f>
        <v>-</v>
      </c>
      <c r="J7888" s="239" t="s">
        <v>6330</v>
      </c>
    </row>
    <row r="7889">
      <c r="A7889" s="234"/>
      <c r="B7889" s="238" t="str">
        <f>IFERROR(__xludf.DUMMYFUNCTION("""COMPUTED_VALUE"""),"-")</f>
        <v>-</v>
      </c>
      <c r="C7889" s="238" t="str">
        <f>IFERROR(__xludf.DUMMYFUNCTION("""COMPUTED_VALUE"""),"-")</f>
        <v>-</v>
      </c>
      <c r="D7889" s="234"/>
      <c r="E7889" s="237"/>
      <c r="F7889" s="238" t="str">
        <f>IFERROR(__xludf.DUMMYFUNCTION("""COMPUTED_VALUE"""),"-")</f>
        <v>-</v>
      </c>
      <c r="G7889" s="238" t="str">
        <f>IFERROR(__xludf.DUMMYFUNCTION("""COMPUTED_VALUE"""),"-")</f>
        <v>-</v>
      </c>
      <c r="H7889" s="238" t="str">
        <f>IFERROR(__xludf.DUMMYFUNCTION("""COMPUTED_VALUE"""),"-")</f>
        <v>-</v>
      </c>
      <c r="J7889" s="239" t="s">
        <v>6330</v>
      </c>
    </row>
    <row r="7890">
      <c r="A7890" s="234"/>
      <c r="B7890" s="238" t="str">
        <f>IFERROR(__xludf.DUMMYFUNCTION("""COMPUTED_VALUE"""),"-")</f>
        <v>-</v>
      </c>
      <c r="C7890" s="238" t="str">
        <f>IFERROR(__xludf.DUMMYFUNCTION("""COMPUTED_VALUE"""),"-")</f>
        <v>-</v>
      </c>
      <c r="D7890" s="234"/>
      <c r="E7890" s="237"/>
      <c r="F7890" s="238" t="str">
        <f>IFERROR(__xludf.DUMMYFUNCTION("""COMPUTED_VALUE"""),"-")</f>
        <v>-</v>
      </c>
      <c r="G7890" s="238" t="str">
        <f>IFERROR(__xludf.DUMMYFUNCTION("""COMPUTED_VALUE"""),"-")</f>
        <v>-</v>
      </c>
      <c r="H7890" s="238" t="str">
        <f>IFERROR(__xludf.DUMMYFUNCTION("""COMPUTED_VALUE"""),"-")</f>
        <v>-</v>
      </c>
      <c r="J7890" s="239" t="s">
        <v>6330</v>
      </c>
    </row>
    <row r="7891">
      <c r="A7891" s="234"/>
      <c r="B7891" s="238" t="str">
        <f>IFERROR(__xludf.DUMMYFUNCTION("""COMPUTED_VALUE"""),"-")</f>
        <v>-</v>
      </c>
      <c r="C7891" s="238" t="str">
        <f>IFERROR(__xludf.DUMMYFUNCTION("""COMPUTED_VALUE"""),"-")</f>
        <v>-</v>
      </c>
      <c r="D7891" s="234"/>
      <c r="E7891" s="237"/>
      <c r="F7891" s="238" t="str">
        <f>IFERROR(__xludf.DUMMYFUNCTION("""COMPUTED_VALUE"""),"-")</f>
        <v>-</v>
      </c>
      <c r="G7891" s="238" t="str">
        <f>IFERROR(__xludf.DUMMYFUNCTION("""COMPUTED_VALUE"""),"-")</f>
        <v>-</v>
      </c>
      <c r="H7891" s="238" t="str">
        <f>IFERROR(__xludf.DUMMYFUNCTION("""COMPUTED_VALUE"""),"-")</f>
        <v>-</v>
      </c>
      <c r="J7891" s="239" t="s">
        <v>6330</v>
      </c>
    </row>
    <row r="7892">
      <c r="A7892" s="234"/>
      <c r="B7892" s="238" t="str">
        <f>IFERROR(__xludf.DUMMYFUNCTION("""COMPUTED_VALUE"""),"-")</f>
        <v>-</v>
      </c>
      <c r="C7892" s="238" t="str">
        <f>IFERROR(__xludf.DUMMYFUNCTION("""COMPUTED_VALUE"""),"-")</f>
        <v>-</v>
      </c>
      <c r="D7892" s="234"/>
      <c r="E7892" s="237"/>
      <c r="F7892" s="238" t="str">
        <f>IFERROR(__xludf.DUMMYFUNCTION("""COMPUTED_VALUE"""),"-")</f>
        <v>-</v>
      </c>
      <c r="G7892" s="238" t="str">
        <f>IFERROR(__xludf.DUMMYFUNCTION("""COMPUTED_VALUE"""),"-")</f>
        <v>-</v>
      </c>
      <c r="H7892" s="238" t="str">
        <f>IFERROR(__xludf.DUMMYFUNCTION("""COMPUTED_VALUE"""),"-")</f>
        <v>-</v>
      </c>
      <c r="J7892" s="239" t="s">
        <v>6330</v>
      </c>
    </row>
    <row r="7893">
      <c r="A7893" s="234"/>
      <c r="B7893" s="238" t="str">
        <f>IFERROR(__xludf.DUMMYFUNCTION("""COMPUTED_VALUE"""),"-")</f>
        <v>-</v>
      </c>
      <c r="C7893" s="238" t="str">
        <f>IFERROR(__xludf.DUMMYFUNCTION("""COMPUTED_VALUE"""),"-")</f>
        <v>-</v>
      </c>
      <c r="D7893" s="234"/>
      <c r="E7893" s="237"/>
      <c r="F7893" s="238" t="str">
        <f>IFERROR(__xludf.DUMMYFUNCTION("""COMPUTED_VALUE"""),"-")</f>
        <v>-</v>
      </c>
      <c r="G7893" s="238" t="str">
        <f>IFERROR(__xludf.DUMMYFUNCTION("""COMPUTED_VALUE"""),"-")</f>
        <v>-</v>
      </c>
      <c r="H7893" s="238" t="str">
        <f>IFERROR(__xludf.DUMMYFUNCTION("""COMPUTED_VALUE"""),"-")</f>
        <v>-</v>
      </c>
      <c r="J7893" s="239" t="s">
        <v>6330</v>
      </c>
    </row>
    <row r="7894">
      <c r="A7894" s="234"/>
      <c r="B7894" s="238" t="str">
        <f>IFERROR(__xludf.DUMMYFUNCTION("""COMPUTED_VALUE"""),"-")</f>
        <v>-</v>
      </c>
      <c r="C7894" s="238" t="str">
        <f>IFERROR(__xludf.DUMMYFUNCTION("""COMPUTED_VALUE"""),"-")</f>
        <v>-</v>
      </c>
      <c r="D7894" s="234"/>
      <c r="E7894" s="237"/>
      <c r="F7894" s="238" t="str">
        <f>IFERROR(__xludf.DUMMYFUNCTION("""COMPUTED_VALUE"""),"-")</f>
        <v>-</v>
      </c>
      <c r="G7894" s="238" t="str">
        <f>IFERROR(__xludf.DUMMYFUNCTION("""COMPUTED_VALUE"""),"-")</f>
        <v>-</v>
      </c>
      <c r="H7894" s="238" t="str">
        <f>IFERROR(__xludf.DUMMYFUNCTION("""COMPUTED_VALUE"""),"-")</f>
        <v>-</v>
      </c>
      <c r="J7894" s="239" t="s">
        <v>6330</v>
      </c>
    </row>
    <row r="7895">
      <c r="A7895" s="234"/>
      <c r="B7895" s="238" t="str">
        <f>IFERROR(__xludf.DUMMYFUNCTION("""COMPUTED_VALUE"""),"-")</f>
        <v>-</v>
      </c>
      <c r="C7895" s="238" t="str">
        <f>IFERROR(__xludf.DUMMYFUNCTION("""COMPUTED_VALUE"""),"-")</f>
        <v>-</v>
      </c>
      <c r="D7895" s="234"/>
      <c r="E7895" s="237"/>
      <c r="F7895" s="238" t="str">
        <f>IFERROR(__xludf.DUMMYFUNCTION("""COMPUTED_VALUE"""),"-")</f>
        <v>-</v>
      </c>
      <c r="G7895" s="238" t="str">
        <f>IFERROR(__xludf.DUMMYFUNCTION("""COMPUTED_VALUE"""),"-")</f>
        <v>-</v>
      </c>
      <c r="H7895" s="238" t="str">
        <f>IFERROR(__xludf.DUMMYFUNCTION("""COMPUTED_VALUE"""),"-")</f>
        <v>-</v>
      </c>
      <c r="J7895" s="239" t="s">
        <v>6330</v>
      </c>
    </row>
    <row r="7896">
      <c r="A7896" s="234"/>
      <c r="B7896" s="238" t="str">
        <f>IFERROR(__xludf.DUMMYFUNCTION("""COMPUTED_VALUE"""),"-")</f>
        <v>-</v>
      </c>
      <c r="C7896" s="238" t="str">
        <f>IFERROR(__xludf.DUMMYFUNCTION("""COMPUTED_VALUE"""),"-")</f>
        <v>-</v>
      </c>
      <c r="D7896" s="234"/>
      <c r="E7896" s="237"/>
      <c r="F7896" s="238" t="str">
        <f>IFERROR(__xludf.DUMMYFUNCTION("""COMPUTED_VALUE"""),"-")</f>
        <v>-</v>
      </c>
      <c r="G7896" s="238" t="str">
        <f>IFERROR(__xludf.DUMMYFUNCTION("""COMPUTED_VALUE"""),"-")</f>
        <v>-</v>
      </c>
      <c r="H7896" s="238" t="str">
        <f>IFERROR(__xludf.DUMMYFUNCTION("""COMPUTED_VALUE"""),"-")</f>
        <v>-</v>
      </c>
      <c r="J7896" s="239" t="s">
        <v>6330</v>
      </c>
    </row>
    <row r="7897">
      <c r="A7897" s="234"/>
      <c r="B7897" s="238" t="str">
        <f>IFERROR(__xludf.DUMMYFUNCTION("""COMPUTED_VALUE"""),"-")</f>
        <v>-</v>
      </c>
      <c r="C7897" s="238" t="str">
        <f>IFERROR(__xludf.DUMMYFUNCTION("""COMPUTED_VALUE"""),"-")</f>
        <v>-</v>
      </c>
      <c r="D7897" s="234"/>
      <c r="E7897" s="237"/>
      <c r="F7897" s="238" t="str">
        <f>IFERROR(__xludf.DUMMYFUNCTION("""COMPUTED_VALUE"""),"-")</f>
        <v>-</v>
      </c>
      <c r="G7897" s="238" t="str">
        <f>IFERROR(__xludf.DUMMYFUNCTION("""COMPUTED_VALUE"""),"-")</f>
        <v>-</v>
      </c>
      <c r="H7897" s="238" t="str">
        <f>IFERROR(__xludf.DUMMYFUNCTION("""COMPUTED_VALUE"""),"-")</f>
        <v>-</v>
      </c>
      <c r="J7897" s="239" t="s">
        <v>6330</v>
      </c>
    </row>
    <row r="7898">
      <c r="A7898" s="234"/>
      <c r="B7898" s="238" t="str">
        <f>IFERROR(__xludf.DUMMYFUNCTION("""COMPUTED_VALUE"""),"-")</f>
        <v>-</v>
      </c>
      <c r="C7898" s="238" t="str">
        <f>IFERROR(__xludf.DUMMYFUNCTION("""COMPUTED_VALUE"""),"-")</f>
        <v>-</v>
      </c>
      <c r="D7898" s="234"/>
      <c r="E7898" s="237"/>
      <c r="F7898" s="238" t="str">
        <f>IFERROR(__xludf.DUMMYFUNCTION("""COMPUTED_VALUE"""),"-")</f>
        <v>-</v>
      </c>
      <c r="G7898" s="238" t="str">
        <f>IFERROR(__xludf.DUMMYFUNCTION("""COMPUTED_VALUE"""),"-")</f>
        <v>-</v>
      </c>
      <c r="H7898" s="238" t="str">
        <f>IFERROR(__xludf.DUMMYFUNCTION("""COMPUTED_VALUE"""),"-")</f>
        <v>-</v>
      </c>
      <c r="J7898" s="239" t="s">
        <v>6330</v>
      </c>
    </row>
    <row r="7899">
      <c r="A7899" s="234"/>
      <c r="B7899" s="238" t="str">
        <f>IFERROR(__xludf.DUMMYFUNCTION("""COMPUTED_VALUE"""),"-")</f>
        <v>-</v>
      </c>
      <c r="C7899" s="238" t="str">
        <f>IFERROR(__xludf.DUMMYFUNCTION("""COMPUTED_VALUE"""),"-")</f>
        <v>-</v>
      </c>
      <c r="D7899" s="234"/>
      <c r="E7899" s="237"/>
      <c r="F7899" s="238" t="str">
        <f>IFERROR(__xludf.DUMMYFUNCTION("""COMPUTED_VALUE"""),"-")</f>
        <v>-</v>
      </c>
      <c r="G7899" s="238" t="str">
        <f>IFERROR(__xludf.DUMMYFUNCTION("""COMPUTED_VALUE"""),"-")</f>
        <v>-</v>
      </c>
      <c r="H7899" s="238" t="str">
        <f>IFERROR(__xludf.DUMMYFUNCTION("""COMPUTED_VALUE"""),"-")</f>
        <v>-</v>
      </c>
      <c r="J7899" s="239" t="s">
        <v>6330</v>
      </c>
    </row>
    <row r="7900">
      <c r="A7900" s="234"/>
      <c r="B7900" s="238" t="str">
        <f>IFERROR(__xludf.DUMMYFUNCTION("""COMPUTED_VALUE"""),"-")</f>
        <v>-</v>
      </c>
      <c r="C7900" s="238" t="str">
        <f>IFERROR(__xludf.DUMMYFUNCTION("""COMPUTED_VALUE"""),"-")</f>
        <v>-</v>
      </c>
      <c r="D7900" s="234"/>
      <c r="E7900" s="237"/>
      <c r="F7900" s="238" t="str">
        <f>IFERROR(__xludf.DUMMYFUNCTION("""COMPUTED_VALUE"""),"-")</f>
        <v>-</v>
      </c>
      <c r="G7900" s="238" t="str">
        <f>IFERROR(__xludf.DUMMYFUNCTION("""COMPUTED_VALUE"""),"-")</f>
        <v>-</v>
      </c>
      <c r="H7900" s="238" t="str">
        <f>IFERROR(__xludf.DUMMYFUNCTION("""COMPUTED_VALUE"""),"-")</f>
        <v>-</v>
      </c>
      <c r="J7900" s="239" t="s">
        <v>6330</v>
      </c>
    </row>
    <row r="7901">
      <c r="A7901" s="234"/>
      <c r="B7901" s="238" t="str">
        <f>IFERROR(__xludf.DUMMYFUNCTION("""COMPUTED_VALUE"""),"-")</f>
        <v>-</v>
      </c>
      <c r="C7901" s="238" t="str">
        <f>IFERROR(__xludf.DUMMYFUNCTION("""COMPUTED_VALUE"""),"-")</f>
        <v>-</v>
      </c>
      <c r="D7901" s="234"/>
      <c r="E7901" s="237"/>
      <c r="F7901" s="238" t="str">
        <f>IFERROR(__xludf.DUMMYFUNCTION("""COMPUTED_VALUE"""),"-")</f>
        <v>-</v>
      </c>
      <c r="G7901" s="238" t="str">
        <f>IFERROR(__xludf.DUMMYFUNCTION("""COMPUTED_VALUE"""),"-")</f>
        <v>-</v>
      </c>
      <c r="H7901" s="238" t="str">
        <f>IFERROR(__xludf.DUMMYFUNCTION("""COMPUTED_VALUE"""),"-")</f>
        <v>-</v>
      </c>
      <c r="J7901" s="239" t="s">
        <v>6330</v>
      </c>
    </row>
    <row r="7902">
      <c r="A7902" s="234"/>
      <c r="B7902" s="238" t="str">
        <f>IFERROR(__xludf.DUMMYFUNCTION("""COMPUTED_VALUE"""),"-")</f>
        <v>-</v>
      </c>
      <c r="C7902" s="238" t="str">
        <f>IFERROR(__xludf.DUMMYFUNCTION("""COMPUTED_VALUE"""),"-")</f>
        <v>-</v>
      </c>
      <c r="D7902" s="234"/>
      <c r="E7902" s="237"/>
      <c r="F7902" s="238" t="str">
        <f>IFERROR(__xludf.DUMMYFUNCTION("""COMPUTED_VALUE"""),"-")</f>
        <v>-</v>
      </c>
      <c r="G7902" s="238" t="str">
        <f>IFERROR(__xludf.DUMMYFUNCTION("""COMPUTED_VALUE"""),"-")</f>
        <v>-</v>
      </c>
      <c r="H7902" s="238" t="str">
        <f>IFERROR(__xludf.DUMMYFUNCTION("""COMPUTED_VALUE"""),"-")</f>
        <v>-</v>
      </c>
      <c r="J7902" s="239" t="s">
        <v>6330</v>
      </c>
    </row>
    <row r="7903">
      <c r="A7903" s="234"/>
      <c r="B7903" s="238" t="str">
        <f>IFERROR(__xludf.DUMMYFUNCTION("""COMPUTED_VALUE"""),"-")</f>
        <v>-</v>
      </c>
      <c r="C7903" s="238" t="str">
        <f>IFERROR(__xludf.DUMMYFUNCTION("""COMPUTED_VALUE"""),"-")</f>
        <v>-</v>
      </c>
      <c r="D7903" s="234"/>
      <c r="E7903" s="237"/>
      <c r="F7903" s="238" t="str">
        <f>IFERROR(__xludf.DUMMYFUNCTION("""COMPUTED_VALUE"""),"-")</f>
        <v>-</v>
      </c>
      <c r="G7903" s="238" t="str">
        <f>IFERROR(__xludf.DUMMYFUNCTION("""COMPUTED_VALUE"""),"-")</f>
        <v>-</v>
      </c>
      <c r="H7903" s="238" t="str">
        <f>IFERROR(__xludf.DUMMYFUNCTION("""COMPUTED_VALUE"""),"-")</f>
        <v>-</v>
      </c>
      <c r="J7903" s="239" t="s">
        <v>6330</v>
      </c>
    </row>
    <row r="7904">
      <c r="A7904" s="234"/>
      <c r="B7904" s="238" t="str">
        <f>IFERROR(__xludf.DUMMYFUNCTION("""COMPUTED_VALUE"""),"-")</f>
        <v>-</v>
      </c>
      <c r="C7904" s="238" t="str">
        <f>IFERROR(__xludf.DUMMYFUNCTION("""COMPUTED_VALUE"""),"-")</f>
        <v>-</v>
      </c>
      <c r="D7904" s="234"/>
      <c r="E7904" s="237"/>
      <c r="F7904" s="238" t="str">
        <f>IFERROR(__xludf.DUMMYFUNCTION("""COMPUTED_VALUE"""),"-")</f>
        <v>-</v>
      </c>
      <c r="G7904" s="238" t="str">
        <f>IFERROR(__xludf.DUMMYFUNCTION("""COMPUTED_VALUE"""),"-")</f>
        <v>-</v>
      </c>
      <c r="H7904" s="238" t="str">
        <f>IFERROR(__xludf.DUMMYFUNCTION("""COMPUTED_VALUE"""),"-")</f>
        <v>-</v>
      </c>
      <c r="J7904" s="239" t="s">
        <v>6330</v>
      </c>
    </row>
    <row r="7905">
      <c r="A7905" s="234"/>
      <c r="B7905" s="238" t="str">
        <f>IFERROR(__xludf.DUMMYFUNCTION("""COMPUTED_VALUE"""),"-")</f>
        <v>-</v>
      </c>
      <c r="C7905" s="238" t="str">
        <f>IFERROR(__xludf.DUMMYFUNCTION("""COMPUTED_VALUE"""),"-")</f>
        <v>-</v>
      </c>
      <c r="D7905" s="234"/>
      <c r="E7905" s="237"/>
      <c r="F7905" s="238" t="str">
        <f>IFERROR(__xludf.DUMMYFUNCTION("""COMPUTED_VALUE"""),"-")</f>
        <v>-</v>
      </c>
      <c r="G7905" s="238" t="str">
        <f>IFERROR(__xludf.DUMMYFUNCTION("""COMPUTED_VALUE"""),"-")</f>
        <v>-</v>
      </c>
      <c r="H7905" s="238" t="str">
        <f>IFERROR(__xludf.DUMMYFUNCTION("""COMPUTED_VALUE"""),"-")</f>
        <v>-</v>
      </c>
      <c r="J7905" s="239" t="s">
        <v>6330</v>
      </c>
    </row>
    <row r="7906">
      <c r="A7906" s="234"/>
      <c r="B7906" s="238" t="str">
        <f>IFERROR(__xludf.DUMMYFUNCTION("""COMPUTED_VALUE"""),"-")</f>
        <v>-</v>
      </c>
      <c r="C7906" s="238" t="str">
        <f>IFERROR(__xludf.DUMMYFUNCTION("""COMPUTED_VALUE"""),"-")</f>
        <v>-</v>
      </c>
      <c r="D7906" s="234"/>
      <c r="E7906" s="237"/>
      <c r="F7906" s="238" t="str">
        <f>IFERROR(__xludf.DUMMYFUNCTION("""COMPUTED_VALUE"""),"-")</f>
        <v>-</v>
      </c>
      <c r="G7906" s="238" t="str">
        <f>IFERROR(__xludf.DUMMYFUNCTION("""COMPUTED_VALUE"""),"-")</f>
        <v>-</v>
      </c>
      <c r="H7906" s="238" t="str">
        <f>IFERROR(__xludf.DUMMYFUNCTION("""COMPUTED_VALUE"""),"-")</f>
        <v>-</v>
      </c>
      <c r="J7906" s="239" t="s">
        <v>6330</v>
      </c>
    </row>
    <row r="7907">
      <c r="A7907" s="234"/>
      <c r="B7907" s="238" t="str">
        <f>IFERROR(__xludf.DUMMYFUNCTION("""COMPUTED_VALUE"""),"-")</f>
        <v>-</v>
      </c>
      <c r="C7907" s="238" t="str">
        <f>IFERROR(__xludf.DUMMYFUNCTION("""COMPUTED_VALUE"""),"-")</f>
        <v>-</v>
      </c>
      <c r="D7907" s="234"/>
      <c r="E7907" s="237"/>
      <c r="F7907" s="238" t="str">
        <f>IFERROR(__xludf.DUMMYFUNCTION("""COMPUTED_VALUE"""),"-")</f>
        <v>-</v>
      </c>
      <c r="G7907" s="238" t="str">
        <f>IFERROR(__xludf.DUMMYFUNCTION("""COMPUTED_VALUE"""),"-")</f>
        <v>-</v>
      </c>
      <c r="H7907" s="238" t="str">
        <f>IFERROR(__xludf.DUMMYFUNCTION("""COMPUTED_VALUE"""),"-")</f>
        <v>-</v>
      </c>
      <c r="J7907" s="239" t="s">
        <v>6330</v>
      </c>
    </row>
    <row r="7908">
      <c r="A7908" s="234"/>
      <c r="B7908" s="238" t="str">
        <f>IFERROR(__xludf.DUMMYFUNCTION("""COMPUTED_VALUE"""),"-")</f>
        <v>-</v>
      </c>
      <c r="C7908" s="238" t="str">
        <f>IFERROR(__xludf.DUMMYFUNCTION("""COMPUTED_VALUE"""),"-")</f>
        <v>-</v>
      </c>
      <c r="D7908" s="234"/>
      <c r="E7908" s="237"/>
      <c r="F7908" s="238" t="str">
        <f>IFERROR(__xludf.DUMMYFUNCTION("""COMPUTED_VALUE"""),"-")</f>
        <v>-</v>
      </c>
      <c r="G7908" s="238" t="str">
        <f>IFERROR(__xludf.DUMMYFUNCTION("""COMPUTED_VALUE"""),"-")</f>
        <v>-</v>
      </c>
      <c r="H7908" s="238" t="str">
        <f>IFERROR(__xludf.DUMMYFUNCTION("""COMPUTED_VALUE"""),"-")</f>
        <v>-</v>
      </c>
      <c r="J7908" s="239" t="s">
        <v>6330</v>
      </c>
    </row>
    <row r="7909">
      <c r="A7909" s="234"/>
      <c r="B7909" s="238" t="str">
        <f>IFERROR(__xludf.DUMMYFUNCTION("""COMPUTED_VALUE"""),"-")</f>
        <v>-</v>
      </c>
      <c r="C7909" s="238" t="str">
        <f>IFERROR(__xludf.DUMMYFUNCTION("""COMPUTED_VALUE"""),"-")</f>
        <v>-</v>
      </c>
      <c r="D7909" s="234"/>
      <c r="E7909" s="237"/>
      <c r="F7909" s="238" t="str">
        <f>IFERROR(__xludf.DUMMYFUNCTION("""COMPUTED_VALUE"""),"-")</f>
        <v>-</v>
      </c>
      <c r="G7909" s="238" t="str">
        <f>IFERROR(__xludf.DUMMYFUNCTION("""COMPUTED_VALUE"""),"-")</f>
        <v>-</v>
      </c>
      <c r="H7909" s="238" t="str">
        <f>IFERROR(__xludf.DUMMYFUNCTION("""COMPUTED_VALUE"""),"-")</f>
        <v>-</v>
      </c>
      <c r="J7909" s="239" t="s">
        <v>6330</v>
      </c>
    </row>
    <row r="7910">
      <c r="A7910" s="234"/>
      <c r="B7910" s="238" t="str">
        <f>IFERROR(__xludf.DUMMYFUNCTION("""COMPUTED_VALUE"""),"-")</f>
        <v>-</v>
      </c>
      <c r="C7910" s="238" t="str">
        <f>IFERROR(__xludf.DUMMYFUNCTION("""COMPUTED_VALUE"""),"-")</f>
        <v>-</v>
      </c>
      <c r="D7910" s="234"/>
      <c r="E7910" s="237"/>
      <c r="F7910" s="238" t="str">
        <f>IFERROR(__xludf.DUMMYFUNCTION("""COMPUTED_VALUE"""),"-")</f>
        <v>-</v>
      </c>
      <c r="G7910" s="238" t="str">
        <f>IFERROR(__xludf.DUMMYFUNCTION("""COMPUTED_VALUE"""),"-")</f>
        <v>-</v>
      </c>
      <c r="H7910" s="238" t="str">
        <f>IFERROR(__xludf.DUMMYFUNCTION("""COMPUTED_VALUE"""),"-")</f>
        <v>-</v>
      </c>
      <c r="J7910" s="239" t="s">
        <v>6330</v>
      </c>
    </row>
    <row r="7911">
      <c r="A7911" s="234"/>
      <c r="B7911" s="238" t="str">
        <f>IFERROR(__xludf.DUMMYFUNCTION("""COMPUTED_VALUE"""),"-")</f>
        <v>-</v>
      </c>
      <c r="C7911" s="238" t="str">
        <f>IFERROR(__xludf.DUMMYFUNCTION("""COMPUTED_VALUE"""),"-")</f>
        <v>-</v>
      </c>
      <c r="D7911" s="234"/>
      <c r="E7911" s="237"/>
      <c r="F7911" s="238" t="str">
        <f>IFERROR(__xludf.DUMMYFUNCTION("""COMPUTED_VALUE"""),"-")</f>
        <v>-</v>
      </c>
      <c r="G7911" s="238" t="str">
        <f>IFERROR(__xludf.DUMMYFUNCTION("""COMPUTED_VALUE"""),"-")</f>
        <v>-</v>
      </c>
      <c r="H7911" s="238" t="str">
        <f>IFERROR(__xludf.DUMMYFUNCTION("""COMPUTED_VALUE"""),"-")</f>
        <v>-</v>
      </c>
      <c r="J7911" s="239" t="s">
        <v>6330</v>
      </c>
    </row>
    <row r="7912">
      <c r="A7912" s="234"/>
      <c r="B7912" s="238" t="str">
        <f>IFERROR(__xludf.DUMMYFUNCTION("""COMPUTED_VALUE"""),"-")</f>
        <v>-</v>
      </c>
      <c r="C7912" s="238" t="str">
        <f>IFERROR(__xludf.DUMMYFUNCTION("""COMPUTED_VALUE"""),"-")</f>
        <v>-</v>
      </c>
      <c r="D7912" s="234"/>
      <c r="E7912" s="237"/>
      <c r="F7912" s="238" t="str">
        <f>IFERROR(__xludf.DUMMYFUNCTION("""COMPUTED_VALUE"""),"-")</f>
        <v>-</v>
      </c>
      <c r="G7912" s="238" t="str">
        <f>IFERROR(__xludf.DUMMYFUNCTION("""COMPUTED_VALUE"""),"-")</f>
        <v>-</v>
      </c>
      <c r="H7912" s="238" t="str">
        <f>IFERROR(__xludf.DUMMYFUNCTION("""COMPUTED_VALUE"""),"-")</f>
        <v>-</v>
      </c>
      <c r="J7912" s="239" t="s">
        <v>6330</v>
      </c>
    </row>
    <row r="7913">
      <c r="A7913" s="234"/>
      <c r="B7913" s="238" t="str">
        <f>IFERROR(__xludf.DUMMYFUNCTION("""COMPUTED_VALUE"""),"-")</f>
        <v>-</v>
      </c>
      <c r="C7913" s="238" t="str">
        <f>IFERROR(__xludf.DUMMYFUNCTION("""COMPUTED_VALUE"""),"-")</f>
        <v>-</v>
      </c>
      <c r="D7913" s="234"/>
      <c r="E7913" s="237"/>
      <c r="F7913" s="238" t="str">
        <f>IFERROR(__xludf.DUMMYFUNCTION("""COMPUTED_VALUE"""),"-")</f>
        <v>-</v>
      </c>
      <c r="G7913" s="238" t="str">
        <f>IFERROR(__xludf.DUMMYFUNCTION("""COMPUTED_VALUE"""),"-")</f>
        <v>-</v>
      </c>
      <c r="H7913" s="238" t="str">
        <f>IFERROR(__xludf.DUMMYFUNCTION("""COMPUTED_VALUE"""),"-")</f>
        <v>-</v>
      </c>
      <c r="J7913" s="239" t="s">
        <v>6330</v>
      </c>
    </row>
    <row r="7914">
      <c r="A7914" s="234"/>
      <c r="B7914" s="238" t="str">
        <f>IFERROR(__xludf.DUMMYFUNCTION("""COMPUTED_VALUE"""),"-")</f>
        <v>-</v>
      </c>
      <c r="C7914" s="238" t="str">
        <f>IFERROR(__xludf.DUMMYFUNCTION("""COMPUTED_VALUE"""),"-")</f>
        <v>-</v>
      </c>
      <c r="D7914" s="234"/>
      <c r="E7914" s="237"/>
      <c r="F7914" s="238" t="str">
        <f>IFERROR(__xludf.DUMMYFUNCTION("""COMPUTED_VALUE"""),"-")</f>
        <v>-</v>
      </c>
      <c r="G7914" s="238" t="str">
        <f>IFERROR(__xludf.DUMMYFUNCTION("""COMPUTED_VALUE"""),"-")</f>
        <v>-</v>
      </c>
      <c r="H7914" s="238" t="str">
        <f>IFERROR(__xludf.DUMMYFUNCTION("""COMPUTED_VALUE"""),"-")</f>
        <v>-</v>
      </c>
      <c r="J7914" s="239" t="s">
        <v>6330</v>
      </c>
    </row>
    <row r="7915">
      <c r="A7915" s="234"/>
      <c r="B7915" s="238" t="str">
        <f>IFERROR(__xludf.DUMMYFUNCTION("""COMPUTED_VALUE"""),"-")</f>
        <v>-</v>
      </c>
      <c r="C7915" s="238" t="str">
        <f>IFERROR(__xludf.DUMMYFUNCTION("""COMPUTED_VALUE"""),"-")</f>
        <v>-</v>
      </c>
      <c r="D7915" s="234"/>
      <c r="E7915" s="237"/>
      <c r="F7915" s="238" t="str">
        <f>IFERROR(__xludf.DUMMYFUNCTION("""COMPUTED_VALUE"""),"-")</f>
        <v>-</v>
      </c>
      <c r="G7915" s="238" t="str">
        <f>IFERROR(__xludf.DUMMYFUNCTION("""COMPUTED_VALUE"""),"-")</f>
        <v>-</v>
      </c>
      <c r="H7915" s="238" t="str">
        <f>IFERROR(__xludf.DUMMYFUNCTION("""COMPUTED_VALUE"""),"-")</f>
        <v>-</v>
      </c>
      <c r="J7915" s="239" t="s">
        <v>6330</v>
      </c>
    </row>
    <row r="7916">
      <c r="A7916" s="234"/>
      <c r="B7916" s="238" t="str">
        <f>IFERROR(__xludf.DUMMYFUNCTION("""COMPUTED_VALUE"""),"-")</f>
        <v>-</v>
      </c>
      <c r="C7916" s="238" t="str">
        <f>IFERROR(__xludf.DUMMYFUNCTION("""COMPUTED_VALUE"""),"-")</f>
        <v>-</v>
      </c>
      <c r="D7916" s="234"/>
      <c r="E7916" s="237"/>
      <c r="F7916" s="238" t="str">
        <f>IFERROR(__xludf.DUMMYFUNCTION("""COMPUTED_VALUE"""),"-")</f>
        <v>-</v>
      </c>
      <c r="G7916" s="238" t="str">
        <f>IFERROR(__xludf.DUMMYFUNCTION("""COMPUTED_VALUE"""),"-")</f>
        <v>-</v>
      </c>
      <c r="H7916" s="238" t="str">
        <f>IFERROR(__xludf.DUMMYFUNCTION("""COMPUTED_VALUE"""),"-")</f>
        <v>-</v>
      </c>
      <c r="J7916" s="239" t="s">
        <v>6330</v>
      </c>
    </row>
    <row r="7917">
      <c r="A7917" s="234"/>
      <c r="B7917" s="238" t="str">
        <f>IFERROR(__xludf.DUMMYFUNCTION("""COMPUTED_VALUE"""),"-")</f>
        <v>-</v>
      </c>
      <c r="C7917" s="238" t="str">
        <f>IFERROR(__xludf.DUMMYFUNCTION("""COMPUTED_VALUE"""),"-")</f>
        <v>-</v>
      </c>
      <c r="D7917" s="234"/>
      <c r="E7917" s="237"/>
      <c r="F7917" s="238" t="str">
        <f>IFERROR(__xludf.DUMMYFUNCTION("""COMPUTED_VALUE"""),"-")</f>
        <v>-</v>
      </c>
      <c r="G7917" s="238" t="str">
        <f>IFERROR(__xludf.DUMMYFUNCTION("""COMPUTED_VALUE"""),"-")</f>
        <v>-</v>
      </c>
      <c r="H7917" s="238" t="str">
        <f>IFERROR(__xludf.DUMMYFUNCTION("""COMPUTED_VALUE"""),"-")</f>
        <v>-</v>
      </c>
      <c r="J7917" s="239" t="s">
        <v>6330</v>
      </c>
    </row>
    <row r="7918">
      <c r="A7918" s="234"/>
      <c r="B7918" s="238" t="str">
        <f>IFERROR(__xludf.DUMMYFUNCTION("""COMPUTED_VALUE"""),"-")</f>
        <v>-</v>
      </c>
      <c r="C7918" s="238" t="str">
        <f>IFERROR(__xludf.DUMMYFUNCTION("""COMPUTED_VALUE"""),"-")</f>
        <v>-</v>
      </c>
      <c r="D7918" s="234"/>
      <c r="E7918" s="237"/>
      <c r="F7918" s="238" t="str">
        <f>IFERROR(__xludf.DUMMYFUNCTION("""COMPUTED_VALUE"""),"-")</f>
        <v>-</v>
      </c>
      <c r="G7918" s="238" t="str">
        <f>IFERROR(__xludf.DUMMYFUNCTION("""COMPUTED_VALUE"""),"-")</f>
        <v>-</v>
      </c>
      <c r="H7918" s="238" t="str">
        <f>IFERROR(__xludf.DUMMYFUNCTION("""COMPUTED_VALUE"""),"-")</f>
        <v>-</v>
      </c>
      <c r="J7918" s="239" t="s">
        <v>6330</v>
      </c>
    </row>
    <row r="7919">
      <c r="A7919" s="234"/>
      <c r="B7919" s="238" t="str">
        <f>IFERROR(__xludf.DUMMYFUNCTION("""COMPUTED_VALUE"""),"-")</f>
        <v>-</v>
      </c>
      <c r="C7919" s="238" t="str">
        <f>IFERROR(__xludf.DUMMYFUNCTION("""COMPUTED_VALUE"""),"-")</f>
        <v>-</v>
      </c>
      <c r="D7919" s="234"/>
      <c r="E7919" s="237"/>
      <c r="F7919" s="238" t="str">
        <f>IFERROR(__xludf.DUMMYFUNCTION("""COMPUTED_VALUE"""),"-")</f>
        <v>-</v>
      </c>
      <c r="G7919" s="238" t="str">
        <f>IFERROR(__xludf.DUMMYFUNCTION("""COMPUTED_VALUE"""),"-")</f>
        <v>-</v>
      </c>
      <c r="H7919" s="238" t="str">
        <f>IFERROR(__xludf.DUMMYFUNCTION("""COMPUTED_VALUE"""),"-")</f>
        <v>-</v>
      </c>
      <c r="J7919" s="239" t="s">
        <v>6330</v>
      </c>
    </row>
    <row r="7920">
      <c r="A7920" s="234"/>
      <c r="B7920" s="238" t="str">
        <f>IFERROR(__xludf.DUMMYFUNCTION("""COMPUTED_VALUE"""),"-")</f>
        <v>-</v>
      </c>
      <c r="C7920" s="238" t="str">
        <f>IFERROR(__xludf.DUMMYFUNCTION("""COMPUTED_VALUE"""),"-")</f>
        <v>-</v>
      </c>
      <c r="D7920" s="234"/>
      <c r="E7920" s="237"/>
      <c r="F7920" s="238" t="str">
        <f>IFERROR(__xludf.DUMMYFUNCTION("""COMPUTED_VALUE"""),"-")</f>
        <v>-</v>
      </c>
      <c r="G7920" s="238" t="str">
        <f>IFERROR(__xludf.DUMMYFUNCTION("""COMPUTED_VALUE"""),"-")</f>
        <v>-</v>
      </c>
      <c r="H7920" s="238" t="str">
        <f>IFERROR(__xludf.DUMMYFUNCTION("""COMPUTED_VALUE"""),"-")</f>
        <v>-</v>
      </c>
      <c r="J7920" s="239" t="s">
        <v>6330</v>
      </c>
    </row>
    <row r="7921">
      <c r="A7921" s="234"/>
      <c r="B7921" s="238" t="str">
        <f>IFERROR(__xludf.DUMMYFUNCTION("""COMPUTED_VALUE"""),"-")</f>
        <v>-</v>
      </c>
      <c r="C7921" s="238" t="str">
        <f>IFERROR(__xludf.DUMMYFUNCTION("""COMPUTED_VALUE"""),"-")</f>
        <v>-</v>
      </c>
      <c r="D7921" s="234"/>
      <c r="E7921" s="237"/>
      <c r="F7921" s="238" t="str">
        <f>IFERROR(__xludf.DUMMYFUNCTION("""COMPUTED_VALUE"""),"-")</f>
        <v>-</v>
      </c>
      <c r="G7921" s="238" t="str">
        <f>IFERROR(__xludf.DUMMYFUNCTION("""COMPUTED_VALUE"""),"-")</f>
        <v>-</v>
      </c>
      <c r="H7921" s="238" t="str">
        <f>IFERROR(__xludf.DUMMYFUNCTION("""COMPUTED_VALUE"""),"-")</f>
        <v>-</v>
      </c>
      <c r="J7921" s="239" t="s">
        <v>6330</v>
      </c>
    </row>
    <row r="7922">
      <c r="A7922" s="234"/>
      <c r="B7922" s="238" t="str">
        <f>IFERROR(__xludf.DUMMYFUNCTION("""COMPUTED_VALUE"""),"-")</f>
        <v>-</v>
      </c>
      <c r="C7922" s="238" t="str">
        <f>IFERROR(__xludf.DUMMYFUNCTION("""COMPUTED_VALUE"""),"-")</f>
        <v>-</v>
      </c>
      <c r="D7922" s="234"/>
      <c r="E7922" s="237"/>
      <c r="F7922" s="238" t="str">
        <f>IFERROR(__xludf.DUMMYFUNCTION("""COMPUTED_VALUE"""),"-")</f>
        <v>-</v>
      </c>
      <c r="G7922" s="238" t="str">
        <f>IFERROR(__xludf.DUMMYFUNCTION("""COMPUTED_VALUE"""),"-")</f>
        <v>-</v>
      </c>
      <c r="H7922" s="238" t="str">
        <f>IFERROR(__xludf.DUMMYFUNCTION("""COMPUTED_VALUE"""),"-")</f>
        <v>-</v>
      </c>
      <c r="J7922" s="239" t="s">
        <v>6330</v>
      </c>
    </row>
    <row r="7923">
      <c r="A7923" s="234"/>
      <c r="B7923" s="238" t="str">
        <f>IFERROR(__xludf.DUMMYFUNCTION("""COMPUTED_VALUE"""),"-")</f>
        <v>-</v>
      </c>
      <c r="C7923" s="238" t="str">
        <f>IFERROR(__xludf.DUMMYFUNCTION("""COMPUTED_VALUE"""),"-")</f>
        <v>-</v>
      </c>
      <c r="D7923" s="234"/>
      <c r="E7923" s="237"/>
      <c r="F7923" s="238" t="str">
        <f>IFERROR(__xludf.DUMMYFUNCTION("""COMPUTED_VALUE"""),"-")</f>
        <v>-</v>
      </c>
      <c r="G7923" s="238" t="str">
        <f>IFERROR(__xludf.DUMMYFUNCTION("""COMPUTED_VALUE"""),"-")</f>
        <v>-</v>
      </c>
      <c r="H7923" s="238" t="str">
        <f>IFERROR(__xludf.DUMMYFUNCTION("""COMPUTED_VALUE"""),"-")</f>
        <v>-</v>
      </c>
      <c r="J7923" s="239" t="s">
        <v>6330</v>
      </c>
    </row>
    <row r="7924">
      <c r="A7924" s="234"/>
      <c r="B7924" s="238" t="str">
        <f>IFERROR(__xludf.DUMMYFUNCTION("""COMPUTED_VALUE"""),"-")</f>
        <v>-</v>
      </c>
      <c r="C7924" s="238" t="str">
        <f>IFERROR(__xludf.DUMMYFUNCTION("""COMPUTED_VALUE"""),"-")</f>
        <v>-</v>
      </c>
      <c r="D7924" s="234"/>
      <c r="E7924" s="237"/>
      <c r="F7924" s="238" t="str">
        <f>IFERROR(__xludf.DUMMYFUNCTION("""COMPUTED_VALUE"""),"-")</f>
        <v>-</v>
      </c>
      <c r="G7924" s="238" t="str">
        <f>IFERROR(__xludf.DUMMYFUNCTION("""COMPUTED_VALUE"""),"-")</f>
        <v>-</v>
      </c>
      <c r="H7924" s="238" t="str">
        <f>IFERROR(__xludf.DUMMYFUNCTION("""COMPUTED_VALUE"""),"-")</f>
        <v>-</v>
      </c>
      <c r="J7924" s="239" t="s">
        <v>6330</v>
      </c>
    </row>
    <row r="7925">
      <c r="A7925" s="234"/>
      <c r="B7925" s="238" t="str">
        <f>IFERROR(__xludf.DUMMYFUNCTION("""COMPUTED_VALUE"""),"-")</f>
        <v>-</v>
      </c>
      <c r="C7925" s="238" t="str">
        <f>IFERROR(__xludf.DUMMYFUNCTION("""COMPUTED_VALUE"""),"-")</f>
        <v>-</v>
      </c>
      <c r="D7925" s="234"/>
      <c r="E7925" s="237"/>
      <c r="F7925" s="238" t="str">
        <f>IFERROR(__xludf.DUMMYFUNCTION("""COMPUTED_VALUE"""),"-")</f>
        <v>-</v>
      </c>
      <c r="G7925" s="238" t="str">
        <f>IFERROR(__xludf.DUMMYFUNCTION("""COMPUTED_VALUE"""),"-")</f>
        <v>-</v>
      </c>
      <c r="H7925" s="238" t="str">
        <f>IFERROR(__xludf.DUMMYFUNCTION("""COMPUTED_VALUE"""),"-")</f>
        <v>-</v>
      </c>
      <c r="J7925" s="239" t="s">
        <v>6330</v>
      </c>
    </row>
    <row r="7926">
      <c r="A7926" s="234"/>
      <c r="B7926" s="238" t="str">
        <f>IFERROR(__xludf.DUMMYFUNCTION("""COMPUTED_VALUE"""),"-")</f>
        <v>-</v>
      </c>
      <c r="C7926" s="238" t="str">
        <f>IFERROR(__xludf.DUMMYFUNCTION("""COMPUTED_VALUE"""),"-")</f>
        <v>-</v>
      </c>
      <c r="D7926" s="234"/>
      <c r="E7926" s="237"/>
      <c r="F7926" s="238" t="str">
        <f>IFERROR(__xludf.DUMMYFUNCTION("""COMPUTED_VALUE"""),"-")</f>
        <v>-</v>
      </c>
      <c r="G7926" s="238" t="str">
        <f>IFERROR(__xludf.DUMMYFUNCTION("""COMPUTED_VALUE"""),"-")</f>
        <v>-</v>
      </c>
      <c r="H7926" s="238" t="str">
        <f>IFERROR(__xludf.DUMMYFUNCTION("""COMPUTED_VALUE"""),"-")</f>
        <v>-</v>
      </c>
      <c r="J7926" s="239" t="s">
        <v>6330</v>
      </c>
    </row>
    <row r="7927">
      <c r="A7927" s="234"/>
      <c r="B7927" s="238" t="str">
        <f>IFERROR(__xludf.DUMMYFUNCTION("""COMPUTED_VALUE"""),"-")</f>
        <v>-</v>
      </c>
      <c r="C7927" s="238" t="str">
        <f>IFERROR(__xludf.DUMMYFUNCTION("""COMPUTED_VALUE"""),"-")</f>
        <v>-</v>
      </c>
      <c r="D7927" s="234"/>
      <c r="E7927" s="237"/>
      <c r="F7927" s="238" t="str">
        <f>IFERROR(__xludf.DUMMYFUNCTION("""COMPUTED_VALUE"""),"-")</f>
        <v>-</v>
      </c>
      <c r="G7927" s="238" t="str">
        <f>IFERROR(__xludf.DUMMYFUNCTION("""COMPUTED_VALUE"""),"-")</f>
        <v>-</v>
      </c>
      <c r="H7927" s="238" t="str">
        <f>IFERROR(__xludf.DUMMYFUNCTION("""COMPUTED_VALUE"""),"-")</f>
        <v>-</v>
      </c>
      <c r="J7927" s="239" t="s">
        <v>6330</v>
      </c>
    </row>
    <row r="7928">
      <c r="A7928" s="234"/>
      <c r="B7928" s="238" t="str">
        <f>IFERROR(__xludf.DUMMYFUNCTION("""COMPUTED_VALUE"""),"-")</f>
        <v>-</v>
      </c>
      <c r="C7928" s="238" t="str">
        <f>IFERROR(__xludf.DUMMYFUNCTION("""COMPUTED_VALUE"""),"-")</f>
        <v>-</v>
      </c>
      <c r="D7928" s="234"/>
      <c r="E7928" s="237"/>
      <c r="F7928" s="238" t="str">
        <f>IFERROR(__xludf.DUMMYFUNCTION("""COMPUTED_VALUE"""),"-")</f>
        <v>-</v>
      </c>
      <c r="G7928" s="238" t="str">
        <f>IFERROR(__xludf.DUMMYFUNCTION("""COMPUTED_VALUE"""),"-")</f>
        <v>-</v>
      </c>
      <c r="H7928" s="238" t="str">
        <f>IFERROR(__xludf.DUMMYFUNCTION("""COMPUTED_VALUE"""),"-")</f>
        <v>-</v>
      </c>
      <c r="J7928" s="239" t="s">
        <v>6330</v>
      </c>
    </row>
    <row r="7929">
      <c r="A7929" s="234"/>
      <c r="B7929" s="238" t="str">
        <f>IFERROR(__xludf.DUMMYFUNCTION("""COMPUTED_VALUE"""),"-")</f>
        <v>-</v>
      </c>
      <c r="C7929" s="238" t="str">
        <f>IFERROR(__xludf.DUMMYFUNCTION("""COMPUTED_VALUE"""),"-")</f>
        <v>-</v>
      </c>
      <c r="D7929" s="234"/>
      <c r="E7929" s="237"/>
      <c r="F7929" s="238" t="str">
        <f>IFERROR(__xludf.DUMMYFUNCTION("""COMPUTED_VALUE"""),"-")</f>
        <v>-</v>
      </c>
      <c r="G7929" s="238" t="str">
        <f>IFERROR(__xludf.DUMMYFUNCTION("""COMPUTED_VALUE"""),"-")</f>
        <v>-</v>
      </c>
      <c r="H7929" s="238" t="str">
        <f>IFERROR(__xludf.DUMMYFUNCTION("""COMPUTED_VALUE"""),"-")</f>
        <v>-</v>
      </c>
      <c r="J7929" s="239" t="s">
        <v>6330</v>
      </c>
    </row>
    <row r="7930">
      <c r="A7930" s="234"/>
      <c r="B7930" s="238" t="str">
        <f>IFERROR(__xludf.DUMMYFUNCTION("""COMPUTED_VALUE"""),"-")</f>
        <v>-</v>
      </c>
      <c r="C7930" s="238" t="str">
        <f>IFERROR(__xludf.DUMMYFUNCTION("""COMPUTED_VALUE"""),"-")</f>
        <v>-</v>
      </c>
      <c r="D7930" s="234"/>
      <c r="E7930" s="237"/>
      <c r="F7930" s="238" t="str">
        <f>IFERROR(__xludf.DUMMYFUNCTION("""COMPUTED_VALUE"""),"-")</f>
        <v>-</v>
      </c>
      <c r="G7930" s="238" t="str">
        <f>IFERROR(__xludf.DUMMYFUNCTION("""COMPUTED_VALUE"""),"-")</f>
        <v>-</v>
      </c>
      <c r="H7930" s="238" t="str">
        <f>IFERROR(__xludf.DUMMYFUNCTION("""COMPUTED_VALUE"""),"-")</f>
        <v>-</v>
      </c>
      <c r="J7930" s="239" t="s">
        <v>6330</v>
      </c>
    </row>
    <row r="7931">
      <c r="A7931" s="234"/>
      <c r="B7931" s="238" t="str">
        <f>IFERROR(__xludf.DUMMYFUNCTION("""COMPUTED_VALUE"""),"-")</f>
        <v>-</v>
      </c>
      <c r="C7931" s="238" t="str">
        <f>IFERROR(__xludf.DUMMYFUNCTION("""COMPUTED_VALUE"""),"-")</f>
        <v>-</v>
      </c>
      <c r="D7931" s="234"/>
      <c r="E7931" s="237"/>
      <c r="F7931" s="238" t="str">
        <f>IFERROR(__xludf.DUMMYFUNCTION("""COMPUTED_VALUE"""),"-")</f>
        <v>-</v>
      </c>
      <c r="G7931" s="238" t="str">
        <f>IFERROR(__xludf.DUMMYFUNCTION("""COMPUTED_VALUE"""),"-")</f>
        <v>-</v>
      </c>
      <c r="H7931" s="238" t="str">
        <f>IFERROR(__xludf.DUMMYFUNCTION("""COMPUTED_VALUE"""),"-")</f>
        <v>-</v>
      </c>
      <c r="J7931" s="239" t="s">
        <v>6330</v>
      </c>
    </row>
    <row r="7932">
      <c r="A7932" s="234"/>
      <c r="B7932" s="238" t="str">
        <f>IFERROR(__xludf.DUMMYFUNCTION("""COMPUTED_VALUE"""),"-")</f>
        <v>-</v>
      </c>
      <c r="C7932" s="238" t="str">
        <f>IFERROR(__xludf.DUMMYFUNCTION("""COMPUTED_VALUE"""),"-")</f>
        <v>-</v>
      </c>
      <c r="D7932" s="234"/>
      <c r="E7932" s="237"/>
      <c r="F7932" s="238" t="str">
        <f>IFERROR(__xludf.DUMMYFUNCTION("""COMPUTED_VALUE"""),"-")</f>
        <v>-</v>
      </c>
      <c r="G7932" s="238" t="str">
        <f>IFERROR(__xludf.DUMMYFUNCTION("""COMPUTED_VALUE"""),"-")</f>
        <v>-</v>
      </c>
      <c r="H7932" s="238" t="str">
        <f>IFERROR(__xludf.DUMMYFUNCTION("""COMPUTED_VALUE"""),"-")</f>
        <v>-</v>
      </c>
      <c r="J7932" s="239" t="s">
        <v>6330</v>
      </c>
    </row>
    <row r="7933">
      <c r="A7933" s="234"/>
      <c r="B7933" s="238" t="str">
        <f>IFERROR(__xludf.DUMMYFUNCTION("""COMPUTED_VALUE"""),"-")</f>
        <v>-</v>
      </c>
      <c r="C7933" s="238" t="str">
        <f>IFERROR(__xludf.DUMMYFUNCTION("""COMPUTED_VALUE"""),"-")</f>
        <v>-</v>
      </c>
      <c r="D7933" s="234"/>
      <c r="E7933" s="237"/>
      <c r="F7933" s="238" t="str">
        <f>IFERROR(__xludf.DUMMYFUNCTION("""COMPUTED_VALUE"""),"-")</f>
        <v>-</v>
      </c>
      <c r="G7933" s="238" t="str">
        <f>IFERROR(__xludf.DUMMYFUNCTION("""COMPUTED_VALUE"""),"-")</f>
        <v>-</v>
      </c>
      <c r="H7933" s="238" t="str">
        <f>IFERROR(__xludf.DUMMYFUNCTION("""COMPUTED_VALUE"""),"-")</f>
        <v>-</v>
      </c>
      <c r="J7933" s="239" t="s">
        <v>6330</v>
      </c>
    </row>
    <row r="7934">
      <c r="A7934" s="234"/>
      <c r="B7934" s="238" t="str">
        <f>IFERROR(__xludf.DUMMYFUNCTION("""COMPUTED_VALUE"""),"-")</f>
        <v>-</v>
      </c>
      <c r="C7934" s="238" t="str">
        <f>IFERROR(__xludf.DUMMYFUNCTION("""COMPUTED_VALUE"""),"-")</f>
        <v>-</v>
      </c>
      <c r="D7934" s="234"/>
      <c r="E7934" s="237"/>
      <c r="F7934" s="238" t="str">
        <f>IFERROR(__xludf.DUMMYFUNCTION("""COMPUTED_VALUE"""),"-")</f>
        <v>-</v>
      </c>
      <c r="G7934" s="238" t="str">
        <f>IFERROR(__xludf.DUMMYFUNCTION("""COMPUTED_VALUE"""),"-")</f>
        <v>-</v>
      </c>
      <c r="H7934" s="238" t="str">
        <f>IFERROR(__xludf.DUMMYFUNCTION("""COMPUTED_VALUE"""),"-")</f>
        <v>-</v>
      </c>
      <c r="J7934" s="239" t="s">
        <v>6330</v>
      </c>
    </row>
    <row r="7935">
      <c r="A7935" s="234"/>
      <c r="B7935" s="238" t="str">
        <f>IFERROR(__xludf.DUMMYFUNCTION("""COMPUTED_VALUE"""),"-")</f>
        <v>-</v>
      </c>
      <c r="C7935" s="238" t="str">
        <f>IFERROR(__xludf.DUMMYFUNCTION("""COMPUTED_VALUE"""),"-")</f>
        <v>-</v>
      </c>
      <c r="D7935" s="234"/>
      <c r="E7935" s="237"/>
      <c r="F7935" s="238" t="str">
        <f>IFERROR(__xludf.DUMMYFUNCTION("""COMPUTED_VALUE"""),"-")</f>
        <v>-</v>
      </c>
      <c r="G7935" s="238" t="str">
        <f>IFERROR(__xludf.DUMMYFUNCTION("""COMPUTED_VALUE"""),"-")</f>
        <v>-</v>
      </c>
      <c r="H7935" s="238" t="str">
        <f>IFERROR(__xludf.DUMMYFUNCTION("""COMPUTED_VALUE"""),"-")</f>
        <v>-</v>
      </c>
      <c r="J7935" s="239" t="s">
        <v>6330</v>
      </c>
    </row>
    <row r="7936">
      <c r="A7936" s="234"/>
      <c r="B7936" s="238" t="str">
        <f>IFERROR(__xludf.DUMMYFUNCTION("""COMPUTED_VALUE"""),"-")</f>
        <v>-</v>
      </c>
      <c r="C7936" s="238" t="str">
        <f>IFERROR(__xludf.DUMMYFUNCTION("""COMPUTED_VALUE"""),"-")</f>
        <v>-</v>
      </c>
      <c r="D7936" s="234"/>
      <c r="E7936" s="237"/>
      <c r="F7936" s="238" t="str">
        <f>IFERROR(__xludf.DUMMYFUNCTION("""COMPUTED_VALUE"""),"-")</f>
        <v>-</v>
      </c>
      <c r="G7936" s="238" t="str">
        <f>IFERROR(__xludf.DUMMYFUNCTION("""COMPUTED_VALUE"""),"-")</f>
        <v>-</v>
      </c>
      <c r="H7936" s="238" t="str">
        <f>IFERROR(__xludf.DUMMYFUNCTION("""COMPUTED_VALUE"""),"-")</f>
        <v>-</v>
      </c>
      <c r="J7936" s="239" t="s">
        <v>6330</v>
      </c>
    </row>
    <row r="7937">
      <c r="A7937" s="234"/>
      <c r="B7937" s="238" t="str">
        <f>IFERROR(__xludf.DUMMYFUNCTION("""COMPUTED_VALUE"""),"-")</f>
        <v>-</v>
      </c>
      <c r="C7937" s="238" t="str">
        <f>IFERROR(__xludf.DUMMYFUNCTION("""COMPUTED_VALUE"""),"-")</f>
        <v>-</v>
      </c>
      <c r="D7937" s="234"/>
      <c r="E7937" s="237"/>
      <c r="F7937" s="238" t="str">
        <f>IFERROR(__xludf.DUMMYFUNCTION("""COMPUTED_VALUE"""),"-")</f>
        <v>-</v>
      </c>
      <c r="G7937" s="238" t="str">
        <f>IFERROR(__xludf.DUMMYFUNCTION("""COMPUTED_VALUE"""),"-")</f>
        <v>-</v>
      </c>
      <c r="H7937" s="238" t="str">
        <f>IFERROR(__xludf.DUMMYFUNCTION("""COMPUTED_VALUE"""),"-")</f>
        <v>-</v>
      </c>
      <c r="J7937" s="239" t="s">
        <v>6330</v>
      </c>
    </row>
    <row r="7938">
      <c r="A7938" s="234"/>
      <c r="B7938" s="238" t="str">
        <f>IFERROR(__xludf.DUMMYFUNCTION("""COMPUTED_VALUE"""),"-")</f>
        <v>-</v>
      </c>
      <c r="C7938" s="238" t="str">
        <f>IFERROR(__xludf.DUMMYFUNCTION("""COMPUTED_VALUE"""),"-")</f>
        <v>-</v>
      </c>
      <c r="D7938" s="234"/>
      <c r="E7938" s="237"/>
      <c r="F7938" s="238" t="str">
        <f>IFERROR(__xludf.DUMMYFUNCTION("""COMPUTED_VALUE"""),"-")</f>
        <v>-</v>
      </c>
      <c r="G7938" s="238" t="str">
        <f>IFERROR(__xludf.DUMMYFUNCTION("""COMPUTED_VALUE"""),"-")</f>
        <v>-</v>
      </c>
      <c r="H7938" s="238" t="str">
        <f>IFERROR(__xludf.DUMMYFUNCTION("""COMPUTED_VALUE"""),"-")</f>
        <v>-</v>
      </c>
      <c r="J7938" s="239" t="s">
        <v>6330</v>
      </c>
    </row>
    <row r="7939">
      <c r="A7939" s="234"/>
      <c r="B7939" s="238" t="str">
        <f>IFERROR(__xludf.DUMMYFUNCTION("""COMPUTED_VALUE"""),"-")</f>
        <v>-</v>
      </c>
      <c r="C7939" s="238" t="str">
        <f>IFERROR(__xludf.DUMMYFUNCTION("""COMPUTED_VALUE"""),"-")</f>
        <v>-</v>
      </c>
      <c r="D7939" s="234"/>
      <c r="E7939" s="237"/>
      <c r="F7939" s="238" t="str">
        <f>IFERROR(__xludf.DUMMYFUNCTION("""COMPUTED_VALUE"""),"-")</f>
        <v>-</v>
      </c>
      <c r="G7939" s="238" t="str">
        <f>IFERROR(__xludf.DUMMYFUNCTION("""COMPUTED_VALUE"""),"-")</f>
        <v>-</v>
      </c>
      <c r="H7939" s="238" t="str">
        <f>IFERROR(__xludf.DUMMYFUNCTION("""COMPUTED_VALUE"""),"-")</f>
        <v>-</v>
      </c>
      <c r="J7939" s="239" t="s">
        <v>6330</v>
      </c>
    </row>
    <row r="7940">
      <c r="A7940" s="234"/>
      <c r="B7940" s="238" t="str">
        <f>IFERROR(__xludf.DUMMYFUNCTION("""COMPUTED_VALUE"""),"-")</f>
        <v>-</v>
      </c>
      <c r="C7940" s="238" t="str">
        <f>IFERROR(__xludf.DUMMYFUNCTION("""COMPUTED_VALUE"""),"-")</f>
        <v>-</v>
      </c>
      <c r="D7940" s="234"/>
      <c r="E7940" s="237"/>
      <c r="F7940" s="238" t="str">
        <f>IFERROR(__xludf.DUMMYFUNCTION("""COMPUTED_VALUE"""),"-")</f>
        <v>-</v>
      </c>
      <c r="G7940" s="238" t="str">
        <f>IFERROR(__xludf.DUMMYFUNCTION("""COMPUTED_VALUE"""),"-")</f>
        <v>-</v>
      </c>
      <c r="H7940" s="238" t="str">
        <f>IFERROR(__xludf.DUMMYFUNCTION("""COMPUTED_VALUE"""),"-")</f>
        <v>-</v>
      </c>
      <c r="J7940" s="239" t="s">
        <v>6330</v>
      </c>
    </row>
    <row r="7941">
      <c r="A7941" s="234"/>
      <c r="B7941" s="238" t="str">
        <f>IFERROR(__xludf.DUMMYFUNCTION("""COMPUTED_VALUE"""),"-")</f>
        <v>-</v>
      </c>
      <c r="C7941" s="238" t="str">
        <f>IFERROR(__xludf.DUMMYFUNCTION("""COMPUTED_VALUE"""),"-")</f>
        <v>-</v>
      </c>
      <c r="D7941" s="234"/>
      <c r="E7941" s="237"/>
      <c r="F7941" s="238" t="str">
        <f>IFERROR(__xludf.DUMMYFUNCTION("""COMPUTED_VALUE"""),"-")</f>
        <v>-</v>
      </c>
      <c r="G7941" s="238" t="str">
        <f>IFERROR(__xludf.DUMMYFUNCTION("""COMPUTED_VALUE"""),"-")</f>
        <v>-</v>
      </c>
      <c r="H7941" s="238" t="str">
        <f>IFERROR(__xludf.DUMMYFUNCTION("""COMPUTED_VALUE"""),"-")</f>
        <v>-</v>
      </c>
      <c r="J7941" s="239" t="s">
        <v>6330</v>
      </c>
    </row>
    <row r="7942">
      <c r="A7942" s="234"/>
      <c r="B7942" s="238" t="str">
        <f>IFERROR(__xludf.DUMMYFUNCTION("""COMPUTED_VALUE"""),"-")</f>
        <v>-</v>
      </c>
      <c r="C7942" s="238" t="str">
        <f>IFERROR(__xludf.DUMMYFUNCTION("""COMPUTED_VALUE"""),"-")</f>
        <v>-</v>
      </c>
      <c r="D7942" s="234"/>
      <c r="E7942" s="237"/>
      <c r="F7942" s="238" t="str">
        <f>IFERROR(__xludf.DUMMYFUNCTION("""COMPUTED_VALUE"""),"-")</f>
        <v>-</v>
      </c>
      <c r="G7942" s="238" t="str">
        <f>IFERROR(__xludf.DUMMYFUNCTION("""COMPUTED_VALUE"""),"-")</f>
        <v>-</v>
      </c>
      <c r="H7942" s="238" t="str">
        <f>IFERROR(__xludf.DUMMYFUNCTION("""COMPUTED_VALUE"""),"-")</f>
        <v>-</v>
      </c>
      <c r="J7942" s="239" t="s">
        <v>6330</v>
      </c>
    </row>
    <row r="7943">
      <c r="A7943" s="234"/>
      <c r="B7943" s="238" t="str">
        <f>IFERROR(__xludf.DUMMYFUNCTION("""COMPUTED_VALUE"""),"-")</f>
        <v>-</v>
      </c>
      <c r="C7943" s="238" t="str">
        <f>IFERROR(__xludf.DUMMYFUNCTION("""COMPUTED_VALUE"""),"-")</f>
        <v>-</v>
      </c>
      <c r="D7943" s="234"/>
      <c r="E7943" s="237"/>
      <c r="F7943" s="238" t="str">
        <f>IFERROR(__xludf.DUMMYFUNCTION("""COMPUTED_VALUE"""),"-")</f>
        <v>-</v>
      </c>
      <c r="G7943" s="238" t="str">
        <f>IFERROR(__xludf.DUMMYFUNCTION("""COMPUTED_VALUE"""),"-")</f>
        <v>-</v>
      </c>
      <c r="H7943" s="238" t="str">
        <f>IFERROR(__xludf.DUMMYFUNCTION("""COMPUTED_VALUE"""),"-")</f>
        <v>-</v>
      </c>
      <c r="J7943" s="239" t="s">
        <v>6330</v>
      </c>
    </row>
    <row r="7944">
      <c r="A7944" s="234"/>
      <c r="B7944" s="238" t="str">
        <f>IFERROR(__xludf.DUMMYFUNCTION("""COMPUTED_VALUE"""),"-")</f>
        <v>-</v>
      </c>
      <c r="C7944" s="238" t="str">
        <f>IFERROR(__xludf.DUMMYFUNCTION("""COMPUTED_VALUE"""),"-")</f>
        <v>-</v>
      </c>
      <c r="D7944" s="234"/>
      <c r="E7944" s="237"/>
      <c r="F7944" s="238" t="str">
        <f>IFERROR(__xludf.DUMMYFUNCTION("""COMPUTED_VALUE"""),"-")</f>
        <v>-</v>
      </c>
      <c r="G7944" s="238" t="str">
        <f>IFERROR(__xludf.DUMMYFUNCTION("""COMPUTED_VALUE"""),"-")</f>
        <v>-</v>
      </c>
      <c r="H7944" s="238" t="str">
        <f>IFERROR(__xludf.DUMMYFUNCTION("""COMPUTED_VALUE"""),"-")</f>
        <v>-</v>
      </c>
      <c r="J7944" s="239" t="s">
        <v>6330</v>
      </c>
    </row>
    <row r="7945">
      <c r="A7945" s="234"/>
      <c r="B7945" s="238" t="str">
        <f>IFERROR(__xludf.DUMMYFUNCTION("""COMPUTED_VALUE"""),"-")</f>
        <v>-</v>
      </c>
      <c r="C7945" s="238" t="str">
        <f>IFERROR(__xludf.DUMMYFUNCTION("""COMPUTED_VALUE"""),"-")</f>
        <v>-</v>
      </c>
      <c r="D7945" s="234"/>
      <c r="E7945" s="237"/>
      <c r="F7945" s="238" t="str">
        <f>IFERROR(__xludf.DUMMYFUNCTION("""COMPUTED_VALUE"""),"-")</f>
        <v>-</v>
      </c>
      <c r="G7945" s="238" t="str">
        <f>IFERROR(__xludf.DUMMYFUNCTION("""COMPUTED_VALUE"""),"-")</f>
        <v>-</v>
      </c>
      <c r="H7945" s="238" t="str">
        <f>IFERROR(__xludf.DUMMYFUNCTION("""COMPUTED_VALUE"""),"-")</f>
        <v>-</v>
      </c>
      <c r="J7945" s="239" t="s">
        <v>6330</v>
      </c>
    </row>
    <row r="7946">
      <c r="A7946" s="234"/>
      <c r="B7946" s="238" t="str">
        <f>IFERROR(__xludf.DUMMYFUNCTION("""COMPUTED_VALUE"""),"-")</f>
        <v>-</v>
      </c>
      <c r="C7946" s="238" t="str">
        <f>IFERROR(__xludf.DUMMYFUNCTION("""COMPUTED_VALUE"""),"-")</f>
        <v>-</v>
      </c>
      <c r="D7946" s="234"/>
      <c r="E7946" s="237"/>
      <c r="F7946" s="238" t="str">
        <f>IFERROR(__xludf.DUMMYFUNCTION("""COMPUTED_VALUE"""),"-")</f>
        <v>-</v>
      </c>
      <c r="G7946" s="238" t="str">
        <f>IFERROR(__xludf.DUMMYFUNCTION("""COMPUTED_VALUE"""),"-")</f>
        <v>-</v>
      </c>
      <c r="H7946" s="238" t="str">
        <f>IFERROR(__xludf.DUMMYFUNCTION("""COMPUTED_VALUE"""),"-")</f>
        <v>-</v>
      </c>
      <c r="J7946" s="239" t="s">
        <v>6330</v>
      </c>
    </row>
    <row r="7947">
      <c r="A7947" s="234"/>
      <c r="B7947" s="238" t="str">
        <f>IFERROR(__xludf.DUMMYFUNCTION("""COMPUTED_VALUE"""),"-")</f>
        <v>-</v>
      </c>
      <c r="C7947" s="238" t="str">
        <f>IFERROR(__xludf.DUMMYFUNCTION("""COMPUTED_VALUE"""),"-")</f>
        <v>-</v>
      </c>
      <c r="D7947" s="234"/>
      <c r="E7947" s="237"/>
      <c r="F7947" s="238" t="str">
        <f>IFERROR(__xludf.DUMMYFUNCTION("""COMPUTED_VALUE"""),"-")</f>
        <v>-</v>
      </c>
      <c r="G7947" s="238" t="str">
        <f>IFERROR(__xludf.DUMMYFUNCTION("""COMPUTED_VALUE"""),"-")</f>
        <v>-</v>
      </c>
      <c r="H7947" s="238" t="str">
        <f>IFERROR(__xludf.DUMMYFUNCTION("""COMPUTED_VALUE"""),"-")</f>
        <v>-</v>
      </c>
      <c r="J7947" s="239" t="s">
        <v>6330</v>
      </c>
    </row>
    <row r="7948">
      <c r="A7948" s="234"/>
      <c r="B7948" s="238" t="str">
        <f>IFERROR(__xludf.DUMMYFUNCTION("""COMPUTED_VALUE"""),"-")</f>
        <v>-</v>
      </c>
      <c r="C7948" s="238" t="str">
        <f>IFERROR(__xludf.DUMMYFUNCTION("""COMPUTED_VALUE"""),"-")</f>
        <v>-</v>
      </c>
      <c r="D7948" s="234"/>
      <c r="E7948" s="237"/>
      <c r="F7948" s="238" t="str">
        <f>IFERROR(__xludf.DUMMYFUNCTION("""COMPUTED_VALUE"""),"-")</f>
        <v>-</v>
      </c>
      <c r="G7948" s="238" t="str">
        <f>IFERROR(__xludf.DUMMYFUNCTION("""COMPUTED_VALUE"""),"-")</f>
        <v>-</v>
      </c>
      <c r="H7948" s="238" t="str">
        <f>IFERROR(__xludf.DUMMYFUNCTION("""COMPUTED_VALUE"""),"-")</f>
        <v>-</v>
      </c>
      <c r="J7948" s="239" t="s">
        <v>6330</v>
      </c>
    </row>
    <row r="7949">
      <c r="A7949" s="234"/>
      <c r="B7949" s="238" t="str">
        <f>IFERROR(__xludf.DUMMYFUNCTION("""COMPUTED_VALUE"""),"-")</f>
        <v>-</v>
      </c>
      <c r="C7949" s="238" t="str">
        <f>IFERROR(__xludf.DUMMYFUNCTION("""COMPUTED_VALUE"""),"-")</f>
        <v>-</v>
      </c>
      <c r="D7949" s="234"/>
      <c r="E7949" s="237"/>
      <c r="F7949" s="238" t="str">
        <f>IFERROR(__xludf.DUMMYFUNCTION("""COMPUTED_VALUE"""),"-")</f>
        <v>-</v>
      </c>
      <c r="G7949" s="238" t="str">
        <f>IFERROR(__xludf.DUMMYFUNCTION("""COMPUTED_VALUE"""),"-")</f>
        <v>-</v>
      </c>
      <c r="H7949" s="238" t="str">
        <f>IFERROR(__xludf.DUMMYFUNCTION("""COMPUTED_VALUE"""),"-")</f>
        <v>-</v>
      </c>
      <c r="J7949" s="239" t="s">
        <v>6330</v>
      </c>
    </row>
    <row r="7950">
      <c r="A7950" s="234"/>
      <c r="B7950" s="238" t="str">
        <f>IFERROR(__xludf.DUMMYFUNCTION("""COMPUTED_VALUE"""),"-")</f>
        <v>-</v>
      </c>
      <c r="C7950" s="238" t="str">
        <f>IFERROR(__xludf.DUMMYFUNCTION("""COMPUTED_VALUE"""),"-")</f>
        <v>-</v>
      </c>
      <c r="D7950" s="234"/>
      <c r="E7950" s="237"/>
      <c r="F7950" s="238" t="str">
        <f>IFERROR(__xludf.DUMMYFUNCTION("""COMPUTED_VALUE"""),"-")</f>
        <v>-</v>
      </c>
      <c r="G7950" s="238" t="str">
        <f>IFERROR(__xludf.DUMMYFUNCTION("""COMPUTED_VALUE"""),"-")</f>
        <v>-</v>
      </c>
      <c r="H7950" s="238" t="str">
        <f>IFERROR(__xludf.DUMMYFUNCTION("""COMPUTED_VALUE"""),"-")</f>
        <v>-</v>
      </c>
      <c r="J7950" s="239" t="s">
        <v>6330</v>
      </c>
    </row>
    <row r="7951">
      <c r="A7951" s="234"/>
      <c r="B7951" s="238" t="str">
        <f>IFERROR(__xludf.DUMMYFUNCTION("""COMPUTED_VALUE"""),"-")</f>
        <v>-</v>
      </c>
      <c r="C7951" s="238" t="str">
        <f>IFERROR(__xludf.DUMMYFUNCTION("""COMPUTED_VALUE"""),"-")</f>
        <v>-</v>
      </c>
      <c r="D7951" s="234"/>
      <c r="E7951" s="237"/>
      <c r="F7951" s="238" t="str">
        <f>IFERROR(__xludf.DUMMYFUNCTION("""COMPUTED_VALUE"""),"-")</f>
        <v>-</v>
      </c>
      <c r="G7951" s="238" t="str">
        <f>IFERROR(__xludf.DUMMYFUNCTION("""COMPUTED_VALUE"""),"-")</f>
        <v>-</v>
      </c>
      <c r="H7951" s="238" t="str">
        <f>IFERROR(__xludf.DUMMYFUNCTION("""COMPUTED_VALUE"""),"-")</f>
        <v>-</v>
      </c>
      <c r="J7951" s="239" t="s">
        <v>6330</v>
      </c>
    </row>
    <row r="7952">
      <c r="A7952" s="234"/>
      <c r="B7952" s="238" t="str">
        <f>IFERROR(__xludf.DUMMYFUNCTION("""COMPUTED_VALUE"""),"-")</f>
        <v>-</v>
      </c>
      <c r="C7952" s="238" t="str">
        <f>IFERROR(__xludf.DUMMYFUNCTION("""COMPUTED_VALUE"""),"-")</f>
        <v>-</v>
      </c>
      <c r="D7952" s="234"/>
      <c r="E7952" s="237"/>
      <c r="F7952" s="238" t="str">
        <f>IFERROR(__xludf.DUMMYFUNCTION("""COMPUTED_VALUE"""),"-")</f>
        <v>-</v>
      </c>
      <c r="G7952" s="238" t="str">
        <f>IFERROR(__xludf.DUMMYFUNCTION("""COMPUTED_VALUE"""),"-")</f>
        <v>-</v>
      </c>
      <c r="H7952" s="238" t="str">
        <f>IFERROR(__xludf.DUMMYFUNCTION("""COMPUTED_VALUE"""),"-")</f>
        <v>-</v>
      </c>
      <c r="J7952" s="239" t="s">
        <v>6330</v>
      </c>
    </row>
    <row r="7953">
      <c r="A7953" s="234"/>
      <c r="B7953" s="238" t="str">
        <f>IFERROR(__xludf.DUMMYFUNCTION("""COMPUTED_VALUE"""),"-")</f>
        <v>-</v>
      </c>
      <c r="C7953" s="238" t="str">
        <f>IFERROR(__xludf.DUMMYFUNCTION("""COMPUTED_VALUE"""),"-")</f>
        <v>-</v>
      </c>
      <c r="D7953" s="234"/>
      <c r="E7953" s="237"/>
      <c r="F7953" s="238" t="str">
        <f>IFERROR(__xludf.DUMMYFUNCTION("""COMPUTED_VALUE"""),"-")</f>
        <v>-</v>
      </c>
      <c r="G7953" s="238" t="str">
        <f>IFERROR(__xludf.DUMMYFUNCTION("""COMPUTED_VALUE"""),"-")</f>
        <v>-</v>
      </c>
      <c r="H7953" s="238" t="str">
        <f>IFERROR(__xludf.DUMMYFUNCTION("""COMPUTED_VALUE"""),"-")</f>
        <v>-</v>
      </c>
      <c r="J7953" s="239" t="s">
        <v>6330</v>
      </c>
    </row>
    <row r="7954">
      <c r="A7954" s="234"/>
      <c r="B7954" s="238" t="str">
        <f>IFERROR(__xludf.DUMMYFUNCTION("""COMPUTED_VALUE"""),"-")</f>
        <v>-</v>
      </c>
      <c r="C7954" s="238" t="str">
        <f>IFERROR(__xludf.DUMMYFUNCTION("""COMPUTED_VALUE"""),"-")</f>
        <v>-</v>
      </c>
      <c r="D7954" s="234"/>
      <c r="E7954" s="237"/>
      <c r="F7954" s="238" t="str">
        <f>IFERROR(__xludf.DUMMYFUNCTION("""COMPUTED_VALUE"""),"-")</f>
        <v>-</v>
      </c>
      <c r="G7954" s="238" t="str">
        <f>IFERROR(__xludf.DUMMYFUNCTION("""COMPUTED_VALUE"""),"-")</f>
        <v>-</v>
      </c>
      <c r="H7954" s="238" t="str">
        <f>IFERROR(__xludf.DUMMYFUNCTION("""COMPUTED_VALUE"""),"-")</f>
        <v>-</v>
      </c>
      <c r="J7954" s="239" t="s">
        <v>6330</v>
      </c>
    </row>
    <row r="7955">
      <c r="A7955" s="234"/>
      <c r="B7955" s="238" t="str">
        <f>IFERROR(__xludf.DUMMYFUNCTION("""COMPUTED_VALUE"""),"-")</f>
        <v>-</v>
      </c>
      <c r="C7955" s="238" t="str">
        <f>IFERROR(__xludf.DUMMYFUNCTION("""COMPUTED_VALUE"""),"-")</f>
        <v>-</v>
      </c>
      <c r="D7955" s="234"/>
      <c r="E7955" s="237"/>
      <c r="F7955" s="238" t="str">
        <f>IFERROR(__xludf.DUMMYFUNCTION("""COMPUTED_VALUE"""),"-")</f>
        <v>-</v>
      </c>
      <c r="G7955" s="238" t="str">
        <f>IFERROR(__xludf.DUMMYFUNCTION("""COMPUTED_VALUE"""),"-")</f>
        <v>-</v>
      </c>
      <c r="H7955" s="238" t="str">
        <f>IFERROR(__xludf.DUMMYFUNCTION("""COMPUTED_VALUE"""),"-")</f>
        <v>-</v>
      </c>
      <c r="J7955" s="239" t="s">
        <v>6330</v>
      </c>
    </row>
    <row r="7956">
      <c r="A7956" s="234"/>
      <c r="B7956" s="238" t="str">
        <f>IFERROR(__xludf.DUMMYFUNCTION("""COMPUTED_VALUE"""),"-")</f>
        <v>-</v>
      </c>
      <c r="C7956" s="238" t="str">
        <f>IFERROR(__xludf.DUMMYFUNCTION("""COMPUTED_VALUE"""),"-")</f>
        <v>-</v>
      </c>
      <c r="D7956" s="234"/>
      <c r="E7956" s="237"/>
      <c r="F7956" s="238" t="str">
        <f>IFERROR(__xludf.DUMMYFUNCTION("""COMPUTED_VALUE"""),"-")</f>
        <v>-</v>
      </c>
      <c r="G7956" s="238" t="str">
        <f>IFERROR(__xludf.DUMMYFUNCTION("""COMPUTED_VALUE"""),"-")</f>
        <v>-</v>
      </c>
      <c r="H7956" s="238" t="str">
        <f>IFERROR(__xludf.DUMMYFUNCTION("""COMPUTED_VALUE"""),"-")</f>
        <v>-</v>
      </c>
      <c r="J7956" s="239" t="s">
        <v>6330</v>
      </c>
    </row>
    <row r="7957">
      <c r="A7957" s="234"/>
      <c r="B7957" s="238" t="str">
        <f>IFERROR(__xludf.DUMMYFUNCTION("""COMPUTED_VALUE"""),"-")</f>
        <v>-</v>
      </c>
      <c r="C7957" s="238" t="str">
        <f>IFERROR(__xludf.DUMMYFUNCTION("""COMPUTED_VALUE"""),"-")</f>
        <v>-</v>
      </c>
      <c r="D7957" s="234"/>
      <c r="E7957" s="237"/>
      <c r="F7957" s="238" t="str">
        <f>IFERROR(__xludf.DUMMYFUNCTION("""COMPUTED_VALUE"""),"-")</f>
        <v>-</v>
      </c>
      <c r="G7957" s="238" t="str">
        <f>IFERROR(__xludf.DUMMYFUNCTION("""COMPUTED_VALUE"""),"-")</f>
        <v>-</v>
      </c>
      <c r="H7957" s="238" t="str">
        <f>IFERROR(__xludf.DUMMYFUNCTION("""COMPUTED_VALUE"""),"-")</f>
        <v>-</v>
      </c>
      <c r="J7957" s="239" t="s">
        <v>6330</v>
      </c>
    </row>
    <row r="7958">
      <c r="A7958" s="234"/>
      <c r="B7958" s="238" t="str">
        <f>IFERROR(__xludf.DUMMYFUNCTION("""COMPUTED_VALUE"""),"-")</f>
        <v>-</v>
      </c>
      <c r="C7958" s="238" t="str">
        <f>IFERROR(__xludf.DUMMYFUNCTION("""COMPUTED_VALUE"""),"-")</f>
        <v>-</v>
      </c>
      <c r="D7958" s="234"/>
      <c r="E7958" s="237"/>
      <c r="F7958" s="238" t="str">
        <f>IFERROR(__xludf.DUMMYFUNCTION("""COMPUTED_VALUE"""),"-")</f>
        <v>-</v>
      </c>
      <c r="G7958" s="238" t="str">
        <f>IFERROR(__xludf.DUMMYFUNCTION("""COMPUTED_VALUE"""),"-")</f>
        <v>-</v>
      </c>
      <c r="H7958" s="238" t="str">
        <f>IFERROR(__xludf.DUMMYFUNCTION("""COMPUTED_VALUE"""),"-")</f>
        <v>-</v>
      </c>
      <c r="J7958" s="239" t="s">
        <v>6330</v>
      </c>
    </row>
    <row r="7959">
      <c r="A7959" s="234"/>
      <c r="B7959" s="238" t="str">
        <f>IFERROR(__xludf.DUMMYFUNCTION("""COMPUTED_VALUE"""),"-")</f>
        <v>-</v>
      </c>
      <c r="C7959" s="238" t="str">
        <f>IFERROR(__xludf.DUMMYFUNCTION("""COMPUTED_VALUE"""),"-")</f>
        <v>-</v>
      </c>
      <c r="D7959" s="234"/>
      <c r="E7959" s="237"/>
      <c r="F7959" s="238" t="str">
        <f>IFERROR(__xludf.DUMMYFUNCTION("""COMPUTED_VALUE"""),"-")</f>
        <v>-</v>
      </c>
      <c r="G7959" s="238" t="str">
        <f>IFERROR(__xludf.DUMMYFUNCTION("""COMPUTED_VALUE"""),"-")</f>
        <v>-</v>
      </c>
      <c r="H7959" s="238" t="str">
        <f>IFERROR(__xludf.DUMMYFUNCTION("""COMPUTED_VALUE"""),"-")</f>
        <v>-</v>
      </c>
      <c r="J7959" s="239" t="s">
        <v>6330</v>
      </c>
    </row>
    <row r="7960">
      <c r="A7960" s="234"/>
      <c r="B7960" s="238" t="str">
        <f>IFERROR(__xludf.DUMMYFUNCTION("""COMPUTED_VALUE"""),"-")</f>
        <v>-</v>
      </c>
      <c r="C7960" s="238" t="str">
        <f>IFERROR(__xludf.DUMMYFUNCTION("""COMPUTED_VALUE"""),"-")</f>
        <v>-</v>
      </c>
      <c r="D7960" s="234"/>
      <c r="E7960" s="237"/>
      <c r="F7960" s="238" t="str">
        <f>IFERROR(__xludf.DUMMYFUNCTION("""COMPUTED_VALUE"""),"-")</f>
        <v>-</v>
      </c>
      <c r="G7960" s="238" t="str">
        <f>IFERROR(__xludf.DUMMYFUNCTION("""COMPUTED_VALUE"""),"-")</f>
        <v>-</v>
      </c>
      <c r="H7960" s="238" t="str">
        <f>IFERROR(__xludf.DUMMYFUNCTION("""COMPUTED_VALUE"""),"-")</f>
        <v>-</v>
      </c>
      <c r="J7960" s="239" t="s">
        <v>6330</v>
      </c>
    </row>
    <row r="7961">
      <c r="A7961" s="234"/>
      <c r="B7961" s="238" t="str">
        <f>IFERROR(__xludf.DUMMYFUNCTION("""COMPUTED_VALUE"""),"-")</f>
        <v>-</v>
      </c>
      <c r="C7961" s="238" t="str">
        <f>IFERROR(__xludf.DUMMYFUNCTION("""COMPUTED_VALUE"""),"-")</f>
        <v>-</v>
      </c>
      <c r="D7961" s="234"/>
      <c r="E7961" s="237"/>
      <c r="F7961" s="238" t="str">
        <f>IFERROR(__xludf.DUMMYFUNCTION("""COMPUTED_VALUE"""),"-")</f>
        <v>-</v>
      </c>
      <c r="G7961" s="238" t="str">
        <f>IFERROR(__xludf.DUMMYFUNCTION("""COMPUTED_VALUE"""),"-")</f>
        <v>-</v>
      </c>
      <c r="H7961" s="238" t="str">
        <f>IFERROR(__xludf.DUMMYFUNCTION("""COMPUTED_VALUE"""),"-")</f>
        <v>-</v>
      </c>
      <c r="J7961" s="239" t="s">
        <v>6330</v>
      </c>
    </row>
    <row r="7962">
      <c r="A7962" s="234"/>
      <c r="B7962" s="238" t="str">
        <f>IFERROR(__xludf.DUMMYFUNCTION("""COMPUTED_VALUE"""),"-")</f>
        <v>-</v>
      </c>
      <c r="C7962" s="238" t="str">
        <f>IFERROR(__xludf.DUMMYFUNCTION("""COMPUTED_VALUE"""),"-")</f>
        <v>-</v>
      </c>
      <c r="D7962" s="234"/>
      <c r="E7962" s="237"/>
      <c r="F7962" s="238" t="str">
        <f>IFERROR(__xludf.DUMMYFUNCTION("""COMPUTED_VALUE"""),"-")</f>
        <v>-</v>
      </c>
      <c r="G7962" s="238" t="str">
        <f>IFERROR(__xludf.DUMMYFUNCTION("""COMPUTED_VALUE"""),"-")</f>
        <v>-</v>
      </c>
      <c r="H7962" s="238" t="str">
        <f>IFERROR(__xludf.DUMMYFUNCTION("""COMPUTED_VALUE"""),"-")</f>
        <v>-</v>
      </c>
      <c r="J7962" s="239" t="s">
        <v>6330</v>
      </c>
    </row>
    <row r="7963">
      <c r="A7963" s="234"/>
      <c r="B7963" s="238" t="str">
        <f>IFERROR(__xludf.DUMMYFUNCTION("""COMPUTED_VALUE"""),"-")</f>
        <v>-</v>
      </c>
      <c r="C7963" s="238" t="str">
        <f>IFERROR(__xludf.DUMMYFUNCTION("""COMPUTED_VALUE"""),"-")</f>
        <v>-</v>
      </c>
      <c r="D7963" s="234"/>
      <c r="E7963" s="237"/>
      <c r="F7963" s="238" t="str">
        <f>IFERROR(__xludf.DUMMYFUNCTION("""COMPUTED_VALUE"""),"-")</f>
        <v>-</v>
      </c>
      <c r="G7963" s="238" t="str">
        <f>IFERROR(__xludf.DUMMYFUNCTION("""COMPUTED_VALUE"""),"-")</f>
        <v>-</v>
      </c>
      <c r="H7963" s="238" t="str">
        <f>IFERROR(__xludf.DUMMYFUNCTION("""COMPUTED_VALUE"""),"-")</f>
        <v>-</v>
      </c>
      <c r="J7963" s="239" t="s">
        <v>6330</v>
      </c>
    </row>
    <row r="7964">
      <c r="A7964" s="234"/>
      <c r="B7964" s="238" t="str">
        <f>IFERROR(__xludf.DUMMYFUNCTION("""COMPUTED_VALUE"""),"-")</f>
        <v>-</v>
      </c>
      <c r="C7964" s="238" t="str">
        <f>IFERROR(__xludf.DUMMYFUNCTION("""COMPUTED_VALUE"""),"-")</f>
        <v>-</v>
      </c>
      <c r="D7964" s="234"/>
      <c r="E7964" s="237"/>
      <c r="F7964" s="238" t="str">
        <f>IFERROR(__xludf.DUMMYFUNCTION("""COMPUTED_VALUE"""),"-")</f>
        <v>-</v>
      </c>
      <c r="G7964" s="238" t="str">
        <f>IFERROR(__xludf.DUMMYFUNCTION("""COMPUTED_VALUE"""),"-")</f>
        <v>-</v>
      </c>
      <c r="H7964" s="238" t="str">
        <f>IFERROR(__xludf.DUMMYFUNCTION("""COMPUTED_VALUE"""),"-")</f>
        <v>-</v>
      </c>
      <c r="J7964" s="239" t="s">
        <v>6330</v>
      </c>
    </row>
    <row r="7965">
      <c r="A7965" s="234"/>
      <c r="B7965" s="238" t="str">
        <f>IFERROR(__xludf.DUMMYFUNCTION("""COMPUTED_VALUE"""),"-")</f>
        <v>-</v>
      </c>
      <c r="C7965" s="238" t="str">
        <f>IFERROR(__xludf.DUMMYFUNCTION("""COMPUTED_VALUE"""),"-")</f>
        <v>-</v>
      </c>
      <c r="D7965" s="234"/>
      <c r="E7965" s="237"/>
      <c r="F7965" s="238" t="str">
        <f>IFERROR(__xludf.DUMMYFUNCTION("""COMPUTED_VALUE"""),"-")</f>
        <v>-</v>
      </c>
      <c r="G7965" s="238" t="str">
        <f>IFERROR(__xludf.DUMMYFUNCTION("""COMPUTED_VALUE"""),"-")</f>
        <v>-</v>
      </c>
      <c r="H7965" s="238" t="str">
        <f>IFERROR(__xludf.DUMMYFUNCTION("""COMPUTED_VALUE"""),"-")</f>
        <v>-</v>
      </c>
      <c r="J7965" s="239" t="s">
        <v>6330</v>
      </c>
    </row>
    <row r="7966">
      <c r="A7966" s="234"/>
      <c r="B7966" s="238" t="str">
        <f>IFERROR(__xludf.DUMMYFUNCTION("""COMPUTED_VALUE"""),"-")</f>
        <v>-</v>
      </c>
      <c r="C7966" s="238" t="str">
        <f>IFERROR(__xludf.DUMMYFUNCTION("""COMPUTED_VALUE"""),"-")</f>
        <v>-</v>
      </c>
      <c r="D7966" s="234"/>
      <c r="E7966" s="237"/>
      <c r="F7966" s="238" t="str">
        <f>IFERROR(__xludf.DUMMYFUNCTION("""COMPUTED_VALUE"""),"-")</f>
        <v>-</v>
      </c>
      <c r="G7966" s="238" t="str">
        <f>IFERROR(__xludf.DUMMYFUNCTION("""COMPUTED_VALUE"""),"-")</f>
        <v>-</v>
      </c>
      <c r="H7966" s="238" t="str">
        <f>IFERROR(__xludf.DUMMYFUNCTION("""COMPUTED_VALUE"""),"-")</f>
        <v>-</v>
      </c>
      <c r="J7966" s="239" t="s">
        <v>6330</v>
      </c>
    </row>
    <row r="7967">
      <c r="A7967" s="234"/>
      <c r="B7967" s="238" t="str">
        <f>IFERROR(__xludf.DUMMYFUNCTION("""COMPUTED_VALUE"""),"-")</f>
        <v>-</v>
      </c>
      <c r="C7967" s="238" t="str">
        <f>IFERROR(__xludf.DUMMYFUNCTION("""COMPUTED_VALUE"""),"-")</f>
        <v>-</v>
      </c>
      <c r="D7967" s="234"/>
      <c r="E7967" s="237"/>
      <c r="F7967" s="238" t="str">
        <f>IFERROR(__xludf.DUMMYFUNCTION("""COMPUTED_VALUE"""),"-")</f>
        <v>-</v>
      </c>
      <c r="G7967" s="238" t="str">
        <f>IFERROR(__xludf.DUMMYFUNCTION("""COMPUTED_VALUE"""),"-")</f>
        <v>-</v>
      </c>
      <c r="H7967" s="238" t="str">
        <f>IFERROR(__xludf.DUMMYFUNCTION("""COMPUTED_VALUE"""),"-")</f>
        <v>-</v>
      </c>
      <c r="J7967" s="239" t="s">
        <v>6330</v>
      </c>
    </row>
    <row r="7968">
      <c r="A7968" s="234"/>
      <c r="B7968" s="238" t="str">
        <f>IFERROR(__xludf.DUMMYFUNCTION("""COMPUTED_VALUE"""),"-")</f>
        <v>-</v>
      </c>
      <c r="C7968" s="238" t="str">
        <f>IFERROR(__xludf.DUMMYFUNCTION("""COMPUTED_VALUE"""),"-")</f>
        <v>-</v>
      </c>
      <c r="D7968" s="234"/>
      <c r="E7968" s="237"/>
      <c r="F7968" s="238" t="str">
        <f>IFERROR(__xludf.DUMMYFUNCTION("""COMPUTED_VALUE"""),"-")</f>
        <v>-</v>
      </c>
      <c r="G7968" s="238" t="str">
        <f>IFERROR(__xludf.DUMMYFUNCTION("""COMPUTED_VALUE"""),"-")</f>
        <v>-</v>
      </c>
      <c r="H7968" s="238" t="str">
        <f>IFERROR(__xludf.DUMMYFUNCTION("""COMPUTED_VALUE"""),"-")</f>
        <v>-</v>
      </c>
      <c r="J7968" s="239" t="s">
        <v>6330</v>
      </c>
    </row>
    <row r="7969">
      <c r="A7969" s="234"/>
      <c r="B7969" s="238" t="str">
        <f>IFERROR(__xludf.DUMMYFUNCTION("""COMPUTED_VALUE"""),"-")</f>
        <v>-</v>
      </c>
      <c r="C7969" s="238" t="str">
        <f>IFERROR(__xludf.DUMMYFUNCTION("""COMPUTED_VALUE"""),"-")</f>
        <v>-</v>
      </c>
      <c r="D7969" s="234"/>
      <c r="E7969" s="237"/>
      <c r="F7969" s="238" t="str">
        <f>IFERROR(__xludf.DUMMYFUNCTION("""COMPUTED_VALUE"""),"-")</f>
        <v>-</v>
      </c>
      <c r="G7969" s="238" t="str">
        <f>IFERROR(__xludf.DUMMYFUNCTION("""COMPUTED_VALUE"""),"-")</f>
        <v>-</v>
      </c>
      <c r="H7969" s="238" t="str">
        <f>IFERROR(__xludf.DUMMYFUNCTION("""COMPUTED_VALUE"""),"-")</f>
        <v>-</v>
      </c>
      <c r="J7969" s="239" t="s">
        <v>6330</v>
      </c>
    </row>
    <row r="7970">
      <c r="A7970" s="234"/>
      <c r="B7970" s="238" t="str">
        <f>IFERROR(__xludf.DUMMYFUNCTION("""COMPUTED_VALUE"""),"-")</f>
        <v>-</v>
      </c>
      <c r="C7970" s="238" t="str">
        <f>IFERROR(__xludf.DUMMYFUNCTION("""COMPUTED_VALUE"""),"-")</f>
        <v>-</v>
      </c>
      <c r="D7970" s="234"/>
      <c r="E7970" s="237"/>
      <c r="F7970" s="238" t="str">
        <f>IFERROR(__xludf.DUMMYFUNCTION("""COMPUTED_VALUE"""),"-")</f>
        <v>-</v>
      </c>
      <c r="G7970" s="238" t="str">
        <f>IFERROR(__xludf.DUMMYFUNCTION("""COMPUTED_VALUE"""),"-")</f>
        <v>-</v>
      </c>
      <c r="H7970" s="238" t="str">
        <f>IFERROR(__xludf.DUMMYFUNCTION("""COMPUTED_VALUE"""),"-")</f>
        <v>-</v>
      </c>
      <c r="J7970" s="239" t="s">
        <v>6330</v>
      </c>
    </row>
    <row r="7971">
      <c r="A7971" s="234"/>
      <c r="B7971" s="238" t="str">
        <f>IFERROR(__xludf.DUMMYFUNCTION("""COMPUTED_VALUE"""),"-")</f>
        <v>-</v>
      </c>
      <c r="C7971" s="238" t="str">
        <f>IFERROR(__xludf.DUMMYFUNCTION("""COMPUTED_VALUE"""),"-")</f>
        <v>-</v>
      </c>
      <c r="D7971" s="234"/>
      <c r="E7971" s="237"/>
      <c r="F7971" s="238" t="str">
        <f>IFERROR(__xludf.DUMMYFUNCTION("""COMPUTED_VALUE"""),"-")</f>
        <v>-</v>
      </c>
      <c r="G7971" s="238" t="str">
        <f>IFERROR(__xludf.DUMMYFUNCTION("""COMPUTED_VALUE"""),"-")</f>
        <v>-</v>
      </c>
      <c r="H7971" s="238" t="str">
        <f>IFERROR(__xludf.DUMMYFUNCTION("""COMPUTED_VALUE"""),"-")</f>
        <v>-</v>
      </c>
      <c r="J7971" s="239" t="s">
        <v>6330</v>
      </c>
    </row>
    <row r="7972">
      <c r="A7972" s="234"/>
      <c r="B7972" s="238" t="str">
        <f>IFERROR(__xludf.DUMMYFUNCTION("""COMPUTED_VALUE"""),"-")</f>
        <v>-</v>
      </c>
      <c r="C7972" s="238" t="str">
        <f>IFERROR(__xludf.DUMMYFUNCTION("""COMPUTED_VALUE"""),"-")</f>
        <v>-</v>
      </c>
      <c r="D7972" s="234"/>
      <c r="E7972" s="237"/>
      <c r="F7972" s="238" t="str">
        <f>IFERROR(__xludf.DUMMYFUNCTION("""COMPUTED_VALUE"""),"-")</f>
        <v>-</v>
      </c>
      <c r="G7972" s="238" t="str">
        <f>IFERROR(__xludf.DUMMYFUNCTION("""COMPUTED_VALUE"""),"-")</f>
        <v>-</v>
      </c>
      <c r="H7972" s="238" t="str">
        <f>IFERROR(__xludf.DUMMYFUNCTION("""COMPUTED_VALUE"""),"-")</f>
        <v>-</v>
      </c>
      <c r="J7972" s="239" t="s">
        <v>6330</v>
      </c>
    </row>
    <row r="7973">
      <c r="A7973" s="234"/>
      <c r="B7973" s="238" t="str">
        <f>IFERROR(__xludf.DUMMYFUNCTION("""COMPUTED_VALUE"""),"-")</f>
        <v>-</v>
      </c>
      <c r="C7973" s="238" t="str">
        <f>IFERROR(__xludf.DUMMYFUNCTION("""COMPUTED_VALUE"""),"-")</f>
        <v>-</v>
      </c>
      <c r="D7973" s="234"/>
      <c r="E7973" s="237"/>
      <c r="F7973" s="238" t="str">
        <f>IFERROR(__xludf.DUMMYFUNCTION("""COMPUTED_VALUE"""),"-")</f>
        <v>-</v>
      </c>
      <c r="G7973" s="238" t="str">
        <f>IFERROR(__xludf.DUMMYFUNCTION("""COMPUTED_VALUE"""),"-")</f>
        <v>-</v>
      </c>
      <c r="H7973" s="238" t="str">
        <f>IFERROR(__xludf.DUMMYFUNCTION("""COMPUTED_VALUE"""),"-")</f>
        <v>-</v>
      </c>
      <c r="J7973" s="239" t="s">
        <v>6330</v>
      </c>
    </row>
    <row r="7974">
      <c r="A7974" s="234"/>
      <c r="B7974" s="238" t="str">
        <f>IFERROR(__xludf.DUMMYFUNCTION("""COMPUTED_VALUE"""),"-")</f>
        <v>-</v>
      </c>
      <c r="C7974" s="238" t="str">
        <f>IFERROR(__xludf.DUMMYFUNCTION("""COMPUTED_VALUE"""),"-")</f>
        <v>-</v>
      </c>
      <c r="D7974" s="234"/>
      <c r="E7974" s="237"/>
      <c r="F7974" s="238" t="str">
        <f>IFERROR(__xludf.DUMMYFUNCTION("""COMPUTED_VALUE"""),"-")</f>
        <v>-</v>
      </c>
      <c r="G7974" s="238" t="str">
        <f>IFERROR(__xludf.DUMMYFUNCTION("""COMPUTED_VALUE"""),"-")</f>
        <v>-</v>
      </c>
      <c r="H7974" s="238" t="str">
        <f>IFERROR(__xludf.DUMMYFUNCTION("""COMPUTED_VALUE"""),"-")</f>
        <v>-</v>
      </c>
      <c r="J7974" s="239" t="s">
        <v>6330</v>
      </c>
    </row>
    <row r="7975">
      <c r="A7975" s="234"/>
      <c r="B7975" s="238" t="str">
        <f>IFERROR(__xludf.DUMMYFUNCTION("""COMPUTED_VALUE"""),"-")</f>
        <v>-</v>
      </c>
      <c r="C7975" s="238" t="str">
        <f>IFERROR(__xludf.DUMMYFUNCTION("""COMPUTED_VALUE"""),"-")</f>
        <v>-</v>
      </c>
      <c r="D7975" s="234"/>
      <c r="E7975" s="237"/>
      <c r="F7975" s="238" t="str">
        <f>IFERROR(__xludf.DUMMYFUNCTION("""COMPUTED_VALUE"""),"-")</f>
        <v>-</v>
      </c>
      <c r="G7975" s="238" t="str">
        <f>IFERROR(__xludf.DUMMYFUNCTION("""COMPUTED_VALUE"""),"-")</f>
        <v>-</v>
      </c>
      <c r="H7975" s="238" t="str">
        <f>IFERROR(__xludf.DUMMYFUNCTION("""COMPUTED_VALUE"""),"-")</f>
        <v>-</v>
      </c>
      <c r="J7975" s="239" t="s">
        <v>6330</v>
      </c>
    </row>
    <row r="7976">
      <c r="A7976" s="234"/>
      <c r="B7976" s="238" t="str">
        <f>IFERROR(__xludf.DUMMYFUNCTION("""COMPUTED_VALUE"""),"-")</f>
        <v>-</v>
      </c>
      <c r="C7976" s="238" t="str">
        <f>IFERROR(__xludf.DUMMYFUNCTION("""COMPUTED_VALUE"""),"-")</f>
        <v>-</v>
      </c>
      <c r="D7976" s="234"/>
      <c r="E7976" s="237"/>
      <c r="F7976" s="238" t="str">
        <f>IFERROR(__xludf.DUMMYFUNCTION("""COMPUTED_VALUE"""),"-")</f>
        <v>-</v>
      </c>
      <c r="G7976" s="238" t="str">
        <f>IFERROR(__xludf.DUMMYFUNCTION("""COMPUTED_VALUE"""),"-")</f>
        <v>-</v>
      </c>
      <c r="H7976" s="238" t="str">
        <f>IFERROR(__xludf.DUMMYFUNCTION("""COMPUTED_VALUE"""),"-")</f>
        <v>-</v>
      </c>
      <c r="J7976" s="239" t="s">
        <v>6330</v>
      </c>
    </row>
    <row r="7977">
      <c r="A7977" s="234"/>
      <c r="B7977" s="238" t="str">
        <f>IFERROR(__xludf.DUMMYFUNCTION("""COMPUTED_VALUE"""),"-")</f>
        <v>-</v>
      </c>
      <c r="C7977" s="238" t="str">
        <f>IFERROR(__xludf.DUMMYFUNCTION("""COMPUTED_VALUE"""),"-")</f>
        <v>-</v>
      </c>
      <c r="D7977" s="234"/>
      <c r="E7977" s="237"/>
      <c r="F7977" s="238" t="str">
        <f>IFERROR(__xludf.DUMMYFUNCTION("""COMPUTED_VALUE"""),"-")</f>
        <v>-</v>
      </c>
      <c r="G7977" s="238" t="str">
        <f>IFERROR(__xludf.DUMMYFUNCTION("""COMPUTED_VALUE"""),"-")</f>
        <v>-</v>
      </c>
      <c r="H7977" s="238" t="str">
        <f>IFERROR(__xludf.DUMMYFUNCTION("""COMPUTED_VALUE"""),"-")</f>
        <v>-</v>
      </c>
      <c r="J7977" s="239" t="s">
        <v>6330</v>
      </c>
    </row>
    <row r="7978">
      <c r="A7978" s="234"/>
      <c r="B7978" s="238" t="str">
        <f>IFERROR(__xludf.DUMMYFUNCTION("""COMPUTED_VALUE"""),"-")</f>
        <v>-</v>
      </c>
      <c r="C7978" s="238" t="str">
        <f>IFERROR(__xludf.DUMMYFUNCTION("""COMPUTED_VALUE"""),"-")</f>
        <v>-</v>
      </c>
      <c r="D7978" s="234"/>
      <c r="E7978" s="237"/>
      <c r="F7978" s="238" t="str">
        <f>IFERROR(__xludf.DUMMYFUNCTION("""COMPUTED_VALUE"""),"-")</f>
        <v>-</v>
      </c>
      <c r="G7978" s="238" t="str">
        <f>IFERROR(__xludf.DUMMYFUNCTION("""COMPUTED_VALUE"""),"-")</f>
        <v>-</v>
      </c>
      <c r="H7978" s="238" t="str">
        <f>IFERROR(__xludf.DUMMYFUNCTION("""COMPUTED_VALUE"""),"-")</f>
        <v>-</v>
      </c>
      <c r="J7978" s="239" t="s">
        <v>6330</v>
      </c>
    </row>
    <row r="7979">
      <c r="A7979" s="234"/>
      <c r="B7979" s="238" t="str">
        <f>IFERROR(__xludf.DUMMYFUNCTION("""COMPUTED_VALUE"""),"-")</f>
        <v>-</v>
      </c>
      <c r="C7979" s="238" t="str">
        <f>IFERROR(__xludf.DUMMYFUNCTION("""COMPUTED_VALUE"""),"-")</f>
        <v>-</v>
      </c>
      <c r="D7979" s="234"/>
      <c r="E7979" s="237"/>
      <c r="F7979" s="238" t="str">
        <f>IFERROR(__xludf.DUMMYFUNCTION("""COMPUTED_VALUE"""),"-")</f>
        <v>-</v>
      </c>
      <c r="G7979" s="238" t="str">
        <f>IFERROR(__xludf.DUMMYFUNCTION("""COMPUTED_VALUE"""),"-")</f>
        <v>-</v>
      </c>
      <c r="H7979" s="238" t="str">
        <f>IFERROR(__xludf.DUMMYFUNCTION("""COMPUTED_VALUE"""),"-")</f>
        <v>-</v>
      </c>
      <c r="J7979" s="239" t="s">
        <v>6330</v>
      </c>
    </row>
    <row r="7980">
      <c r="A7980" s="234"/>
      <c r="B7980" s="238" t="str">
        <f>IFERROR(__xludf.DUMMYFUNCTION("""COMPUTED_VALUE"""),"-")</f>
        <v>-</v>
      </c>
      <c r="C7980" s="238" t="str">
        <f>IFERROR(__xludf.DUMMYFUNCTION("""COMPUTED_VALUE"""),"-")</f>
        <v>-</v>
      </c>
      <c r="D7980" s="234"/>
      <c r="E7980" s="237"/>
      <c r="F7980" s="238" t="str">
        <f>IFERROR(__xludf.DUMMYFUNCTION("""COMPUTED_VALUE"""),"-")</f>
        <v>-</v>
      </c>
      <c r="G7980" s="238" t="str">
        <f>IFERROR(__xludf.DUMMYFUNCTION("""COMPUTED_VALUE"""),"-")</f>
        <v>-</v>
      </c>
      <c r="H7980" s="238" t="str">
        <f>IFERROR(__xludf.DUMMYFUNCTION("""COMPUTED_VALUE"""),"-")</f>
        <v>-</v>
      </c>
      <c r="J7980" s="239" t="s">
        <v>6330</v>
      </c>
    </row>
    <row r="7981">
      <c r="A7981" s="234"/>
      <c r="B7981" s="238" t="str">
        <f>IFERROR(__xludf.DUMMYFUNCTION("""COMPUTED_VALUE"""),"-")</f>
        <v>-</v>
      </c>
      <c r="C7981" s="238" t="str">
        <f>IFERROR(__xludf.DUMMYFUNCTION("""COMPUTED_VALUE"""),"-")</f>
        <v>-</v>
      </c>
      <c r="D7981" s="234"/>
      <c r="E7981" s="237"/>
      <c r="F7981" s="238" t="str">
        <f>IFERROR(__xludf.DUMMYFUNCTION("""COMPUTED_VALUE"""),"-")</f>
        <v>-</v>
      </c>
      <c r="G7981" s="238" t="str">
        <f>IFERROR(__xludf.DUMMYFUNCTION("""COMPUTED_VALUE"""),"-")</f>
        <v>-</v>
      </c>
      <c r="H7981" s="238" t="str">
        <f>IFERROR(__xludf.DUMMYFUNCTION("""COMPUTED_VALUE"""),"-")</f>
        <v>-</v>
      </c>
      <c r="J7981" s="239" t="s">
        <v>6330</v>
      </c>
    </row>
    <row r="7982">
      <c r="A7982" s="234"/>
      <c r="B7982" s="238" t="str">
        <f>IFERROR(__xludf.DUMMYFUNCTION("""COMPUTED_VALUE"""),"-")</f>
        <v>-</v>
      </c>
      <c r="C7982" s="238" t="str">
        <f>IFERROR(__xludf.DUMMYFUNCTION("""COMPUTED_VALUE"""),"-")</f>
        <v>-</v>
      </c>
      <c r="D7982" s="234"/>
      <c r="E7982" s="237"/>
      <c r="F7982" s="238" t="str">
        <f>IFERROR(__xludf.DUMMYFUNCTION("""COMPUTED_VALUE"""),"-")</f>
        <v>-</v>
      </c>
      <c r="G7982" s="238" t="str">
        <f>IFERROR(__xludf.DUMMYFUNCTION("""COMPUTED_VALUE"""),"-")</f>
        <v>-</v>
      </c>
      <c r="H7982" s="238" t="str">
        <f>IFERROR(__xludf.DUMMYFUNCTION("""COMPUTED_VALUE"""),"-")</f>
        <v>-</v>
      </c>
      <c r="J7982" s="239" t="s">
        <v>6330</v>
      </c>
    </row>
    <row r="7983">
      <c r="A7983" s="234"/>
      <c r="B7983" s="238" t="str">
        <f>IFERROR(__xludf.DUMMYFUNCTION("""COMPUTED_VALUE"""),"-")</f>
        <v>-</v>
      </c>
      <c r="C7983" s="238" t="str">
        <f>IFERROR(__xludf.DUMMYFUNCTION("""COMPUTED_VALUE"""),"-")</f>
        <v>-</v>
      </c>
      <c r="D7983" s="234"/>
      <c r="E7983" s="237"/>
      <c r="F7983" s="238" t="str">
        <f>IFERROR(__xludf.DUMMYFUNCTION("""COMPUTED_VALUE"""),"-")</f>
        <v>-</v>
      </c>
      <c r="G7983" s="238" t="str">
        <f>IFERROR(__xludf.DUMMYFUNCTION("""COMPUTED_VALUE"""),"-")</f>
        <v>-</v>
      </c>
      <c r="H7983" s="238" t="str">
        <f>IFERROR(__xludf.DUMMYFUNCTION("""COMPUTED_VALUE"""),"-")</f>
        <v>-</v>
      </c>
      <c r="J7983" s="239" t="s">
        <v>6330</v>
      </c>
    </row>
    <row r="7984">
      <c r="A7984" s="234"/>
      <c r="B7984" s="238" t="str">
        <f>IFERROR(__xludf.DUMMYFUNCTION("""COMPUTED_VALUE"""),"-")</f>
        <v>-</v>
      </c>
      <c r="C7984" s="238" t="str">
        <f>IFERROR(__xludf.DUMMYFUNCTION("""COMPUTED_VALUE"""),"-")</f>
        <v>-</v>
      </c>
      <c r="D7984" s="234"/>
      <c r="E7984" s="237"/>
      <c r="F7984" s="238" t="str">
        <f>IFERROR(__xludf.DUMMYFUNCTION("""COMPUTED_VALUE"""),"-")</f>
        <v>-</v>
      </c>
      <c r="G7984" s="238" t="str">
        <f>IFERROR(__xludf.DUMMYFUNCTION("""COMPUTED_VALUE"""),"-")</f>
        <v>-</v>
      </c>
      <c r="H7984" s="238" t="str">
        <f>IFERROR(__xludf.DUMMYFUNCTION("""COMPUTED_VALUE"""),"-")</f>
        <v>-</v>
      </c>
      <c r="J7984" s="239" t="s">
        <v>6330</v>
      </c>
    </row>
    <row r="7985">
      <c r="A7985" s="234"/>
      <c r="B7985" s="238" t="str">
        <f>IFERROR(__xludf.DUMMYFUNCTION("""COMPUTED_VALUE"""),"-")</f>
        <v>-</v>
      </c>
      <c r="C7985" s="238" t="str">
        <f>IFERROR(__xludf.DUMMYFUNCTION("""COMPUTED_VALUE"""),"-")</f>
        <v>-</v>
      </c>
      <c r="D7985" s="234"/>
      <c r="E7985" s="237"/>
      <c r="F7985" s="238" t="str">
        <f>IFERROR(__xludf.DUMMYFUNCTION("""COMPUTED_VALUE"""),"-")</f>
        <v>-</v>
      </c>
      <c r="G7985" s="238" t="str">
        <f>IFERROR(__xludf.DUMMYFUNCTION("""COMPUTED_VALUE"""),"-")</f>
        <v>-</v>
      </c>
      <c r="H7985" s="238" t="str">
        <f>IFERROR(__xludf.DUMMYFUNCTION("""COMPUTED_VALUE"""),"-")</f>
        <v>-</v>
      </c>
      <c r="J7985" s="239" t="s">
        <v>6330</v>
      </c>
    </row>
    <row r="7986">
      <c r="A7986" s="234"/>
      <c r="B7986" s="238" t="str">
        <f>IFERROR(__xludf.DUMMYFUNCTION("""COMPUTED_VALUE"""),"-")</f>
        <v>-</v>
      </c>
      <c r="C7986" s="238" t="str">
        <f>IFERROR(__xludf.DUMMYFUNCTION("""COMPUTED_VALUE"""),"-")</f>
        <v>-</v>
      </c>
      <c r="D7986" s="234"/>
      <c r="E7986" s="237"/>
      <c r="F7986" s="238" t="str">
        <f>IFERROR(__xludf.DUMMYFUNCTION("""COMPUTED_VALUE"""),"-")</f>
        <v>-</v>
      </c>
      <c r="G7986" s="238" t="str">
        <f>IFERROR(__xludf.DUMMYFUNCTION("""COMPUTED_VALUE"""),"-")</f>
        <v>-</v>
      </c>
      <c r="H7986" s="238" t="str">
        <f>IFERROR(__xludf.DUMMYFUNCTION("""COMPUTED_VALUE"""),"-")</f>
        <v>-</v>
      </c>
      <c r="J7986" s="239" t="s">
        <v>6330</v>
      </c>
    </row>
    <row r="7987">
      <c r="A7987" s="234"/>
      <c r="B7987" s="238" t="str">
        <f>IFERROR(__xludf.DUMMYFUNCTION("""COMPUTED_VALUE"""),"-")</f>
        <v>-</v>
      </c>
      <c r="C7987" s="238" t="str">
        <f>IFERROR(__xludf.DUMMYFUNCTION("""COMPUTED_VALUE"""),"-")</f>
        <v>-</v>
      </c>
      <c r="D7987" s="234"/>
      <c r="E7987" s="237"/>
      <c r="F7987" s="238" t="str">
        <f>IFERROR(__xludf.DUMMYFUNCTION("""COMPUTED_VALUE"""),"-")</f>
        <v>-</v>
      </c>
      <c r="G7987" s="238" t="str">
        <f>IFERROR(__xludf.DUMMYFUNCTION("""COMPUTED_VALUE"""),"-")</f>
        <v>-</v>
      </c>
      <c r="H7987" s="238" t="str">
        <f>IFERROR(__xludf.DUMMYFUNCTION("""COMPUTED_VALUE"""),"-")</f>
        <v>-</v>
      </c>
      <c r="J7987" s="239" t="s">
        <v>6330</v>
      </c>
    </row>
    <row r="7988">
      <c r="A7988" s="234"/>
      <c r="B7988" s="238" t="str">
        <f>IFERROR(__xludf.DUMMYFUNCTION("""COMPUTED_VALUE"""),"-")</f>
        <v>-</v>
      </c>
      <c r="C7988" s="238" t="str">
        <f>IFERROR(__xludf.DUMMYFUNCTION("""COMPUTED_VALUE"""),"-")</f>
        <v>-</v>
      </c>
      <c r="D7988" s="234"/>
      <c r="E7988" s="237"/>
      <c r="F7988" s="238" t="str">
        <f>IFERROR(__xludf.DUMMYFUNCTION("""COMPUTED_VALUE"""),"-")</f>
        <v>-</v>
      </c>
      <c r="G7988" s="238" t="str">
        <f>IFERROR(__xludf.DUMMYFUNCTION("""COMPUTED_VALUE"""),"-")</f>
        <v>-</v>
      </c>
      <c r="H7988" s="238" t="str">
        <f>IFERROR(__xludf.DUMMYFUNCTION("""COMPUTED_VALUE"""),"-")</f>
        <v>-</v>
      </c>
      <c r="J7988" s="239" t="s">
        <v>6330</v>
      </c>
    </row>
    <row r="7989">
      <c r="A7989" s="234"/>
      <c r="B7989" s="238" t="str">
        <f>IFERROR(__xludf.DUMMYFUNCTION("""COMPUTED_VALUE"""),"-")</f>
        <v>-</v>
      </c>
      <c r="C7989" s="238" t="str">
        <f>IFERROR(__xludf.DUMMYFUNCTION("""COMPUTED_VALUE"""),"-")</f>
        <v>-</v>
      </c>
      <c r="D7989" s="234"/>
      <c r="E7989" s="237"/>
      <c r="F7989" s="238" t="str">
        <f>IFERROR(__xludf.DUMMYFUNCTION("""COMPUTED_VALUE"""),"-")</f>
        <v>-</v>
      </c>
      <c r="G7989" s="238" t="str">
        <f>IFERROR(__xludf.DUMMYFUNCTION("""COMPUTED_VALUE"""),"-")</f>
        <v>-</v>
      </c>
      <c r="H7989" s="238" t="str">
        <f>IFERROR(__xludf.DUMMYFUNCTION("""COMPUTED_VALUE"""),"-")</f>
        <v>-</v>
      </c>
      <c r="J7989" s="239" t="s">
        <v>6330</v>
      </c>
    </row>
    <row r="7990">
      <c r="A7990" s="234"/>
      <c r="B7990" s="238" t="str">
        <f>IFERROR(__xludf.DUMMYFUNCTION("""COMPUTED_VALUE"""),"-")</f>
        <v>-</v>
      </c>
      <c r="C7990" s="238" t="str">
        <f>IFERROR(__xludf.DUMMYFUNCTION("""COMPUTED_VALUE"""),"-")</f>
        <v>-</v>
      </c>
      <c r="D7990" s="234"/>
      <c r="E7990" s="237"/>
      <c r="F7990" s="238" t="str">
        <f>IFERROR(__xludf.DUMMYFUNCTION("""COMPUTED_VALUE"""),"-")</f>
        <v>-</v>
      </c>
      <c r="G7990" s="238" t="str">
        <f>IFERROR(__xludf.DUMMYFUNCTION("""COMPUTED_VALUE"""),"-")</f>
        <v>-</v>
      </c>
      <c r="H7990" s="238" t="str">
        <f>IFERROR(__xludf.DUMMYFUNCTION("""COMPUTED_VALUE"""),"-")</f>
        <v>-</v>
      </c>
      <c r="J7990" s="239" t="s">
        <v>6330</v>
      </c>
    </row>
    <row r="7991">
      <c r="A7991" s="234"/>
      <c r="B7991" s="238" t="str">
        <f>IFERROR(__xludf.DUMMYFUNCTION("""COMPUTED_VALUE"""),"-")</f>
        <v>-</v>
      </c>
      <c r="C7991" s="238" t="str">
        <f>IFERROR(__xludf.DUMMYFUNCTION("""COMPUTED_VALUE"""),"-")</f>
        <v>-</v>
      </c>
      <c r="D7991" s="234"/>
      <c r="E7991" s="237"/>
      <c r="F7991" s="238" t="str">
        <f>IFERROR(__xludf.DUMMYFUNCTION("""COMPUTED_VALUE"""),"-")</f>
        <v>-</v>
      </c>
      <c r="G7991" s="238" t="str">
        <f>IFERROR(__xludf.DUMMYFUNCTION("""COMPUTED_VALUE"""),"-")</f>
        <v>-</v>
      </c>
      <c r="H7991" s="238" t="str">
        <f>IFERROR(__xludf.DUMMYFUNCTION("""COMPUTED_VALUE"""),"-")</f>
        <v>-</v>
      </c>
      <c r="J7991" s="239" t="s">
        <v>6330</v>
      </c>
    </row>
    <row r="7992">
      <c r="A7992" s="234"/>
      <c r="B7992" s="238" t="str">
        <f>IFERROR(__xludf.DUMMYFUNCTION("""COMPUTED_VALUE"""),"-")</f>
        <v>-</v>
      </c>
      <c r="C7992" s="238" t="str">
        <f>IFERROR(__xludf.DUMMYFUNCTION("""COMPUTED_VALUE"""),"-")</f>
        <v>-</v>
      </c>
      <c r="D7992" s="234"/>
      <c r="E7992" s="237"/>
      <c r="F7992" s="238" t="str">
        <f>IFERROR(__xludf.DUMMYFUNCTION("""COMPUTED_VALUE"""),"-")</f>
        <v>-</v>
      </c>
      <c r="G7992" s="238" t="str">
        <f>IFERROR(__xludf.DUMMYFUNCTION("""COMPUTED_VALUE"""),"-")</f>
        <v>-</v>
      </c>
      <c r="H7992" s="238" t="str">
        <f>IFERROR(__xludf.DUMMYFUNCTION("""COMPUTED_VALUE"""),"-")</f>
        <v>-</v>
      </c>
      <c r="J7992" s="239" t="s">
        <v>6330</v>
      </c>
    </row>
    <row r="7993">
      <c r="A7993" s="234"/>
      <c r="B7993" s="238" t="str">
        <f>IFERROR(__xludf.DUMMYFUNCTION("""COMPUTED_VALUE"""),"-")</f>
        <v>-</v>
      </c>
      <c r="C7993" s="238" t="str">
        <f>IFERROR(__xludf.DUMMYFUNCTION("""COMPUTED_VALUE"""),"-")</f>
        <v>-</v>
      </c>
      <c r="D7993" s="234"/>
      <c r="E7993" s="237"/>
      <c r="F7993" s="238" t="str">
        <f>IFERROR(__xludf.DUMMYFUNCTION("""COMPUTED_VALUE"""),"-")</f>
        <v>-</v>
      </c>
      <c r="G7993" s="238" t="str">
        <f>IFERROR(__xludf.DUMMYFUNCTION("""COMPUTED_VALUE"""),"-")</f>
        <v>-</v>
      </c>
      <c r="H7993" s="238" t="str">
        <f>IFERROR(__xludf.DUMMYFUNCTION("""COMPUTED_VALUE"""),"-")</f>
        <v>-</v>
      </c>
      <c r="J7993" s="239" t="s">
        <v>6330</v>
      </c>
    </row>
    <row r="7994">
      <c r="A7994" s="234"/>
      <c r="B7994" s="238" t="str">
        <f>IFERROR(__xludf.DUMMYFUNCTION("""COMPUTED_VALUE"""),"-")</f>
        <v>-</v>
      </c>
      <c r="C7994" s="238" t="str">
        <f>IFERROR(__xludf.DUMMYFUNCTION("""COMPUTED_VALUE"""),"-")</f>
        <v>-</v>
      </c>
      <c r="D7994" s="234"/>
      <c r="E7994" s="237"/>
      <c r="F7994" s="238" t="str">
        <f>IFERROR(__xludf.DUMMYFUNCTION("""COMPUTED_VALUE"""),"-")</f>
        <v>-</v>
      </c>
      <c r="G7994" s="238" t="str">
        <f>IFERROR(__xludf.DUMMYFUNCTION("""COMPUTED_VALUE"""),"-")</f>
        <v>-</v>
      </c>
      <c r="H7994" s="238" t="str">
        <f>IFERROR(__xludf.DUMMYFUNCTION("""COMPUTED_VALUE"""),"-")</f>
        <v>-</v>
      </c>
      <c r="J7994" s="239" t="s">
        <v>6330</v>
      </c>
    </row>
    <row r="7995">
      <c r="A7995" s="234"/>
      <c r="B7995" s="238" t="str">
        <f>IFERROR(__xludf.DUMMYFUNCTION("""COMPUTED_VALUE"""),"-")</f>
        <v>-</v>
      </c>
      <c r="C7995" s="238" t="str">
        <f>IFERROR(__xludf.DUMMYFUNCTION("""COMPUTED_VALUE"""),"-")</f>
        <v>-</v>
      </c>
      <c r="D7995" s="234"/>
      <c r="E7995" s="237"/>
      <c r="F7995" s="238" t="str">
        <f>IFERROR(__xludf.DUMMYFUNCTION("""COMPUTED_VALUE"""),"-")</f>
        <v>-</v>
      </c>
      <c r="G7995" s="238" t="str">
        <f>IFERROR(__xludf.DUMMYFUNCTION("""COMPUTED_VALUE"""),"-")</f>
        <v>-</v>
      </c>
      <c r="H7995" s="238" t="str">
        <f>IFERROR(__xludf.DUMMYFUNCTION("""COMPUTED_VALUE"""),"-")</f>
        <v>-</v>
      </c>
      <c r="J7995" s="239" t="s">
        <v>6330</v>
      </c>
    </row>
    <row r="7996">
      <c r="A7996" s="234"/>
      <c r="B7996" s="238" t="str">
        <f>IFERROR(__xludf.DUMMYFUNCTION("""COMPUTED_VALUE"""),"-")</f>
        <v>-</v>
      </c>
      <c r="C7996" s="238" t="str">
        <f>IFERROR(__xludf.DUMMYFUNCTION("""COMPUTED_VALUE"""),"-")</f>
        <v>-</v>
      </c>
      <c r="D7996" s="234"/>
      <c r="E7996" s="237"/>
      <c r="F7996" s="238" t="str">
        <f>IFERROR(__xludf.DUMMYFUNCTION("""COMPUTED_VALUE"""),"-")</f>
        <v>-</v>
      </c>
      <c r="G7996" s="238" t="str">
        <f>IFERROR(__xludf.DUMMYFUNCTION("""COMPUTED_VALUE"""),"-")</f>
        <v>-</v>
      </c>
      <c r="H7996" s="238" t="str">
        <f>IFERROR(__xludf.DUMMYFUNCTION("""COMPUTED_VALUE"""),"-")</f>
        <v>-</v>
      </c>
      <c r="J7996" s="239" t="s">
        <v>6330</v>
      </c>
    </row>
    <row r="7997">
      <c r="A7997" s="234"/>
      <c r="B7997" s="238" t="str">
        <f>IFERROR(__xludf.DUMMYFUNCTION("""COMPUTED_VALUE"""),"-")</f>
        <v>-</v>
      </c>
      <c r="C7997" s="238" t="str">
        <f>IFERROR(__xludf.DUMMYFUNCTION("""COMPUTED_VALUE"""),"-")</f>
        <v>-</v>
      </c>
      <c r="D7997" s="234"/>
      <c r="E7997" s="237"/>
      <c r="F7997" s="238" t="str">
        <f>IFERROR(__xludf.DUMMYFUNCTION("""COMPUTED_VALUE"""),"-")</f>
        <v>-</v>
      </c>
      <c r="G7997" s="238" t="str">
        <f>IFERROR(__xludf.DUMMYFUNCTION("""COMPUTED_VALUE"""),"-")</f>
        <v>-</v>
      </c>
      <c r="H7997" s="238" t="str">
        <f>IFERROR(__xludf.DUMMYFUNCTION("""COMPUTED_VALUE"""),"-")</f>
        <v>-</v>
      </c>
      <c r="J7997" s="239" t="s">
        <v>6330</v>
      </c>
    </row>
    <row r="7998">
      <c r="A7998" s="234"/>
      <c r="B7998" s="238" t="str">
        <f>IFERROR(__xludf.DUMMYFUNCTION("""COMPUTED_VALUE"""),"-")</f>
        <v>-</v>
      </c>
      <c r="C7998" s="238" t="str">
        <f>IFERROR(__xludf.DUMMYFUNCTION("""COMPUTED_VALUE"""),"-")</f>
        <v>-</v>
      </c>
      <c r="D7998" s="234"/>
      <c r="E7998" s="237"/>
      <c r="F7998" s="238" t="str">
        <f>IFERROR(__xludf.DUMMYFUNCTION("""COMPUTED_VALUE"""),"-")</f>
        <v>-</v>
      </c>
      <c r="G7998" s="238" t="str">
        <f>IFERROR(__xludf.DUMMYFUNCTION("""COMPUTED_VALUE"""),"-")</f>
        <v>-</v>
      </c>
      <c r="H7998" s="238" t="str">
        <f>IFERROR(__xludf.DUMMYFUNCTION("""COMPUTED_VALUE"""),"-")</f>
        <v>-</v>
      </c>
      <c r="J7998" s="239" t="s">
        <v>6330</v>
      </c>
    </row>
    <row r="7999">
      <c r="A7999" s="234"/>
      <c r="B7999" s="238" t="str">
        <f>IFERROR(__xludf.DUMMYFUNCTION("""COMPUTED_VALUE"""),"-")</f>
        <v>-</v>
      </c>
      <c r="C7999" s="238" t="str">
        <f>IFERROR(__xludf.DUMMYFUNCTION("""COMPUTED_VALUE"""),"-")</f>
        <v>-</v>
      </c>
      <c r="D7999" s="234"/>
      <c r="E7999" s="237"/>
      <c r="F7999" s="238" t="str">
        <f>IFERROR(__xludf.DUMMYFUNCTION("""COMPUTED_VALUE"""),"-")</f>
        <v>-</v>
      </c>
      <c r="G7999" s="238" t="str">
        <f>IFERROR(__xludf.DUMMYFUNCTION("""COMPUTED_VALUE"""),"-")</f>
        <v>-</v>
      </c>
      <c r="H7999" s="238" t="str">
        <f>IFERROR(__xludf.DUMMYFUNCTION("""COMPUTED_VALUE"""),"-")</f>
        <v>-</v>
      </c>
      <c r="J7999" s="239" t="s">
        <v>6330</v>
      </c>
    </row>
    <row r="8000">
      <c r="A8000" s="234"/>
      <c r="B8000" s="238" t="str">
        <f>IFERROR(__xludf.DUMMYFUNCTION("""COMPUTED_VALUE"""),"-")</f>
        <v>-</v>
      </c>
      <c r="C8000" s="238" t="str">
        <f>IFERROR(__xludf.DUMMYFUNCTION("""COMPUTED_VALUE"""),"-")</f>
        <v>-</v>
      </c>
      <c r="D8000" s="234"/>
      <c r="E8000" s="237"/>
      <c r="F8000" s="238" t="str">
        <f>IFERROR(__xludf.DUMMYFUNCTION("""COMPUTED_VALUE"""),"-")</f>
        <v>-</v>
      </c>
      <c r="G8000" s="238" t="str">
        <f>IFERROR(__xludf.DUMMYFUNCTION("""COMPUTED_VALUE"""),"-")</f>
        <v>-</v>
      </c>
      <c r="H8000" s="238" t="str">
        <f>IFERROR(__xludf.DUMMYFUNCTION("""COMPUTED_VALUE"""),"-")</f>
        <v>-</v>
      </c>
      <c r="J8000" s="239" t="s">
        <v>6330</v>
      </c>
    </row>
    <row r="8001">
      <c r="A8001" s="234"/>
      <c r="B8001" s="238" t="str">
        <f>IFERROR(__xludf.DUMMYFUNCTION("""COMPUTED_VALUE"""),"-")</f>
        <v>-</v>
      </c>
      <c r="C8001" s="238" t="str">
        <f>IFERROR(__xludf.DUMMYFUNCTION("""COMPUTED_VALUE"""),"-")</f>
        <v>-</v>
      </c>
      <c r="D8001" s="234"/>
      <c r="E8001" s="237"/>
      <c r="F8001" s="238" t="str">
        <f>IFERROR(__xludf.DUMMYFUNCTION("""COMPUTED_VALUE"""),"-")</f>
        <v>-</v>
      </c>
      <c r="G8001" s="238" t="str">
        <f>IFERROR(__xludf.DUMMYFUNCTION("""COMPUTED_VALUE"""),"-")</f>
        <v>-</v>
      </c>
      <c r="H8001" s="238" t="str">
        <f>IFERROR(__xludf.DUMMYFUNCTION("""COMPUTED_VALUE"""),"-")</f>
        <v>-</v>
      </c>
      <c r="J8001" s="239" t="s">
        <v>6330</v>
      </c>
    </row>
    <row r="8002">
      <c r="A8002" s="234"/>
      <c r="B8002" s="238" t="str">
        <f>IFERROR(__xludf.DUMMYFUNCTION("""COMPUTED_VALUE"""),"-")</f>
        <v>-</v>
      </c>
      <c r="C8002" s="238" t="str">
        <f>IFERROR(__xludf.DUMMYFUNCTION("""COMPUTED_VALUE"""),"-")</f>
        <v>-</v>
      </c>
      <c r="D8002" s="234"/>
      <c r="E8002" s="237"/>
      <c r="F8002" s="238" t="str">
        <f>IFERROR(__xludf.DUMMYFUNCTION("""COMPUTED_VALUE"""),"-")</f>
        <v>-</v>
      </c>
      <c r="G8002" s="238" t="str">
        <f>IFERROR(__xludf.DUMMYFUNCTION("""COMPUTED_VALUE"""),"-")</f>
        <v>-</v>
      </c>
      <c r="H8002" s="238" t="str">
        <f>IFERROR(__xludf.DUMMYFUNCTION("""COMPUTED_VALUE"""),"-")</f>
        <v>-</v>
      </c>
      <c r="J8002" s="239" t="s">
        <v>6330</v>
      </c>
    </row>
    <row r="8003">
      <c r="A8003" s="234"/>
      <c r="B8003" s="238" t="str">
        <f>IFERROR(__xludf.DUMMYFUNCTION("""COMPUTED_VALUE"""),"-")</f>
        <v>-</v>
      </c>
      <c r="C8003" s="238" t="str">
        <f>IFERROR(__xludf.DUMMYFUNCTION("""COMPUTED_VALUE"""),"-")</f>
        <v>-</v>
      </c>
      <c r="D8003" s="234"/>
      <c r="E8003" s="237"/>
      <c r="F8003" s="238" t="str">
        <f>IFERROR(__xludf.DUMMYFUNCTION("""COMPUTED_VALUE"""),"-")</f>
        <v>-</v>
      </c>
      <c r="G8003" s="238" t="str">
        <f>IFERROR(__xludf.DUMMYFUNCTION("""COMPUTED_VALUE"""),"-")</f>
        <v>-</v>
      </c>
      <c r="H8003" s="238" t="str">
        <f>IFERROR(__xludf.DUMMYFUNCTION("""COMPUTED_VALUE"""),"-")</f>
        <v>-</v>
      </c>
      <c r="J8003" s="239" t="s">
        <v>6330</v>
      </c>
    </row>
    <row r="8004">
      <c r="A8004" s="234"/>
      <c r="B8004" s="238" t="str">
        <f>IFERROR(__xludf.DUMMYFUNCTION("""COMPUTED_VALUE"""),"-")</f>
        <v>-</v>
      </c>
      <c r="C8004" s="238" t="str">
        <f>IFERROR(__xludf.DUMMYFUNCTION("""COMPUTED_VALUE"""),"-")</f>
        <v>-</v>
      </c>
      <c r="D8004" s="234"/>
      <c r="E8004" s="237"/>
      <c r="F8004" s="238" t="str">
        <f>IFERROR(__xludf.DUMMYFUNCTION("""COMPUTED_VALUE"""),"-")</f>
        <v>-</v>
      </c>
      <c r="G8004" s="238" t="str">
        <f>IFERROR(__xludf.DUMMYFUNCTION("""COMPUTED_VALUE"""),"-")</f>
        <v>-</v>
      </c>
      <c r="H8004" s="238" t="str">
        <f>IFERROR(__xludf.DUMMYFUNCTION("""COMPUTED_VALUE"""),"-")</f>
        <v>-</v>
      </c>
      <c r="J8004" s="239" t="s">
        <v>6330</v>
      </c>
    </row>
    <row r="8005">
      <c r="A8005" s="234"/>
      <c r="B8005" s="238" t="str">
        <f>IFERROR(__xludf.DUMMYFUNCTION("""COMPUTED_VALUE"""),"-")</f>
        <v>-</v>
      </c>
      <c r="C8005" s="238" t="str">
        <f>IFERROR(__xludf.DUMMYFUNCTION("""COMPUTED_VALUE"""),"-")</f>
        <v>-</v>
      </c>
      <c r="D8005" s="234"/>
      <c r="E8005" s="237"/>
      <c r="F8005" s="238" t="str">
        <f>IFERROR(__xludf.DUMMYFUNCTION("""COMPUTED_VALUE"""),"-")</f>
        <v>-</v>
      </c>
      <c r="G8005" s="238" t="str">
        <f>IFERROR(__xludf.DUMMYFUNCTION("""COMPUTED_VALUE"""),"-")</f>
        <v>-</v>
      </c>
      <c r="H8005" s="238" t="str">
        <f>IFERROR(__xludf.DUMMYFUNCTION("""COMPUTED_VALUE"""),"-")</f>
        <v>-</v>
      </c>
      <c r="J8005" s="239" t="s">
        <v>6330</v>
      </c>
    </row>
    <row r="8006">
      <c r="A8006" s="234"/>
      <c r="B8006" s="238" t="str">
        <f>IFERROR(__xludf.DUMMYFUNCTION("""COMPUTED_VALUE"""),"-")</f>
        <v>-</v>
      </c>
      <c r="C8006" s="238" t="str">
        <f>IFERROR(__xludf.DUMMYFUNCTION("""COMPUTED_VALUE"""),"-")</f>
        <v>-</v>
      </c>
      <c r="D8006" s="234"/>
      <c r="E8006" s="237"/>
      <c r="F8006" s="238" t="str">
        <f>IFERROR(__xludf.DUMMYFUNCTION("""COMPUTED_VALUE"""),"-")</f>
        <v>-</v>
      </c>
      <c r="G8006" s="238" t="str">
        <f>IFERROR(__xludf.DUMMYFUNCTION("""COMPUTED_VALUE"""),"-")</f>
        <v>-</v>
      </c>
      <c r="H8006" s="238" t="str">
        <f>IFERROR(__xludf.DUMMYFUNCTION("""COMPUTED_VALUE"""),"-")</f>
        <v>-</v>
      </c>
      <c r="J8006" s="239" t="s">
        <v>6330</v>
      </c>
    </row>
    <row r="8007">
      <c r="A8007" s="234"/>
      <c r="B8007" s="238" t="str">
        <f>IFERROR(__xludf.DUMMYFUNCTION("""COMPUTED_VALUE"""),"-")</f>
        <v>-</v>
      </c>
      <c r="C8007" s="238" t="str">
        <f>IFERROR(__xludf.DUMMYFUNCTION("""COMPUTED_VALUE"""),"-")</f>
        <v>-</v>
      </c>
      <c r="D8007" s="234"/>
      <c r="E8007" s="237"/>
      <c r="F8007" s="238" t="str">
        <f>IFERROR(__xludf.DUMMYFUNCTION("""COMPUTED_VALUE"""),"-")</f>
        <v>-</v>
      </c>
      <c r="G8007" s="238" t="str">
        <f>IFERROR(__xludf.DUMMYFUNCTION("""COMPUTED_VALUE"""),"-")</f>
        <v>-</v>
      </c>
      <c r="H8007" s="238" t="str">
        <f>IFERROR(__xludf.DUMMYFUNCTION("""COMPUTED_VALUE"""),"-")</f>
        <v>-</v>
      </c>
      <c r="J8007" s="239" t="s">
        <v>6330</v>
      </c>
    </row>
    <row r="8008">
      <c r="A8008" s="234"/>
      <c r="B8008" s="238" t="str">
        <f>IFERROR(__xludf.DUMMYFUNCTION("""COMPUTED_VALUE"""),"-")</f>
        <v>-</v>
      </c>
      <c r="C8008" s="238" t="str">
        <f>IFERROR(__xludf.DUMMYFUNCTION("""COMPUTED_VALUE"""),"-")</f>
        <v>-</v>
      </c>
      <c r="D8008" s="234"/>
      <c r="E8008" s="237"/>
      <c r="F8008" s="238" t="str">
        <f>IFERROR(__xludf.DUMMYFUNCTION("""COMPUTED_VALUE"""),"-")</f>
        <v>-</v>
      </c>
      <c r="G8008" s="238" t="str">
        <f>IFERROR(__xludf.DUMMYFUNCTION("""COMPUTED_VALUE"""),"-")</f>
        <v>-</v>
      </c>
      <c r="H8008" s="238" t="str">
        <f>IFERROR(__xludf.DUMMYFUNCTION("""COMPUTED_VALUE"""),"-")</f>
        <v>-</v>
      </c>
      <c r="J8008" s="239" t="s">
        <v>6330</v>
      </c>
    </row>
    <row r="8009">
      <c r="A8009" s="234"/>
      <c r="B8009" s="238" t="str">
        <f>IFERROR(__xludf.DUMMYFUNCTION("""COMPUTED_VALUE"""),"-")</f>
        <v>-</v>
      </c>
      <c r="C8009" s="238" t="str">
        <f>IFERROR(__xludf.DUMMYFUNCTION("""COMPUTED_VALUE"""),"-")</f>
        <v>-</v>
      </c>
      <c r="D8009" s="234"/>
      <c r="E8009" s="237"/>
      <c r="F8009" s="238" t="str">
        <f>IFERROR(__xludf.DUMMYFUNCTION("""COMPUTED_VALUE"""),"-")</f>
        <v>-</v>
      </c>
      <c r="G8009" s="238" t="str">
        <f>IFERROR(__xludf.DUMMYFUNCTION("""COMPUTED_VALUE"""),"-")</f>
        <v>-</v>
      </c>
      <c r="H8009" s="238" t="str">
        <f>IFERROR(__xludf.DUMMYFUNCTION("""COMPUTED_VALUE"""),"-")</f>
        <v>-</v>
      </c>
      <c r="J8009" s="239" t="s">
        <v>6330</v>
      </c>
    </row>
    <row r="8010">
      <c r="A8010" s="234"/>
      <c r="B8010" s="238" t="str">
        <f>IFERROR(__xludf.DUMMYFUNCTION("""COMPUTED_VALUE"""),"-")</f>
        <v>-</v>
      </c>
      <c r="C8010" s="238" t="str">
        <f>IFERROR(__xludf.DUMMYFUNCTION("""COMPUTED_VALUE"""),"-")</f>
        <v>-</v>
      </c>
      <c r="D8010" s="234"/>
      <c r="E8010" s="237"/>
      <c r="F8010" s="238" t="str">
        <f>IFERROR(__xludf.DUMMYFUNCTION("""COMPUTED_VALUE"""),"-")</f>
        <v>-</v>
      </c>
      <c r="G8010" s="238" t="str">
        <f>IFERROR(__xludf.DUMMYFUNCTION("""COMPUTED_VALUE"""),"-")</f>
        <v>-</v>
      </c>
      <c r="H8010" s="238" t="str">
        <f>IFERROR(__xludf.DUMMYFUNCTION("""COMPUTED_VALUE"""),"-")</f>
        <v>-</v>
      </c>
      <c r="J8010" s="239" t="s">
        <v>6330</v>
      </c>
    </row>
    <row r="8011">
      <c r="A8011" s="234"/>
      <c r="B8011" s="238" t="str">
        <f>IFERROR(__xludf.DUMMYFUNCTION("""COMPUTED_VALUE"""),"-")</f>
        <v>-</v>
      </c>
      <c r="C8011" s="238" t="str">
        <f>IFERROR(__xludf.DUMMYFUNCTION("""COMPUTED_VALUE"""),"-")</f>
        <v>-</v>
      </c>
      <c r="D8011" s="234"/>
      <c r="E8011" s="237"/>
      <c r="F8011" s="238" t="str">
        <f>IFERROR(__xludf.DUMMYFUNCTION("""COMPUTED_VALUE"""),"-")</f>
        <v>-</v>
      </c>
      <c r="G8011" s="238" t="str">
        <f>IFERROR(__xludf.DUMMYFUNCTION("""COMPUTED_VALUE"""),"-")</f>
        <v>-</v>
      </c>
      <c r="H8011" s="238" t="str">
        <f>IFERROR(__xludf.DUMMYFUNCTION("""COMPUTED_VALUE"""),"-")</f>
        <v>-</v>
      </c>
      <c r="J8011" s="239" t="s">
        <v>6330</v>
      </c>
    </row>
    <row r="8012">
      <c r="A8012" s="234"/>
      <c r="B8012" s="238" t="str">
        <f>IFERROR(__xludf.DUMMYFUNCTION("""COMPUTED_VALUE"""),"-")</f>
        <v>-</v>
      </c>
      <c r="C8012" s="238" t="str">
        <f>IFERROR(__xludf.DUMMYFUNCTION("""COMPUTED_VALUE"""),"-")</f>
        <v>-</v>
      </c>
      <c r="D8012" s="234"/>
      <c r="E8012" s="237"/>
      <c r="F8012" s="238" t="str">
        <f>IFERROR(__xludf.DUMMYFUNCTION("""COMPUTED_VALUE"""),"-")</f>
        <v>-</v>
      </c>
      <c r="G8012" s="238" t="str">
        <f>IFERROR(__xludf.DUMMYFUNCTION("""COMPUTED_VALUE"""),"-")</f>
        <v>-</v>
      </c>
      <c r="H8012" s="238" t="str">
        <f>IFERROR(__xludf.DUMMYFUNCTION("""COMPUTED_VALUE"""),"-")</f>
        <v>-</v>
      </c>
      <c r="J8012" s="239" t="s">
        <v>6330</v>
      </c>
    </row>
    <row r="8013">
      <c r="A8013" s="234"/>
      <c r="B8013" s="238" t="str">
        <f>IFERROR(__xludf.DUMMYFUNCTION("""COMPUTED_VALUE"""),"-")</f>
        <v>-</v>
      </c>
      <c r="C8013" s="238" t="str">
        <f>IFERROR(__xludf.DUMMYFUNCTION("""COMPUTED_VALUE"""),"-")</f>
        <v>-</v>
      </c>
      <c r="D8013" s="234"/>
      <c r="E8013" s="237"/>
      <c r="F8013" s="238" t="str">
        <f>IFERROR(__xludf.DUMMYFUNCTION("""COMPUTED_VALUE"""),"-")</f>
        <v>-</v>
      </c>
      <c r="G8013" s="238" t="str">
        <f>IFERROR(__xludf.DUMMYFUNCTION("""COMPUTED_VALUE"""),"-")</f>
        <v>-</v>
      </c>
      <c r="H8013" s="238" t="str">
        <f>IFERROR(__xludf.DUMMYFUNCTION("""COMPUTED_VALUE"""),"-")</f>
        <v>-</v>
      </c>
      <c r="J8013" s="239" t="s">
        <v>6330</v>
      </c>
    </row>
    <row r="8014">
      <c r="A8014" s="234"/>
      <c r="B8014" s="238" t="str">
        <f>IFERROR(__xludf.DUMMYFUNCTION("""COMPUTED_VALUE"""),"-")</f>
        <v>-</v>
      </c>
      <c r="C8014" s="238" t="str">
        <f>IFERROR(__xludf.DUMMYFUNCTION("""COMPUTED_VALUE"""),"-")</f>
        <v>-</v>
      </c>
      <c r="D8014" s="234"/>
      <c r="E8014" s="237"/>
      <c r="F8014" s="238" t="str">
        <f>IFERROR(__xludf.DUMMYFUNCTION("""COMPUTED_VALUE"""),"-")</f>
        <v>-</v>
      </c>
      <c r="G8014" s="238" t="str">
        <f>IFERROR(__xludf.DUMMYFUNCTION("""COMPUTED_VALUE"""),"-")</f>
        <v>-</v>
      </c>
      <c r="H8014" s="238" t="str">
        <f>IFERROR(__xludf.DUMMYFUNCTION("""COMPUTED_VALUE"""),"-")</f>
        <v>-</v>
      </c>
      <c r="J8014" s="239" t="s">
        <v>6330</v>
      </c>
    </row>
    <row r="8015">
      <c r="A8015" s="234"/>
      <c r="B8015" s="238" t="str">
        <f>IFERROR(__xludf.DUMMYFUNCTION("""COMPUTED_VALUE"""),"-")</f>
        <v>-</v>
      </c>
      <c r="C8015" s="238" t="str">
        <f>IFERROR(__xludf.DUMMYFUNCTION("""COMPUTED_VALUE"""),"-")</f>
        <v>-</v>
      </c>
      <c r="D8015" s="234"/>
      <c r="E8015" s="237"/>
      <c r="F8015" s="238" t="str">
        <f>IFERROR(__xludf.DUMMYFUNCTION("""COMPUTED_VALUE"""),"-")</f>
        <v>-</v>
      </c>
      <c r="G8015" s="238" t="str">
        <f>IFERROR(__xludf.DUMMYFUNCTION("""COMPUTED_VALUE"""),"-")</f>
        <v>-</v>
      </c>
      <c r="H8015" s="238" t="str">
        <f>IFERROR(__xludf.DUMMYFUNCTION("""COMPUTED_VALUE"""),"-")</f>
        <v>-</v>
      </c>
      <c r="J8015" s="239" t="s">
        <v>6330</v>
      </c>
    </row>
    <row r="8016">
      <c r="A8016" s="234"/>
      <c r="B8016" s="238" t="str">
        <f>IFERROR(__xludf.DUMMYFUNCTION("""COMPUTED_VALUE"""),"-")</f>
        <v>-</v>
      </c>
      <c r="C8016" s="238" t="str">
        <f>IFERROR(__xludf.DUMMYFUNCTION("""COMPUTED_VALUE"""),"-")</f>
        <v>-</v>
      </c>
      <c r="D8016" s="234"/>
      <c r="E8016" s="237"/>
      <c r="F8016" s="238" t="str">
        <f>IFERROR(__xludf.DUMMYFUNCTION("""COMPUTED_VALUE"""),"-")</f>
        <v>-</v>
      </c>
      <c r="G8016" s="238" t="str">
        <f>IFERROR(__xludf.DUMMYFUNCTION("""COMPUTED_VALUE"""),"-")</f>
        <v>-</v>
      </c>
      <c r="H8016" s="238" t="str">
        <f>IFERROR(__xludf.DUMMYFUNCTION("""COMPUTED_VALUE"""),"-")</f>
        <v>-</v>
      </c>
      <c r="J8016" s="239" t="s">
        <v>6330</v>
      </c>
    </row>
    <row r="8017">
      <c r="A8017" s="234"/>
      <c r="B8017" s="238" t="str">
        <f>IFERROR(__xludf.DUMMYFUNCTION("""COMPUTED_VALUE"""),"-")</f>
        <v>-</v>
      </c>
      <c r="C8017" s="238" t="str">
        <f>IFERROR(__xludf.DUMMYFUNCTION("""COMPUTED_VALUE"""),"-")</f>
        <v>-</v>
      </c>
      <c r="D8017" s="234"/>
      <c r="E8017" s="237"/>
      <c r="F8017" s="238" t="str">
        <f>IFERROR(__xludf.DUMMYFUNCTION("""COMPUTED_VALUE"""),"-")</f>
        <v>-</v>
      </c>
      <c r="G8017" s="238" t="str">
        <f>IFERROR(__xludf.DUMMYFUNCTION("""COMPUTED_VALUE"""),"-")</f>
        <v>-</v>
      </c>
      <c r="H8017" s="238" t="str">
        <f>IFERROR(__xludf.DUMMYFUNCTION("""COMPUTED_VALUE"""),"-")</f>
        <v>-</v>
      </c>
      <c r="J8017" s="239" t="s">
        <v>6330</v>
      </c>
    </row>
    <row r="8018">
      <c r="A8018" s="234"/>
      <c r="B8018" s="238" t="str">
        <f>IFERROR(__xludf.DUMMYFUNCTION("""COMPUTED_VALUE"""),"-")</f>
        <v>-</v>
      </c>
      <c r="C8018" s="238" t="str">
        <f>IFERROR(__xludf.DUMMYFUNCTION("""COMPUTED_VALUE"""),"-")</f>
        <v>-</v>
      </c>
      <c r="D8018" s="234"/>
      <c r="E8018" s="237"/>
      <c r="F8018" s="238" t="str">
        <f>IFERROR(__xludf.DUMMYFUNCTION("""COMPUTED_VALUE"""),"-")</f>
        <v>-</v>
      </c>
      <c r="G8018" s="238" t="str">
        <f>IFERROR(__xludf.DUMMYFUNCTION("""COMPUTED_VALUE"""),"-")</f>
        <v>-</v>
      </c>
      <c r="H8018" s="238" t="str">
        <f>IFERROR(__xludf.DUMMYFUNCTION("""COMPUTED_VALUE"""),"-")</f>
        <v>-</v>
      </c>
      <c r="J8018" s="239" t="s">
        <v>6330</v>
      </c>
    </row>
    <row r="8019">
      <c r="A8019" s="234"/>
      <c r="B8019" s="238" t="str">
        <f>IFERROR(__xludf.DUMMYFUNCTION("""COMPUTED_VALUE"""),"-")</f>
        <v>-</v>
      </c>
      <c r="C8019" s="238" t="str">
        <f>IFERROR(__xludf.DUMMYFUNCTION("""COMPUTED_VALUE"""),"-")</f>
        <v>-</v>
      </c>
      <c r="D8019" s="234"/>
      <c r="E8019" s="237"/>
      <c r="F8019" s="238" t="str">
        <f>IFERROR(__xludf.DUMMYFUNCTION("""COMPUTED_VALUE"""),"-")</f>
        <v>-</v>
      </c>
      <c r="G8019" s="238" t="str">
        <f>IFERROR(__xludf.DUMMYFUNCTION("""COMPUTED_VALUE"""),"-")</f>
        <v>-</v>
      </c>
      <c r="H8019" s="238" t="str">
        <f>IFERROR(__xludf.DUMMYFUNCTION("""COMPUTED_VALUE"""),"-")</f>
        <v>-</v>
      </c>
      <c r="J8019" s="239" t="s">
        <v>6330</v>
      </c>
    </row>
    <row r="8020">
      <c r="A8020" s="234"/>
      <c r="B8020" s="238" t="str">
        <f>IFERROR(__xludf.DUMMYFUNCTION("""COMPUTED_VALUE"""),"-")</f>
        <v>-</v>
      </c>
      <c r="C8020" s="238" t="str">
        <f>IFERROR(__xludf.DUMMYFUNCTION("""COMPUTED_VALUE"""),"-")</f>
        <v>-</v>
      </c>
      <c r="D8020" s="234"/>
      <c r="E8020" s="237"/>
      <c r="F8020" s="238" t="str">
        <f>IFERROR(__xludf.DUMMYFUNCTION("""COMPUTED_VALUE"""),"-")</f>
        <v>-</v>
      </c>
      <c r="G8020" s="238" t="str">
        <f>IFERROR(__xludf.DUMMYFUNCTION("""COMPUTED_VALUE"""),"-")</f>
        <v>-</v>
      </c>
      <c r="H8020" s="238" t="str">
        <f>IFERROR(__xludf.DUMMYFUNCTION("""COMPUTED_VALUE"""),"-")</f>
        <v>-</v>
      </c>
      <c r="J8020" s="239" t="s">
        <v>6330</v>
      </c>
    </row>
    <row r="8021">
      <c r="A8021" s="234"/>
      <c r="B8021" s="238" t="str">
        <f>IFERROR(__xludf.DUMMYFUNCTION("""COMPUTED_VALUE"""),"-")</f>
        <v>-</v>
      </c>
      <c r="C8021" s="238" t="str">
        <f>IFERROR(__xludf.DUMMYFUNCTION("""COMPUTED_VALUE"""),"-")</f>
        <v>-</v>
      </c>
      <c r="D8021" s="234"/>
      <c r="E8021" s="237"/>
      <c r="F8021" s="238" t="str">
        <f>IFERROR(__xludf.DUMMYFUNCTION("""COMPUTED_VALUE"""),"-")</f>
        <v>-</v>
      </c>
      <c r="G8021" s="238" t="str">
        <f>IFERROR(__xludf.DUMMYFUNCTION("""COMPUTED_VALUE"""),"-")</f>
        <v>-</v>
      </c>
      <c r="H8021" s="238" t="str">
        <f>IFERROR(__xludf.DUMMYFUNCTION("""COMPUTED_VALUE"""),"-")</f>
        <v>-</v>
      </c>
      <c r="J8021" s="239" t="s">
        <v>6330</v>
      </c>
    </row>
    <row r="8022">
      <c r="A8022" s="234"/>
      <c r="B8022" s="238" t="str">
        <f>IFERROR(__xludf.DUMMYFUNCTION("""COMPUTED_VALUE"""),"-")</f>
        <v>-</v>
      </c>
      <c r="C8022" s="238" t="str">
        <f>IFERROR(__xludf.DUMMYFUNCTION("""COMPUTED_VALUE"""),"-")</f>
        <v>-</v>
      </c>
      <c r="D8022" s="234"/>
      <c r="E8022" s="237"/>
      <c r="F8022" s="238" t="str">
        <f>IFERROR(__xludf.DUMMYFUNCTION("""COMPUTED_VALUE"""),"-")</f>
        <v>-</v>
      </c>
      <c r="G8022" s="238" t="str">
        <f>IFERROR(__xludf.DUMMYFUNCTION("""COMPUTED_VALUE"""),"-")</f>
        <v>-</v>
      </c>
      <c r="H8022" s="238" t="str">
        <f>IFERROR(__xludf.DUMMYFUNCTION("""COMPUTED_VALUE"""),"-")</f>
        <v>-</v>
      </c>
      <c r="J8022" s="239" t="s">
        <v>6330</v>
      </c>
    </row>
    <row r="8023">
      <c r="A8023" s="234"/>
      <c r="B8023" s="238" t="str">
        <f>IFERROR(__xludf.DUMMYFUNCTION("""COMPUTED_VALUE"""),"-")</f>
        <v>-</v>
      </c>
      <c r="C8023" s="238" t="str">
        <f>IFERROR(__xludf.DUMMYFUNCTION("""COMPUTED_VALUE"""),"-")</f>
        <v>-</v>
      </c>
      <c r="D8023" s="234"/>
      <c r="E8023" s="237"/>
      <c r="F8023" s="238" t="str">
        <f>IFERROR(__xludf.DUMMYFUNCTION("""COMPUTED_VALUE"""),"-")</f>
        <v>-</v>
      </c>
      <c r="G8023" s="238" t="str">
        <f>IFERROR(__xludf.DUMMYFUNCTION("""COMPUTED_VALUE"""),"-")</f>
        <v>-</v>
      </c>
      <c r="H8023" s="238" t="str">
        <f>IFERROR(__xludf.DUMMYFUNCTION("""COMPUTED_VALUE"""),"-")</f>
        <v>-</v>
      </c>
      <c r="J8023" s="239" t="s">
        <v>6330</v>
      </c>
    </row>
    <row r="8024">
      <c r="A8024" s="234"/>
      <c r="B8024" s="238" t="str">
        <f>IFERROR(__xludf.DUMMYFUNCTION("""COMPUTED_VALUE"""),"-")</f>
        <v>-</v>
      </c>
      <c r="C8024" s="238" t="str">
        <f>IFERROR(__xludf.DUMMYFUNCTION("""COMPUTED_VALUE"""),"-")</f>
        <v>-</v>
      </c>
      <c r="D8024" s="234"/>
      <c r="E8024" s="237"/>
      <c r="F8024" s="238" t="str">
        <f>IFERROR(__xludf.DUMMYFUNCTION("""COMPUTED_VALUE"""),"-")</f>
        <v>-</v>
      </c>
      <c r="G8024" s="238" t="str">
        <f>IFERROR(__xludf.DUMMYFUNCTION("""COMPUTED_VALUE"""),"-")</f>
        <v>-</v>
      </c>
      <c r="H8024" s="238" t="str">
        <f>IFERROR(__xludf.DUMMYFUNCTION("""COMPUTED_VALUE"""),"-")</f>
        <v>-</v>
      </c>
      <c r="J8024" s="239" t="s">
        <v>6330</v>
      </c>
    </row>
    <row r="8025">
      <c r="A8025" s="234"/>
      <c r="B8025" s="238" t="str">
        <f>IFERROR(__xludf.DUMMYFUNCTION("""COMPUTED_VALUE"""),"-")</f>
        <v>-</v>
      </c>
      <c r="C8025" s="238" t="str">
        <f>IFERROR(__xludf.DUMMYFUNCTION("""COMPUTED_VALUE"""),"-")</f>
        <v>-</v>
      </c>
      <c r="D8025" s="234"/>
      <c r="E8025" s="237"/>
      <c r="F8025" s="238" t="str">
        <f>IFERROR(__xludf.DUMMYFUNCTION("""COMPUTED_VALUE"""),"-")</f>
        <v>-</v>
      </c>
      <c r="G8025" s="238" t="str">
        <f>IFERROR(__xludf.DUMMYFUNCTION("""COMPUTED_VALUE"""),"-")</f>
        <v>-</v>
      </c>
      <c r="H8025" s="238" t="str">
        <f>IFERROR(__xludf.DUMMYFUNCTION("""COMPUTED_VALUE"""),"-")</f>
        <v>-</v>
      </c>
      <c r="J8025" s="239" t="s">
        <v>6330</v>
      </c>
    </row>
    <row r="8026">
      <c r="A8026" s="234"/>
      <c r="B8026" s="238" t="str">
        <f>IFERROR(__xludf.DUMMYFUNCTION("""COMPUTED_VALUE"""),"-")</f>
        <v>-</v>
      </c>
      <c r="C8026" s="238" t="str">
        <f>IFERROR(__xludf.DUMMYFUNCTION("""COMPUTED_VALUE"""),"-")</f>
        <v>-</v>
      </c>
      <c r="D8026" s="234"/>
      <c r="E8026" s="237"/>
      <c r="F8026" s="238" t="str">
        <f>IFERROR(__xludf.DUMMYFUNCTION("""COMPUTED_VALUE"""),"-")</f>
        <v>-</v>
      </c>
      <c r="G8026" s="238" t="str">
        <f>IFERROR(__xludf.DUMMYFUNCTION("""COMPUTED_VALUE"""),"-")</f>
        <v>-</v>
      </c>
      <c r="H8026" s="238" t="str">
        <f>IFERROR(__xludf.DUMMYFUNCTION("""COMPUTED_VALUE"""),"-")</f>
        <v>-</v>
      </c>
      <c r="J8026" s="239" t="s">
        <v>6330</v>
      </c>
    </row>
    <row r="8027">
      <c r="A8027" s="234"/>
      <c r="B8027" s="238" t="str">
        <f>IFERROR(__xludf.DUMMYFUNCTION("""COMPUTED_VALUE"""),"-")</f>
        <v>-</v>
      </c>
      <c r="C8027" s="238" t="str">
        <f>IFERROR(__xludf.DUMMYFUNCTION("""COMPUTED_VALUE"""),"-")</f>
        <v>-</v>
      </c>
      <c r="D8027" s="234"/>
      <c r="E8027" s="237"/>
      <c r="F8027" s="234"/>
      <c r="G8027" s="234"/>
      <c r="H8027" s="234"/>
      <c r="J8027" s="239" t="s">
        <v>6330</v>
      </c>
    </row>
    <row r="8028">
      <c r="A8028" s="234"/>
      <c r="B8028" s="238" t="str">
        <f>IFERROR(__xludf.DUMMYFUNCTION("""COMPUTED_VALUE"""),"-")</f>
        <v>-</v>
      </c>
      <c r="C8028" s="238" t="str">
        <f>IFERROR(__xludf.DUMMYFUNCTION("""COMPUTED_VALUE"""),"-")</f>
        <v>-</v>
      </c>
      <c r="D8028" s="234"/>
      <c r="E8028" s="237"/>
      <c r="F8028" s="234"/>
      <c r="G8028" s="234"/>
      <c r="H8028" s="234"/>
      <c r="J8028" s="239" t="s">
        <v>6330</v>
      </c>
    </row>
    <row r="8029">
      <c r="A8029" s="234"/>
      <c r="B8029" s="238" t="str">
        <f>IFERROR(__xludf.DUMMYFUNCTION("""COMPUTED_VALUE"""),"-")</f>
        <v>-</v>
      </c>
      <c r="C8029" s="238" t="str">
        <f>IFERROR(__xludf.DUMMYFUNCTION("""COMPUTED_VALUE"""),"-")</f>
        <v>-</v>
      </c>
      <c r="D8029" s="234"/>
      <c r="E8029" s="237"/>
      <c r="F8029" s="234"/>
      <c r="G8029" s="234"/>
      <c r="H8029" s="234"/>
      <c r="J8029" s="239" t="s">
        <v>6330</v>
      </c>
    </row>
    <row r="8030">
      <c r="A8030" s="234"/>
      <c r="B8030" s="238" t="str">
        <f>IFERROR(__xludf.DUMMYFUNCTION("""COMPUTED_VALUE"""),"-")</f>
        <v>-</v>
      </c>
      <c r="C8030" s="238" t="str">
        <f>IFERROR(__xludf.DUMMYFUNCTION("""COMPUTED_VALUE"""),"-")</f>
        <v>-</v>
      </c>
      <c r="D8030" s="234"/>
      <c r="E8030" s="237"/>
      <c r="F8030" s="234"/>
      <c r="G8030" s="234"/>
      <c r="H8030" s="234"/>
      <c r="J8030" s="239" t="s">
        <v>6330</v>
      </c>
    </row>
    <row r="8031">
      <c r="A8031" s="234"/>
      <c r="B8031" s="238" t="str">
        <f>IFERROR(__xludf.DUMMYFUNCTION("""COMPUTED_VALUE"""),"-")</f>
        <v>-</v>
      </c>
      <c r="C8031" s="238" t="str">
        <f>IFERROR(__xludf.DUMMYFUNCTION("""COMPUTED_VALUE"""),"-")</f>
        <v>-</v>
      </c>
      <c r="D8031" s="234"/>
      <c r="E8031" s="237"/>
      <c r="F8031" s="234"/>
      <c r="G8031" s="234"/>
      <c r="H8031" s="234"/>
      <c r="J8031" s="239" t="s">
        <v>6330</v>
      </c>
    </row>
    <row r="8032">
      <c r="A8032" s="234"/>
      <c r="B8032" s="238" t="str">
        <f>IFERROR(__xludf.DUMMYFUNCTION("""COMPUTED_VALUE"""),"-")</f>
        <v>-</v>
      </c>
      <c r="C8032" s="238" t="str">
        <f>IFERROR(__xludf.DUMMYFUNCTION("""COMPUTED_VALUE"""),"-")</f>
        <v>-</v>
      </c>
      <c r="D8032" s="234"/>
      <c r="E8032" s="237"/>
      <c r="F8032" s="234"/>
      <c r="G8032" s="234"/>
      <c r="H8032" s="234"/>
      <c r="J8032" s="239" t="s">
        <v>6330</v>
      </c>
    </row>
    <row r="8033">
      <c r="A8033" s="234"/>
      <c r="B8033" s="238" t="str">
        <f>IFERROR(__xludf.DUMMYFUNCTION("""COMPUTED_VALUE"""),"-")</f>
        <v>-</v>
      </c>
      <c r="C8033" s="238" t="str">
        <f>IFERROR(__xludf.DUMMYFUNCTION("""COMPUTED_VALUE"""),"-")</f>
        <v>-</v>
      </c>
      <c r="D8033" s="234"/>
      <c r="E8033" s="237"/>
      <c r="F8033" s="234"/>
      <c r="G8033" s="234"/>
      <c r="H8033" s="234"/>
      <c r="J8033" s="239" t="s">
        <v>6330</v>
      </c>
    </row>
    <row r="8034">
      <c r="A8034" s="234"/>
      <c r="B8034" s="238" t="str">
        <f>IFERROR(__xludf.DUMMYFUNCTION("""COMPUTED_VALUE"""),"-")</f>
        <v>-</v>
      </c>
      <c r="C8034" s="238" t="str">
        <f>IFERROR(__xludf.DUMMYFUNCTION("""COMPUTED_VALUE"""),"-")</f>
        <v>-</v>
      </c>
      <c r="D8034" s="234"/>
      <c r="E8034" s="237"/>
      <c r="F8034" s="234"/>
      <c r="G8034" s="234"/>
      <c r="H8034" s="234"/>
      <c r="J8034" s="239" t="s">
        <v>6330</v>
      </c>
    </row>
    <row r="8035">
      <c r="A8035" s="234"/>
      <c r="B8035" s="238" t="str">
        <f>IFERROR(__xludf.DUMMYFUNCTION("""COMPUTED_VALUE"""),"-")</f>
        <v>-</v>
      </c>
      <c r="C8035" s="238" t="str">
        <f>IFERROR(__xludf.DUMMYFUNCTION("""COMPUTED_VALUE"""),"-")</f>
        <v>-</v>
      </c>
      <c r="D8035" s="234"/>
      <c r="E8035" s="237"/>
      <c r="F8035" s="234"/>
      <c r="G8035" s="234"/>
      <c r="H8035" s="234"/>
      <c r="J8035" s="239" t="s">
        <v>6330</v>
      </c>
    </row>
    <row r="8036">
      <c r="A8036" s="234"/>
      <c r="B8036" s="238" t="str">
        <f>IFERROR(__xludf.DUMMYFUNCTION("""COMPUTED_VALUE"""),"-")</f>
        <v>-</v>
      </c>
      <c r="C8036" s="238" t="str">
        <f>IFERROR(__xludf.DUMMYFUNCTION("""COMPUTED_VALUE"""),"-")</f>
        <v>-</v>
      </c>
      <c r="D8036" s="234"/>
      <c r="E8036" s="237"/>
      <c r="F8036" s="234"/>
      <c r="G8036" s="234"/>
      <c r="H8036" s="234"/>
      <c r="J8036" s="239" t="s">
        <v>6330</v>
      </c>
    </row>
    <row r="8037">
      <c r="A8037" s="234"/>
      <c r="B8037" s="234"/>
      <c r="C8037" s="234"/>
      <c r="D8037" s="234"/>
      <c r="E8037" s="237"/>
      <c r="F8037" s="234"/>
      <c r="G8037" s="234"/>
      <c r="H8037" s="234"/>
      <c r="J8037" s="239" t="s">
        <v>6330</v>
      </c>
    </row>
    <row r="8038">
      <c r="A8038" s="234"/>
      <c r="B8038" s="234"/>
      <c r="C8038" s="234"/>
      <c r="D8038" s="234"/>
      <c r="E8038" s="237"/>
      <c r="F8038" s="234"/>
      <c r="G8038" s="234"/>
      <c r="H8038" s="234"/>
      <c r="J8038" s="239" t="s">
        <v>6330</v>
      </c>
    </row>
    <row r="8039">
      <c r="A8039" s="234"/>
      <c r="B8039" s="234"/>
      <c r="C8039" s="234"/>
      <c r="D8039" s="234"/>
      <c r="E8039" s="237"/>
      <c r="F8039" s="234"/>
      <c r="G8039" s="234"/>
      <c r="H8039" s="234"/>
      <c r="J8039" s="239" t="s">
        <v>6330</v>
      </c>
    </row>
    <row r="8040">
      <c r="A8040" s="234"/>
      <c r="B8040" s="234"/>
      <c r="C8040" s="234"/>
      <c r="D8040" s="234"/>
      <c r="E8040" s="237"/>
      <c r="F8040" s="234"/>
      <c r="G8040" s="234"/>
      <c r="H8040" s="234"/>
      <c r="J8040" s="239" t="s">
        <v>6330</v>
      </c>
    </row>
    <row r="8041">
      <c r="A8041" s="234"/>
      <c r="B8041" s="234"/>
      <c r="C8041" s="234"/>
      <c r="D8041" s="234"/>
      <c r="E8041" s="237"/>
      <c r="F8041" s="234"/>
      <c r="G8041" s="234"/>
      <c r="H8041" s="234"/>
      <c r="J8041" s="239" t="s">
        <v>6330</v>
      </c>
    </row>
    <row r="8042">
      <c r="A8042" s="234"/>
      <c r="B8042" s="234"/>
      <c r="C8042" s="234"/>
      <c r="D8042" s="234"/>
      <c r="E8042" s="237"/>
      <c r="F8042" s="234"/>
      <c r="G8042" s="234"/>
      <c r="H8042" s="234"/>
      <c r="J8042" s="239" t="s">
        <v>6330</v>
      </c>
    </row>
    <row r="8043">
      <c r="A8043" s="234"/>
      <c r="B8043" s="234"/>
      <c r="C8043" s="234"/>
      <c r="D8043" s="234"/>
      <c r="E8043" s="237"/>
      <c r="F8043" s="234"/>
      <c r="G8043" s="234"/>
      <c r="H8043" s="234"/>
      <c r="J8043" s="239" t="s">
        <v>6330</v>
      </c>
    </row>
    <row r="8044">
      <c r="A8044" s="234"/>
      <c r="B8044" s="234"/>
      <c r="C8044" s="234"/>
      <c r="D8044" s="234"/>
      <c r="E8044" s="237"/>
      <c r="F8044" s="234"/>
      <c r="G8044" s="234"/>
      <c r="H8044" s="234"/>
      <c r="J8044" s="239" t="s">
        <v>6330</v>
      </c>
    </row>
    <row r="8045">
      <c r="A8045" s="234"/>
      <c r="B8045" s="234"/>
      <c r="C8045" s="234"/>
      <c r="D8045" s="234"/>
      <c r="E8045" s="237"/>
      <c r="F8045" s="234"/>
      <c r="G8045" s="234"/>
      <c r="H8045" s="234"/>
      <c r="J8045" s="239" t="s">
        <v>6330</v>
      </c>
    </row>
    <row r="8046">
      <c r="A8046" s="234"/>
      <c r="B8046" s="234"/>
      <c r="C8046" s="234"/>
      <c r="D8046" s="234"/>
      <c r="E8046" s="237"/>
      <c r="F8046" s="234"/>
      <c r="G8046" s="234"/>
      <c r="H8046" s="234"/>
      <c r="J8046" s="239" t="s">
        <v>6330</v>
      </c>
    </row>
    <row r="8047">
      <c r="A8047" s="234"/>
      <c r="B8047" s="234"/>
      <c r="C8047" s="234"/>
      <c r="D8047" s="234"/>
      <c r="E8047" s="237"/>
      <c r="F8047" s="234"/>
      <c r="G8047" s="234"/>
      <c r="H8047" s="234"/>
      <c r="J8047" s="239" t="s">
        <v>6330</v>
      </c>
    </row>
    <row r="8048">
      <c r="A8048" s="234"/>
      <c r="B8048" s="234"/>
      <c r="C8048" s="234"/>
      <c r="D8048" s="234"/>
      <c r="E8048" s="237"/>
      <c r="F8048" s="234"/>
      <c r="G8048" s="234"/>
      <c r="H8048" s="234"/>
      <c r="J8048" s="239" t="s">
        <v>6330</v>
      </c>
    </row>
    <row r="8049">
      <c r="A8049" s="234"/>
      <c r="B8049" s="234"/>
      <c r="C8049" s="234"/>
      <c r="D8049" s="234"/>
      <c r="E8049" s="237"/>
      <c r="F8049" s="234"/>
      <c r="G8049" s="234"/>
      <c r="H8049" s="234"/>
      <c r="J8049" s="239" t="s">
        <v>6330</v>
      </c>
    </row>
    <row r="8050">
      <c r="A8050" s="234"/>
      <c r="B8050" s="234"/>
      <c r="C8050" s="234"/>
      <c r="D8050" s="234"/>
      <c r="E8050" s="237"/>
      <c r="F8050" s="234"/>
      <c r="G8050" s="234"/>
      <c r="H8050" s="234"/>
      <c r="J8050" s="239" t="s">
        <v>6330</v>
      </c>
    </row>
    <row r="8051">
      <c r="A8051" s="234"/>
      <c r="B8051" s="234"/>
      <c r="C8051" s="234"/>
      <c r="D8051" s="234"/>
      <c r="E8051" s="237"/>
      <c r="F8051" s="234"/>
      <c r="G8051" s="234"/>
      <c r="H8051" s="234"/>
      <c r="J8051" s="239" t="s">
        <v>6330</v>
      </c>
    </row>
    <row r="8052">
      <c r="A8052" s="234"/>
      <c r="B8052" s="234"/>
      <c r="C8052" s="234"/>
      <c r="D8052" s="234"/>
      <c r="E8052" s="237"/>
      <c r="F8052" s="234"/>
      <c r="G8052" s="234"/>
      <c r="H8052" s="234"/>
      <c r="J8052" s="239" t="s">
        <v>6330</v>
      </c>
    </row>
    <row r="8053">
      <c r="A8053" s="234"/>
      <c r="B8053" s="234"/>
      <c r="C8053" s="234"/>
      <c r="D8053" s="234"/>
      <c r="E8053" s="237"/>
      <c r="F8053" s="234"/>
      <c r="G8053" s="234"/>
      <c r="H8053" s="234"/>
      <c r="J8053" s="239" t="s">
        <v>6330</v>
      </c>
    </row>
    <row r="8054">
      <c r="A8054" s="234"/>
      <c r="B8054" s="234"/>
      <c r="C8054" s="234"/>
      <c r="D8054" s="234"/>
      <c r="E8054" s="237"/>
      <c r="F8054" s="234"/>
      <c r="G8054" s="234"/>
      <c r="H8054" s="234"/>
      <c r="J8054" s="239" t="s">
        <v>6330</v>
      </c>
    </row>
    <row r="8055">
      <c r="A8055" s="234"/>
      <c r="B8055" s="234"/>
      <c r="C8055" s="234"/>
      <c r="D8055" s="234"/>
      <c r="E8055" s="237"/>
      <c r="F8055" s="234"/>
      <c r="G8055" s="234"/>
      <c r="H8055" s="234"/>
      <c r="J8055" s="239" t="s">
        <v>6330</v>
      </c>
    </row>
    <row r="8056">
      <c r="A8056" s="234"/>
      <c r="B8056" s="234"/>
      <c r="C8056" s="234"/>
      <c r="D8056" s="234"/>
      <c r="E8056" s="237"/>
      <c r="F8056" s="234"/>
      <c r="G8056" s="234"/>
      <c r="H8056" s="234"/>
      <c r="J8056" s="239" t="s">
        <v>6330</v>
      </c>
    </row>
    <row r="8057">
      <c r="A8057" s="234"/>
      <c r="B8057" s="234"/>
      <c r="C8057" s="234"/>
      <c r="D8057" s="234"/>
      <c r="E8057" s="237"/>
      <c r="F8057" s="234"/>
      <c r="G8057" s="234"/>
      <c r="H8057" s="234"/>
      <c r="J8057" s="239" t="s">
        <v>6330</v>
      </c>
    </row>
    <row r="8058">
      <c r="A8058" s="234"/>
      <c r="B8058" s="234"/>
      <c r="C8058" s="234"/>
      <c r="D8058" s="234"/>
      <c r="E8058" s="237"/>
      <c r="F8058" s="234"/>
      <c r="G8058" s="234"/>
      <c r="H8058" s="234"/>
      <c r="J8058" s="239" t="s">
        <v>6330</v>
      </c>
    </row>
    <row r="8059">
      <c r="A8059" s="234"/>
      <c r="B8059" s="234"/>
      <c r="C8059" s="234"/>
      <c r="D8059" s="234"/>
      <c r="E8059" s="237"/>
      <c r="F8059" s="234"/>
      <c r="G8059" s="234"/>
      <c r="H8059" s="234"/>
      <c r="J8059" s="239" t="s">
        <v>6330</v>
      </c>
    </row>
    <row r="8060">
      <c r="A8060" s="234"/>
      <c r="B8060" s="234"/>
      <c r="C8060" s="234"/>
      <c r="D8060" s="234"/>
      <c r="E8060" s="237"/>
      <c r="F8060" s="234"/>
      <c r="G8060" s="234"/>
      <c r="H8060" s="234"/>
      <c r="J8060" s="239" t="s">
        <v>6330</v>
      </c>
    </row>
    <row r="8061">
      <c r="A8061" s="234"/>
      <c r="B8061" s="234"/>
      <c r="C8061" s="234"/>
      <c r="D8061" s="234"/>
      <c r="E8061" s="237"/>
      <c r="F8061" s="234"/>
      <c r="G8061" s="234"/>
      <c r="H8061" s="234"/>
      <c r="J8061" s="239" t="s">
        <v>6330</v>
      </c>
    </row>
    <row r="8062">
      <c r="A8062" s="234"/>
      <c r="B8062" s="234"/>
      <c r="C8062" s="234"/>
      <c r="D8062" s="234"/>
      <c r="E8062" s="237"/>
      <c r="F8062" s="234"/>
      <c r="G8062" s="234"/>
      <c r="H8062" s="234"/>
      <c r="J8062" s="239" t="s">
        <v>6330</v>
      </c>
    </row>
    <row r="8063">
      <c r="A8063" s="234"/>
      <c r="B8063" s="234"/>
      <c r="C8063" s="234"/>
      <c r="D8063" s="234"/>
      <c r="E8063" s="237"/>
      <c r="F8063" s="234"/>
      <c r="G8063" s="234"/>
      <c r="H8063" s="234"/>
      <c r="J8063" s="239" t="s">
        <v>6330</v>
      </c>
    </row>
    <row r="8064">
      <c r="A8064" s="234"/>
      <c r="B8064" s="234"/>
      <c r="C8064" s="234"/>
      <c r="D8064" s="234"/>
      <c r="E8064" s="237"/>
      <c r="F8064" s="234"/>
      <c r="G8064" s="234"/>
      <c r="H8064" s="234"/>
      <c r="J8064" s="239" t="s">
        <v>6330</v>
      </c>
    </row>
    <row r="8065">
      <c r="A8065" s="234"/>
      <c r="B8065" s="234"/>
      <c r="C8065" s="234"/>
      <c r="D8065" s="234"/>
      <c r="E8065" s="237"/>
      <c r="F8065" s="234"/>
      <c r="G8065" s="234"/>
      <c r="H8065" s="234"/>
      <c r="J8065" s="239" t="s">
        <v>6330</v>
      </c>
    </row>
    <row r="8066">
      <c r="A8066" s="234"/>
      <c r="B8066" s="234"/>
      <c r="C8066" s="234"/>
      <c r="D8066" s="234"/>
      <c r="E8066" s="237"/>
      <c r="F8066" s="234"/>
      <c r="G8066" s="234"/>
      <c r="H8066" s="234"/>
      <c r="J8066" s="239" t="s">
        <v>6330</v>
      </c>
    </row>
    <row r="8067">
      <c r="A8067" s="234"/>
      <c r="B8067" s="234"/>
      <c r="C8067" s="234"/>
      <c r="D8067" s="234"/>
      <c r="E8067" s="237"/>
      <c r="F8067" s="234"/>
      <c r="G8067" s="234"/>
      <c r="H8067" s="234"/>
      <c r="J8067" s="239" t="s">
        <v>6330</v>
      </c>
    </row>
    <row r="8068">
      <c r="A8068" s="234"/>
      <c r="B8068" s="234"/>
      <c r="C8068" s="234"/>
      <c r="D8068" s="234"/>
      <c r="E8068" s="237"/>
      <c r="F8068" s="234"/>
      <c r="G8068" s="234"/>
      <c r="H8068" s="234"/>
      <c r="J8068" s="239" t="s">
        <v>6330</v>
      </c>
    </row>
    <row r="8069">
      <c r="A8069" s="234"/>
      <c r="B8069" s="234"/>
      <c r="C8069" s="234"/>
      <c r="D8069" s="234"/>
      <c r="E8069" s="237"/>
      <c r="F8069" s="234"/>
      <c r="G8069" s="234"/>
      <c r="H8069" s="234"/>
      <c r="J8069" s="239" t="s">
        <v>6330</v>
      </c>
    </row>
    <row r="8070">
      <c r="A8070" s="234"/>
      <c r="B8070" s="234"/>
      <c r="C8070" s="234"/>
      <c r="D8070" s="234"/>
      <c r="E8070" s="237"/>
      <c r="F8070" s="234"/>
      <c r="G8070" s="234"/>
      <c r="H8070" s="234"/>
      <c r="J8070" s="239" t="s">
        <v>6330</v>
      </c>
    </row>
    <row r="8071">
      <c r="A8071" s="234"/>
      <c r="B8071" s="234"/>
      <c r="C8071" s="234"/>
      <c r="D8071" s="234"/>
      <c r="E8071" s="237"/>
      <c r="F8071" s="234"/>
      <c r="G8071" s="234"/>
      <c r="H8071" s="234"/>
      <c r="J8071" s="239" t="s">
        <v>6330</v>
      </c>
    </row>
    <row r="8072">
      <c r="A8072" s="234"/>
      <c r="B8072" s="234"/>
      <c r="C8072" s="234"/>
      <c r="D8072" s="234"/>
      <c r="E8072" s="237"/>
      <c r="F8072" s="234"/>
      <c r="G8072" s="234"/>
      <c r="H8072" s="234"/>
      <c r="J8072" s="239" t="s">
        <v>6330</v>
      </c>
    </row>
    <row r="8073">
      <c r="A8073" s="234"/>
      <c r="B8073" s="234"/>
      <c r="C8073" s="234"/>
      <c r="D8073" s="234"/>
      <c r="E8073" s="237"/>
      <c r="F8073" s="234"/>
      <c r="G8073" s="234"/>
      <c r="H8073" s="234"/>
      <c r="J8073" s="239" t="s">
        <v>6330</v>
      </c>
    </row>
    <row r="8074">
      <c r="A8074" s="234"/>
      <c r="B8074" s="234"/>
      <c r="C8074" s="234"/>
      <c r="D8074" s="234"/>
      <c r="E8074" s="237"/>
      <c r="F8074" s="234"/>
      <c r="G8074" s="234"/>
      <c r="H8074" s="234"/>
      <c r="J8074" s="239" t="s">
        <v>6330</v>
      </c>
    </row>
    <row r="8075">
      <c r="A8075" s="234"/>
      <c r="B8075" s="234"/>
      <c r="C8075" s="234"/>
      <c r="D8075" s="234"/>
      <c r="E8075" s="237"/>
      <c r="F8075" s="234"/>
      <c r="G8075" s="234"/>
      <c r="H8075" s="234"/>
      <c r="J8075" s="239" t="s">
        <v>6330</v>
      </c>
    </row>
    <row r="8076">
      <c r="A8076" s="234"/>
      <c r="B8076" s="234"/>
      <c r="C8076" s="234"/>
      <c r="D8076" s="234"/>
      <c r="E8076" s="237"/>
      <c r="F8076" s="234"/>
      <c r="G8076" s="234"/>
      <c r="H8076" s="234"/>
      <c r="J8076" s="239" t="s">
        <v>6330</v>
      </c>
    </row>
    <row r="8077">
      <c r="A8077" s="234"/>
      <c r="B8077" s="234"/>
      <c r="C8077" s="234"/>
      <c r="D8077" s="234"/>
      <c r="E8077" s="237"/>
      <c r="F8077" s="234"/>
      <c r="G8077" s="234"/>
      <c r="H8077" s="234"/>
      <c r="J8077" s="239" t="s">
        <v>6330</v>
      </c>
    </row>
    <row r="8078">
      <c r="A8078" s="234"/>
      <c r="B8078" s="234"/>
      <c r="C8078" s="234"/>
      <c r="D8078" s="234"/>
      <c r="E8078" s="237"/>
      <c r="F8078" s="234"/>
      <c r="G8078" s="234"/>
      <c r="H8078" s="234"/>
      <c r="J8078" s="239" t="s">
        <v>6330</v>
      </c>
    </row>
    <row r="8079">
      <c r="A8079" s="234"/>
      <c r="B8079" s="234"/>
      <c r="C8079" s="234"/>
      <c r="D8079" s="234"/>
      <c r="E8079" s="237"/>
      <c r="F8079" s="234"/>
      <c r="G8079" s="234"/>
      <c r="H8079" s="234"/>
      <c r="J8079" s="239" t="s">
        <v>6330</v>
      </c>
    </row>
    <row r="8080">
      <c r="A8080" s="234"/>
      <c r="B8080" s="234"/>
      <c r="C8080" s="234"/>
      <c r="D8080" s="234"/>
      <c r="E8080" s="237"/>
      <c r="F8080" s="234"/>
      <c r="G8080" s="234"/>
      <c r="H8080" s="234"/>
      <c r="J8080" s="239" t="s">
        <v>6330</v>
      </c>
    </row>
    <row r="8081">
      <c r="A8081" s="234"/>
      <c r="B8081" s="234"/>
      <c r="C8081" s="234"/>
      <c r="D8081" s="234"/>
      <c r="E8081" s="237"/>
      <c r="F8081" s="234"/>
      <c r="G8081" s="234"/>
      <c r="H8081" s="234"/>
      <c r="J8081" s="239" t="s">
        <v>6330</v>
      </c>
    </row>
    <row r="8082">
      <c r="A8082" s="234"/>
      <c r="B8082" s="234"/>
      <c r="C8082" s="234"/>
      <c r="D8082" s="234"/>
      <c r="E8082" s="237"/>
      <c r="F8082" s="234"/>
      <c r="G8082" s="234"/>
      <c r="H8082" s="234"/>
      <c r="J8082" s="239" t="s">
        <v>6330</v>
      </c>
    </row>
    <row r="8083">
      <c r="A8083" s="234"/>
      <c r="B8083" s="234"/>
      <c r="C8083" s="234"/>
      <c r="D8083" s="234"/>
      <c r="E8083" s="237"/>
      <c r="F8083" s="234"/>
      <c r="G8083" s="234"/>
      <c r="H8083" s="234"/>
      <c r="J8083" s="239" t="s">
        <v>6330</v>
      </c>
    </row>
    <row r="8084">
      <c r="A8084" s="234"/>
      <c r="B8084" s="234"/>
      <c r="C8084" s="234"/>
      <c r="D8084" s="234"/>
      <c r="E8084" s="237"/>
      <c r="F8084" s="234"/>
      <c r="G8084" s="234"/>
      <c r="H8084" s="234"/>
      <c r="J8084" s="239" t="s">
        <v>6330</v>
      </c>
    </row>
    <row r="8085">
      <c r="A8085" s="234"/>
      <c r="B8085" s="234"/>
      <c r="C8085" s="234"/>
      <c r="D8085" s="234"/>
      <c r="E8085" s="237"/>
      <c r="F8085" s="234"/>
      <c r="G8085" s="234"/>
      <c r="H8085" s="234"/>
      <c r="J8085" s="239" t="s">
        <v>6330</v>
      </c>
    </row>
    <row r="8086">
      <c r="A8086" s="234"/>
      <c r="B8086" s="234"/>
      <c r="C8086" s="234"/>
      <c r="D8086" s="234"/>
      <c r="E8086" s="237"/>
      <c r="F8086" s="234"/>
      <c r="G8086" s="234"/>
      <c r="H8086" s="234"/>
      <c r="J8086" s="239" t="s">
        <v>6330</v>
      </c>
    </row>
    <row r="8087">
      <c r="A8087" s="234"/>
      <c r="B8087" s="234"/>
      <c r="C8087" s="234"/>
      <c r="D8087" s="234"/>
      <c r="E8087" s="237"/>
      <c r="F8087" s="234"/>
      <c r="G8087" s="234"/>
      <c r="H8087" s="234"/>
      <c r="J8087" s="239" t="s">
        <v>6330</v>
      </c>
    </row>
    <row r="8088">
      <c r="A8088" s="234"/>
      <c r="B8088" s="234"/>
      <c r="C8088" s="234"/>
      <c r="D8088" s="234"/>
      <c r="E8088" s="237"/>
      <c r="F8088" s="234"/>
      <c r="G8088" s="234"/>
      <c r="H8088" s="234"/>
      <c r="J8088" s="239" t="s">
        <v>6330</v>
      </c>
    </row>
    <row r="8089">
      <c r="A8089" s="234"/>
      <c r="B8089" s="234"/>
      <c r="C8089" s="234"/>
      <c r="D8089" s="234"/>
      <c r="E8089" s="237"/>
      <c r="F8089" s="234"/>
      <c r="G8089" s="234"/>
      <c r="H8089" s="234"/>
      <c r="J8089" s="239" t="s">
        <v>6330</v>
      </c>
    </row>
    <row r="8090">
      <c r="A8090" s="234"/>
      <c r="B8090" s="234"/>
      <c r="C8090" s="234"/>
      <c r="D8090" s="234"/>
      <c r="E8090" s="237"/>
      <c r="F8090" s="234"/>
      <c r="G8090" s="234"/>
      <c r="H8090" s="234"/>
      <c r="J8090" s="239" t="s">
        <v>6330</v>
      </c>
    </row>
    <row r="8091">
      <c r="A8091" s="234"/>
      <c r="B8091" s="234"/>
      <c r="C8091" s="234"/>
      <c r="D8091" s="234"/>
      <c r="E8091" s="237"/>
      <c r="F8091" s="234"/>
      <c r="G8091" s="234"/>
      <c r="H8091" s="234"/>
      <c r="J8091" s="239" t="s">
        <v>6330</v>
      </c>
    </row>
    <row r="8092">
      <c r="A8092" s="234"/>
      <c r="B8092" s="234"/>
      <c r="C8092" s="234"/>
      <c r="D8092" s="234"/>
      <c r="E8092" s="237"/>
      <c r="F8092" s="234"/>
      <c r="G8092" s="234"/>
      <c r="H8092" s="234"/>
      <c r="J8092" s="239" t="s">
        <v>6330</v>
      </c>
    </row>
    <row r="8093">
      <c r="A8093" s="234"/>
      <c r="B8093" s="234"/>
      <c r="C8093" s="234"/>
      <c r="D8093" s="234"/>
      <c r="E8093" s="237"/>
      <c r="F8093" s="234"/>
      <c r="G8093" s="234"/>
      <c r="H8093" s="234"/>
      <c r="J8093" s="239" t="s">
        <v>6330</v>
      </c>
    </row>
    <row r="8094">
      <c r="A8094" s="234"/>
      <c r="B8094" s="234"/>
      <c r="C8094" s="234"/>
      <c r="D8094" s="234"/>
      <c r="E8094" s="237"/>
      <c r="F8094" s="234"/>
      <c r="G8094" s="234"/>
      <c r="H8094" s="234"/>
      <c r="J8094" s="239" t="s">
        <v>6330</v>
      </c>
    </row>
    <row r="8095">
      <c r="A8095" s="234"/>
      <c r="B8095" s="234"/>
      <c r="C8095" s="234"/>
      <c r="D8095" s="234"/>
      <c r="E8095" s="237"/>
      <c r="F8095" s="234"/>
      <c r="G8095" s="234"/>
      <c r="H8095" s="234"/>
      <c r="J8095" s="239" t="s">
        <v>6330</v>
      </c>
    </row>
    <row r="8096">
      <c r="A8096" s="234"/>
      <c r="B8096" s="234"/>
      <c r="C8096" s="234"/>
      <c r="D8096" s="234"/>
      <c r="E8096" s="237"/>
      <c r="F8096" s="234"/>
      <c r="G8096" s="234"/>
      <c r="H8096" s="234"/>
      <c r="J8096" s="239" t="s">
        <v>6330</v>
      </c>
    </row>
    <row r="8097">
      <c r="A8097" s="234"/>
      <c r="B8097" s="234"/>
      <c r="C8097" s="234"/>
      <c r="D8097" s="234"/>
      <c r="E8097" s="237"/>
      <c r="F8097" s="234"/>
      <c r="G8097" s="234"/>
      <c r="H8097" s="234"/>
      <c r="J8097" s="239" t="s">
        <v>6330</v>
      </c>
    </row>
    <row r="8098">
      <c r="A8098" s="234"/>
      <c r="B8098" s="234"/>
      <c r="C8098" s="234"/>
      <c r="D8098" s="234"/>
      <c r="E8098" s="237"/>
      <c r="F8098" s="234"/>
      <c r="G8098" s="234"/>
      <c r="H8098" s="234"/>
      <c r="J8098" s="239" t="s">
        <v>6330</v>
      </c>
    </row>
    <row r="8099">
      <c r="A8099" s="234"/>
      <c r="B8099" s="234"/>
      <c r="C8099" s="234"/>
      <c r="D8099" s="234"/>
      <c r="E8099" s="237"/>
      <c r="F8099" s="234"/>
      <c r="G8099" s="234"/>
      <c r="H8099" s="234"/>
      <c r="J8099" s="239" t="s">
        <v>6330</v>
      </c>
    </row>
    <row r="8100">
      <c r="A8100" s="234"/>
      <c r="B8100" s="234"/>
      <c r="C8100" s="234"/>
      <c r="D8100" s="234"/>
      <c r="E8100" s="237"/>
      <c r="F8100" s="234"/>
      <c r="G8100" s="234"/>
      <c r="H8100" s="234"/>
      <c r="J8100" s="239" t="s">
        <v>6330</v>
      </c>
    </row>
    <row r="8101">
      <c r="A8101" s="234"/>
      <c r="B8101" s="234"/>
      <c r="C8101" s="234"/>
      <c r="D8101" s="234"/>
      <c r="E8101" s="237"/>
      <c r="F8101" s="234"/>
      <c r="G8101" s="234"/>
      <c r="H8101" s="234"/>
      <c r="J8101" s="239" t="s">
        <v>6330</v>
      </c>
    </row>
    <row r="8102">
      <c r="A8102" s="234"/>
      <c r="B8102" s="234"/>
      <c r="C8102" s="234"/>
      <c r="D8102" s="234"/>
      <c r="E8102" s="237"/>
      <c r="F8102" s="234"/>
      <c r="G8102" s="234"/>
      <c r="H8102" s="234"/>
      <c r="J8102" s="239" t="s">
        <v>6330</v>
      </c>
    </row>
    <row r="8103">
      <c r="A8103" s="234"/>
      <c r="B8103" s="234"/>
      <c r="C8103" s="234"/>
      <c r="D8103" s="234"/>
      <c r="E8103" s="237"/>
      <c r="F8103" s="234"/>
      <c r="G8103" s="234"/>
      <c r="H8103" s="234"/>
      <c r="J8103" s="239" t="s">
        <v>6330</v>
      </c>
    </row>
    <row r="8104">
      <c r="A8104" s="234"/>
      <c r="B8104" s="234"/>
      <c r="C8104" s="234"/>
      <c r="D8104" s="234"/>
      <c r="E8104" s="237"/>
      <c r="F8104" s="234"/>
      <c r="G8104" s="234"/>
      <c r="H8104" s="234"/>
      <c r="J8104" s="239" t="s">
        <v>6330</v>
      </c>
    </row>
    <row r="8105">
      <c r="A8105" s="234"/>
      <c r="B8105" s="234"/>
      <c r="C8105" s="234"/>
      <c r="D8105" s="234"/>
      <c r="E8105" s="237"/>
      <c r="F8105" s="234"/>
      <c r="G8105" s="234"/>
      <c r="H8105" s="234"/>
      <c r="J8105" s="239" t="s">
        <v>6330</v>
      </c>
    </row>
    <row r="8106">
      <c r="A8106" s="234"/>
      <c r="B8106" s="234"/>
      <c r="C8106" s="234"/>
      <c r="D8106" s="234"/>
      <c r="E8106" s="237"/>
      <c r="F8106" s="234"/>
      <c r="G8106" s="234"/>
      <c r="H8106" s="234"/>
      <c r="J8106" s="239" t="s">
        <v>6330</v>
      </c>
    </row>
    <row r="8107">
      <c r="A8107" s="234"/>
      <c r="B8107" s="234"/>
      <c r="C8107" s="234"/>
      <c r="D8107" s="234"/>
      <c r="E8107" s="237"/>
      <c r="F8107" s="234"/>
      <c r="G8107" s="234"/>
      <c r="H8107" s="234"/>
      <c r="J8107" s="239" t="s">
        <v>6330</v>
      </c>
    </row>
    <row r="8108">
      <c r="A8108" s="234"/>
      <c r="B8108" s="234"/>
      <c r="C8108" s="234"/>
      <c r="D8108" s="234"/>
      <c r="E8108" s="237"/>
      <c r="F8108" s="234"/>
      <c r="G8108" s="234"/>
      <c r="H8108" s="234"/>
      <c r="J8108" s="239" t="s">
        <v>6330</v>
      </c>
    </row>
    <row r="8109">
      <c r="A8109" s="234"/>
      <c r="B8109" s="234"/>
      <c r="C8109" s="234"/>
      <c r="D8109" s="234"/>
      <c r="E8109" s="237"/>
      <c r="F8109" s="234"/>
      <c r="G8109" s="234"/>
      <c r="H8109" s="234"/>
      <c r="J8109" s="239" t="s">
        <v>6330</v>
      </c>
    </row>
    <row r="8110">
      <c r="A8110" s="234"/>
      <c r="B8110" s="234"/>
      <c r="C8110" s="234"/>
      <c r="D8110" s="234"/>
      <c r="E8110" s="237"/>
      <c r="F8110" s="234"/>
      <c r="G8110" s="234"/>
      <c r="H8110" s="234"/>
      <c r="J8110" s="239" t="s">
        <v>6330</v>
      </c>
    </row>
    <row r="8111">
      <c r="A8111" s="234"/>
      <c r="B8111" s="234"/>
      <c r="C8111" s="234"/>
      <c r="D8111" s="234"/>
      <c r="E8111" s="237"/>
      <c r="F8111" s="234"/>
      <c r="G8111" s="234"/>
      <c r="H8111" s="234"/>
      <c r="J8111" s="239" t="s">
        <v>6330</v>
      </c>
    </row>
    <row r="8112">
      <c r="A8112" s="234"/>
      <c r="B8112" s="234"/>
      <c r="C8112" s="234"/>
      <c r="D8112" s="234"/>
      <c r="E8112" s="237"/>
      <c r="F8112" s="234"/>
      <c r="G8112" s="234"/>
      <c r="H8112" s="234"/>
      <c r="J8112" s="239" t="s">
        <v>6330</v>
      </c>
    </row>
    <row r="8113">
      <c r="A8113" s="234"/>
      <c r="B8113" s="234"/>
      <c r="C8113" s="234"/>
      <c r="D8113" s="234"/>
      <c r="E8113" s="237"/>
      <c r="F8113" s="234"/>
      <c r="G8113" s="234"/>
      <c r="H8113" s="234"/>
      <c r="J8113" s="239" t="s">
        <v>6330</v>
      </c>
    </row>
    <row r="8114">
      <c r="A8114" s="234"/>
      <c r="B8114" s="234"/>
      <c r="C8114" s="234"/>
      <c r="D8114" s="234"/>
      <c r="E8114" s="237"/>
      <c r="F8114" s="234"/>
      <c r="G8114" s="234"/>
      <c r="H8114" s="234"/>
      <c r="J8114" s="239" t="s">
        <v>6330</v>
      </c>
    </row>
    <row r="8115">
      <c r="A8115" s="234"/>
      <c r="B8115" s="234"/>
      <c r="C8115" s="234"/>
      <c r="D8115" s="234"/>
      <c r="E8115" s="237"/>
      <c r="F8115" s="234"/>
      <c r="G8115" s="234"/>
      <c r="H8115" s="234"/>
      <c r="J8115" s="239" t="s">
        <v>6330</v>
      </c>
    </row>
    <row r="8116">
      <c r="A8116" s="234"/>
      <c r="B8116" s="234"/>
      <c r="C8116" s="234"/>
      <c r="D8116" s="234"/>
      <c r="E8116" s="237"/>
      <c r="F8116" s="234"/>
      <c r="G8116" s="234"/>
      <c r="H8116" s="234"/>
      <c r="J8116" s="239" t="s">
        <v>6330</v>
      </c>
    </row>
    <row r="8117">
      <c r="A8117" s="234"/>
      <c r="B8117" s="234"/>
      <c r="C8117" s="234"/>
      <c r="D8117" s="234"/>
      <c r="E8117" s="237"/>
      <c r="F8117" s="234"/>
      <c r="G8117" s="234"/>
      <c r="H8117" s="234"/>
      <c r="J8117" s="239" t="s">
        <v>6330</v>
      </c>
    </row>
    <row r="8118">
      <c r="A8118" s="234"/>
      <c r="B8118" s="234"/>
      <c r="C8118" s="234"/>
      <c r="D8118" s="234"/>
      <c r="E8118" s="237"/>
      <c r="F8118" s="234"/>
      <c r="G8118" s="234"/>
      <c r="H8118" s="234"/>
      <c r="J8118" s="239" t="s">
        <v>6330</v>
      </c>
    </row>
    <row r="8119">
      <c r="A8119" s="234"/>
      <c r="B8119" s="234"/>
      <c r="C8119" s="234"/>
      <c r="D8119" s="234"/>
      <c r="E8119" s="237"/>
      <c r="F8119" s="234"/>
      <c r="G8119" s="234"/>
      <c r="H8119" s="234"/>
      <c r="J8119" s="239" t="s">
        <v>6330</v>
      </c>
    </row>
    <row r="8120">
      <c r="A8120" s="234"/>
      <c r="B8120" s="234"/>
      <c r="C8120" s="234"/>
      <c r="D8120" s="234"/>
      <c r="E8120" s="237"/>
      <c r="F8120" s="234"/>
      <c r="G8120" s="234"/>
      <c r="H8120" s="234"/>
      <c r="J8120" s="239" t="s">
        <v>6330</v>
      </c>
    </row>
    <row r="8121">
      <c r="A8121" s="234"/>
      <c r="B8121" s="234"/>
      <c r="C8121" s="234"/>
      <c r="D8121" s="234"/>
      <c r="E8121" s="237"/>
      <c r="F8121" s="234"/>
      <c r="G8121" s="234"/>
      <c r="H8121" s="234"/>
      <c r="J8121" s="239" t="s">
        <v>6330</v>
      </c>
    </row>
    <row r="8122">
      <c r="A8122" s="234"/>
      <c r="B8122" s="234"/>
      <c r="C8122" s="234"/>
      <c r="D8122" s="234"/>
      <c r="E8122" s="237"/>
      <c r="F8122" s="234"/>
      <c r="G8122" s="234"/>
      <c r="H8122" s="234"/>
      <c r="J8122" s="239" t="s">
        <v>6330</v>
      </c>
    </row>
    <row r="8123">
      <c r="A8123" s="234"/>
      <c r="B8123" s="234"/>
      <c r="C8123" s="234"/>
      <c r="D8123" s="234"/>
      <c r="E8123" s="237"/>
      <c r="F8123" s="234"/>
      <c r="G8123" s="234"/>
      <c r="H8123" s="234"/>
      <c r="J8123" s="239" t="s">
        <v>6330</v>
      </c>
    </row>
    <row r="8124">
      <c r="A8124" s="234"/>
      <c r="B8124" s="234"/>
      <c r="C8124" s="234"/>
      <c r="D8124" s="234"/>
      <c r="E8124" s="237"/>
      <c r="F8124" s="234"/>
      <c r="G8124" s="234"/>
      <c r="H8124" s="234"/>
      <c r="J8124" s="239" t="s">
        <v>6330</v>
      </c>
    </row>
    <row r="8125">
      <c r="A8125" s="234"/>
      <c r="B8125" s="234"/>
      <c r="C8125" s="234"/>
      <c r="D8125" s="234"/>
      <c r="E8125" s="237"/>
      <c r="F8125" s="234"/>
      <c r="G8125" s="234"/>
      <c r="H8125" s="234"/>
      <c r="J8125" s="239" t="s">
        <v>6330</v>
      </c>
    </row>
    <row r="8126">
      <c r="A8126" s="234"/>
      <c r="B8126" s="234"/>
      <c r="C8126" s="234"/>
      <c r="D8126" s="234"/>
      <c r="E8126" s="237"/>
      <c r="F8126" s="234"/>
      <c r="G8126" s="234"/>
      <c r="H8126" s="234"/>
      <c r="J8126" s="239" t="s">
        <v>6330</v>
      </c>
    </row>
    <row r="8127">
      <c r="A8127" s="234"/>
      <c r="B8127" s="234"/>
      <c r="C8127" s="234"/>
      <c r="D8127" s="234"/>
      <c r="E8127" s="237"/>
      <c r="F8127" s="234"/>
      <c r="G8127" s="234"/>
      <c r="H8127" s="234"/>
      <c r="J8127" s="239" t="s">
        <v>6330</v>
      </c>
    </row>
    <row r="8128">
      <c r="A8128" s="234"/>
      <c r="B8128" s="234"/>
      <c r="C8128" s="234"/>
      <c r="D8128" s="234"/>
      <c r="E8128" s="237"/>
      <c r="F8128" s="234"/>
      <c r="G8128" s="234"/>
      <c r="H8128" s="234"/>
      <c r="J8128" s="239" t="s">
        <v>6330</v>
      </c>
    </row>
    <row r="8129">
      <c r="A8129" s="234"/>
      <c r="B8129" s="234"/>
      <c r="C8129" s="234"/>
      <c r="D8129" s="234"/>
      <c r="E8129" s="237"/>
      <c r="F8129" s="234"/>
      <c r="G8129" s="234"/>
      <c r="H8129" s="234"/>
      <c r="J8129" s="239" t="s">
        <v>6330</v>
      </c>
    </row>
    <row r="8130">
      <c r="A8130" s="234"/>
      <c r="B8130" s="234"/>
      <c r="C8130" s="234"/>
      <c r="D8130" s="234"/>
      <c r="E8130" s="237"/>
      <c r="F8130" s="234"/>
      <c r="G8130" s="234"/>
      <c r="H8130" s="234"/>
      <c r="J8130" s="239" t="s">
        <v>6330</v>
      </c>
    </row>
    <row r="8131">
      <c r="A8131" s="234"/>
      <c r="B8131" s="234"/>
      <c r="C8131" s="234"/>
      <c r="D8131" s="234"/>
      <c r="E8131" s="237"/>
      <c r="F8131" s="234"/>
      <c r="G8131" s="234"/>
      <c r="H8131" s="234"/>
      <c r="J8131" s="239" t="s">
        <v>6330</v>
      </c>
    </row>
    <row r="8132">
      <c r="A8132" s="234"/>
      <c r="B8132" s="234"/>
      <c r="C8132" s="234"/>
      <c r="D8132" s="234"/>
      <c r="E8132" s="237"/>
      <c r="F8132" s="234"/>
      <c r="G8132" s="234"/>
      <c r="H8132" s="234"/>
      <c r="J8132" s="239" t="s">
        <v>6330</v>
      </c>
    </row>
    <row r="8133">
      <c r="A8133" s="234"/>
      <c r="B8133" s="234"/>
      <c r="C8133" s="234"/>
      <c r="D8133" s="234"/>
      <c r="E8133" s="237"/>
      <c r="F8133" s="234"/>
      <c r="G8133" s="234"/>
      <c r="H8133" s="234"/>
      <c r="J8133" s="239" t="s">
        <v>6330</v>
      </c>
    </row>
    <row r="8134">
      <c r="A8134" s="234"/>
      <c r="B8134" s="234"/>
      <c r="C8134" s="234"/>
      <c r="D8134" s="234"/>
      <c r="E8134" s="237"/>
      <c r="F8134" s="234"/>
      <c r="G8134" s="234"/>
      <c r="H8134" s="234"/>
      <c r="J8134" s="239" t="s">
        <v>6330</v>
      </c>
    </row>
    <row r="8135">
      <c r="A8135" s="234"/>
      <c r="B8135" s="234"/>
      <c r="C8135" s="234"/>
      <c r="D8135" s="234"/>
      <c r="E8135" s="237"/>
      <c r="F8135" s="234"/>
      <c r="G8135" s="234"/>
      <c r="H8135" s="234"/>
      <c r="J8135" s="239" t="s">
        <v>6330</v>
      </c>
    </row>
    <row r="8136">
      <c r="A8136" s="234"/>
      <c r="B8136" s="234"/>
      <c r="C8136" s="234"/>
      <c r="D8136" s="234"/>
      <c r="E8136" s="237"/>
      <c r="F8136" s="234"/>
      <c r="G8136" s="234"/>
      <c r="H8136" s="234"/>
      <c r="J8136" s="239" t="s">
        <v>6330</v>
      </c>
    </row>
    <row r="8137">
      <c r="A8137" s="234"/>
      <c r="B8137" s="234"/>
      <c r="C8137" s="234"/>
      <c r="D8137" s="234"/>
      <c r="E8137" s="237"/>
      <c r="F8137" s="234"/>
      <c r="G8137" s="234"/>
      <c r="H8137" s="234"/>
      <c r="J8137" s="239" t="s">
        <v>6330</v>
      </c>
    </row>
    <row r="8138">
      <c r="A8138" s="234"/>
      <c r="B8138" s="234"/>
      <c r="C8138" s="234"/>
      <c r="D8138" s="234"/>
      <c r="E8138" s="237"/>
      <c r="F8138" s="234"/>
      <c r="G8138" s="234"/>
      <c r="H8138" s="234"/>
      <c r="J8138" s="239" t="s">
        <v>6330</v>
      </c>
    </row>
    <row r="8139">
      <c r="A8139" s="234"/>
      <c r="B8139" s="234"/>
      <c r="C8139" s="234"/>
      <c r="D8139" s="234"/>
      <c r="E8139" s="237"/>
      <c r="F8139" s="234"/>
      <c r="G8139" s="234"/>
      <c r="H8139" s="234"/>
      <c r="J8139" s="239" t="s">
        <v>6330</v>
      </c>
    </row>
    <row r="8140">
      <c r="A8140" s="234"/>
      <c r="B8140" s="234"/>
      <c r="C8140" s="234"/>
      <c r="D8140" s="234"/>
      <c r="E8140" s="237"/>
      <c r="F8140" s="234"/>
      <c r="G8140" s="234"/>
      <c r="H8140" s="234"/>
      <c r="J8140" s="239" t="s">
        <v>6330</v>
      </c>
    </row>
    <row r="8141">
      <c r="A8141" s="234"/>
      <c r="B8141" s="234"/>
      <c r="C8141" s="234"/>
      <c r="D8141" s="234"/>
      <c r="E8141" s="237"/>
      <c r="F8141" s="234"/>
      <c r="G8141" s="234"/>
      <c r="H8141" s="234"/>
      <c r="J8141" s="239" t="s">
        <v>6330</v>
      </c>
    </row>
    <row r="8142">
      <c r="A8142" s="234"/>
      <c r="B8142" s="234"/>
      <c r="C8142" s="234"/>
      <c r="D8142" s="234"/>
      <c r="E8142" s="237"/>
      <c r="F8142" s="234"/>
      <c r="G8142" s="234"/>
      <c r="H8142" s="234"/>
      <c r="J8142" s="239" t="s">
        <v>6330</v>
      </c>
    </row>
    <row r="8143">
      <c r="A8143" s="234"/>
      <c r="B8143" s="234"/>
      <c r="C8143" s="234"/>
      <c r="D8143" s="234"/>
      <c r="E8143" s="237"/>
      <c r="F8143" s="234"/>
      <c r="G8143" s="234"/>
      <c r="H8143" s="234"/>
      <c r="J8143" s="239" t="s">
        <v>6330</v>
      </c>
    </row>
    <row r="8144">
      <c r="A8144" s="234"/>
      <c r="B8144" s="234"/>
      <c r="C8144" s="234"/>
      <c r="D8144" s="234"/>
      <c r="E8144" s="237"/>
      <c r="F8144" s="234"/>
      <c r="G8144" s="234"/>
      <c r="H8144" s="234"/>
      <c r="J8144" s="239" t="s">
        <v>6330</v>
      </c>
    </row>
    <row r="8145">
      <c r="A8145" s="234"/>
      <c r="B8145" s="234"/>
      <c r="C8145" s="234"/>
      <c r="D8145" s="234"/>
      <c r="E8145" s="237"/>
      <c r="F8145" s="234"/>
      <c r="G8145" s="234"/>
      <c r="H8145" s="234"/>
      <c r="J8145" s="239" t="s">
        <v>6330</v>
      </c>
    </row>
    <row r="8146">
      <c r="A8146" s="234"/>
      <c r="B8146" s="234"/>
      <c r="C8146" s="234"/>
      <c r="D8146" s="234"/>
      <c r="E8146" s="237"/>
      <c r="F8146" s="234"/>
      <c r="G8146" s="234"/>
      <c r="H8146" s="234"/>
      <c r="J8146" s="239" t="s">
        <v>6330</v>
      </c>
    </row>
    <row r="8147">
      <c r="A8147" s="234"/>
      <c r="B8147" s="234"/>
      <c r="C8147" s="234"/>
      <c r="D8147" s="234"/>
      <c r="E8147" s="237"/>
      <c r="F8147" s="234"/>
      <c r="G8147" s="234"/>
      <c r="H8147" s="234"/>
      <c r="J8147" s="239" t="s">
        <v>6330</v>
      </c>
    </row>
    <row r="8148">
      <c r="A8148" s="234"/>
      <c r="B8148" s="234"/>
      <c r="C8148" s="234"/>
      <c r="D8148" s="234"/>
      <c r="E8148" s="237"/>
      <c r="F8148" s="234"/>
      <c r="G8148" s="234"/>
      <c r="H8148" s="234"/>
      <c r="J8148" s="239" t="s">
        <v>6330</v>
      </c>
    </row>
    <row r="8149">
      <c r="A8149" s="234"/>
      <c r="B8149" s="234"/>
      <c r="C8149" s="234"/>
      <c r="D8149" s="234"/>
      <c r="E8149" s="237"/>
      <c r="F8149" s="234"/>
      <c r="G8149" s="234"/>
      <c r="H8149" s="234"/>
      <c r="J8149" s="239" t="s">
        <v>6330</v>
      </c>
    </row>
    <row r="8150">
      <c r="A8150" s="234"/>
      <c r="B8150" s="234"/>
      <c r="C8150" s="234"/>
      <c r="D8150" s="234"/>
      <c r="E8150" s="237"/>
      <c r="F8150" s="234"/>
      <c r="G8150" s="234"/>
      <c r="H8150" s="234"/>
      <c r="J8150" s="239" t="s">
        <v>6330</v>
      </c>
    </row>
    <row r="8151">
      <c r="A8151" s="234"/>
      <c r="B8151" s="234"/>
      <c r="C8151" s="234"/>
      <c r="D8151" s="234"/>
      <c r="E8151" s="237"/>
      <c r="F8151" s="234"/>
      <c r="G8151" s="234"/>
      <c r="H8151" s="234"/>
      <c r="J8151" s="239" t="s">
        <v>6330</v>
      </c>
    </row>
    <row r="8152">
      <c r="A8152" s="234"/>
      <c r="B8152" s="234"/>
      <c r="C8152" s="234"/>
      <c r="D8152" s="234"/>
      <c r="E8152" s="237"/>
      <c r="F8152" s="234"/>
      <c r="G8152" s="234"/>
      <c r="H8152" s="234"/>
      <c r="J8152" s="239" t="s">
        <v>6330</v>
      </c>
    </row>
    <row r="8153">
      <c r="A8153" s="234"/>
      <c r="B8153" s="234"/>
      <c r="C8153" s="234"/>
      <c r="D8153" s="234"/>
      <c r="E8153" s="237"/>
      <c r="F8153" s="234"/>
      <c r="G8153" s="234"/>
      <c r="H8153" s="234"/>
      <c r="J8153" s="239" t="s">
        <v>6330</v>
      </c>
    </row>
    <row r="8154">
      <c r="A8154" s="234"/>
      <c r="B8154" s="234"/>
      <c r="C8154" s="234"/>
      <c r="D8154" s="234"/>
      <c r="E8154" s="237"/>
      <c r="F8154" s="234"/>
      <c r="G8154" s="234"/>
      <c r="H8154" s="234"/>
      <c r="J8154" s="239" t="s">
        <v>6330</v>
      </c>
    </row>
    <row r="8155">
      <c r="A8155" s="234"/>
      <c r="B8155" s="234"/>
      <c r="C8155" s="234"/>
      <c r="D8155" s="234"/>
      <c r="E8155" s="237"/>
      <c r="F8155" s="234"/>
      <c r="G8155" s="234"/>
      <c r="H8155" s="234"/>
      <c r="J8155" s="239" t="s">
        <v>6330</v>
      </c>
    </row>
    <row r="8156">
      <c r="A8156" s="234"/>
      <c r="B8156" s="234"/>
      <c r="C8156" s="234"/>
      <c r="D8156" s="234"/>
      <c r="E8156" s="237"/>
      <c r="F8156" s="234"/>
      <c r="G8156" s="234"/>
      <c r="H8156" s="234"/>
      <c r="J8156" s="239" t="s">
        <v>6330</v>
      </c>
    </row>
    <row r="8157">
      <c r="A8157" s="234"/>
      <c r="B8157" s="234"/>
      <c r="C8157" s="234"/>
      <c r="D8157" s="234"/>
      <c r="E8157" s="237"/>
      <c r="F8157" s="234"/>
      <c r="G8157" s="234"/>
      <c r="H8157" s="234"/>
      <c r="J8157" s="239" t="s">
        <v>6330</v>
      </c>
    </row>
    <row r="8158">
      <c r="A8158" s="234"/>
      <c r="B8158" s="234"/>
      <c r="C8158" s="234"/>
      <c r="D8158" s="234"/>
      <c r="E8158" s="237"/>
      <c r="F8158" s="234"/>
      <c r="G8158" s="234"/>
      <c r="H8158" s="234"/>
      <c r="J8158" s="239" t="s">
        <v>6330</v>
      </c>
    </row>
    <row r="8159">
      <c r="A8159" s="234"/>
      <c r="B8159" s="234"/>
      <c r="C8159" s="234"/>
      <c r="D8159" s="234"/>
      <c r="E8159" s="237"/>
      <c r="F8159" s="234"/>
      <c r="G8159" s="234"/>
      <c r="H8159" s="234"/>
      <c r="J8159" s="239" t="s">
        <v>6330</v>
      </c>
    </row>
    <row r="8160">
      <c r="A8160" s="234"/>
      <c r="B8160" s="234"/>
      <c r="C8160" s="234"/>
      <c r="D8160" s="234"/>
      <c r="E8160" s="237"/>
      <c r="F8160" s="234"/>
      <c r="G8160" s="234"/>
      <c r="H8160" s="234"/>
      <c r="J8160" s="239" t="s">
        <v>6330</v>
      </c>
    </row>
    <row r="8161">
      <c r="A8161" s="234"/>
      <c r="B8161" s="234"/>
      <c r="C8161" s="234"/>
      <c r="D8161" s="234"/>
      <c r="E8161" s="237"/>
      <c r="F8161" s="234"/>
      <c r="G8161" s="234"/>
      <c r="H8161" s="234"/>
      <c r="J8161" s="239" t="s">
        <v>6330</v>
      </c>
    </row>
    <row r="8162">
      <c r="A8162" s="234"/>
      <c r="B8162" s="234"/>
      <c r="C8162" s="234"/>
      <c r="D8162" s="234"/>
      <c r="E8162" s="237"/>
      <c r="F8162" s="234"/>
      <c r="G8162" s="234"/>
      <c r="H8162" s="234"/>
      <c r="J8162" s="239" t="s">
        <v>6330</v>
      </c>
    </row>
    <row r="8163">
      <c r="A8163" s="234"/>
      <c r="B8163" s="234"/>
      <c r="C8163" s="234"/>
      <c r="D8163" s="234"/>
      <c r="E8163" s="237"/>
      <c r="F8163" s="234"/>
      <c r="G8163" s="234"/>
      <c r="H8163" s="234"/>
      <c r="J8163" s="239" t="s">
        <v>6330</v>
      </c>
    </row>
    <row r="8164">
      <c r="A8164" s="234"/>
      <c r="B8164" s="234"/>
      <c r="C8164" s="234"/>
      <c r="D8164" s="234"/>
      <c r="E8164" s="237"/>
      <c r="F8164" s="234"/>
      <c r="G8164" s="234"/>
      <c r="H8164" s="234"/>
      <c r="J8164" s="239" t="s">
        <v>6330</v>
      </c>
    </row>
    <row r="8165">
      <c r="A8165" s="234"/>
      <c r="B8165" s="234"/>
      <c r="C8165" s="234"/>
      <c r="D8165" s="234"/>
      <c r="E8165" s="237"/>
      <c r="F8165" s="234"/>
      <c r="G8165" s="234"/>
      <c r="H8165" s="234"/>
      <c r="J8165" s="239" t="s">
        <v>6330</v>
      </c>
    </row>
    <row r="8166">
      <c r="A8166" s="234"/>
      <c r="B8166" s="234"/>
      <c r="C8166" s="234"/>
      <c r="D8166" s="234"/>
      <c r="E8166" s="237"/>
      <c r="F8166" s="234"/>
      <c r="G8166" s="234"/>
      <c r="H8166" s="234"/>
      <c r="J8166" s="239" t="s">
        <v>6330</v>
      </c>
    </row>
    <row r="8167">
      <c r="A8167" s="234"/>
      <c r="B8167" s="234"/>
      <c r="C8167" s="234"/>
      <c r="D8167" s="234"/>
      <c r="E8167" s="237"/>
      <c r="F8167" s="234"/>
      <c r="G8167" s="234"/>
      <c r="H8167" s="234"/>
      <c r="J8167" s="239" t="s">
        <v>6330</v>
      </c>
    </row>
    <row r="8168">
      <c r="A8168" s="234"/>
      <c r="B8168" s="234"/>
      <c r="C8168" s="234"/>
      <c r="D8168" s="234"/>
      <c r="E8168" s="237"/>
      <c r="F8168" s="234"/>
      <c r="G8168" s="234"/>
      <c r="H8168" s="234"/>
      <c r="J8168" s="239" t="s">
        <v>6330</v>
      </c>
    </row>
    <row r="8169">
      <c r="A8169" s="234"/>
      <c r="B8169" s="234"/>
      <c r="C8169" s="234"/>
      <c r="D8169" s="234"/>
      <c r="E8169" s="237"/>
      <c r="F8169" s="234"/>
      <c r="G8169" s="234"/>
      <c r="H8169" s="234"/>
      <c r="J8169" s="239" t="s">
        <v>6330</v>
      </c>
    </row>
    <row r="8170">
      <c r="A8170" s="234"/>
      <c r="B8170" s="234"/>
      <c r="C8170" s="234"/>
      <c r="D8170" s="234"/>
      <c r="E8170" s="237"/>
      <c r="F8170" s="234"/>
      <c r="G8170" s="234"/>
      <c r="H8170" s="234"/>
      <c r="J8170" s="239" t="s">
        <v>6330</v>
      </c>
    </row>
    <row r="8171">
      <c r="A8171" s="234"/>
      <c r="B8171" s="234"/>
      <c r="C8171" s="234"/>
      <c r="D8171" s="234"/>
      <c r="E8171" s="237"/>
      <c r="F8171" s="234"/>
      <c r="G8171" s="234"/>
      <c r="H8171" s="234"/>
      <c r="J8171" s="239" t="s">
        <v>6330</v>
      </c>
    </row>
    <row r="8172">
      <c r="A8172" s="234"/>
      <c r="B8172" s="234"/>
      <c r="C8172" s="234"/>
      <c r="D8172" s="234"/>
      <c r="E8172" s="237"/>
      <c r="F8172" s="234"/>
      <c r="G8172" s="234"/>
      <c r="H8172" s="234"/>
      <c r="J8172" s="239" t="s">
        <v>6330</v>
      </c>
    </row>
    <row r="8173">
      <c r="A8173" s="234"/>
      <c r="B8173" s="234"/>
      <c r="C8173" s="234"/>
      <c r="D8173" s="234"/>
      <c r="E8173" s="237"/>
      <c r="F8173" s="234"/>
      <c r="G8173" s="234"/>
      <c r="H8173" s="234"/>
      <c r="J8173" s="239" t="s">
        <v>6330</v>
      </c>
    </row>
    <row r="8174">
      <c r="A8174" s="234"/>
      <c r="B8174" s="234"/>
      <c r="C8174" s="234"/>
      <c r="D8174" s="234"/>
      <c r="E8174" s="237"/>
      <c r="F8174" s="234"/>
      <c r="G8174" s="234"/>
      <c r="H8174" s="234"/>
      <c r="J8174" s="239" t="s">
        <v>6330</v>
      </c>
    </row>
    <row r="8175">
      <c r="A8175" s="234"/>
      <c r="B8175" s="234"/>
      <c r="C8175" s="234"/>
      <c r="D8175" s="234"/>
      <c r="E8175" s="237"/>
      <c r="F8175" s="234"/>
      <c r="G8175" s="234"/>
      <c r="H8175" s="234"/>
      <c r="J8175" s="239" t="s">
        <v>6330</v>
      </c>
    </row>
    <row r="8176">
      <c r="A8176" s="234"/>
      <c r="B8176" s="234"/>
      <c r="C8176" s="234"/>
      <c r="D8176" s="234"/>
      <c r="E8176" s="237"/>
      <c r="F8176" s="234"/>
      <c r="G8176" s="234"/>
      <c r="H8176" s="234"/>
      <c r="J8176" s="239" t="s">
        <v>6330</v>
      </c>
    </row>
    <row r="8177">
      <c r="A8177" s="234"/>
      <c r="B8177" s="234"/>
      <c r="C8177" s="234"/>
      <c r="D8177" s="234"/>
      <c r="E8177" s="237"/>
      <c r="F8177" s="234"/>
      <c r="G8177" s="234"/>
      <c r="H8177" s="234"/>
      <c r="J8177" s="239" t="s">
        <v>6330</v>
      </c>
    </row>
    <row r="8178">
      <c r="A8178" s="234"/>
      <c r="B8178" s="234"/>
      <c r="C8178" s="234"/>
      <c r="D8178" s="234"/>
      <c r="E8178" s="237"/>
      <c r="F8178" s="234"/>
      <c r="G8178" s="234"/>
      <c r="H8178" s="234"/>
      <c r="J8178" s="239" t="s">
        <v>6330</v>
      </c>
    </row>
    <row r="8179">
      <c r="A8179" s="234"/>
      <c r="B8179" s="234"/>
      <c r="C8179" s="234"/>
      <c r="D8179" s="234"/>
      <c r="E8179" s="237"/>
      <c r="F8179" s="234"/>
      <c r="G8179" s="234"/>
      <c r="H8179" s="234"/>
      <c r="J8179" s="239" t="s">
        <v>6330</v>
      </c>
    </row>
    <row r="8180">
      <c r="A8180" s="234"/>
      <c r="B8180" s="234"/>
      <c r="C8180" s="234"/>
      <c r="D8180" s="234"/>
      <c r="E8180" s="237"/>
      <c r="F8180" s="234"/>
      <c r="G8180" s="234"/>
      <c r="H8180" s="234"/>
      <c r="J8180" s="239" t="s">
        <v>6330</v>
      </c>
    </row>
    <row r="8181">
      <c r="A8181" s="234"/>
      <c r="B8181" s="234"/>
      <c r="C8181" s="234"/>
      <c r="D8181" s="234"/>
      <c r="E8181" s="237"/>
      <c r="F8181" s="234"/>
      <c r="G8181" s="234"/>
      <c r="H8181" s="234"/>
      <c r="J8181" s="239" t="s">
        <v>6330</v>
      </c>
    </row>
    <row r="8182">
      <c r="A8182" s="234"/>
      <c r="B8182" s="234"/>
      <c r="C8182" s="234"/>
      <c r="D8182" s="234"/>
      <c r="E8182" s="237"/>
      <c r="F8182" s="234"/>
      <c r="G8182" s="234"/>
      <c r="H8182" s="234"/>
      <c r="J8182" s="239" t="s">
        <v>6330</v>
      </c>
    </row>
    <row r="8183">
      <c r="A8183" s="234"/>
      <c r="B8183" s="234"/>
      <c r="C8183" s="234"/>
      <c r="D8183" s="234"/>
      <c r="E8183" s="237"/>
      <c r="F8183" s="234"/>
      <c r="G8183" s="234"/>
      <c r="H8183" s="234"/>
      <c r="J8183" s="239" t="s">
        <v>6330</v>
      </c>
    </row>
    <row r="8184">
      <c r="A8184" s="234"/>
      <c r="B8184" s="234"/>
      <c r="C8184" s="234"/>
      <c r="D8184" s="234"/>
      <c r="E8184" s="237"/>
      <c r="F8184" s="234"/>
      <c r="G8184" s="234"/>
      <c r="H8184" s="234"/>
      <c r="J8184" s="239" t="s">
        <v>6330</v>
      </c>
    </row>
    <row r="8185">
      <c r="A8185" s="234"/>
      <c r="B8185" s="234"/>
      <c r="C8185" s="234"/>
      <c r="D8185" s="234"/>
      <c r="E8185" s="237"/>
      <c r="F8185" s="234"/>
      <c r="G8185" s="234"/>
      <c r="H8185" s="234"/>
      <c r="J8185" s="239" t="s">
        <v>6330</v>
      </c>
    </row>
    <row r="8186">
      <c r="A8186" s="234"/>
      <c r="B8186" s="234"/>
      <c r="C8186" s="234"/>
      <c r="D8186" s="234"/>
      <c r="E8186" s="237"/>
      <c r="F8186" s="234"/>
      <c r="G8186" s="234"/>
      <c r="H8186" s="234"/>
      <c r="J8186" s="239" t="s">
        <v>6330</v>
      </c>
    </row>
    <row r="8187">
      <c r="A8187" s="234"/>
      <c r="B8187" s="234"/>
      <c r="C8187" s="234"/>
      <c r="D8187" s="234"/>
      <c r="E8187" s="237"/>
      <c r="F8187" s="234"/>
      <c r="G8187" s="234"/>
      <c r="H8187" s="234"/>
      <c r="J8187" s="239" t="s">
        <v>6330</v>
      </c>
    </row>
    <row r="8188">
      <c r="A8188" s="234"/>
      <c r="B8188" s="234"/>
      <c r="C8188" s="234"/>
      <c r="D8188" s="234"/>
      <c r="E8188" s="237"/>
      <c r="F8188" s="234"/>
      <c r="G8188" s="234"/>
      <c r="H8188" s="234"/>
      <c r="J8188" s="239" t="s">
        <v>6330</v>
      </c>
    </row>
    <row r="8189">
      <c r="A8189" s="234"/>
      <c r="B8189" s="234"/>
      <c r="C8189" s="234"/>
      <c r="D8189" s="234"/>
      <c r="E8189" s="237"/>
      <c r="F8189" s="234"/>
      <c r="G8189" s="234"/>
      <c r="H8189" s="234"/>
      <c r="J8189" s="239" t="s">
        <v>6330</v>
      </c>
    </row>
    <row r="8190">
      <c r="A8190" s="234"/>
      <c r="B8190" s="234"/>
      <c r="C8190" s="234"/>
      <c r="D8190" s="234"/>
      <c r="E8190" s="237"/>
      <c r="F8190" s="234"/>
      <c r="G8190" s="234"/>
      <c r="H8190" s="234"/>
      <c r="J8190" s="239" t="s">
        <v>6330</v>
      </c>
    </row>
    <row r="8191">
      <c r="A8191" s="234"/>
      <c r="B8191" s="234"/>
      <c r="C8191" s="234"/>
      <c r="D8191" s="234"/>
      <c r="E8191" s="237"/>
      <c r="F8191" s="234"/>
      <c r="G8191" s="234"/>
      <c r="H8191" s="234"/>
      <c r="J8191" s="239" t="s">
        <v>6330</v>
      </c>
    </row>
    <row r="8192">
      <c r="A8192" s="234"/>
      <c r="B8192" s="234"/>
      <c r="C8192" s="234"/>
      <c r="D8192" s="234"/>
      <c r="E8192" s="237"/>
      <c r="F8192" s="234"/>
      <c r="G8192" s="234"/>
      <c r="H8192" s="234"/>
      <c r="J8192" s="239" t="s">
        <v>6330</v>
      </c>
    </row>
    <row r="8193">
      <c r="A8193" s="234"/>
      <c r="B8193" s="234"/>
      <c r="C8193" s="234"/>
      <c r="D8193" s="234"/>
      <c r="E8193" s="237"/>
      <c r="F8193" s="234"/>
      <c r="G8193" s="234"/>
      <c r="H8193" s="234"/>
      <c r="J8193" s="239" t="s">
        <v>6330</v>
      </c>
    </row>
    <row r="8194">
      <c r="A8194" s="234"/>
      <c r="B8194" s="234"/>
      <c r="C8194" s="234"/>
      <c r="D8194" s="234"/>
      <c r="E8194" s="237"/>
      <c r="F8194" s="234"/>
      <c r="G8194" s="234"/>
      <c r="H8194" s="234"/>
      <c r="J8194" s="239" t="s">
        <v>6330</v>
      </c>
    </row>
    <row r="8195">
      <c r="A8195" s="234"/>
      <c r="B8195" s="234"/>
      <c r="C8195" s="234"/>
      <c r="D8195" s="234"/>
      <c r="E8195" s="237"/>
      <c r="F8195" s="234"/>
      <c r="G8195" s="234"/>
      <c r="H8195" s="234"/>
      <c r="J8195" s="239" t="s">
        <v>6330</v>
      </c>
    </row>
    <row r="8196">
      <c r="A8196" s="234"/>
      <c r="B8196" s="234"/>
      <c r="C8196" s="234"/>
      <c r="D8196" s="234"/>
      <c r="E8196" s="237"/>
      <c r="F8196" s="234"/>
      <c r="G8196" s="234"/>
      <c r="H8196" s="234"/>
      <c r="J8196" s="239" t="s">
        <v>6330</v>
      </c>
    </row>
    <row r="8197">
      <c r="A8197" s="234"/>
      <c r="B8197" s="234"/>
      <c r="C8197" s="234"/>
      <c r="D8197" s="234"/>
      <c r="E8197" s="237"/>
      <c r="F8197" s="234"/>
      <c r="G8197" s="234"/>
      <c r="H8197" s="234"/>
      <c r="J8197" s="239" t="s">
        <v>6330</v>
      </c>
    </row>
    <row r="8198">
      <c r="A8198" s="234"/>
      <c r="B8198" s="234"/>
      <c r="C8198" s="234"/>
      <c r="D8198" s="234"/>
      <c r="E8198" s="237"/>
      <c r="F8198" s="234"/>
      <c r="G8198" s="234"/>
      <c r="H8198" s="234"/>
      <c r="J8198" s="239" t="s">
        <v>6330</v>
      </c>
    </row>
    <row r="8199">
      <c r="A8199" s="234"/>
      <c r="B8199" s="234"/>
      <c r="C8199" s="234"/>
      <c r="D8199" s="234"/>
      <c r="E8199" s="237"/>
      <c r="F8199" s="234"/>
      <c r="G8199" s="234"/>
      <c r="H8199" s="234"/>
      <c r="J8199" s="239" t="s">
        <v>6330</v>
      </c>
    </row>
    <row r="8200">
      <c r="A8200" s="234"/>
      <c r="B8200" s="234"/>
      <c r="C8200" s="234"/>
      <c r="D8200" s="234"/>
      <c r="E8200" s="237"/>
      <c r="F8200" s="234"/>
      <c r="G8200" s="234"/>
      <c r="H8200" s="234"/>
      <c r="J8200" s="239" t="s">
        <v>6330</v>
      </c>
    </row>
    <row r="8201">
      <c r="A8201" s="234"/>
      <c r="B8201" s="234"/>
      <c r="C8201" s="234"/>
      <c r="D8201" s="234"/>
      <c r="E8201" s="237"/>
      <c r="F8201" s="234"/>
      <c r="G8201" s="234"/>
      <c r="H8201" s="234"/>
      <c r="J8201" s="239" t="s">
        <v>6330</v>
      </c>
    </row>
    <row r="8202">
      <c r="A8202" s="234"/>
      <c r="B8202" s="234"/>
      <c r="C8202" s="234"/>
      <c r="D8202" s="234"/>
      <c r="E8202" s="237"/>
      <c r="F8202" s="234"/>
      <c r="G8202" s="234"/>
      <c r="H8202" s="234"/>
      <c r="J8202" s="239" t="s">
        <v>6330</v>
      </c>
    </row>
    <row r="8203">
      <c r="A8203" s="234"/>
      <c r="B8203" s="234"/>
      <c r="C8203" s="234"/>
      <c r="D8203" s="234"/>
      <c r="E8203" s="237"/>
      <c r="F8203" s="234"/>
      <c r="G8203" s="234"/>
      <c r="H8203" s="234"/>
      <c r="J8203" s="239" t="s">
        <v>6330</v>
      </c>
    </row>
    <row r="8204">
      <c r="A8204" s="234"/>
      <c r="B8204" s="234"/>
      <c r="C8204" s="234"/>
      <c r="D8204" s="234"/>
      <c r="E8204" s="237"/>
      <c r="F8204" s="234"/>
      <c r="G8204" s="234"/>
      <c r="H8204" s="234"/>
      <c r="J8204" s="239" t="s">
        <v>6330</v>
      </c>
    </row>
    <row r="8205">
      <c r="A8205" s="234"/>
      <c r="B8205" s="234"/>
      <c r="C8205" s="234"/>
      <c r="D8205" s="234"/>
      <c r="E8205" s="237"/>
      <c r="F8205" s="234"/>
      <c r="G8205" s="234"/>
      <c r="H8205" s="234"/>
      <c r="J8205" s="239" t="s">
        <v>6330</v>
      </c>
    </row>
    <row r="8206">
      <c r="A8206" s="234"/>
      <c r="B8206" s="234"/>
      <c r="C8206" s="234"/>
      <c r="D8206" s="234"/>
      <c r="E8206" s="237"/>
      <c r="F8206" s="234"/>
      <c r="G8206" s="234"/>
      <c r="H8206" s="234"/>
      <c r="J8206" s="239" t="s">
        <v>6330</v>
      </c>
    </row>
    <row r="8207">
      <c r="A8207" s="234"/>
      <c r="B8207" s="234"/>
      <c r="C8207" s="234"/>
      <c r="D8207" s="234"/>
      <c r="E8207" s="237"/>
      <c r="F8207" s="234"/>
      <c r="G8207" s="234"/>
      <c r="H8207" s="234"/>
      <c r="J8207" s="239" t="s">
        <v>6330</v>
      </c>
    </row>
    <row r="8208">
      <c r="A8208" s="234"/>
      <c r="B8208" s="234"/>
      <c r="C8208" s="234"/>
      <c r="D8208" s="234"/>
      <c r="E8208" s="237"/>
      <c r="F8208" s="234"/>
      <c r="G8208" s="234"/>
      <c r="H8208" s="234"/>
      <c r="J8208" s="239" t="s">
        <v>6330</v>
      </c>
    </row>
    <row r="8209">
      <c r="A8209" s="234"/>
      <c r="B8209" s="234"/>
      <c r="C8209" s="234"/>
      <c r="D8209" s="234"/>
      <c r="E8209" s="237"/>
      <c r="F8209" s="234"/>
      <c r="G8209" s="234"/>
      <c r="H8209" s="234"/>
      <c r="J8209" s="239" t="s">
        <v>6330</v>
      </c>
    </row>
    <row r="8210">
      <c r="A8210" s="234"/>
      <c r="B8210" s="234"/>
      <c r="C8210" s="234"/>
      <c r="D8210" s="234"/>
      <c r="E8210" s="237"/>
      <c r="F8210" s="234"/>
      <c r="G8210" s="234"/>
      <c r="H8210" s="234"/>
      <c r="J8210" s="239" t="s">
        <v>6330</v>
      </c>
    </row>
    <row r="8211">
      <c r="A8211" s="234"/>
      <c r="B8211" s="234"/>
      <c r="C8211" s="234"/>
      <c r="D8211" s="234"/>
      <c r="E8211" s="237"/>
      <c r="F8211" s="234"/>
      <c r="G8211" s="234"/>
      <c r="H8211" s="234"/>
      <c r="J8211" s="239" t="s">
        <v>6330</v>
      </c>
    </row>
    <row r="8212">
      <c r="A8212" s="234"/>
      <c r="B8212" s="234"/>
      <c r="C8212" s="234"/>
      <c r="D8212" s="234"/>
      <c r="E8212" s="237"/>
      <c r="F8212" s="234"/>
      <c r="G8212" s="234"/>
      <c r="H8212" s="234"/>
      <c r="J8212" s="239" t="s">
        <v>6330</v>
      </c>
    </row>
    <row r="8213">
      <c r="A8213" s="234"/>
      <c r="B8213" s="234"/>
      <c r="C8213" s="234"/>
      <c r="D8213" s="234"/>
      <c r="E8213" s="237"/>
      <c r="F8213" s="234"/>
      <c r="G8213" s="234"/>
      <c r="H8213" s="234"/>
      <c r="J8213" s="239" t="s">
        <v>6330</v>
      </c>
    </row>
    <row r="8214">
      <c r="A8214" s="234"/>
      <c r="B8214" s="234"/>
      <c r="C8214" s="234"/>
      <c r="D8214" s="234"/>
      <c r="E8214" s="237"/>
      <c r="F8214" s="234"/>
      <c r="G8214" s="234"/>
      <c r="H8214" s="234"/>
      <c r="J8214" s="239" t="s">
        <v>6330</v>
      </c>
    </row>
    <row r="8215">
      <c r="A8215" s="234"/>
      <c r="B8215" s="234"/>
      <c r="C8215" s="234"/>
      <c r="D8215" s="234"/>
      <c r="E8215" s="237"/>
      <c r="F8215" s="234"/>
      <c r="G8215" s="234"/>
      <c r="H8215" s="234"/>
      <c r="J8215" s="239" t="s">
        <v>6330</v>
      </c>
    </row>
    <row r="8216">
      <c r="A8216" s="234"/>
      <c r="B8216" s="234"/>
      <c r="C8216" s="234"/>
      <c r="D8216" s="234"/>
      <c r="E8216" s="237"/>
      <c r="F8216" s="234"/>
      <c r="G8216" s="234"/>
      <c r="H8216" s="234"/>
      <c r="J8216" s="239" t="s">
        <v>6330</v>
      </c>
    </row>
    <row r="8217">
      <c r="A8217" s="234"/>
      <c r="B8217" s="234"/>
      <c r="C8217" s="234"/>
      <c r="D8217" s="234"/>
      <c r="E8217" s="237"/>
      <c r="F8217" s="234"/>
      <c r="G8217" s="234"/>
      <c r="H8217" s="234"/>
      <c r="J8217" s="239" t="s">
        <v>6330</v>
      </c>
    </row>
    <row r="8218">
      <c r="A8218" s="234"/>
      <c r="B8218" s="234"/>
      <c r="C8218" s="234"/>
      <c r="D8218" s="234"/>
      <c r="E8218" s="237"/>
      <c r="F8218" s="234"/>
      <c r="G8218" s="234"/>
      <c r="H8218" s="234"/>
      <c r="J8218" s="239" t="s">
        <v>6330</v>
      </c>
    </row>
    <row r="8219">
      <c r="A8219" s="234"/>
      <c r="B8219" s="234"/>
      <c r="C8219" s="234"/>
      <c r="D8219" s="234"/>
      <c r="E8219" s="237"/>
      <c r="F8219" s="234"/>
      <c r="G8219" s="234"/>
      <c r="H8219" s="234"/>
      <c r="J8219" s="239" t="s">
        <v>6330</v>
      </c>
    </row>
    <row r="8220">
      <c r="A8220" s="234"/>
      <c r="B8220" s="234"/>
      <c r="C8220" s="234"/>
      <c r="D8220" s="234"/>
      <c r="E8220" s="237"/>
      <c r="F8220" s="234"/>
      <c r="G8220" s="234"/>
      <c r="H8220" s="234"/>
      <c r="J8220" s="239" t="s">
        <v>6330</v>
      </c>
    </row>
    <row r="8221">
      <c r="A8221" s="234"/>
      <c r="B8221" s="234"/>
      <c r="C8221" s="234"/>
      <c r="D8221" s="234"/>
      <c r="E8221" s="237"/>
      <c r="F8221" s="234"/>
      <c r="G8221" s="234"/>
      <c r="H8221" s="234"/>
      <c r="J8221" s="239" t="s">
        <v>6330</v>
      </c>
    </row>
    <row r="8222">
      <c r="A8222" s="234"/>
      <c r="B8222" s="234"/>
      <c r="C8222" s="234"/>
      <c r="D8222" s="234"/>
      <c r="E8222" s="237"/>
      <c r="F8222" s="234"/>
      <c r="G8222" s="234"/>
      <c r="H8222" s="234"/>
      <c r="J8222" s="239" t="s">
        <v>6330</v>
      </c>
    </row>
    <row r="8223">
      <c r="A8223" s="234"/>
      <c r="B8223" s="234"/>
      <c r="C8223" s="234"/>
      <c r="D8223" s="234"/>
      <c r="E8223" s="237"/>
      <c r="F8223" s="234"/>
      <c r="G8223" s="234"/>
      <c r="H8223" s="234"/>
      <c r="J8223" s="239" t="s">
        <v>6330</v>
      </c>
    </row>
    <row r="8224">
      <c r="A8224" s="234"/>
      <c r="B8224" s="234"/>
      <c r="C8224" s="234"/>
      <c r="D8224" s="234"/>
      <c r="E8224" s="237"/>
      <c r="F8224" s="234"/>
      <c r="G8224" s="234"/>
      <c r="H8224" s="234"/>
      <c r="J8224" s="239" t="s">
        <v>6330</v>
      </c>
    </row>
    <row r="8225">
      <c r="A8225" s="234"/>
      <c r="B8225" s="234"/>
      <c r="C8225" s="234"/>
      <c r="D8225" s="234"/>
      <c r="E8225" s="237"/>
      <c r="F8225" s="234"/>
      <c r="G8225" s="234"/>
      <c r="H8225" s="234"/>
      <c r="J8225" s="239" t="s">
        <v>6330</v>
      </c>
    </row>
    <row r="8226">
      <c r="A8226" s="234"/>
      <c r="B8226" s="234"/>
      <c r="C8226" s="234"/>
      <c r="D8226" s="234"/>
      <c r="E8226" s="237"/>
      <c r="F8226" s="234"/>
      <c r="G8226" s="234"/>
      <c r="H8226" s="234"/>
      <c r="J8226" s="239" t="s">
        <v>6330</v>
      </c>
    </row>
    <row r="8227">
      <c r="A8227" s="234"/>
      <c r="B8227" s="234"/>
      <c r="C8227" s="234"/>
      <c r="D8227" s="234"/>
      <c r="E8227" s="237"/>
      <c r="F8227" s="234"/>
      <c r="G8227" s="234"/>
      <c r="H8227" s="234"/>
      <c r="J8227" s="239" t="s">
        <v>6330</v>
      </c>
    </row>
    <row r="8228">
      <c r="A8228" s="234"/>
      <c r="B8228" s="234"/>
      <c r="C8228" s="234"/>
      <c r="D8228" s="234"/>
      <c r="E8228" s="237"/>
      <c r="F8228" s="234"/>
      <c r="G8228" s="234"/>
      <c r="H8228" s="234"/>
      <c r="J8228" s="239" t="s">
        <v>6330</v>
      </c>
    </row>
    <row r="8229">
      <c r="A8229" s="234"/>
      <c r="B8229" s="234"/>
      <c r="C8229" s="234"/>
      <c r="D8229" s="234"/>
      <c r="E8229" s="237"/>
      <c r="F8229" s="234"/>
      <c r="G8229" s="234"/>
      <c r="H8229" s="234"/>
      <c r="J8229" s="239" t="s">
        <v>6330</v>
      </c>
    </row>
    <row r="8230">
      <c r="A8230" s="234"/>
      <c r="B8230" s="234"/>
      <c r="C8230" s="234"/>
      <c r="D8230" s="234"/>
      <c r="E8230" s="237"/>
      <c r="F8230" s="234"/>
      <c r="G8230" s="234"/>
      <c r="H8230" s="234"/>
      <c r="J8230" s="239" t="s">
        <v>6330</v>
      </c>
    </row>
    <row r="8231">
      <c r="A8231" s="234"/>
      <c r="B8231" s="234"/>
      <c r="C8231" s="234"/>
      <c r="D8231" s="234"/>
      <c r="E8231" s="237"/>
      <c r="F8231" s="234"/>
      <c r="G8231" s="234"/>
      <c r="H8231" s="234"/>
      <c r="J8231" s="239" t="s">
        <v>6330</v>
      </c>
    </row>
    <row r="8232">
      <c r="A8232" s="234"/>
      <c r="B8232" s="234"/>
      <c r="C8232" s="234"/>
      <c r="D8232" s="234"/>
      <c r="E8232" s="237"/>
      <c r="F8232" s="234"/>
      <c r="G8232" s="234"/>
      <c r="H8232" s="234"/>
      <c r="J8232" s="239" t="s">
        <v>6330</v>
      </c>
    </row>
    <row r="8233">
      <c r="A8233" s="234"/>
      <c r="B8233" s="234"/>
      <c r="C8233" s="234"/>
      <c r="D8233" s="234"/>
      <c r="E8233" s="237"/>
      <c r="F8233" s="234"/>
      <c r="G8233" s="234"/>
      <c r="H8233" s="234"/>
      <c r="J8233" s="239" t="s">
        <v>6330</v>
      </c>
    </row>
    <row r="8234">
      <c r="A8234" s="234"/>
      <c r="B8234" s="234"/>
      <c r="C8234" s="234"/>
      <c r="D8234" s="234"/>
      <c r="E8234" s="237"/>
      <c r="F8234" s="234"/>
      <c r="G8234" s="234"/>
      <c r="H8234" s="234"/>
      <c r="J8234" s="239" t="s">
        <v>6330</v>
      </c>
    </row>
    <row r="8235">
      <c r="A8235" s="234"/>
      <c r="B8235" s="234"/>
      <c r="C8235" s="234"/>
      <c r="D8235" s="234"/>
      <c r="E8235" s="237"/>
      <c r="F8235" s="234"/>
      <c r="G8235" s="234"/>
      <c r="H8235" s="234"/>
      <c r="J8235" s="239" t="s">
        <v>6330</v>
      </c>
    </row>
    <row r="8236">
      <c r="A8236" s="234"/>
      <c r="B8236" s="234"/>
      <c r="C8236" s="234"/>
      <c r="D8236" s="234"/>
      <c r="E8236" s="237"/>
      <c r="F8236" s="234"/>
      <c r="G8236" s="234"/>
      <c r="H8236" s="234"/>
      <c r="J8236" s="239" t="s">
        <v>6330</v>
      </c>
    </row>
    <row r="8237">
      <c r="A8237" s="234"/>
      <c r="B8237" s="234"/>
      <c r="C8237" s="234"/>
      <c r="D8237" s="234"/>
      <c r="E8237" s="237"/>
      <c r="F8237" s="234"/>
      <c r="G8237" s="234"/>
      <c r="H8237" s="234"/>
      <c r="J8237" s="239" t="s">
        <v>6330</v>
      </c>
    </row>
    <row r="8238">
      <c r="A8238" s="234"/>
      <c r="B8238" s="234"/>
      <c r="C8238" s="234"/>
      <c r="D8238" s="234"/>
      <c r="E8238" s="237"/>
      <c r="F8238" s="234"/>
      <c r="G8238" s="234"/>
      <c r="H8238" s="234"/>
      <c r="J8238" s="239" t="s">
        <v>6330</v>
      </c>
    </row>
    <row r="8239">
      <c r="A8239" s="234"/>
      <c r="B8239" s="234"/>
      <c r="C8239" s="234"/>
      <c r="D8239" s="234"/>
      <c r="E8239" s="237"/>
      <c r="F8239" s="234"/>
      <c r="G8239" s="234"/>
      <c r="H8239" s="234"/>
      <c r="J8239" s="239" t="s">
        <v>6330</v>
      </c>
    </row>
    <row r="8240">
      <c r="A8240" s="234"/>
      <c r="B8240" s="234"/>
      <c r="C8240" s="234"/>
      <c r="D8240" s="234"/>
      <c r="E8240" s="237"/>
      <c r="F8240" s="234"/>
      <c r="G8240" s="234"/>
      <c r="H8240" s="234"/>
      <c r="J8240" s="239" t="s">
        <v>6330</v>
      </c>
    </row>
    <row r="8241">
      <c r="A8241" s="234"/>
      <c r="B8241" s="234"/>
      <c r="C8241" s="234"/>
      <c r="D8241" s="234"/>
      <c r="E8241" s="237"/>
      <c r="F8241" s="234"/>
      <c r="G8241" s="234"/>
      <c r="H8241" s="234"/>
      <c r="J8241" s="239" t="s">
        <v>6330</v>
      </c>
    </row>
    <row r="8242">
      <c r="A8242" s="234"/>
      <c r="B8242" s="234"/>
      <c r="C8242" s="234"/>
      <c r="D8242" s="234"/>
      <c r="E8242" s="237"/>
      <c r="F8242" s="234"/>
      <c r="G8242" s="234"/>
      <c r="H8242" s="234"/>
      <c r="J8242" s="239" t="s">
        <v>6330</v>
      </c>
    </row>
    <row r="8243">
      <c r="A8243" s="234"/>
      <c r="B8243" s="234"/>
      <c r="C8243" s="234"/>
      <c r="D8243" s="234"/>
      <c r="E8243" s="237"/>
      <c r="F8243" s="234"/>
      <c r="G8243" s="234"/>
      <c r="H8243" s="234"/>
      <c r="J8243" s="239" t="s">
        <v>6330</v>
      </c>
    </row>
    <row r="8244">
      <c r="A8244" s="234"/>
      <c r="B8244" s="234"/>
      <c r="C8244" s="234"/>
      <c r="D8244" s="234"/>
      <c r="E8244" s="237"/>
      <c r="F8244" s="234"/>
      <c r="G8244" s="234"/>
      <c r="H8244" s="234"/>
      <c r="J8244" s="239" t="s">
        <v>6330</v>
      </c>
    </row>
    <row r="8245">
      <c r="A8245" s="234"/>
      <c r="B8245" s="234"/>
      <c r="C8245" s="234"/>
      <c r="D8245" s="234"/>
      <c r="E8245" s="237"/>
      <c r="F8245" s="234"/>
      <c r="G8245" s="234"/>
      <c r="H8245" s="234"/>
      <c r="J8245" s="239" t="s">
        <v>6330</v>
      </c>
    </row>
    <row r="8246">
      <c r="A8246" s="234"/>
      <c r="B8246" s="234"/>
      <c r="C8246" s="234"/>
      <c r="D8246" s="234"/>
      <c r="E8246" s="237"/>
      <c r="F8246" s="234"/>
      <c r="G8246" s="234"/>
      <c r="H8246" s="234"/>
      <c r="J8246" s="239" t="s">
        <v>6330</v>
      </c>
    </row>
    <row r="8247">
      <c r="A8247" s="234"/>
      <c r="B8247" s="234"/>
      <c r="C8247" s="234"/>
      <c r="D8247" s="234"/>
      <c r="E8247" s="237"/>
      <c r="F8247" s="234"/>
      <c r="G8247" s="234"/>
      <c r="H8247" s="234"/>
      <c r="J8247" s="239" t="s">
        <v>6330</v>
      </c>
    </row>
    <row r="8248">
      <c r="A8248" s="234"/>
      <c r="B8248" s="234"/>
      <c r="C8248" s="234"/>
      <c r="D8248" s="234"/>
      <c r="E8248" s="237"/>
      <c r="F8248" s="234"/>
      <c r="G8248" s="234"/>
      <c r="H8248" s="234"/>
      <c r="J8248" s="239" t="s">
        <v>6330</v>
      </c>
    </row>
    <row r="8249">
      <c r="A8249" s="234"/>
      <c r="B8249" s="234"/>
      <c r="C8249" s="234"/>
      <c r="D8249" s="234"/>
      <c r="E8249" s="237"/>
      <c r="F8249" s="234"/>
      <c r="G8249" s="234"/>
      <c r="H8249" s="234"/>
      <c r="J8249" s="239" t="s">
        <v>6330</v>
      </c>
    </row>
    <row r="8250">
      <c r="A8250" s="234"/>
      <c r="B8250" s="234"/>
      <c r="C8250" s="234"/>
      <c r="D8250" s="234"/>
      <c r="E8250" s="237"/>
      <c r="F8250" s="234"/>
      <c r="G8250" s="234"/>
      <c r="H8250" s="234"/>
      <c r="J8250" s="239" t="s">
        <v>6330</v>
      </c>
    </row>
    <row r="8251">
      <c r="A8251" s="234"/>
      <c r="B8251" s="234"/>
      <c r="C8251" s="234"/>
      <c r="D8251" s="234"/>
      <c r="E8251" s="237"/>
      <c r="F8251" s="234"/>
      <c r="G8251" s="234"/>
      <c r="H8251" s="234"/>
      <c r="J8251" s="239" t="s">
        <v>6330</v>
      </c>
    </row>
    <row r="8252">
      <c r="A8252" s="234"/>
      <c r="B8252" s="234"/>
      <c r="C8252" s="234"/>
      <c r="D8252" s="234"/>
      <c r="E8252" s="237"/>
      <c r="F8252" s="234"/>
      <c r="G8252" s="234"/>
      <c r="H8252" s="234"/>
      <c r="J8252" s="239" t="s">
        <v>6330</v>
      </c>
    </row>
    <row r="8253">
      <c r="A8253" s="234"/>
      <c r="B8253" s="234"/>
      <c r="C8253" s="234"/>
      <c r="D8253" s="234"/>
      <c r="E8253" s="237"/>
      <c r="F8253" s="234"/>
      <c r="G8253" s="234"/>
      <c r="H8253" s="234"/>
      <c r="J8253" s="239" t="s">
        <v>6330</v>
      </c>
    </row>
    <row r="8254">
      <c r="A8254" s="234"/>
      <c r="B8254" s="234"/>
      <c r="C8254" s="234"/>
      <c r="D8254" s="234"/>
      <c r="E8254" s="237"/>
      <c r="F8254" s="234"/>
      <c r="G8254" s="234"/>
      <c r="H8254" s="234"/>
      <c r="J8254" s="239" t="s">
        <v>6330</v>
      </c>
    </row>
    <row r="8255">
      <c r="A8255" s="234"/>
      <c r="B8255" s="234"/>
      <c r="C8255" s="234"/>
      <c r="D8255" s="234"/>
      <c r="E8255" s="237"/>
      <c r="F8255" s="234"/>
      <c r="G8255" s="234"/>
      <c r="H8255" s="234"/>
      <c r="J8255" s="239" t="s">
        <v>6330</v>
      </c>
    </row>
    <row r="8256">
      <c r="A8256" s="234"/>
      <c r="B8256" s="234"/>
      <c r="C8256" s="234"/>
      <c r="D8256" s="234"/>
      <c r="E8256" s="237"/>
      <c r="F8256" s="234"/>
      <c r="G8256" s="234"/>
      <c r="H8256" s="234"/>
      <c r="J8256" s="239" t="s">
        <v>6330</v>
      </c>
    </row>
    <row r="8257">
      <c r="A8257" s="234"/>
      <c r="B8257" s="234"/>
      <c r="C8257" s="234"/>
      <c r="D8257" s="234"/>
      <c r="E8257" s="237"/>
      <c r="F8257" s="234"/>
      <c r="G8257" s="234"/>
      <c r="H8257" s="234"/>
      <c r="J8257" s="239" t="s">
        <v>6330</v>
      </c>
    </row>
    <row r="8258">
      <c r="A8258" s="234"/>
      <c r="B8258" s="234"/>
      <c r="C8258" s="234"/>
      <c r="D8258" s="234"/>
      <c r="E8258" s="237"/>
      <c r="F8258" s="234"/>
      <c r="G8258" s="234"/>
      <c r="H8258" s="234"/>
      <c r="J8258" s="239" t="s">
        <v>6330</v>
      </c>
    </row>
    <row r="8259">
      <c r="A8259" s="234"/>
      <c r="B8259" s="234"/>
      <c r="C8259" s="234"/>
      <c r="D8259" s="234"/>
      <c r="E8259" s="237"/>
      <c r="F8259" s="234"/>
      <c r="G8259" s="234"/>
      <c r="H8259" s="234"/>
      <c r="J8259" s="239" t="s">
        <v>6330</v>
      </c>
    </row>
    <row r="8260">
      <c r="A8260" s="234"/>
      <c r="B8260" s="234"/>
      <c r="C8260" s="234"/>
      <c r="D8260" s="234"/>
      <c r="E8260" s="237"/>
      <c r="F8260" s="234"/>
      <c r="G8260" s="234"/>
      <c r="H8260" s="234"/>
      <c r="J8260" s="239" t="s">
        <v>6330</v>
      </c>
    </row>
    <row r="8261">
      <c r="A8261" s="234"/>
      <c r="B8261" s="234"/>
      <c r="C8261" s="234"/>
      <c r="D8261" s="234"/>
      <c r="E8261" s="237"/>
      <c r="F8261" s="234"/>
      <c r="G8261" s="234"/>
      <c r="H8261" s="234"/>
      <c r="J8261" s="239" t="s">
        <v>6330</v>
      </c>
    </row>
    <row r="8262">
      <c r="A8262" s="234"/>
      <c r="B8262" s="234"/>
      <c r="C8262" s="234"/>
      <c r="D8262" s="234"/>
      <c r="E8262" s="237"/>
      <c r="F8262" s="234"/>
      <c r="G8262" s="234"/>
      <c r="H8262" s="234"/>
      <c r="J8262" s="239" t="s">
        <v>6330</v>
      </c>
    </row>
    <row r="8263">
      <c r="A8263" s="234"/>
      <c r="B8263" s="234"/>
      <c r="C8263" s="234"/>
      <c r="D8263" s="234"/>
      <c r="E8263" s="237"/>
      <c r="F8263" s="234"/>
      <c r="G8263" s="234"/>
      <c r="H8263" s="234"/>
      <c r="J8263" s="239" t="s">
        <v>6330</v>
      </c>
    </row>
    <row r="8264">
      <c r="A8264" s="234"/>
      <c r="B8264" s="234"/>
      <c r="C8264" s="234"/>
      <c r="D8264" s="234"/>
      <c r="E8264" s="237"/>
      <c r="F8264" s="234"/>
      <c r="G8264" s="234"/>
      <c r="H8264" s="234"/>
      <c r="J8264" s="239" t="s">
        <v>6330</v>
      </c>
    </row>
    <row r="8265">
      <c r="A8265" s="234"/>
      <c r="B8265" s="234"/>
      <c r="C8265" s="234"/>
      <c r="D8265" s="234"/>
      <c r="E8265" s="237"/>
      <c r="F8265" s="234"/>
      <c r="G8265" s="234"/>
      <c r="H8265" s="234"/>
      <c r="J8265" s="239" t="s">
        <v>6330</v>
      </c>
    </row>
    <row r="8266">
      <c r="A8266" s="234"/>
      <c r="B8266" s="234"/>
      <c r="C8266" s="234"/>
      <c r="D8266" s="234"/>
      <c r="E8266" s="237"/>
      <c r="F8266" s="234"/>
      <c r="G8266" s="234"/>
      <c r="H8266" s="234"/>
      <c r="J8266" s="239" t="s">
        <v>6330</v>
      </c>
    </row>
    <row r="8267">
      <c r="A8267" s="234"/>
      <c r="B8267" s="234"/>
      <c r="C8267" s="234"/>
      <c r="D8267" s="234"/>
      <c r="E8267" s="237"/>
      <c r="F8267" s="234"/>
      <c r="G8267" s="234"/>
      <c r="H8267" s="234"/>
      <c r="J8267" s="239" t="s">
        <v>6330</v>
      </c>
    </row>
    <row r="8268">
      <c r="A8268" s="234"/>
      <c r="B8268" s="234"/>
      <c r="C8268" s="234"/>
      <c r="D8268" s="234"/>
      <c r="E8268" s="237"/>
      <c r="F8268" s="234"/>
      <c r="G8268" s="234"/>
      <c r="H8268" s="234"/>
      <c r="J8268" s="239" t="s">
        <v>6330</v>
      </c>
    </row>
    <row r="8269">
      <c r="A8269" s="234"/>
      <c r="B8269" s="234"/>
      <c r="C8269" s="234"/>
      <c r="D8269" s="234"/>
      <c r="E8269" s="237"/>
      <c r="F8269" s="234"/>
      <c r="G8269" s="234"/>
      <c r="H8269" s="234"/>
      <c r="J8269" s="239" t="s">
        <v>6330</v>
      </c>
    </row>
    <row r="8270">
      <c r="A8270" s="234"/>
      <c r="B8270" s="234"/>
      <c r="C8270" s="234"/>
      <c r="D8270" s="234"/>
      <c r="E8270" s="237"/>
      <c r="F8270" s="234"/>
      <c r="G8270" s="234"/>
      <c r="H8270" s="234"/>
      <c r="J8270" s="239" t="s">
        <v>6330</v>
      </c>
    </row>
    <row r="8271">
      <c r="A8271" s="234"/>
      <c r="B8271" s="234"/>
      <c r="C8271" s="234"/>
      <c r="D8271" s="234"/>
      <c r="E8271" s="237"/>
      <c r="F8271" s="234"/>
      <c r="G8271" s="234"/>
      <c r="H8271" s="234"/>
      <c r="J8271" s="239" t="s">
        <v>6330</v>
      </c>
    </row>
    <row r="8272">
      <c r="A8272" s="234"/>
      <c r="B8272" s="234"/>
      <c r="C8272" s="234"/>
      <c r="D8272" s="234"/>
      <c r="E8272" s="237"/>
      <c r="F8272" s="234"/>
      <c r="G8272" s="234"/>
      <c r="H8272" s="234"/>
      <c r="J8272" s="239" t="s">
        <v>6330</v>
      </c>
    </row>
    <row r="8273">
      <c r="A8273" s="234"/>
      <c r="B8273" s="234"/>
      <c r="C8273" s="234"/>
      <c r="D8273" s="234"/>
      <c r="E8273" s="237"/>
      <c r="F8273" s="234"/>
      <c r="G8273" s="234"/>
      <c r="H8273" s="234"/>
      <c r="J8273" s="239" t="s">
        <v>6330</v>
      </c>
    </row>
    <row r="8274">
      <c r="A8274" s="234"/>
      <c r="B8274" s="234"/>
      <c r="C8274" s="234"/>
      <c r="D8274" s="234"/>
      <c r="E8274" s="237"/>
      <c r="F8274" s="234"/>
      <c r="G8274" s="234"/>
      <c r="H8274" s="234"/>
      <c r="J8274" s="239" t="s">
        <v>6330</v>
      </c>
    </row>
    <row r="8275">
      <c r="A8275" s="234"/>
      <c r="B8275" s="234"/>
      <c r="C8275" s="234"/>
      <c r="D8275" s="234"/>
      <c r="E8275" s="237"/>
      <c r="F8275" s="234"/>
      <c r="G8275" s="234"/>
      <c r="H8275" s="234"/>
      <c r="J8275" s="239" t="s">
        <v>6330</v>
      </c>
    </row>
    <row r="8276">
      <c r="A8276" s="234"/>
      <c r="B8276" s="234"/>
      <c r="C8276" s="234"/>
      <c r="D8276" s="234"/>
      <c r="E8276" s="237"/>
      <c r="F8276" s="234"/>
      <c r="G8276" s="234"/>
      <c r="H8276" s="234"/>
      <c r="J8276" s="239" t="s">
        <v>6330</v>
      </c>
    </row>
    <row r="8277">
      <c r="A8277" s="234"/>
      <c r="B8277" s="234"/>
      <c r="C8277" s="234"/>
      <c r="D8277" s="234"/>
      <c r="E8277" s="237"/>
      <c r="F8277" s="234"/>
      <c r="G8277" s="234"/>
      <c r="H8277" s="234"/>
      <c r="J8277" s="239" t="s">
        <v>6330</v>
      </c>
    </row>
    <row r="8278">
      <c r="A8278" s="234"/>
      <c r="B8278" s="234"/>
      <c r="C8278" s="234"/>
      <c r="D8278" s="234"/>
      <c r="E8278" s="237"/>
      <c r="F8278" s="234"/>
      <c r="G8278" s="234"/>
      <c r="H8278" s="234"/>
      <c r="J8278" s="239" t="s">
        <v>6330</v>
      </c>
    </row>
    <row r="8279">
      <c r="A8279" s="234"/>
      <c r="B8279" s="234"/>
      <c r="C8279" s="234"/>
      <c r="D8279" s="234"/>
      <c r="E8279" s="237"/>
      <c r="F8279" s="234"/>
      <c r="G8279" s="234"/>
      <c r="H8279" s="234"/>
      <c r="J8279" s="239" t="s">
        <v>6330</v>
      </c>
    </row>
    <row r="8280">
      <c r="A8280" s="234"/>
      <c r="B8280" s="234"/>
      <c r="C8280" s="234"/>
      <c r="D8280" s="234"/>
      <c r="E8280" s="237"/>
      <c r="F8280" s="234"/>
      <c r="G8280" s="234"/>
      <c r="H8280" s="234"/>
      <c r="J8280" s="239" t="s">
        <v>6330</v>
      </c>
    </row>
    <row r="8281">
      <c r="A8281" s="234"/>
      <c r="B8281" s="234"/>
      <c r="C8281" s="234"/>
      <c r="D8281" s="234"/>
      <c r="E8281" s="237"/>
      <c r="F8281" s="234"/>
      <c r="G8281" s="234"/>
      <c r="H8281" s="234"/>
      <c r="J8281" s="239" t="s">
        <v>6330</v>
      </c>
    </row>
    <row r="8282">
      <c r="A8282" s="234"/>
      <c r="B8282" s="234"/>
      <c r="C8282" s="234"/>
      <c r="D8282" s="234"/>
      <c r="E8282" s="237"/>
      <c r="F8282" s="234"/>
      <c r="G8282" s="234"/>
      <c r="H8282" s="234"/>
      <c r="J8282" s="239" t="s">
        <v>6330</v>
      </c>
    </row>
    <row r="8283">
      <c r="A8283" s="234"/>
      <c r="B8283" s="234"/>
      <c r="C8283" s="234"/>
      <c r="D8283" s="234"/>
      <c r="E8283" s="237"/>
      <c r="F8283" s="234"/>
      <c r="G8283" s="234"/>
      <c r="H8283" s="234"/>
      <c r="J8283" s="239" t="s">
        <v>6330</v>
      </c>
    </row>
    <row r="8284">
      <c r="A8284" s="234"/>
      <c r="B8284" s="234"/>
      <c r="C8284" s="234"/>
      <c r="D8284" s="234"/>
      <c r="E8284" s="237"/>
      <c r="F8284" s="234"/>
      <c r="G8284" s="234"/>
      <c r="H8284" s="234"/>
      <c r="J8284" s="239" t="s">
        <v>6330</v>
      </c>
    </row>
    <row r="8285">
      <c r="A8285" s="234"/>
      <c r="B8285" s="234"/>
      <c r="C8285" s="234"/>
      <c r="D8285" s="234"/>
      <c r="E8285" s="237"/>
      <c r="F8285" s="234"/>
      <c r="G8285" s="234"/>
      <c r="H8285" s="234"/>
      <c r="J8285" s="239" t="s">
        <v>6330</v>
      </c>
    </row>
    <row r="8286">
      <c r="A8286" s="234"/>
      <c r="B8286" s="234"/>
      <c r="C8286" s="234"/>
      <c r="D8286" s="234"/>
      <c r="E8286" s="237"/>
      <c r="F8286" s="234"/>
      <c r="G8286" s="234"/>
      <c r="H8286" s="234"/>
      <c r="J8286" s="239" t="s">
        <v>6330</v>
      </c>
    </row>
    <row r="8287">
      <c r="A8287" s="234"/>
      <c r="B8287" s="234"/>
      <c r="C8287" s="234"/>
      <c r="D8287" s="234"/>
      <c r="E8287" s="237"/>
      <c r="F8287" s="234"/>
      <c r="G8287" s="234"/>
      <c r="H8287" s="234"/>
      <c r="J8287" s="239" t="s">
        <v>6330</v>
      </c>
    </row>
    <row r="8288">
      <c r="A8288" s="234"/>
      <c r="B8288" s="234"/>
      <c r="C8288" s="234"/>
      <c r="D8288" s="234"/>
      <c r="E8288" s="237"/>
      <c r="F8288" s="234"/>
      <c r="G8288" s="234"/>
      <c r="H8288" s="234"/>
      <c r="J8288" s="239" t="s">
        <v>6330</v>
      </c>
    </row>
    <row r="8289">
      <c r="A8289" s="234"/>
      <c r="B8289" s="234"/>
      <c r="C8289" s="234"/>
      <c r="D8289" s="234"/>
      <c r="E8289" s="237"/>
      <c r="F8289" s="234"/>
      <c r="G8289" s="234"/>
      <c r="H8289" s="234"/>
      <c r="J8289" s="239" t="s">
        <v>6330</v>
      </c>
    </row>
    <row r="8290">
      <c r="A8290" s="234"/>
      <c r="B8290" s="234"/>
      <c r="C8290" s="234"/>
      <c r="D8290" s="234"/>
      <c r="E8290" s="237"/>
      <c r="F8290" s="234"/>
      <c r="G8290" s="234"/>
      <c r="H8290" s="234"/>
      <c r="J8290" s="239" t="s">
        <v>6330</v>
      </c>
    </row>
    <row r="8291">
      <c r="A8291" s="234"/>
      <c r="B8291" s="234"/>
      <c r="C8291" s="234"/>
      <c r="D8291" s="234"/>
      <c r="E8291" s="237"/>
      <c r="F8291" s="234"/>
      <c r="G8291" s="234"/>
      <c r="H8291" s="234"/>
      <c r="J8291" s="239" t="s">
        <v>6330</v>
      </c>
    </row>
    <row r="8292">
      <c r="A8292" s="234"/>
      <c r="B8292" s="234"/>
      <c r="C8292" s="234"/>
      <c r="D8292" s="234"/>
      <c r="E8292" s="237"/>
      <c r="F8292" s="234"/>
      <c r="G8292" s="234"/>
      <c r="H8292" s="234"/>
      <c r="J8292" s="239" t="s">
        <v>6330</v>
      </c>
    </row>
    <row r="8293">
      <c r="A8293" s="234"/>
      <c r="B8293" s="234"/>
      <c r="C8293" s="234"/>
      <c r="D8293" s="234"/>
      <c r="E8293" s="237"/>
      <c r="F8293" s="234"/>
      <c r="G8293" s="234"/>
      <c r="H8293" s="234"/>
      <c r="J8293" s="239" t="s">
        <v>6330</v>
      </c>
    </row>
    <row r="8294">
      <c r="A8294" s="234"/>
      <c r="B8294" s="234"/>
      <c r="C8294" s="234"/>
      <c r="D8294" s="234"/>
      <c r="E8294" s="237"/>
      <c r="F8294" s="234"/>
      <c r="G8294" s="234"/>
      <c r="H8294" s="234"/>
      <c r="J8294" s="239" t="s">
        <v>6330</v>
      </c>
    </row>
    <row r="8295">
      <c r="A8295" s="234"/>
      <c r="B8295" s="234"/>
      <c r="C8295" s="234"/>
      <c r="D8295" s="234"/>
      <c r="E8295" s="237"/>
      <c r="F8295" s="234"/>
      <c r="G8295" s="234"/>
      <c r="H8295" s="234"/>
      <c r="J8295" s="239" t="s">
        <v>6330</v>
      </c>
    </row>
    <row r="8296">
      <c r="A8296" s="234"/>
      <c r="B8296" s="234"/>
      <c r="C8296" s="234"/>
      <c r="D8296" s="234"/>
      <c r="E8296" s="237"/>
      <c r="F8296" s="234"/>
      <c r="G8296" s="234"/>
      <c r="H8296" s="234"/>
      <c r="J8296" s="239" t="s">
        <v>6330</v>
      </c>
    </row>
    <row r="8297">
      <c r="A8297" s="234"/>
      <c r="B8297" s="234"/>
      <c r="C8297" s="234"/>
      <c r="D8297" s="234"/>
      <c r="E8297" s="237"/>
      <c r="F8297" s="234"/>
      <c r="G8297" s="234"/>
      <c r="H8297" s="234"/>
      <c r="J8297" s="239" t="s">
        <v>6330</v>
      </c>
    </row>
    <row r="8298">
      <c r="A8298" s="234"/>
      <c r="B8298" s="234"/>
      <c r="C8298" s="234"/>
      <c r="D8298" s="234"/>
      <c r="E8298" s="237"/>
      <c r="F8298" s="234"/>
      <c r="G8298" s="234"/>
      <c r="H8298" s="234"/>
      <c r="J8298" s="239" t="s">
        <v>6330</v>
      </c>
    </row>
    <row r="8299">
      <c r="A8299" s="234"/>
      <c r="B8299" s="234"/>
      <c r="C8299" s="234"/>
      <c r="D8299" s="234"/>
      <c r="E8299" s="237"/>
      <c r="F8299" s="234"/>
      <c r="G8299" s="234"/>
      <c r="H8299" s="234"/>
      <c r="J8299" s="239" t="s">
        <v>6330</v>
      </c>
    </row>
    <row r="8300">
      <c r="A8300" s="234"/>
      <c r="B8300" s="234"/>
      <c r="C8300" s="234"/>
      <c r="D8300" s="234"/>
      <c r="E8300" s="237"/>
      <c r="F8300" s="234"/>
      <c r="G8300" s="234"/>
      <c r="H8300" s="234"/>
      <c r="J8300" s="239" t="s">
        <v>6330</v>
      </c>
    </row>
    <row r="8301">
      <c r="A8301" s="234"/>
      <c r="B8301" s="234"/>
      <c r="C8301" s="234"/>
      <c r="D8301" s="234"/>
      <c r="E8301" s="237"/>
      <c r="F8301" s="234"/>
      <c r="G8301" s="234"/>
      <c r="H8301" s="234"/>
      <c r="J8301" s="239" t="s">
        <v>6330</v>
      </c>
    </row>
    <row r="8302">
      <c r="A8302" s="234"/>
      <c r="B8302" s="234"/>
      <c r="C8302" s="234"/>
      <c r="D8302" s="234"/>
      <c r="E8302" s="237"/>
      <c r="F8302" s="234"/>
      <c r="G8302" s="234"/>
      <c r="H8302" s="234"/>
      <c r="J8302" s="239" t="s">
        <v>6330</v>
      </c>
    </row>
    <row r="8303">
      <c r="A8303" s="234"/>
      <c r="B8303" s="234"/>
      <c r="C8303" s="234"/>
      <c r="D8303" s="234"/>
      <c r="E8303" s="237"/>
      <c r="F8303" s="234"/>
      <c r="G8303" s="234"/>
      <c r="H8303" s="234"/>
      <c r="J8303" s="239" t="s">
        <v>6330</v>
      </c>
    </row>
    <row r="8304">
      <c r="A8304" s="234"/>
      <c r="B8304" s="234"/>
      <c r="C8304" s="234"/>
      <c r="D8304" s="234"/>
      <c r="E8304" s="237"/>
      <c r="F8304" s="234"/>
      <c r="G8304" s="234"/>
      <c r="H8304" s="234"/>
      <c r="J8304" s="239" t="s">
        <v>6330</v>
      </c>
    </row>
    <row r="8305">
      <c r="A8305" s="234"/>
      <c r="B8305" s="234"/>
      <c r="C8305" s="234"/>
      <c r="D8305" s="234"/>
      <c r="E8305" s="237"/>
      <c r="F8305" s="234"/>
      <c r="G8305" s="234"/>
      <c r="H8305" s="234"/>
      <c r="J8305" s="239" t="s">
        <v>6330</v>
      </c>
    </row>
    <row r="8306">
      <c r="A8306" s="234"/>
      <c r="B8306" s="234"/>
      <c r="C8306" s="234"/>
      <c r="D8306" s="234"/>
      <c r="E8306" s="237"/>
      <c r="F8306" s="234"/>
      <c r="G8306" s="234"/>
      <c r="H8306" s="234"/>
      <c r="J8306" s="239" t="s">
        <v>6330</v>
      </c>
    </row>
    <row r="8307">
      <c r="A8307" s="234"/>
      <c r="B8307" s="234"/>
      <c r="C8307" s="234"/>
      <c r="D8307" s="234"/>
      <c r="E8307" s="237"/>
      <c r="F8307" s="234"/>
      <c r="G8307" s="234"/>
      <c r="H8307" s="234"/>
      <c r="J8307" s="239" t="s">
        <v>6330</v>
      </c>
    </row>
    <row r="8308">
      <c r="A8308" s="234"/>
      <c r="B8308" s="234"/>
      <c r="C8308" s="234"/>
      <c r="D8308" s="234"/>
      <c r="E8308" s="237"/>
      <c r="F8308" s="234"/>
      <c r="G8308" s="234"/>
      <c r="H8308" s="234"/>
      <c r="J8308" s="239" t="s">
        <v>6330</v>
      </c>
    </row>
    <row r="8309">
      <c r="A8309" s="234"/>
      <c r="B8309" s="234"/>
      <c r="C8309" s="234"/>
      <c r="D8309" s="234"/>
      <c r="E8309" s="237"/>
      <c r="F8309" s="234"/>
      <c r="G8309" s="234"/>
      <c r="H8309" s="234"/>
      <c r="J8309" s="239" t="s">
        <v>6330</v>
      </c>
    </row>
    <row r="8310">
      <c r="A8310" s="234"/>
      <c r="B8310" s="234"/>
      <c r="C8310" s="234"/>
      <c r="D8310" s="234"/>
      <c r="E8310" s="237"/>
      <c r="F8310" s="234"/>
      <c r="G8310" s="234"/>
      <c r="H8310" s="234"/>
      <c r="J8310" s="239" t="s">
        <v>6330</v>
      </c>
    </row>
    <row r="8311">
      <c r="A8311" s="234"/>
      <c r="B8311" s="234"/>
      <c r="C8311" s="234"/>
      <c r="D8311" s="234"/>
      <c r="E8311" s="237"/>
      <c r="F8311" s="234"/>
      <c r="G8311" s="234"/>
      <c r="H8311" s="234"/>
      <c r="J8311" s="239" t="s">
        <v>6330</v>
      </c>
    </row>
    <row r="8312">
      <c r="A8312" s="234"/>
      <c r="B8312" s="234"/>
      <c r="C8312" s="234"/>
      <c r="D8312" s="234"/>
      <c r="E8312" s="237"/>
      <c r="F8312" s="234"/>
      <c r="G8312" s="234"/>
      <c r="H8312" s="234"/>
      <c r="J8312" s="239" t="s">
        <v>6330</v>
      </c>
    </row>
    <row r="8313">
      <c r="A8313" s="234"/>
      <c r="B8313" s="234"/>
      <c r="C8313" s="234"/>
      <c r="D8313" s="234"/>
      <c r="E8313" s="237"/>
      <c r="F8313" s="234"/>
      <c r="G8313" s="234"/>
      <c r="H8313" s="234"/>
      <c r="J8313" s="239" t="s">
        <v>6330</v>
      </c>
    </row>
    <row r="8314">
      <c r="A8314" s="234"/>
      <c r="B8314" s="234"/>
      <c r="C8314" s="234"/>
      <c r="D8314" s="234"/>
      <c r="E8314" s="237"/>
      <c r="F8314" s="234"/>
      <c r="G8314" s="234"/>
      <c r="H8314" s="234"/>
      <c r="J8314" s="239" t="s">
        <v>6330</v>
      </c>
    </row>
    <row r="8315">
      <c r="A8315" s="234"/>
      <c r="B8315" s="234"/>
      <c r="C8315" s="234"/>
      <c r="D8315" s="234"/>
      <c r="E8315" s="237"/>
      <c r="F8315" s="234"/>
      <c r="G8315" s="234"/>
      <c r="H8315" s="234"/>
      <c r="J8315" s="239" t="s">
        <v>6330</v>
      </c>
    </row>
    <row r="8316">
      <c r="A8316" s="234"/>
      <c r="B8316" s="234"/>
      <c r="C8316" s="234"/>
      <c r="D8316" s="234"/>
      <c r="E8316" s="237"/>
      <c r="F8316" s="234"/>
      <c r="G8316" s="234"/>
      <c r="H8316" s="234"/>
      <c r="J8316" s="239" t="s">
        <v>6330</v>
      </c>
    </row>
    <row r="8317">
      <c r="A8317" s="234"/>
      <c r="B8317" s="234"/>
      <c r="C8317" s="234"/>
      <c r="D8317" s="234"/>
      <c r="E8317" s="237"/>
      <c r="F8317" s="234"/>
      <c r="G8317" s="234"/>
      <c r="H8317" s="234"/>
      <c r="J8317" s="239" t="s">
        <v>6330</v>
      </c>
    </row>
    <row r="8318">
      <c r="A8318" s="234"/>
      <c r="B8318" s="234"/>
      <c r="C8318" s="234"/>
      <c r="D8318" s="234"/>
      <c r="E8318" s="237"/>
      <c r="F8318" s="234"/>
      <c r="G8318" s="234"/>
      <c r="H8318" s="234"/>
      <c r="J8318" s="239" t="s">
        <v>6330</v>
      </c>
    </row>
    <row r="8319">
      <c r="A8319" s="234"/>
      <c r="B8319" s="234"/>
      <c r="C8319" s="234"/>
      <c r="D8319" s="234"/>
      <c r="E8319" s="237"/>
      <c r="F8319" s="234"/>
      <c r="G8319" s="234"/>
      <c r="H8319" s="234"/>
      <c r="J8319" s="239" t="s">
        <v>6330</v>
      </c>
    </row>
    <row r="8320">
      <c r="A8320" s="234"/>
      <c r="B8320" s="234"/>
      <c r="C8320" s="234"/>
      <c r="D8320" s="234"/>
      <c r="E8320" s="237"/>
      <c r="F8320" s="234"/>
      <c r="G8320" s="234"/>
      <c r="H8320" s="234"/>
      <c r="J8320" s="239" t="s">
        <v>6330</v>
      </c>
    </row>
    <row r="8321">
      <c r="A8321" s="234"/>
      <c r="B8321" s="234"/>
      <c r="C8321" s="234"/>
      <c r="D8321" s="234"/>
      <c r="E8321" s="237"/>
      <c r="F8321" s="234"/>
      <c r="G8321" s="234"/>
      <c r="H8321" s="234"/>
      <c r="J8321" s="239" t="s">
        <v>6330</v>
      </c>
    </row>
    <row r="8322">
      <c r="A8322" s="234"/>
      <c r="B8322" s="234"/>
      <c r="C8322" s="234"/>
      <c r="D8322" s="234"/>
      <c r="E8322" s="237"/>
      <c r="F8322" s="234"/>
      <c r="G8322" s="234"/>
      <c r="H8322" s="234"/>
      <c r="J8322" s="239" t="s">
        <v>6330</v>
      </c>
    </row>
    <row r="8323">
      <c r="A8323" s="234"/>
      <c r="B8323" s="234"/>
      <c r="C8323" s="234"/>
      <c r="D8323" s="234"/>
      <c r="E8323" s="237"/>
      <c r="F8323" s="234"/>
      <c r="G8323" s="234"/>
      <c r="H8323" s="234"/>
      <c r="J8323" s="239" t="s">
        <v>6330</v>
      </c>
    </row>
    <row r="8324">
      <c r="A8324" s="234"/>
      <c r="B8324" s="234"/>
      <c r="C8324" s="234"/>
      <c r="D8324" s="234"/>
      <c r="E8324" s="237"/>
      <c r="F8324" s="234"/>
      <c r="G8324" s="234"/>
      <c r="H8324" s="234"/>
      <c r="J8324" s="239" t="s">
        <v>6330</v>
      </c>
    </row>
    <row r="8325">
      <c r="A8325" s="234"/>
      <c r="B8325" s="234"/>
      <c r="C8325" s="234"/>
      <c r="D8325" s="234"/>
      <c r="E8325" s="237"/>
      <c r="F8325" s="234"/>
      <c r="G8325" s="234"/>
      <c r="H8325" s="234"/>
      <c r="J8325" s="239" t="s">
        <v>6330</v>
      </c>
    </row>
    <row r="8326">
      <c r="A8326" s="234"/>
      <c r="B8326" s="234"/>
      <c r="C8326" s="234"/>
      <c r="D8326" s="234"/>
      <c r="E8326" s="237"/>
      <c r="F8326" s="234"/>
      <c r="G8326" s="234"/>
      <c r="H8326" s="234"/>
      <c r="J8326" s="239" t="s">
        <v>6330</v>
      </c>
    </row>
    <row r="8327">
      <c r="A8327" s="234"/>
      <c r="B8327" s="234"/>
      <c r="C8327" s="234"/>
      <c r="D8327" s="234"/>
      <c r="E8327" s="237"/>
      <c r="F8327" s="234"/>
      <c r="G8327" s="234"/>
      <c r="H8327" s="234"/>
      <c r="J8327" s="239" t="s">
        <v>6330</v>
      </c>
    </row>
    <row r="8328">
      <c r="A8328" s="234"/>
      <c r="B8328" s="234"/>
      <c r="C8328" s="234"/>
      <c r="D8328" s="234"/>
      <c r="E8328" s="237"/>
      <c r="F8328" s="234"/>
      <c r="G8328" s="234"/>
      <c r="H8328" s="234"/>
      <c r="J8328" s="239" t="s">
        <v>6330</v>
      </c>
    </row>
    <row r="8329">
      <c r="A8329" s="234"/>
      <c r="B8329" s="234"/>
      <c r="C8329" s="234"/>
      <c r="D8329" s="234"/>
      <c r="E8329" s="237"/>
      <c r="F8329" s="234"/>
      <c r="G8329" s="234"/>
      <c r="H8329" s="234"/>
      <c r="J8329" s="239" t="s">
        <v>6330</v>
      </c>
    </row>
    <row r="8330">
      <c r="A8330" s="234"/>
      <c r="B8330" s="234"/>
      <c r="C8330" s="234"/>
      <c r="D8330" s="234"/>
      <c r="E8330" s="237"/>
      <c r="F8330" s="234"/>
      <c r="G8330" s="234"/>
      <c r="H8330" s="234"/>
      <c r="J8330" s="239" t="s">
        <v>6330</v>
      </c>
    </row>
    <row r="8331">
      <c r="A8331" s="234"/>
      <c r="B8331" s="234"/>
      <c r="C8331" s="234"/>
      <c r="D8331" s="234"/>
      <c r="E8331" s="237"/>
      <c r="F8331" s="234"/>
      <c r="G8331" s="234"/>
      <c r="H8331" s="234"/>
      <c r="J8331" s="239" t="s">
        <v>6330</v>
      </c>
    </row>
    <row r="8332">
      <c r="A8332" s="234"/>
      <c r="B8332" s="234"/>
      <c r="C8332" s="234"/>
      <c r="D8332" s="234"/>
      <c r="E8332" s="237"/>
      <c r="F8332" s="234"/>
      <c r="G8332" s="234"/>
      <c r="H8332" s="234"/>
      <c r="J8332" s="239" t="s">
        <v>6330</v>
      </c>
    </row>
    <row r="8333">
      <c r="A8333" s="234"/>
      <c r="B8333" s="234"/>
      <c r="C8333" s="234"/>
      <c r="D8333" s="234"/>
      <c r="E8333" s="237"/>
      <c r="F8333" s="234"/>
      <c r="G8333" s="234"/>
      <c r="H8333" s="234"/>
      <c r="J8333" s="239" t="s">
        <v>6330</v>
      </c>
    </row>
    <row r="8334">
      <c r="A8334" s="234"/>
      <c r="B8334" s="234"/>
      <c r="C8334" s="234"/>
      <c r="D8334" s="234"/>
      <c r="E8334" s="237"/>
      <c r="F8334" s="234"/>
      <c r="G8334" s="234"/>
      <c r="H8334" s="234"/>
      <c r="J8334" s="239" t="s">
        <v>6330</v>
      </c>
    </row>
    <row r="8335">
      <c r="A8335" s="234"/>
      <c r="B8335" s="234"/>
      <c r="C8335" s="234"/>
      <c r="D8335" s="234"/>
      <c r="E8335" s="237"/>
      <c r="F8335" s="234"/>
      <c r="G8335" s="234"/>
      <c r="H8335" s="234"/>
      <c r="J8335" s="239" t="s">
        <v>6330</v>
      </c>
    </row>
    <row r="8336">
      <c r="A8336" s="234"/>
      <c r="B8336" s="234"/>
      <c r="C8336" s="234"/>
      <c r="D8336" s="234"/>
      <c r="E8336" s="237"/>
      <c r="F8336" s="234"/>
      <c r="G8336" s="234"/>
      <c r="H8336" s="234"/>
      <c r="J8336" s="239" t="s">
        <v>6330</v>
      </c>
    </row>
    <row r="8337">
      <c r="A8337" s="234"/>
      <c r="B8337" s="234"/>
      <c r="C8337" s="234"/>
      <c r="D8337" s="234"/>
      <c r="E8337" s="237"/>
      <c r="F8337" s="234"/>
      <c r="G8337" s="234"/>
      <c r="H8337" s="234"/>
      <c r="J8337" s="239" t="s">
        <v>6330</v>
      </c>
    </row>
    <row r="8338">
      <c r="A8338" s="234"/>
      <c r="B8338" s="234"/>
      <c r="C8338" s="234"/>
      <c r="D8338" s="234"/>
      <c r="E8338" s="237"/>
      <c r="F8338" s="234"/>
      <c r="G8338" s="234"/>
      <c r="H8338" s="234"/>
      <c r="J8338" s="239" t="s">
        <v>6330</v>
      </c>
    </row>
    <row r="8339">
      <c r="A8339" s="234"/>
      <c r="B8339" s="234"/>
      <c r="C8339" s="234"/>
      <c r="D8339" s="234"/>
      <c r="E8339" s="237"/>
      <c r="F8339" s="234"/>
      <c r="G8339" s="234"/>
      <c r="H8339" s="234"/>
      <c r="J8339" s="239" t="s">
        <v>6330</v>
      </c>
    </row>
    <row r="8340">
      <c r="A8340" s="234"/>
      <c r="B8340" s="234"/>
      <c r="C8340" s="234"/>
      <c r="D8340" s="234"/>
      <c r="E8340" s="237"/>
      <c r="F8340" s="234"/>
      <c r="G8340" s="234"/>
      <c r="H8340" s="234"/>
      <c r="J8340" s="239" t="s">
        <v>6330</v>
      </c>
    </row>
    <row r="8341">
      <c r="A8341" s="234"/>
      <c r="B8341" s="234"/>
      <c r="C8341" s="234"/>
      <c r="D8341" s="234"/>
      <c r="E8341" s="237"/>
      <c r="F8341" s="234"/>
      <c r="G8341" s="234"/>
      <c r="H8341" s="234"/>
      <c r="J8341" s="239" t="s">
        <v>6330</v>
      </c>
    </row>
    <row r="8342">
      <c r="A8342" s="234"/>
      <c r="B8342" s="234"/>
      <c r="C8342" s="234"/>
      <c r="D8342" s="234"/>
      <c r="E8342" s="237"/>
      <c r="F8342" s="234"/>
      <c r="G8342" s="234"/>
      <c r="H8342" s="234"/>
      <c r="J8342" s="239" t="s">
        <v>6330</v>
      </c>
    </row>
    <row r="8343">
      <c r="A8343" s="234"/>
      <c r="B8343" s="234"/>
      <c r="C8343" s="234"/>
      <c r="D8343" s="234"/>
      <c r="E8343" s="237"/>
      <c r="F8343" s="234"/>
      <c r="G8343" s="234"/>
      <c r="H8343" s="234"/>
      <c r="J8343" s="239" t="s">
        <v>6330</v>
      </c>
    </row>
    <row r="8344">
      <c r="A8344" s="234"/>
      <c r="B8344" s="234"/>
      <c r="C8344" s="234"/>
      <c r="D8344" s="234"/>
      <c r="E8344" s="237"/>
      <c r="F8344" s="234"/>
      <c r="G8344" s="234"/>
      <c r="H8344" s="234"/>
      <c r="J8344" s="239" t="s">
        <v>6330</v>
      </c>
    </row>
    <row r="8345">
      <c r="A8345" s="234"/>
      <c r="B8345" s="234"/>
      <c r="C8345" s="234"/>
      <c r="D8345" s="234"/>
      <c r="E8345" s="237"/>
      <c r="F8345" s="234"/>
      <c r="G8345" s="234"/>
      <c r="H8345" s="234"/>
      <c r="J8345" s="239" t="s">
        <v>6330</v>
      </c>
    </row>
    <row r="8346">
      <c r="A8346" s="234"/>
      <c r="B8346" s="234"/>
      <c r="C8346" s="234"/>
      <c r="D8346" s="234"/>
      <c r="E8346" s="237"/>
      <c r="F8346" s="234"/>
      <c r="G8346" s="234"/>
      <c r="H8346" s="234"/>
      <c r="J8346" s="239" t="s">
        <v>6330</v>
      </c>
    </row>
    <row r="8347">
      <c r="A8347" s="234"/>
      <c r="B8347" s="234"/>
      <c r="C8347" s="234"/>
      <c r="D8347" s="234"/>
      <c r="E8347" s="237"/>
      <c r="F8347" s="234"/>
      <c r="G8347" s="234"/>
      <c r="H8347" s="234"/>
      <c r="J8347" s="239" t="s">
        <v>6330</v>
      </c>
    </row>
    <row r="8348">
      <c r="A8348" s="234"/>
      <c r="B8348" s="234"/>
      <c r="C8348" s="234"/>
      <c r="D8348" s="234"/>
      <c r="E8348" s="237"/>
      <c r="F8348" s="234"/>
      <c r="G8348" s="234"/>
      <c r="H8348" s="234"/>
      <c r="J8348" s="239" t="s">
        <v>6330</v>
      </c>
    </row>
    <row r="8349">
      <c r="A8349" s="234"/>
      <c r="B8349" s="234"/>
      <c r="C8349" s="234"/>
      <c r="D8349" s="234"/>
      <c r="E8349" s="237"/>
      <c r="F8349" s="234"/>
      <c r="G8349" s="234"/>
      <c r="H8349" s="234"/>
      <c r="J8349" s="239" t="s">
        <v>6330</v>
      </c>
    </row>
    <row r="8350">
      <c r="A8350" s="234"/>
      <c r="B8350" s="234"/>
      <c r="C8350" s="234"/>
      <c r="D8350" s="234"/>
      <c r="E8350" s="237"/>
      <c r="F8350" s="234"/>
      <c r="G8350" s="234"/>
      <c r="H8350" s="234"/>
      <c r="J8350" s="239" t="s">
        <v>6330</v>
      </c>
    </row>
    <row r="8351">
      <c r="A8351" s="234"/>
      <c r="B8351" s="234"/>
      <c r="C8351" s="234"/>
      <c r="D8351" s="234"/>
      <c r="E8351" s="237"/>
      <c r="F8351" s="234"/>
      <c r="G8351" s="234"/>
      <c r="H8351" s="234"/>
      <c r="J8351" s="239" t="s">
        <v>6330</v>
      </c>
    </row>
    <row r="8352">
      <c r="A8352" s="234"/>
      <c r="B8352" s="234"/>
      <c r="C8352" s="234"/>
      <c r="D8352" s="234"/>
      <c r="E8352" s="237"/>
      <c r="F8352" s="234"/>
      <c r="G8352" s="234"/>
      <c r="H8352" s="234"/>
      <c r="J8352" s="239" t="s">
        <v>6330</v>
      </c>
    </row>
    <row r="8353">
      <c r="A8353" s="234"/>
      <c r="B8353" s="234"/>
      <c r="C8353" s="234"/>
      <c r="D8353" s="234"/>
      <c r="E8353" s="237"/>
      <c r="F8353" s="234"/>
      <c r="G8353" s="234"/>
      <c r="H8353" s="234"/>
      <c r="J8353" s="239" t="s">
        <v>6330</v>
      </c>
    </row>
    <row r="8354">
      <c r="A8354" s="234"/>
      <c r="B8354" s="234"/>
      <c r="C8354" s="234"/>
      <c r="D8354" s="234"/>
      <c r="E8354" s="237"/>
      <c r="F8354" s="234"/>
      <c r="G8354" s="234"/>
      <c r="H8354" s="234"/>
      <c r="J8354" s="239" t="s">
        <v>6330</v>
      </c>
    </row>
    <row r="8355">
      <c r="A8355" s="234"/>
      <c r="B8355" s="234"/>
      <c r="C8355" s="234"/>
      <c r="D8355" s="234"/>
      <c r="E8355" s="237"/>
      <c r="F8355" s="234"/>
      <c r="G8355" s="234"/>
      <c r="H8355" s="234"/>
      <c r="J8355" s="239" t="s">
        <v>6330</v>
      </c>
    </row>
    <row r="8356">
      <c r="A8356" s="234"/>
      <c r="B8356" s="234"/>
      <c r="C8356" s="234"/>
      <c r="D8356" s="234"/>
      <c r="E8356" s="237"/>
      <c r="F8356" s="234"/>
      <c r="G8356" s="234"/>
      <c r="H8356" s="234"/>
      <c r="J8356" s="239" t="s">
        <v>6330</v>
      </c>
    </row>
    <row r="8357">
      <c r="A8357" s="234"/>
      <c r="B8357" s="234"/>
      <c r="C8357" s="234"/>
      <c r="D8357" s="234"/>
      <c r="E8357" s="237"/>
      <c r="F8357" s="234"/>
      <c r="G8357" s="234"/>
      <c r="H8357" s="234"/>
      <c r="J8357" s="239" t="s">
        <v>6330</v>
      </c>
    </row>
    <row r="8358">
      <c r="A8358" s="234"/>
      <c r="B8358" s="234"/>
      <c r="C8358" s="234"/>
      <c r="D8358" s="234"/>
      <c r="E8358" s="237"/>
      <c r="F8358" s="234"/>
      <c r="G8358" s="234"/>
      <c r="H8358" s="234"/>
      <c r="J8358" s="239" t="s">
        <v>6330</v>
      </c>
    </row>
    <row r="8359">
      <c r="A8359" s="234"/>
      <c r="B8359" s="234"/>
      <c r="C8359" s="234"/>
      <c r="D8359" s="234"/>
      <c r="E8359" s="237"/>
      <c r="F8359" s="234"/>
      <c r="G8359" s="234"/>
      <c r="H8359" s="234"/>
      <c r="J8359" s="239" t="s">
        <v>6330</v>
      </c>
    </row>
    <row r="8360">
      <c r="A8360" s="234"/>
      <c r="B8360" s="234"/>
      <c r="C8360" s="234"/>
      <c r="D8360" s="234"/>
      <c r="E8360" s="237"/>
      <c r="F8360" s="234"/>
      <c r="G8360" s="234"/>
      <c r="H8360" s="234"/>
      <c r="J8360" s="239" t="s">
        <v>6330</v>
      </c>
    </row>
    <row r="8361">
      <c r="A8361" s="234"/>
      <c r="B8361" s="234"/>
      <c r="C8361" s="234"/>
      <c r="D8361" s="234"/>
      <c r="E8361" s="237"/>
      <c r="F8361" s="234"/>
      <c r="G8361" s="234"/>
      <c r="H8361" s="234"/>
      <c r="J8361" s="239" t="s">
        <v>6330</v>
      </c>
    </row>
    <row r="8362">
      <c r="A8362" s="234"/>
      <c r="B8362" s="234"/>
      <c r="C8362" s="234"/>
      <c r="D8362" s="234"/>
      <c r="E8362" s="237"/>
      <c r="F8362" s="234"/>
      <c r="G8362" s="234"/>
      <c r="H8362" s="234"/>
      <c r="J8362" s="239" t="s">
        <v>6330</v>
      </c>
    </row>
    <row r="8363">
      <c r="A8363" s="234"/>
      <c r="B8363" s="234"/>
      <c r="C8363" s="234"/>
      <c r="D8363" s="234"/>
      <c r="E8363" s="237"/>
      <c r="F8363" s="234"/>
      <c r="G8363" s="234"/>
      <c r="H8363" s="234"/>
      <c r="J8363" s="239" t="s">
        <v>6330</v>
      </c>
    </row>
    <row r="8364">
      <c r="A8364" s="234"/>
      <c r="B8364" s="234"/>
      <c r="C8364" s="234"/>
      <c r="D8364" s="234"/>
      <c r="E8364" s="237"/>
      <c r="F8364" s="234"/>
      <c r="G8364" s="234"/>
      <c r="H8364" s="234"/>
      <c r="J8364" s="239" t="s">
        <v>6330</v>
      </c>
    </row>
    <row r="8365">
      <c r="A8365" s="234"/>
      <c r="B8365" s="234"/>
      <c r="C8365" s="234"/>
      <c r="D8365" s="234"/>
      <c r="E8365" s="237"/>
      <c r="F8365" s="234"/>
      <c r="G8365" s="234"/>
      <c r="H8365" s="234"/>
      <c r="J8365" s="239" t="s">
        <v>6330</v>
      </c>
    </row>
    <row r="8366">
      <c r="A8366" s="234"/>
      <c r="B8366" s="234"/>
      <c r="C8366" s="234"/>
      <c r="D8366" s="234"/>
      <c r="E8366" s="237"/>
      <c r="F8366" s="234"/>
      <c r="G8366" s="234"/>
      <c r="H8366" s="234"/>
      <c r="J8366" s="239" t="s">
        <v>6330</v>
      </c>
    </row>
    <row r="8367">
      <c r="A8367" s="234"/>
      <c r="B8367" s="234"/>
      <c r="C8367" s="234"/>
      <c r="D8367" s="234"/>
      <c r="E8367" s="237"/>
      <c r="F8367" s="234"/>
      <c r="G8367" s="234"/>
      <c r="H8367" s="234"/>
      <c r="J8367" s="239" t="s">
        <v>6330</v>
      </c>
    </row>
    <row r="8368">
      <c r="A8368" s="234"/>
      <c r="B8368" s="234"/>
      <c r="C8368" s="234"/>
      <c r="D8368" s="234"/>
      <c r="E8368" s="237"/>
      <c r="F8368" s="234"/>
      <c r="G8368" s="234"/>
      <c r="H8368" s="234"/>
      <c r="J8368" s="239" t="s">
        <v>6330</v>
      </c>
    </row>
    <row r="8369">
      <c r="A8369" s="234"/>
      <c r="B8369" s="234"/>
      <c r="C8369" s="234"/>
      <c r="D8369" s="234"/>
      <c r="E8369" s="237"/>
      <c r="F8369" s="234"/>
      <c r="G8369" s="234"/>
      <c r="H8369" s="234"/>
      <c r="J8369" s="239" t="s">
        <v>6330</v>
      </c>
    </row>
    <row r="8370">
      <c r="A8370" s="234"/>
      <c r="B8370" s="234"/>
      <c r="C8370" s="234"/>
      <c r="D8370" s="234"/>
      <c r="E8370" s="237"/>
      <c r="F8370" s="234"/>
      <c r="G8370" s="234"/>
      <c r="H8370" s="234"/>
      <c r="J8370" s="239" t="s">
        <v>6330</v>
      </c>
    </row>
    <row r="8371">
      <c r="A8371" s="234"/>
      <c r="B8371" s="234"/>
      <c r="C8371" s="234"/>
      <c r="D8371" s="234"/>
      <c r="E8371" s="237"/>
      <c r="F8371" s="234"/>
      <c r="G8371" s="234"/>
      <c r="H8371" s="234"/>
      <c r="J8371" s="239" t="s">
        <v>6330</v>
      </c>
    </row>
    <row r="8372">
      <c r="A8372" s="234"/>
      <c r="B8372" s="234"/>
      <c r="C8372" s="234"/>
      <c r="D8372" s="234"/>
      <c r="E8372" s="237"/>
      <c r="F8372" s="234"/>
      <c r="G8372" s="234"/>
      <c r="H8372" s="234"/>
      <c r="J8372" s="239" t="s">
        <v>6330</v>
      </c>
    </row>
    <row r="8373">
      <c r="A8373" s="234"/>
      <c r="B8373" s="234"/>
      <c r="C8373" s="234"/>
      <c r="D8373" s="234"/>
      <c r="E8373" s="237"/>
      <c r="F8373" s="234"/>
      <c r="G8373" s="234"/>
      <c r="H8373" s="234"/>
      <c r="J8373" s="239" t="s">
        <v>6330</v>
      </c>
    </row>
    <row r="8374">
      <c r="A8374" s="234"/>
      <c r="B8374" s="234"/>
      <c r="C8374" s="234"/>
      <c r="D8374" s="234"/>
      <c r="E8374" s="237"/>
      <c r="F8374" s="234"/>
      <c r="G8374" s="234"/>
      <c r="H8374" s="234"/>
      <c r="J8374" s="239" t="s">
        <v>6330</v>
      </c>
    </row>
    <row r="8375">
      <c r="A8375" s="234"/>
      <c r="B8375" s="234"/>
      <c r="C8375" s="234"/>
      <c r="D8375" s="234"/>
      <c r="E8375" s="237"/>
      <c r="F8375" s="234"/>
      <c r="G8375" s="234"/>
      <c r="H8375" s="234"/>
      <c r="J8375" s="239" t="s">
        <v>6330</v>
      </c>
    </row>
    <row r="8376">
      <c r="A8376" s="234"/>
      <c r="B8376" s="234"/>
      <c r="C8376" s="234"/>
      <c r="D8376" s="234"/>
      <c r="E8376" s="237"/>
      <c r="F8376" s="234"/>
      <c r="G8376" s="234"/>
      <c r="H8376" s="234"/>
      <c r="J8376" s="239" t="s">
        <v>6330</v>
      </c>
    </row>
    <row r="8377">
      <c r="A8377" s="234"/>
      <c r="B8377" s="234"/>
      <c r="C8377" s="234"/>
      <c r="D8377" s="234"/>
      <c r="E8377" s="237"/>
      <c r="F8377" s="234"/>
      <c r="G8377" s="234"/>
      <c r="H8377" s="234"/>
      <c r="J8377" s="239" t="s">
        <v>6330</v>
      </c>
    </row>
    <row r="8378">
      <c r="A8378" s="234"/>
      <c r="B8378" s="234"/>
      <c r="C8378" s="234"/>
      <c r="D8378" s="234"/>
      <c r="E8378" s="237"/>
      <c r="F8378" s="234"/>
      <c r="G8378" s="234"/>
      <c r="H8378" s="234"/>
      <c r="J8378" s="239" t="s">
        <v>6330</v>
      </c>
    </row>
    <row r="8379">
      <c r="A8379" s="234"/>
      <c r="B8379" s="234"/>
      <c r="C8379" s="234"/>
      <c r="D8379" s="234"/>
      <c r="E8379" s="237"/>
      <c r="F8379" s="234"/>
      <c r="G8379" s="234"/>
      <c r="H8379" s="234"/>
      <c r="J8379" s="239" t="s">
        <v>6330</v>
      </c>
    </row>
    <row r="8380">
      <c r="A8380" s="234"/>
      <c r="B8380" s="234"/>
      <c r="C8380" s="234"/>
      <c r="D8380" s="234"/>
      <c r="E8380" s="237"/>
      <c r="F8380" s="234"/>
      <c r="G8380" s="234"/>
      <c r="H8380" s="234"/>
      <c r="J8380" s="239" t="s">
        <v>6330</v>
      </c>
    </row>
    <row r="8381">
      <c r="A8381" s="234"/>
      <c r="B8381" s="234"/>
      <c r="C8381" s="234"/>
      <c r="D8381" s="234"/>
      <c r="E8381" s="237"/>
      <c r="F8381" s="234"/>
      <c r="G8381" s="234"/>
      <c r="H8381" s="234"/>
      <c r="J8381" s="239" t="s">
        <v>6330</v>
      </c>
    </row>
    <row r="8382">
      <c r="A8382" s="234"/>
      <c r="B8382" s="234"/>
      <c r="C8382" s="234"/>
      <c r="D8382" s="234"/>
      <c r="E8382" s="237"/>
      <c r="F8382" s="234"/>
      <c r="G8382" s="234"/>
      <c r="H8382" s="234"/>
      <c r="J8382" s="239" t="s">
        <v>6330</v>
      </c>
    </row>
    <row r="8383">
      <c r="A8383" s="234"/>
      <c r="B8383" s="234"/>
      <c r="C8383" s="234"/>
      <c r="D8383" s="234"/>
      <c r="E8383" s="237"/>
      <c r="F8383" s="234"/>
      <c r="G8383" s="234"/>
      <c r="H8383" s="234"/>
      <c r="J8383" s="239" t="s">
        <v>6330</v>
      </c>
    </row>
    <row r="8384">
      <c r="A8384" s="234"/>
      <c r="B8384" s="234"/>
      <c r="C8384" s="234"/>
      <c r="D8384" s="234"/>
      <c r="E8384" s="237"/>
      <c r="F8384" s="234"/>
      <c r="G8384" s="234"/>
      <c r="H8384" s="234"/>
      <c r="J8384" s="239" t="s">
        <v>6330</v>
      </c>
    </row>
    <row r="8385">
      <c r="A8385" s="234"/>
      <c r="B8385" s="234"/>
      <c r="C8385" s="234"/>
      <c r="D8385" s="234"/>
      <c r="E8385" s="237"/>
      <c r="F8385" s="234"/>
      <c r="G8385" s="234"/>
      <c r="H8385" s="234"/>
      <c r="J8385" s="239" t="s">
        <v>6330</v>
      </c>
    </row>
    <row r="8386">
      <c r="A8386" s="234"/>
      <c r="B8386" s="234"/>
      <c r="C8386" s="234"/>
      <c r="D8386" s="234"/>
      <c r="E8386" s="237"/>
      <c r="F8386" s="234"/>
      <c r="G8386" s="234"/>
      <c r="H8386" s="234"/>
      <c r="J8386" s="239" t="s">
        <v>6330</v>
      </c>
    </row>
    <row r="8387">
      <c r="A8387" s="234"/>
      <c r="B8387" s="234"/>
      <c r="C8387" s="234"/>
      <c r="D8387" s="234"/>
      <c r="E8387" s="237"/>
      <c r="F8387" s="234"/>
      <c r="G8387" s="234"/>
      <c r="H8387" s="234"/>
      <c r="J8387" s="239" t="s">
        <v>6330</v>
      </c>
    </row>
    <row r="8388">
      <c r="A8388" s="234"/>
      <c r="B8388" s="234"/>
      <c r="C8388" s="234"/>
      <c r="D8388" s="234"/>
      <c r="E8388" s="237"/>
      <c r="F8388" s="234"/>
      <c r="G8388" s="234"/>
      <c r="H8388" s="234"/>
      <c r="J8388" s="239" t="s">
        <v>6330</v>
      </c>
    </row>
    <row r="8389">
      <c r="A8389" s="234"/>
      <c r="B8389" s="234"/>
      <c r="C8389" s="234"/>
      <c r="D8389" s="234"/>
      <c r="E8389" s="237"/>
      <c r="F8389" s="234"/>
      <c r="G8389" s="234"/>
      <c r="H8389" s="234"/>
      <c r="J8389" s="239" t="s">
        <v>6330</v>
      </c>
    </row>
    <row r="8390">
      <c r="A8390" s="234"/>
      <c r="B8390" s="234"/>
      <c r="C8390" s="234"/>
      <c r="D8390" s="234"/>
      <c r="E8390" s="237"/>
      <c r="F8390" s="234"/>
      <c r="G8390" s="234"/>
      <c r="H8390" s="234"/>
      <c r="J8390" s="239" t="s">
        <v>6330</v>
      </c>
    </row>
    <row r="8391">
      <c r="A8391" s="234"/>
      <c r="B8391" s="234"/>
      <c r="C8391" s="234"/>
      <c r="D8391" s="234"/>
      <c r="E8391" s="237"/>
      <c r="F8391" s="234"/>
      <c r="G8391" s="234"/>
      <c r="H8391" s="234"/>
      <c r="J8391" s="239" t="s">
        <v>6330</v>
      </c>
    </row>
    <row r="8392">
      <c r="A8392" s="234"/>
      <c r="B8392" s="234"/>
      <c r="C8392" s="234"/>
      <c r="D8392" s="234"/>
      <c r="E8392" s="237"/>
      <c r="F8392" s="234"/>
      <c r="G8392" s="234"/>
      <c r="H8392" s="234"/>
      <c r="J8392" s="239" t="s">
        <v>6330</v>
      </c>
    </row>
    <row r="8393">
      <c r="A8393" s="234"/>
      <c r="B8393" s="234"/>
      <c r="C8393" s="234"/>
      <c r="D8393" s="234"/>
      <c r="E8393" s="237"/>
      <c r="F8393" s="234"/>
      <c r="G8393" s="234"/>
      <c r="H8393" s="234"/>
      <c r="J8393" s="239" t="s">
        <v>6330</v>
      </c>
    </row>
    <row r="8394">
      <c r="A8394" s="234"/>
      <c r="B8394" s="234"/>
      <c r="C8394" s="234"/>
      <c r="D8394" s="234"/>
      <c r="E8394" s="237"/>
      <c r="F8394" s="234"/>
      <c r="G8394" s="234"/>
      <c r="H8394" s="234"/>
      <c r="J8394" s="239" t="s">
        <v>6330</v>
      </c>
    </row>
    <row r="8395">
      <c r="A8395" s="234"/>
      <c r="B8395" s="234"/>
      <c r="C8395" s="234"/>
      <c r="D8395" s="234"/>
      <c r="E8395" s="237"/>
      <c r="F8395" s="234"/>
      <c r="G8395" s="234"/>
      <c r="H8395" s="234"/>
      <c r="J8395" s="239" t="s">
        <v>6330</v>
      </c>
    </row>
    <row r="8396">
      <c r="A8396" s="234"/>
      <c r="B8396" s="234"/>
      <c r="C8396" s="234"/>
      <c r="D8396" s="234"/>
      <c r="E8396" s="237"/>
      <c r="F8396" s="234"/>
      <c r="G8396" s="234"/>
      <c r="H8396" s="234"/>
      <c r="J8396" s="239" t="s">
        <v>6330</v>
      </c>
    </row>
    <row r="8397">
      <c r="A8397" s="234"/>
      <c r="B8397" s="234"/>
      <c r="C8397" s="234"/>
      <c r="D8397" s="234"/>
      <c r="E8397" s="237"/>
      <c r="F8397" s="234"/>
      <c r="G8397" s="234"/>
      <c r="H8397" s="234"/>
      <c r="J8397" s="239" t="s">
        <v>6330</v>
      </c>
    </row>
    <row r="8398">
      <c r="A8398" s="234"/>
      <c r="B8398" s="234"/>
      <c r="C8398" s="234"/>
      <c r="D8398" s="234"/>
      <c r="E8398" s="237"/>
      <c r="F8398" s="234"/>
      <c r="G8398" s="234"/>
      <c r="H8398" s="234"/>
      <c r="J8398" s="239" t="s">
        <v>6330</v>
      </c>
    </row>
    <row r="8399">
      <c r="A8399" s="234"/>
      <c r="B8399" s="234"/>
      <c r="C8399" s="234"/>
      <c r="D8399" s="234"/>
      <c r="E8399" s="237"/>
      <c r="F8399" s="234"/>
      <c r="G8399" s="234"/>
      <c r="H8399" s="234"/>
      <c r="J8399" s="239" t="s">
        <v>6330</v>
      </c>
    </row>
    <row r="8400">
      <c r="A8400" s="234"/>
      <c r="B8400" s="234"/>
      <c r="C8400" s="234"/>
      <c r="D8400" s="234"/>
      <c r="E8400" s="237"/>
      <c r="F8400" s="234"/>
      <c r="G8400" s="234"/>
      <c r="H8400" s="234"/>
      <c r="J8400" s="239" t="s">
        <v>6330</v>
      </c>
    </row>
    <row r="8401">
      <c r="A8401" s="234"/>
      <c r="B8401" s="234"/>
      <c r="C8401" s="234"/>
      <c r="D8401" s="234"/>
      <c r="E8401" s="237"/>
      <c r="F8401" s="234"/>
      <c r="G8401" s="234"/>
      <c r="H8401" s="234"/>
      <c r="J8401" s="239" t="s">
        <v>6330</v>
      </c>
    </row>
    <row r="8402">
      <c r="A8402" s="234"/>
      <c r="B8402" s="234"/>
      <c r="C8402" s="234"/>
      <c r="D8402" s="234"/>
      <c r="E8402" s="237"/>
      <c r="F8402" s="234"/>
      <c r="G8402" s="234"/>
      <c r="H8402" s="234"/>
      <c r="J8402" s="239" t="s">
        <v>6330</v>
      </c>
    </row>
    <row r="8403">
      <c r="A8403" s="234"/>
      <c r="B8403" s="234"/>
      <c r="C8403" s="234"/>
      <c r="D8403" s="234"/>
      <c r="E8403" s="237"/>
      <c r="F8403" s="234"/>
      <c r="G8403" s="234"/>
      <c r="H8403" s="234"/>
      <c r="J8403" s="239" t="s">
        <v>6330</v>
      </c>
    </row>
    <row r="8404">
      <c r="A8404" s="234"/>
      <c r="B8404" s="234"/>
      <c r="C8404" s="234"/>
      <c r="D8404" s="234"/>
      <c r="E8404" s="237"/>
      <c r="F8404" s="234"/>
      <c r="G8404" s="234"/>
      <c r="H8404" s="234"/>
      <c r="J8404" s="239" t="s">
        <v>6330</v>
      </c>
    </row>
    <row r="8405">
      <c r="A8405" s="234"/>
      <c r="B8405" s="234"/>
      <c r="C8405" s="234"/>
      <c r="D8405" s="234"/>
      <c r="E8405" s="237"/>
      <c r="F8405" s="234"/>
      <c r="G8405" s="234"/>
      <c r="H8405" s="234"/>
      <c r="J8405" s="239" t="s">
        <v>6330</v>
      </c>
    </row>
    <row r="8406">
      <c r="A8406" s="234"/>
      <c r="B8406" s="234"/>
      <c r="C8406" s="234"/>
      <c r="D8406" s="234"/>
      <c r="E8406" s="237"/>
      <c r="F8406" s="234"/>
      <c r="G8406" s="234"/>
      <c r="H8406" s="234"/>
      <c r="J8406" s="239" t="s">
        <v>6330</v>
      </c>
    </row>
    <row r="8407">
      <c r="A8407" s="234"/>
      <c r="B8407" s="234"/>
      <c r="C8407" s="234"/>
      <c r="D8407" s="234"/>
      <c r="E8407" s="237"/>
      <c r="F8407" s="234"/>
      <c r="G8407" s="234"/>
      <c r="H8407" s="234"/>
      <c r="J8407" s="239" t="s">
        <v>6330</v>
      </c>
    </row>
    <row r="8408">
      <c r="A8408" s="234"/>
      <c r="B8408" s="234"/>
      <c r="C8408" s="234"/>
      <c r="D8408" s="234"/>
      <c r="E8408" s="237"/>
      <c r="F8408" s="234"/>
      <c r="G8408" s="234"/>
      <c r="H8408" s="234"/>
      <c r="J8408" s="239" t="s">
        <v>6330</v>
      </c>
    </row>
    <row r="8409">
      <c r="A8409" s="234"/>
      <c r="B8409" s="234"/>
      <c r="C8409" s="234"/>
      <c r="D8409" s="234"/>
      <c r="E8409" s="237"/>
      <c r="F8409" s="234"/>
      <c r="G8409" s="234"/>
      <c r="H8409" s="234"/>
      <c r="J8409" s="239" t="s">
        <v>6330</v>
      </c>
    </row>
    <row r="8410">
      <c r="A8410" s="234"/>
      <c r="B8410" s="234"/>
      <c r="C8410" s="234"/>
      <c r="D8410" s="234"/>
      <c r="E8410" s="237"/>
      <c r="F8410" s="234"/>
      <c r="G8410" s="234"/>
      <c r="H8410" s="234"/>
      <c r="J8410" s="239" t="s">
        <v>6330</v>
      </c>
    </row>
    <row r="8411">
      <c r="A8411" s="234"/>
      <c r="B8411" s="234"/>
      <c r="C8411" s="234"/>
      <c r="D8411" s="234"/>
      <c r="E8411" s="237"/>
      <c r="F8411" s="234"/>
      <c r="G8411" s="234"/>
      <c r="H8411" s="234"/>
      <c r="J8411" s="239" t="s">
        <v>6330</v>
      </c>
    </row>
    <row r="8412">
      <c r="A8412" s="234"/>
      <c r="B8412" s="234"/>
      <c r="C8412" s="234"/>
      <c r="D8412" s="234"/>
      <c r="E8412" s="237"/>
      <c r="F8412" s="234"/>
      <c r="G8412" s="234"/>
      <c r="H8412" s="234"/>
      <c r="J8412" s="239" t="s">
        <v>6330</v>
      </c>
    </row>
    <row r="8413">
      <c r="A8413" s="234"/>
      <c r="B8413" s="234"/>
      <c r="C8413" s="234"/>
      <c r="D8413" s="234"/>
      <c r="E8413" s="237"/>
      <c r="F8413" s="234"/>
      <c r="G8413" s="234"/>
      <c r="H8413" s="234"/>
      <c r="J8413" s="239" t="s">
        <v>6330</v>
      </c>
    </row>
    <row r="8414">
      <c r="A8414" s="234"/>
      <c r="B8414" s="234"/>
      <c r="C8414" s="234"/>
      <c r="D8414" s="234"/>
      <c r="E8414" s="237"/>
      <c r="F8414" s="234"/>
      <c r="G8414" s="234"/>
      <c r="H8414" s="234"/>
      <c r="J8414" s="239" t="s">
        <v>6330</v>
      </c>
    </row>
    <row r="8415">
      <c r="A8415" s="234"/>
      <c r="B8415" s="234"/>
      <c r="C8415" s="234"/>
      <c r="D8415" s="234"/>
      <c r="E8415" s="237"/>
      <c r="F8415" s="234"/>
      <c r="G8415" s="234"/>
      <c r="H8415" s="234"/>
      <c r="J8415" s="239" t="s">
        <v>6330</v>
      </c>
    </row>
    <row r="8416">
      <c r="A8416" s="234"/>
      <c r="B8416" s="234"/>
      <c r="C8416" s="234"/>
      <c r="D8416" s="234"/>
      <c r="E8416" s="237"/>
      <c r="F8416" s="234"/>
      <c r="G8416" s="234"/>
      <c r="H8416" s="234"/>
      <c r="J8416" s="239" t="s">
        <v>6330</v>
      </c>
    </row>
    <row r="8417">
      <c r="A8417" s="234"/>
      <c r="B8417" s="234"/>
      <c r="C8417" s="234"/>
      <c r="D8417" s="234"/>
      <c r="E8417" s="237"/>
      <c r="F8417" s="234"/>
      <c r="G8417" s="234"/>
      <c r="H8417" s="234"/>
      <c r="J8417" s="239" t="s">
        <v>6330</v>
      </c>
    </row>
    <row r="8418">
      <c r="A8418" s="234"/>
      <c r="B8418" s="234"/>
      <c r="C8418" s="234"/>
      <c r="D8418" s="234"/>
      <c r="E8418" s="237"/>
      <c r="F8418" s="234"/>
      <c r="G8418" s="234"/>
      <c r="H8418" s="234"/>
      <c r="J8418" s="239" t="s">
        <v>6330</v>
      </c>
    </row>
    <row r="8419">
      <c r="A8419" s="234"/>
      <c r="B8419" s="234"/>
      <c r="C8419" s="234"/>
      <c r="D8419" s="234"/>
      <c r="E8419" s="237"/>
      <c r="F8419" s="234"/>
      <c r="G8419" s="234"/>
      <c r="H8419" s="234"/>
      <c r="J8419" s="239" t="s">
        <v>6330</v>
      </c>
    </row>
    <row r="8420">
      <c r="A8420" s="234"/>
      <c r="B8420" s="234"/>
      <c r="C8420" s="234"/>
      <c r="D8420" s="234"/>
      <c r="E8420" s="237"/>
      <c r="F8420" s="234"/>
      <c r="G8420" s="234"/>
      <c r="H8420" s="234"/>
      <c r="J8420" s="239" t="s">
        <v>6330</v>
      </c>
    </row>
    <row r="8421">
      <c r="A8421" s="234"/>
      <c r="B8421" s="234"/>
      <c r="C8421" s="234"/>
      <c r="D8421" s="234"/>
      <c r="E8421" s="237"/>
      <c r="F8421" s="234"/>
      <c r="G8421" s="234"/>
      <c r="H8421" s="234"/>
      <c r="J8421" s="239" t="s">
        <v>6330</v>
      </c>
    </row>
    <row r="8422">
      <c r="A8422" s="234"/>
      <c r="B8422" s="234"/>
      <c r="C8422" s="234"/>
      <c r="D8422" s="234"/>
      <c r="E8422" s="237"/>
      <c r="F8422" s="234"/>
      <c r="G8422" s="234"/>
      <c r="H8422" s="234"/>
      <c r="J8422" s="239" t="s">
        <v>6330</v>
      </c>
    </row>
    <row r="8423">
      <c r="A8423" s="234"/>
      <c r="B8423" s="234"/>
      <c r="C8423" s="234"/>
      <c r="D8423" s="234"/>
      <c r="E8423" s="237"/>
      <c r="F8423" s="234"/>
      <c r="G8423" s="234"/>
      <c r="H8423" s="234"/>
      <c r="J8423" s="239" t="s">
        <v>6330</v>
      </c>
    </row>
    <row r="8424">
      <c r="A8424" s="234"/>
      <c r="B8424" s="234"/>
      <c r="C8424" s="234"/>
      <c r="D8424" s="234"/>
      <c r="E8424" s="237"/>
      <c r="F8424" s="234"/>
      <c r="G8424" s="234"/>
      <c r="H8424" s="234"/>
      <c r="J8424" s="239" t="s">
        <v>6330</v>
      </c>
    </row>
    <row r="8425">
      <c r="A8425" s="234"/>
      <c r="B8425" s="234"/>
      <c r="C8425" s="234"/>
      <c r="D8425" s="234"/>
      <c r="E8425" s="237"/>
      <c r="F8425" s="234"/>
      <c r="G8425" s="234"/>
      <c r="H8425" s="234"/>
      <c r="J8425" s="239" t="s">
        <v>6330</v>
      </c>
    </row>
    <row r="8426">
      <c r="A8426" s="234"/>
      <c r="B8426" s="234"/>
      <c r="C8426" s="234"/>
      <c r="D8426" s="234"/>
      <c r="E8426" s="237"/>
      <c r="F8426" s="234"/>
      <c r="G8426" s="234"/>
      <c r="H8426" s="234"/>
      <c r="J8426" s="239" t="s">
        <v>6330</v>
      </c>
    </row>
    <row r="8427">
      <c r="A8427" s="234"/>
      <c r="B8427" s="234"/>
      <c r="C8427" s="234"/>
      <c r="D8427" s="234"/>
      <c r="E8427" s="237"/>
      <c r="F8427" s="234"/>
      <c r="G8427" s="234"/>
      <c r="H8427" s="234"/>
      <c r="J8427" s="239" t="s">
        <v>6330</v>
      </c>
    </row>
    <row r="8428">
      <c r="A8428" s="234"/>
      <c r="B8428" s="234"/>
      <c r="C8428" s="234"/>
      <c r="D8428" s="234"/>
      <c r="E8428" s="237"/>
      <c r="F8428" s="234"/>
      <c r="G8428" s="234"/>
      <c r="H8428" s="234"/>
      <c r="J8428" s="239" t="s">
        <v>6330</v>
      </c>
    </row>
    <row r="8429">
      <c r="A8429" s="234"/>
      <c r="B8429" s="234"/>
      <c r="C8429" s="234"/>
      <c r="D8429" s="234"/>
      <c r="E8429" s="237"/>
      <c r="F8429" s="234"/>
      <c r="G8429" s="234"/>
      <c r="H8429" s="234"/>
      <c r="J8429" s="239" t="s">
        <v>6330</v>
      </c>
    </row>
    <row r="8430">
      <c r="A8430" s="234"/>
      <c r="B8430" s="234"/>
      <c r="C8430" s="234"/>
      <c r="D8430" s="234"/>
      <c r="E8430" s="237"/>
      <c r="F8430" s="234"/>
      <c r="G8430" s="234"/>
      <c r="H8430" s="234"/>
      <c r="J8430" s="239" t="s">
        <v>6330</v>
      </c>
    </row>
    <row r="8431">
      <c r="A8431" s="234"/>
      <c r="B8431" s="234"/>
      <c r="C8431" s="234"/>
      <c r="D8431" s="234"/>
      <c r="E8431" s="237"/>
      <c r="F8431" s="234"/>
      <c r="G8431" s="234"/>
      <c r="H8431" s="234"/>
      <c r="J8431" s="239" t="s">
        <v>6330</v>
      </c>
    </row>
    <row r="8432">
      <c r="A8432" s="234"/>
      <c r="B8432" s="234"/>
      <c r="C8432" s="234"/>
      <c r="D8432" s="234"/>
      <c r="E8432" s="237"/>
      <c r="F8432" s="234"/>
      <c r="G8432" s="234"/>
      <c r="H8432" s="234"/>
      <c r="J8432" s="239" t="s">
        <v>6330</v>
      </c>
    </row>
    <row r="8433">
      <c r="A8433" s="234"/>
      <c r="B8433" s="234"/>
      <c r="C8433" s="234"/>
      <c r="D8433" s="234"/>
      <c r="E8433" s="237"/>
      <c r="F8433" s="234"/>
      <c r="G8433" s="234"/>
      <c r="H8433" s="234"/>
      <c r="J8433" s="239" t="s">
        <v>6330</v>
      </c>
    </row>
    <row r="8434">
      <c r="A8434" s="234"/>
      <c r="B8434" s="234"/>
      <c r="C8434" s="234"/>
      <c r="D8434" s="234"/>
      <c r="E8434" s="237"/>
      <c r="F8434" s="234"/>
      <c r="G8434" s="234"/>
      <c r="H8434" s="234"/>
      <c r="J8434" s="239" t="s">
        <v>6330</v>
      </c>
    </row>
    <row r="8435">
      <c r="A8435" s="234"/>
      <c r="B8435" s="234"/>
      <c r="C8435" s="234"/>
      <c r="D8435" s="234"/>
      <c r="E8435" s="237"/>
      <c r="F8435" s="234"/>
      <c r="G8435" s="234"/>
      <c r="H8435" s="234"/>
      <c r="J8435" s="239" t="s">
        <v>6330</v>
      </c>
    </row>
    <row r="8436">
      <c r="A8436" s="234"/>
      <c r="B8436" s="234"/>
      <c r="C8436" s="234"/>
      <c r="D8436" s="234"/>
      <c r="E8436" s="237"/>
      <c r="F8436" s="234"/>
      <c r="G8436" s="234"/>
      <c r="H8436" s="234"/>
      <c r="J8436" s="239" t="s">
        <v>6330</v>
      </c>
    </row>
    <row r="8437">
      <c r="A8437" s="234"/>
      <c r="B8437" s="234"/>
      <c r="C8437" s="234"/>
      <c r="D8437" s="234"/>
      <c r="E8437" s="237"/>
      <c r="F8437" s="234"/>
      <c r="G8437" s="234"/>
      <c r="H8437" s="234"/>
      <c r="J8437" s="239" t="s">
        <v>6330</v>
      </c>
    </row>
    <row r="8438">
      <c r="A8438" s="234"/>
      <c r="B8438" s="234"/>
      <c r="C8438" s="234"/>
      <c r="D8438" s="234"/>
      <c r="E8438" s="237"/>
      <c r="F8438" s="234"/>
      <c r="G8438" s="234"/>
      <c r="H8438" s="234"/>
      <c r="J8438" s="239" t="s">
        <v>6330</v>
      </c>
    </row>
    <row r="8439">
      <c r="A8439" s="234"/>
      <c r="B8439" s="234"/>
      <c r="C8439" s="234"/>
      <c r="D8439" s="234"/>
      <c r="E8439" s="237"/>
      <c r="F8439" s="234"/>
      <c r="G8439" s="234"/>
      <c r="H8439" s="234"/>
      <c r="J8439" s="239" t="s">
        <v>6330</v>
      </c>
    </row>
    <row r="8440">
      <c r="A8440" s="234"/>
      <c r="B8440" s="234"/>
      <c r="C8440" s="234"/>
      <c r="D8440" s="234"/>
      <c r="E8440" s="237"/>
      <c r="F8440" s="234"/>
      <c r="G8440" s="234"/>
      <c r="H8440" s="234"/>
      <c r="J8440" s="239" t="s">
        <v>6330</v>
      </c>
    </row>
    <row r="8441">
      <c r="A8441" s="234"/>
      <c r="B8441" s="234"/>
      <c r="C8441" s="234"/>
      <c r="D8441" s="234"/>
      <c r="E8441" s="237"/>
      <c r="F8441" s="234"/>
      <c r="G8441" s="234"/>
      <c r="H8441" s="234"/>
      <c r="J8441" s="239" t="s">
        <v>6330</v>
      </c>
    </row>
    <row r="8442">
      <c r="A8442" s="234"/>
      <c r="B8442" s="234"/>
      <c r="C8442" s="234"/>
      <c r="D8442" s="234"/>
      <c r="E8442" s="237"/>
      <c r="F8442" s="234"/>
      <c r="G8442" s="234"/>
      <c r="H8442" s="234"/>
      <c r="J8442" s="239" t="s">
        <v>6330</v>
      </c>
    </row>
    <row r="8443">
      <c r="A8443" s="234"/>
      <c r="B8443" s="234"/>
      <c r="C8443" s="234"/>
      <c r="D8443" s="234"/>
      <c r="E8443" s="237"/>
      <c r="F8443" s="234"/>
      <c r="G8443" s="234"/>
      <c r="H8443" s="234"/>
      <c r="J8443" s="239" t="s">
        <v>6330</v>
      </c>
    </row>
    <row r="8444">
      <c r="A8444" s="234"/>
      <c r="B8444" s="234"/>
      <c r="C8444" s="234"/>
      <c r="D8444" s="234"/>
      <c r="E8444" s="237"/>
      <c r="F8444" s="234"/>
      <c r="G8444" s="234"/>
      <c r="H8444" s="234"/>
      <c r="J8444" s="239" t="s">
        <v>6330</v>
      </c>
    </row>
    <row r="8445">
      <c r="A8445" s="234"/>
      <c r="B8445" s="234"/>
      <c r="C8445" s="234"/>
      <c r="D8445" s="234"/>
      <c r="E8445" s="237"/>
      <c r="F8445" s="234"/>
      <c r="G8445" s="234"/>
      <c r="H8445" s="234"/>
      <c r="J8445" s="239" t="s">
        <v>6330</v>
      </c>
    </row>
    <row r="8446">
      <c r="A8446" s="234"/>
      <c r="B8446" s="234"/>
      <c r="C8446" s="234"/>
      <c r="D8446" s="234"/>
      <c r="E8446" s="237"/>
      <c r="F8446" s="234"/>
      <c r="G8446" s="234"/>
      <c r="H8446" s="234"/>
      <c r="J8446" s="239" t="s">
        <v>6330</v>
      </c>
    </row>
    <row r="8447">
      <c r="A8447" s="234"/>
      <c r="B8447" s="234"/>
      <c r="C8447" s="234"/>
      <c r="D8447" s="234"/>
      <c r="E8447" s="237"/>
      <c r="F8447" s="234"/>
      <c r="G8447" s="234"/>
      <c r="H8447" s="234"/>
      <c r="J8447" s="239" t="s">
        <v>6330</v>
      </c>
    </row>
    <row r="8448">
      <c r="A8448" s="234"/>
      <c r="B8448" s="234"/>
      <c r="C8448" s="234"/>
      <c r="D8448" s="234"/>
      <c r="E8448" s="237"/>
      <c r="F8448" s="234"/>
      <c r="G8448" s="234"/>
      <c r="H8448" s="234"/>
      <c r="J8448" s="239" t="s">
        <v>6330</v>
      </c>
    </row>
    <row r="8449">
      <c r="A8449" s="234"/>
      <c r="B8449" s="234"/>
      <c r="C8449" s="234"/>
      <c r="D8449" s="234"/>
      <c r="E8449" s="237"/>
      <c r="F8449" s="234"/>
      <c r="G8449" s="234"/>
      <c r="H8449" s="234"/>
      <c r="J8449" s="239" t="s">
        <v>6330</v>
      </c>
    </row>
    <row r="8450">
      <c r="A8450" s="234"/>
      <c r="B8450" s="234"/>
      <c r="C8450" s="234"/>
      <c r="D8450" s="234"/>
      <c r="E8450" s="237"/>
      <c r="F8450" s="234"/>
      <c r="G8450" s="234"/>
      <c r="H8450" s="234"/>
      <c r="J8450" s="239" t="s">
        <v>6330</v>
      </c>
    </row>
    <row r="8451">
      <c r="A8451" s="234"/>
      <c r="B8451" s="234"/>
      <c r="C8451" s="234"/>
      <c r="D8451" s="234"/>
      <c r="E8451" s="237"/>
      <c r="F8451" s="234"/>
      <c r="G8451" s="234"/>
      <c r="H8451" s="234"/>
      <c r="J8451" s="239" t="s">
        <v>6330</v>
      </c>
    </row>
    <row r="8452">
      <c r="A8452" s="234"/>
      <c r="B8452" s="234"/>
      <c r="C8452" s="234"/>
      <c r="D8452" s="234"/>
      <c r="E8452" s="237"/>
      <c r="F8452" s="234"/>
      <c r="G8452" s="234"/>
      <c r="H8452" s="234"/>
      <c r="J8452" s="239" t="s">
        <v>6330</v>
      </c>
    </row>
    <row r="8453">
      <c r="A8453" s="234"/>
      <c r="B8453" s="234"/>
      <c r="C8453" s="234"/>
      <c r="D8453" s="234"/>
      <c r="E8453" s="237"/>
      <c r="F8453" s="234"/>
      <c r="G8453" s="234"/>
      <c r="H8453" s="234"/>
      <c r="J8453" s="239" t="s">
        <v>6330</v>
      </c>
    </row>
    <row r="8454">
      <c r="A8454" s="234"/>
      <c r="B8454" s="234"/>
      <c r="C8454" s="234"/>
      <c r="D8454" s="234"/>
      <c r="E8454" s="237"/>
      <c r="F8454" s="234"/>
      <c r="G8454" s="234"/>
      <c r="H8454" s="234"/>
      <c r="J8454" s="239" t="s">
        <v>6330</v>
      </c>
    </row>
    <row r="8455">
      <c r="A8455" s="234"/>
      <c r="B8455" s="234"/>
      <c r="C8455" s="234"/>
      <c r="D8455" s="234"/>
      <c r="E8455" s="237"/>
      <c r="F8455" s="234"/>
      <c r="G8455" s="234"/>
      <c r="H8455" s="234"/>
      <c r="J8455" s="239" t="s">
        <v>6330</v>
      </c>
    </row>
    <row r="8456">
      <c r="A8456" s="234"/>
      <c r="B8456" s="234"/>
      <c r="C8456" s="234"/>
      <c r="D8456" s="234"/>
      <c r="E8456" s="237"/>
      <c r="F8456" s="234"/>
      <c r="G8456" s="234"/>
      <c r="H8456" s="234"/>
      <c r="J8456" s="239" t="s">
        <v>6330</v>
      </c>
    </row>
    <row r="8457">
      <c r="A8457" s="234"/>
      <c r="B8457" s="234"/>
      <c r="C8457" s="234"/>
      <c r="D8457" s="234"/>
      <c r="E8457" s="237"/>
      <c r="F8457" s="234"/>
      <c r="G8457" s="234"/>
      <c r="H8457" s="234"/>
      <c r="J8457" s="239" t="s">
        <v>6330</v>
      </c>
    </row>
    <row r="8458">
      <c r="A8458" s="234"/>
      <c r="B8458" s="234"/>
      <c r="C8458" s="234"/>
      <c r="D8458" s="234"/>
      <c r="E8458" s="237"/>
      <c r="F8458" s="234"/>
      <c r="G8458" s="234"/>
      <c r="H8458" s="234"/>
      <c r="J8458" s="239" t="s">
        <v>6330</v>
      </c>
    </row>
    <row r="8459">
      <c r="A8459" s="234"/>
      <c r="B8459" s="234"/>
      <c r="C8459" s="234"/>
      <c r="D8459" s="234"/>
      <c r="E8459" s="237"/>
      <c r="F8459" s="234"/>
      <c r="G8459" s="234"/>
      <c r="H8459" s="234"/>
      <c r="J8459" s="239" t="s">
        <v>6330</v>
      </c>
    </row>
    <row r="8460">
      <c r="A8460" s="234"/>
      <c r="B8460" s="234"/>
      <c r="C8460" s="234"/>
      <c r="D8460" s="234"/>
      <c r="E8460" s="237"/>
      <c r="F8460" s="234"/>
      <c r="G8460" s="234"/>
      <c r="H8460" s="234"/>
      <c r="J8460" s="239" t="s">
        <v>6330</v>
      </c>
    </row>
    <row r="8461">
      <c r="A8461" s="234"/>
      <c r="B8461" s="234"/>
      <c r="C8461" s="234"/>
      <c r="D8461" s="234"/>
      <c r="E8461" s="237"/>
      <c r="F8461" s="234"/>
      <c r="G8461" s="234"/>
      <c r="H8461" s="234"/>
      <c r="J8461" s="239" t="s">
        <v>6330</v>
      </c>
    </row>
    <row r="8462">
      <c r="A8462" s="234"/>
      <c r="B8462" s="234"/>
      <c r="C8462" s="234"/>
      <c r="D8462" s="234"/>
      <c r="E8462" s="237"/>
      <c r="F8462" s="234"/>
      <c r="G8462" s="234"/>
      <c r="H8462" s="234"/>
      <c r="J8462" s="239" t="s">
        <v>6330</v>
      </c>
    </row>
    <row r="8463">
      <c r="A8463" s="234"/>
      <c r="B8463" s="234"/>
      <c r="C8463" s="234"/>
      <c r="D8463" s="234"/>
      <c r="E8463" s="237"/>
      <c r="F8463" s="234"/>
      <c r="G8463" s="234"/>
      <c r="H8463" s="234"/>
      <c r="J8463" s="239" t="s">
        <v>6330</v>
      </c>
    </row>
    <row r="8464">
      <c r="A8464" s="234"/>
      <c r="B8464" s="234"/>
      <c r="C8464" s="234"/>
      <c r="D8464" s="234"/>
      <c r="E8464" s="237"/>
      <c r="F8464" s="234"/>
      <c r="G8464" s="234"/>
      <c r="H8464" s="234"/>
      <c r="J8464" s="239" t="s">
        <v>6330</v>
      </c>
    </row>
    <row r="8465">
      <c r="A8465" s="234"/>
      <c r="B8465" s="234"/>
      <c r="C8465" s="234"/>
      <c r="D8465" s="234"/>
      <c r="E8465" s="237"/>
      <c r="F8465" s="234"/>
      <c r="G8465" s="234"/>
      <c r="H8465" s="234"/>
      <c r="J8465" s="239" t="s">
        <v>6330</v>
      </c>
    </row>
    <row r="8466">
      <c r="A8466" s="234"/>
      <c r="B8466" s="234"/>
      <c r="C8466" s="234"/>
      <c r="D8466" s="234"/>
      <c r="E8466" s="237"/>
      <c r="F8466" s="234"/>
      <c r="G8466" s="234"/>
      <c r="H8466" s="234"/>
      <c r="J8466" s="239" t="s">
        <v>6330</v>
      </c>
    </row>
    <row r="8467">
      <c r="A8467" s="234"/>
      <c r="B8467" s="234"/>
      <c r="C8467" s="234"/>
      <c r="D8467" s="234"/>
      <c r="E8467" s="237"/>
      <c r="F8467" s="234"/>
      <c r="G8467" s="234"/>
      <c r="H8467" s="234"/>
      <c r="J8467" s="239" t="s">
        <v>6330</v>
      </c>
    </row>
    <row r="8468">
      <c r="A8468" s="234"/>
      <c r="B8468" s="234"/>
      <c r="C8468" s="234"/>
      <c r="D8468" s="234"/>
      <c r="E8468" s="237"/>
      <c r="F8468" s="234"/>
      <c r="G8468" s="234"/>
      <c r="H8468" s="234"/>
      <c r="J8468" s="239" t="s">
        <v>6330</v>
      </c>
    </row>
    <row r="8469">
      <c r="A8469" s="234"/>
      <c r="B8469" s="234"/>
      <c r="C8469" s="234"/>
      <c r="D8469" s="234"/>
      <c r="E8469" s="237"/>
      <c r="F8469" s="234"/>
      <c r="G8469" s="234"/>
      <c r="H8469" s="234"/>
      <c r="J8469" s="239" t="s">
        <v>6330</v>
      </c>
    </row>
    <row r="8470">
      <c r="A8470" s="234"/>
      <c r="B8470" s="234"/>
      <c r="C8470" s="234"/>
      <c r="D8470" s="234"/>
      <c r="E8470" s="237"/>
      <c r="F8470" s="234"/>
      <c r="G8470" s="234"/>
      <c r="H8470" s="234"/>
      <c r="J8470" s="239" t="s">
        <v>6330</v>
      </c>
    </row>
    <row r="8471">
      <c r="A8471" s="234"/>
      <c r="B8471" s="234"/>
      <c r="C8471" s="234"/>
      <c r="D8471" s="234"/>
      <c r="E8471" s="237"/>
      <c r="F8471" s="234"/>
      <c r="G8471" s="234"/>
      <c r="H8471" s="234"/>
      <c r="J8471" s="239" t="s">
        <v>6330</v>
      </c>
    </row>
    <row r="8472">
      <c r="A8472" s="234"/>
      <c r="B8472" s="234"/>
      <c r="C8472" s="234"/>
      <c r="D8472" s="234"/>
      <c r="E8472" s="237"/>
      <c r="F8472" s="234"/>
      <c r="G8472" s="234"/>
      <c r="H8472" s="234"/>
      <c r="J8472" s="239" t="s">
        <v>6330</v>
      </c>
    </row>
    <row r="8473">
      <c r="A8473" s="234"/>
      <c r="B8473" s="234"/>
      <c r="C8473" s="234"/>
      <c r="D8473" s="234"/>
      <c r="E8473" s="237"/>
      <c r="F8473" s="234"/>
      <c r="G8473" s="234"/>
      <c r="H8473" s="234"/>
      <c r="J8473" s="239" t="s">
        <v>6330</v>
      </c>
    </row>
    <row r="8474">
      <c r="A8474" s="234"/>
      <c r="B8474" s="234"/>
      <c r="C8474" s="234"/>
      <c r="D8474" s="234"/>
      <c r="E8474" s="237"/>
      <c r="F8474" s="234"/>
      <c r="G8474" s="234"/>
      <c r="H8474" s="234"/>
      <c r="J8474" s="239" t="s">
        <v>6330</v>
      </c>
    </row>
    <row r="8475">
      <c r="A8475" s="234"/>
      <c r="B8475" s="234"/>
      <c r="C8475" s="234"/>
      <c r="D8475" s="234"/>
      <c r="E8475" s="237"/>
      <c r="F8475" s="234"/>
      <c r="G8475" s="234"/>
      <c r="H8475" s="234"/>
      <c r="J8475" s="239" t="s">
        <v>6330</v>
      </c>
    </row>
    <row r="8476">
      <c r="A8476" s="234"/>
      <c r="B8476" s="234"/>
      <c r="C8476" s="234"/>
      <c r="D8476" s="234"/>
      <c r="E8476" s="237"/>
      <c r="F8476" s="234"/>
      <c r="G8476" s="234"/>
      <c r="H8476" s="234"/>
      <c r="J8476" s="239" t="s">
        <v>6330</v>
      </c>
    </row>
    <row r="8477">
      <c r="A8477" s="234"/>
      <c r="B8477" s="234"/>
      <c r="C8477" s="234"/>
      <c r="D8477" s="234"/>
      <c r="E8477" s="237"/>
      <c r="F8477" s="234"/>
      <c r="G8477" s="234"/>
      <c r="H8477" s="234"/>
      <c r="J8477" s="239" t="s">
        <v>6330</v>
      </c>
    </row>
    <row r="8478">
      <c r="A8478" s="234"/>
      <c r="B8478" s="234"/>
      <c r="C8478" s="234"/>
      <c r="D8478" s="234"/>
      <c r="E8478" s="237"/>
      <c r="F8478" s="234"/>
      <c r="G8478" s="234"/>
      <c r="H8478" s="234"/>
      <c r="J8478" s="239" t="s">
        <v>6330</v>
      </c>
    </row>
    <row r="8479">
      <c r="A8479" s="234"/>
      <c r="B8479" s="234"/>
      <c r="C8479" s="234"/>
      <c r="D8479" s="234"/>
      <c r="E8479" s="237"/>
      <c r="F8479" s="234"/>
      <c r="G8479" s="234"/>
      <c r="H8479" s="234"/>
      <c r="J8479" s="239" t="s">
        <v>6330</v>
      </c>
    </row>
    <row r="8480">
      <c r="A8480" s="234"/>
      <c r="B8480" s="234"/>
      <c r="C8480" s="234"/>
      <c r="D8480" s="234"/>
      <c r="E8480" s="237"/>
      <c r="F8480" s="234"/>
      <c r="G8480" s="234"/>
      <c r="H8480" s="234"/>
      <c r="J8480" s="239" t="s">
        <v>6330</v>
      </c>
    </row>
    <row r="8481">
      <c r="A8481" s="234"/>
      <c r="B8481" s="234"/>
      <c r="C8481" s="234"/>
      <c r="D8481" s="234"/>
      <c r="E8481" s="237"/>
      <c r="F8481" s="234"/>
      <c r="G8481" s="234"/>
      <c r="H8481" s="234"/>
      <c r="J8481" s="239" t="s">
        <v>6330</v>
      </c>
    </row>
    <row r="8482">
      <c r="A8482" s="234"/>
      <c r="B8482" s="234"/>
      <c r="C8482" s="234"/>
      <c r="D8482" s="234"/>
      <c r="E8482" s="237"/>
      <c r="F8482" s="234"/>
      <c r="G8482" s="234"/>
      <c r="H8482" s="234"/>
      <c r="J8482" s="239" t="s">
        <v>6330</v>
      </c>
    </row>
    <row r="8483">
      <c r="A8483" s="234"/>
      <c r="B8483" s="234"/>
      <c r="C8483" s="234"/>
      <c r="D8483" s="234"/>
      <c r="E8483" s="237"/>
      <c r="F8483" s="234"/>
      <c r="G8483" s="234"/>
      <c r="H8483" s="234"/>
      <c r="J8483" s="239" t="s">
        <v>6330</v>
      </c>
    </row>
    <row r="8484">
      <c r="A8484" s="234"/>
      <c r="B8484" s="234"/>
      <c r="C8484" s="234"/>
      <c r="D8484" s="234"/>
      <c r="E8484" s="237"/>
      <c r="F8484" s="234"/>
      <c r="G8484" s="234"/>
      <c r="H8484" s="234"/>
      <c r="J8484" s="239" t="s">
        <v>6330</v>
      </c>
    </row>
    <row r="8485">
      <c r="A8485" s="234"/>
      <c r="B8485" s="234"/>
      <c r="C8485" s="234"/>
      <c r="D8485" s="234"/>
      <c r="E8485" s="237"/>
      <c r="F8485" s="234"/>
      <c r="G8485" s="234"/>
      <c r="H8485" s="234"/>
      <c r="J8485" s="239" t="s">
        <v>6330</v>
      </c>
    </row>
    <row r="8486">
      <c r="A8486" s="234"/>
      <c r="B8486" s="234"/>
      <c r="C8486" s="234"/>
      <c r="D8486" s="234"/>
      <c r="E8486" s="237"/>
      <c r="F8486" s="234"/>
      <c r="G8486" s="234"/>
      <c r="H8486" s="234"/>
      <c r="J8486" s="239" t="s">
        <v>6330</v>
      </c>
    </row>
    <row r="8487">
      <c r="A8487" s="234"/>
      <c r="B8487" s="234"/>
      <c r="C8487" s="234"/>
      <c r="D8487" s="234"/>
      <c r="E8487" s="237"/>
      <c r="F8487" s="234"/>
      <c r="G8487" s="234"/>
      <c r="H8487" s="234"/>
      <c r="J8487" s="239" t="s">
        <v>6330</v>
      </c>
    </row>
    <row r="8488">
      <c r="A8488" s="234"/>
      <c r="B8488" s="234"/>
      <c r="C8488" s="234"/>
      <c r="D8488" s="234"/>
      <c r="E8488" s="237"/>
      <c r="F8488" s="234"/>
      <c r="G8488" s="234"/>
      <c r="H8488" s="234"/>
      <c r="J8488" s="239" t="s">
        <v>6330</v>
      </c>
    </row>
    <row r="8489">
      <c r="A8489" s="234"/>
      <c r="B8489" s="234"/>
      <c r="C8489" s="234"/>
      <c r="D8489" s="234"/>
      <c r="E8489" s="237"/>
      <c r="F8489" s="234"/>
      <c r="G8489" s="234"/>
      <c r="H8489" s="234"/>
      <c r="J8489" s="239" t="s">
        <v>6330</v>
      </c>
    </row>
    <row r="8490">
      <c r="A8490" s="234"/>
      <c r="B8490" s="234"/>
      <c r="C8490" s="234"/>
      <c r="D8490" s="234"/>
      <c r="E8490" s="237"/>
      <c r="F8490" s="234"/>
      <c r="G8490" s="234"/>
      <c r="H8490" s="234"/>
      <c r="J8490" s="239" t="s">
        <v>6330</v>
      </c>
    </row>
    <row r="8491">
      <c r="A8491" s="234"/>
      <c r="B8491" s="234"/>
      <c r="C8491" s="234"/>
      <c r="D8491" s="234"/>
      <c r="E8491" s="237"/>
      <c r="F8491" s="234"/>
      <c r="G8491" s="234"/>
      <c r="H8491" s="234"/>
      <c r="J8491" s="239" t="s">
        <v>6330</v>
      </c>
    </row>
    <row r="8492">
      <c r="A8492" s="234"/>
      <c r="B8492" s="234"/>
      <c r="C8492" s="234"/>
      <c r="D8492" s="234"/>
      <c r="E8492" s="237"/>
      <c r="F8492" s="234"/>
      <c r="G8492" s="234"/>
      <c r="H8492" s="234"/>
      <c r="J8492" s="239" t="s">
        <v>6330</v>
      </c>
    </row>
    <row r="8493">
      <c r="A8493" s="234"/>
      <c r="B8493" s="234"/>
      <c r="C8493" s="234"/>
      <c r="D8493" s="234"/>
      <c r="E8493" s="237"/>
      <c r="F8493" s="234"/>
      <c r="G8493" s="234"/>
      <c r="H8493" s="234"/>
      <c r="J8493" s="239" t="s">
        <v>6330</v>
      </c>
    </row>
    <row r="8494">
      <c r="A8494" s="234"/>
      <c r="B8494" s="234"/>
      <c r="C8494" s="234"/>
      <c r="D8494" s="234"/>
      <c r="E8494" s="237"/>
      <c r="F8494" s="234"/>
      <c r="G8494" s="234"/>
      <c r="H8494" s="234"/>
      <c r="J8494" s="239" t="s">
        <v>6330</v>
      </c>
    </row>
    <row r="8495">
      <c r="A8495" s="234"/>
      <c r="B8495" s="234"/>
      <c r="C8495" s="234"/>
      <c r="D8495" s="234"/>
      <c r="E8495" s="237"/>
      <c r="F8495" s="234"/>
      <c r="G8495" s="234"/>
      <c r="H8495" s="234"/>
      <c r="J8495" s="239" t="s">
        <v>6330</v>
      </c>
    </row>
    <row r="8496">
      <c r="A8496" s="234"/>
      <c r="B8496" s="234"/>
      <c r="C8496" s="234"/>
      <c r="D8496" s="234"/>
      <c r="E8496" s="237"/>
      <c r="F8496" s="234"/>
      <c r="G8496" s="234"/>
      <c r="H8496" s="234"/>
      <c r="J8496" s="239" t="s">
        <v>6330</v>
      </c>
    </row>
    <row r="8497">
      <c r="A8497" s="234"/>
      <c r="B8497" s="234"/>
      <c r="C8497" s="234"/>
      <c r="D8497" s="234"/>
      <c r="E8497" s="237"/>
      <c r="F8497" s="234"/>
      <c r="G8497" s="234"/>
      <c r="H8497" s="234"/>
      <c r="J8497" s="239" t="s">
        <v>6330</v>
      </c>
    </row>
    <row r="8498">
      <c r="A8498" s="234"/>
      <c r="B8498" s="234"/>
      <c r="C8498" s="234"/>
      <c r="D8498" s="234"/>
      <c r="E8498" s="237"/>
      <c r="F8498" s="234"/>
      <c r="G8498" s="234"/>
      <c r="H8498" s="234"/>
      <c r="J8498" s="239" t="s">
        <v>6330</v>
      </c>
    </row>
    <row r="8499">
      <c r="A8499" s="234"/>
      <c r="B8499" s="234"/>
      <c r="C8499" s="234"/>
      <c r="D8499" s="234"/>
      <c r="E8499" s="237"/>
      <c r="F8499" s="234"/>
      <c r="G8499" s="234"/>
      <c r="H8499" s="234"/>
      <c r="J8499" s="239" t="s">
        <v>6330</v>
      </c>
    </row>
    <row r="8500">
      <c r="A8500" s="234"/>
      <c r="B8500" s="234"/>
      <c r="C8500" s="234"/>
      <c r="D8500" s="234"/>
      <c r="E8500" s="237"/>
      <c r="F8500" s="234"/>
      <c r="G8500" s="234"/>
      <c r="H8500" s="234"/>
      <c r="J8500" s="239" t="s">
        <v>6330</v>
      </c>
    </row>
    <row r="8501">
      <c r="A8501" s="234"/>
      <c r="B8501" s="234"/>
      <c r="C8501" s="234"/>
      <c r="D8501" s="234"/>
      <c r="E8501" s="237"/>
      <c r="F8501" s="234"/>
      <c r="G8501" s="234"/>
      <c r="H8501" s="234"/>
      <c r="J8501" s="239" t="s">
        <v>6330</v>
      </c>
    </row>
    <row r="8502">
      <c r="A8502" s="234"/>
      <c r="B8502" s="234"/>
      <c r="C8502" s="234"/>
      <c r="D8502" s="234"/>
      <c r="E8502" s="237"/>
      <c r="F8502" s="234"/>
      <c r="G8502" s="234"/>
      <c r="H8502" s="234"/>
      <c r="J8502" s="239" t="s">
        <v>6330</v>
      </c>
    </row>
    <row r="8503">
      <c r="A8503" s="234"/>
      <c r="B8503" s="234"/>
      <c r="C8503" s="234"/>
      <c r="D8503" s="234"/>
      <c r="E8503" s="237"/>
      <c r="F8503" s="234"/>
      <c r="G8503" s="234"/>
      <c r="H8503" s="234"/>
      <c r="J8503" s="239" t="s">
        <v>6330</v>
      </c>
    </row>
    <row r="8504">
      <c r="A8504" s="234"/>
      <c r="B8504" s="234"/>
      <c r="C8504" s="234"/>
      <c r="D8504" s="234"/>
      <c r="E8504" s="237"/>
      <c r="F8504" s="234"/>
      <c r="G8504" s="234"/>
      <c r="H8504" s="234"/>
      <c r="J8504" s="239" t="s">
        <v>6330</v>
      </c>
    </row>
    <row r="8505">
      <c r="A8505" s="234"/>
      <c r="B8505" s="234"/>
      <c r="C8505" s="234"/>
      <c r="D8505" s="234"/>
      <c r="E8505" s="237"/>
      <c r="F8505" s="234"/>
      <c r="G8505" s="234"/>
      <c r="H8505" s="234"/>
      <c r="J8505" s="239" t="s">
        <v>6330</v>
      </c>
    </row>
    <row r="8506">
      <c r="A8506" s="234"/>
      <c r="B8506" s="234"/>
      <c r="C8506" s="234"/>
      <c r="D8506" s="234"/>
      <c r="E8506" s="237"/>
      <c r="F8506" s="234"/>
      <c r="G8506" s="234"/>
      <c r="H8506" s="234"/>
      <c r="J8506" s="239" t="s">
        <v>6330</v>
      </c>
    </row>
    <row r="8507">
      <c r="A8507" s="234"/>
      <c r="B8507" s="234"/>
      <c r="C8507" s="234"/>
      <c r="D8507" s="234"/>
      <c r="E8507" s="237"/>
      <c r="F8507" s="234"/>
      <c r="G8507" s="234"/>
      <c r="H8507" s="234"/>
      <c r="J8507" s="239" t="s">
        <v>6330</v>
      </c>
    </row>
    <row r="8508">
      <c r="A8508" s="234"/>
      <c r="B8508" s="234"/>
      <c r="C8508" s="234"/>
      <c r="D8508" s="234"/>
      <c r="E8508" s="237"/>
      <c r="F8508" s="234"/>
      <c r="G8508" s="234"/>
      <c r="H8508" s="234"/>
      <c r="J8508" s="239" t="s">
        <v>6330</v>
      </c>
    </row>
    <row r="8509">
      <c r="A8509" s="234"/>
      <c r="B8509" s="234"/>
      <c r="C8509" s="234"/>
      <c r="D8509" s="234"/>
      <c r="E8509" s="237"/>
      <c r="F8509" s="234"/>
      <c r="G8509" s="234"/>
      <c r="H8509" s="234"/>
      <c r="J8509" s="239" t="s">
        <v>6330</v>
      </c>
    </row>
    <row r="8510">
      <c r="A8510" s="234"/>
      <c r="B8510" s="234"/>
      <c r="C8510" s="234"/>
      <c r="D8510" s="234"/>
      <c r="E8510" s="237"/>
      <c r="F8510" s="234"/>
      <c r="G8510" s="234"/>
      <c r="H8510" s="234"/>
      <c r="J8510" s="239" t="s">
        <v>6330</v>
      </c>
    </row>
    <row r="8511">
      <c r="A8511" s="234"/>
      <c r="B8511" s="234"/>
      <c r="C8511" s="234"/>
      <c r="D8511" s="234"/>
      <c r="E8511" s="237"/>
      <c r="F8511" s="234"/>
      <c r="G8511" s="234"/>
      <c r="H8511" s="234"/>
      <c r="J8511" s="239" t="s">
        <v>6330</v>
      </c>
    </row>
    <row r="8512">
      <c r="A8512" s="234"/>
      <c r="B8512" s="234"/>
      <c r="C8512" s="234"/>
      <c r="D8512" s="234"/>
      <c r="E8512" s="237"/>
      <c r="F8512" s="234"/>
      <c r="G8512" s="234"/>
      <c r="H8512" s="234"/>
      <c r="J8512" s="239" t="s">
        <v>6330</v>
      </c>
    </row>
    <row r="8513">
      <c r="A8513" s="234"/>
      <c r="B8513" s="234"/>
      <c r="C8513" s="234"/>
      <c r="D8513" s="234"/>
      <c r="E8513" s="237"/>
      <c r="F8513" s="234"/>
      <c r="G8513" s="234"/>
      <c r="H8513" s="234"/>
      <c r="J8513" s="239" t="s">
        <v>6330</v>
      </c>
    </row>
    <row r="8514">
      <c r="A8514" s="234"/>
      <c r="B8514" s="234"/>
      <c r="C8514" s="234"/>
      <c r="D8514" s="234"/>
      <c r="E8514" s="237"/>
      <c r="F8514" s="234"/>
      <c r="G8514" s="234"/>
      <c r="H8514" s="234"/>
      <c r="J8514" s="239" t="s">
        <v>6330</v>
      </c>
    </row>
    <row r="8515">
      <c r="A8515" s="234"/>
      <c r="B8515" s="234"/>
      <c r="C8515" s="234"/>
      <c r="D8515" s="234"/>
      <c r="E8515" s="237"/>
      <c r="F8515" s="234"/>
      <c r="G8515" s="234"/>
      <c r="H8515" s="234"/>
      <c r="J8515" s="239" t="s">
        <v>6330</v>
      </c>
    </row>
    <row r="8516">
      <c r="A8516" s="234"/>
      <c r="B8516" s="234"/>
      <c r="C8516" s="234"/>
      <c r="D8516" s="234"/>
      <c r="E8516" s="237"/>
      <c r="F8516" s="234"/>
      <c r="G8516" s="234"/>
      <c r="H8516" s="234"/>
      <c r="J8516" s="239" t="s">
        <v>6330</v>
      </c>
    </row>
    <row r="8517">
      <c r="A8517" s="234"/>
      <c r="B8517" s="234"/>
      <c r="C8517" s="234"/>
      <c r="D8517" s="234"/>
      <c r="E8517" s="237"/>
      <c r="F8517" s="234"/>
      <c r="G8517" s="234"/>
      <c r="H8517" s="234"/>
      <c r="J8517" s="239" t="s">
        <v>6330</v>
      </c>
    </row>
    <row r="8518">
      <c r="A8518" s="234"/>
      <c r="B8518" s="234"/>
      <c r="C8518" s="234"/>
      <c r="D8518" s="234"/>
      <c r="E8518" s="237"/>
      <c r="F8518" s="234"/>
      <c r="G8518" s="234"/>
      <c r="H8518" s="234"/>
      <c r="J8518" s="239" t="s">
        <v>6330</v>
      </c>
    </row>
    <row r="8519">
      <c r="A8519" s="234"/>
      <c r="B8519" s="234"/>
      <c r="C8519" s="234"/>
      <c r="D8519" s="234"/>
      <c r="E8519" s="237"/>
      <c r="F8519" s="234"/>
      <c r="G8519" s="234"/>
      <c r="H8519" s="234"/>
      <c r="J8519" s="239" t="s">
        <v>6330</v>
      </c>
    </row>
    <row r="8520">
      <c r="A8520" s="234"/>
      <c r="B8520" s="234"/>
      <c r="C8520" s="234"/>
      <c r="D8520" s="234"/>
      <c r="E8520" s="237"/>
      <c r="F8520" s="234"/>
      <c r="G8520" s="234"/>
      <c r="H8520" s="234"/>
      <c r="J8520" s="239" t="s">
        <v>6330</v>
      </c>
    </row>
    <row r="8521">
      <c r="A8521" s="234"/>
      <c r="B8521" s="234"/>
      <c r="C8521" s="234"/>
      <c r="D8521" s="234"/>
      <c r="E8521" s="237"/>
      <c r="F8521" s="234"/>
      <c r="G8521" s="234"/>
      <c r="H8521" s="234"/>
      <c r="J8521" s="239" t="s">
        <v>6330</v>
      </c>
    </row>
    <row r="8522">
      <c r="A8522" s="234"/>
      <c r="B8522" s="234"/>
      <c r="C8522" s="234"/>
      <c r="D8522" s="234"/>
      <c r="E8522" s="237"/>
      <c r="F8522" s="234"/>
      <c r="G8522" s="234"/>
      <c r="H8522" s="234"/>
      <c r="J8522" s="239" t="s">
        <v>6330</v>
      </c>
    </row>
    <row r="8523">
      <c r="A8523" s="234"/>
      <c r="B8523" s="234"/>
      <c r="C8523" s="234"/>
      <c r="D8523" s="234"/>
      <c r="E8523" s="237"/>
      <c r="F8523" s="234"/>
      <c r="G8523" s="234"/>
      <c r="H8523" s="234"/>
      <c r="J8523" s="239" t="s">
        <v>6330</v>
      </c>
    </row>
    <row r="8524">
      <c r="A8524" s="234"/>
      <c r="B8524" s="234"/>
      <c r="C8524" s="234"/>
      <c r="D8524" s="234"/>
      <c r="E8524" s="237"/>
      <c r="F8524" s="234"/>
      <c r="G8524" s="234"/>
      <c r="H8524" s="234"/>
      <c r="J8524" s="239" t="s">
        <v>6330</v>
      </c>
    </row>
    <row r="8525">
      <c r="A8525" s="234"/>
      <c r="B8525" s="234"/>
      <c r="C8525" s="234"/>
      <c r="D8525" s="234"/>
      <c r="E8525" s="237"/>
      <c r="F8525" s="234"/>
      <c r="G8525" s="234"/>
      <c r="H8525" s="234"/>
      <c r="J8525" s="239" t="s">
        <v>6330</v>
      </c>
    </row>
    <row r="8526">
      <c r="A8526" s="234"/>
      <c r="B8526" s="234"/>
      <c r="C8526" s="234"/>
      <c r="D8526" s="234"/>
      <c r="E8526" s="237"/>
      <c r="F8526" s="234"/>
      <c r="G8526" s="234"/>
      <c r="H8526" s="234"/>
      <c r="J8526" s="239" t="s">
        <v>6330</v>
      </c>
    </row>
    <row r="8527">
      <c r="A8527" s="234"/>
      <c r="B8527" s="234"/>
      <c r="C8527" s="234"/>
      <c r="D8527" s="234"/>
      <c r="E8527" s="237"/>
      <c r="F8527" s="234"/>
      <c r="G8527" s="234"/>
      <c r="H8527" s="234"/>
      <c r="J8527" s="239" t="s">
        <v>6330</v>
      </c>
    </row>
    <row r="8528">
      <c r="A8528" s="234"/>
      <c r="B8528" s="234"/>
      <c r="C8528" s="234"/>
      <c r="D8528" s="234"/>
      <c r="E8528" s="237"/>
      <c r="F8528" s="234"/>
      <c r="G8528" s="234"/>
      <c r="H8528" s="234"/>
      <c r="J8528" s="239" t="s">
        <v>6330</v>
      </c>
    </row>
    <row r="8529">
      <c r="A8529" s="234"/>
      <c r="B8529" s="234"/>
      <c r="C8529" s="234"/>
      <c r="D8529" s="234"/>
      <c r="E8529" s="237"/>
      <c r="F8529" s="234"/>
      <c r="G8529" s="234"/>
      <c r="H8529" s="234"/>
      <c r="J8529" s="239" t="s">
        <v>6330</v>
      </c>
    </row>
    <row r="8530">
      <c r="A8530" s="234"/>
      <c r="B8530" s="234"/>
      <c r="C8530" s="234"/>
      <c r="D8530" s="234"/>
      <c r="E8530" s="237"/>
      <c r="F8530" s="234"/>
      <c r="G8530" s="234"/>
      <c r="H8530" s="234"/>
      <c r="J8530" s="239" t="s">
        <v>6330</v>
      </c>
    </row>
    <row r="8531">
      <c r="A8531" s="234"/>
      <c r="B8531" s="234"/>
      <c r="C8531" s="234"/>
      <c r="D8531" s="234"/>
      <c r="E8531" s="237"/>
      <c r="F8531" s="234"/>
      <c r="G8531" s="234"/>
      <c r="H8531" s="234"/>
      <c r="J8531" s="239" t="s">
        <v>6330</v>
      </c>
    </row>
    <row r="8532">
      <c r="A8532" s="234"/>
      <c r="B8532" s="234"/>
      <c r="C8532" s="234"/>
      <c r="D8532" s="234"/>
      <c r="E8532" s="237"/>
      <c r="F8532" s="234"/>
      <c r="G8532" s="234"/>
      <c r="H8532" s="234"/>
      <c r="J8532" s="239" t="s">
        <v>6330</v>
      </c>
    </row>
    <row r="8533">
      <c r="A8533" s="234"/>
      <c r="B8533" s="234"/>
      <c r="C8533" s="234"/>
      <c r="D8533" s="234"/>
      <c r="E8533" s="237"/>
      <c r="F8533" s="234"/>
      <c r="G8533" s="234"/>
      <c r="H8533" s="234"/>
      <c r="J8533" s="239" t="s">
        <v>6330</v>
      </c>
    </row>
    <row r="8534">
      <c r="A8534" s="234"/>
      <c r="B8534" s="234"/>
      <c r="C8534" s="234"/>
      <c r="D8534" s="234"/>
      <c r="E8534" s="237"/>
      <c r="F8534" s="234"/>
      <c r="G8534" s="234"/>
      <c r="H8534" s="234"/>
      <c r="J8534" s="239" t="s">
        <v>6330</v>
      </c>
    </row>
    <row r="8535">
      <c r="A8535" s="234"/>
      <c r="B8535" s="234"/>
      <c r="C8535" s="234"/>
      <c r="D8535" s="234"/>
      <c r="E8535" s="237"/>
      <c r="F8535" s="234"/>
      <c r="G8535" s="234"/>
      <c r="H8535" s="234"/>
      <c r="J8535" s="239" t="s">
        <v>6330</v>
      </c>
    </row>
    <row r="8536">
      <c r="A8536" s="234"/>
      <c r="B8536" s="234"/>
      <c r="C8536" s="234"/>
      <c r="D8536" s="234"/>
      <c r="E8536" s="237"/>
      <c r="F8536" s="234"/>
      <c r="G8536" s="234"/>
      <c r="H8536" s="234"/>
      <c r="J8536" s="239" t="s">
        <v>6330</v>
      </c>
    </row>
    <row r="8537">
      <c r="A8537" s="234"/>
      <c r="B8537" s="234"/>
      <c r="C8537" s="234"/>
      <c r="D8537" s="234"/>
      <c r="E8537" s="237"/>
      <c r="F8537" s="234"/>
      <c r="G8537" s="234"/>
      <c r="H8537" s="234"/>
      <c r="J8537" s="239" t="s">
        <v>6330</v>
      </c>
    </row>
    <row r="8538">
      <c r="A8538" s="234"/>
      <c r="B8538" s="234"/>
      <c r="C8538" s="234"/>
      <c r="D8538" s="234"/>
      <c r="E8538" s="237"/>
      <c r="F8538" s="234"/>
      <c r="G8538" s="234"/>
      <c r="H8538" s="234"/>
      <c r="J8538" s="239" t="s">
        <v>6330</v>
      </c>
    </row>
    <row r="8539">
      <c r="A8539" s="234"/>
      <c r="B8539" s="234"/>
      <c r="C8539" s="234"/>
      <c r="D8539" s="234"/>
      <c r="E8539" s="237"/>
      <c r="F8539" s="234"/>
      <c r="G8539" s="234"/>
      <c r="H8539" s="234"/>
      <c r="J8539" s="239" t="s">
        <v>6330</v>
      </c>
    </row>
    <row r="8540">
      <c r="A8540" s="234"/>
      <c r="B8540" s="234"/>
      <c r="C8540" s="234"/>
      <c r="D8540" s="234"/>
      <c r="E8540" s="237"/>
      <c r="F8540" s="234"/>
      <c r="G8540" s="234"/>
      <c r="H8540" s="234"/>
      <c r="J8540" s="239" t="s">
        <v>6330</v>
      </c>
    </row>
    <row r="8541">
      <c r="A8541" s="234"/>
      <c r="B8541" s="234"/>
      <c r="C8541" s="234"/>
      <c r="D8541" s="234"/>
      <c r="E8541" s="237"/>
      <c r="F8541" s="234"/>
      <c r="G8541" s="234"/>
      <c r="H8541" s="234"/>
      <c r="J8541" s="239" t="s">
        <v>6330</v>
      </c>
    </row>
    <row r="8542">
      <c r="A8542" s="234"/>
      <c r="B8542" s="234"/>
      <c r="C8542" s="234"/>
      <c r="D8542" s="234"/>
      <c r="E8542" s="237"/>
      <c r="F8542" s="234"/>
      <c r="G8542" s="234"/>
      <c r="H8542" s="234"/>
      <c r="J8542" s="239" t="s">
        <v>6330</v>
      </c>
    </row>
    <row r="8543">
      <c r="A8543" s="234"/>
      <c r="B8543" s="234"/>
      <c r="C8543" s="234"/>
      <c r="D8543" s="234"/>
      <c r="E8543" s="237"/>
      <c r="F8543" s="234"/>
      <c r="G8543" s="234"/>
      <c r="H8543" s="234"/>
      <c r="J8543" s="239" t="s">
        <v>6330</v>
      </c>
    </row>
    <row r="8544">
      <c r="A8544" s="234"/>
      <c r="B8544" s="234"/>
      <c r="C8544" s="234"/>
      <c r="D8544" s="234"/>
      <c r="E8544" s="237"/>
      <c r="F8544" s="234"/>
      <c r="G8544" s="234"/>
      <c r="H8544" s="234"/>
      <c r="J8544" s="239" t="s">
        <v>6330</v>
      </c>
    </row>
    <row r="8545">
      <c r="A8545" s="234"/>
      <c r="B8545" s="234"/>
      <c r="C8545" s="234"/>
      <c r="D8545" s="234"/>
      <c r="E8545" s="237"/>
      <c r="F8545" s="234"/>
      <c r="G8545" s="234"/>
      <c r="H8545" s="234"/>
      <c r="J8545" s="239" t="s">
        <v>6330</v>
      </c>
    </row>
    <row r="8546">
      <c r="A8546" s="234"/>
      <c r="B8546" s="234"/>
      <c r="C8546" s="234"/>
      <c r="D8546" s="234"/>
      <c r="E8546" s="237"/>
      <c r="F8546" s="234"/>
      <c r="G8546" s="234"/>
      <c r="H8546" s="234"/>
      <c r="J8546" s="239" t="s">
        <v>6330</v>
      </c>
    </row>
    <row r="8547">
      <c r="A8547" s="234"/>
      <c r="B8547" s="234"/>
      <c r="C8547" s="234"/>
      <c r="D8547" s="234"/>
      <c r="E8547" s="237"/>
      <c r="F8547" s="234"/>
      <c r="G8547" s="234"/>
      <c r="H8547" s="234"/>
      <c r="J8547" s="239" t="s">
        <v>6330</v>
      </c>
    </row>
    <row r="8548">
      <c r="A8548" s="234"/>
      <c r="B8548" s="234"/>
      <c r="C8548" s="234"/>
      <c r="D8548" s="234"/>
      <c r="E8548" s="237"/>
      <c r="F8548" s="234"/>
      <c r="G8548" s="234"/>
      <c r="H8548" s="234"/>
      <c r="J8548" s="239" t="s">
        <v>6330</v>
      </c>
    </row>
    <row r="8549">
      <c r="A8549" s="234"/>
      <c r="B8549" s="234"/>
      <c r="C8549" s="234"/>
      <c r="D8549" s="234"/>
      <c r="E8549" s="237"/>
      <c r="F8549" s="234"/>
      <c r="G8549" s="234"/>
      <c r="H8549" s="234"/>
      <c r="J8549" s="239" t="s">
        <v>6330</v>
      </c>
    </row>
    <row r="8550">
      <c r="A8550" s="234"/>
      <c r="B8550" s="234"/>
      <c r="C8550" s="234"/>
      <c r="D8550" s="234"/>
      <c r="E8550" s="237"/>
      <c r="F8550" s="234"/>
      <c r="G8550" s="234"/>
      <c r="H8550" s="234"/>
      <c r="J8550" s="239" t="s">
        <v>6330</v>
      </c>
    </row>
    <row r="8551">
      <c r="A8551" s="234"/>
      <c r="B8551" s="234"/>
      <c r="C8551" s="234"/>
      <c r="D8551" s="234"/>
      <c r="E8551" s="237"/>
      <c r="F8551" s="234"/>
      <c r="G8551" s="234"/>
      <c r="H8551" s="234"/>
      <c r="J8551" s="239" t="s">
        <v>6330</v>
      </c>
    </row>
    <row r="8552">
      <c r="A8552" s="234"/>
      <c r="B8552" s="234"/>
      <c r="C8552" s="234"/>
      <c r="D8552" s="234"/>
      <c r="E8552" s="237"/>
      <c r="F8552" s="234"/>
      <c r="G8552" s="234"/>
      <c r="H8552" s="234"/>
      <c r="J8552" s="239" t="s">
        <v>6330</v>
      </c>
    </row>
    <row r="8553">
      <c r="A8553" s="234"/>
      <c r="B8553" s="234"/>
      <c r="C8553" s="234"/>
      <c r="D8553" s="234"/>
      <c r="E8553" s="237"/>
      <c r="F8553" s="234"/>
      <c r="G8553" s="234"/>
      <c r="H8553" s="234"/>
      <c r="J8553" s="239" t="s">
        <v>6330</v>
      </c>
    </row>
    <row r="8554">
      <c r="A8554" s="234"/>
      <c r="B8554" s="234"/>
      <c r="C8554" s="234"/>
      <c r="D8554" s="234"/>
      <c r="E8554" s="237"/>
      <c r="F8554" s="234"/>
      <c r="G8554" s="234"/>
      <c r="H8554" s="234"/>
      <c r="J8554" s="239" t="s">
        <v>6330</v>
      </c>
    </row>
    <row r="8555">
      <c r="A8555" s="234"/>
      <c r="B8555" s="234"/>
      <c r="C8555" s="234"/>
      <c r="D8555" s="234"/>
      <c r="E8555" s="237"/>
      <c r="F8555" s="234"/>
      <c r="G8555" s="234"/>
      <c r="H8555" s="234"/>
      <c r="J8555" s="239" t="s">
        <v>6330</v>
      </c>
    </row>
    <row r="8556">
      <c r="A8556" s="234"/>
      <c r="B8556" s="234"/>
      <c r="C8556" s="234"/>
      <c r="D8556" s="234"/>
      <c r="E8556" s="237"/>
      <c r="F8556" s="234"/>
      <c r="G8556" s="234"/>
      <c r="H8556" s="234"/>
      <c r="J8556" s="239" t="s">
        <v>6330</v>
      </c>
    </row>
    <row r="8557">
      <c r="A8557" s="234"/>
      <c r="B8557" s="234"/>
      <c r="C8557" s="234"/>
      <c r="D8557" s="234"/>
      <c r="E8557" s="237"/>
      <c r="F8557" s="234"/>
      <c r="G8557" s="234"/>
      <c r="H8557" s="234"/>
      <c r="J8557" s="239" t="s">
        <v>6330</v>
      </c>
    </row>
    <row r="8558">
      <c r="A8558" s="234"/>
      <c r="B8558" s="234"/>
      <c r="C8558" s="234"/>
      <c r="D8558" s="234"/>
      <c r="E8558" s="237"/>
      <c r="F8558" s="234"/>
      <c r="G8558" s="234"/>
      <c r="H8558" s="234"/>
      <c r="J8558" s="239" t="s">
        <v>6330</v>
      </c>
    </row>
    <row r="8559">
      <c r="A8559" s="234"/>
      <c r="B8559" s="234"/>
      <c r="C8559" s="234"/>
      <c r="D8559" s="234"/>
      <c r="E8559" s="237"/>
      <c r="F8559" s="234"/>
      <c r="G8559" s="234"/>
      <c r="H8559" s="234"/>
      <c r="J8559" s="239" t="s">
        <v>6330</v>
      </c>
    </row>
    <row r="8560">
      <c r="A8560" s="234"/>
      <c r="B8560" s="234"/>
      <c r="C8560" s="234"/>
      <c r="D8560" s="234"/>
      <c r="E8560" s="237"/>
      <c r="F8560" s="234"/>
      <c r="G8560" s="234"/>
      <c r="H8560" s="234"/>
      <c r="J8560" s="239" t="s">
        <v>6330</v>
      </c>
    </row>
    <row r="8561">
      <c r="A8561" s="234"/>
      <c r="B8561" s="234"/>
      <c r="C8561" s="234"/>
      <c r="D8561" s="234"/>
      <c r="E8561" s="237"/>
      <c r="F8561" s="234"/>
      <c r="G8561" s="234"/>
      <c r="H8561" s="234"/>
      <c r="J8561" s="239" t="s">
        <v>6330</v>
      </c>
    </row>
    <row r="8562">
      <c r="A8562" s="234"/>
      <c r="B8562" s="234"/>
      <c r="C8562" s="234"/>
      <c r="D8562" s="234"/>
      <c r="E8562" s="237"/>
      <c r="F8562" s="234"/>
      <c r="G8562" s="234"/>
      <c r="H8562" s="234"/>
      <c r="J8562" s="239" t="s">
        <v>6330</v>
      </c>
    </row>
    <row r="8563">
      <c r="A8563" s="234"/>
      <c r="B8563" s="234"/>
      <c r="C8563" s="234"/>
      <c r="D8563" s="234"/>
      <c r="E8563" s="237"/>
      <c r="F8563" s="234"/>
      <c r="G8563" s="234"/>
      <c r="H8563" s="234"/>
      <c r="J8563" s="239" t="s">
        <v>6330</v>
      </c>
    </row>
    <row r="8564">
      <c r="A8564" s="234"/>
      <c r="B8564" s="234"/>
      <c r="C8564" s="234"/>
      <c r="D8564" s="234"/>
      <c r="E8564" s="237"/>
      <c r="F8564" s="234"/>
      <c r="G8564" s="234"/>
      <c r="H8564" s="234"/>
      <c r="J8564" s="239" t="s">
        <v>6330</v>
      </c>
    </row>
    <row r="8565">
      <c r="A8565" s="234"/>
      <c r="B8565" s="234"/>
      <c r="C8565" s="234"/>
      <c r="D8565" s="234"/>
      <c r="E8565" s="237"/>
      <c r="F8565" s="234"/>
      <c r="G8565" s="234"/>
      <c r="H8565" s="234"/>
      <c r="J8565" s="239" t="s">
        <v>6330</v>
      </c>
    </row>
    <row r="8566">
      <c r="A8566" s="234"/>
      <c r="B8566" s="234"/>
      <c r="C8566" s="234"/>
      <c r="D8566" s="234"/>
      <c r="E8566" s="237"/>
      <c r="F8566" s="234"/>
      <c r="G8566" s="234"/>
      <c r="H8566" s="234"/>
      <c r="J8566" s="239" t="s">
        <v>6330</v>
      </c>
    </row>
    <row r="8567">
      <c r="A8567" s="234"/>
      <c r="B8567" s="234"/>
      <c r="C8567" s="234"/>
      <c r="D8567" s="234"/>
      <c r="E8567" s="237"/>
      <c r="F8567" s="234"/>
      <c r="G8567" s="234"/>
      <c r="H8567" s="234"/>
      <c r="J8567" s="239" t="s">
        <v>6330</v>
      </c>
    </row>
    <row r="8568">
      <c r="A8568" s="234"/>
      <c r="B8568" s="234"/>
      <c r="C8568" s="234"/>
      <c r="D8568" s="234"/>
      <c r="E8568" s="237"/>
      <c r="F8568" s="234"/>
      <c r="G8568" s="234"/>
      <c r="H8568" s="234"/>
      <c r="J8568" s="239" t="s">
        <v>6330</v>
      </c>
    </row>
    <row r="8569">
      <c r="A8569" s="234"/>
      <c r="B8569" s="234"/>
      <c r="C8569" s="234"/>
      <c r="D8569" s="234"/>
      <c r="E8569" s="237"/>
      <c r="F8569" s="234"/>
      <c r="G8569" s="234"/>
      <c r="H8569" s="234"/>
      <c r="J8569" s="239" t="s">
        <v>6330</v>
      </c>
    </row>
    <row r="8570">
      <c r="A8570" s="234"/>
      <c r="B8570" s="234"/>
      <c r="C8570" s="234"/>
      <c r="D8570" s="234"/>
      <c r="E8570" s="237"/>
      <c r="F8570" s="234"/>
      <c r="G8570" s="234"/>
      <c r="H8570" s="234"/>
      <c r="J8570" s="239" t="s">
        <v>6330</v>
      </c>
    </row>
    <row r="8571">
      <c r="A8571" s="234"/>
      <c r="B8571" s="234"/>
      <c r="C8571" s="234"/>
      <c r="D8571" s="234"/>
      <c r="E8571" s="237"/>
      <c r="F8571" s="234"/>
      <c r="G8571" s="234"/>
      <c r="H8571" s="234"/>
      <c r="J8571" s="239" t="s">
        <v>6330</v>
      </c>
    </row>
    <row r="8572">
      <c r="A8572" s="234"/>
      <c r="B8572" s="234"/>
      <c r="C8572" s="234"/>
      <c r="D8572" s="234"/>
      <c r="E8572" s="237"/>
      <c r="F8572" s="234"/>
      <c r="G8572" s="234"/>
      <c r="H8572" s="234"/>
      <c r="J8572" s="239" t="s">
        <v>6330</v>
      </c>
    </row>
    <row r="8573">
      <c r="A8573" s="234"/>
      <c r="B8573" s="234"/>
      <c r="C8573" s="234"/>
      <c r="D8573" s="234"/>
      <c r="E8573" s="237"/>
      <c r="F8573" s="234"/>
      <c r="G8573" s="234"/>
      <c r="H8573" s="234"/>
      <c r="J8573" s="239" t="s">
        <v>6330</v>
      </c>
    </row>
    <row r="8574">
      <c r="A8574" s="234"/>
      <c r="B8574" s="234"/>
      <c r="C8574" s="234"/>
      <c r="D8574" s="234"/>
      <c r="E8574" s="237"/>
      <c r="F8574" s="234"/>
      <c r="G8574" s="234"/>
      <c r="H8574" s="234"/>
      <c r="J8574" s="239" t="s">
        <v>6330</v>
      </c>
    </row>
    <row r="8575">
      <c r="A8575" s="234"/>
      <c r="B8575" s="234"/>
      <c r="C8575" s="234"/>
      <c r="D8575" s="234"/>
      <c r="E8575" s="237"/>
      <c r="F8575" s="234"/>
      <c r="G8575" s="234"/>
      <c r="H8575" s="234"/>
      <c r="J8575" s="239" t="s">
        <v>6330</v>
      </c>
    </row>
    <row r="8576">
      <c r="A8576" s="234"/>
      <c r="B8576" s="234"/>
      <c r="C8576" s="234"/>
      <c r="D8576" s="234"/>
      <c r="E8576" s="237"/>
      <c r="F8576" s="234"/>
      <c r="G8576" s="234"/>
      <c r="H8576" s="234"/>
      <c r="J8576" s="239" t="s">
        <v>6330</v>
      </c>
    </row>
    <row r="8577">
      <c r="A8577" s="234"/>
      <c r="B8577" s="234"/>
      <c r="C8577" s="234"/>
      <c r="D8577" s="234"/>
      <c r="E8577" s="237"/>
      <c r="F8577" s="234"/>
      <c r="G8577" s="234"/>
      <c r="H8577" s="234"/>
      <c r="J8577" s="239" t="s">
        <v>6330</v>
      </c>
    </row>
    <row r="8578">
      <c r="A8578" s="234"/>
      <c r="B8578" s="234"/>
      <c r="C8578" s="234"/>
      <c r="D8578" s="234"/>
      <c r="E8578" s="237"/>
      <c r="F8578" s="234"/>
      <c r="G8578" s="234"/>
      <c r="H8578" s="234"/>
      <c r="J8578" s="239" t="s">
        <v>6330</v>
      </c>
    </row>
    <row r="8579">
      <c r="A8579" s="234"/>
      <c r="B8579" s="234"/>
      <c r="C8579" s="234"/>
      <c r="D8579" s="234"/>
      <c r="E8579" s="237"/>
      <c r="F8579" s="234"/>
      <c r="G8579" s="234"/>
      <c r="H8579" s="234"/>
      <c r="J8579" s="239" t="s">
        <v>6330</v>
      </c>
    </row>
    <row r="8580">
      <c r="A8580" s="234"/>
      <c r="B8580" s="234"/>
      <c r="C8580" s="234"/>
      <c r="D8580" s="234"/>
      <c r="E8580" s="237"/>
      <c r="F8580" s="234"/>
      <c r="G8580" s="234"/>
      <c r="H8580" s="234"/>
      <c r="J8580" s="239" t="s">
        <v>6330</v>
      </c>
    </row>
    <row r="8581">
      <c r="A8581" s="234"/>
      <c r="B8581" s="234"/>
      <c r="C8581" s="234"/>
      <c r="D8581" s="234"/>
      <c r="E8581" s="237"/>
      <c r="F8581" s="234"/>
      <c r="G8581" s="234"/>
      <c r="H8581" s="234"/>
      <c r="J8581" s="239" t="s">
        <v>6330</v>
      </c>
    </row>
    <row r="8582">
      <c r="A8582" s="234"/>
      <c r="B8582" s="234"/>
      <c r="C8582" s="234"/>
      <c r="D8582" s="234"/>
      <c r="E8582" s="237"/>
      <c r="F8582" s="234"/>
      <c r="G8582" s="234"/>
      <c r="H8582" s="234"/>
      <c r="J8582" s="239" t="s">
        <v>6330</v>
      </c>
    </row>
    <row r="8583">
      <c r="A8583" s="234"/>
      <c r="B8583" s="234"/>
      <c r="C8583" s="234"/>
      <c r="D8583" s="234"/>
      <c r="E8583" s="237"/>
      <c r="F8583" s="234"/>
      <c r="G8583" s="234"/>
      <c r="H8583" s="234"/>
      <c r="J8583" s="239" t="s">
        <v>6330</v>
      </c>
    </row>
    <row r="8584">
      <c r="A8584" s="234"/>
      <c r="B8584" s="234"/>
      <c r="C8584" s="234"/>
      <c r="D8584" s="234"/>
      <c r="E8584" s="237"/>
      <c r="F8584" s="234"/>
      <c r="G8584" s="234"/>
      <c r="H8584" s="234"/>
      <c r="J8584" s="239" t="s">
        <v>6330</v>
      </c>
    </row>
    <row r="8585">
      <c r="A8585" s="234"/>
      <c r="B8585" s="234"/>
      <c r="C8585" s="234"/>
      <c r="D8585" s="234"/>
      <c r="E8585" s="237"/>
      <c r="F8585" s="234"/>
      <c r="G8585" s="234"/>
      <c r="H8585" s="234"/>
      <c r="J8585" s="239" t="s">
        <v>6330</v>
      </c>
    </row>
    <row r="8586">
      <c r="A8586" s="234"/>
      <c r="B8586" s="234"/>
      <c r="C8586" s="234"/>
      <c r="D8586" s="234"/>
      <c r="E8586" s="237"/>
      <c r="F8586" s="234"/>
      <c r="G8586" s="234"/>
      <c r="H8586" s="234"/>
      <c r="J8586" s="239" t="s">
        <v>6330</v>
      </c>
    </row>
    <row r="8587">
      <c r="A8587" s="234"/>
      <c r="B8587" s="234"/>
      <c r="C8587" s="234"/>
      <c r="D8587" s="234"/>
      <c r="E8587" s="237"/>
      <c r="F8587" s="234"/>
      <c r="G8587" s="234"/>
      <c r="H8587" s="234"/>
      <c r="J8587" s="239" t="s">
        <v>6330</v>
      </c>
    </row>
    <row r="8588">
      <c r="A8588" s="234"/>
      <c r="B8588" s="234"/>
      <c r="C8588" s="234"/>
      <c r="D8588" s="234"/>
      <c r="E8588" s="237"/>
      <c r="F8588" s="234"/>
      <c r="G8588" s="234"/>
      <c r="H8588" s="234"/>
      <c r="J8588" s="239" t="s">
        <v>6330</v>
      </c>
    </row>
    <row r="8589">
      <c r="A8589" s="234"/>
      <c r="B8589" s="234"/>
      <c r="C8589" s="234"/>
      <c r="D8589" s="234"/>
      <c r="E8589" s="237"/>
      <c r="F8589" s="234"/>
      <c r="G8589" s="234"/>
      <c r="H8589" s="234"/>
      <c r="J8589" s="239" t="s">
        <v>6330</v>
      </c>
    </row>
    <row r="8590">
      <c r="A8590" s="234"/>
      <c r="B8590" s="234"/>
      <c r="C8590" s="234"/>
      <c r="D8590" s="234"/>
      <c r="E8590" s="237"/>
      <c r="F8590" s="234"/>
      <c r="G8590" s="234"/>
      <c r="H8590" s="234"/>
      <c r="J8590" s="239" t="s">
        <v>6330</v>
      </c>
    </row>
    <row r="8591">
      <c r="A8591" s="234"/>
      <c r="B8591" s="234"/>
      <c r="C8591" s="234"/>
      <c r="D8591" s="234"/>
      <c r="E8591" s="237"/>
      <c r="F8591" s="234"/>
      <c r="G8591" s="234"/>
      <c r="H8591" s="234"/>
      <c r="J8591" s="239" t="s">
        <v>6330</v>
      </c>
    </row>
    <row r="8592">
      <c r="A8592" s="234"/>
      <c r="B8592" s="234"/>
      <c r="C8592" s="234"/>
      <c r="D8592" s="234"/>
      <c r="E8592" s="237"/>
      <c r="F8592" s="234"/>
      <c r="G8592" s="234"/>
      <c r="H8592" s="234"/>
      <c r="J8592" s="239" t="s">
        <v>6330</v>
      </c>
    </row>
    <row r="8593">
      <c r="A8593" s="234"/>
      <c r="B8593" s="234"/>
      <c r="C8593" s="234"/>
      <c r="D8593" s="234"/>
      <c r="E8593" s="237"/>
      <c r="F8593" s="234"/>
      <c r="G8593" s="234"/>
      <c r="H8593" s="234"/>
      <c r="J8593" s="239" t="s">
        <v>6330</v>
      </c>
    </row>
    <row r="8594">
      <c r="A8594" s="234"/>
      <c r="B8594" s="234"/>
      <c r="C8594" s="234"/>
      <c r="D8594" s="234"/>
      <c r="E8594" s="237"/>
      <c r="F8594" s="234"/>
      <c r="G8594" s="234"/>
      <c r="H8594" s="234"/>
      <c r="J8594" s="239" t="s">
        <v>6330</v>
      </c>
    </row>
    <row r="8595">
      <c r="A8595" s="234"/>
      <c r="B8595" s="234"/>
      <c r="C8595" s="234"/>
      <c r="D8595" s="234"/>
      <c r="E8595" s="237"/>
      <c r="F8595" s="234"/>
      <c r="G8595" s="234"/>
      <c r="H8595" s="234"/>
      <c r="J8595" s="239" t="s">
        <v>6330</v>
      </c>
    </row>
    <row r="8596">
      <c r="A8596" s="234"/>
      <c r="B8596" s="234"/>
      <c r="C8596" s="234"/>
      <c r="D8596" s="234"/>
      <c r="E8596" s="237"/>
      <c r="F8596" s="234"/>
      <c r="G8596" s="234"/>
      <c r="H8596" s="234"/>
      <c r="J8596" s="239" t="s">
        <v>6330</v>
      </c>
    </row>
    <row r="8597">
      <c r="A8597" s="234"/>
      <c r="B8597" s="234"/>
      <c r="C8597" s="234"/>
      <c r="D8597" s="234"/>
      <c r="E8597" s="237"/>
      <c r="F8597" s="234"/>
      <c r="G8597" s="234"/>
      <c r="H8597" s="234"/>
      <c r="J8597" s="239" t="s">
        <v>6330</v>
      </c>
    </row>
    <row r="8598">
      <c r="A8598" s="234"/>
      <c r="B8598" s="234"/>
      <c r="C8598" s="234"/>
      <c r="D8598" s="234"/>
      <c r="E8598" s="237"/>
      <c r="F8598" s="234"/>
      <c r="G8598" s="234"/>
      <c r="H8598" s="234"/>
      <c r="J8598" s="239" t="s">
        <v>6330</v>
      </c>
    </row>
    <row r="8599">
      <c r="A8599" s="234"/>
      <c r="B8599" s="234"/>
      <c r="C8599" s="234"/>
      <c r="D8599" s="234"/>
      <c r="E8599" s="237"/>
      <c r="F8599" s="234"/>
      <c r="G8599" s="234"/>
      <c r="H8599" s="234"/>
      <c r="J8599" s="239" t="s">
        <v>6330</v>
      </c>
    </row>
    <row r="8600">
      <c r="A8600" s="234"/>
      <c r="B8600" s="234"/>
      <c r="C8600" s="234"/>
      <c r="D8600" s="234"/>
      <c r="E8600" s="237"/>
      <c r="F8600" s="234"/>
      <c r="G8600" s="234"/>
      <c r="H8600" s="234"/>
      <c r="J8600" s="239" t="s">
        <v>6330</v>
      </c>
    </row>
    <row r="8601">
      <c r="A8601" s="234"/>
      <c r="B8601" s="234"/>
      <c r="C8601" s="234"/>
      <c r="D8601" s="234"/>
      <c r="E8601" s="237"/>
      <c r="F8601" s="234"/>
      <c r="G8601" s="234"/>
      <c r="H8601" s="234"/>
      <c r="J8601" s="239" t="s">
        <v>6330</v>
      </c>
    </row>
    <row r="8602">
      <c r="A8602" s="234"/>
      <c r="B8602" s="234"/>
      <c r="C8602" s="234"/>
      <c r="D8602" s="234"/>
      <c r="E8602" s="237"/>
      <c r="F8602" s="234"/>
      <c r="G8602" s="234"/>
      <c r="H8602" s="234"/>
      <c r="J8602" s="239" t="s">
        <v>6330</v>
      </c>
    </row>
    <row r="8603">
      <c r="A8603" s="234"/>
      <c r="B8603" s="234"/>
      <c r="C8603" s="234"/>
      <c r="D8603" s="234"/>
      <c r="E8603" s="237"/>
      <c r="F8603" s="234"/>
      <c r="G8603" s="234"/>
      <c r="H8603" s="234"/>
      <c r="J8603" s="239" t="s">
        <v>6330</v>
      </c>
    </row>
    <row r="8604">
      <c r="A8604" s="234"/>
      <c r="B8604" s="234"/>
      <c r="C8604" s="234"/>
      <c r="D8604" s="234"/>
      <c r="E8604" s="237"/>
      <c r="F8604" s="234"/>
      <c r="G8604" s="234"/>
      <c r="H8604" s="234"/>
      <c r="J8604" s="239" t="s">
        <v>6330</v>
      </c>
    </row>
    <row r="8605">
      <c r="A8605" s="234"/>
      <c r="B8605" s="234"/>
      <c r="C8605" s="234"/>
      <c r="D8605" s="234"/>
      <c r="E8605" s="237"/>
      <c r="F8605" s="234"/>
      <c r="G8605" s="234"/>
      <c r="H8605" s="234"/>
      <c r="J8605" s="239" t="s">
        <v>6330</v>
      </c>
    </row>
    <row r="8606">
      <c r="A8606" s="234"/>
      <c r="B8606" s="234"/>
      <c r="C8606" s="234"/>
      <c r="D8606" s="234"/>
      <c r="E8606" s="237"/>
      <c r="F8606" s="234"/>
      <c r="G8606" s="234"/>
      <c r="H8606" s="234"/>
      <c r="J8606" s="239" t="s">
        <v>6330</v>
      </c>
    </row>
    <row r="8607">
      <c r="A8607" s="234"/>
      <c r="B8607" s="234"/>
      <c r="C8607" s="234"/>
      <c r="D8607" s="234"/>
      <c r="E8607" s="237"/>
      <c r="F8607" s="234"/>
      <c r="G8607" s="234"/>
      <c r="H8607" s="234"/>
      <c r="J8607" s="239" t="s">
        <v>6330</v>
      </c>
    </row>
    <row r="8608">
      <c r="A8608" s="234"/>
      <c r="B8608" s="234"/>
      <c r="C8608" s="234"/>
      <c r="D8608" s="234"/>
      <c r="E8608" s="237"/>
      <c r="F8608" s="234"/>
      <c r="G8608" s="234"/>
      <c r="H8608" s="234"/>
      <c r="J8608" s="239" t="s">
        <v>6330</v>
      </c>
    </row>
    <row r="8609">
      <c r="A8609" s="234"/>
      <c r="B8609" s="234"/>
      <c r="C8609" s="234"/>
      <c r="D8609" s="234"/>
      <c r="E8609" s="237"/>
      <c r="F8609" s="234"/>
      <c r="G8609" s="234"/>
      <c r="H8609" s="234"/>
      <c r="J8609" s="239" t="s">
        <v>6330</v>
      </c>
    </row>
    <row r="8610">
      <c r="A8610" s="234"/>
      <c r="B8610" s="234"/>
      <c r="C8610" s="234"/>
      <c r="D8610" s="234"/>
      <c r="E8610" s="237"/>
      <c r="F8610" s="234"/>
      <c r="G8610" s="234"/>
      <c r="H8610" s="234"/>
      <c r="J8610" s="239" t="s">
        <v>6330</v>
      </c>
    </row>
    <row r="8611">
      <c r="A8611" s="234"/>
      <c r="B8611" s="234"/>
      <c r="C8611" s="234"/>
      <c r="D8611" s="234"/>
      <c r="E8611" s="237"/>
      <c r="F8611" s="234"/>
      <c r="G8611" s="234"/>
      <c r="H8611" s="234"/>
      <c r="J8611" s="239" t="s">
        <v>6330</v>
      </c>
    </row>
    <row r="8612">
      <c r="A8612" s="234"/>
      <c r="B8612" s="234"/>
      <c r="C8612" s="234"/>
      <c r="D8612" s="234"/>
      <c r="E8612" s="237"/>
      <c r="F8612" s="234"/>
      <c r="G8612" s="234"/>
      <c r="H8612" s="234"/>
      <c r="J8612" s="239" t="s">
        <v>6330</v>
      </c>
    </row>
    <row r="8613">
      <c r="A8613" s="234"/>
      <c r="B8613" s="234"/>
      <c r="C8613" s="234"/>
      <c r="D8613" s="234"/>
      <c r="E8613" s="237"/>
      <c r="F8613" s="234"/>
      <c r="G8613" s="234"/>
      <c r="H8613" s="234"/>
      <c r="J8613" s="239" t="s">
        <v>6330</v>
      </c>
    </row>
    <row r="8614">
      <c r="A8614" s="234"/>
      <c r="B8614" s="234"/>
      <c r="C8614" s="234"/>
      <c r="D8614" s="234"/>
      <c r="E8614" s="237"/>
      <c r="F8614" s="234"/>
      <c r="G8614" s="234"/>
      <c r="H8614" s="234"/>
      <c r="J8614" s="239" t="s">
        <v>6330</v>
      </c>
    </row>
    <row r="8615">
      <c r="A8615" s="234"/>
      <c r="B8615" s="234"/>
      <c r="C8615" s="234"/>
      <c r="D8615" s="234"/>
      <c r="E8615" s="237"/>
      <c r="F8615" s="234"/>
      <c r="G8615" s="234"/>
      <c r="H8615" s="234"/>
      <c r="J8615" s="239" t="s">
        <v>6330</v>
      </c>
    </row>
    <row r="8616">
      <c r="A8616" s="234"/>
      <c r="B8616" s="234"/>
      <c r="C8616" s="234"/>
      <c r="D8616" s="234"/>
      <c r="E8616" s="237"/>
      <c r="F8616" s="234"/>
      <c r="G8616" s="234"/>
      <c r="H8616" s="234"/>
      <c r="J8616" s="239" t="s">
        <v>6330</v>
      </c>
    </row>
    <row r="8617">
      <c r="A8617" s="234"/>
      <c r="B8617" s="234"/>
      <c r="C8617" s="234"/>
      <c r="D8617" s="234"/>
      <c r="E8617" s="237"/>
      <c r="F8617" s="234"/>
      <c r="G8617" s="234"/>
      <c r="H8617" s="234"/>
      <c r="J8617" s="239" t="s">
        <v>6330</v>
      </c>
    </row>
    <row r="8618">
      <c r="A8618" s="234"/>
      <c r="B8618" s="234"/>
      <c r="C8618" s="234"/>
      <c r="D8618" s="234"/>
      <c r="E8618" s="237"/>
      <c r="F8618" s="234"/>
      <c r="G8618" s="234"/>
      <c r="H8618" s="234"/>
      <c r="J8618" s="239" t="s">
        <v>6330</v>
      </c>
    </row>
    <row r="8619">
      <c r="A8619" s="234"/>
      <c r="B8619" s="234"/>
      <c r="C8619" s="234"/>
      <c r="D8619" s="234"/>
      <c r="E8619" s="237"/>
      <c r="F8619" s="234"/>
      <c r="G8619" s="234"/>
      <c r="H8619" s="234"/>
      <c r="J8619" s="239" t="s">
        <v>6330</v>
      </c>
    </row>
    <row r="8620">
      <c r="A8620" s="234"/>
      <c r="B8620" s="234"/>
      <c r="C8620" s="234"/>
      <c r="D8620" s="234"/>
      <c r="E8620" s="237"/>
      <c r="F8620" s="234"/>
      <c r="G8620" s="234"/>
      <c r="H8620" s="234"/>
      <c r="J8620" s="239" t="s">
        <v>6330</v>
      </c>
    </row>
    <row r="8621">
      <c r="A8621" s="234"/>
      <c r="B8621" s="234"/>
      <c r="C8621" s="234"/>
      <c r="D8621" s="234"/>
      <c r="E8621" s="237"/>
      <c r="F8621" s="234"/>
      <c r="G8621" s="234"/>
      <c r="H8621" s="234"/>
      <c r="J8621" s="239" t="s">
        <v>6330</v>
      </c>
    </row>
    <row r="8622">
      <c r="A8622" s="234"/>
      <c r="B8622" s="234"/>
      <c r="C8622" s="234"/>
      <c r="D8622" s="234"/>
      <c r="E8622" s="237"/>
      <c r="F8622" s="234"/>
      <c r="G8622" s="234"/>
      <c r="H8622" s="234"/>
      <c r="J8622" s="239" t="s">
        <v>6330</v>
      </c>
    </row>
    <row r="8623">
      <c r="A8623" s="234"/>
      <c r="B8623" s="234"/>
      <c r="C8623" s="234"/>
      <c r="D8623" s="234"/>
      <c r="E8623" s="237"/>
      <c r="F8623" s="234"/>
      <c r="G8623" s="234"/>
      <c r="H8623" s="234"/>
      <c r="J8623" s="239" t="s">
        <v>6330</v>
      </c>
    </row>
    <row r="8624">
      <c r="A8624" s="234"/>
      <c r="B8624" s="234"/>
      <c r="C8624" s="234"/>
      <c r="D8624" s="234"/>
      <c r="E8624" s="237"/>
      <c r="F8624" s="234"/>
      <c r="G8624" s="234"/>
      <c r="H8624" s="234"/>
      <c r="J8624" s="239" t="s">
        <v>6330</v>
      </c>
    </row>
    <row r="8625">
      <c r="A8625" s="234"/>
      <c r="B8625" s="234"/>
      <c r="C8625" s="234"/>
      <c r="D8625" s="234"/>
      <c r="E8625" s="237"/>
      <c r="F8625" s="234"/>
      <c r="G8625" s="234"/>
      <c r="H8625" s="234"/>
      <c r="J8625" s="239" t="s">
        <v>6330</v>
      </c>
    </row>
    <row r="8626">
      <c r="A8626" s="234"/>
      <c r="B8626" s="234"/>
      <c r="C8626" s="234"/>
      <c r="D8626" s="234"/>
      <c r="E8626" s="237"/>
      <c r="F8626" s="234"/>
      <c r="G8626" s="234"/>
      <c r="H8626" s="234"/>
      <c r="J8626" s="239" t="s">
        <v>6330</v>
      </c>
    </row>
    <row r="8627">
      <c r="A8627" s="234"/>
      <c r="B8627" s="234"/>
      <c r="C8627" s="234"/>
      <c r="D8627" s="234"/>
      <c r="E8627" s="237"/>
      <c r="F8627" s="234"/>
      <c r="G8627" s="234"/>
      <c r="H8627" s="234"/>
      <c r="J8627" s="239" t="s">
        <v>6330</v>
      </c>
    </row>
    <row r="8628">
      <c r="A8628" s="234"/>
      <c r="B8628" s="234"/>
      <c r="C8628" s="234"/>
      <c r="D8628" s="234"/>
      <c r="E8628" s="237"/>
      <c r="F8628" s="234"/>
      <c r="G8628" s="234"/>
      <c r="H8628" s="234"/>
      <c r="J8628" s="239" t="s">
        <v>6330</v>
      </c>
    </row>
    <row r="8629">
      <c r="A8629" s="234"/>
      <c r="B8629" s="234"/>
      <c r="C8629" s="234"/>
      <c r="D8629" s="234"/>
      <c r="E8629" s="237"/>
      <c r="F8629" s="234"/>
      <c r="G8629" s="234"/>
      <c r="H8629" s="234"/>
      <c r="J8629" s="239" t="s">
        <v>6330</v>
      </c>
    </row>
    <row r="8630">
      <c r="A8630" s="234"/>
      <c r="B8630" s="234"/>
      <c r="C8630" s="234"/>
      <c r="D8630" s="234"/>
      <c r="E8630" s="237"/>
      <c r="F8630" s="234"/>
      <c r="G8630" s="234"/>
      <c r="H8630" s="234"/>
      <c r="J8630" s="239" t="s">
        <v>6330</v>
      </c>
    </row>
    <row r="8631">
      <c r="A8631" s="234"/>
      <c r="B8631" s="234"/>
      <c r="C8631" s="234"/>
      <c r="D8631" s="234"/>
      <c r="E8631" s="237"/>
      <c r="F8631" s="234"/>
      <c r="G8631" s="234"/>
      <c r="H8631" s="234"/>
      <c r="J8631" s="239" t="s">
        <v>6330</v>
      </c>
    </row>
    <row r="8632">
      <c r="A8632" s="234"/>
      <c r="B8632" s="234"/>
      <c r="C8632" s="234"/>
      <c r="D8632" s="234"/>
      <c r="E8632" s="237"/>
      <c r="F8632" s="234"/>
      <c r="G8632" s="234"/>
      <c r="H8632" s="234"/>
      <c r="J8632" s="239" t="s">
        <v>6330</v>
      </c>
    </row>
    <row r="8633">
      <c r="A8633" s="234"/>
      <c r="B8633" s="234"/>
      <c r="C8633" s="234"/>
      <c r="D8633" s="234"/>
      <c r="E8633" s="237"/>
      <c r="F8633" s="234"/>
      <c r="G8633" s="234"/>
      <c r="H8633" s="234"/>
      <c r="J8633" s="239" t="s">
        <v>6330</v>
      </c>
    </row>
    <row r="8634">
      <c r="A8634" s="234"/>
      <c r="B8634" s="234"/>
      <c r="C8634" s="234"/>
      <c r="D8634" s="234"/>
      <c r="E8634" s="237"/>
      <c r="F8634" s="234"/>
      <c r="G8634" s="234"/>
      <c r="H8634" s="234"/>
      <c r="J8634" s="239" t="s">
        <v>6330</v>
      </c>
    </row>
    <row r="8635">
      <c r="A8635" s="234"/>
      <c r="B8635" s="234"/>
      <c r="C8635" s="234"/>
      <c r="D8635" s="234"/>
      <c r="E8635" s="237"/>
      <c r="F8635" s="234"/>
      <c r="G8635" s="234"/>
      <c r="H8635" s="234"/>
      <c r="J8635" s="239" t="s">
        <v>6330</v>
      </c>
    </row>
    <row r="8636">
      <c r="A8636" s="234"/>
      <c r="B8636" s="234"/>
      <c r="C8636" s="234"/>
      <c r="D8636" s="234"/>
      <c r="E8636" s="237"/>
      <c r="F8636" s="234"/>
      <c r="G8636" s="234"/>
      <c r="H8636" s="234"/>
      <c r="J8636" s="239" t="s">
        <v>6330</v>
      </c>
    </row>
    <row r="8637">
      <c r="A8637" s="234"/>
      <c r="B8637" s="234"/>
      <c r="C8637" s="234"/>
      <c r="D8637" s="234"/>
      <c r="E8637" s="237"/>
      <c r="F8637" s="234"/>
      <c r="G8637" s="234"/>
      <c r="H8637" s="234"/>
      <c r="J8637" s="239" t="s">
        <v>6330</v>
      </c>
    </row>
    <row r="8638">
      <c r="A8638" s="234"/>
      <c r="B8638" s="234"/>
      <c r="C8638" s="234"/>
      <c r="D8638" s="234"/>
      <c r="E8638" s="237"/>
      <c r="F8638" s="234"/>
      <c r="G8638" s="234"/>
      <c r="H8638" s="234"/>
      <c r="J8638" s="239" t="s">
        <v>6330</v>
      </c>
    </row>
    <row r="8639">
      <c r="A8639" s="234"/>
      <c r="B8639" s="234"/>
      <c r="C8639" s="234"/>
      <c r="D8639" s="234"/>
      <c r="E8639" s="237"/>
      <c r="F8639" s="234"/>
      <c r="G8639" s="234"/>
      <c r="H8639" s="234"/>
      <c r="J8639" s="239" t="s">
        <v>6330</v>
      </c>
    </row>
    <row r="8640">
      <c r="A8640" s="234"/>
      <c r="B8640" s="234"/>
      <c r="C8640" s="234"/>
      <c r="D8640" s="234"/>
      <c r="E8640" s="237"/>
      <c r="F8640" s="234"/>
      <c r="G8640" s="234"/>
      <c r="H8640" s="234"/>
      <c r="J8640" s="239" t="s">
        <v>6330</v>
      </c>
    </row>
    <row r="8641">
      <c r="A8641" s="234"/>
      <c r="B8641" s="234"/>
      <c r="C8641" s="234"/>
      <c r="D8641" s="234"/>
      <c r="E8641" s="237"/>
      <c r="F8641" s="234"/>
      <c r="G8641" s="234"/>
      <c r="H8641" s="234"/>
      <c r="J8641" s="239" t="s">
        <v>6330</v>
      </c>
    </row>
    <row r="8642">
      <c r="A8642" s="234"/>
      <c r="B8642" s="234"/>
      <c r="C8642" s="234"/>
      <c r="D8642" s="234"/>
      <c r="E8642" s="237"/>
      <c r="F8642" s="234"/>
      <c r="G8642" s="234"/>
      <c r="H8642" s="234"/>
      <c r="J8642" s="239" t="s">
        <v>6330</v>
      </c>
    </row>
    <row r="8643">
      <c r="A8643" s="234"/>
      <c r="B8643" s="234"/>
      <c r="C8643" s="234"/>
      <c r="D8643" s="234"/>
      <c r="E8643" s="237"/>
      <c r="F8643" s="234"/>
      <c r="G8643" s="234"/>
      <c r="H8643" s="234"/>
      <c r="J8643" s="239" t="s">
        <v>6330</v>
      </c>
    </row>
    <row r="8644">
      <c r="A8644" s="234"/>
      <c r="B8644" s="234"/>
      <c r="C8644" s="234"/>
      <c r="D8644" s="234"/>
      <c r="E8644" s="237"/>
      <c r="F8644" s="234"/>
      <c r="G8644" s="234"/>
      <c r="H8644" s="234"/>
      <c r="J8644" s="239" t="s">
        <v>6330</v>
      </c>
    </row>
    <row r="8645">
      <c r="A8645" s="234"/>
      <c r="B8645" s="234"/>
      <c r="C8645" s="234"/>
      <c r="D8645" s="234"/>
      <c r="E8645" s="237"/>
      <c r="F8645" s="234"/>
      <c r="G8645" s="234"/>
      <c r="H8645" s="234"/>
      <c r="J8645" s="239" t="s">
        <v>6330</v>
      </c>
    </row>
    <row r="8646">
      <c r="A8646" s="234"/>
      <c r="B8646" s="234"/>
      <c r="C8646" s="234"/>
      <c r="D8646" s="234"/>
      <c r="E8646" s="237"/>
      <c r="F8646" s="234"/>
      <c r="G8646" s="234"/>
      <c r="H8646" s="234"/>
      <c r="J8646" s="239" t="s">
        <v>6330</v>
      </c>
    </row>
    <row r="8647">
      <c r="A8647" s="234"/>
      <c r="B8647" s="234"/>
      <c r="C8647" s="234"/>
      <c r="D8647" s="234"/>
      <c r="E8647" s="237"/>
      <c r="F8647" s="234"/>
      <c r="G8647" s="234"/>
      <c r="H8647" s="234"/>
      <c r="J8647" s="239" t="s">
        <v>6330</v>
      </c>
    </row>
    <row r="8648">
      <c r="A8648" s="234"/>
      <c r="B8648" s="234"/>
      <c r="C8648" s="234"/>
      <c r="D8648" s="234"/>
      <c r="E8648" s="237"/>
      <c r="F8648" s="234"/>
      <c r="G8648" s="234"/>
      <c r="H8648" s="234"/>
      <c r="J8648" s="239" t="s">
        <v>6330</v>
      </c>
    </row>
    <row r="8649">
      <c r="A8649" s="234"/>
      <c r="B8649" s="234"/>
      <c r="C8649" s="234"/>
      <c r="D8649" s="234"/>
      <c r="E8649" s="237"/>
      <c r="F8649" s="234"/>
      <c r="G8649" s="234"/>
      <c r="H8649" s="234"/>
      <c r="J8649" s="239"/>
    </row>
  </sheetData>
  <autoFilter ref="$A$1:$Z$8649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3" max="3" width="17.75"/>
    <col customWidth="1" min="8" max="8" width="26.75"/>
  </cols>
  <sheetData>
    <row r="1">
      <c r="A1" s="233" t="s">
        <v>6331</v>
      </c>
      <c r="B1" s="233" t="s">
        <v>6332</v>
      </c>
      <c r="C1" s="233" t="s">
        <v>6333</v>
      </c>
      <c r="D1" s="233" t="s">
        <v>6334</v>
      </c>
      <c r="E1" s="233" t="s">
        <v>6335</v>
      </c>
      <c r="H1" s="247" t="s">
        <v>6336</v>
      </c>
      <c r="I1" s="247" t="s">
        <v>6337</v>
      </c>
    </row>
    <row r="2">
      <c r="A2" s="237">
        <f>COUNTA(BASE!E:E)</f>
        <v>7564</v>
      </c>
      <c r="B2" s="237">
        <f>COUNTIF(BASE!L:L,"Finalizado")</f>
        <v>0</v>
      </c>
      <c r="C2" s="237">
        <f>COUNTIF(BASE!L:L,"Em andamento")</f>
        <v>0</v>
      </c>
      <c r="D2" s="237">
        <f>COUNTIF(BASE!I:I,"Dentro") / COUNTA(BASE!I:I)</f>
        <v>0.1063446287</v>
      </c>
      <c r="E2" s="237" t="str">
        <f>AVERAGE(BASE!J:J)</f>
        <v>#VALUE!</v>
      </c>
      <c r="H2" s="248" t="s">
        <v>6338</v>
      </c>
      <c r="I2" s="237" t="str">
        <f>AVERAGE(IF(BASE!J:J&gt;0, BASE!J:J))</f>
        <v>#VALUE!</v>
      </c>
    </row>
    <row r="3">
      <c r="H3" s="248" t="s">
        <v>6339</v>
      </c>
      <c r="I3" s="237" t="str">
        <f>MAX(IF(ISNUMBER(BASE!J:J), BASE!J:J))
</f>
        <v>#VALUE!</v>
      </c>
    </row>
    <row r="4">
      <c r="H4" s="248" t="s">
        <v>6340</v>
      </c>
      <c r="I4" s="237">
        <f>COUNTIF(BASE!J:J,"&gt;0")</f>
        <v>6911</v>
      </c>
    </row>
    <row r="5">
      <c r="H5" s="248" t="s">
        <v>6341</v>
      </c>
      <c r="I5" s="249">
        <f>COUNTIF(BASE!I:I,"Fora") / COUNTA(BASE!I:I)</f>
        <v>0.893294881</v>
      </c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24.0"/>
    <col customWidth="1" min="3" max="3" width="9.25"/>
    <col customWidth="1" min="4" max="4" width="6.88"/>
    <col customWidth="1" min="5" max="5" width="7.5"/>
    <col customWidth="1" min="7" max="7" width="39.0"/>
    <col customWidth="1" min="8" max="8" width="19.5"/>
  </cols>
  <sheetData>
    <row r="1">
      <c r="A1" s="250" t="s">
        <v>6342</v>
      </c>
      <c r="B1" s="251">
        <f>TODAY() -1</f>
        <v>46066</v>
      </c>
      <c r="C1" s="252"/>
      <c r="D1" s="252"/>
      <c r="E1" s="253"/>
      <c r="G1" s="254"/>
      <c r="H1" s="254"/>
    </row>
    <row r="2">
      <c r="A2" s="250" t="s">
        <v>6343</v>
      </c>
      <c r="B2" s="255">
        <f>COUNTIF(BASE!D:D,"*LSP*")</f>
        <v>0</v>
      </c>
      <c r="C2" s="59"/>
      <c r="D2" s="59"/>
      <c r="E2" s="60"/>
      <c r="G2" s="247"/>
      <c r="H2" s="247"/>
    </row>
    <row r="3">
      <c r="A3" s="250" t="s">
        <v>6344</v>
      </c>
      <c r="B3" s="255">
        <f>COUNTIF(BASE!D:D,"*SOC*")</f>
        <v>0</v>
      </c>
      <c r="C3" s="59"/>
      <c r="D3" s="59"/>
      <c r="E3" s="60"/>
      <c r="G3" s="247"/>
      <c r="H3" s="247"/>
    </row>
    <row r="4">
      <c r="A4" s="250" t="s">
        <v>25</v>
      </c>
      <c r="B4" s="255">
        <f>COUNTIF(BASE!A:A,"*NÃO CHEGOU*")</f>
        <v>0</v>
      </c>
      <c r="C4" s="59"/>
      <c r="D4" s="59"/>
      <c r="E4" s="60"/>
    </row>
    <row r="5">
      <c r="A5" s="250" t="s">
        <v>167</v>
      </c>
      <c r="B5" s="255">
        <f>COUNTIF(BASE!A:A,"*NÃO DOCOU*")</f>
        <v>0</v>
      </c>
      <c r="C5" s="59"/>
      <c r="D5" s="59"/>
      <c r="E5" s="60"/>
      <c r="G5" s="256"/>
      <c r="H5" s="256"/>
    </row>
    <row r="6">
      <c r="A6" s="250" t="s">
        <v>815</v>
      </c>
      <c r="B6" s="255">
        <f>COUNTIF(BASE!A:A,"*DRIVER DUPLICADO*")</f>
        <v>0</v>
      </c>
      <c r="C6" s="59"/>
      <c r="D6" s="59"/>
      <c r="E6" s="60"/>
      <c r="G6" s="256"/>
      <c r="H6" s="256"/>
    </row>
    <row r="7">
      <c r="A7" s="250" t="s">
        <v>6345</v>
      </c>
      <c r="B7" s="255">
        <f>COUNTIFS(BASE!A:A,"&gt;=5",BASE!A:A,"&lt;=114")</f>
        <v>0</v>
      </c>
      <c r="C7" s="59"/>
      <c r="D7" s="59"/>
      <c r="E7" s="60"/>
      <c r="G7" s="257"/>
      <c r="H7" s="257"/>
    </row>
    <row r="8">
      <c r="A8" s="250" t="s">
        <v>6346</v>
      </c>
      <c r="B8" s="255">
        <f>SUM(B2,B3)</f>
        <v>0</v>
      </c>
      <c r="C8" s="59"/>
      <c r="D8" s="59"/>
      <c r="E8" s="60"/>
      <c r="G8" s="257"/>
      <c r="H8" s="257"/>
    </row>
    <row r="9">
      <c r="C9" s="59"/>
      <c r="D9" s="59"/>
      <c r="E9" s="60"/>
    </row>
    <row r="10">
      <c r="A10" s="58"/>
      <c r="B10" s="59"/>
      <c r="C10" s="59"/>
      <c r="D10" s="59"/>
      <c r="E10" s="60"/>
    </row>
    <row r="11">
      <c r="A11" s="58"/>
      <c r="B11" s="59"/>
      <c r="C11" s="59"/>
      <c r="D11" s="59"/>
      <c r="E11" s="60"/>
    </row>
    <row r="12">
      <c r="A12" s="58"/>
      <c r="B12" s="59"/>
      <c r="C12" s="59"/>
      <c r="D12" s="59"/>
      <c r="E12" s="60"/>
    </row>
    <row r="13">
      <c r="A13" s="58"/>
      <c r="B13" s="59"/>
      <c r="C13" s="59"/>
      <c r="D13" s="59"/>
      <c r="E13" s="60"/>
    </row>
    <row r="14">
      <c r="A14" s="58"/>
      <c r="B14" s="59"/>
      <c r="C14" s="59"/>
      <c r="D14" s="59"/>
      <c r="E14" s="60"/>
    </row>
    <row r="15">
      <c r="A15" s="58"/>
      <c r="B15" s="59"/>
      <c r="C15" s="59"/>
      <c r="D15" s="59"/>
      <c r="E15" s="60"/>
    </row>
    <row r="16">
      <c r="A16" s="58"/>
      <c r="B16" s="59"/>
      <c r="C16" s="59"/>
      <c r="D16" s="59"/>
      <c r="E16" s="60"/>
    </row>
    <row r="17">
      <c r="A17" s="58"/>
      <c r="B17" s="59"/>
      <c r="C17" s="59"/>
      <c r="D17" s="59"/>
      <c r="E17" s="60"/>
    </row>
    <row r="18">
      <c r="A18" s="58"/>
      <c r="B18" s="59"/>
      <c r="C18" s="59"/>
      <c r="D18" s="59"/>
      <c r="E18" s="60"/>
    </row>
    <row r="19">
      <c r="A19" s="58"/>
      <c r="B19" s="59"/>
      <c r="C19" s="59"/>
      <c r="D19" s="59"/>
      <c r="E19" s="60"/>
    </row>
    <row r="20">
      <c r="A20" s="58"/>
      <c r="B20" s="59"/>
      <c r="C20" s="59"/>
      <c r="D20" s="59"/>
      <c r="E20" s="60"/>
    </row>
    <row r="21">
      <c r="A21" s="58"/>
      <c r="B21" s="59"/>
      <c r="C21" s="59"/>
      <c r="D21" s="59"/>
      <c r="E21" s="60"/>
    </row>
    <row r="22">
      <c r="A22" s="58"/>
      <c r="B22" s="59"/>
      <c r="C22" s="59"/>
      <c r="D22" s="59"/>
      <c r="E22" s="60"/>
    </row>
    <row r="23">
      <c r="A23" s="58"/>
      <c r="B23" s="59"/>
      <c r="C23" s="59"/>
      <c r="D23" s="59"/>
      <c r="E23" s="60"/>
    </row>
    <row r="24">
      <c r="A24" s="58"/>
      <c r="B24" s="59"/>
      <c r="C24" s="59"/>
      <c r="D24" s="59"/>
      <c r="E24" s="60"/>
    </row>
    <row r="25">
      <c r="A25" s="58"/>
      <c r="B25" s="59"/>
      <c r="C25" s="59"/>
      <c r="D25" s="59"/>
      <c r="E25" s="60"/>
    </row>
    <row r="26">
      <c r="A26" s="58"/>
      <c r="B26" s="59"/>
      <c r="C26" s="59"/>
      <c r="D26" s="59"/>
      <c r="E26" s="60"/>
    </row>
    <row r="27">
      <c r="A27" s="58"/>
      <c r="B27" s="59"/>
      <c r="C27" s="59"/>
      <c r="D27" s="59"/>
      <c r="E27" s="60"/>
    </row>
    <row r="28">
      <c r="A28" s="58"/>
      <c r="B28" s="59"/>
      <c r="C28" s="59"/>
      <c r="D28" s="59"/>
      <c r="E28" s="60"/>
    </row>
    <row r="29">
      <c r="A29" s="58"/>
      <c r="B29" s="59"/>
      <c r="C29" s="59"/>
      <c r="D29" s="59"/>
      <c r="E29" s="60"/>
    </row>
    <row r="30">
      <c r="A30" s="58"/>
      <c r="B30" s="59"/>
      <c r="C30" s="59"/>
      <c r="D30" s="59"/>
      <c r="E30" s="60"/>
    </row>
    <row r="31">
      <c r="A31" s="58"/>
      <c r="B31" s="59"/>
      <c r="C31" s="59"/>
      <c r="D31" s="59"/>
      <c r="E31" s="60"/>
    </row>
    <row r="32">
      <c r="A32" s="58"/>
      <c r="B32" s="59"/>
      <c r="C32" s="59"/>
      <c r="D32" s="59"/>
      <c r="E32" s="60"/>
    </row>
    <row r="33">
      <c r="A33" s="61"/>
      <c r="B33" s="59"/>
      <c r="C33" s="59"/>
      <c r="D33" s="59"/>
      <c r="E33" s="60"/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63"/>
  </cols>
  <sheetData>
    <row r="1">
      <c r="A1" s="258" t="s">
        <v>6347</v>
      </c>
      <c r="B1" s="258" t="s">
        <v>6343</v>
      </c>
      <c r="C1" s="258" t="s">
        <v>6344</v>
      </c>
      <c r="D1" s="258" t="s">
        <v>25</v>
      </c>
      <c r="E1" s="258" t="s">
        <v>167</v>
      </c>
      <c r="F1" s="258" t="s">
        <v>815</v>
      </c>
      <c r="G1" s="258" t="s">
        <v>6345</v>
      </c>
      <c r="H1" s="258" t="s">
        <v>6346</v>
      </c>
    </row>
    <row r="3">
      <c r="B3" s="250" t="s">
        <v>6348</v>
      </c>
    </row>
    <row r="4">
      <c r="A4" s="259">
        <v>46036.0</v>
      </c>
      <c r="B4" s="260">
        <v>19.0</v>
      </c>
      <c r="C4" s="260">
        <v>17.0</v>
      </c>
      <c r="D4" s="260">
        <v>4.0</v>
      </c>
      <c r="E4" s="260">
        <v>0.0</v>
      </c>
      <c r="F4" s="260">
        <v>1.0</v>
      </c>
      <c r="G4" s="260">
        <v>31.0</v>
      </c>
      <c r="H4" s="260">
        <v>36.0</v>
      </c>
    </row>
    <row r="5">
      <c r="A5" s="259">
        <v>46037.0</v>
      </c>
      <c r="B5" s="260">
        <v>19.0</v>
      </c>
      <c r="C5" s="260">
        <v>20.0</v>
      </c>
      <c r="D5" s="260">
        <v>3.0</v>
      </c>
      <c r="E5" s="260">
        <v>7.0</v>
      </c>
      <c r="F5" s="260">
        <v>0.0</v>
      </c>
      <c r="G5" s="260">
        <v>29.0</v>
      </c>
      <c r="H5" s="260">
        <v>39.0</v>
      </c>
    </row>
    <row r="6">
      <c r="A6" s="259">
        <v>46038.0</v>
      </c>
      <c r="B6" s="260">
        <v>15.0</v>
      </c>
      <c r="C6" s="260">
        <v>24.0</v>
      </c>
      <c r="D6" s="260">
        <v>3.0</v>
      </c>
      <c r="E6" s="260">
        <v>3.0</v>
      </c>
      <c r="F6" s="260">
        <v>0.0</v>
      </c>
      <c r="G6" s="260">
        <v>33.0</v>
      </c>
      <c r="H6" s="260">
        <v>39.0</v>
      </c>
    </row>
    <row r="7">
      <c r="A7" s="259">
        <v>46039.0</v>
      </c>
    </row>
    <row r="8">
      <c r="A8" s="259">
        <v>46040.0</v>
      </c>
    </row>
    <row r="9">
      <c r="A9" s="259">
        <v>46041.0</v>
      </c>
      <c r="B9" s="260">
        <v>12.0</v>
      </c>
      <c r="C9" s="260">
        <v>15.0</v>
      </c>
      <c r="D9" s="260">
        <v>2.0</v>
      </c>
      <c r="E9" s="260">
        <v>4.0</v>
      </c>
      <c r="F9" s="260">
        <v>0.0</v>
      </c>
      <c r="G9" s="260">
        <v>21.0</v>
      </c>
      <c r="H9" s="260">
        <v>27.0</v>
      </c>
    </row>
    <row r="10">
      <c r="A10" s="259">
        <v>46042.0</v>
      </c>
      <c r="B10" s="260">
        <v>20.0</v>
      </c>
      <c r="C10" s="260">
        <v>13.0</v>
      </c>
      <c r="D10" s="260">
        <v>1.0</v>
      </c>
      <c r="E10" s="260">
        <v>1.0</v>
      </c>
      <c r="F10" s="260">
        <v>0.0</v>
      </c>
      <c r="G10" s="260">
        <v>31.0</v>
      </c>
      <c r="H10" s="260">
        <v>33.0</v>
      </c>
    </row>
    <row r="11">
      <c r="A11" s="259">
        <v>46043.0</v>
      </c>
      <c r="B11" s="260">
        <v>20.0</v>
      </c>
      <c r="C11" s="260">
        <v>13.0</v>
      </c>
      <c r="D11" s="260">
        <v>1.0</v>
      </c>
      <c r="E11" s="260">
        <v>1.0</v>
      </c>
      <c r="F11" s="260">
        <v>0.0</v>
      </c>
      <c r="G11" s="260">
        <v>31.0</v>
      </c>
      <c r="H11" s="260">
        <v>33.0</v>
      </c>
    </row>
    <row r="12">
      <c r="A12" s="259">
        <v>46044.0</v>
      </c>
      <c r="B12" s="260">
        <v>0.0</v>
      </c>
      <c r="C12" s="260">
        <v>0.0</v>
      </c>
      <c r="D12" s="260">
        <v>0.0</v>
      </c>
      <c r="E12" s="260">
        <v>0.0</v>
      </c>
      <c r="F12" s="260">
        <v>0.0</v>
      </c>
      <c r="G12" s="260">
        <v>0.0</v>
      </c>
      <c r="H12" s="260">
        <v>0.0</v>
      </c>
    </row>
    <row r="13">
      <c r="A13" s="259">
        <v>46045.0</v>
      </c>
      <c r="B13" s="260">
        <v>0.0</v>
      </c>
      <c r="C13" s="260">
        <v>0.0</v>
      </c>
      <c r="D13" s="260">
        <v>0.0</v>
      </c>
      <c r="E13" s="260">
        <v>0.0</v>
      </c>
      <c r="F13" s="260">
        <v>0.0</v>
      </c>
      <c r="G13" s="260">
        <v>0.0</v>
      </c>
      <c r="H13" s="260">
        <v>0.0</v>
      </c>
    </row>
    <row r="14">
      <c r="A14" s="259">
        <v>46046.0</v>
      </c>
      <c r="B14" s="260">
        <v>0.0</v>
      </c>
      <c r="C14" s="260">
        <v>0.0</v>
      </c>
      <c r="D14" s="260">
        <v>0.0</v>
      </c>
      <c r="E14" s="260">
        <v>0.0</v>
      </c>
      <c r="F14" s="260">
        <v>0.0</v>
      </c>
      <c r="G14" s="260">
        <v>0.0</v>
      </c>
      <c r="H14" s="260">
        <v>0.0</v>
      </c>
    </row>
    <row r="15">
      <c r="A15" s="259">
        <v>46047.0</v>
      </c>
      <c r="B15" s="260">
        <v>0.0</v>
      </c>
      <c r="C15" s="260">
        <v>0.0</v>
      </c>
      <c r="D15" s="260">
        <v>0.0</v>
      </c>
      <c r="E15" s="260">
        <v>0.0</v>
      </c>
      <c r="F15" s="260">
        <v>0.0</v>
      </c>
      <c r="G15" s="260">
        <v>0.0</v>
      </c>
      <c r="H15" s="260">
        <v>0.0</v>
      </c>
    </row>
    <row r="16">
      <c r="A16" s="259">
        <v>46048.0</v>
      </c>
      <c r="B16" s="260">
        <v>0.0</v>
      </c>
      <c r="C16" s="260">
        <v>0.0</v>
      </c>
      <c r="D16" s="260">
        <v>0.0</v>
      </c>
      <c r="E16" s="260">
        <v>0.0</v>
      </c>
      <c r="F16" s="260">
        <v>0.0</v>
      </c>
      <c r="G16" s="260">
        <v>0.0</v>
      </c>
      <c r="H16" s="260">
        <v>0.0</v>
      </c>
    </row>
    <row r="17">
      <c r="A17" s="259">
        <v>46049.0</v>
      </c>
      <c r="B17" s="260">
        <v>0.0</v>
      </c>
      <c r="C17" s="260">
        <v>0.0</v>
      </c>
      <c r="D17" s="260">
        <v>0.0</v>
      </c>
      <c r="E17" s="260">
        <v>0.0</v>
      </c>
      <c r="F17" s="260">
        <v>0.0</v>
      </c>
      <c r="G17" s="260">
        <v>0.0</v>
      </c>
      <c r="H17" s="260">
        <v>0.0</v>
      </c>
    </row>
    <row r="18">
      <c r="A18" s="259">
        <v>46050.0</v>
      </c>
      <c r="B18" s="260">
        <v>0.0</v>
      </c>
      <c r="C18" s="260">
        <v>0.0</v>
      </c>
      <c r="D18" s="260">
        <v>0.0</v>
      </c>
      <c r="E18" s="260">
        <v>0.0</v>
      </c>
      <c r="F18" s="260">
        <v>0.0</v>
      </c>
      <c r="G18" s="260">
        <v>0.0</v>
      </c>
      <c r="H18" s="260">
        <v>0.0</v>
      </c>
    </row>
    <row r="19">
      <c r="A19" s="259">
        <v>46051.0</v>
      </c>
      <c r="B19" s="260">
        <v>0.0</v>
      </c>
      <c r="C19" s="260">
        <v>0.0</v>
      </c>
      <c r="D19" s="260">
        <v>0.0</v>
      </c>
      <c r="E19" s="260">
        <v>0.0</v>
      </c>
      <c r="F19" s="260">
        <v>0.0</v>
      </c>
      <c r="G19" s="260">
        <v>0.0</v>
      </c>
      <c r="H19" s="260">
        <v>0.0</v>
      </c>
    </row>
    <row r="20">
      <c r="A20" s="259">
        <v>46052.0</v>
      </c>
      <c r="B20" s="260">
        <v>0.0</v>
      </c>
      <c r="C20" s="260">
        <v>0.0</v>
      </c>
      <c r="D20" s="260">
        <v>0.0</v>
      </c>
      <c r="E20" s="260">
        <v>0.0</v>
      </c>
      <c r="F20" s="260">
        <v>0.0</v>
      </c>
      <c r="G20" s="260">
        <v>0.0</v>
      </c>
      <c r="H20" s="260">
        <v>0.0</v>
      </c>
    </row>
    <row r="21">
      <c r="A21" s="259">
        <v>46053.0</v>
      </c>
      <c r="B21" s="260">
        <v>0.0</v>
      </c>
      <c r="C21" s="260">
        <v>0.0</v>
      </c>
      <c r="D21" s="260">
        <v>0.0</v>
      </c>
      <c r="E21" s="260">
        <v>0.0</v>
      </c>
      <c r="F21" s="260">
        <v>0.0</v>
      </c>
      <c r="G21" s="260">
        <v>0.0</v>
      </c>
      <c r="H21" s="260">
        <v>0.0</v>
      </c>
    </row>
    <row r="22">
      <c r="A22" s="259">
        <v>46054.0</v>
      </c>
      <c r="B22" s="260">
        <v>0.0</v>
      </c>
      <c r="C22" s="260">
        <v>0.0</v>
      </c>
      <c r="D22" s="260">
        <v>0.0</v>
      </c>
      <c r="E22" s="260">
        <v>0.0</v>
      </c>
      <c r="F22" s="260">
        <v>0.0</v>
      </c>
      <c r="G22" s="260">
        <v>0.0</v>
      </c>
      <c r="H22" s="260">
        <v>0.0</v>
      </c>
    </row>
    <row r="23">
      <c r="A23" s="259">
        <v>46055.0</v>
      </c>
      <c r="B23" s="260">
        <v>0.0</v>
      </c>
      <c r="C23" s="260">
        <v>0.0</v>
      </c>
      <c r="D23" s="260">
        <v>0.0</v>
      </c>
      <c r="E23" s="260">
        <v>0.0</v>
      </c>
      <c r="F23" s="260">
        <v>0.0</v>
      </c>
      <c r="G23" s="260">
        <v>0.0</v>
      </c>
      <c r="H23" s="260">
        <v>0.0</v>
      </c>
    </row>
    <row r="24">
      <c r="A24" s="259">
        <v>46056.0</v>
      </c>
      <c r="B24" s="260">
        <v>0.0</v>
      </c>
      <c r="C24" s="260">
        <v>0.0</v>
      </c>
      <c r="D24" s="260">
        <v>0.0</v>
      </c>
      <c r="E24" s="260">
        <v>0.0</v>
      </c>
      <c r="F24" s="260">
        <v>0.0</v>
      </c>
      <c r="G24" s="260">
        <v>0.0</v>
      </c>
      <c r="H24" s="260">
        <v>0.0</v>
      </c>
    </row>
    <row r="25">
      <c r="A25" s="259">
        <v>46057.0</v>
      </c>
      <c r="B25" s="260">
        <v>0.0</v>
      </c>
      <c r="C25" s="260">
        <v>0.0</v>
      </c>
      <c r="D25" s="260">
        <v>0.0</v>
      </c>
      <c r="E25" s="260">
        <v>0.0</v>
      </c>
      <c r="F25" s="260">
        <v>0.0</v>
      </c>
      <c r="G25" s="260">
        <v>0.0</v>
      </c>
      <c r="H25" s="260">
        <v>0.0</v>
      </c>
    </row>
    <row r="26">
      <c r="A26" s="259">
        <v>46058.0</v>
      </c>
      <c r="B26" s="260">
        <v>0.0</v>
      </c>
      <c r="C26" s="260">
        <v>0.0</v>
      </c>
      <c r="D26" s="260">
        <v>0.0</v>
      </c>
      <c r="E26" s="260">
        <v>0.0</v>
      </c>
      <c r="F26" s="260">
        <v>0.0</v>
      </c>
      <c r="G26" s="260">
        <v>0.0</v>
      </c>
      <c r="H26" s="260">
        <v>0.0</v>
      </c>
    </row>
    <row r="27">
      <c r="A27" s="259">
        <v>46059.0</v>
      </c>
      <c r="B27" s="260">
        <v>0.0</v>
      </c>
      <c r="C27" s="260">
        <v>0.0</v>
      </c>
      <c r="D27" s="260">
        <v>0.0</v>
      </c>
      <c r="E27" s="260">
        <v>0.0</v>
      </c>
      <c r="F27" s="260">
        <v>0.0</v>
      </c>
      <c r="G27" s="260">
        <v>0.0</v>
      </c>
      <c r="H27" s="260">
        <v>0.0</v>
      </c>
    </row>
    <row r="28">
      <c r="A28" s="259">
        <v>46060.0</v>
      </c>
      <c r="B28" s="260">
        <v>0.0</v>
      </c>
      <c r="C28" s="260">
        <v>0.0</v>
      </c>
      <c r="D28" s="260">
        <v>0.0</v>
      </c>
      <c r="E28" s="260">
        <v>0.0</v>
      </c>
      <c r="F28" s="260">
        <v>0.0</v>
      </c>
      <c r="G28" s="260">
        <v>0.0</v>
      </c>
      <c r="H28" s="260">
        <v>0.0</v>
      </c>
    </row>
    <row r="29">
      <c r="A29" s="259">
        <v>46061.0</v>
      </c>
      <c r="B29" s="260">
        <v>0.0</v>
      </c>
      <c r="C29" s="260">
        <v>0.0</v>
      </c>
      <c r="D29" s="260">
        <v>0.0</v>
      </c>
      <c r="E29" s="260">
        <v>0.0</v>
      </c>
      <c r="F29" s="260">
        <v>0.0</v>
      </c>
      <c r="G29" s="260">
        <v>0.0</v>
      </c>
      <c r="H29" s="260">
        <v>0.0</v>
      </c>
    </row>
    <row r="30">
      <c r="A30" s="259">
        <v>46062.0</v>
      </c>
      <c r="B30" s="260">
        <v>0.0</v>
      </c>
      <c r="C30" s="260">
        <v>0.0</v>
      </c>
      <c r="D30" s="260">
        <v>0.0</v>
      </c>
      <c r="E30" s="260">
        <v>0.0</v>
      </c>
      <c r="F30" s="260">
        <v>0.0</v>
      </c>
      <c r="G30" s="260">
        <v>0.0</v>
      </c>
      <c r="H30" s="260">
        <v>0.0</v>
      </c>
    </row>
    <row r="31">
      <c r="A31" s="259">
        <v>46063.0</v>
      </c>
      <c r="B31" s="260">
        <v>0.0</v>
      </c>
      <c r="C31" s="260">
        <v>0.0</v>
      </c>
      <c r="D31" s="260">
        <v>0.0</v>
      </c>
      <c r="E31" s="260">
        <v>0.0</v>
      </c>
      <c r="F31" s="260">
        <v>0.0</v>
      </c>
      <c r="G31" s="260">
        <v>0.0</v>
      </c>
      <c r="H31" s="260">
        <v>0.0</v>
      </c>
    </row>
    <row r="32">
      <c r="A32" s="259">
        <v>46064.0</v>
      </c>
      <c r="B32" s="260">
        <v>0.0</v>
      </c>
      <c r="C32" s="260">
        <v>0.0</v>
      </c>
      <c r="D32" s="260">
        <v>0.0</v>
      </c>
      <c r="E32" s="260">
        <v>0.0</v>
      </c>
      <c r="F32" s="260">
        <v>0.0</v>
      </c>
      <c r="G32" s="260">
        <v>0.0</v>
      </c>
      <c r="H32" s="260">
        <v>0.0</v>
      </c>
    </row>
    <row r="33">
      <c r="A33" s="259">
        <v>46065.0</v>
      </c>
      <c r="B33" s="260">
        <v>0.0</v>
      </c>
      <c r="C33" s="260">
        <v>0.0</v>
      </c>
      <c r="D33" s="260">
        <v>0.0</v>
      </c>
      <c r="E33" s="260">
        <v>0.0</v>
      </c>
      <c r="F33" s="260">
        <v>0.0</v>
      </c>
      <c r="G33" s="260">
        <v>0.0</v>
      </c>
      <c r="H33" s="260">
        <v>0.0</v>
      </c>
    </row>
    <row r="34">
      <c r="A34" s="259">
        <v>46066.0</v>
      </c>
      <c r="B34" s="260">
        <v>0.0</v>
      </c>
      <c r="C34" s="260">
        <v>0.0</v>
      </c>
      <c r="D34" s="260">
        <v>0.0</v>
      </c>
      <c r="E34" s="260">
        <v>0.0</v>
      </c>
      <c r="F34" s="260">
        <v>0.0</v>
      </c>
      <c r="G34" s="260">
        <v>0.0</v>
      </c>
      <c r="H34" s="260">
        <v>0.0</v>
      </c>
    </row>
  </sheetData>
  <drawing r:id="rId1"/>
</worksheet>
</file>